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NIA\Desktop\CARP REPORTS AND FILES\CARP REPORTS\CARP MONTHLY REPORTS\EVERY 3RD, 4TH DAY\JEV AND SAODB\2022\12 Dec 2022 carp\"/>
    </mc:Choice>
  </mc:AlternateContent>
  <xr:revisionPtr revIDLastSave="0" documentId="13_ncr:1_{50DA3E7F-0D13-4644-AF5C-6D217117CF78}" xr6:coauthVersionLast="47" xr6:coauthVersionMax="47" xr10:uidLastSave="{00000000-0000-0000-0000-000000000000}"/>
  <bookViews>
    <workbookView xWindow="-120" yWindow="-120" windowWidth="29040" windowHeight="15720" firstSheet="5" activeTab="11" xr2:uid="{00000000-000D-0000-FFFF-FFFF00000000}"/>
  </bookViews>
  <sheets>
    <sheet name="TB" sheetId="335" state="hidden" r:id="rId1"/>
    <sheet name="TB (NEW)" sheetId="387" state="hidden" r:id="rId2"/>
    <sheet name="IES" sheetId="337" state="hidden" r:id="rId3"/>
    <sheet name="BS" sheetId="325" state="hidden" r:id="rId4"/>
    <sheet name="CF" sheetId="338" state="hidden" r:id="rId5"/>
    <sheet name="Account" sheetId="2" r:id="rId6"/>
    <sheet name="PostTB" sheetId="319" r:id="rId7"/>
    <sheet name="CRDJ" sheetId="317" r:id="rId8"/>
    <sheet name="CRDJ Pivot" sheetId="358" r:id="rId9"/>
    <sheet name="JEV CRD" sheetId="330" r:id="rId10"/>
    <sheet name="CRDJournal" sheetId="420" state="hidden" r:id="rId11"/>
    <sheet name="CkDJ" sheetId="310" r:id="rId12"/>
    <sheet name="CkDJ Pivot" sheetId="356" r:id="rId13"/>
    <sheet name="JEV Check" sheetId="341" r:id="rId14"/>
    <sheet name="CkDJournal" sheetId="421" state="hidden" r:id="rId15"/>
    <sheet name="CsDJ" sheetId="316" r:id="rId16"/>
    <sheet name="CsDJ Pivot" sheetId="357" r:id="rId17"/>
    <sheet name="CSDJournal" sheetId="422" state="hidden" r:id="rId18"/>
    <sheet name="JEV CsDJ" sheetId="328" r:id="rId19"/>
    <sheet name="GJ" sheetId="318" r:id="rId20"/>
    <sheet name="GJ Pivot" sheetId="359" r:id="rId21"/>
    <sheet name="JEV GJ" sheetId="331" r:id="rId22"/>
    <sheet name="General Ledger" sheetId="354" r:id="rId23"/>
    <sheet name="GL" sheetId="254" r:id="rId24"/>
    <sheet name="GLperSC1" sheetId="324" r:id="rId25"/>
    <sheet name="GLperSC2" sheetId="339" state="hidden" r:id="rId26"/>
    <sheet name="CF (2)" sheetId="343" state="hidden" r:id="rId27"/>
    <sheet name="SL Balances" sheetId="346" r:id="rId28"/>
    <sheet name="SLperSC1" sheetId="353" r:id="rId29"/>
    <sheet name="SLperSC2" sheetId="345" state="hidden" r:id="rId30"/>
    <sheet name="BUR" sheetId="406" state="hidden" r:id="rId31"/>
    <sheet name="BUR (2)" sheetId="411" state="hidden" r:id="rId32"/>
    <sheet name="BUR (VIG zero out)" sheetId="410" state="hidden" r:id="rId33"/>
    <sheet name="SOEI (as of)" sheetId="347" state="hidden" r:id="rId34"/>
    <sheet name="SOEI (for the)" sheetId="348" state="hidden" r:id="rId35"/>
    <sheet name="REVGEN (1)" sheetId="360" state="hidden" r:id="rId36"/>
    <sheet name="REVGEN (2)" sheetId="389" state="hidden" r:id="rId37"/>
    <sheet name="REVGEN (3)" sheetId="407" state="hidden" r:id="rId38"/>
    <sheet name="REVGEN (4)" sheetId="408" state="hidden" r:id="rId39"/>
    <sheet name="REVGEN (2)(1)" sheetId="392" state="hidden" r:id="rId40"/>
    <sheet name="REVGEN (2)(2)" sheetId="395" state="hidden" r:id="rId41"/>
    <sheet name="REVGEN (2)(3)" sheetId="396" state="hidden" r:id="rId42"/>
    <sheet name="REVGEN (2)(4)" sheetId="397" state="hidden" r:id="rId43"/>
    <sheet name="REVGEN (3)(1)" sheetId="393" state="hidden" r:id="rId44"/>
    <sheet name="REVGEN (3)(2)" sheetId="398" state="hidden" r:id="rId45"/>
    <sheet name="REVGEN (3)(3)" sheetId="399" state="hidden" r:id="rId46"/>
    <sheet name="REVGEN (3)(4)" sheetId="401" state="hidden" r:id="rId47"/>
    <sheet name="REVGEN (4)(1)" sheetId="394" state="hidden" r:id="rId48"/>
    <sheet name="REVGEN (4)(2)" sheetId="402" state="hidden" r:id="rId49"/>
    <sheet name="REVGEN (4)(3)" sheetId="403" state="hidden" r:id="rId50"/>
    <sheet name="REVGEN (4)(4)" sheetId="404" state="hidden" r:id="rId51"/>
    <sheet name="REVGEN (4)(5)" sheetId="405" state="hidden" r:id="rId52"/>
    <sheet name="REVGEN (Summary)" sheetId="388" state="hidden" r:id="rId53"/>
    <sheet name="REVGEN (Overall)" sheetId="391" state="hidden" r:id="rId54"/>
    <sheet name="Rev Exp (1)" sheetId="418" state="hidden" r:id="rId55"/>
    <sheet name="Rev Exp (2)" sheetId="413" state="hidden" r:id="rId56"/>
    <sheet name="Rev Exp (3)" sheetId="416" state="hidden" r:id="rId57"/>
    <sheet name="Rev Exp (4)" sheetId="417" state="hidden" r:id="rId58"/>
    <sheet name="RevExp RIO" sheetId="412" state="hidden" r:id="rId59"/>
    <sheet name="Monthly Cash Program Ofc" sheetId="365" state="hidden" r:id="rId60"/>
    <sheet name="Monthly Cash Program Sort" sheetId="385" state="hidden" r:id="rId61"/>
    <sheet name="Monthly Cash Program Summary" sheetId="386" state="hidden" r:id="rId62"/>
    <sheet name="Budget Data" sheetId="383" state="hidden" r:id="rId63"/>
  </sheets>
  <externalReferences>
    <externalReference r:id="rId64"/>
  </externalReferences>
  <definedNames>
    <definedName name="_xlnm._FilterDatabase" localSheetId="3" hidden="1">BS!$G$10:$G$144</definedName>
    <definedName name="_xlnm._FilterDatabase" localSheetId="11" hidden="1">'CkDJ'!$L$2:$L$591</definedName>
    <definedName name="_xlnm._FilterDatabase" localSheetId="7" hidden="1">'CRDJ'!$I$3:$I$15</definedName>
    <definedName name="_xlnm._FilterDatabase" localSheetId="15" hidden="1">'CsDJ'!$L$2:$L$110</definedName>
    <definedName name="_xlnm._FilterDatabase" localSheetId="19" hidden="1">GJ!$I$9:$I$140</definedName>
    <definedName name="_xlnm._FilterDatabase" localSheetId="2" hidden="1">IES!$I$9:$I$154</definedName>
    <definedName name="_xlnm._FilterDatabase" localSheetId="6" hidden="1">PostTB!$I$3:$I$69</definedName>
    <definedName name="_xlnm._FilterDatabase" localSheetId="27" hidden="1">'SL Balances'!$A$1:$H$11</definedName>
    <definedName name="_xlnm._FilterDatabase" localSheetId="0" hidden="1">TB!$H$9:$H$331</definedName>
    <definedName name="_xlnm._FilterDatabase" localSheetId="1" hidden="1">'TB (NEW)'!$H$9:$H$334</definedName>
    <definedName name="a" localSheetId="62">#REF!</definedName>
    <definedName name="a" localSheetId="31">#REF!</definedName>
    <definedName name="a" localSheetId="32">#REF!</definedName>
    <definedName name="a" localSheetId="26">#REF!</definedName>
    <definedName name="a" localSheetId="14">#REF!</definedName>
    <definedName name="a" localSheetId="7">#REF!</definedName>
    <definedName name="a" localSheetId="10">#REF!</definedName>
    <definedName name="a" localSheetId="15">#REF!</definedName>
    <definedName name="a" localSheetId="17">#REF!</definedName>
    <definedName name="a" localSheetId="22">#REF!</definedName>
    <definedName name="a" localSheetId="19">#REF!</definedName>
    <definedName name="a" localSheetId="24">#REF!</definedName>
    <definedName name="a" localSheetId="25">#REF!</definedName>
    <definedName name="a" localSheetId="2">#REF!</definedName>
    <definedName name="a" localSheetId="13">#REF!</definedName>
    <definedName name="a" localSheetId="9">#REF!</definedName>
    <definedName name="a" localSheetId="18">#REF!</definedName>
    <definedName name="a" localSheetId="21">#REF!</definedName>
    <definedName name="a" localSheetId="60">#REF!</definedName>
    <definedName name="a" localSheetId="61">#REF!</definedName>
    <definedName name="a" localSheetId="54">#REF!</definedName>
    <definedName name="a" localSheetId="55">#REF!</definedName>
    <definedName name="a" localSheetId="56">#REF!</definedName>
    <definedName name="a" localSheetId="57">#REF!</definedName>
    <definedName name="a" localSheetId="58">#REF!</definedName>
    <definedName name="a" localSheetId="35">#REF!</definedName>
    <definedName name="a" localSheetId="36">#REF!</definedName>
    <definedName name="a" localSheetId="39">#REF!</definedName>
    <definedName name="a" localSheetId="40">#REF!</definedName>
    <definedName name="a" localSheetId="41">#REF!</definedName>
    <definedName name="a" localSheetId="42">#REF!</definedName>
    <definedName name="a" localSheetId="37">#REF!</definedName>
    <definedName name="a" localSheetId="43">#REF!</definedName>
    <definedName name="a" localSheetId="44">#REF!</definedName>
    <definedName name="a" localSheetId="45">#REF!</definedName>
    <definedName name="a" localSheetId="46">#REF!</definedName>
    <definedName name="a" localSheetId="38">#REF!</definedName>
    <definedName name="a" localSheetId="47">#REF!</definedName>
    <definedName name="a" localSheetId="48">#REF!</definedName>
    <definedName name="a" localSheetId="49">#REF!</definedName>
    <definedName name="a" localSheetId="50">#REF!</definedName>
    <definedName name="a" localSheetId="51">#REF!</definedName>
    <definedName name="a" localSheetId="52">#REF!</definedName>
    <definedName name="a" localSheetId="27">#REF!</definedName>
    <definedName name="a" localSheetId="28">#REF!</definedName>
    <definedName name="a" localSheetId="29">#REF!</definedName>
    <definedName name="a" localSheetId="0">#REF!</definedName>
    <definedName name="a" localSheetId="1">#REF!</definedName>
    <definedName name="a">#REF!</definedName>
    <definedName name="Accounts">Account!$A$2:$C$333</definedName>
    <definedName name="ASDF" localSheetId="62">#REF!</definedName>
    <definedName name="ASDF" localSheetId="31">#REF!</definedName>
    <definedName name="ASDF" localSheetId="32">#REF!</definedName>
    <definedName name="ASDF" localSheetId="26">#REF!</definedName>
    <definedName name="ASDF" localSheetId="14">#REF!</definedName>
    <definedName name="ASDF" localSheetId="7">#REF!</definedName>
    <definedName name="ASDF" localSheetId="10">#REF!</definedName>
    <definedName name="ASDF" localSheetId="15">#REF!</definedName>
    <definedName name="ASDF" localSheetId="17">#REF!</definedName>
    <definedName name="ASDF" localSheetId="22">#REF!</definedName>
    <definedName name="ASDF" localSheetId="19">#REF!</definedName>
    <definedName name="ASDF" localSheetId="24">#REF!</definedName>
    <definedName name="ASDF" localSheetId="25">#REF!</definedName>
    <definedName name="ASDF" localSheetId="2">#REF!</definedName>
    <definedName name="ASDF" localSheetId="13">#REF!</definedName>
    <definedName name="ASDF" localSheetId="9">#REF!</definedName>
    <definedName name="ASDF" localSheetId="18">#REF!</definedName>
    <definedName name="ASDF" localSheetId="21">#REF!</definedName>
    <definedName name="ASDF" localSheetId="60">#REF!</definedName>
    <definedName name="ASDF" localSheetId="61">#REF!</definedName>
    <definedName name="ASDF" localSheetId="54">#REF!</definedName>
    <definedName name="ASDF" localSheetId="55">#REF!</definedName>
    <definedName name="ASDF" localSheetId="56">#REF!</definedName>
    <definedName name="ASDF" localSheetId="57">#REF!</definedName>
    <definedName name="ASDF" localSheetId="58">#REF!</definedName>
    <definedName name="ASDF" localSheetId="35">#REF!</definedName>
    <definedName name="ASDF" localSheetId="36">#REF!</definedName>
    <definedName name="ASDF" localSheetId="39">#REF!</definedName>
    <definedName name="ASDF" localSheetId="40">#REF!</definedName>
    <definedName name="ASDF" localSheetId="41">#REF!</definedName>
    <definedName name="ASDF" localSheetId="42">#REF!</definedName>
    <definedName name="ASDF" localSheetId="37">#REF!</definedName>
    <definedName name="ASDF" localSheetId="43">#REF!</definedName>
    <definedName name="ASDF" localSheetId="44">#REF!</definedName>
    <definedName name="ASDF" localSheetId="45">#REF!</definedName>
    <definedName name="ASDF" localSheetId="46">#REF!</definedName>
    <definedName name="ASDF" localSheetId="38">#REF!</definedName>
    <definedName name="ASDF" localSheetId="47">#REF!</definedName>
    <definedName name="ASDF" localSheetId="48">#REF!</definedName>
    <definedName name="ASDF" localSheetId="49">#REF!</definedName>
    <definedName name="ASDF" localSheetId="50">#REF!</definedName>
    <definedName name="ASDF" localSheetId="51">#REF!</definedName>
    <definedName name="ASDF" localSheetId="52">#REF!</definedName>
    <definedName name="ASDF" localSheetId="27">#REF!</definedName>
    <definedName name="ASDF" localSheetId="28">#REF!</definedName>
    <definedName name="ASDF" localSheetId="29">#REF!</definedName>
    <definedName name="ASDF" localSheetId="0">#REF!</definedName>
    <definedName name="ASDF" localSheetId="1">#REF!</definedName>
    <definedName name="ASDF">#REF!</definedName>
    <definedName name="Cashier">Account!$F$5:$F$10</definedName>
    <definedName name="Category">Account!$F$26:$F$53</definedName>
    <definedName name="CDJ" localSheetId="62">#REF!</definedName>
    <definedName name="CDJ" localSheetId="31">#REF!</definedName>
    <definedName name="CDJ" localSheetId="32">#REF!</definedName>
    <definedName name="CDJ" localSheetId="26">#REF!</definedName>
    <definedName name="CDJ" localSheetId="14">#REF!</definedName>
    <definedName name="CDJ" localSheetId="7">#REF!</definedName>
    <definedName name="CDJ" localSheetId="10">#REF!</definedName>
    <definedName name="CDJ" localSheetId="15">#REF!</definedName>
    <definedName name="CDJ" localSheetId="17">#REF!</definedName>
    <definedName name="CDJ" localSheetId="22">#REF!</definedName>
    <definedName name="CDJ" localSheetId="19">#REF!</definedName>
    <definedName name="CDJ" localSheetId="24">#REF!</definedName>
    <definedName name="CDJ" localSheetId="25">#REF!</definedName>
    <definedName name="CDJ" localSheetId="2">#REF!</definedName>
    <definedName name="CDJ" localSheetId="13">#REF!</definedName>
    <definedName name="CDJ" localSheetId="9">#REF!</definedName>
    <definedName name="CDJ" localSheetId="18">#REF!</definedName>
    <definedName name="CDJ" localSheetId="21">#REF!</definedName>
    <definedName name="CDJ" localSheetId="60">#REF!</definedName>
    <definedName name="CDJ" localSheetId="61">#REF!</definedName>
    <definedName name="CDJ" localSheetId="54">#REF!</definedName>
    <definedName name="CDJ" localSheetId="55">#REF!</definedName>
    <definedName name="CDJ" localSheetId="56">#REF!</definedName>
    <definedName name="CDJ" localSheetId="57">#REF!</definedName>
    <definedName name="CDJ" localSheetId="58">#REF!</definedName>
    <definedName name="CDJ" localSheetId="35">#REF!</definedName>
    <definedName name="CDJ" localSheetId="36">#REF!</definedName>
    <definedName name="CDJ" localSheetId="39">#REF!</definedName>
    <definedName name="CDJ" localSheetId="40">#REF!</definedName>
    <definedName name="CDJ" localSheetId="41">#REF!</definedName>
    <definedName name="CDJ" localSheetId="42">#REF!</definedName>
    <definedName name="CDJ" localSheetId="37">#REF!</definedName>
    <definedName name="CDJ" localSheetId="43">#REF!</definedName>
    <definedName name="CDJ" localSheetId="44">#REF!</definedName>
    <definedName name="CDJ" localSheetId="45">#REF!</definedName>
    <definedName name="CDJ" localSheetId="46">#REF!</definedName>
    <definedName name="CDJ" localSheetId="38">#REF!</definedName>
    <definedName name="CDJ" localSheetId="47">#REF!</definedName>
    <definedName name="CDJ" localSheetId="48">#REF!</definedName>
    <definedName name="CDJ" localSheetId="49">#REF!</definedName>
    <definedName name="CDJ" localSheetId="50">#REF!</definedName>
    <definedName name="CDJ" localSheetId="51">#REF!</definedName>
    <definedName name="CDJ" localSheetId="52">#REF!</definedName>
    <definedName name="CDJ" localSheetId="27">#REF!</definedName>
    <definedName name="CDJ" localSheetId="28">#REF!</definedName>
    <definedName name="CDJ" localSheetId="29">#REF!</definedName>
    <definedName name="CDJ" localSheetId="0">#REF!</definedName>
    <definedName name="CDJ" localSheetId="1">#REF!</definedName>
    <definedName name="CDJ">#REF!</definedName>
    <definedName name="Code">Account!$A$2:$D$333</definedName>
    <definedName name="Office">Account!$G$5:$G$10</definedName>
    <definedName name="_xlnm.Print_Area" localSheetId="5">Account!$A$143:$D$147</definedName>
    <definedName name="_xlnm.Print_Area" localSheetId="11">'CkDJ'!$A$2:$P$493</definedName>
    <definedName name="_xlnm.Print_Area" localSheetId="7">'CRDJ'!$A:$K</definedName>
    <definedName name="_xlnm.Print_Area" localSheetId="10">CRDJournal!$A:$R</definedName>
    <definedName name="_xlnm.Print_Area" localSheetId="15">'CsDJ'!$A$1:$P$58</definedName>
    <definedName name="_xlnm.Print_Area" localSheetId="17">CSDJournal!$A:$R</definedName>
    <definedName name="_xlnm.Print_Area" localSheetId="13">'JEV Check'!$A$1:$V$69</definedName>
    <definedName name="_xlnm.Print_Area" localSheetId="21">'JEV GJ'!$A$1:$V$62</definedName>
    <definedName name="_xlnm.Print_Area" localSheetId="53">'REVGEN (Overall)'!$A:$Q</definedName>
    <definedName name="_xlnm.Print_Area" localSheetId="28">SLperSC1!$A$1:$H$31</definedName>
    <definedName name="_xlnm.Print_Area" localSheetId="1">'TB (NEW)'!$A:$G</definedName>
    <definedName name="_xlnm.Print_Titles" localSheetId="5">Account!$1:$1</definedName>
    <definedName name="_xlnm.Print_Titles" localSheetId="3">BS!$2:$10</definedName>
    <definedName name="_xlnm.Print_Titles" localSheetId="30">BUR!$1:$12</definedName>
    <definedName name="_xlnm.Print_Titles" localSheetId="31">'BUR (2)'!$1:$12</definedName>
    <definedName name="_xlnm.Print_Titles" localSheetId="32">'BUR (VIG zero out)'!$1:$12</definedName>
    <definedName name="_xlnm.Print_Titles" localSheetId="11">'CkDJ'!$1:$2</definedName>
    <definedName name="_xlnm.Print_Titles" localSheetId="14">CkDJournal!$1:$10</definedName>
    <definedName name="_xlnm.Print_Titles" localSheetId="7">'CRDJ'!$1:$2</definedName>
    <definedName name="_xlnm.Print_Titles" localSheetId="10">CRDJournal!$1:$11</definedName>
    <definedName name="_xlnm.Print_Titles" localSheetId="15">'CsDJ'!$1:$2</definedName>
    <definedName name="_xlnm.Print_Titles" localSheetId="17">CSDJournal!$1:$12</definedName>
    <definedName name="_xlnm.Print_Titles" localSheetId="22">'General Ledger'!$1:$5</definedName>
    <definedName name="_xlnm.Print_Titles" localSheetId="19">GJ!$3:$9</definedName>
    <definedName name="_xlnm.Print_Titles" localSheetId="23">GL!$1:$5</definedName>
    <definedName name="_xlnm.Print_Titles" localSheetId="24">GLperSC1!$1:$5</definedName>
    <definedName name="_xlnm.Print_Titles" localSheetId="25">GLperSC2!$1:$5</definedName>
    <definedName name="_xlnm.Print_Titles" localSheetId="2">IES!$2:$9</definedName>
    <definedName name="_xlnm.Print_Titles" localSheetId="59">'Monthly Cash Program Ofc'!$A:$B,'Monthly Cash Program Ofc'!$1:$7</definedName>
    <definedName name="_xlnm.Print_Titles" localSheetId="60">'Monthly Cash Program Sort'!$A:$B,'Monthly Cash Program Sort'!$1:$7</definedName>
    <definedName name="_xlnm.Print_Titles" localSheetId="61">'Monthly Cash Program Summary'!$A:$B,'Monthly Cash Program Summary'!$1:$7</definedName>
    <definedName name="_xlnm.Print_Titles" localSheetId="54">'Rev Exp (1)'!$1:$8</definedName>
    <definedName name="_xlnm.Print_Titles" localSheetId="55">'Rev Exp (2)'!$1:$8</definedName>
    <definedName name="_xlnm.Print_Titles" localSheetId="56">'Rev Exp (3)'!$1:$8</definedName>
    <definedName name="_xlnm.Print_Titles" localSheetId="57">'Rev Exp (4)'!$1:$8</definedName>
    <definedName name="_xlnm.Print_Titles" localSheetId="58">'RevExp RIO'!$1:$8</definedName>
    <definedName name="_xlnm.Print_Titles" localSheetId="35">'REVGEN (1)'!$1:$7</definedName>
    <definedName name="_xlnm.Print_Titles" localSheetId="36">'REVGEN (2)'!$1:$7</definedName>
    <definedName name="_xlnm.Print_Titles" localSheetId="39">'REVGEN (2)(1)'!$1:$7</definedName>
    <definedName name="_xlnm.Print_Titles" localSheetId="40">'REVGEN (2)(2)'!$1:$7</definedName>
    <definedName name="_xlnm.Print_Titles" localSheetId="41">'REVGEN (2)(3)'!$1:$7</definedName>
    <definedName name="_xlnm.Print_Titles" localSheetId="42">'REVGEN (2)(4)'!$1:$7</definedName>
    <definedName name="_xlnm.Print_Titles" localSheetId="37">'REVGEN (3)'!$1:$7</definedName>
    <definedName name="_xlnm.Print_Titles" localSheetId="43">'REVGEN (3)(1)'!$1:$7</definedName>
    <definedName name="_xlnm.Print_Titles" localSheetId="44">'REVGEN (3)(2)'!$1:$7</definedName>
    <definedName name="_xlnm.Print_Titles" localSheetId="45">'REVGEN (3)(3)'!$1:$7</definedName>
    <definedName name="_xlnm.Print_Titles" localSheetId="46">'REVGEN (3)(4)'!$1:$7</definedName>
    <definedName name="_xlnm.Print_Titles" localSheetId="38">'REVGEN (4)'!$1:$7</definedName>
    <definedName name="_xlnm.Print_Titles" localSheetId="47">'REVGEN (4)(1)'!$1:$7</definedName>
    <definedName name="_xlnm.Print_Titles" localSheetId="48">'REVGEN (4)(2)'!$1:$7</definedName>
    <definedName name="_xlnm.Print_Titles" localSheetId="49">'REVGEN (4)(3)'!$1:$7</definedName>
    <definedName name="_xlnm.Print_Titles" localSheetId="50">'REVGEN (4)(4)'!$1:$7</definedName>
    <definedName name="_xlnm.Print_Titles" localSheetId="51">'REVGEN (4)(5)'!$1:$7</definedName>
    <definedName name="_xlnm.Print_Titles" localSheetId="52">'REVGEN (Summary)'!$1:$7</definedName>
    <definedName name="_xlnm.Print_Titles" localSheetId="27">'SL Balances'!$1:$5</definedName>
    <definedName name="_xlnm.Print_Titles" localSheetId="28">SLperSC1!$1:$5</definedName>
    <definedName name="_xlnm.Print_Titles" localSheetId="29">SLperSC2!$1:$5</definedName>
    <definedName name="_xlnm.Print_Titles" localSheetId="33">'SOEI (as of)'!$A:$D,'SOEI (as of)'!$1:$6</definedName>
    <definedName name="_xlnm.Print_Titles" localSheetId="0">TB!$1:$9</definedName>
    <definedName name="_xlnm.Print_Titles" localSheetId="1">'TB (NEW)'!$1:$9</definedName>
    <definedName name="SortCode">Account!$F$26:$G$51</definedName>
  </definedNames>
  <calcPr calcId="191029" fullPrecision="0"/>
  <pivotCaches>
    <pivotCache cacheId="0" r:id="rId65"/>
    <pivotCache cacheId="1" r:id="rId66"/>
    <pivotCache cacheId="2" r:id="rId67"/>
    <pivotCache cacheId="3" r:id="rId6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5" i="318" l="1"/>
  <c r="H136" i="318"/>
  <c r="H137" i="318"/>
  <c r="H138" i="318"/>
  <c r="H120" i="318"/>
  <c r="H121" i="318"/>
  <c r="H122" i="318"/>
  <c r="H123" i="318"/>
  <c r="K575" i="310"/>
  <c r="K576" i="310"/>
  <c r="K531" i="310"/>
  <c r="K532" i="310"/>
  <c r="H116" i="318"/>
  <c r="H117" i="318"/>
  <c r="H118" i="318"/>
  <c r="H119" i="318"/>
  <c r="H124" i="318"/>
  <c r="H125" i="318"/>
  <c r="H126" i="318"/>
  <c r="K505" i="310"/>
  <c r="K506" i="310"/>
  <c r="K507" i="310"/>
  <c r="K508" i="310"/>
  <c r="K509" i="310"/>
  <c r="K510" i="310"/>
  <c r="K511" i="310"/>
  <c r="K512" i="310"/>
  <c r="K513" i="310"/>
  <c r="K514" i="310"/>
  <c r="K515" i="310"/>
  <c r="K516" i="310"/>
  <c r="K517" i="310"/>
  <c r="K518" i="310"/>
  <c r="K519" i="310"/>
  <c r="K520" i="310"/>
  <c r="K521" i="310"/>
  <c r="K522" i="310"/>
  <c r="K523" i="310"/>
  <c r="K524" i="310"/>
  <c r="K525" i="310"/>
  <c r="K526" i="310"/>
  <c r="K527" i="310"/>
  <c r="K528" i="310"/>
  <c r="K529" i="310"/>
  <c r="K530" i="310"/>
  <c r="K533" i="310"/>
  <c r="K534" i="310"/>
  <c r="K535" i="310"/>
  <c r="K536" i="310"/>
  <c r="K537" i="310"/>
  <c r="K538" i="310"/>
  <c r="K539" i="310"/>
  <c r="K540" i="310"/>
  <c r="K541" i="310"/>
  <c r="K542" i="310"/>
  <c r="K543" i="310"/>
  <c r="K544" i="310"/>
  <c r="K545" i="310"/>
  <c r="K546" i="310"/>
  <c r="K547" i="310"/>
  <c r="K548" i="310"/>
  <c r="K549" i="310"/>
  <c r="K550" i="310"/>
  <c r="K551" i="310"/>
  <c r="K552" i="310"/>
  <c r="K553" i="310"/>
  <c r="K554" i="310"/>
  <c r="K555" i="310"/>
  <c r="K556" i="310"/>
  <c r="K557" i="310"/>
  <c r="K558" i="310"/>
  <c r="K559" i="310"/>
  <c r="K560" i="310"/>
  <c r="K561" i="310"/>
  <c r="K562" i="310"/>
  <c r="K563" i="310"/>
  <c r="K564" i="310"/>
  <c r="K565" i="310"/>
  <c r="K566" i="310"/>
  <c r="K567" i="310"/>
  <c r="K568" i="310"/>
  <c r="K569" i="310"/>
  <c r="K570" i="310"/>
  <c r="K571" i="310"/>
  <c r="K572" i="310"/>
  <c r="K573" i="310"/>
  <c r="K574" i="310"/>
  <c r="K577" i="310"/>
  <c r="K578" i="310"/>
  <c r="K579" i="310"/>
  <c r="K580" i="310"/>
  <c r="K581" i="310"/>
  <c r="K582" i="310"/>
  <c r="K583" i="310"/>
  <c r="K584" i="310"/>
  <c r="K585" i="310"/>
  <c r="K586" i="310"/>
  <c r="K587" i="310"/>
  <c r="K588" i="310"/>
  <c r="K589" i="310"/>
  <c r="K590" i="310"/>
  <c r="K591" i="310"/>
  <c r="H112" i="318"/>
  <c r="H113" i="318"/>
  <c r="H114" i="318"/>
  <c r="H115" i="318"/>
  <c r="H127" i="318"/>
  <c r="H128" i="318"/>
  <c r="H129" i="318"/>
  <c r="H130" i="318"/>
  <c r="H131" i="318"/>
  <c r="H132" i="318"/>
  <c r="H133" i="318"/>
  <c r="H134" i="318"/>
  <c r="K3" i="310"/>
  <c r="K4" i="310"/>
  <c r="K5" i="310"/>
  <c r="K6" i="310"/>
  <c r="K7" i="310"/>
  <c r="K8" i="310"/>
  <c r="K9" i="310"/>
  <c r="K10" i="310"/>
  <c r="K11" i="310"/>
  <c r="K12" i="310"/>
  <c r="K13" i="310"/>
  <c r="K14" i="310"/>
  <c r="K15" i="310"/>
  <c r="K16" i="310"/>
  <c r="K17" i="310"/>
  <c r="K18" i="310"/>
  <c r="K19" i="310"/>
  <c r="K20" i="310"/>
  <c r="K21" i="310"/>
  <c r="K22" i="310"/>
  <c r="K23" i="310"/>
  <c r="K24" i="310"/>
  <c r="K25" i="310"/>
  <c r="K26" i="310"/>
  <c r="K27" i="310"/>
  <c r="K28" i="310"/>
  <c r="K29" i="310"/>
  <c r="K30" i="310"/>
  <c r="K31" i="310"/>
  <c r="K32" i="310"/>
  <c r="K33" i="310"/>
  <c r="K34" i="310"/>
  <c r="K35" i="310"/>
  <c r="K36" i="310"/>
  <c r="K37" i="310"/>
  <c r="K38" i="310"/>
  <c r="K39" i="310"/>
  <c r="K40" i="310"/>
  <c r="K41" i="310"/>
  <c r="K42" i="310"/>
  <c r="K43" i="310"/>
  <c r="K44" i="310"/>
  <c r="K45" i="310"/>
  <c r="K46" i="310"/>
  <c r="K47" i="310"/>
  <c r="K48" i="310"/>
  <c r="K49" i="310"/>
  <c r="K50" i="310"/>
  <c r="K51" i="310"/>
  <c r="K52" i="310"/>
  <c r="K53" i="310"/>
  <c r="K54" i="310"/>
  <c r="K55" i="310"/>
  <c r="K56" i="310"/>
  <c r="K57" i="310"/>
  <c r="K58" i="310"/>
  <c r="K59" i="310"/>
  <c r="K60" i="310"/>
  <c r="K61" i="310"/>
  <c r="K62" i="310"/>
  <c r="K63" i="310"/>
  <c r="K64" i="310"/>
  <c r="K65" i="310"/>
  <c r="K66" i="310"/>
  <c r="K67" i="310"/>
  <c r="K68" i="310"/>
  <c r="K69" i="310"/>
  <c r="K70" i="310"/>
  <c r="K71" i="310"/>
  <c r="K72" i="310"/>
  <c r="K73" i="310"/>
  <c r="K74" i="310"/>
  <c r="K75" i="310"/>
  <c r="K76" i="310"/>
  <c r="K77" i="310"/>
  <c r="K78" i="310"/>
  <c r="K79" i="310"/>
  <c r="K80" i="310"/>
  <c r="K81" i="310"/>
  <c r="K82" i="310"/>
  <c r="K83" i="310"/>
  <c r="K84" i="310"/>
  <c r="K85" i="310"/>
  <c r="K86" i="310"/>
  <c r="K87" i="310"/>
  <c r="K88" i="310"/>
  <c r="K89" i="310"/>
  <c r="K90" i="310"/>
  <c r="K91" i="310"/>
  <c r="K92" i="310"/>
  <c r="K93" i="310"/>
  <c r="K94" i="310"/>
  <c r="K95" i="310"/>
  <c r="K96" i="310"/>
  <c r="K97" i="310"/>
  <c r="K98" i="310"/>
  <c r="K99" i="310"/>
  <c r="K100" i="310"/>
  <c r="K101" i="310"/>
  <c r="K102" i="310"/>
  <c r="K103" i="310"/>
  <c r="K104" i="310"/>
  <c r="K105" i="310"/>
  <c r="K106" i="310"/>
  <c r="K107" i="310"/>
  <c r="K108" i="310"/>
  <c r="K109" i="310"/>
  <c r="K110" i="310"/>
  <c r="K111" i="310"/>
  <c r="K112" i="310"/>
  <c r="K113" i="310"/>
  <c r="K114" i="310"/>
  <c r="K115" i="310"/>
  <c r="K116" i="310"/>
  <c r="K117" i="310"/>
  <c r="K118" i="310"/>
  <c r="K119" i="310"/>
  <c r="K120" i="310"/>
  <c r="K121" i="310"/>
  <c r="K122" i="310"/>
  <c r="K123" i="310"/>
  <c r="K124" i="310"/>
  <c r="K125" i="310"/>
  <c r="K126" i="310"/>
  <c r="K127" i="310"/>
  <c r="K128" i="310"/>
  <c r="K129" i="310"/>
  <c r="K130" i="310"/>
  <c r="K131" i="310"/>
  <c r="K132" i="310"/>
  <c r="K133" i="310"/>
  <c r="K134" i="310"/>
  <c r="K135" i="310"/>
  <c r="K136" i="310"/>
  <c r="K137" i="310"/>
  <c r="K138" i="310"/>
  <c r="K139" i="310"/>
  <c r="K140" i="310"/>
  <c r="K141" i="310"/>
  <c r="K142" i="310"/>
  <c r="K143" i="310"/>
  <c r="K144" i="310"/>
  <c r="K145" i="310"/>
  <c r="K146" i="310"/>
  <c r="K147" i="310"/>
  <c r="K148" i="310"/>
  <c r="K149" i="310"/>
  <c r="K150" i="310"/>
  <c r="K151" i="310"/>
  <c r="K152" i="310"/>
  <c r="K153" i="310"/>
  <c r="K154" i="310"/>
  <c r="K155" i="310"/>
  <c r="K156" i="310"/>
  <c r="K157" i="310"/>
  <c r="K158" i="310"/>
  <c r="K159" i="310"/>
  <c r="K160" i="310"/>
  <c r="K161" i="310"/>
  <c r="K162" i="310"/>
  <c r="K163" i="310"/>
  <c r="K164" i="310"/>
  <c r="K165" i="310"/>
  <c r="K166" i="310"/>
  <c r="K167" i="310"/>
  <c r="K168" i="310"/>
  <c r="K169" i="310"/>
  <c r="K170" i="310"/>
  <c r="K171" i="310"/>
  <c r="K172" i="310"/>
  <c r="K173" i="310"/>
  <c r="K174" i="310"/>
  <c r="K175" i="310"/>
  <c r="K176" i="310"/>
  <c r="K177" i="310"/>
  <c r="K178" i="310"/>
  <c r="K179" i="310"/>
  <c r="K180" i="310"/>
  <c r="K181" i="310"/>
  <c r="K182" i="310"/>
  <c r="K183" i="310"/>
  <c r="K184" i="310"/>
  <c r="K185" i="310"/>
  <c r="K186" i="310"/>
  <c r="K187" i="310"/>
  <c r="K188" i="310"/>
  <c r="K189" i="310"/>
  <c r="K190" i="310"/>
  <c r="K191" i="310"/>
  <c r="K192" i="310"/>
  <c r="K193" i="310"/>
  <c r="K194" i="310"/>
  <c r="K195" i="310"/>
  <c r="K196" i="310"/>
  <c r="K197" i="310"/>
  <c r="K198" i="310"/>
  <c r="K199" i="310"/>
  <c r="K200" i="310"/>
  <c r="K201" i="310"/>
  <c r="K202" i="310"/>
  <c r="K203" i="310"/>
  <c r="K204" i="310"/>
  <c r="K205" i="310"/>
  <c r="K206" i="310"/>
  <c r="K207" i="310"/>
  <c r="K208" i="310"/>
  <c r="K209" i="310"/>
  <c r="K210" i="310"/>
  <c r="K211" i="310"/>
  <c r="K212" i="310"/>
  <c r="K213" i="310"/>
  <c r="K214" i="310"/>
  <c r="K215" i="310"/>
  <c r="K216" i="310"/>
  <c r="K217" i="310"/>
  <c r="K218" i="310"/>
  <c r="K219" i="310"/>
  <c r="K220" i="310"/>
  <c r="K221" i="310"/>
  <c r="K222" i="310"/>
  <c r="K223" i="310"/>
  <c r="K224" i="310"/>
  <c r="K225" i="310"/>
  <c r="K226" i="310"/>
  <c r="K227" i="310"/>
  <c r="K228" i="310"/>
  <c r="K229" i="310"/>
  <c r="K230" i="310"/>
  <c r="K231" i="310"/>
  <c r="K232" i="310"/>
  <c r="K233" i="310"/>
  <c r="K234" i="310"/>
  <c r="K235" i="310"/>
  <c r="K236" i="310"/>
  <c r="K237" i="310"/>
  <c r="K238" i="310"/>
  <c r="K239" i="310"/>
  <c r="K240" i="310"/>
  <c r="K241" i="310"/>
  <c r="K242" i="310"/>
  <c r="K243" i="310"/>
  <c r="K244" i="310"/>
  <c r="K245" i="310"/>
  <c r="K246" i="310"/>
  <c r="K247" i="310"/>
  <c r="K248" i="310"/>
  <c r="K249" i="310"/>
  <c r="K250" i="310"/>
  <c r="K251" i="310"/>
  <c r="K252" i="310"/>
  <c r="K253" i="310"/>
  <c r="K254" i="310"/>
  <c r="K255" i="310"/>
  <c r="K256" i="310"/>
  <c r="K257" i="310"/>
  <c r="K258" i="310"/>
  <c r="K259" i="310"/>
  <c r="K260" i="310"/>
  <c r="K261" i="310"/>
  <c r="K262" i="310"/>
  <c r="K263" i="310"/>
  <c r="K264" i="310"/>
  <c r="K265" i="310"/>
  <c r="K266" i="310"/>
  <c r="K267" i="310"/>
  <c r="K268" i="310"/>
  <c r="K269" i="310"/>
  <c r="K270" i="310"/>
  <c r="K271" i="310"/>
  <c r="K272" i="310"/>
  <c r="K273" i="310"/>
  <c r="K274" i="310"/>
  <c r="K275" i="310"/>
  <c r="K276" i="310"/>
  <c r="K277" i="310"/>
  <c r="K278" i="310"/>
  <c r="K279" i="310"/>
  <c r="K280" i="310"/>
  <c r="K281" i="310"/>
  <c r="K282" i="310"/>
  <c r="K283" i="310"/>
  <c r="K284" i="310"/>
  <c r="K285" i="310"/>
  <c r="K286" i="310"/>
  <c r="K287" i="310"/>
  <c r="K288" i="310"/>
  <c r="K289" i="310"/>
  <c r="K290" i="310"/>
  <c r="K291" i="310"/>
  <c r="K292" i="310"/>
  <c r="K293" i="310"/>
  <c r="K294" i="310"/>
  <c r="K295" i="310"/>
  <c r="K296" i="310"/>
  <c r="K297" i="310"/>
  <c r="K298" i="310"/>
  <c r="K299" i="310"/>
  <c r="K300" i="310"/>
  <c r="K301" i="310"/>
  <c r="K302" i="310"/>
  <c r="K303" i="310"/>
  <c r="K304" i="310"/>
  <c r="K305" i="310"/>
  <c r="K306" i="310"/>
  <c r="K307" i="310"/>
  <c r="K308" i="310"/>
  <c r="K309" i="310"/>
  <c r="K310" i="310"/>
  <c r="K311" i="310"/>
  <c r="K312" i="310"/>
  <c r="K313" i="310"/>
  <c r="K314" i="310"/>
  <c r="K315" i="310"/>
  <c r="K316" i="310"/>
  <c r="K317" i="310"/>
  <c r="K318" i="310"/>
  <c r="K319" i="310"/>
  <c r="K320" i="310"/>
  <c r="K321" i="310"/>
  <c r="K322" i="310"/>
  <c r="K323" i="310"/>
  <c r="K324" i="310"/>
  <c r="K325" i="310"/>
  <c r="K326" i="310"/>
  <c r="K327" i="310"/>
  <c r="K328" i="310"/>
  <c r="K329" i="310"/>
  <c r="K330" i="310"/>
  <c r="K331" i="310"/>
  <c r="K332" i="310"/>
  <c r="K333" i="310"/>
  <c r="K334" i="310"/>
  <c r="K335" i="310"/>
  <c r="K336" i="310"/>
  <c r="K337" i="310"/>
  <c r="K338" i="310"/>
  <c r="K339" i="310"/>
  <c r="K340" i="310"/>
  <c r="K341" i="310"/>
  <c r="K342" i="310"/>
  <c r="K343" i="310"/>
  <c r="K344" i="310"/>
  <c r="K345" i="310"/>
  <c r="K346" i="310"/>
  <c r="K347" i="310"/>
  <c r="K348" i="310"/>
  <c r="K349" i="310"/>
  <c r="K350" i="310"/>
  <c r="K351" i="310"/>
  <c r="K352" i="310"/>
  <c r="K353" i="310"/>
  <c r="K354" i="310"/>
  <c r="K355" i="310"/>
  <c r="K356" i="310"/>
  <c r="K357" i="310"/>
  <c r="K358" i="310"/>
  <c r="K359" i="310"/>
  <c r="K360" i="310"/>
  <c r="K361" i="310"/>
  <c r="K362" i="310"/>
  <c r="K363" i="310"/>
  <c r="K364" i="310"/>
  <c r="K365" i="310"/>
  <c r="K366" i="310"/>
  <c r="K367" i="310"/>
  <c r="K368" i="310"/>
  <c r="K369" i="310"/>
  <c r="K370" i="310"/>
  <c r="K371" i="310"/>
  <c r="K372" i="310"/>
  <c r="K373" i="310"/>
  <c r="K374" i="310"/>
  <c r="K375" i="310"/>
  <c r="K376" i="310"/>
  <c r="K377" i="310"/>
  <c r="K378" i="310"/>
  <c r="K379" i="310"/>
  <c r="K380" i="310"/>
  <c r="K381" i="310"/>
  <c r="K382" i="310"/>
  <c r="K383" i="310"/>
  <c r="K384" i="310"/>
  <c r="K385" i="310"/>
  <c r="K386" i="310"/>
  <c r="K387" i="310"/>
  <c r="K388" i="310"/>
  <c r="K389" i="310"/>
  <c r="K390" i="310"/>
  <c r="K391" i="310"/>
  <c r="K392" i="310"/>
  <c r="K393" i="310"/>
  <c r="K394" i="310"/>
  <c r="K395" i="310"/>
  <c r="K396" i="310"/>
  <c r="K397" i="310"/>
  <c r="K398" i="310"/>
  <c r="K399" i="310"/>
  <c r="K400" i="310"/>
  <c r="K401" i="310"/>
  <c r="K402" i="310"/>
  <c r="K403" i="310"/>
  <c r="K404" i="310"/>
  <c r="K405" i="310"/>
  <c r="K406" i="310"/>
  <c r="K407" i="310"/>
  <c r="K408" i="310"/>
  <c r="K409" i="310"/>
  <c r="K410" i="310"/>
  <c r="K411" i="310"/>
  <c r="K412" i="310"/>
  <c r="K413" i="310"/>
  <c r="K414" i="310"/>
  <c r="K415" i="310"/>
  <c r="K416" i="310"/>
  <c r="K417" i="310"/>
  <c r="K418" i="310"/>
  <c r="K419" i="310"/>
  <c r="K420" i="310"/>
  <c r="K421" i="310"/>
  <c r="K422" i="310"/>
  <c r="K423" i="310"/>
  <c r="K424" i="310"/>
  <c r="K425" i="310"/>
  <c r="K426" i="310"/>
  <c r="K427" i="310"/>
  <c r="K428" i="310"/>
  <c r="K429" i="310"/>
  <c r="K430" i="310"/>
  <c r="K431" i="310"/>
  <c r="K432" i="310"/>
  <c r="K433" i="310"/>
  <c r="K434" i="310"/>
  <c r="K435" i="310"/>
  <c r="K436" i="310"/>
  <c r="K437" i="310"/>
  <c r="K438" i="310"/>
  <c r="K439" i="310"/>
  <c r="K440" i="310"/>
  <c r="K441" i="310"/>
  <c r="K442" i="310"/>
  <c r="K443" i="310"/>
  <c r="K444" i="310"/>
  <c r="K445" i="310"/>
  <c r="K446" i="310"/>
  <c r="K447" i="310"/>
  <c r="K448" i="310"/>
  <c r="K449" i="310"/>
  <c r="K450" i="310"/>
  <c r="K451" i="310"/>
  <c r="K452" i="310"/>
  <c r="K453" i="310"/>
  <c r="K454" i="310"/>
  <c r="K455" i="310"/>
  <c r="K456" i="310"/>
  <c r="K457" i="310"/>
  <c r="K458" i="310"/>
  <c r="K459" i="310"/>
  <c r="K460" i="310"/>
  <c r="K461" i="310"/>
  <c r="K462" i="310"/>
  <c r="K463" i="310"/>
  <c r="K464" i="310"/>
  <c r="K465" i="310"/>
  <c r="K466" i="310"/>
  <c r="K467" i="310"/>
  <c r="K468" i="310"/>
  <c r="K469" i="310"/>
  <c r="K470" i="310"/>
  <c r="K471" i="310"/>
  <c r="K472" i="310"/>
  <c r="K473" i="310"/>
  <c r="K474" i="310"/>
  <c r="K475" i="310"/>
  <c r="K476" i="310"/>
  <c r="K477" i="310"/>
  <c r="K478" i="310"/>
  <c r="K479" i="310"/>
  <c r="K480" i="310"/>
  <c r="K481" i="310"/>
  <c r="K482" i="310"/>
  <c r="K483" i="310"/>
  <c r="K484" i="310"/>
  <c r="K485" i="310"/>
  <c r="K486" i="310"/>
  <c r="K487" i="310"/>
  <c r="K488" i="310"/>
  <c r="K489" i="310"/>
  <c r="K490" i="310"/>
  <c r="K491" i="310"/>
  <c r="K492" i="310"/>
  <c r="K493" i="310"/>
  <c r="K494" i="310"/>
  <c r="K495" i="310"/>
  <c r="K496" i="310"/>
  <c r="K497" i="310"/>
  <c r="K498" i="310"/>
  <c r="K499" i="310"/>
  <c r="K500" i="310"/>
  <c r="K501" i="310"/>
  <c r="K502" i="310"/>
  <c r="K503" i="310"/>
  <c r="K504" i="310"/>
  <c r="H103" i="318"/>
  <c r="H104" i="318"/>
  <c r="H100" i="318"/>
  <c r="H101" i="318"/>
  <c r="H102" i="318"/>
  <c r="H105" i="318"/>
  <c r="H106" i="318"/>
  <c r="H107" i="318"/>
  <c r="H96" i="318"/>
  <c r="H97" i="318"/>
  <c r="H98" i="318"/>
  <c r="H99" i="318"/>
  <c r="H108" i="318"/>
  <c r="H86" i="318"/>
  <c r="H87" i="318"/>
  <c r="H88" i="318"/>
  <c r="H89" i="318"/>
  <c r="H90" i="318"/>
  <c r="H91" i="318"/>
  <c r="H92" i="318"/>
  <c r="H93" i="318"/>
  <c r="H94" i="318"/>
  <c r="H95" i="318"/>
  <c r="H80" i="318"/>
  <c r="H81" i="318"/>
  <c r="H82" i="318"/>
  <c r="H83" i="318"/>
  <c r="H84" i="318"/>
  <c r="H72" i="318"/>
  <c r="H73" i="318"/>
  <c r="H74" i="318"/>
  <c r="H75" i="318"/>
  <c r="H76" i="318"/>
  <c r="H77" i="318"/>
  <c r="H78" i="318"/>
  <c r="I58" i="341"/>
  <c r="M228" i="310"/>
  <c r="H41" i="318"/>
  <c r="H40" i="318"/>
  <c r="A52" i="319"/>
  <c r="F52" i="319"/>
  <c r="I52" i="319"/>
  <c r="H15" i="318"/>
  <c r="H16" i="318"/>
  <c r="H17" i="318"/>
  <c r="H18" i="318"/>
  <c r="H19" i="318"/>
  <c r="H20" i="318"/>
  <c r="H21" i="318"/>
  <c r="H22" i="318"/>
  <c r="H23" i="318"/>
  <c r="L13" i="331" a="1"/>
  <c r="L13" i="331" s="1"/>
  <c r="L14" i="331" a="1"/>
  <c r="L14" i="331"/>
  <c r="H111" i="318"/>
  <c r="H139" i="318"/>
  <c r="H10" i="318"/>
  <c r="H11" i="318"/>
  <c r="H12" i="318"/>
  <c r="H13" i="318"/>
  <c r="H14" i="318"/>
  <c r="H24" i="318"/>
  <c r="H25" i="318"/>
  <c r="H26" i="318"/>
  <c r="H27" i="318"/>
  <c r="H28" i="318"/>
  <c r="H29" i="318"/>
  <c r="H38" i="318"/>
  <c r="H39" i="318"/>
  <c r="H42" i="318"/>
  <c r="H43" i="318"/>
  <c r="H44" i="318"/>
  <c r="H45" i="318"/>
  <c r="H46" i="318"/>
  <c r="H47" i="318"/>
  <c r="H48" i="318"/>
  <c r="H49" i="318"/>
  <c r="H50" i="318"/>
  <c r="H51" i="318"/>
  <c r="H52" i="318"/>
  <c r="H53" i="318"/>
  <c r="H54" i="318"/>
  <c r="H55" i="318"/>
  <c r="H56" i="318"/>
  <c r="H57" i="318"/>
  <c r="H58" i="318"/>
  <c r="H59" i="318"/>
  <c r="H60" i="318"/>
  <c r="H61" i="318"/>
  <c r="H62" i="318"/>
  <c r="H63" i="318"/>
  <c r="H64" i="318"/>
  <c r="H65" i="318"/>
  <c r="H66" i="318"/>
  <c r="H67" i="318"/>
  <c r="H68" i="318"/>
  <c r="H69" i="318"/>
  <c r="H70" i="318"/>
  <c r="H71" i="318"/>
  <c r="H79" i="318"/>
  <c r="H85" i="318"/>
  <c r="H109" i="318"/>
  <c r="H110" i="318"/>
  <c r="L33" i="341" a="1"/>
  <c r="L33" i="341" s="1"/>
  <c r="O14" i="341" a="1"/>
  <c r="O14" i="341" s="1"/>
  <c r="S14" i="341" s="1"/>
  <c r="O15" i="341" a="1"/>
  <c r="O15" i="341" s="1"/>
  <c r="S15" i="341" s="1"/>
  <c r="O16" i="341" a="1"/>
  <c r="O16" i="341" s="1"/>
  <c r="S16" i="341" s="1"/>
  <c r="O17" i="341" a="1"/>
  <c r="O17" i="341" s="1"/>
  <c r="S17" i="341" s="1"/>
  <c r="O18" i="341" a="1"/>
  <c r="O18" i="341" s="1"/>
  <c r="S18" i="341" s="1"/>
  <c r="O19" i="341" a="1"/>
  <c r="O19" i="341" s="1"/>
  <c r="S19" i="341" s="1"/>
  <c r="O20" i="341" a="1"/>
  <c r="O20" i="341" s="1"/>
  <c r="S20" i="341" s="1"/>
  <c r="O21" i="341" a="1"/>
  <c r="O21" i="341" s="1"/>
  <c r="S21" i="341" s="1"/>
  <c r="O22" i="341" a="1"/>
  <c r="O22" i="341" s="1"/>
  <c r="S22" i="341" s="1"/>
  <c r="O23" i="341" a="1"/>
  <c r="O23" i="341" s="1"/>
  <c r="S23" i="341" s="1"/>
  <c r="O24" i="341" a="1"/>
  <c r="O24" i="341" s="1"/>
  <c r="S24" i="341" s="1"/>
  <c r="O25" i="341" a="1"/>
  <c r="O25" i="341" s="1"/>
  <c r="S25" i="341" s="1"/>
  <c r="O26" i="341" a="1"/>
  <c r="O26" i="341" s="1"/>
  <c r="S26" i="341" s="1"/>
  <c r="O27" i="341" a="1"/>
  <c r="O27" i="341" s="1"/>
  <c r="S27" i="341" s="1"/>
  <c r="O28" i="341" a="1"/>
  <c r="O28" i="341" s="1"/>
  <c r="S28" i="341" s="1"/>
  <c r="O29" i="341" a="1"/>
  <c r="O29" i="341" s="1"/>
  <c r="O30" i="341" a="1"/>
  <c r="O30" i="341" s="1"/>
  <c r="O31" i="341" a="1"/>
  <c r="O31" i="341" s="1"/>
  <c r="O32" i="341" a="1"/>
  <c r="O32" i="341" s="1"/>
  <c r="O33" i="341" a="1"/>
  <c r="O33" i="341" s="1"/>
  <c r="O34" i="341" a="1"/>
  <c r="O34" i="341" s="1"/>
  <c r="S34" i="341" s="1"/>
  <c r="O35" i="341" a="1"/>
  <c r="O35" i="341" s="1"/>
  <c r="S35" i="341" s="1"/>
  <c r="O36" i="341" a="1"/>
  <c r="O36" i="341" s="1"/>
  <c r="S36" i="341" s="1"/>
  <c r="O37" i="341" a="1"/>
  <c r="O37" i="341" s="1"/>
  <c r="S37" i="341" s="1"/>
  <c r="O38" i="341" a="1"/>
  <c r="O38" i="341" s="1"/>
  <c r="S38" i="341" s="1"/>
  <c r="O39" i="341" a="1"/>
  <c r="O39" i="341" s="1"/>
  <c r="S39" i="341" s="1"/>
  <c r="O40" i="341" a="1"/>
  <c r="O40" i="341" s="1"/>
  <c r="S40" i="341" s="1"/>
  <c r="O41" i="341" a="1"/>
  <c r="O41" i="341" s="1"/>
  <c r="S41" i="341" s="1"/>
  <c r="O42" i="341" a="1"/>
  <c r="O42" i="341" s="1"/>
  <c r="S42" i="341" s="1"/>
  <c r="O43" i="341" a="1"/>
  <c r="O43" i="341" s="1"/>
  <c r="S43" i="341" s="1"/>
  <c r="N14" i="341" a="1"/>
  <c r="N14" i="341" s="1"/>
  <c r="P14" i="341" s="1"/>
  <c r="N15" i="341" a="1"/>
  <c r="N15" i="341" s="1"/>
  <c r="P15" i="341" s="1"/>
  <c r="N16" i="341" a="1"/>
  <c r="N16" i="341" s="1"/>
  <c r="P16" i="341" s="1"/>
  <c r="N17" i="341" a="1"/>
  <c r="N17" i="341" s="1"/>
  <c r="P17" i="341" s="1"/>
  <c r="N18" i="341" a="1"/>
  <c r="N18" i="341" s="1"/>
  <c r="P18" i="341" s="1"/>
  <c r="N19" i="341" a="1"/>
  <c r="N19" i="341" s="1"/>
  <c r="P19" i="341" s="1"/>
  <c r="N20" i="341" a="1"/>
  <c r="N20" i="341" s="1"/>
  <c r="P20" i="341" s="1"/>
  <c r="N21" i="341" a="1"/>
  <c r="N21" i="341" s="1"/>
  <c r="P21" i="341" s="1"/>
  <c r="N22" i="341" a="1"/>
  <c r="N22" i="341" s="1"/>
  <c r="P22" i="341" s="1"/>
  <c r="N23" i="341" a="1"/>
  <c r="N23" i="341" s="1"/>
  <c r="P23" i="341" s="1"/>
  <c r="N24" i="341" a="1"/>
  <c r="N24" i="341" s="1"/>
  <c r="P24" i="341" s="1"/>
  <c r="N25" i="341" a="1"/>
  <c r="N25" i="341" s="1"/>
  <c r="P25" i="341" s="1"/>
  <c r="N26" i="341" a="1"/>
  <c r="N26" i="341" s="1"/>
  <c r="P26" i="341" s="1"/>
  <c r="N27" i="341" a="1"/>
  <c r="N27" i="341" s="1"/>
  <c r="P27" i="341" s="1"/>
  <c r="N28" i="341" a="1"/>
  <c r="N28" i="341" s="1"/>
  <c r="P28" i="341" s="1"/>
  <c r="N29" i="341" a="1"/>
  <c r="N29" i="341" s="1"/>
  <c r="I59" i="341"/>
  <c r="L9" i="319"/>
  <c r="A9" i="319"/>
  <c r="F9" i="319"/>
  <c r="I9" i="319"/>
  <c r="M50" i="319"/>
  <c r="M48" i="319"/>
  <c r="M47" i="319"/>
  <c r="M46" i="319"/>
  <c r="M42" i="319"/>
  <c r="M38" i="319"/>
  <c r="M49" i="319"/>
  <c r="M53" i="319"/>
  <c r="M55" i="319"/>
  <c r="M54" i="319"/>
  <c r="H80" i="319"/>
  <c r="G80" i="319"/>
  <c r="A41" i="319"/>
  <c r="F41" i="319"/>
  <c r="I41" i="319"/>
  <c r="A38" i="319"/>
  <c r="A39" i="319"/>
  <c r="A40" i="319"/>
  <c r="F38" i="319"/>
  <c r="F39" i="319"/>
  <c r="F40" i="319"/>
  <c r="I38" i="319"/>
  <c r="I39" i="319"/>
  <c r="I40" i="319"/>
  <c r="A37" i="319"/>
  <c r="F37" i="319"/>
  <c r="I37" i="319"/>
  <c r="L35" i="319"/>
  <c r="L36" i="319"/>
  <c r="M29" i="319"/>
  <c r="A30" i="319"/>
  <c r="A31" i="319"/>
  <c r="F30" i="319"/>
  <c r="F31" i="319"/>
  <c r="I30" i="319"/>
  <c r="I31" i="319"/>
  <c r="A27" i="319"/>
  <c r="F27" i="319"/>
  <c r="I27" i="319"/>
  <c r="M22" i="319"/>
  <c r="A23" i="319"/>
  <c r="F23" i="319"/>
  <c r="I23" i="319"/>
  <c r="L21" i="319"/>
  <c r="A19" i="319"/>
  <c r="A20" i="319"/>
  <c r="F19" i="319"/>
  <c r="F20" i="319"/>
  <c r="I19" i="319"/>
  <c r="I20" i="319"/>
  <c r="N46" i="319"/>
  <c r="H124" i="337"/>
  <c r="A124" i="337" a="1"/>
  <c r="A124" i="337" s="1"/>
  <c r="H123" i="337"/>
  <c r="A123" i="337" a="1"/>
  <c r="A123" i="337"/>
  <c r="K110" i="316"/>
  <c r="K109" i="316"/>
  <c r="K108" i="316"/>
  <c r="O49" i="328" a="1"/>
  <c r="O49" i="328"/>
  <c r="N49" i="328" a="1"/>
  <c r="N49" i="328"/>
  <c r="O48" i="328" a="1"/>
  <c r="O48" i="328" s="1"/>
  <c r="S48" i="328" s="1"/>
  <c r="N48" i="328" a="1"/>
  <c r="N48" i="328"/>
  <c r="P48" i="328" s="1"/>
  <c r="O47" i="328" a="1"/>
  <c r="O47" i="328"/>
  <c r="S47" i="328"/>
  <c r="N47" i="328" a="1"/>
  <c r="N47" i="328" s="1"/>
  <c r="P47" i="328" s="1"/>
  <c r="O46" i="328" a="1"/>
  <c r="O46" i="328"/>
  <c r="S46" i="328" s="1"/>
  <c r="N46" i="328" a="1"/>
  <c r="N46" i="328"/>
  <c r="P46" i="328" s="1"/>
  <c r="O45" i="328" a="1"/>
  <c r="O45" i="328"/>
  <c r="S45" i="328"/>
  <c r="N45" i="328" a="1"/>
  <c r="N45" i="328"/>
  <c r="P45" i="328"/>
  <c r="O44" i="328" a="1"/>
  <c r="O44" i="328" s="1"/>
  <c r="S44" i="328" s="1"/>
  <c r="N44" i="328" a="1"/>
  <c r="N44" i="328"/>
  <c r="P44" i="328"/>
  <c r="O43" i="328" a="1"/>
  <c r="O43" i="328"/>
  <c r="S43" i="328"/>
  <c r="N43" i="328" a="1"/>
  <c r="N43" i="328"/>
  <c r="P43" i="328"/>
  <c r="O42" i="328" a="1"/>
  <c r="O42" i="328" s="1"/>
  <c r="S42" i="328" s="1"/>
  <c r="N42" i="328" a="1"/>
  <c r="N42" i="328"/>
  <c r="P42" i="328" s="1"/>
  <c r="O41" i="328" a="1"/>
  <c r="O41" i="328" s="1"/>
  <c r="S41" i="328" s="1"/>
  <c r="N41" i="328" a="1"/>
  <c r="N41" i="328" s="1"/>
  <c r="P41" i="328" s="1"/>
  <c r="O40" i="328" a="1"/>
  <c r="O40" i="328" s="1"/>
  <c r="S40" i="328" s="1"/>
  <c r="N40" i="328" a="1"/>
  <c r="N40" i="328"/>
  <c r="P40" i="328" s="1"/>
  <c r="O39" i="328" a="1"/>
  <c r="O39" i="328"/>
  <c r="S39" i="328"/>
  <c r="N39" i="328" a="1"/>
  <c r="N39" i="328" s="1"/>
  <c r="P39" i="328" s="1"/>
  <c r="O38" i="328" a="1"/>
  <c r="O38" i="328"/>
  <c r="S38" i="328" s="1"/>
  <c r="N38" i="328" a="1"/>
  <c r="N38" i="328"/>
  <c r="P38" i="328" s="1"/>
  <c r="O37" i="328" a="1"/>
  <c r="O37" i="328"/>
  <c r="S37" i="328"/>
  <c r="N37" i="328" a="1"/>
  <c r="N37" i="328"/>
  <c r="P37" i="328"/>
  <c r="O36" i="328" a="1"/>
  <c r="O36" i="328" s="1"/>
  <c r="S36" i="328" s="1"/>
  <c r="N36" i="328" a="1"/>
  <c r="N36" i="328"/>
  <c r="P36" i="328"/>
  <c r="O35" i="328" a="1"/>
  <c r="O35" i="328"/>
  <c r="S35" i="328"/>
  <c r="N35" i="328" a="1"/>
  <c r="N35" i="328"/>
  <c r="P35" i="328"/>
  <c r="O34" i="328" a="1"/>
  <c r="O34" i="328" s="1"/>
  <c r="N34" i="328" a="1"/>
  <c r="N34" i="328"/>
  <c r="O33" i="328" a="1"/>
  <c r="O33" i="328" s="1"/>
  <c r="N33" i="328" a="1"/>
  <c r="N33" i="328" s="1"/>
  <c r="O32" i="328" a="1"/>
  <c r="O32" i="328"/>
  <c r="N32" i="328" a="1"/>
  <c r="N32" i="328"/>
  <c r="O31" i="328" a="1"/>
  <c r="O31" i="328" s="1"/>
  <c r="N31" i="328" a="1"/>
  <c r="N31" i="328" s="1"/>
  <c r="O30" i="328" a="1"/>
  <c r="O30" i="328" s="1"/>
  <c r="N30" i="328" a="1"/>
  <c r="N30" i="328"/>
  <c r="O29" i="328" a="1"/>
  <c r="O29" i="328" s="1"/>
  <c r="N29" i="328" a="1"/>
  <c r="N29" i="328" s="1"/>
  <c r="O28" i="328" a="1"/>
  <c r="O28" i="328"/>
  <c r="N28" i="328" a="1"/>
  <c r="N28" i="328"/>
  <c r="O27" i="328" a="1"/>
  <c r="O27" i="328" s="1"/>
  <c r="N27" i="328" a="1"/>
  <c r="N27" i="328" s="1"/>
  <c r="O26" i="328" a="1"/>
  <c r="O26" i="328" s="1"/>
  <c r="N26" i="328" a="1"/>
  <c r="N26" i="328" s="1"/>
  <c r="O25" i="328" a="1"/>
  <c r="O25" i="328" s="1"/>
  <c r="N25" i="328" a="1"/>
  <c r="N25" i="328" s="1"/>
  <c r="O24" i="328" a="1"/>
  <c r="O24" i="328"/>
  <c r="N24" i="328" a="1"/>
  <c r="N24" i="328"/>
  <c r="O23" i="328" a="1"/>
  <c r="O23" i="328" s="1"/>
  <c r="N23" i="328" a="1"/>
  <c r="N23" i="328" s="1"/>
  <c r="O22" i="328" a="1"/>
  <c r="O22" i="328" s="1"/>
  <c r="N22" i="328" a="1"/>
  <c r="N22" i="328" s="1"/>
  <c r="O21" i="328" a="1"/>
  <c r="O21" i="328" s="1"/>
  <c r="N21" i="328" a="1"/>
  <c r="N21" i="328" s="1"/>
  <c r="O20" i="328" a="1"/>
  <c r="O20" i="328"/>
  <c r="N20" i="328" a="1"/>
  <c r="N20" i="328"/>
  <c r="O19" i="328" a="1"/>
  <c r="O19" i="328" s="1"/>
  <c r="N19" i="328" a="1"/>
  <c r="N19" i="328" s="1"/>
  <c r="O18" i="328" a="1"/>
  <c r="O18" i="328" s="1"/>
  <c r="N18" i="328" a="1"/>
  <c r="N18" i="328" s="1"/>
  <c r="O17" i="328" a="1"/>
  <c r="O17" i="328" s="1"/>
  <c r="N17" i="328" a="1"/>
  <c r="N17" i="328" s="1"/>
  <c r="O16" i="328" a="1"/>
  <c r="O16" i="328"/>
  <c r="N16" i="328" a="1"/>
  <c r="N16" i="328"/>
  <c r="O15" i="328" a="1"/>
  <c r="O15" i="328" s="1"/>
  <c r="N15" i="328" a="1"/>
  <c r="N15" i="328" s="1"/>
  <c r="O14" i="328" a="1"/>
  <c r="O14" i="328" s="1"/>
  <c r="N14" i="328" a="1"/>
  <c r="N14" i="328" s="1"/>
  <c r="O13" i="328" a="1"/>
  <c r="O13" i="328" s="1"/>
  <c r="N13" i="328" a="1"/>
  <c r="N13" i="328" s="1"/>
  <c r="L13" i="341" a="1"/>
  <c r="L13" i="341"/>
  <c r="L14" i="341" a="1"/>
  <c r="L14" i="341"/>
  <c r="L15" i="341" a="1"/>
  <c r="L15" i="341" s="1"/>
  <c r="L16" i="341" a="1"/>
  <c r="L16" i="341" s="1"/>
  <c r="L17" i="341" a="1"/>
  <c r="L17" i="341" s="1"/>
  <c r="L18" i="341" a="1"/>
  <c r="L18" i="341" s="1"/>
  <c r="L19" i="341" a="1"/>
  <c r="L19" i="341" s="1"/>
  <c r="L20" i="341" a="1"/>
  <c r="L20" i="341" s="1"/>
  <c r="L21" i="341" a="1"/>
  <c r="L21" i="341"/>
  <c r="L22" i="341" a="1"/>
  <c r="L22" i="341"/>
  <c r="L23" i="341" a="1"/>
  <c r="L23" i="341" s="1"/>
  <c r="L24" i="341" a="1"/>
  <c r="L24" i="341" s="1"/>
  <c r="L25" i="341" a="1"/>
  <c r="L25" i="341" s="1"/>
  <c r="L26" i="341" a="1"/>
  <c r="L26" i="341" s="1"/>
  <c r="L27" i="341" a="1"/>
  <c r="L27" i="341" s="1"/>
  <c r="L28" i="341" a="1"/>
  <c r="L28" i="341" s="1"/>
  <c r="L29" i="341" a="1"/>
  <c r="L29" i="341"/>
  <c r="L30" i="341" a="1"/>
  <c r="L30" i="341"/>
  <c r="L31" i="341" a="1"/>
  <c r="L31" i="341" s="1"/>
  <c r="L32" i="341" a="1"/>
  <c r="L32" i="341" s="1"/>
  <c r="L34" i="341" a="1"/>
  <c r="L34" i="341" s="1"/>
  <c r="L35" i="341" a="1"/>
  <c r="L35" i="341" s="1"/>
  <c r="L36" i="341" a="1"/>
  <c r="L36" i="341" s="1"/>
  <c r="L37" i="341" a="1"/>
  <c r="L37" i="341" s="1"/>
  <c r="L38" i="341" a="1"/>
  <c r="L38" i="341"/>
  <c r="L39" i="341" a="1"/>
  <c r="L39" i="341"/>
  <c r="L40" i="341" a="1"/>
  <c r="L40" i="341" s="1"/>
  <c r="N40" i="341" a="1"/>
  <c r="N40" i="341" s="1"/>
  <c r="P40" i="341" s="1"/>
  <c r="N39" i="341" a="1"/>
  <c r="N39" i="341" s="1"/>
  <c r="P39" i="341" s="1"/>
  <c r="N38" i="341" a="1"/>
  <c r="N38" i="341" s="1"/>
  <c r="P38" i="341" s="1"/>
  <c r="N37" i="341" a="1"/>
  <c r="N37" i="341" s="1"/>
  <c r="P37" i="341" s="1"/>
  <c r="N36" i="341" a="1"/>
  <c r="N36" i="341" s="1"/>
  <c r="P36" i="341" s="1"/>
  <c r="N35" i="341" a="1"/>
  <c r="N35" i="341" s="1"/>
  <c r="P35" i="341" s="1"/>
  <c r="N34" i="341" a="1"/>
  <c r="N34" i="341" s="1"/>
  <c r="P34" i="341" s="1"/>
  <c r="N33" i="341" a="1"/>
  <c r="N33" i="341" s="1"/>
  <c r="N32" i="341" a="1"/>
  <c r="N32" i="341" s="1"/>
  <c r="N31" i="341" a="1"/>
  <c r="N31" i="341" s="1"/>
  <c r="N30" i="341" a="1"/>
  <c r="N30" i="341" s="1"/>
  <c r="N13" i="341" a="1"/>
  <c r="N13" i="341" s="1"/>
  <c r="P13" i="341" s="1"/>
  <c r="N55" i="341" a="1"/>
  <c r="N55" i="341" s="1"/>
  <c r="P55" i="341" s="1"/>
  <c r="N54" i="341" a="1"/>
  <c r="N54" i="341" s="1"/>
  <c r="P54" i="341" s="1"/>
  <c r="N53" i="341" a="1"/>
  <c r="N53" i="341" s="1"/>
  <c r="P53" i="341" s="1"/>
  <c r="N52" i="341" a="1"/>
  <c r="N52" i="341" s="1"/>
  <c r="P52" i="341" s="1"/>
  <c r="N51" i="341" a="1"/>
  <c r="N51" i="341" s="1"/>
  <c r="P51" i="341" s="1"/>
  <c r="N50" i="341" a="1"/>
  <c r="N50" i="341" s="1"/>
  <c r="P50" i="341" s="1"/>
  <c r="N49" i="341" a="1"/>
  <c r="N49" i="341" s="1"/>
  <c r="P49" i="341" s="1"/>
  <c r="N48" i="341" a="1"/>
  <c r="N48" i="341" s="1"/>
  <c r="P48" i="341" s="1"/>
  <c r="N47" i="341" a="1"/>
  <c r="N47" i="341" s="1"/>
  <c r="P47" i="341" s="1"/>
  <c r="N46" i="341" a="1"/>
  <c r="N46" i="341" s="1"/>
  <c r="P46" i="341" s="1"/>
  <c r="N45" i="341" a="1"/>
  <c r="N45" i="341" s="1"/>
  <c r="P45" i="341" s="1"/>
  <c r="N44" i="341" a="1"/>
  <c r="N44" i="341" s="1"/>
  <c r="P44" i="341" s="1"/>
  <c r="N43" i="341" a="1"/>
  <c r="N43" i="341" s="1"/>
  <c r="P43" i="341" s="1"/>
  <c r="N42" i="341" a="1"/>
  <c r="N42" i="341" s="1"/>
  <c r="P42" i="341" s="1"/>
  <c r="N41" i="341" a="1"/>
  <c r="N41" i="341" s="1"/>
  <c r="P41" i="341" s="1"/>
  <c r="L55" i="341" a="1"/>
  <c r="L55" i="341" s="1"/>
  <c r="E55" i="341"/>
  <c r="L54" i="341" a="1"/>
  <c r="L54" i="341"/>
  <c r="E54" i="341"/>
  <c r="L53" i="341" a="1"/>
  <c r="L53" i="341" s="1"/>
  <c r="E53" i="341"/>
  <c r="L52" i="341" a="1"/>
  <c r="L52" i="341"/>
  <c r="E52" i="341"/>
  <c r="L51" i="341" a="1"/>
  <c r="L51" i="341" s="1"/>
  <c r="E51" i="341"/>
  <c r="L50" i="341" a="1"/>
  <c r="L50" i="341" s="1"/>
  <c r="E50" i="341"/>
  <c r="L49" i="341" a="1"/>
  <c r="L49" i="341" s="1"/>
  <c r="E49" i="341"/>
  <c r="L48" i="341" a="1"/>
  <c r="L48" i="341"/>
  <c r="E48" i="341"/>
  <c r="L47" i="341" a="1"/>
  <c r="L47" i="341" s="1"/>
  <c r="E47" i="341"/>
  <c r="L46" i="341" a="1"/>
  <c r="L46" i="341"/>
  <c r="E46" i="341"/>
  <c r="L45" i="341" a="1"/>
  <c r="L45" i="341"/>
  <c r="E45" i="341"/>
  <c r="L44" i="341" a="1"/>
  <c r="L44" i="341"/>
  <c r="E44" i="341"/>
  <c r="L43" i="341" a="1"/>
  <c r="L43" i="341" s="1"/>
  <c r="E43" i="341"/>
  <c r="L42" i="341" a="1"/>
  <c r="L42" i="341"/>
  <c r="E42" i="341"/>
  <c r="L41" i="341" a="1"/>
  <c r="L41" i="341" s="1"/>
  <c r="E41" i="341"/>
  <c r="E40" i="341"/>
  <c r="E39" i="341"/>
  <c r="E38" i="341"/>
  <c r="E37" i="341"/>
  <c r="E36" i="341"/>
  <c r="E35" i="341"/>
  <c r="E34" i="341"/>
  <c r="L48" i="328" a="1"/>
  <c r="L48" i="328" s="1"/>
  <c r="E48" i="328"/>
  <c r="L47" i="328" a="1"/>
  <c r="L47" i="328"/>
  <c r="E47" i="328"/>
  <c r="L46" i="328" a="1"/>
  <c r="L46" i="328" s="1"/>
  <c r="E46" i="328"/>
  <c r="L45" i="328" a="1"/>
  <c r="L45" i="328"/>
  <c r="E45" i="328"/>
  <c r="L44" i="328" a="1"/>
  <c r="L44" i="328" s="1"/>
  <c r="E44" i="328"/>
  <c r="L43" i="328" a="1"/>
  <c r="L43" i="328"/>
  <c r="E43" i="328"/>
  <c r="L42" i="328" a="1"/>
  <c r="L42" i="328" s="1"/>
  <c r="E42" i="328"/>
  <c r="L41" i="328" a="1"/>
  <c r="L41" i="328"/>
  <c r="E41" i="328"/>
  <c r="L40" i="328" a="1"/>
  <c r="L40" i="328" s="1"/>
  <c r="E40" i="328"/>
  <c r="L39" i="328" a="1"/>
  <c r="L39" i="328" s="1"/>
  <c r="E39" i="328"/>
  <c r="L38" i="328" a="1"/>
  <c r="L38" i="328" s="1"/>
  <c r="E38" i="328"/>
  <c r="L37" i="328" a="1"/>
  <c r="L37" i="328"/>
  <c r="E37" i="328"/>
  <c r="L36" i="328" a="1"/>
  <c r="L36" i="328" s="1"/>
  <c r="E36" i="328"/>
  <c r="L35" i="328" a="1"/>
  <c r="L35" i="328"/>
  <c r="E35" i="328"/>
  <c r="C7" i="353"/>
  <c r="K99" i="316"/>
  <c r="K100" i="316"/>
  <c r="K101" i="316"/>
  <c r="K102" i="316"/>
  <c r="K103" i="316"/>
  <c r="K104" i="316"/>
  <c r="K105" i="316"/>
  <c r="K106" i="316"/>
  <c r="K107" i="316"/>
  <c r="K85" i="316"/>
  <c r="K86" i="316"/>
  <c r="K87" i="316"/>
  <c r="K88" i="316"/>
  <c r="K89" i="316"/>
  <c r="K90" i="316"/>
  <c r="K91" i="316"/>
  <c r="K92" i="316"/>
  <c r="K93" i="316"/>
  <c r="K94" i="316"/>
  <c r="K95" i="316"/>
  <c r="K96" i="316"/>
  <c r="K97" i="316"/>
  <c r="K98" i="316"/>
  <c r="H82" i="337"/>
  <c r="H83" i="337"/>
  <c r="A82" i="337" a="1"/>
  <c r="A82" i="337" s="1"/>
  <c r="A83" i="337" a="1"/>
  <c r="A83" i="337" s="1"/>
  <c r="B3" i="353"/>
  <c r="K59" i="316"/>
  <c r="K60" i="316"/>
  <c r="K61" i="316"/>
  <c r="K62" i="316"/>
  <c r="K63" i="316"/>
  <c r="K64" i="316"/>
  <c r="K65" i="316"/>
  <c r="K66" i="316"/>
  <c r="K67" i="316"/>
  <c r="K68" i="316"/>
  <c r="K69" i="316"/>
  <c r="K70" i="316"/>
  <c r="K71" i="316"/>
  <c r="K72" i="316"/>
  <c r="K73" i="316"/>
  <c r="K74" i="316"/>
  <c r="K75" i="316"/>
  <c r="K76" i="316"/>
  <c r="K77" i="316"/>
  <c r="K78" i="316"/>
  <c r="K79" i="316"/>
  <c r="K80" i="316"/>
  <c r="K81" i="316"/>
  <c r="K82" i="316"/>
  <c r="K83" i="316"/>
  <c r="K84" i="316"/>
  <c r="A122" i="325" a="1"/>
  <c r="A122" i="325"/>
  <c r="A123" i="325" a="1"/>
  <c r="A123" i="325"/>
  <c r="B1" i="346"/>
  <c r="H87" i="337"/>
  <c r="A87" i="337" a="1"/>
  <c r="A87" i="337"/>
  <c r="A120" i="325" a="1"/>
  <c r="A120" i="325" s="1"/>
  <c r="O55" i="341" a="1"/>
  <c r="O55" i="341" s="1"/>
  <c r="S55" i="341" s="1"/>
  <c r="O53" i="341" a="1"/>
  <c r="O53" i="341" s="1"/>
  <c r="S53" i="341" s="1"/>
  <c r="O51" i="341" a="1"/>
  <c r="O51" i="341" s="1"/>
  <c r="S51" i="341" s="1"/>
  <c r="O49" i="341" a="1"/>
  <c r="O49" i="341" s="1"/>
  <c r="S49" i="341" s="1"/>
  <c r="O47" i="341" a="1"/>
  <c r="O47" i="341" s="1"/>
  <c r="S47" i="341" s="1"/>
  <c r="O45" i="341" a="1"/>
  <c r="O45" i="341" s="1"/>
  <c r="S45" i="341" s="1"/>
  <c r="O46" i="341" a="1"/>
  <c r="O46" i="341" s="1"/>
  <c r="S46" i="341" s="1"/>
  <c r="O13" i="341" a="1"/>
  <c r="O13" i="341" s="1"/>
  <c r="S13" i="341" s="1"/>
  <c r="O54" i="341" a="1"/>
  <c r="O54" i="341" s="1"/>
  <c r="S54" i="341" s="1"/>
  <c r="O52" i="341" a="1"/>
  <c r="O52" i="341" s="1"/>
  <c r="S52" i="341" s="1"/>
  <c r="O50" i="341" a="1"/>
  <c r="O50" i="341" s="1"/>
  <c r="S50" i="341" s="1"/>
  <c r="O48" i="341" a="1"/>
  <c r="O48" i="341" s="1"/>
  <c r="S48" i="341" s="1"/>
  <c r="O44" i="341" a="1"/>
  <c r="O44" i="341" s="1"/>
  <c r="S44" i="341" s="1"/>
  <c r="L8" i="319"/>
  <c r="H108" i="337"/>
  <c r="H109" i="337"/>
  <c r="H110" i="337"/>
  <c r="H111" i="337"/>
  <c r="H112" i="337"/>
  <c r="H113" i="337"/>
  <c r="H114" i="337"/>
  <c r="A108" i="337" a="1"/>
  <c r="A108" i="337" s="1"/>
  <c r="A109" i="337" a="1"/>
  <c r="A109" i="337" s="1"/>
  <c r="A110" i="337" a="1"/>
  <c r="A110" i="337" s="1"/>
  <c r="A111" i="337" a="1"/>
  <c r="A111" i="337" s="1"/>
  <c r="A112" i="337" a="1"/>
  <c r="A112" i="337"/>
  <c r="A113" i="337" a="1"/>
  <c r="A113" i="337"/>
  <c r="A114" i="337" a="1"/>
  <c r="A114" i="337" s="1"/>
  <c r="K8" i="316"/>
  <c r="K13" i="316"/>
  <c r="K16" i="316"/>
  <c r="K7" i="316"/>
  <c r="M17" i="319"/>
  <c r="A14" i="319"/>
  <c r="A15" i="319"/>
  <c r="A16" i="319"/>
  <c r="A17" i="319"/>
  <c r="F14" i="319"/>
  <c r="F15" i="319"/>
  <c r="F16" i="319"/>
  <c r="F17" i="319"/>
  <c r="I14" i="319"/>
  <c r="I15" i="319"/>
  <c r="I16" i="319"/>
  <c r="I17" i="319"/>
  <c r="L13" i="319"/>
  <c r="L4" i="319"/>
  <c r="N8" i="319" s="1"/>
  <c r="M67" i="319"/>
  <c r="M64" i="319"/>
  <c r="A62" i="319"/>
  <c r="A63" i="319"/>
  <c r="A64" i="319"/>
  <c r="F62" i="319"/>
  <c r="F63" i="319"/>
  <c r="F64" i="319"/>
  <c r="I62" i="319"/>
  <c r="I63" i="319"/>
  <c r="I64" i="319"/>
  <c r="M57" i="319"/>
  <c r="A51" i="319"/>
  <c r="A53" i="319"/>
  <c r="F51" i="319"/>
  <c r="F53" i="319"/>
  <c r="I51" i="319"/>
  <c r="I53" i="319"/>
  <c r="L28" i="319"/>
  <c r="A25" i="319"/>
  <c r="F25" i="319"/>
  <c r="I25" i="319"/>
  <c r="A65" i="325" a="1"/>
  <c r="A65" i="325"/>
  <c r="H143" i="337"/>
  <c r="A143" i="337" a="1"/>
  <c r="A143" i="337"/>
  <c r="H12" i="317"/>
  <c r="H13" i="317"/>
  <c r="H14" i="317"/>
  <c r="H15" i="317"/>
  <c r="H8" i="317"/>
  <c r="H9" i="317"/>
  <c r="H10" i="317"/>
  <c r="H11" i="317"/>
  <c r="A64" i="325" a="1"/>
  <c r="A64" i="325"/>
  <c r="H7" i="317"/>
  <c r="A50" i="319"/>
  <c r="F50" i="319"/>
  <c r="I50" i="319"/>
  <c r="A48" i="319"/>
  <c r="A49" i="319"/>
  <c r="F48" i="319"/>
  <c r="F49" i="319"/>
  <c r="I48" i="319"/>
  <c r="I49" i="319"/>
  <c r="K3" i="316"/>
  <c r="K4" i="316"/>
  <c r="K5" i="316"/>
  <c r="K6" i="316"/>
  <c r="K9" i="316"/>
  <c r="K10" i="316"/>
  <c r="K11" i="316"/>
  <c r="K12" i="316"/>
  <c r="K14" i="316"/>
  <c r="K15" i="316"/>
  <c r="K17" i="316"/>
  <c r="K18" i="316"/>
  <c r="K19" i="316"/>
  <c r="K20" i="316"/>
  <c r="K21" i="316"/>
  <c r="K22" i="316"/>
  <c r="K23" i="316"/>
  <c r="K24" i="316"/>
  <c r="K25" i="316"/>
  <c r="K26" i="316"/>
  <c r="K27" i="316"/>
  <c r="K28" i="316"/>
  <c r="K29" i="316"/>
  <c r="K30" i="316"/>
  <c r="K31" i="316"/>
  <c r="K32" i="316"/>
  <c r="K33" i="316"/>
  <c r="K34" i="316"/>
  <c r="K35" i="316"/>
  <c r="K36" i="316"/>
  <c r="K37" i="316"/>
  <c r="K38" i="316"/>
  <c r="K39" i="316"/>
  <c r="K40" i="316"/>
  <c r="K41" i="316"/>
  <c r="K42" i="316"/>
  <c r="K43" i="316"/>
  <c r="K44" i="316"/>
  <c r="K45" i="316"/>
  <c r="K46" i="316"/>
  <c r="K47" i="316"/>
  <c r="K48" i="316"/>
  <c r="K49" i="316"/>
  <c r="K50" i="316"/>
  <c r="K51" i="316"/>
  <c r="K52" i="316"/>
  <c r="K53" i="316"/>
  <c r="K54" i="316"/>
  <c r="K55" i="316"/>
  <c r="K56" i="316"/>
  <c r="K57" i="316"/>
  <c r="K58" i="316"/>
  <c r="A115" i="325" a="1"/>
  <c r="A115" i="325"/>
  <c r="A116" i="325" a="1"/>
  <c r="A116" i="325"/>
  <c r="A117" i="325" a="1"/>
  <c r="A117" i="325" s="1"/>
  <c r="A118" i="325" a="1"/>
  <c r="A118" i="325"/>
  <c r="A126" i="325" a="1"/>
  <c r="A126" i="325"/>
  <c r="A52" i="325" a="1"/>
  <c r="A52" i="325"/>
  <c r="A75" i="325" a="1"/>
  <c r="A75" i="325"/>
  <c r="A5" i="337"/>
  <c r="A6" i="325"/>
  <c r="H140" i="318"/>
  <c r="M68" i="319"/>
  <c r="M61" i="319"/>
  <c r="H81" i="319"/>
  <c r="A65" i="319"/>
  <c r="A66" i="319"/>
  <c r="F65" i="319"/>
  <c r="F66" i="319"/>
  <c r="I65" i="319"/>
  <c r="I66" i="319"/>
  <c r="A67" i="319"/>
  <c r="F67" i="319"/>
  <c r="I67" i="319"/>
  <c r="A59" i="319"/>
  <c r="A60" i="319"/>
  <c r="A61" i="319"/>
  <c r="F59" i="319"/>
  <c r="F60" i="319"/>
  <c r="F61" i="319"/>
  <c r="I59" i="319"/>
  <c r="I60" i="319"/>
  <c r="I61" i="319"/>
  <c r="A57" i="319"/>
  <c r="F57" i="319"/>
  <c r="I57" i="319"/>
  <c r="A55" i="319"/>
  <c r="F55" i="319"/>
  <c r="I55" i="319"/>
  <c r="I69" i="319"/>
  <c r="A47" i="319"/>
  <c r="F47" i="319"/>
  <c r="I47" i="319"/>
  <c r="A45" i="319"/>
  <c r="A46" i="319"/>
  <c r="F45" i="319"/>
  <c r="F46" i="319"/>
  <c r="I45" i="319"/>
  <c r="I46" i="319"/>
  <c r="A43" i="319"/>
  <c r="A44" i="319"/>
  <c r="F43" i="319"/>
  <c r="F44" i="319"/>
  <c r="I43" i="319"/>
  <c r="I44" i="319"/>
  <c r="A32" i="319"/>
  <c r="A33" i="319"/>
  <c r="A34" i="319"/>
  <c r="A35" i="319"/>
  <c r="F32" i="319"/>
  <c r="F33" i="319"/>
  <c r="F34" i="319"/>
  <c r="F35" i="319"/>
  <c r="I32" i="319"/>
  <c r="I33" i="319"/>
  <c r="I34" i="319"/>
  <c r="I35" i="319"/>
  <c r="A26" i="319"/>
  <c r="A28" i="319"/>
  <c r="F26" i="319"/>
  <c r="F28" i="319"/>
  <c r="I26" i="319"/>
  <c r="I28" i="319"/>
  <c r="A21" i="319"/>
  <c r="F21" i="319"/>
  <c r="I21" i="319"/>
  <c r="A10" i="319"/>
  <c r="A11" i="319"/>
  <c r="A12" i="319"/>
  <c r="A13" i="319"/>
  <c r="F10" i="319"/>
  <c r="F11" i="319"/>
  <c r="F12" i="319"/>
  <c r="F13" i="319"/>
  <c r="I10" i="319"/>
  <c r="I11" i="319"/>
  <c r="I12" i="319"/>
  <c r="I13" i="319"/>
  <c r="B6" i="346"/>
  <c r="A6" i="319"/>
  <c r="A7" i="319"/>
  <c r="A8" i="319"/>
  <c r="F6" i="319"/>
  <c r="F7" i="319"/>
  <c r="F8" i="319"/>
  <c r="I6" i="319"/>
  <c r="I7" i="319"/>
  <c r="I8" i="319"/>
  <c r="L10" i="318"/>
  <c r="L11" i="318"/>
  <c r="A53" i="325" a="1"/>
  <c r="A53" i="325"/>
  <c r="A147" i="387" a="1"/>
  <c r="A147" i="387"/>
  <c r="A148" i="387" a="1"/>
  <c r="A148" i="387"/>
  <c r="A149" i="387" a="1"/>
  <c r="A149" i="387"/>
  <c r="A150" i="387" a="1"/>
  <c r="A150" i="387"/>
  <c r="C147" i="387" a="1"/>
  <c r="C147" i="387" s="1"/>
  <c r="D147" i="387" s="1"/>
  <c r="C148" i="387" a="1"/>
  <c r="C148" i="387" s="1"/>
  <c r="D148" i="387" s="1"/>
  <c r="C149" i="387" a="1"/>
  <c r="C149" i="387"/>
  <c r="D149" i="387" s="1"/>
  <c r="C150" i="387" a="1"/>
  <c r="C150" i="387" s="1"/>
  <c r="D150" i="387"/>
  <c r="A148" i="335" a="1"/>
  <c r="A148" i="335"/>
  <c r="A149" i="335" a="1"/>
  <c r="A149" i="335"/>
  <c r="C148" i="335" a="1"/>
  <c r="C148" i="335" s="1"/>
  <c r="D148" i="335" s="1"/>
  <c r="C149" i="335" a="1"/>
  <c r="C149" i="335" s="1"/>
  <c r="D149" i="335" s="1"/>
  <c r="E148" i="335"/>
  <c r="E149" i="335"/>
  <c r="F148" i="335"/>
  <c r="F149" i="335"/>
  <c r="A146" i="335" a="1"/>
  <c r="A146" i="335"/>
  <c r="A147" i="335" a="1"/>
  <c r="A147" i="335"/>
  <c r="C146" i="335" a="1"/>
  <c r="C146" i="335"/>
  <c r="D146" i="335"/>
  <c r="C147" i="335" a="1"/>
  <c r="C147" i="335"/>
  <c r="D147" i="335"/>
  <c r="E146" i="335"/>
  <c r="E147" i="335"/>
  <c r="F146" i="335"/>
  <c r="F147" i="335"/>
  <c r="A146" i="387" a="1"/>
  <c r="A146" i="387"/>
  <c r="C146" i="387" a="1"/>
  <c r="C146" i="387"/>
  <c r="D146" i="387" s="1"/>
  <c r="A145" i="335" a="1"/>
  <c r="A145" i="335" s="1"/>
  <c r="C145" i="335" a="1"/>
  <c r="C145" i="335"/>
  <c r="D145" i="335" s="1"/>
  <c r="E145" i="335"/>
  <c r="F145" i="335"/>
  <c r="A51" i="325" a="1"/>
  <c r="A51" i="325"/>
  <c r="A7" i="387"/>
  <c r="E147" i="387" s="1" a="1"/>
  <c r="E147" i="387" s="1"/>
  <c r="A18" i="319"/>
  <c r="A22" i="319"/>
  <c r="A24" i="319"/>
  <c r="A29" i="319"/>
  <c r="A36" i="319"/>
  <c r="A42" i="319"/>
  <c r="A54" i="319"/>
  <c r="A56" i="319"/>
  <c r="A58" i="319"/>
  <c r="A68" i="319"/>
  <c r="A69" i="319"/>
  <c r="F18" i="319"/>
  <c r="F22" i="319"/>
  <c r="F24" i="319"/>
  <c r="F29" i="319"/>
  <c r="F36" i="319"/>
  <c r="F42" i="319"/>
  <c r="F54" i="319"/>
  <c r="F56" i="319"/>
  <c r="F58" i="319"/>
  <c r="F68" i="319"/>
  <c r="F69" i="319"/>
  <c r="I18" i="319"/>
  <c r="I22" i="319"/>
  <c r="I24" i="319"/>
  <c r="I29" i="319"/>
  <c r="I36" i="319"/>
  <c r="I42" i="319"/>
  <c r="I54" i="319"/>
  <c r="I56" i="319"/>
  <c r="I58" i="319"/>
  <c r="I68" i="319"/>
  <c r="E148" i="387" a="1"/>
  <c r="E148" i="387" s="1"/>
  <c r="B105" i="346"/>
  <c r="A105" i="346"/>
  <c r="E105" i="346" a="1"/>
  <c r="E105" i="346" s="1"/>
  <c r="B97" i="346"/>
  <c r="A97" i="346"/>
  <c r="E97" i="346" s="1" a="1"/>
  <c r="E97" i="346" s="1"/>
  <c r="B89" i="346"/>
  <c r="A89" i="346"/>
  <c r="F89" i="346" a="1"/>
  <c r="F89" i="346" s="1"/>
  <c r="B81" i="346"/>
  <c r="A81" i="346"/>
  <c r="B73" i="346"/>
  <c r="A73" i="346"/>
  <c r="F73" i="346" a="1"/>
  <c r="F73" i="346" s="1"/>
  <c r="B65" i="346"/>
  <c r="A65" i="346"/>
  <c r="F65" i="346" a="1"/>
  <c r="F65" i="346" s="1"/>
  <c r="B57" i="346"/>
  <c r="A57" i="346"/>
  <c r="E57" i="346" s="1" a="1"/>
  <c r="E57" i="346" s="1"/>
  <c r="F57" i="346" a="1"/>
  <c r="F57" i="346" s="1"/>
  <c r="B49" i="346"/>
  <c r="A49" i="346"/>
  <c r="B41" i="346"/>
  <c r="A41" i="346"/>
  <c r="E41" i="346" s="1" a="1"/>
  <c r="E41" i="346" s="1"/>
  <c r="F41" i="346" a="1"/>
  <c r="F41" i="346" s="1"/>
  <c r="B33" i="346"/>
  <c r="A33" i="346"/>
  <c r="F33" i="346" s="1" a="1"/>
  <c r="F33" i="346" s="1"/>
  <c r="B25" i="346"/>
  <c r="A25" i="346"/>
  <c r="F25" i="346" s="1" a="1"/>
  <c r="F25" i="346" s="1"/>
  <c r="B17" i="346"/>
  <c r="A17" i="346"/>
  <c r="F17" i="346" s="1" a="1"/>
  <c r="F17" i="346" s="1"/>
  <c r="A9" i="346"/>
  <c r="F9" i="346" a="1"/>
  <c r="F9" i="346"/>
  <c r="E9" i="346" a="1"/>
  <c r="E9" i="346"/>
  <c r="B9" i="346"/>
  <c r="F105" i="346" a="1"/>
  <c r="F105" i="346" s="1"/>
  <c r="E89" i="346" a="1"/>
  <c r="E89" i="346" s="1"/>
  <c r="E73" i="346" a="1"/>
  <c r="E73" i="346" s="1"/>
  <c r="E65" i="346" a="1"/>
  <c r="E65" i="346" s="1"/>
  <c r="E33" i="346" a="1"/>
  <c r="E33" i="346" s="1"/>
  <c r="E25" i="346" a="1"/>
  <c r="E25" i="346" s="1"/>
  <c r="E17" i="346" a="1"/>
  <c r="E17" i="346" s="1"/>
  <c r="H21" i="337"/>
  <c r="A21" i="337" a="1"/>
  <c r="A21" i="337"/>
  <c r="H28" i="337"/>
  <c r="A28" i="337" a="1"/>
  <c r="A28" i="337" s="1"/>
  <c r="A189" i="387" a="1"/>
  <c r="A189" i="387" s="1"/>
  <c r="C189" i="387" a="1"/>
  <c r="C189" i="387"/>
  <c r="D189" i="387" s="1"/>
  <c r="F189" i="387" a="1"/>
  <c r="F189" i="387" s="1"/>
  <c r="A204" i="387" a="1"/>
  <c r="A204" i="387"/>
  <c r="C204" i="387" a="1"/>
  <c r="C204" i="387" s="1"/>
  <c r="D204" i="387" s="1"/>
  <c r="E204" i="387" a="1"/>
  <c r="E204" i="387" s="1"/>
  <c r="A188" i="335" a="1"/>
  <c r="A188" i="335" s="1"/>
  <c r="C188" i="335" a="1"/>
  <c r="C188" i="335" s="1"/>
  <c r="D188" i="335" s="1"/>
  <c r="E188" i="335"/>
  <c r="F188" i="335"/>
  <c r="A203" i="335" a="1"/>
  <c r="A203" i="335"/>
  <c r="C203" i="335" a="1"/>
  <c r="C203" i="335"/>
  <c r="D203" i="335"/>
  <c r="E203" i="335"/>
  <c r="F203" i="335"/>
  <c r="A26" i="325" a="1"/>
  <c r="A26" i="325" s="1"/>
  <c r="A25" i="325" a="1"/>
  <c r="A25" i="325" s="1"/>
  <c r="A24" i="325" a="1"/>
  <c r="A24" i="325" s="1"/>
  <c r="A23" i="325" a="1"/>
  <c r="A23" i="325"/>
  <c r="A30" i="325" a="1"/>
  <c r="A30" i="325"/>
  <c r="A29" i="325" a="1"/>
  <c r="A29" i="325" s="1"/>
  <c r="A28" i="325" a="1"/>
  <c r="A28" i="325"/>
  <c r="A27" i="325" a="1"/>
  <c r="A27" i="325" s="1"/>
  <c r="A22" i="325" a="1"/>
  <c r="A22" i="325" s="1"/>
  <c r="A21" i="325" a="1"/>
  <c r="A21" i="325" s="1"/>
  <c r="A20" i="325" a="1"/>
  <c r="A20" i="325" s="1"/>
  <c r="A19" i="325" a="1"/>
  <c r="A19" i="325" s="1"/>
  <c r="H151" i="337"/>
  <c r="H144" i="337"/>
  <c r="H142" i="337"/>
  <c r="H141" i="337"/>
  <c r="H140" i="337"/>
  <c r="H139" i="337"/>
  <c r="H138" i="337"/>
  <c r="H134" i="337"/>
  <c r="H133" i="337"/>
  <c r="H132" i="337"/>
  <c r="H131" i="337"/>
  <c r="H130" i="337"/>
  <c r="H129" i="337"/>
  <c r="H107" i="337"/>
  <c r="H106" i="337"/>
  <c r="H105" i="337"/>
  <c r="H103" i="337"/>
  <c r="H102" i="337"/>
  <c r="H101" i="337"/>
  <c r="H99" i="337"/>
  <c r="H97" i="337"/>
  <c r="H96" i="337"/>
  <c r="H95" i="337"/>
  <c r="H93" i="337"/>
  <c r="H92" i="337"/>
  <c r="H91" i="337"/>
  <c r="H90" i="337"/>
  <c r="H89" i="337"/>
  <c r="H86" i="337"/>
  <c r="H85" i="337"/>
  <c r="H81" i="337"/>
  <c r="H80" i="337"/>
  <c r="H79" i="337"/>
  <c r="H78" i="337"/>
  <c r="H77" i="337"/>
  <c r="H76" i="337"/>
  <c r="H75" i="337"/>
  <c r="H73" i="337"/>
  <c r="H71" i="337"/>
  <c r="H70" i="337"/>
  <c r="H65" i="337"/>
  <c r="H64" i="337"/>
  <c r="H63" i="337"/>
  <c r="H61" i="337"/>
  <c r="H60" i="337"/>
  <c r="H59" i="337"/>
  <c r="H58" i="337"/>
  <c r="H56" i="337"/>
  <c r="H55" i="337"/>
  <c r="H54" i="337"/>
  <c r="H53" i="337"/>
  <c r="H52" i="337"/>
  <c r="H51" i="337"/>
  <c r="H50" i="337"/>
  <c r="H49" i="337"/>
  <c r="H48" i="337"/>
  <c r="H47" i="337"/>
  <c r="H46" i="337"/>
  <c r="H45" i="337"/>
  <c r="H44" i="337"/>
  <c r="H43" i="337"/>
  <c r="H42" i="337"/>
  <c r="H41" i="337"/>
  <c r="H40" i="337"/>
  <c r="H39" i="337"/>
  <c r="H37" i="337"/>
  <c r="H36" i="337"/>
  <c r="H30" i="337"/>
  <c r="H29" i="337"/>
  <c r="H27" i="337"/>
  <c r="H26" i="337"/>
  <c r="H25" i="337"/>
  <c r="H24" i="337"/>
  <c r="H23" i="337"/>
  <c r="H22" i="337"/>
  <c r="H20" i="337"/>
  <c r="H19" i="337"/>
  <c r="H18" i="337"/>
  <c r="H17" i="337"/>
  <c r="H16" i="337"/>
  <c r="H15" i="337"/>
  <c r="H14" i="337"/>
  <c r="H13" i="337"/>
  <c r="H12" i="337"/>
  <c r="A51" i="337" a="1"/>
  <c r="A51" i="337" s="1"/>
  <c r="A325" i="387" a="1"/>
  <c r="A325" i="387" s="1"/>
  <c r="A326" i="387" a="1"/>
  <c r="A326" i="387" s="1"/>
  <c r="A327" i="387" a="1"/>
  <c r="A327" i="387" s="1"/>
  <c r="A328" i="387" a="1"/>
  <c r="A328" i="387" s="1"/>
  <c r="A329" i="387" a="1"/>
  <c r="A329" i="387" s="1"/>
  <c r="A330" i="387" a="1"/>
  <c r="A330" i="387"/>
  <c r="A331" i="387" a="1"/>
  <c r="A331" i="387" s="1"/>
  <c r="A332" i="387" a="1"/>
  <c r="A332" i="387" s="1"/>
  <c r="A333" i="387" a="1"/>
  <c r="A333" i="387" s="1"/>
  <c r="A334" i="387" a="1"/>
  <c r="A334" i="387" s="1"/>
  <c r="C325" i="387" a="1"/>
  <c r="C325" i="387" s="1"/>
  <c r="G325" i="387"/>
  <c r="C326" i="387" a="1"/>
  <c r="C326" i="387"/>
  <c r="G326" i="387" s="1"/>
  <c r="C327" i="387" a="1"/>
  <c r="C327" i="387"/>
  <c r="G327" i="387" s="1"/>
  <c r="C328" i="387" a="1"/>
  <c r="C328" i="387"/>
  <c r="G328" i="387"/>
  <c r="C329" i="387" a="1"/>
  <c r="C329" i="387" s="1"/>
  <c r="G329" i="387" s="1"/>
  <c r="C330" i="387" a="1"/>
  <c r="C330" i="387"/>
  <c r="G330" i="387" s="1"/>
  <c r="C331" i="387" a="1"/>
  <c r="C331" i="387" s="1"/>
  <c r="G331" i="387"/>
  <c r="C332" i="387" a="1"/>
  <c r="C332" i="387" s="1"/>
  <c r="G332" i="387"/>
  <c r="C333" i="387" a="1"/>
  <c r="C333" i="387" s="1"/>
  <c r="G333" i="387" s="1"/>
  <c r="C334" i="387" a="1"/>
  <c r="C334" i="387" s="1"/>
  <c r="G334" i="387" s="1"/>
  <c r="E325" i="387" a="1"/>
  <c r="E325" i="387" s="1"/>
  <c r="E327" i="387" a="1"/>
  <c r="E327" i="387" s="1"/>
  <c r="E329" i="387" a="1"/>
  <c r="E329" i="387" s="1"/>
  <c r="E331" i="387" a="1"/>
  <c r="E331" i="387" s="1"/>
  <c r="E332" i="387" a="1"/>
  <c r="E332" i="387" s="1"/>
  <c r="E334" i="387" a="1"/>
  <c r="E334" i="387" s="1"/>
  <c r="F325" i="387" a="1"/>
  <c r="F325" i="387" s="1"/>
  <c r="F327" i="387" a="1"/>
  <c r="F327" i="387" s="1"/>
  <c r="F328" i="387" a="1"/>
  <c r="F328" i="387" s="1"/>
  <c r="F329" i="387" a="1"/>
  <c r="F329" i="387" s="1"/>
  <c r="F331" i="387" a="1"/>
  <c r="F331" i="387" s="1"/>
  <c r="F333" i="387" a="1"/>
  <c r="F333" i="387" s="1"/>
  <c r="F334" i="387" a="1"/>
  <c r="F334" i="387" s="1"/>
  <c r="A322" i="335" a="1"/>
  <c r="A322" i="335" s="1"/>
  <c r="A323" i="335" a="1"/>
  <c r="A323" i="335" s="1"/>
  <c r="A324" i="335" a="1"/>
  <c r="A324" i="335"/>
  <c r="A325" i="335" a="1"/>
  <c r="A325" i="335" s="1"/>
  <c r="A326" i="335" a="1"/>
  <c r="A326" i="335"/>
  <c r="A327" i="335" a="1"/>
  <c r="A327" i="335" s="1"/>
  <c r="A328" i="335" a="1"/>
  <c r="A328" i="335" s="1"/>
  <c r="A329" i="335" a="1"/>
  <c r="A329" i="335"/>
  <c r="A330" i="335" a="1"/>
  <c r="A330" i="335" s="1"/>
  <c r="A331" i="335" a="1"/>
  <c r="A331" i="335"/>
  <c r="C322" i="335" a="1"/>
  <c r="C322" i="335"/>
  <c r="G322" i="335"/>
  <c r="C323" i="335" a="1"/>
  <c r="C323" i="335"/>
  <c r="G323" i="335" s="1"/>
  <c r="C324" i="335" a="1"/>
  <c r="C324" i="335" s="1"/>
  <c r="G324" i="335" s="1"/>
  <c r="C325" i="335" a="1"/>
  <c r="C325" i="335"/>
  <c r="G325" i="335" s="1"/>
  <c r="C326" i="335" a="1"/>
  <c r="C326" i="335" s="1"/>
  <c r="G326" i="335"/>
  <c r="C327" i="335" a="1"/>
  <c r="C327" i="335" s="1"/>
  <c r="G327" i="335"/>
  <c r="C328" i="335" a="1"/>
  <c r="C328" i="335" s="1"/>
  <c r="G328" i="335" s="1"/>
  <c r="C329" i="335" a="1"/>
  <c r="C329" i="335"/>
  <c r="G329" i="335" s="1"/>
  <c r="C330" i="335" a="1"/>
  <c r="C330" i="335" s="1"/>
  <c r="G330" i="335" s="1"/>
  <c r="C331" i="335" a="1"/>
  <c r="C331" i="335"/>
  <c r="G331" i="335" s="1"/>
  <c r="E322" i="335"/>
  <c r="E323" i="335"/>
  <c r="E324" i="335"/>
  <c r="E325" i="335"/>
  <c r="E326" i="335"/>
  <c r="E327" i="335"/>
  <c r="E328" i="335"/>
  <c r="E329" i="335"/>
  <c r="E330" i="335"/>
  <c r="E331" i="335"/>
  <c r="F322" i="335"/>
  <c r="F323" i="335"/>
  <c r="F324" i="335"/>
  <c r="F325" i="335"/>
  <c r="F326" i="335"/>
  <c r="F327" i="335"/>
  <c r="F328" i="335"/>
  <c r="F329" i="335"/>
  <c r="F330" i="335"/>
  <c r="F331" i="335"/>
  <c r="D2917" i="383" a="1"/>
  <c r="D2917" i="383" s="1"/>
  <c r="D2916" i="383" a="1"/>
  <c r="D2916" i="383"/>
  <c r="D2915" i="383" a="1"/>
  <c r="D2915" i="383" s="1"/>
  <c r="D2914" i="383" a="1"/>
  <c r="D2914" i="383" s="1"/>
  <c r="D2913" i="383" a="1"/>
  <c r="D2913" i="383" s="1"/>
  <c r="D2912" i="383" a="1"/>
  <c r="D2912" i="383" s="1"/>
  <c r="D2911" i="383" a="1"/>
  <c r="D2911" i="383" s="1"/>
  <c r="D2910" i="383" a="1"/>
  <c r="D2910" i="383"/>
  <c r="D2909" i="383" a="1"/>
  <c r="D2909" i="383" s="1"/>
  <c r="D2908" i="383" a="1"/>
  <c r="D2908" i="383" s="1"/>
  <c r="D2907" i="383" a="1"/>
  <c r="D2907" i="383"/>
  <c r="D2906" i="383" a="1"/>
  <c r="D2906" i="383" s="1"/>
  <c r="D2905" i="383" a="1"/>
  <c r="D2905" i="383"/>
  <c r="D2904" i="383" a="1"/>
  <c r="D2904" i="383" s="1"/>
  <c r="D2903" i="383" a="1"/>
  <c r="D2903" i="383"/>
  <c r="D2902" i="383" a="1"/>
  <c r="D2902" i="383" s="1"/>
  <c r="D2901" i="383" a="1"/>
  <c r="D2901" i="383"/>
  <c r="D2900" i="383" a="1"/>
  <c r="D2900" i="383" s="1"/>
  <c r="D2899" i="383" a="1"/>
  <c r="D2899" i="383" s="1"/>
  <c r="D2898" i="383" a="1"/>
  <c r="D2898" i="383" s="1"/>
  <c r="D2897" i="383" a="1"/>
  <c r="D2897" i="383" s="1"/>
  <c r="D2896" i="383" a="1"/>
  <c r="D2896" i="383" s="1"/>
  <c r="D2895" i="383" a="1"/>
  <c r="D2895" i="383" s="1"/>
  <c r="D2894" i="383" a="1"/>
  <c r="D2894" i="383" s="1"/>
  <c r="D2893" i="383" a="1"/>
  <c r="D2893" i="383"/>
  <c r="D2892" i="383" a="1"/>
  <c r="D2892" i="383"/>
  <c r="D2891" i="383" a="1"/>
  <c r="D2891" i="383"/>
  <c r="D2890" i="383" a="1"/>
  <c r="D2890" i="383" s="1"/>
  <c r="D2889" i="383" a="1"/>
  <c r="D2889" i="383" s="1"/>
  <c r="D2888" i="383" a="1"/>
  <c r="D2888" i="383" s="1"/>
  <c r="D2887" i="383" a="1"/>
  <c r="D2887" i="383" s="1"/>
  <c r="D2886" i="383" a="1"/>
  <c r="D2886" i="383" s="1"/>
  <c r="D2885" i="383" a="1"/>
  <c r="D2885" i="383" s="1"/>
  <c r="D2884" i="383" a="1"/>
  <c r="D2884" i="383" s="1"/>
  <c r="D2883" i="383" a="1"/>
  <c r="D2883" i="383"/>
  <c r="D2882" i="383" a="1"/>
  <c r="D2882" i="383" s="1"/>
  <c r="D2881" i="383" a="1"/>
  <c r="D2881" i="383" s="1"/>
  <c r="D2880" i="383" a="1"/>
  <c r="D2880" i="383" s="1"/>
  <c r="D2879" i="383" a="1"/>
  <c r="D2879" i="383"/>
  <c r="D2878" i="383" a="1"/>
  <c r="D2878" i="383"/>
  <c r="D2877" i="383" a="1"/>
  <c r="D2877" i="383" s="1"/>
  <c r="D2876" i="383" a="1"/>
  <c r="D2876" i="383" s="1"/>
  <c r="D2875" i="383" a="1"/>
  <c r="D2875" i="383" s="1"/>
  <c r="D2874" i="383" a="1"/>
  <c r="D2874" i="383"/>
  <c r="D2873" i="383" a="1"/>
  <c r="D2873" i="383" s="1"/>
  <c r="D2872" i="383" a="1"/>
  <c r="D2872" i="383" s="1"/>
  <c r="D2871" i="383" a="1"/>
  <c r="D2871" i="383" s="1"/>
  <c r="D2870" i="383" a="1"/>
  <c r="D2870" i="383" s="1"/>
  <c r="D2869" i="383" a="1"/>
  <c r="D2869" i="383" s="1"/>
  <c r="D2868" i="383" a="1"/>
  <c r="D2868" i="383" s="1"/>
  <c r="D2867" i="383" a="1"/>
  <c r="D2867" i="383" s="1"/>
  <c r="D2866" i="383" a="1"/>
  <c r="D2866" i="383" s="1"/>
  <c r="D2865" i="383" a="1"/>
  <c r="D2865" i="383" s="1"/>
  <c r="D2864" i="383" a="1"/>
  <c r="D2864" i="383" s="1"/>
  <c r="D2863" i="383" a="1"/>
  <c r="D2863" i="383" s="1"/>
  <c r="D2862" i="383" a="1"/>
  <c r="D2862" i="383"/>
  <c r="D2861" i="383" a="1"/>
  <c r="D2861" i="383" s="1"/>
  <c r="D2860" i="383" a="1"/>
  <c r="D2860" i="383" s="1"/>
  <c r="D2859" i="383" a="1"/>
  <c r="D2859" i="383" s="1"/>
  <c r="D2858" i="383" a="1"/>
  <c r="D2858" i="383" s="1"/>
  <c r="D2857" i="383" a="1"/>
  <c r="D2857" i="383" s="1"/>
  <c r="D2856" i="383" a="1"/>
  <c r="D2856" i="383" s="1"/>
  <c r="D2855" i="383" a="1"/>
  <c r="D2855" i="383" s="1"/>
  <c r="D2854" i="383" a="1"/>
  <c r="D2854" i="383" s="1"/>
  <c r="D2853" i="383" a="1"/>
  <c r="D2853" i="383" s="1"/>
  <c r="D2852" i="383" a="1"/>
  <c r="D2852" i="383" s="1"/>
  <c r="D2851" i="383" a="1"/>
  <c r="D2851" i="383"/>
  <c r="D2850" i="383" a="1"/>
  <c r="D2850" i="383" s="1"/>
  <c r="D2849" i="383" a="1"/>
  <c r="D2849" i="383"/>
  <c r="D2848" i="383" a="1"/>
  <c r="D2848" i="383" s="1"/>
  <c r="D2847" i="383" a="1"/>
  <c r="D2847" i="383" s="1"/>
  <c r="D2846" i="383" a="1"/>
  <c r="D2846" i="383" s="1"/>
  <c r="D2845" i="383" a="1"/>
  <c r="D2845" i="383"/>
  <c r="D2844" i="383" a="1"/>
  <c r="D2844" i="383" s="1"/>
  <c r="D2843" i="383" a="1"/>
  <c r="D2843" i="383" s="1"/>
  <c r="D2842" i="383" a="1"/>
  <c r="D2842" i="383"/>
  <c r="D2841" i="383" a="1"/>
  <c r="D2841" i="383"/>
  <c r="D2840" i="383" a="1"/>
  <c r="D2840" i="383" s="1"/>
  <c r="D2839" i="383" a="1"/>
  <c r="D2839" i="383" s="1"/>
  <c r="D2838" i="383" a="1"/>
  <c r="D2838" i="383" s="1"/>
  <c r="D2837" i="383" a="1"/>
  <c r="D2837" i="383" s="1"/>
  <c r="D2836" i="383" a="1"/>
  <c r="D2836" i="383" s="1"/>
  <c r="D2835" i="383" a="1"/>
  <c r="D2835" i="383" s="1"/>
  <c r="D2834" i="383" a="1"/>
  <c r="D2834" i="383" s="1"/>
  <c r="D2833" i="383" a="1"/>
  <c r="D2833" i="383" s="1"/>
  <c r="D2832" i="383" a="1"/>
  <c r="D2832" i="383" s="1"/>
  <c r="D2831" i="383" a="1"/>
  <c r="D2831" i="383" s="1"/>
  <c r="D2830" i="383" a="1"/>
  <c r="D2830" i="383"/>
  <c r="D2829" i="383" a="1"/>
  <c r="D2829" i="383" s="1"/>
  <c r="D2828" i="383" a="1"/>
  <c r="D2828" i="383"/>
  <c r="D2827" i="383" a="1"/>
  <c r="D2827" i="383" s="1"/>
  <c r="D2826" i="383" a="1"/>
  <c r="D2826" i="383" s="1"/>
  <c r="D2825" i="383" a="1"/>
  <c r="D2825" i="383" s="1"/>
  <c r="D2824" i="383" a="1"/>
  <c r="D2824" i="383" s="1"/>
  <c r="D2823" i="383" a="1"/>
  <c r="D2823" i="383"/>
  <c r="D2822" i="383" a="1"/>
  <c r="D2822" i="383" s="1"/>
  <c r="D2821" i="383" a="1"/>
  <c r="D2821" i="383" s="1"/>
  <c r="D2820" i="383" a="1"/>
  <c r="D2820" i="383" s="1"/>
  <c r="D2819" i="383" a="1"/>
  <c r="D2819" i="383"/>
  <c r="D2818" i="383" a="1"/>
  <c r="D2818" i="383" s="1"/>
  <c r="D2817" i="383" a="1"/>
  <c r="D2817" i="383"/>
  <c r="D2816" i="383" a="1"/>
  <c r="D2816" i="383" s="1"/>
  <c r="D2815" i="383" a="1"/>
  <c r="D2815" i="383" s="1"/>
  <c r="D2814" i="383" a="1"/>
  <c r="D2814" i="383" s="1"/>
  <c r="D2813" i="383" a="1"/>
  <c r="D2813" i="383"/>
  <c r="D2812" i="383" a="1"/>
  <c r="D2812" i="383" s="1"/>
  <c r="D2811" i="383" a="1"/>
  <c r="D2811" i="383"/>
  <c r="D2810" i="383" a="1"/>
  <c r="D2810" i="383"/>
  <c r="D2809" i="383" a="1"/>
  <c r="D2809" i="383" s="1"/>
  <c r="D2808" i="383" a="1"/>
  <c r="D2808" i="383" s="1"/>
  <c r="D2807" i="383" a="1"/>
  <c r="D2807" i="383" s="1"/>
  <c r="D2806" i="383" a="1"/>
  <c r="D2806" i="383" s="1"/>
  <c r="D2805" i="383" a="1"/>
  <c r="D2805" i="383" s="1"/>
  <c r="D2804" i="383" a="1"/>
  <c r="D2804" i="383" s="1"/>
  <c r="D2803" i="383" a="1"/>
  <c r="D2803" i="383" s="1"/>
  <c r="D2802" i="383" a="1"/>
  <c r="D2802" i="383" s="1"/>
  <c r="D2801" i="383" a="1"/>
  <c r="D2801" i="383" s="1"/>
  <c r="D2800" i="383" a="1"/>
  <c r="D2800" i="383" s="1"/>
  <c r="D2799" i="383" a="1"/>
  <c r="D2799" i="383" s="1"/>
  <c r="D2798" i="383" a="1"/>
  <c r="D2798" i="383"/>
  <c r="D2797" i="383" a="1"/>
  <c r="D2797" i="383"/>
  <c r="D2796" i="383" a="1"/>
  <c r="D2796" i="383"/>
  <c r="D2795" i="383" a="1"/>
  <c r="D2795" i="383" s="1"/>
  <c r="D2794" i="383" a="1"/>
  <c r="D2794" i="383"/>
  <c r="D2793" i="383" a="1"/>
  <c r="D2793" i="383" s="1"/>
  <c r="D2792" i="383" a="1"/>
  <c r="D2792" i="383" s="1"/>
  <c r="D2791" i="383" a="1"/>
  <c r="D2791" i="383"/>
  <c r="D2790" i="383" a="1"/>
  <c r="D2790" i="383" s="1"/>
  <c r="D2789" i="383" a="1"/>
  <c r="D2789" i="383"/>
  <c r="D2788" i="383" a="1"/>
  <c r="D2788" i="383" s="1"/>
  <c r="D2787" i="383" a="1"/>
  <c r="D2787" i="383" s="1"/>
  <c r="D2786" i="383" a="1"/>
  <c r="D2786" i="383" s="1"/>
  <c r="D2785" i="383" a="1"/>
  <c r="D2785" i="383"/>
  <c r="D2784" i="383" a="1"/>
  <c r="D2784" i="383" s="1"/>
  <c r="D2783" i="383" a="1"/>
  <c r="D2783" i="383" s="1"/>
  <c r="D2782" i="383" a="1"/>
  <c r="D2782" i="383" s="1"/>
  <c r="D2781" i="383" a="1"/>
  <c r="D2781" i="383" s="1"/>
  <c r="D2780" i="383" a="1"/>
  <c r="D2780" i="383"/>
  <c r="D2779" i="383" a="1"/>
  <c r="D2779" i="383"/>
  <c r="D2778" i="383" a="1"/>
  <c r="D2778" i="383" s="1"/>
  <c r="D2777" i="383" a="1"/>
  <c r="D2777" i="383"/>
  <c r="D2776" i="383" a="1"/>
  <c r="D2776" i="383" s="1"/>
  <c r="D2775" i="383" a="1"/>
  <c r="D2775" i="383" s="1"/>
  <c r="D2774" i="383" a="1"/>
  <c r="D2774" i="383" s="1"/>
  <c r="D2773" i="383" a="1"/>
  <c r="D2773" i="383" s="1"/>
  <c r="D2772" i="383" a="1"/>
  <c r="D2772" i="383" s="1"/>
  <c r="D2771" i="383" a="1"/>
  <c r="D2771" i="383"/>
  <c r="D2770" i="383" a="1"/>
  <c r="D2770" i="383" s="1"/>
  <c r="D2769" i="383" a="1"/>
  <c r="D2769" i="383" s="1"/>
  <c r="D2768" i="383" a="1"/>
  <c r="D2768" i="383" s="1"/>
  <c r="D2767" i="383" a="1"/>
  <c r="D2767" i="383" s="1"/>
  <c r="D2766" i="383" a="1"/>
  <c r="D2766" i="383"/>
  <c r="D2765" i="383" a="1"/>
  <c r="D2765" i="383"/>
  <c r="D2764" i="383" a="1"/>
  <c r="D2764" i="383"/>
  <c r="D2763" i="383" a="1"/>
  <c r="D2763" i="383"/>
  <c r="D2762" i="383" a="1"/>
  <c r="D2762" i="383" s="1"/>
  <c r="D2761" i="383" a="1"/>
  <c r="D2761" i="383" s="1"/>
  <c r="D2760" i="383" a="1"/>
  <c r="D2760" i="383" s="1"/>
  <c r="D2759" i="383" a="1"/>
  <c r="D2759" i="383"/>
  <c r="D2758" i="383" a="1"/>
  <c r="D2758" i="383" s="1"/>
  <c r="D2757" i="383" a="1"/>
  <c r="D2757" i="383"/>
  <c r="D2756" i="383" a="1"/>
  <c r="D2756" i="383"/>
  <c r="D2755" i="383" a="1"/>
  <c r="D2755" i="383"/>
  <c r="D2754" i="383" a="1"/>
  <c r="D2754" i="383"/>
  <c r="D2753" i="383" a="1"/>
  <c r="D2753" i="383" s="1"/>
  <c r="D2752" i="383" a="1"/>
  <c r="D2752" i="383" s="1"/>
  <c r="D2751" i="383" a="1"/>
  <c r="D2751" i="383"/>
  <c r="D2750" i="383" a="1"/>
  <c r="D2750" i="383"/>
  <c r="D2749" i="383" a="1"/>
  <c r="D2749" i="383" s="1"/>
  <c r="D2748" i="383" a="1"/>
  <c r="D2748" i="383"/>
  <c r="D2747" i="383" a="1"/>
  <c r="D2747" i="383"/>
  <c r="D2746" i="383" a="1"/>
  <c r="D2746" i="383"/>
  <c r="D2745" i="383" a="1"/>
  <c r="D2745" i="383"/>
  <c r="D2744" i="383" a="1"/>
  <c r="D2744" i="383" s="1"/>
  <c r="D2743" i="383" a="1"/>
  <c r="D2743" i="383" s="1"/>
  <c r="D2742" i="383" a="1"/>
  <c r="D2742" i="383"/>
  <c r="D2741" i="383" a="1"/>
  <c r="D2741" i="383" s="1"/>
  <c r="D2740" i="383" a="1"/>
  <c r="D2740" i="383" s="1"/>
  <c r="D2739" i="383" a="1"/>
  <c r="D2739" i="383"/>
  <c r="D2738" i="383" a="1"/>
  <c r="D2738" i="383" s="1"/>
  <c r="D2737" i="383" a="1"/>
  <c r="D2737" i="383"/>
  <c r="D2736" i="383" a="1"/>
  <c r="D2736" i="383" s="1"/>
  <c r="D2735" i="383" a="1"/>
  <c r="D2735" i="383" s="1"/>
  <c r="D2734" i="383" a="1"/>
  <c r="D2734" i="383"/>
  <c r="D2733" i="383" a="1"/>
  <c r="D2733" i="383"/>
  <c r="D2732" i="383" a="1"/>
  <c r="D2732" i="383"/>
  <c r="D2731" i="383" a="1"/>
  <c r="D2731" i="383" s="1"/>
  <c r="D2730" i="383" a="1"/>
  <c r="D2730" i="383"/>
  <c r="D2729" i="383" a="1"/>
  <c r="D2729" i="383" s="1"/>
  <c r="D2728" i="383" a="1"/>
  <c r="D2728" i="383" s="1"/>
  <c r="D2727" i="383" a="1"/>
  <c r="D2727" i="383" s="1"/>
  <c r="D2726" i="383" a="1"/>
  <c r="D2726" i="383" s="1"/>
  <c r="D2725" i="383" a="1"/>
  <c r="D2725" i="383" s="1"/>
  <c r="D2724" i="383" a="1"/>
  <c r="D2724" i="383"/>
  <c r="D2723" i="383" a="1"/>
  <c r="D2723" i="383" s="1"/>
  <c r="D2722" i="383" a="1"/>
  <c r="D2722" i="383" s="1"/>
  <c r="D2721" i="383" a="1"/>
  <c r="D2721" i="383"/>
  <c r="D2720" i="383" a="1"/>
  <c r="D2720" i="383" s="1"/>
  <c r="D2719" i="383" a="1"/>
  <c r="D2719" i="383" s="1"/>
  <c r="D2718" i="383" a="1"/>
  <c r="D2718" i="383" s="1"/>
  <c r="D2717" i="383" a="1"/>
  <c r="D2717" i="383"/>
  <c r="D2716" i="383" a="1"/>
  <c r="D2716" i="383" s="1"/>
  <c r="D2715" i="383" a="1"/>
  <c r="D2715" i="383"/>
  <c r="D2714" i="383" a="1"/>
  <c r="D2714" i="383"/>
  <c r="D2713" i="383" a="1"/>
  <c r="D2713" i="383" s="1"/>
  <c r="D2712" i="383" a="1"/>
  <c r="D2712" i="383" s="1"/>
  <c r="D2711" i="383" a="1"/>
  <c r="D2711" i="383" s="1"/>
  <c r="D2710" i="383" a="1"/>
  <c r="D2710" i="383" s="1"/>
  <c r="D2709" i="383" a="1"/>
  <c r="D2709" i="383" s="1"/>
  <c r="D2708" i="383" a="1"/>
  <c r="D2708" i="383"/>
  <c r="D2707" i="383" a="1"/>
  <c r="D2707" i="383" s="1"/>
  <c r="D2706" i="383" a="1"/>
  <c r="D2706" i="383"/>
  <c r="D2705" i="383" a="1"/>
  <c r="D2705" i="383"/>
  <c r="D2704" i="383" a="1"/>
  <c r="D2704" i="383" s="1"/>
  <c r="D2703" i="383" a="1"/>
  <c r="D2703" i="383" s="1"/>
  <c r="D2702" i="383" a="1"/>
  <c r="D2702" i="383" s="1"/>
  <c r="D2701" i="383" a="1"/>
  <c r="D2701" i="383" s="1"/>
  <c r="D2700" i="383" a="1"/>
  <c r="D2700" i="383"/>
  <c r="D2699" i="383" a="1"/>
  <c r="D2699" i="383"/>
  <c r="D2698" i="383" a="1"/>
  <c r="D2698" i="383" s="1"/>
  <c r="D2697" i="383" a="1"/>
  <c r="D2697" i="383"/>
  <c r="D2696" i="383" a="1"/>
  <c r="D2696" i="383" s="1"/>
  <c r="D2695" i="383" a="1"/>
  <c r="D2695" i="383" s="1"/>
  <c r="D2694" i="383" a="1"/>
  <c r="D2694" i="383" s="1"/>
  <c r="D2693" i="383" a="1"/>
  <c r="D2693" i="383" s="1"/>
  <c r="D2692" i="383" a="1"/>
  <c r="D2692" i="383" s="1"/>
  <c r="D2691" i="383" a="1"/>
  <c r="D2691" i="383"/>
  <c r="D2690" i="383" a="1"/>
  <c r="D2690" i="383"/>
  <c r="D2689" i="383" a="1"/>
  <c r="D2689" i="383" s="1"/>
  <c r="D2688" i="383" a="1"/>
  <c r="D2688" i="383" s="1"/>
  <c r="D2687" i="383" a="1"/>
  <c r="D2687" i="383"/>
  <c r="D2686" i="383" a="1"/>
  <c r="D2686" i="383" s="1"/>
  <c r="D2685" i="383" a="1"/>
  <c r="D2685" i="383" s="1"/>
  <c r="D2684" i="383" a="1"/>
  <c r="D2684" i="383" s="1"/>
  <c r="D2683" i="383" a="1"/>
  <c r="D2683" i="383"/>
  <c r="D2682" i="383" a="1"/>
  <c r="D2682" i="383"/>
  <c r="D2681" i="383" a="1"/>
  <c r="D2681" i="383"/>
  <c r="D2680" i="383" a="1"/>
  <c r="D2680" i="383" s="1"/>
  <c r="D2679" i="383" a="1"/>
  <c r="D2679" i="383"/>
  <c r="D2678" i="383" a="1"/>
  <c r="D2678" i="383" s="1"/>
  <c r="D2677" i="383" a="1"/>
  <c r="D2677" i="383" s="1"/>
  <c r="D2676" i="383" a="1"/>
  <c r="D2676" i="383" s="1"/>
  <c r="D2675" i="383" a="1"/>
  <c r="D2675" i="383" s="1"/>
  <c r="D2674" i="383" a="1"/>
  <c r="D2674" i="383"/>
  <c r="D2673" i="383" a="1"/>
  <c r="D2673" i="383"/>
  <c r="D2672" i="383" a="1"/>
  <c r="D2672" i="383" s="1"/>
  <c r="D2671" i="383" a="1"/>
  <c r="D2671" i="383"/>
  <c r="D2670" i="383" a="1"/>
  <c r="D2670" i="383"/>
  <c r="D2669" i="383" a="1"/>
  <c r="D2669" i="383"/>
  <c r="D2668" i="383" a="1"/>
  <c r="D2668" i="383"/>
  <c r="D2667" i="383" a="1"/>
  <c r="D2667" i="383" s="1"/>
  <c r="D2666" i="383" a="1"/>
  <c r="D2666" i="383"/>
  <c r="D2665" i="383" a="1"/>
  <c r="D2665" i="383" s="1"/>
  <c r="D2664" i="383" a="1"/>
  <c r="D2664" i="383" s="1"/>
  <c r="D2663" i="383" a="1"/>
  <c r="D2663" i="383"/>
  <c r="D2662" i="383" a="1"/>
  <c r="D2662" i="383" s="1"/>
  <c r="D2661" i="383" a="1"/>
  <c r="D2661" i="383"/>
  <c r="D2660" i="383" a="1"/>
  <c r="D2660" i="383" s="1"/>
  <c r="D2659" i="383" a="1"/>
  <c r="D2659" i="383"/>
  <c r="D2658" i="383" a="1"/>
  <c r="D2658" i="383" s="1"/>
  <c r="D2657" i="383" a="1"/>
  <c r="D2657" i="383"/>
  <c r="D2656" i="383" a="1"/>
  <c r="D2656" i="383" s="1"/>
  <c r="D2655" i="383" a="1"/>
  <c r="D2655" i="383"/>
  <c r="D2654" i="383" a="1"/>
  <c r="D2654" i="383"/>
  <c r="D2653" i="383" a="1"/>
  <c r="D2653" i="383" s="1"/>
  <c r="D2652" i="383" a="1"/>
  <c r="D2652" i="383"/>
  <c r="D2651" i="383" a="1"/>
  <c r="D2651" i="383"/>
  <c r="D2650" i="383" a="1"/>
  <c r="D2650" i="383"/>
  <c r="D2649" i="383" a="1"/>
  <c r="D2649" i="383"/>
  <c r="D2648" i="383" a="1"/>
  <c r="D2648" i="383" s="1"/>
  <c r="D2647" i="383" a="1"/>
  <c r="D2647" i="383" s="1"/>
  <c r="D2646" i="383" a="1"/>
  <c r="D2646" i="383" s="1"/>
  <c r="D2645" i="383" a="1"/>
  <c r="D2645" i="383"/>
  <c r="D2644" i="383" a="1"/>
  <c r="D2644" i="383"/>
  <c r="D2643" i="383" a="1"/>
  <c r="D2643" i="383"/>
  <c r="D2642" i="383" a="1"/>
  <c r="D2642" i="383"/>
  <c r="D2641" i="383" a="1"/>
  <c r="D2641" i="383" s="1"/>
  <c r="D2640" i="383" a="1"/>
  <c r="D2640" i="383" s="1"/>
  <c r="D2639" i="383" a="1"/>
  <c r="D2639" i="383"/>
  <c r="D2638" i="383" a="1"/>
  <c r="D2638" i="383" s="1"/>
  <c r="D2637" i="383" a="1"/>
  <c r="D2637" i="383" s="1"/>
  <c r="D2636" i="383" a="1"/>
  <c r="D2636" i="383"/>
  <c r="D2635" i="383" a="1"/>
  <c r="D2635" i="383"/>
  <c r="D2634" i="383" a="1"/>
  <c r="D2634" i="383"/>
  <c r="D2633" i="383" a="1"/>
  <c r="D2633" i="383"/>
  <c r="D2632" i="383" a="1"/>
  <c r="D2632" i="383" s="1"/>
  <c r="D2631" i="383" a="1"/>
  <c r="D2631" i="383"/>
  <c r="D2630" i="383" a="1"/>
  <c r="D2630" i="383"/>
  <c r="D2629" i="383" a="1"/>
  <c r="D2629" i="383"/>
  <c r="D2628" i="383" a="1"/>
  <c r="D2628" i="383"/>
  <c r="D2627" i="383" a="1"/>
  <c r="D2627" i="383" s="1"/>
  <c r="D2626" i="383" a="1"/>
  <c r="D2626" i="383"/>
  <c r="D2625" i="383" a="1"/>
  <c r="D2625" i="383" s="1"/>
  <c r="D2624" i="383" a="1"/>
  <c r="D2624" i="383" s="1"/>
  <c r="D2623" i="383" a="1"/>
  <c r="D2623" i="383"/>
  <c r="D2622" i="383" a="1"/>
  <c r="D2622" i="383"/>
  <c r="D2621" i="383" a="1"/>
  <c r="D2621" i="383" s="1"/>
  <c r="D2620" i="383" a="1"/>
  <c r="D2620" i="383" s="1"/>
  <c r="D2619" i="383" a="1"/>
  <c r="D2619" i="383"/>
  <c r="D2618" i="383" a="1"/>
  <c r="D2618" i="383"/>
  <c r="D2617" i="383" a="1"/>
  <c r="D2617" i="383" s="1"/>
  <c r="D2616" i="383" a="1"/>
  <c r="D2616" i="383" s="1"/>
  <c r="D2615" i="383" a="1"/>
  <c r="D2615" i="383" s="1"/>
  <c r="D2614" i="383" a="1"/>
  <c r="D2614" i="383" s="1"/>
  <c r="D2613" i="383" a="1"/>
  <c r="D2613" i="383" s="1"/>
  <c r="D2612" i="383" a="1"/>
  <c r="D2612" i="383" s="1"/>
  <c r="D2611" i="383" a="1"/>
  <c r="D2611" i="383" s="1"/>
  <c r="D2610" i="383" a="1"/>
  <c r="D2610" i="383"/>
  <c r="D2609" i="383" a="1"/>
  <c r="D2609" i="383"/>
  <c r="D2608" i="383" a="1"/>
  <c r="D2608" i="383" s="1"/>
  <c r="D2607" i="383" a="1"/>
  <c r="D2607" i="383" s="1"/>
  <c r="D2606" i="383" a="1"/>
  <c r="D2606" i="383"/>
  <c r="D2605" i="383" a="1"/>
  <c r="D2605" i="383"/>
  <c r="D2604" i="383" a="1"/>
  <c r="D2604" i="383" s="1"/>
  <c r="D2603" i="383" a="1"/>
  <c r="D2603" i="383"/>
  <c r="D2602" i="383" a="1"/>
  <c r="D2602" i="383"/>
  <c r="D2601" i="383" a="1"/>
  <c r="D2601" i="383" s="1"/>
  <c r="D2600" i="383" a="1"/>
  <c r="D2600" i="383" s="1"/>
  <c r="D2599" i="383" a="1"/>
  <c r="D2599" i="383" s="1"/>
  <c r="D2598" i="383" a="1"/>
  <c r="D2598" i="383" s="1"/>
  <c r="D2597" i="383" a="1"/>
  <c r="D2597" i="383" s="1"/>
  <c r="D2596" i="383" a="1"/>
  <c r="D2596" i="383"/>
  <c r="D2595" i="383" a="1"/>
  <c r="D2595" i="383" s="1"/>
  <c r="D2594" i="383" a="1"/>
  <c r="D2594" i="383"/>
  <c r="D2593" i="383" a="1"/>
  <c r="D2593" i="383"/>
  <c r="D2592" i="383" a="1"/>
  <c r="D2592" i="383" s="1"/>
  <c r="D2591" i="383" a="1"/>
  <c r="D2591" i="383"/>
  <c r="D2590" i="383" a="1"/>
  <c r="D2590" i="383" s="1"/>
  <c r="D2589" i="383" a="1"/>
  <c r="D2589" i="383"/>
  <c r="D2588" i="383" a="1"/>
  <c r="D2588" i="383" s="1"/>
  <c r="D2587" i="383" a="1"/>
  <c r="D2587" i="383" s="1"/>
  <c r="D2586" i="383" a="1"/>
  <c r="D2586" i="383" s="1"/>
  <c r="D2585" i="383" a="1"/>
  <c r="D2585" i="383" s="1"/>
  <c r="D2584" i="383" a="1"/>
  <c r="D2584" i="383" s="1"/>
  <c r="D2583" i="383" a="1"/>
  <c r="D2583" i="383" s="1"/>
  <c r="D2582" i="383" a="1"/>
  <c r="D2582" i="383"/>
  <c r="D2581" i="383" a="1"/>
  <c r="D2581" i="383" s="1"/>
  <c r="D2580" i="383" a="1"/>
  <c r="D2580" i="383"/>
  <c r="D2579" i="383" a="1"/>
  <c r="D2579" i="383" s="1"/>
  <c r="D2578" i="383" a="1"/>
  <c r="D2578" i="383"/>
  <c r="D2577" i="383" a="1"/>
  <c r="D2577" i="383" s="1"/>
  <c r="D2576" i="383" a="1"/>
  <c r="D2576" i="383" s="1"/>
  <c r="D2575" i="383" a="1"/>
  <c r="D2575" i="383"/>
  <c r="D2574" i="383" a="1"/>
  <c r="D2574" i="383" s="1"/>
  <c r="D2573" i="383" a="1"/>
  <c r="D2573" i="383"/>
  <c r="D2572" i="383" a="1"/>
  <c r="D2572" i="383"/>
  <c r="D2571" i="383" a="1"/>
  <c r="D2571" i="383"/>
  <c r="D2570" i="383" a="1"/>
  <c r="D2570" i="383"/>
  <c r="D2569" i="383" a="1"/>
  <c r="D2569" i="383" s="1"/>
  <c r="D2568" i="383" a="1"/>
  <c r="D2568" i="383" s="1"/>
  <c r="D2567" i="383" a="1"/>
  <c r="D2567" i="383" s="1"/>
  <c r="D2566" i="383" a="1"/>
  <c r="D2566" i="383"/>
  <c r="D2565" i="383" a="1"/>
  <c r="D2565" i="383"/>
  <c r="D2564" i="383" a="1"/>
  <c r="D2564" i="383" s="1"/>
  <c r="D2563" i="383" a="1"/>
  <c r="D2563" i="383" s="1"/>
  <c r="D2562" i="383" a="1"/>
  <c r="D2562" i="383"/>
  <c r="D2561" i="383" a="1"/>
  <c r="D2561" i="383"/>
  <c r="D2560" i="383" a="1"/>
  <c r="D2560" i="383" s="1"/>
  <c r="D2559" i="383" a="1"/>
  <c r="D2559" i="383" s="1"/>
  <c r="D2558" i="383" a="1"/>
  <c r="D2558" i="383" s="1"/>
  <c r="D2557" i="383" a="1"/>
  <c r="D2557" i="383"/>
  <c r="D2556" i="383" a="1"/>
  <c r="D2556" i="383"/>
  <c r="D2555" i="383" a="1"/>
  <c r="D2555" i="383"/>
  <c r="D2554" i="383" a="1"/>
  <c r="D2554" i="383" s="1"/>
  <c r="D2553" i="383" a="1"/>
  <c r="D2553" i="383" s="1"/>
  <c r="D2552" i="383" a="1"/>
  <c r="D2552" i="383" s="1"/>
  <c r="D2551" i="383" a="1"/>
  <c r="D2551" i="383"/>
  <c r="D2550" i="383" a="1"/>
  <c r="D2550" i="383"/>
  <c r="D2549" i="383" a="1"/>
  <c r="D2549" i="383"/>
  <c r="D2548" i="383" a="1"/>
  <c r="D2548" i="383" s="1"/>
  <c r="D2547" i="383" a="1"/>
  <c r="D2547" i="383" s="1"/>
  <c r="D2546" i="383" a="1"/>
  <c r="D2546" i="383" s="1"/>
  <c r="D2545" i="383" a="1"/>
  <c r="D2545" i="383"/>
  <c r="D2544" i="383" a="1"/>
  <c r="D2544" i="383" s="1"/>
  <c r="D2543" i="383" a="1"/>
  <c r="D2543" i="383"/>
  <c r="D2542" i="383" a="1"/>
  <c r="D2542" i="383"/>
  <c r="D2541" i="383" a="1"/>
  <c r="D2541" i="383"/>
  <c r="D2540" i="383" a="1"/>
  <c r="D2540" i="383"/>
  <c r="D2539" i="383" a="1"/>
  <c r="D2539" i="383" s="1"/>
  <c r="D2538" i="383" a="1"/>
  <c r="D2538" i="383"/>
  <c r="D2537" i="383" a="1"/>
  <c r="D2537" i="383" s="1"/>
  <c r="D2536" i="383" a="1"/>
  <c r="D2536" i="383" s="1"/>
  <c r="D2535" i="383" a="1"/>
  <c r="D2535" i="383" s="1"/>
  <c r="D2534" i="383" a="1"/>
  <c r="D2534" i="383" s="1"/>
  <c r="D2533" i="383" a="1"/>
  <c r="D2533" i="383" s="1"/>
  <c r="D2532" i="383" a="1"/>
  <c r="D2532" i="383" s="1"/>
  <c r="D2531" i="383" a="1"/>
  <c r="D2531" i="383"/>
  <c r="D2530" i="383" a="1"/>
  <c r="D2530" i="383" s="1"/>
  <c r="D2529" i="383" a="1"/>
  <c r="D2529" i="383"/>
  <c r="D2528" i="383" a="1"/>
  <c r="D2528" i="383" s="1"/>
  <c r="D2527" i="383" a="1"/>
  <c r="D2527" i="383" s="1"/>
  <c r="D2526" i="383" a="1"/>
  <c r="D2526" i="383" s="1"/>
  <c r="D2525" i="383" a="1"/>
  <c r="D2525" i="383" s="1"/>
  <c r="D2524" i="383" a="1"/>
  <c r="D2524" i="383" s="1"/>
  <c r="D2523" i="383" a="1"/>
  <c r="D2523" i="383" s="1"/>
  <c r="D2522" i="383" a="1"/>
  <c r="D2522" i="383"/>
  <c r="D2521" i="383" a="1"/>
  <c r="D2521" i="383"/>
  <c r="D2520" i="383" a="1"/>
  <c r="D2520" i="383" s="1"/>
  <c r="D2519" i="383" a="1"/>
  <c r="D2519" i="383"/>
  <c r="D2518" i="383" a="1"/>
  <c r="D2518" i="383" s="1"/>
  <c r="D2517" i="383" a="1"/>
  <c r="D2517" i="383"/>
  <c r="D2516" i="383" a="1"/>
  <c r="D2516" i="383" s="1"/>
  <c r="D2515" i="383" a="1"/>
  <c r="D2515" i="383"/>
  <c r="D2514" i="383" a="1"/>
  <c r="D2514" i="383"/>
  <c r="D2513" i="383" a="1"/>
  <c r="D2513" i="383" s="1"/>
  <c r="D2512" i="383" a="1"/>
  <c r="D2512" i="383" s="1"/>
  <c r="D2511" i="383" a="1"/>
  <c r="D2511" i="383"/>
  <c r="D2510" i="383" a="1"/>
  <c r="D2510" i="383"/>
  <c r="D2509" i="383" a="1"/>
  <c r="D2509" i="383" s="1"/>
  <c r="D2508" i="383" a="1"/>
  <c r="D2508" i="383"/>
  <c r="D2507" i="383" a="1"/>
  <c r="D2507" i="383" s="1"/>
  <c r="D2506" i="383" a="1"/>
  <c r="D2506" i="383"/>
  <c r="D2505" i="383" a="1"/>
  <c r="D2505" i="383"/>
  <c r="D2504" i="383" a="1"/>
  <c r="D2504" i="383" s="1"/>
  <c r="D2503" i="383" a="1"/>
  <c r="D2503" i="383"/>
  <c r="D2502" i="383" a="1"/>
  <c r="D2502" i="383" s="1"/>
  <c r="D2501" i="383" a="1"/>
  <c r="D2501" i="383"/>
  <c r="D2500" i="383" a="1"/>
  <c r="D2500" i="383" s="1"/>
  <c r="D2499" i="383" a="1"/>
  <c r="D2499" i="383"/>
  <c r="D2498" i="383" a="1"/>
  <c r="D2498" i="383" s="1"/>
  <c r="D2497" i="383" a="1"/>
  <c r="D2497" i="383" s="1"/>
  <c r="D2496" i="383" a="1"/>
  <c r="D2496" i="383" s="1"/>
  <c r="D2495" i="383" a="1"/>
  <c r="D2495" i="383"/>
  <c r="D2494" i="383" a="1"/>
  <c r="D2494" i="383"/>
  <c r="D2493" i="383" a="1"/>
  <c r="D2493" i="383" s="1"/>
  <c r="D2492" i="383" a="1"/>
  <c r="D2492" i="383" s="1"/>
  <c r="D2491" i="383" a="1"/>
  <c r="D2491" i="383"/>
  <c r="D2490" i="383" a="1"/>
  <c r="D2490" i="383"/>
  <c r="D2489" i="383" a="1"/>
  <c r="D2489" i="383"/>
  <c r="D2488" i="383" a="1"/>
  <c r="D2488" i="383" s="1"/>
  <c r="D2487" i="383" a="1"/>
  <c r="D2487" i="383" s="1"/>
  <c r="D2486" i="383" a="1"/>
  <c r="D2486" i="383" s="1"/>
  <c r="D2485" i="383" a="1"/>
  <c r="D2485" i="383"/>
  <c r="D2484" i="383" a="1"/>
  <c r="D2484" i="383"/>
  <c r="D2483" i="383" a="1"/>
  <c r="D2483" i="383"/>
  <c r="D2482" i="383" a="1"/>
  <c r="D2482" i="383"/>
  <c r="D2481" i="383" a="1"/>
  <c r="D2481" i="383" s="1"/>
  <c r="D2480" i="383" a="1"/>
  <c r="D2480" i="383"/>
  <c r="D2479" i="383" a="1"/>
  <c r="D2479" i="383" s="1"/>
  <c r="D2478" i="383" a="1"/>
  <c r="D2478" i="383"/>
  <c r="D2477" i="383" a="1"/>
  <c r="D2477" i="383"/>
  <c r="D2476" i="383" a="1"/>
  <c r="D2476" i="383"/>
  <c r="D2475" i="383" a="1"/>
  <c r="D2475" i="383" s="1"/>
  <c r="D2474" i="383" a="1"/>
  <c r="D2474" i="383" s="1"/>
  <c r="D2473" i="383" a="1"/>
  <c r="D2473" i="383"/>
  <c r="D2472" i="383" a="1"/>
  <c r="D2472" i="383" s="1"/>
  <c r="D2471" i="383" a="1"/>
  <c r="D2471" i="383" s="1"/>
  <c r="D2470" i="383" a="1"/>
  <c r="D2470" i="383"/>
  <c r="D2469" i="383" a="1"/>
  <c r="D2469" i="383" s="1"/>
  <c r="D2468" i="383" a="1"/>
  <c r="D2468" i="383"/>
  <c r="D2467" i="383" a="1"/>
  <c r="D2467" i="383"/>
  <c r="D2466" i="383" a="1"/>
  <c r="D2466" i="383" s="1"/>
  <c r="D2465" i="383" a="1"/>
  <c r="D2465" i="383"/>
  <c r="D2464" i="383" a="1"/>
  <c r="D2464" i="383" s="1"/>
  <c r="D2463" i="383" a="1"/>
  <c r="D2463" i="383" s="1"/>
  <c r="D2462" i="383" a="1"/>
  <c r="D2462" i="383" s="1"/>
  <c r="D2461" i="383" a="1"/>
  <c r="D2461" i="383"/>
  <c r="D2460" i="383" a="1"/>
  <c r="D2460" i="383"/>
  <c r="D2459" i="383" a="1"/>
  <c r="D2459" i="383" s="1"/>
  <c r="D2458" i="383" a="1"/>
  <c r="D2458" i="383" s="1"/>
  <c r="D2457" i="383" a="1"/>
  <c r="D2457" i="383" s="1"/>
  <c r="D2456" i="383" a="1"/>
  <c r="D2456" i="383"/>
  <c r="D2455" i="383" a="1"/>
  <c r="D2455" i="383" s="1"/>
  <c r="D2454" i="383" a="1"/>
  <c r="D2454" i="383"/>
  <c r="D2453" i="383" a="1"/>
  <c r="D2453" i="383"/>
  <c r="D2452" i="383" a="1"/>
  <c r="D2452" i="383" s="1"/>
  <c r="D2451" i="383" a="1"/>
  <c r="D2451" i="383"/>
  <c r="D2450" i="383" a="1"/>
  <c r="D2450" i="383" s="1"/>
  <c r="D2449" i="383" a="1"/>
  <c r="D2449" i="383"/>
  <c r="D2448" i="383" a="1"/>
  <c r="D2448" i="383"/>
  <c r="D2447" i="383" a="1"/>
  <c r="D2447" i="383" s="1"/>
  <c r="D2446" i="383" a="1"/>
  <c r="D2446" i="383" s="1"/>
  <c r="D2445" i="383" a="1"/>
  <c r="D2445" i="383" s="1"/>
  <c r="D2444" i="383" a="1"/>
  <c r="D2444" i="383"/>
  <c r="D2443" i="383" a="1"/>
  <c r="D2443" i="383"/>
  <c r="D2442" i="383" a="1"/>
  <c r="D2442" i="383"/>
  <c r="D2441" i="383" a="1"/>
  <c r="D2441" i="383" s="1"/>
  <c r="D2440" i="383" a="1"/>
  <c r="D2440" i="383" s="1"/>
  <c r="D2439" i="383" a="1"/>
  <c r="D2439" i="383" s="1"/>
  <c r="D2438" i="383" a="1"/>
  <c r="D2438" i="383" s="1"/>
  <c r="D2437" i="383" a="1"/>
  <c r="D2437" i="383"/>
  <c r="D2436" i="383" a="1"/>
  <c r="D2436" i="383"/>
  <c r="D2435" i="383" a="1"/>
  <c r="D2435" i="383" s="1"/>
  <c r="D2434" i="383" a="1"/>
  <c r="D2434" i="383"/>
  <c r="D2433" i="383" a="1"/>
  <c r="D2433" i="383" s="1"/>
  <c r="D2432" i="383" a="1"/>
  <c r="D2432" i="383"/>
  <c r="D2431" i="383" a="1"/>
  <c r="D2431" i="383" s="1"/>
  <c r="D2430" i="383" a="1"/>
  <c r="D2430" i="383" s="1"/>
  <c r="D2429" i="383" a="1"/>
  <c r="D2429" i="383" s="1"/>
  <c r="D2428" i="383" a="1"/>
  <c r="D2428" i="383" s="1"/>
  <c r="D2427" i="383" a="1"/>
  <c r="D2427" i="383"/>
  <c r="D2426" i="383" a="1"/>
  <c r="D2426" i="383"/>
  <c r="D2425" i="383" a="1"/>
  <c r="D2425" i="383" s="1"/>
  <c r="D2424" i="383" a="1"/>
  <c r="D2424" i="383"/>
  <c r="D2423" i="383" a="1"/>
  <c r="D2423" i="383" s="1"/>
  <c r="D2422" i="383" a="1"/>
  <c r="D2422" i="383"/>
  <c r="D2421" i="383" a="1"/>
  <c r="D2421" i="383" s="1"/>
  <c r="D2420" i="383" a="1"/>
  <c r="D2420" i="383"/>
  <c r="D2419" i="383" a="1"/>
  <c r="D2419" i="383"/>
  <c r="D2418" i="383" a="1"/>
  <c r="D2418" i="383" s="1"/>
  <c r="D2417" i="383" a="1"/>
  <c r="D2417" i="383"/>
  <c r="D2416" i="383" a="1"/>
  <c r="D2416" i="383" s="1"/>
  <c r="D2415" i="383" a="1"/>
  <c r="D2415" i="383" s="1"/>
  <c r="D2414" i="383" a="1"/>
  <c r="D2414" i="383" s="1"/>
  <c r="D2413" i="383" a="1"/>
  <c r="D2413" i="383"/>
  <c r="D2412" i="383" a="1"/>
  <c r="D2412" i="383" s="1"/>
  <c r="D2411" i="383" a="1"/>
  <c r="D2411" i="383" s="1"/>
  <c r="D2410" i="383" a="1"/>
  <c r="D2410" i="383" s="1"/>
  <c r="D2409" i="383" a="1"/>
  <c r="D2409" i="383"/>
  <c r="D2408" i="383" a="1"/>
  <c r="D2408" i="383"/>
  <c r="D2407" i="383" a="1"/>
  <c r="D2407" i="383" s="1"/>
  <c r="D2406" i="383" a="1"/>
  <c r="D2406" i="383"/>
  <c r="D2405" i="383" a="1"/>
  <c r="D2405" i="383"/>
  <c r="D2404" i="383" a="1"/>
  <c r="D2404" i="383" s="1"/>
  <c r="D2403" i="383" a="1"/>
  <c r="D2403" i="383"/>
  <c r="D2402" i="383" a="1"/>
  <c r="D2402" i="383"/>
  <c r="D2401" i="383" a="1"/>
  <c r="D2401" i="383" s="1"/>
  <c r="D2400" i="383" a="1"/>
  <c r="D2400" i="383"/>
  <c r="D2399" i="383" a="1"/>
  <c r="D2399" i="383" s="1"/>
  <c r="D2398" i="383" a="1"/>
  <c r="D2398" i="383" s="1"/>
  <c r="D2397" i="383" a="1"/>
  <c r="D2397" i="383" s="1"/>
  <c r="D2396" i="383" a="1"/>
  <c r="D2396" i="383" s="1"/>
  <c r="D2395" i="383" a="1"/>
  <c r="D2395" i="383" s="1"/>
  <c r="D2394" i="383" a="1"/>
  <c r="D2394" i="383" s="1"/>
  <c r="D2393" i="383" a="1"/>
  <c r="D2393" i="383"/>
  <c r="D2392" i="383" a="1"/>
  <c r="D2392" i="383"/>
  <c r="D2391" i="383" a="1"/>
  <c r="D2391" i="383" s="1"/>
  <c r="D2390" i="383" a="1"/>
  <c r="D2390" i="383"/>
  <c r="D2389" i="383" a="1"/>
  <c r="D2389" i="383" s="1"/>
  <c r="D2388" i="383" a="1"/>
  <c r="D2388" i="383"/>
  <c r="D2387" i="383" a="1"/>
  <c r="D2387" i="383"/>
  <c r="D2386" i="383" a="1"/>
  <c r="D2386" i="383"/>
  <c r="D2385" i="383" a="1"/>
  <c r="D2385" i="383"/>
  <c r="D2384" i="383" a="1"/>
  <c r="D2384" i="383" s="1"/>
  <c r="D2383" i="383" a="1"/>
  <c r="D2383" i="383" s="1"/>
  <c r="D2382" i="383" a="1"/>
  <c r="D2382" i="383" s="1"/>
  <c r="D2381" i="383" a="1"/>
  <c r="D2381" i="383"/>
  <c r="D2380" i="383" a="1"/>
  <c r="D2380" i="383" s="1"/>
  <c r="D2379" i="383" a="1"/>
  <c r="D2379" i="383" s="1"/>
  <c r="D2378" i="383" a="1"/>
  <c r="D2378" i="383" s="1"/>
  <c r="D2377" i="383" a="1"/>
  <c r="D2377" i="383" s="1"/>
  <c r="D2376" i="383" a="1"/>
  <c r="D2376" i="383" s="1"/>
  <c r="D2375" i="383" a="1"/>
  <c r="D2375" i="383" s="1"/>
  <c r="D2374" i="383" a="1"/>
  <c r="D2374" i="383"/>
  <c r="D2373" i="383" a="1"/>
  <c r="D2373" i="383"/>
  <c r="D2372" i="383" a="1"/>
  <c r="D2372" i="383" s="1"/>
  <c r="D2371" i="383" a="1"/>
  <c r="D2371" i="383"/>
  <c r="D2370" i="383" a="1"/>
  <c r="D2370" i="383" s="1"/>
  <c r="D2369" i="383" a="1"/>
  <c r="D2369" i="383"/>
  <c r="D2368" i="383" a="1"/>
  <c r="D2368" i="383"/>
  <c r="D2367" i="383" a="1"/>
  <c r="D2367" i="383" s="1"/>
  <c r="D2366" i="383" a="1"/>
  <c r="D2366" i="383"/>
  <c r="D2365" i="383" a="1"/>
  <c r="D2365" i="383"/>
  <c r="D2364" i="383" a="1"/>
  <c r="D2364" i="383" s="1"/>
  <c r="D2363" i="383" a="1"/>
  <c r="D2363" i="383" s="1"/>
  <c r="D2362" i="383" a="1"/>
  <c r="D2362" i="383"/>
  <c r="D2361" i="383" a="1"/>
  <c r="D2361" i="383" s="1"/>
  <c r="D2360" i="383" a="1"/>
  <c r="D2360" i="383" s="1"/>
  <c r="D2359" i="383" a="1"/>
  <c r="D2359" i="383" s="1"/>
  <c r="D2358" i="383" a="1"/>
  <c r="D2358" i="383" s="1"/>
  <c r="D2357" i="383" a="1"/>
  <c r="D2357" i="383"/>
  <c r="D2356" i="383" a="1"/>
  <c r="D2356" i="383"/>
  <c r="D2355" i="383" a="1"/>
  <c r="D2355" i="383" s="1"/>
  <c r="D2354" i="383" a="1"/>
  <c r="D2354" i="383"/>
  <c r="D2353" i="383" a="1"/>
  <c r="D2353" i="383" s="1"/>
  <c r="D2352" i="383" a="1"/>
  <c r="D2352" i="383"/>
  <c r="D2351" i="383" a="1"/>
  <c r="D2351" i="383" s="1"/>
  <c r="D2350" i="383" a="1"/>
  <c r="D2350" i="383" s="1"/>
  <c r="D2349" i="383" a="1"/>
  <c r="D2349" i="383"/>
  <c r="D2348" i="383" a="1"/>
  <c r="D2348" i="383" s="1"/>
  <c r="D2347" i="383" a="1"/>
  <c r="D2347" i="383"/>
  <c r="D2346" i="383" a="1"/>
  <c r="D2346" i="383" s="1"/>
  <c r="D2345" i="383" a="1"/>
  <c r="D2345" i="383" s="1"/>
  <c r="D2344" i="383" a="1"/>
  <c r="D2344" i="383" s="1"/>
  <c r="D2343" i="383" a="1"/>
  <c r="D2343" i="383" s="1"/>
  <c r="D2342" i="383" a="1"/>
  <c r="D2342" i="383"/>
  <c r="D2341" i="383" a="1"/>
  <c r="D2341" i="383" s="1"/>
  <c r="D2340" i="383" a="1"/>
  <c r="D2340" i="383"/>
  <c r="D2339" i="383" a="1"/>
  <c r="D2339" i="383"/>
  <c r="D2338" i="383" a="1"/>
  <c r="D2338" i="383" s="1"/>
  <c r="D2337" i="383" a="1"/>
  <c r="D2337" i="383"/>
  <c r="D2336" i="383" a="1"/>
  <c r="D2336" i="383"/>
  <c r="D2335" i="383" a="1"/>
  <c r="D2335" i="383" s="1"/>
  <c r="D2334" i="383" a="1"/>
  <c r="D2334" i="383" s="1"/>
  <c r="D2333" i="383" a="1"/>
  <c r="D2333" i="383" s="1"/>
  <c r="D2332" i="383" a="1"/>
  <c r="D2332" i="383"/>
  <c r="D2331" i="383" a="1"/>
  <c r="D2331" i="383" s="1"/>
  <c r="D2330" i="383" a="1"/>
  <c r="D2330" i="383" s="1"/>
  <c r="D2329" i="383" a="1"/>
  <c r="D2329" i="383" s="1"/>
  <c r="D2328" i="383" a="1"/>
  <c r="D2328" i="383"/>
  <c r="D2327" i="383" a="1"/>
  <c r="D2327" i="383" s="1"/>
  <c r="D2326" i="383" a="1"/>
  <c r="D2326" i="383"/>
  <c r="D2325" i="383" a="1"/>
  <c r="D2325" i="383"/>
  <c r="D2324" i="383" a="1"/>
  <c r="D2324" i="383" s="1"/>
  <c r="D2323" i="383" a="1"/>
  <c r="D2323" i="383"/>
  <c r="D2322" i="383" a="1"/>
  <c r="D2322" i="383" s="1"/>
  <c r="D2321" i="383" a="1"/>
  <c r="D2321" i="383" s="1"/>
  <c r="D2320" i="383" a="1"/>
  <c r="D2320" i="383" s="1"/>
  <c r="D2319" i="383" a="1"/>
  <c r="D2319" i="383" s="1"/>
  <c r="D2318" i="383" a="1"/>
  <c r="D2318" i="383" s="1"/>
  <c r="D2317" i="383" a="1"/>
  <c r="D2317" i="383" s="1"/>
  <c r="D2316" i="383" a="1"/>
  <c r="D2316" i="383"/>
  <c r="D2315" i="383" a="1"/>
  <c r="D2315" i="383"/>
  <c r="D2314" i="383" a="1"/>
  <c r="D2314" i="383"/>
  <c r="D2313" i="383" a="1"/>
  <c r="D2313" i="383" s="1"/>
  <c r="D2312" i="383" a="1"/>
  <c r="D2312" i="383"/>
  <c r="D2311" i="383" a="1"/>
  <c r="D2311" i="383" s="1"/>
  <c r="D2310" i="383" a="1"/>
  <c r="D2310" i="383" s="1"/>
  <c r="D2309" i="383" a="1"/>
  <c r="D2309" i="383"/>
  <c r="D2308" i="383" a="1"/>
  <c r="D2308" i="383"/>
  <c r="D2307" i="383" a="1"/>
  <c r="D2307" i="383" s="1"/>
  <c r="D2306" i="383" a="1"/>
  <c r="D2306" i="383"/>
  <c r="D2305" i="383" a="1"/>
  <c r="D2305" i="383"/>
  <c r="D2304" i="383" a="1"/>
  <c r="D2304" i="383" s="1"/>
  <c r="D2303" i="383" a="1"/>
  <c r="D2303" i="383" s="1"/>
  <c r="D2302" i="383" a="1"/>
  <c r="D2302" i="383" s="1"/>
  <c r="D2301" i="383" a="1"/>
  <c r="D2301" i="383" s="1"/>
  <c r="D2300" i="383" a="1"/>
  <c r="D2300" i="383" s="1"/>
  <c r="D2299" i="383" a="1"/>
  <c r="D2299" i="383"/>
  <c r="D2298" i="383" a="1"/>
  <c r="D2298" i="383"/>
  <c r="D2297" i="383" a="1"/>
  <c r="D2297" i="383" s="1"/>
  <c r="D2296" i="383" a="1"/>
  <c r="D2296" i="383" s="1"/>
  <c r="D2295" i="383" a="1"/>
  <c r="D2295" i="383" s="1"/>
  <c r="D2294" i="383" a="1"/>
  <c r="D2294" i="383" s="1"/>
  <c r="D2293" i="383" a="1"/>
  <c r="D2293" i="383"/>
  <c r="D2292" i="383" a="1"/>
  <c r="D2292" i="383"/>
  <c r="D2291" i="383" a="1"/>
  <c r="D2291" i="383"/>
  <c r="D2290" i="383" a="1"/>
  <c r="D2290" i="383" s="1"/>
  <c r="D2289" i="383" a="1"/>
  <c r="D2289" i="383"/>
  <c r="D2288" i="383" a="1"/>
  <c r="D2288" i="383" s="1"/>
  <c r="D2287" i="383" a="1"/>
  <c r="D2287" i="383" s="1"/>
  <c r="D2286" i="383" a="1"/>
  <c r="D2286" i="383"/>
  <c r="D2285" i="383" a="1"/>
  <c r="D2285" i="383" s="1"/>
  <c r="D2284" i="383" a="1"/>
  <c r="D2284" i="383" s="1"/>
  <c r="D2283" i="383" a="1"/>
  <c r="D2283" i="383" s="1"/>
  <c r="D2282" i="383" a="1"/>
  <c r="D2282" i="383"/>
  <c r="D2281" i="383" a="1"/>
  <c r="D2281" i="383"/>
  <c r="D2280" i="383" a="1"/>
  <c r="D2280" i="383" s="1"/>
  <c r="D2279" i="383" a="1"/>
  <c r="D2279" i="383" s="1"/>
  <c r="D2278" i="383" a="1"/>
  <c r="D2278" i="383" s="1"/>
  <c r="D2277" i="383" a="1"/>
  <c r="D2277" i="383" s="1"/>
  <c r="D2276" i="383" a="1"/>
  <c r="D2276" i="383"/>
  <c r="D2275" i="383" a="1"/>
  <c r="D2275" i="383"/>
  <c r="D2274" i="383" a="1"/>
  <c r="D2274" i="383"/>
  <c r="D2273" i="383" a="1"/>
  <c r="D2273" i="383" s="1"/>
  <c r="D2272" i="383" a="1"/>
  <c r="D2272" i="383"/>
  <c r="D2271" i="383" a="1"/>
  <c r="D2271" i="383" s="1"/>
  <c r="D2270" i="383" a="1"/>
  <c r="D2270" i="383"/>
  <c r="D2269" i="383" a="1"/>
  <c r="D2269" i="383" s="1"/>
  <c r="D2268" i="383" a="1"/>
  <c r="D2268" i="383" s="1"/>
  <c r="D2267" i="383" a="1"/>
  <c r="D2267" i="383" s="1"/>
  <c r="D2266" i="383" a="1"/>
  <c r="D2266" i="383" s="1"/>
  <c r="D2265" i="383" a="1"/>
  <c r="D2265" i="383" s="1"/>
  <c r="D2264" i="383" a="1"/>
  <c r="D2264" i="383"/>
  <c r="D2263" i="383" a="1"/>
  <c r="D2263" i="383" s="1"/>
  <c r="D2262" i="383" a="1"/>
  <c r="D2262" i="383"/>
  <c r="D2261" i="383" a="1"/>
  <c r="D2261" i="383" s="1"/>
  <c r="D2260" i="383" a="1"/>
  <c r="D2260" i="383"/>
  <c r="D2259" i="383" a="1"/>
  <c r="D2259" i="383" s="1"/>
  <c r="D2258" i="383" a="1"/>
  <c r="D2258" i="383"/>
  <c r="D2257" i="383" a="1"/>
  <c r="D2257" i="383"/>
  <c r="D2256" i="383" a="1"/>
  <c r="D2256" i="383" s="1"/>
  <c r="D2255" i="383" a="1"/>
  <c r="D2255" i="383" s="1"/>
  <c r="D2254" i="383" a="1"/>
  <c r="D2254" i="383"/>
  <c r="D2253" i="383" a="1"/>
  <c r="D2253" i="383" s="1"/>
  <c r="D2252" i="383" a="1"/>
  <c r="D2252" i="383" s="1"/>
  <c r="D2251" i="383" a="1"/>
  <c r="D2251" i="383" s="1"/>
  <c r="D2250" i="383" a="1"/>
  <c r="D2250" i="383" s="1"/>
  <c r="D2249" i="383" a="1"/>
  <c r="D2249" i="383" s="1"/>
  <c r="D2248" i="383" a="1"/>
  <c r="D2248" i="383"/>
  <c r="D2247" i="383" a="1"/>
  <c r="D2247" i="383" s="1"/>
  <c r="D2246" i="383" a="1"/>
  <c r="D2246" i="383"/>
  <c r="D2245" i="383" a="1"/>
  <c r="D2245" i="383" s="1"/>
  <c r="D2244" i="383" a="1"/>
  <c r="D2244" i="383" s="1"/>
  <c r="D2243" i="383" a="1"/>
  <c r="D2243" i="383"/>
  <c r="D2242" i="383" a="1"/>
  <c r="D2242" i="383"/>
  <c r="D2241" i="383" a="1"/>
  <c r="D2241" i="383"/>
  <c r="D2240" i="383" a="1"/>
  <c r="D2240" i="383"/>
  <c r="D2239" i="383" a="1"/>
  <c r="D2239" i="383" s="1"/>
  <c r="D2238" i="383" a="1"/>
  <c r="D2238" i="383"/>
  <c r="D2237" i="383" a="1"/>
  <c r="D2237" i="383"/>
  <c r="D2236" i="383" a="1"/>
  <c r="D2236" i="383"/>
  <c r="D2235" i="383" a="1"/>
  <c r="D2235" i="383" s="1"/>
  <c r="D2234" i="383" a="1"/>
  <c r="D2234" i="383" s="1"/>
  <c r="D2233" i="383" a="1"/>
  <c r="D2233" i="383" s="1"/>
  <c r="D2232" i="383" a="1"/>
  <c r="D2232" i="383" s="1"/>
  <c r="D2231" i="383" a="1"/>
  <c r="D2231" i="383" s="1"/>
  <c r="D2230" i="383" a="1"/>
  <c r="D2230" i="383" s="1"/>
  <c r="D2229" i="383" a="1"/>
  <c r="D2229" i="383"/>
  <c r="D2228" i="383" a="1"/>
  <c r="D2228" i="383" s="1"/>
  <c r="D2227" i="383" a="1"/>
  <c r="D2227" i="383"/>
  <c r="D2226" i="383" a="1"/>
  <c r="D2226" i="383"/>
  <c r="D2225" i="383" a="1"/>
  <c r="D2225" i="383" s="1"/>
  <c r="D2224" i="383" a="1"/>
  <c r="D2224" i="383"/>
  <c r="D2223" i="383" a="1"/>
  <c r="D2223" i="383" s="1"/>
  <c r="D2222" i="383" a="1"/>
  <c r="D2222" i="383" s="1"/>
  <c r="D2221" i="383" a="1"/>
  <c r="D2221" i="383"/>
  <c r="D2220" i="383" a="1"/>
  <c r="D2220" i="383"/>
  <c r="D2219" i="383" a="1"/>
  <c r="D2219" i="383"/>
  <c r="D2218" i="383" a="1"/>
  <c r="D2218" i="383" s="1"/>
  <c r="D2217" i="383" a="1"/>
  <c r="D2217" i="383" s="1"/>
  <c r="D2216" i="383" a="1"/>
  <c r="D2216" i="383" s="1"/>
  <c r="D2215" i="383" a="1"/>
  <c r="D2215" i="383" s="1"/>
  <c r="D2214" i="383" a="1"/>
  <c r="D2214" i="383"/>
  <c r="D2213" i="383" a="1"/>
  <c r="D2213" i="383" s="1"/>
  <c r="D2212" i="383" a="1"/>
  <c r="D2212" i="383"/>
  <c r="D2211" i="383" a="1"/>
  <c r="D2211" i="383"/>
  <c r="D2210" i="383" a="1"/>
  <c r="D2210" i="383" s="1"/>
  <c r="D2209" i="383" a="1"/>
  <c r="D2209" i="383"/>
  <c r="D2208" i="383" a="1"/>
  <c r="D2208" i="383"/>
  <c r="D2207" i="383" a="1"/>
  <c r="D2207" i="383" s="1"/>
  <c r="D2206" i="383" a="1"/>
  <c r="D2206" i="383" s="1"/>
  <c r="D2205" i="383" a="1"/>
  <c r="D2205" i="383" s="1"/>
  <c r="D2204" i="383" a="1"/>
  <c r="D2204" i="383"/>
  <c r="D2203" i="383" a="1"/>
  <c r="D2203" i="383" s="1"/>
  <c r="D2202" i="383" a="1"/>
  <c r="D2202" i="383"/>
  <c r="D2201" i="383" a="1"/>
  <c r="D2201" i="383" s="1"/>
  <c r="D2200" i="383" a="1"/>
  <c r="D2200" i="383" s="1"/>
  <c r="D2199" i="383" a="1"/>
  <c r="D2199" i="383" s="1"/>
  <c r="D2198" i="383" a="1"/>
  <c r="D2198" i="383" s="1"/>
  <c r="D2197" i="383" a="1"/>
  <c r="D2197" i="383"/>
  <c r="D2196" i="383" a="1"/>
  <c r="D2196" i="383" s="1"/>
  <c r="D2195" i="383" a="1"/>
  <c r="D2195" i="383"/>
  <c r="D2194" i="383" a="1"/>
  <c r="D2194" i="383" s="1"/>
  <c r="D2193" i="383" a="1"/>
  <c r="D2193" i="383"/>
  <c r="D2192" i="383" a="1"/>
  <c r="D2192" i="383" s="1"/>
  <c r="D2191" i="383" a="1"/>
  <c r="D2191" i="383" s="1"/>
  <c r="D2190" i="383" a="1"/>
  <c r="D2190" i="383" s="1"/>
  <c r="D2189" i="383" a="1"/>
  <c r="D2189" i="383" s="1"/>
  <c r="D2188" i="383" a="1"/>
  <c r="D2188" i="383" s="1"/>
  <c r="D2187" i="383" a="1"/>
  <c r="D2187" i="383"/>
  <c r="D2186" i="383" a="1"/>
  <c r="D2186" i="383" s="1"/>
  <c r="D2185" i="383" a="1"/>
  <c r="D2185" i="383" s="1"/>
  <c r="D2184" i="383" a="1"/>
  <c r="D2184" i="383"/>
  <c r="D2183" i="383" a="1"/>
  <c r="D2183" i="383" s="1"/>
  <c r="D2182" i="383" a="1"/>
  <c r="D2182" i="383"/>
  <c r="D2181" i="383" a="1"/>
  <c r="D2181" i="383" s="1"/>
  <c r="D2180" i="383" a="1"/>
  <c r="D2180" i="383"/>
  <c r="D2179" i="383" a="1"/>
  <c r="D2179" i="383" s="1"/>
  <c r="D2178" i="383" a="1"/>
  <c r="D2178" i="383"/>
  <c r="D2177" i="383" a="1"/>
  <c r="D2177" i="383" s="1"/>
  <c r="D2176" i="383" a="1"/>
  <c r="D2176" i="383" s="1"/>
  <c r="D2175" i="383" a="1"/>
  <c r="D2175" i="383" s="1"/>
  <c r="D2174" i="383" a="1"/>
  <c r="D2174" i="383"/>
  <c r="D2173" i="383" a="1"/>
  <c r="D2173" i="383"/>
  <c r="D2172" i="383" a="1"/>
  <c r="D2172" i="383" s="1"/>
  <c r="D2171" i="383" a="1"/>
  <c r="D2171" i="383"/>
  <c r="D2170" i="383" a="1"/>
  <c r="D2170" i="383"/>
  <c r="D2169" i="383" a="1"/>
  <c r="D2169" i="383" s="1"/>
  <c r="D2168" i="383" a="1"/>
  <c r="D2168" i="383"/>
  <c r="D2167" i="383" a="1"/>
  <c r="D2167" i="383" s="1"/>
  <c r="D2166" i="383" a="1"/>
  <c r="D2166" i="383" s="1"/>
  <c r="D2165" i="383" a="1"/>
  <c r="D2165" i="383"/>
  <c r="D2164" i="383" a="1"/>
  <c r="D2164" i="383"/>
  <c r="D2163" i="383" a="1"/>
  <c r="D2163" i="383"/>
  <c r="D2162" i="383" a="1"/>
  <c r="D2162" i="383" s="1"/>
  <c r="D2161" i="383" a="1"/>
  <c r="D2161" i="383"/>
  <c r="D2160" i="383" a="1"/>
  <c r="D2160" i="383" s="1"/>
  <c r="D2159" i="383" a="1"/>
  <c r="D2159" i="383" s="1"/>
  <c r="D2158" i="383" a="1"/>
  <c r="D2158" i="383" s="1"/>
  <c r="D2157" i="383" a="1"/>
  <c r="D2157" i="383" s="1"/>
  <c r="D2156" i="383" a="1"/>
  <c r="D2156" i="383"/>
  <c r="D2155" i="383" a="1"/>
  <c r="D2155" i="383" s="1"/>
  <c r="D2154" i="383" a="1"/>
  <c r="D2154" i="383"/>
  <c r="D2153" i="383" a="1"/>
  <c r="D2153" i="383"/>
  <c r="D2152" i="383" a="1"/>
  <c r="D2152" i="383" s="1"/>
  <c r="D2151" i="383" a="1"/>
  <c r="D2151" i="383" s="1"/>
  <c r="D2150" i="383" a="1"/>
  <c r="D2150" i="383"/>
  <c r="D2149" i="383" a="1"/>
  <c r="D2149" i="383" s="1"/>
  <c r="D2148" i="383" a="1"/>
  <c r="D2148" i="383" s="1"/>
  <c r="D2147" i="383" a="1"/>
  <c r="D2147" i="383"/>
  <c r="D2146" i="383" a="1"/>
  <c r="D2146" i="383"/>
  <c r="D2145" i="383" a="1"/>
  <c r="D2145" i="383" s="1"/>
  <c r="D2144" i="383" a="1"/>
  <c r="D2144" i="383"/>
  <c r="D2143" i="383" a="1"/>
  <c r="D2143" i="383" s="1"/>
  <c r="D2142" i="383" a="1"/>
  <c r="D2142" i="383"/>
  <c r="D2141" i="383" a="1"/>
  <c r="D2141" i="383"/>
  <c r="D2140" i="383" a="1"/>
  <c r="D2140" i="383" s="1"/>
  <c r="D2139" i="383" a="1"/>
  <c r="D2139" i="383" s="1"/>
  <c r="D2138" i="383" a="1"/>
  <c r="D2138" i="383" s="1"/>
  <c r="D2137" i="383" a="1"/>
  <c r="D2137" i="383" s="1"/>
  <c r="D2136" i="383" a="1"/>
  <c r="D2136" i="383"/>
  <c r="D2135" i="383" a="1"/>
  <c r="D2135" i="383" s="1"/>
  <c r="D2134" i="383" a="1"/>
  <c r="D2134" i="383" s="1"/>
  <c r="D2133" i="383" a="1"/>
  <c r="D2133" i="383"/>
  <c r="D2132" i="383" a="1"/>
  <c r="D2132" i="383"/>
  <c r="D2131" i="383" a="1"/>
  <c r="D2131" i="383" s="1"/>
  <c r="D2130" i="383" a="1"/>
  <c r="D2130" i="383" s="1"/>
  <c r="D2129" i="383" a="1"/>
  <c r="D2129" i="383"/>
  <c r="D2128" i="383" a="1"/>
  <c r="D2128" i="383" s="1"/>
  <c r="D2127" i="383" a="1"/>
  <c r="D2127" i="383" s="1"/>
  <c r="D2126" i="383" a="1"/>
  <c r="D2126" i="383" s="1"/>
  <c r="D2125" i="383" a="1"/>
  <c r="D2125" i="383" s="1"/>
  <c r="D2124" i="383" a="1"/>
  <c r="D2124" i="383"/>
  <c r="D2123" i="383" a="1"/>
  <c r="D2123" i="383"/>
  <c r="D2122" i="383" a="1"/>
  <c r="D2122" i="383" s="1"/>
  <c r="D2121" i="383" a="1"/>
  <c r="D2121" i="383" s="1"/>
  <c r="D2120" i="383" a="1"/>
  <c r="D2120" i="383"/>
  <c r="D2119" i="383" a="1"/>
  <c r="D2119" i="383" s="1"/>
  <c r="D2118" i="383" a="1"/>
  <c r="D2118" i="383"/>
  <c r="D2117" i="383" a="1"/>
  <c r="D2117" i="383" s="1"/>
  <c r="D2116" i="383" a="1"/>
  <c r="D2116" i="383" s="1"/>
  <c r="D2115" i="383" a="1"/>
  <c r="D2115" i="383"/>
  <c r="D2114" i="383" a="1"/>
  <c r="D2114" i="383"/>
  <c r="D2113" i="383" a="1"/>
  <c r="D2113" i="383" s="1"/>
  <c r="D2112" i="383" a="1"/>
  <c r="D2112" i="383"/>
  <c r="D2111" i="383" a="1"/>
  <c r="D2111" i="383" s="1"/>
  <c r="D2110" i="383" a="1"/>
  <c r="D2110" i="383"/>
  <c r="D2109" i="383" a="1"/>
  <c r="D2109" i="383"/>
  <c r="D2108" i="383" a="1"/>
  <c r="D2108" i="383"/>
  <c r="D2107" i="383" a="1"/>
  <c r="D2107" i="383"/>
  <c r="D2106" i="383" a="1"/>
  <c r="D2106" i="383" s="1"/>
  <c r="D2105" i="383" a="1"/>
  <c r="D2105" i="383"/>
  <c r="D2104" i="383" a="1"/>
  <c r="D2104" i="383" s="1"/>
  <c r="D2103" i="383" a="1"/>
  <c r="D2103" i="383" s="1"/>
  <c r="D2102" i="383" a="1"/>
  <c r="D2102" i="383" s="1"/>
  <c r="D2101" i="383" a="1"/>
  <c r="D2101" i="383"/>
  <c r="D2100" i="383" a="1"/>
  <c r="D2100" i="383"/>
  <c r="D2099" i="383" a="1"/>
  <c r="D2099" i="383" s="1"/>
  <c r="D2098" i="383" a="1"/>
  <c r="D2098" i="383" s="1"/>
  <c r="D2097" i="383" a="1"/>
  <c r="D2097" i="383"/>
  <c r="D2096" i="383" a="1"/>
  <c r="D2096" i="383"/>
  <c r="D2095" i="383" a="1"/>
  <c r="D2095" i="383" s="1"/>
  <c r="D2094" i="383" a="1"/>
  <c r="D2094" i="383" s="1"/>
  <c r="D2093" i="383" a="1"/>
  <c r="D2093" i="383"/>
  <c r="D2092" i="383" a="1"/>
  <c r="D2092" i="383" s="1"/>
  <c r="D2091" i="383" a="1"/>
  <c r="D2091" i="383"/>
  <c r="D2090" i="383" a="1"/>
  <c r="D2090" i="383"/>
  <c r="D2089" i="383" a="1"/>
  <c r="D2089" i="383"/>
  <c r="D2088" i="383" a="1"/>
  <c r="D2088" i="383" s="1"/>
  <c r="D2087" i="383" a="1"/>
  <c r="D2087" i="383" s="1"/>
  <c r="D2086" i="383" a="1"/>
  <c r="D2086" i="383"/>
  <c r="D2085" i="383" a="1"/>
  <c r="D2085" i="383" s="1"/>
  <c r="D2084" i="383" a="1"/>
  <c r="D2084" i="383"/>
  <c r="D2083" i="383" a="1"/>
  <c r="D2083" i="383" s="1"/>
  <c r="D2082" i="383" a="1"/>
  <c r="D2082" i="383"/>
  <c r="D2081" i="383" a="1"/>
  <c r="D2081" i="383"/>
  <c r="D2080" i="383" a="1"/>
  <c r="D2080" i="383" s="1"/>
  <c r="D2079" i="383" a="1"/>
  <c r="D2079" i="383" s="1"/>
  <c r="D2078" i="383" a="1"/>
  <c r="D2078" i="383" s="1"/>
  <c r="D2077" i="383" a="1"/>
  <c r="D2077" i="383" s="1"/>
  <c r="D2076" i="383" a="1"/>
  <c r="D2076" i="383"/>
  <c r="D2075" i="383" a="1"/>
  <c r="D2075" i="383"/>
  <c r="D2074" i="383" a="1"/>
  <c r="D2074" i="383" s="1"/>
  <c r="D2073" i="383" a="1"/>
  <c r="D2073" i="383"/>
  <c r="D2072" i="383" a="1"/>
  <c r="D2072" i="383"/>
  <c r="D2071" i="383" a="1"/>
  <c r="D2071" i="383" s="1"/>
  <c r="D2070" i="383" a="1"/>
  <c r="D2070" i="383"/>
  <c r="D2069" i="383" a="1"/>
  <c r="D2069" i="383"/>
  <c r="D2068" i="383" a="1"/>
  <c r="D2068" i="383" s="1"/>
  <c r="D2067" i="383" a="1"/>
  <c r="D2067" i="383"/>
  <c r="D2066" i="383" a="1"/>
  <c r="D2066" i="383"/>
  <c r="D2065" i="383" a="1"/>
  <c r="D2065" i="383" s="1"/>
  <c r="D2064" i="383" a="1"/>
  <c r="D2064" i="383" s="1"/>
  <c r="D2063" i="383" a="1"/>
  <c r="D2063" i="383" s="1"/>
  <c r="D2062" i="383" a="1"/>
  <c r="D2062" i="383" s="1"/>
  <c r="D2061" i="383" a="1"/>
  <c r="D2061" i="383" s="1"/>
  <c r="D2060" i="383" a="1"/>
  <c r="D2060" i="383"/>
  <c r="D2059" i="383" a="1"/>
  <c r="D2059" i="383"/>
  <c r="D2058" i="383" a="1"/>
  <c r="D2058" i="383" s="1"/>
  <c r="D2057" i="383" a="1"/>
  <c r="D2057" i="383"/>
  <c r="D2056" i="383" a="1"/>
  <c r="D2056" i="383" s="1"/>
  <c r="D2055" i="383" a="1"/>
  <c r="D2055" i="383" s="1"/>
  <c r="D2054" i="383" a="1"/>
  <c r="D2054" i="383" s="1"/>
  <c r="D2053" i="383" a="1"/>
  <c r="D2053" i="383" s="1"/>
  <c r="D2052" i="383" a="1"/>
  <c r="D2052" i="383"/>
  <c r="D2051" i="383" a="1"/>
  <c r="D2051" i="383" s="1"/>
  <c r="D2050" i="383" a="1"/>
  <c r="D2050" i="383"/>
  <c r="D2049" i="383" a="1"/>
  <c r="D2049" i="383" s="1"/>
  <c r="D2048" i="383" a="1"/>
  <c r="D2048" i="383"/>
  <c r="D2047" i="383" a="1"/>
  <c r="D2047" i="383" s="1"/>
  <c r="D2046" i="383" a="1"/>
  <c r="D2046" i="383"/>
  <c r="D2045" i="383" a="1"/>
  <c r="D2045" i="383" s="1"/>
  <c r="D2044" i="383" a="1"/>
  <c r="D2044" i="383" s="1"/>
  <c r="D2043" i="383" a="1"/>
  <c r="D2043" i="383" s="1"/>
  <c r="D2042" i="383" a="1"/>
  <c r="D2042" i="383"/>
  <c r="D2041" i="383" a="1"/>
  <c r="D2041" i="383"/>
  <c r="D2040" i="383" a="1"/>
  <c r="D2040" i="383" s="1"/>
  <c r="D2039" i="383" a="1"/>
  <c r="D2039" i="383" s="1"/>
  <c r="D2038" i="383" a="1"/>
  <c r="D2038" i="383"/>
  <c r="D2037" i="383" a="1"/>
  <c r="D2037" i="383"/>
  <c r="D2036" i="383" a="1"/>
  <c r="D2036" i="383" s="1"/>
  <c r="D2035" i="383" a="1"/>
  <c r="D2035" i="383"/>
  <c r="D2034" i="383" a="1"/>
  <c r="D2034" i="383" s="1"/>
  <c r="D2033" i="383" a="1"/>
  <c r="D2033" i="383"/>
  <c r="D2032" i="383" a="1"/>
  <c r="D2032" i="383"/>
  <c r="D2031" i="383" a="1"/>
  <c r="D2031" i="383" s="1"/>
  <c r="D2030" i="383" a="1"/>
  <c r="D2030" i="383" s="1"/>
  <c r="D2029" i="383" a="1"/>
  <c r="D2029" i="383"/>
  <c r="D2028" i="383" a="1"/>
  <c r="D2028" i="383"/>
  <c r="D2027" i="383" a="1"/>
  <c r="D2027" i="383" s="1"/>
  <c r="D2026" i="383" a="1"/>
  <c r="D2026" i="383"/>
  <c r="D2025" i="383" a="1"/>
  <c r="D2025" i="383"/>
  <c r="D2024" i="383" a="1"/>
  <c r="D2024" i="383" s="1"/>
  <c r="D2023" i="383" a="1"/>
  <c r="D2023" i="383" s="1"/>
  <c r="D2022" i="383" a="1"/>
  <c r="D2022" i="383" s="1"/>
  <c r="D2021" i="383" a="1"/>
  <c r="D2021" i="383" s="1"/>
  <c r="D2020" i="383" a="1"/>
  <c r="D2020" i="383"/>
  <c r="D2019" i="383" a="1"/>
  <c r="D2019" i="383"/>
  <c r="D2018" i="383" a="1"/>
  <c r="D2018" i="383"/>
  <c r="D2017" i="383" a="1"/>
  <c r="D2017" i="383" s="1"/>
  <c r="D2016" i="383" a="1"/>
  <c r="D2016" i="383"/>
  <c r="D2015" i="383" a="1"/>
  <c r="D2015" i="383" s="1"/>
  <c r="D2014" i="383" a="1"/>
  <c r="D2014" i="383"/>
  <c r="D2013" i="383" a="1"/>
  <c r="D2013" i="383" s="1"/>
  <c r="D2012" i="383" a="1"/>
  <c r="D2012" i="383" s="1"/>
  <c r="D2011" i="383" a="1"/>
  <c r="D2011" i="383"/>
  <c r="D2010" i="383" a="1"/>
  <c r="D2010" i="383" s="1"/>
  <c r="D2009" i="383" a="1"/>
  <c r="D2009" i="383"/>
  <c r="D2008" i="383" a="1"/>
  <c r="D2008" i="383"/>
  <c r="D2007" i="383" a="1"/>
  <c r="D2007" i="383" s="1"/>
  <c r="D2006" i="383" a="1"/>
  <c r="D2006" i="383" s="1"/>
  <c r="D2005" i="383" a="1"/>
  <c r="D2005" i="383" s="1"/>
  <c r="D2004" i="383" a="1"/>
  <c r="D2004" i="383" s="1"/>
  <c r="D2003" i="383" a="1"/>
  <c r="D2003" i="383"/>
  <c r="D2002" i="383" a="1"/>
  <c r="D2002" i="383" s="1"/>
  <c r="D2001" i="383" a="1"/>
  <c r="D2001" i="383"/>
  <c r="D2000" i="383" a="1"/>
  <c r="D2000" i="383"/>
  <c r="D1999" i="383" a="1"/>
  <c r="D1999" i="383" s="1"/>
  <c r="D1998" i="383" a="1"/>
  <c r="D1998" i="383"/>
  <c r="D1997" i="383" a="1"/>
  <c r="D1997" i="383"/>
  <c r="D1996" i="383" a="1"/>
  <c r="D1996" i="383" s="1"/>
  <c r="D1995" i="383" a="1"/>
  <c r="D1995" i="383" s="1"/>
  <c r="D1994" i="383" a="1"/>
  <c r="D1994" i="383" s="1"/>
  <c r="D1993" i="383" a="1"/>
  <c r="D1993" i="383" s="1"/>
  <c r="D1992" i="383" a="1"/>
  <c r="D1992" i="383"/>
  <c r="D1991" i="383" a="1"/>
  <c r="D1991" i="383"/>
  <c r="D1990" i="383" a="1"/>
  <c r="D1990" i="383" s="1"/>
  <c r="D1989" i="383" a="1"/>
  <c r="D1989" i="383"/>
  <c r="D1988" i="383" a="1"/>
  <c r="D1988" i="383" s="1"/>
  <c r="D1987" i="383" a="1"/>
  <c r="D1987" i="383" s="1"/>
  <c r="D1986" i="383" a="1"/>
  <c r="D1986" i="383" s="1"/>
  <c r="D1985" i="383" a="1"/>
  <c r="D1985" i="383"/>
  <c r="D1984" i="383" a="1"/>
  <c r="D1984" i="383"/>
  <c r="D1983" i="383" a="1"/>
  <c r="D1983" i="383" s="1"/>
  <c r="D1982" i="383" a="1"/>
  <c r="D1982" i="383" s="1"/>
  <c r="D1981" i="383" a="1"/>
  <c r="D1981" i="383"/>
  <c r="D1980" i="383" a="1"/>
  <c r="D1980" i="383" s="1"/>
  <c r="D1979" i="383" a="1"/>
  <c r="D1979" i="383" s="1"/>
  <c r="D1978" i="383" a="1"/>
  <c r="D1978" i="383" s="1"/>
  <c r="D1977" i="383" a="1"/>
  <c r="D1977" i="383"/>
  <c r="D1976" i="383" a="1"/>
  <c r="D1976" i="383"/>
  <c r="D1975" i="383" a="1"/>
  <c r="D1975" i="383"/>
  <c r="D1974" i="383" a="1"/>
  <c r="D1974" i="383"/>
  <c r="D1973" i="383" a="1"/>
  <c r="D1973" i="383" s="1"/>
  <c r="D1972" i="383" a="1"/>
  <c r="D1972" i="383" s="1"/>
  <c r="D1971" i="383" a="1"/>
  <c r="D1971" i="383"/>
  <c r="D1970" i="383" a="1"/>
  <c r="D1970" i="383" s="1"/>
  <c r="D1969" i="383" a="1"/>
  <c r="D1969" i="383" s="1"/>
  <c r="D1968" i="383" a="1"/>
  <c r="D1968" i="383"/>
  <c r="D1967" i="383" a="1"/>
  <c r="D1967" i="383"/>
  <c r="D1966" i="383" a="1"/>
  <c r="D1966" i="383" s="1"/>
  <c r="D1965" i="383" a="1"/>
  <c r="D1965" i="383" s="1"/>
  <c r="D1964" i="383" a="1"/>
  <c r="D1964" i="383"/>
  <c r="D1963" i="383" a="1"/>
  <c r="D1963" i="383"/>
  <c r="D1962" i="383" a="1"/>
  <c r="D1962" i="383" s="1"/>
  <c r="D1961" i="383" a="1"/>
  <c r="D1961" i="383" s="1"/>
  <c r="D1960" i="383" a="1"/>
  <c r="D1960" i="383"/>
  <c r="D1959" i="383" a="1"/>
  <c r="D1959" i="383" s="1"/>
  <c r="D1958" i="383" a="1"/>
  <c r="D1958" i="383"/>
  <c r="D1957" i="383" a="1"/>
  <c r="D1957" i="383"/>
  <c r="D1956" i="383" a="1"/>
  <c r="D1956" i="383" s="1"/>
  <c r="D1955" i="383" a="1"/>
  <c r="D1955" i="383"/>
  <c r="D1954" i="383" a="1"/>
  <c r="D1954" i="383" s="1"/>
  <c r="D1953" i="383" a="1"/>
  <c r="D1953" i="383" s="1"/>
  <c r="D1952" i="383" a="1"/>
  <c r="D1952" i="383"/>
  <c r="D1951" i="383" a="1"/>
  <c r="D1951" i="383"/>
  <c r="D1950" i="383" a="1"/>
  <c r="D1950" i="383"/>
  <c r="D1949" i="383" a="1"/>
  <c r="D1949" i="383" s="1"/>
  <c r="D1948" i="383" a="1"/>
  <c r="D1948" i="383" s="1"/>
  <c r="D1947" i="383" a="1"/>
  <c r="D1947" i="383"/>
  <c r="D1946" i="383" a="1"/>
  <c r="D1946" i="383" s="1"/>
  <c r="D1945" i="383" a="1"/>
  <c r="D1945" i="383"/>
  <c r="D1944" i="383" a="1"/>
  <c r="D1944" i="383" s="1"/>
  <c r="D1943" i="383" a="1"/>
  <c r="D1943" i="383" s="1"/>
  <c r="D1942" i="383" a="1"/>
  <c r="D1942" i="383"/>
  <c r="D1941" i="383" a="1"/>
  <c r="D1941" i="383"/>
  <c r="D1940" i="383" a="1"/>
  <c r="D1940" i="383" s="1"/>
  <c r="D1939" i="383" a="1"/>
  <c r="D1939" i="383" s="1"/>
  <c r="D1938" i="383" a="1"/>
  <c r="D1938" i="383" s="1"/>
  <c r="D1937" i="383" a="1"/>
  <c r="D1937" i="383" s="1"/>
  <c r="D1936" i="383" a="1"/>
  <c r="D1936" i="383" s="1"/>
  <c r="D1935" i="383" a="1"/>
  <c r="D1935" i="383" s="1"/>
  <c r="D1934" i="383" a="1"/>
  <c r="D1934" i="383" s="1"/>
  <c r="D1933" i="383" a="1"/>
  <c r="D1933" i="383"/>
  <c r="D1932" i="383" a="1"/>
  <c r="D1932" i="383"/>
  <c r="D1931" i="383" a="1"/>
  <c r="D1931" i="383" s="1"/>
  <c r="D1930" i="383" a="1"/>
  <c r="D1930" i="383" s="1"/>
  <c r="D1929" i="383" a="1"/>
  <c r="D1929" i="383"/>
  <c r="D1928" i="383" a="1"/>
  <c r="D1928" i="383" s="1"/>
  <c r="D1927" i="383" a="1"/>
  <c r="D1927" i="383"/>
  <c r="D1926" i="383" a="1"/>
  <c r="D1926" i="383" s="1"/>
  <c r="D1925" i="383" a="1"/>
  <c r="D1925" i="383" s="1"/>
  <c r="D1924" i="383" a="1"/>
  <c r="D1924" i="383"/>
  <c r="D1923" i="383" a="1"/>
  <c r="D1923" i="383" s="1"/>
  <c r="D1922" i="383" a="1"/>
  <c r="D1922" i="383" s="1"/>
  <c r="D1921" i="383" a="1"/>
  <c r="D1921" i="383"/>
  <c r="D1920" i="383" a="1"/>
  <c r="D1920" i="383" s="1"/>
  <c r="D1919" i="383" a="1"/>
  <c r="D1919" i="383"/>
  <c r="D1918" i="383" a="1"/>
  <c r="D1918" i="383"/>
  <c r="D1917" i="383" a="1"/>
  <c r="D1917" i="383" s="1"/>
  <c r="D1916" i="383" a="1"/>
  <c r="D1916" i="383" s="1"/>
  <c r="D1915" i="383" a="1"/>
  <c r="D1915" i="383"/>
  <c r="D1914" i="383" a="1"/>
  <c r="D1914" i="383" s="1"/>
  <c r="D1913" i="383" a="1"/>
  <c r="D1913" i="383"/>
  <c r="D1912" i="383" a="1"/>
  <c r="D1912" i="383" s="1"/>
  <c r="D1911" i="383" a="1"/>
  <c r="D1911" i="383" s="1"/>
  <c r="D1910" i="383" a="1"/>
  <c r="D1910" i="383"/>
  <c r="D1909" i="383" a="1"/>
  <c r="D1909" i="383" s="1"/>
  <c r="D1908" i="383" a="1"/>
  <c r="D1908" i="383" s="1"/>
  <c r="D1907" i="383" a="1"/>
  <c r="D1907" i="383" s="1"/>
  <c r="D1906" i="383" a="1"/>
  <c r="D1906" i="383" s="1"/>
  <c r="D1905" i="383" a="1"/>
  <c r="D1905" i="383" s="1"/>
  <c r="D1904" i="383" a="1"/>
  <c r="D1904" i="383" s="1"/>
  <c r="D1903" i="383" a="1"/>
  <c r="D1903" i="383" s="1"/>
  <c r="D1902" i="383" a="1"/>
  <c r="D1902" i="383" s="1"/>
  <c r="D1901" i="383" a="1"/>
  <c r="D1901" i="383"/>
  <c r="D1900" i="383" a="1"/>
  <c r="D1900" i="383" s="1"/>
  <c r="D1899" i="383" a="1"/>
  <c r="D1899" i="383" s="1"/>
  <c r="D1898" i="383" a="1"/>
  <c r="D1898" i="383" s="1"/>
  <c r="D1897" i="383" a="1"/>
  <c r="D1897" i="383"/>
  <c r="D1896" i="383" a="1"/>
  <c r="D1896" i="383" s="1"/>
  <c r="D1895" i="383" a="1"/>
  <c r="D1895" i="383" s="1"/>
  <c r="D1894" i="383" a="1"/>
  <c r="D1894" i="383" s="1"/>
  <c r="D1893" i="383" a="1"/>
  <c r="D1893" i="383" s="1"/>
  <c r="D1892" i="383" a="1"/>
  <c r="D1892" i="383"/>
  <c r="D1891" i="383" a="1"/>
  <c r="D1891" i="383" s="1"/>
  <c r="D1890" i="383" a="1"/>
  <c r="D1890" i="383" s="1"/>
  <c r="D1889" i="383" a="1"/>
  <c r="D1889" i="383" s="1"/>
  <c r="D1888" i="383" a="1"/>
  <c r="D1888" i="383" s="1"/>
  <c r="D1887" i="383" a="1"/>
  <c r="D1887" i="383" s="1"/>
  <c r="D1886" i="383" a="1"/>
  <c r="D1886" i="383" s="1"/>
  <c r="D1885" i="383" a="1"/>
  <c r="D1885" i="383" s="1"/>
  <c r="D1884" i="383" a="1"/>
  <c r="D1884" i="383" s="1"/>
  <c r="D1883" i="383" a="1"/>
  <c r="D1883" i="383"/>
  <c r="D1882" i="383" a="1"/>
  <c r="D1882" i="383" s="1"/>
  <c r="D1881" i="383" a="1"/>
  <c r="D1881" i="383"/>
  <c r="D1880" i="383" a="1"/>
  <c r="D1880" i="383" s="1"/>
  <c r="D1879" i="383" a="1"/>
  <c r="D1879" i="383" s="1"/>
  <c r="D1878" i="383" a="1"/>
  <c r="D1878" i="383" s="1"/>
  <c r="D1877" i="383" a="1"/>
  <c r="D1877" i="383" s="1"/>
  <c r="D1876" i="383" a="1"/>
  <c r="D1876" i="383" s="1"/>
  <c r="D1875" i="383" a="1"/>
  <c r="D1875" i="383" s="1"/>
  <c r="D1874" i="383" a="1"/>
  <c r="D1874" i="383" s="1"/>
  <c r="D1873" i="383" a="1"/>
  <c r="D1873" i="383" s="1"/>
  <c r="D1872" i="383" a="1"/>
  <c r="D1872" i="383" s="1"/>
  <c r="D1871" i="383" a="1"/>
  <c r="D1871" i="383" s="1"/>
  <c r="D1870" i="383" a="1"/>
  <c r="D1870" i="383" s="1"/>
  <c r="D1869" i="383" a="1"/>
  <c r="D1869" i="383" s="1"/>
  <c r="D1868" i="383" a="1"/>
  <c r="D1868" i="383" s="1"/>
  <c r="D1867" i="383" a="1"/>
  <c r="D1867" i="383" s="1"/>
  <c r="D1866" i="383" a="1"/>
  <c r="D1866" i="383" s="1"/>
  <c r="D1865" i="383" a="1"/>
  <c r="D1865" i="383"/>
  <c r="D1864" i="383" a="1"/>
  <c r="D1864" i="383" s="1"/>
  <c r="D1863" i="383" a="1"/>
  <c r="D1863" i="383" s="1"/>
  <c r="D1862" i="383" a="1"/>
  <c r="D1862" i="383" s="1"/>
  <c r="D1861" i="383" a="1"/>
  <c r="D1861" i="383" s="1"/>
  <c r="D1860" i="383" a="1"/>
  <c r="D1860" i="383" s="1"/>
  <c r="D1859" i="383" a="1"/>
  <c r="D1859" i="383" s="1"/>
  <c r="D1858" i="383" a="1"/>
  <c r="D1858" i="383" s="1"/>
  <c r="D1857" i="383" a="1"/>
  <c r="D1857" i="383"/>
  <c r="D1856" i="383" a="1"/>
  <c r="D1856" i="383" s="1"/>
  <c r="D1855" i="383" a="1"/>
  <c r="D1855" i="383"/>
  <c r="D1854" i="383" a="1"/>
  <c r="D1854" i="383" s="1"/>
  <c r="D1853" i="383" a="1"/>
  <c r="D1853" i="383" s="1"/>
  <c r="D1852" i="383" a="1"/>
  <c r="D1852" i="383" s="1"/>
  <c r="D1851" i="383" a="1"/>
  <c r="D1851" i="383" s="1"/>
  <c r="D1850" i="383" a="1"/>
  <c r="D1850" i="383" s="1"/>
  <c r="D1849" i="383" a="1"/>
  <c r="D1849" i="383"/>
  <c r="D1848" i="383" a="1"/>
  <c r="D1848" i="383" s="1"/>
  <c r="D1847" i="383" a="1"/>
  <c r="D1847" i="383" s="1"/>
  <c r="D1846" i="383" a="1"/>
  <c r="D1846" i="383"/>
  <c r="D1845" i="383" a="1"/>
  <c r="D1845" i="383" s="1"/>
  <c r="D1844" i="383" a="1"/>
  <c r="D1844" i="383" s="1"/>
  <c r="D1843" i="383" a="1"/>
  <c r="D1843" i="383" s="1"/>
  <c r="D1842" i="383" a="1"/>
  <c r="D1842" i="383" s="1"/>
  <c r="D1841" i="383" a="1"/>
  <c r="D1841" i="383" s="1"/>
  <c r="D1840" i="383" a="1"/>
  <c r="D1840" i="383" s="1"/>
  <c r="D1839" i="383" a="1"/>
  <c r="D1839" i="383" s="1"/>
  <c r="D1838" i="383" a="1"/>
  <c r="D1838" i="383" s="1"/>
  <c r="D1837" i="383" a="1"/>
  <c r="D1837" i="383"/>
  <c r="D1836" i="383" a="1"/>
  <c r="D1836" i="383" s="1"/>
  <c r="D1835" i="383" a="1"/>
  <c r="D1835" i="383" s="1"/>
  <c r="D1834" i="383" a="1"/>
  <c r="D1834" i="383" s="1"/>
  <c r="D1833" i="383" a="1"/>
  <c r="D1833" i="383"/>
  <c r="D1832" i="383" a="1"/>
  <c r="D1832" i="383" s="1"/>
  <c r="D1831" i="383" a="1"/>
  <c r="D1831" i="383" s="1"/>
  <c r="D1830" i="383" a="1"/>
  <c r="D1830" i="383" s="1"/>
  <c r="D1829" i="383" a="1"/>
  <c r="D1829" i="383" s="1"/>
  <c r="D1828" i="383" a="1"/>
  <c r="D1828" i="383"/>
  <c r="D1827" i="383" a="1"/>
  <c r="D1827" i="383" s="1"/>
  <c r="D1826" i="383" a="1"/>
  <c r="D1826" i="383" s="1"/>
  <c r="D1825" i="383" a="1"/>
  <c r="D1825" i="383"/>
  <c r="D1824" i="383" a="1"/>
  <c r="D1824" i="383" s="1"/>
  <c r="D1823" i="383" a="1"/>
  <c r="D1823" i="383" s="1"/>
  <c r="D1822" i="383" a="1"/>
  <c r="D1822" i="383" s="1"/>
  <c r="D1821" i="383" a="1"/>
  <c r="D1821" i="383" s="1"/>
  <c r="D1820" i="383" a="1"/>
  <c r="D1820" i="383" s="1"/>
  <c r="D1819" i="383" a="1"/>
  <c r="D1819" i="383"/>
  <c r="D1818" i="383" a="1"/>
  <c r="D1818" i="383" s="1"/>
  <c r="D1817" i="383" a="1"/>
  <c r="D1817" i="383" s="1"/>
  <c r="D1816" i="383" a="1"/>
  <c r="D1816" i="383" s="1"/>
  <c r="D1815" i="383" a="1"/>
  <c r="D1815" i="383" s="1"/>
  <c r="D1814" i="383" a="1"/>
  <c r="D1814" i="383" s="1"/>
  <c r="D1813" i="383" a="1"/>
  <c r="D1813" i="383" s="1"/>
  <c r="D1812" i="383" a="1"/>
  <c r="D1812" i="383" s="1"/>
  <c r="D1811" i="383" a="1"/>
  <c r="D1811" i="383" s="1"/>
  <c r="D1810" i="383" a="1"/>
  <c r="D1810" i="383" s="1"/>
  <c r="D1809" i="383" a="1"/>
  <c r="D1809" i="383"/>
  <c r="D1808" i="383" a="1"/>
  <c r="D1808" i="383" s="1"/>
  <c r="D1807" i="383" a="1"/>
  <c r="D1807" i="383" s="1"/>
  <c r="D1806" i="383" a="1"/>
  <c r="D1806" i="383" s="1"/>
  <c r="D1805" i="383" a="1"/>
  <c r="D1805" i="383" s="1"/>
  <c r="D1804" i="383" a="1"/>
  <c r="D1804" i="383" s="1"/>
  <c r="D1803" i="383" a="1"/>
  <c r="D1803" i="383" s="1"/>
  <c r="D1802" i="383" a="1"/>
  <c r="D1802" i="383" s="1"/>
  <c r="D1801" i="383" a="1"/>
  <c r="D1801" i="383"/>
  <c r="D1800" i="383" a="1"/>
  <c r="D1800" i="383" s="1"/>
  <c r="D1799" i="383" a="1"/>
  <c r="D1799" i="383" s="1"/>
  <c r="D1798" i="383" a="1"/>
  <c r="D1798" i="383" s="1"/>
  <c r="D1797" i="383" a="1"/>
  <c r="D1797" i="383" s="1"/>
  <c r="D1796" i="383" a="1"/>
  <c r="D1796" i="383" s="1"/>
  <c r="D1795" i="383" a="1"/>
  <c r="D1795" i="383" s="1"/>
  <c r="D1794" i="383" a="1"/>
  <c r="D1794" i="383" s="1"/>
  <c r="D1793" i="383" a="1"/>
  <c r="D1793" i="383"/>
  <c r="D1792" i="383" a="1"/>
  <c r="D1792" i="383" s="1"/>
  <c r="D1791" i="383" a="1"/>
  <c r="D1791" i="383"/>
  <c r="D1790" i="383" a="1"/>
  <c r="D1790" i="383"/>
  <c r="D1789" i="383" a="1"/>
  <c r="D1789" i="383" s="1"/>
  <c r="D1788" i="383" a="1"/>
  <c r="D1788" i="383" s="1"/>
  <c r="D1787" i="383" a="1"/>
  <c r="D1787" i="383" s="1"/>
  <c r="D1786" i="383" a="1"/>
  <c r="D1786" i="383" s="1"/>
  <c r="D1785" i="383" a="1"/>
  <c r="D1785" i="383"/>
  <c r="D1784" i="383" a="1"/>
  <c r="D1784" i="383" s="1"/>
  <c r="D1783" i="383" a="1"/>
  <c r="D1783" i="383" s="1"/>
  <c r="D1782" i="383" a="1"/>
  <c r="D1782" i="383"/>
  <c r="D1781" i="383" a="1"/>
  <c r="D1781" i="383" s="1"/>
  <c r="D1780" i="383" a="1"/>
  <c r="D1780" i="383" s="1"/>
  <c r="D1779" i="383" a="1"/>
  <c r="D1779" i="383" s="1"/>
  <c r="D1778" i="383" a="1"/>
  <c r="D1778" i="383" s="1"/>
  <c r="D1777" i="383" a="1"/>
  <c r="D1777" i="383"/>
  <c r="D1776" i="383" a="1"/>
  <c r="D1776" i="383" s="1"/>
  <c r="D1775" i="383" a="1"/>
  <c r="D1775" i="383" s="1"/>
  <c r="D1774" i="383" a="1"/>
  <c r="D1774" i="383" s="1"/>
  <c r="D1773" i="383" a="1"/>
  <c r="D1773" i="383"/>
  <c r="D1772" i="383" a="1"/>
  <c r="D1772" i="383"/>
  <c r="D1771" i="383" a="1"/>
  <c r="D1771" i="383" s="1"/>
  <c r="D1770" i="383" a="1"/>
  <c r="D1770" i="383" s="1"/>
  <c r="D1769" i="383" a="1"/>
  <c r="D1769" i="383"/>
  <c r="D1768" i="383" a="1"/>
  <c r="D1768" i="383" s="1"/>
  <c r="D1767" i="383" a="1"/>
  <c r="D1767" i="383" s="1"/>
  <c r="D1766" i="383" a="1"/>
  <c r="D1766" i="383" s="1"/>
  <c r="D1765" i="383" a="1"/>
  <c r="D1765" i="383" s="1"/>
  <c r="D1764" i="383" a="1"/>
  <c r="D1764" i="383"/>
  <c r="D1763" i="383" a="1"/>
  <c r="D1763" i="383" s="1"/>
  <c r="D1762" i="383" a="1"/>
  <c r="D1762" i="383" s="1"/>
  <c r="D1761" i="383" a="1"/>
  <c r="D1761" i="383"/>
  <c r="D1760" i="383" a="1"/>
  <c r="D1760" i="383" s="1"/>
  <c r="D1759" i="383" a="1"/>
  <c r="D1759" i="383" s="1"/>
  <c r="D1758" i="383" a="1"/>
  <c r="D1758" i="383" s="1"/>
  <c r="D1757" i="383" a="1"/>
  <c r="D1757" i="383" s="1"/>
  <c r="D1756" i="383" a="1"/>
  <c r="D1756" i="383" s="1"/>
  <c r="D1755" i="383" a="1"/>
  <c r="D1755" i="383"/>
  <c r="D1754" i="383" a="1"/>
  <c r="D1754" i="383" s="1"/>
  <c r="D1753" i="383" a="1"/>
  <c r="D1753" i="383"/>
  <c r="D1752" i="383" a="1"/>
  <c r="D1752" i="383" s="1"/>
  <c r="D1751" i="383" a="1"/>
  <c r="D1751" i="383" s="1"/>
  <c r="D1750" i="383" a="1"/>
  <c r="D1750" i="383" s="1"/>
  <c r="D1749" i="383" a="1"/>
  <c r="D1749" i="383" s="1"/>
  <c r="D1748" i="383" a="1"/>
  <c r="D1748" i="383" s="1"/>
  <c r="D1747" i="383" a="1"/>
  <c r="D1747" i="383" s="1"/>
  <c r="D1746" i="383" a="1"/>
  <c r="D1746" i="383" s="1"/>
  <c r="D1745" i="383" a="1"/>
  <c r="D1745" i="383" s="1"/>
  <c r="D1744" i="383" a="1"/>
  <c r="D1744" i="383" s="1"/>
  <c r="D1743" i="383" a="1"/>
  <c r="D1743" i="383" s="1"/>
  <c r="D1742" i="383" a="1"/>
  <c r="D1742" i="383" s="1"/>
  <c r="D1741" i="383" a="1"/>
  <c r="D1741" i="383" s="1"/>
  <c r="D1740" i="383" a="1"/>
  <c r="D1740" i="383" s="1"/>
  <c r="D1739" i="383" a="1"/>
  <c r="D1739" i="383" s="1"/>
  <c r="D1738" i="383" a="1"/>
  <c r="D1738" i="383" s="1"/>
  <c r="D1737" i="383" a="1"/>
  <c r="D1737" i="383"/>
  <c r="D1736" i="383" a="1"/>
  <c r="D1736" i="383" s="1"/>
  <c r="D1735" i="383" a="1"/>
  <c r="D1735" i="383"/>
  <c r="D1734" i="383" a="1"/>
  <c r="D1734" i="383" s="1"/>
  <c r="D1733" i="383" a="1"/>
  <c r="D1733" i="383" s="1"/>
  <c r="D1732" i="383" a="1"/>
  <c r="D1732" i="383" s="1"/>
  <c r="D1731" i="383" a="1"/>
  <c r="D1731" i="383" s="1"/>
  <c r="D1730" i="383" a="1"/>
  <c r="D1730" i="383" s="1"/>
  <c r="D1729" i="383" a="1"/>
  <c r="D1729" i="383"/>
  <c r="D1728" i="383" a="1"/>
  <c r="D1728" i="383" s="1"/>
  <c r="D1727" i="383" a="1"/>
  <c r="D1727" i="383"/>
  <c r="D1726" i="383" a="1"/>
  <c r="D1726" i="383" s="1"/>
  <c r="D1725" i="383" a="1"/>
  <c r="D1725" i="383" s="1"/>
  <c r="D1724" i="383" a="1"/>
  <c r="D1724" i="383" s="1"/>
  <c r="D1723" i="383" a="1"/>
  <c r="D1723" i="383" s="1"/>
  <c r="D1722" i="383" a="1"/>
  <c r="D1722" i="383" s="1"/>
  <c r="D1721" i="383" a="1"/>
  <c r="D1721" i="383"/>
  <c r="D1720" i="383" a="1"/>
  <c r="D1720" i="383" s="1"/>
  <c r="D1719" i="383" a="1"/>
  <c r="D1719" i="383" s="1"/>
  <c r="D1718" i="383" a="1"/>
  <c r="D1718" i="383"/>
  <c r="D1717" i="383" a="1"/>
  <c r="D1717" i="383"/>
  <c r="D1716" i="383" a="1"/>
  <c r="D1716" i="383" s="1"/>
  <c r="D1715" i="383" a="1"/>
  <c r="D1715" i="383" s="1"/>
  <c r="D1714" i="383" a="1"/>
  <c r="D1714" i="383" s="1"/>
  <c r="D1713" i="383" a="1"/>
  <c r="D1713" i="383"/>
  <c r="D1712" i="383" a="1"/>
  <c r="D1712" i="383" s="1"/>
  <c r="D1711" i="383" a="1"/>
  <c r="D1711" i="383" s="1"/>
  <c r="D1710" i="383" a="1"/>
  <c r="D1710" i="383" s="1"/>
  <c r="D1709" i="383" a="1"/>
  <c r="D1709" i="383"/>
  <c r="D1708" i="383" a="1"/>
  <c r="D1708" i="383" s="1"/>
  <c r="D1707" i="383" a="1"/>
  <c r="D1707" i="383" s="1"/>
  <c r="D1706" i="383" a="1"/>
  <c r="D1706" i="383" s="1"/>
  <c r="D1705" i="383" a="1"/>
  <c r="D1705" i="383"/>
  <c r="D1704" i="383" a="1"/>
  <c r="D1704" i="383" s="1"/>
  <c r="D1703" i="383" a="1"/>
  <c r="D1703" i="383" s="1"/>
  <c r="D1702" i="383" a="1"/>
  <c r="D1702" i="383" s="1"/>
  <c r="D1701" i="383" a="1"/>
  <c r="D1701" i="383" s="1"/>
  <c r="D1700" i="383" a="1"/>
  <c r="D1700" i="383" s="1"/>
  <c r="D1699" i="383" a="1"/>
  <c r="D1699" i="383" s="1"/>
  <c r="D1698" i="383" a="1"/>
  <c r="D1698" i="383" s="1"/>
  <c r="D1697" i="383" a="1"/>
  <c r="D1697" i="383"/>
  <c r="D1696" i="383" a="1"/>
  <c r="D1696" i="383" s="1"/>
  <c r="D1695" i="383" a="1"/>
  <c r="D1695" i="383" s="1"/>
  <c r="D1694" i="383" a="1"/>
  <c r="D1694" i="383" s="1"/>
  <c r="D1693" i="383" a="1"/>
  <c r="D1693" i="383" s="1"/>
  <c r="D1692" i="383" a="1"/>
  <c r="D1692" i="383" s="1"/>
  <c r="D1691" i="383" a="1"/>
  <c r="D1691" i="383"/>
  <c r="D1690" i="383" a="1"/>
  <c r="D1690" i="383" s="1"/>
  <c r="D1689" i="383" a="1"/>
  <c r="D1689" i="383" s="1"/>
  <c r="D1688" i="383" a="1"/>
  <c r="D1688" i="383" s="1"/>
  <c r="D1687" i="383" a="1"/>
  <c r="D1687" i="383" s="1"/>
  <c r="D1686" i="383" a="1"/>
  <c r="D1686" i="383" s="1"/>
  <c r="D1685" i="383" a="1"/>
  <c r="D1685" i="383" s="1"/>
  <c r="D1684" i="383" a="1"/>
  <c r="D1684" i="383" s="1"/>
  <c r="D1683" i="383" a="1"/>
  <c r="D1683" i="383" s="1"/>
  <c r="D1682" i="383" a="1"/>
  <c r="D1682" i="383" s="1"/>
  <c r="D1681" i="383" a="1"/>
  <c r="D1681" i="383" s="1"/>
  <c r="D1680" i="383" a="1"/>
  <c r="D1680" i="383" s="1"/>
  <c r="D1679" i="383" a="1"/>
  <c r="D1679" i="383" s="1"/>
  <c r="D1678" i="383" a="1"/>
  <c r="D1678" i="383" s="1"/>
  <c r="D1677" i="383" a="1"/>
  <c r="D1677" i="383" s="1"/>
  <c r="D1676" i="383" a="1"/>
  <c r="D1676" i="383" s="1"/>
  <c r="D1675" i="383" a="1"/>
  <c r="D1675" i="383" s="1"/>
  <c r="D1674" i="383" a="1"/>
  <c r="D1674" i="383" s="1"/>
  <c r="D1673" i="383" a="1"/>
  <c r="D1673" i="383"/>
  <c r="D1672" i="383" a="1"/>
  <c r="D1672" i="383" s="1"/>
  <c r="D1671" i="383" a="1"/>
  <c r="D1671" i="383"/>
  <c r="D1670" i="383" a="1"/>
  <c r="D1670" i="383" s="1"/>
  <c r="D1669" i="383" a="1"/>
  <c r="D1669" i="383" s="1"/>
  <c r="D1668" i="383" a="1"/>
  <c r="D1668" i="383" s="1"/>
  <c r="D1667" i="383" a="1"/>
  <c r="D1667" i="383" s="1"/>
  <c r="D1666" i="383" a="1"/>
  <c r="D1666" i="383" s="1"/>
  <c r="D1665" i="383" a="1"/>
  <c r="D1665" i="383"/>
  <c r="D1664" i="383" a="1"/>
  <c r="D1664" i="383" s="1"/>
  <c r="D1663" i="383" a="1"/>
  <c r="D1663" i="383" s="1"/>
  <c r="D1662" i="383" a="1"/>
  <c r="D1662" i="383" s="1"/>
  <c r="D1661" i="383" a="1"/>
  <c r="D1661" i="383" s="1"/>
  <c r="D1660" i="383" a="1"/>
  <c r="D1660" i="383" s="1"/>
  <c r="D1659" i="383" a="1"/>
  <c r="D1659" i="383" s="1"/>
  <c r="D1658" i="383" a="1"/>
  <c r="D1658" i="383" s="1"/>
  <c r="D1657" i="383" a="1"/>
  <c r="D1657" i="383"/>
  <c r="D1656" i="383" a="1"/>
  <c r="D1656" i="383" s="1"/>
  <c r="D1655" i="383" a="1"/>
  <c r="D1655" i="383" s="1"/>
  <c r="D1654" i="383" a="1"/>
  <c r="D1654" i="383"/>
  <c r="D1653" i="383" a="1"/>
  <c r="D1653" i="383"/>
  <c r="D1652" i="383" a="1"/>
  <c r="D1652" i="383" s="1"/>
  <c r="D1651" i="383" a="1"/>
  <c r="D1651" i="383" s="1"/>
  <c r="D1650" i="383" a="1"/>
  <c r="D1650" i="383" s="1"/>
  <c r="D1649" i="383" a="1"/>
  <c r="D1649" i="383"/>
  <c r="D1648" i="383" a="1"/>
  <c r="D1648" i="383" s="1"/>
  <c r="D1647" i="383" a="1"/>
  <c r="D1647" i="383" s="1"/>
  <c r="D1646" i="383" a="1"/>
  <c r="D1646" i="383" s="1"/>
  <c r="D1645" i="383" a="1"/>
  <c r="D1645" i="383" s="1"/>
  <c r="D1644" i="383" a="1"/>
  <c r="D1644" i="383" s="1"/>
  <c r="D1643" i="383" a="1"/>
  <c r="D1643" i="383" s="1"/>
  <c r="D1642" i="383" a="1"/>
  <c r="D1642" i="383" s="1"/>
  <c r="D1641" i="383" a="1"/>
  <c r="D1641" i="383"/>
  <c r="D1640" i="383" a="1"/>
  <c r="D1640" i="383" s="1"/>
  <c r="D1639" i="383" a="1"/>
  <c r="D1639" i="383" s="1"/>
  <c r="D1638" i="383" a="1"/>
  <c r="D1638" i="383" s="1"/>
  <c r="D1637" i="383" a="1"/>
  <c r="D1637" i="383" s="1"/>
  <c r="D1636" i="383" a="1"/>
  <c r="D1636" i="383" s="1"/>
  <c r="D1635" i="383" a="1"/>
  <c r="D1635" i="383" s="1"/>
  <c r="D1634" i="383" a="1"/>
  <c r="D1634" i="383" s="1"/>
  <c r="D1633" i="383" a="1"/>
  <c r="D1633" i="383"/>
  <c r="D1632" i="383" a="1"/>
  <c r="D1632" i="383" s="1"/>
  <c r="D1631" i="383" a="1"/>
  <c r="D1631" i="383" s="1"/>
  <c r="D1630" i="383" a="1"/>
  <c r="D1630" i="383" s="1"/>
  <c r="D1629" i="383" a="1"/>
  <c r="D1629" i="383" s="1"/>
  <c r="D1628" i="383" a="1"/>
  <c r="D1628" i="383" s="1"/>
  <c r="D1627" i="383" a="1"/>
  <c r="D1627" i="383" s="1"/>
  <c r="D1626" i="383" a="1"/>
  <c r="D1626" i="383" s="1"/>
  <c r="D1625" i="383" a="1"/>
  <c r="D1625" i="383"/>
  <c r="D1624" i="383" a="1"/>
  <c r="D1624" i="383" s="1"/>
  <c r="D1623" i="383" a="1"/>
  <c r="D1623" i="383" s="1"/>
  <c r="D1622" i="383" a="1"/>
  <c r="D1622" i="383" s="1"/>
  <c r="D1621" i="383" a="1"/>
  <c r="D1621" i="383" s="1"/>
  <c r="D1620" i="383" a="1"/>
  <c r="D1620" i="383" s="1"/>
  <c r="D1619" i="383" a="1"/>
  <c r="D1619" i="383" s="1"/>
  <c r="D1618" i="383" a="1"/>
  <c r="D1618" i="383" s="1"/>
  <c r="D1617" i="383" a="1"/>
  <c r="D1617" i="383"/>
  <c r="D1616" i="383" a="1"/>
  <c r="D1616" i="383" s="1"/>
  <c r="D1615" i="383" a="1"/>
  <c r="D1615" i="383" s="1"/>
  <c r="D1614" i="383" a="1"/>
  <c r="D1614" i="383" s="1"/>
  <c r="D1613" i="383" a="1"/>
  <c r="D1613" i="383" s="1"/>
  <c r="D1612" i="383" a="1"/>
  <c r="D1612" i="383" s="1"/>
  <c r="D1611" i="383" a="1"/>
  <c r="D1611" i="383" s="1"/>
  <c r="D1610" i="383" a="1"/>
  <c r="D1610" i="383" s="1"/>
  <c r="D1609" i="383" a="1"/>
  <c r="D1609" i="383"/>
  <c r="D1608" i="383" a="1"/>
  <c r="D1608" i="383" s="1"/>
  <c r="D1607" i="383" a="1"/>
  <c r="D1607" i="383" s="1"/>
  <c r="D1606" i="383" a="1"/>
  <c r="D1606" i="383" s="1"/>
  <c r="D1605" i="383" a="1"/>
  <c r="D1605" i="383" s="1"/>
  <c r="D1604" i="383" a="1"/>
  <c r="D1604" i="383" s="1"/>
  <c r="D1603" i="383" a="1"/>
  <c r="D1603" i="383" s="1"/>
  <c r="D1602" i="383" a="1"/>
  <c r="D1602" i="383" s="1"/>
  <c r="D1601" i="383" a="1"/>
  <c r="D1601" i="383"/>
  <c r="D1600" i="383" a="1"/>
  <c r="D1600" i="383" s="1"/>
  <c r="D1599" i="383" a="1"/>
  <c r="D1599" i="383" s="1"/>
  <c r="D1598" i="383" a="1"/>
  <c r="D1598" i="383"/>
  <c r="D1597" i="383" a="1"/>
  <c r="D1597" i="383" s="1"/>
  <c r="D1596" i="383" a="1"/>
  <c r="D1596" i="383" s="1"/>
  <c r="D1595" i="383" a="1"/>
  <c r="D1595" i="383" s="1"/>
  <c r="D1594" i="383" a="1"/>
  <c r="D1594" i="383" s="1"/>
  <c r="D1593" i="383" a="1"/>
  <c r="D1593" i="383"/>
  <c r="D1592" i="383" a="1"/>
  <c r="D1592" i="383" s="1"/>
  <c r="D1591" i="383" a="1"/>
  <c r="D1591" i="383" s="1"/>
  <c r="D1590" i="383" a="1"/>
  <c r="D1590" i="383"/>
  <c r="D1589" i="383" a="1"/>
  <c r="D1589" i="383" s="1"/>
  <c r="D1588" i="383" a="1"/>
  <c r="D1588" i="383" s="1"/>
  <c r="D1587" i="383" a="1"/>
  <c r="D1587" i="383" s="1"/>
  <c r="D1586" i="383" a="1"/>
  <c r="D1586" i="383" s="1"/>
  <c r="D1585" i="383" a="1"/>
  <c r="D1585" i="383"/>
  <c r="D1584" i="383" a="1"/>
  <c r="D1584" i="383" s="1"/>
  <c r="D1583" i="383" a="1"/>
  <c r="D1583" i="383" s="1"/>
  <c r="D1582" i="383" a="1"/>
  <c r="D1582" i="383" s="1"/>
  <c r="D1581" i="383" a="1"/>
  <c r="D1581" i="383" s="1"/>
  <c r="D1580" i="383" a="1"/>
  <c r="D1580" i="383"/>
  <c r="D1579" i="383" a="1"/>
  <c r="D1579" i="383" s="1"/>
  <c r="D1578" i="383" a="1"/>
  <c r="D1578" i="383" s="1"/>
  <c r="D1577" i="383" a="1"/>
  <c r="D1577" i="383"/>
  <c r="D1576" i="383" a="1"/>
  <c r="D1576" i="383" s="1"/>
  <c r="D1575" i="383" a="1"/>
  <c r="D1575" i="383" s="1"/>
  <c r="D1574" i="383" a="1"/>
  <c r="D1574" i="383" s="1"/>
  <c r="D1573" i="383" a="1"/>
  <c r="D1573" i="383" s="1"/>
  <c r="D1572" i="383" a="1"/>
  <c r="D1572" i="383" s="1"/>
  <c r="D1571" i="383" a="1"/>
  <c r="D1571" i="383" s="1"/>
  <c r="D1570" i="383" a="1"/>
  <c r="D1570" i="383" s="1"/>
  <c r="D1569" i="383" a="1"/>
  <c r="D1569" i="383"/>
  <c r="D1568" i="383" a="1"/>
  <c r="D1568" i="383" s="1"/>
  <c r="D1567" i="383" a="1"/>
  <c r="D1567" i="383" s="1"/>
  <c r="D1566" i="383" a="1"/>
  <c r="D1566" i="383" s="1"/>
  <c r="D1565" i="383" a="1"/>
  <c r="D1565" i="383" s="1"/>
  <c r="D1564" i="383" a="1"/>
  <c r="D1564" i="383" s="1"/>
  <c r="D1563" i="383" a="1"/>
  <c r="D1563" i="383" s="1"/>
  <c r="D1562" i="383" a="1"/>
  <c r="D1562" i="383" s="1"/>
  <c r="D1561" i="383" a="1"/>
  <c r="D1561" i="383" s="1"/>
  <c r="D1560" i="383" a="1"/>
  <c r="D1560" i="383" s="1"/>
  <c r="D1559" i="383" a="1"/>
  <c r="D1559" i="383" s="1"/>
  <c r="D1558" i="383" a="1"/>
  <c r="D1558" i="383" s="1"/>
  <c r="D1557" i="383" a="1"/>
  <c r="D1557" i="383" s="1"/>
  <c r="D1556" i="383" a="1"/>
  <c r="D1556" i="383" s="1"/>
  <c r="D1555" i="383" a="1"/>
  <c r="D1555" i="383" s="1"/>
  <c r="D1554" i="383" a="1"/>
  <c r="D1554" i="383" s="1"/>
  <c r="D1553" i="383" a="1"/>
  <c r="D1553" i="383" s="1"/>
  <c r="D1552" i="383" a="1"/>
  <c r="D1552" i="383" s="1"/>
  <c r="D1551" i="383" a="1"/>
  <c r="D1551" i="383" s="1"/>
  <c r="D1550" i="383" a="1"/>
  <c r="D1550" i="383" s="1"/>
  <c r="D1549" i="383" a="1"/>
  <c r="D1549" i="383" s="1"/>
  <c r="D1548" i="383" a="1"/>
  <c r="D1548" i="383" s="1"/>
  <c r="D1547" i="383" a="1"/>
  <c r="D1547" i="383" s="1"/>
  <c r="D1546" i="383" a="1"/>
  <c r="D1546" i="383" s="1"/>
  <c r="D1545" i="383" a="1"/>
  <c r="D1545" i="383"/>
  <c r="D1544" i="383" a="1"/>
  <c r="D1544" i="383" s="1"/>
  <c r="D1543" i="383" a="1"/>
  <c r="D1543" i="383"/>
  <c r="D1542" i="383" a="1"/>
  <c r="D1542" i="383" s="1"/>
  <c r="D1541" i="383" a="1"/>
  <c r="D1541" i="383" s="1"/>
  <c r="D1540" i="383" a="1"/>
  <c r="D1540" i="383" s="1"/>
  <c r="D1539" i="383" a="1"/>
  <c r="D1539" i="383" s="1"/>
  <c r="D1538" i="383" a="1"/>
  <c r="D1538" i="383" s="1"/>
  <c r="D1537" i="383" a="1"/>
  <c r="D1537" i="383"/>
  <c r="D1536" i="383" a="1"/>
  <c r="D1536" i="383" s="1"/>
  <c r="D1535" i="383" a="1"/>
  <c r="D1535" i="383" s="1"/>
  <c r="D1534" i="383" a="1"/>
  <c r="D1534" i="383" s="1"/>
  <c r="D1533" i="383" a="1"/>
  <c r="D1533" i="383" s="1"/>
  <c r="D1532" i="383" a="1"/>
  <c r="D1532" i="383" s="1"/>
  <c r="D1531" i="383" a="1"/>
  <c r="D1531" i="383" s="1"/>
  <c r="D1530" i="383" a="1"/>
  <c r="D1530" i="383" s="1"/>
  <c r="D1529" i="383" a="1"/>
  <c r="D1529" i="383"/>
  <c r="D1528" i="383" a="1"/>
  <c r="D1528" i="383" s="1"/>
  <c r="D1527" i="383" a="1"/>
  <c r="D1527" i="383" s="1"/>
  <c r="D1526" i="383" a="1"/>
  <c r="D1526" i="383"/>
  <c r="D1525" i="383" a="1"/>
  <c r="D1525" i="383" s="1"/>
  <c r="D1524" i="383" a="1"/>
  <c r="D1524" i="383"/>
  <c r="D1523" i="383" a="1"/>
  <c r="D1523" i="383" s="1"/>
  <c r="D1522" i="383" a="1"/>
  <c r="D1522" i="383" s="1"/>
  <c r="D1521" i="383" a="1"/>
  <c r="D1521" i="383"/>
  <c r="D1520" i="383" a="1"/>
  <c r="D1520" i="383" s="1"/>
  <c r="D1519" i="383" a="1"/>
  <c r="D1519" i="383" s="1"/>
  <c r="D1518" i="383" a="1"/>
  <c r="D1518" i="383" s="1"/>
  <c r="D1517" i="383" a="1"/>
  <c r="D1517" i="383" s="1"/>
  <c r="D1516" i="383" a="1"/>
  <c r="D1516" i="383" s="1"/>
  <c r="D1515" i="383" a="1"/>
  <c r="D1515" i="383" s="1"/>
  <c r="D1514" i="383" a="1"/>
  <c r="D1514" i="383" s="1"/>
  <c r="D1513" i="383" a="1"/>
  <c r="D1513" i="383"/>
  <c r="D1512" i="383" a="1"/>
  <c r="D1512" i="383" s="1"/>
  <c r="D1511" i="383" a="1"/>
  <c r="D1511" i="383" s="1"/>
  <c r="D1510" i="383" a="1"/>
  <c r="D1510" i="383" s="1"/>
  <c r="D1509" i="383" a="1"/>
  <c r="D1509" i="383" s="1"/>
  <c r="D1508" i="383" a="1"/>
  <c r="D1508" i="383" s="1"/>
  <c r="D1507" i="383" a="1"/>
  <c r="D1507" i="383"/>
  <c r="D1506" i="383" a="1"/>
  <c r="D1506" i="383" s="1"/>
  <c r="D1505" i="383" a="1"/>
  <c r="D1505" i="383" s="1"/>
  <c r="D1504" i="383" a="1"/>
  <c r="D1504" i="383" s="1"/>
  <c r="D1503" i="383" a="1"/>
  <c r="D1503" i="383" s="1"/>
  <c r="D1502" i="383" a="1"/>
  <c r="D1502" i="383" s="1"/>
  <c r="D1501" i="383" a="1"/>
  <c r="D1501" i="383" s="1"/>
  <c r="D1500" i="383" a="1"/>
  <c r="D1500" i="383" s="1"/>
  <c r="D1499" i="383" a="1"/>
  <c r="D1499" i="383" s="1"/>
  <c r="D1498" i="383" a="1"/>
  <c r="D1498" i="383" s="1"/>
  <c r="D1497" i="383" a="1"/>
  <c r="D1497" i="383" s="1"/>
  <c r="D1496" i="383" a="1"/>
  <c r="D1496" i="383" s="1"/>
  <c r="D1495" i="383" a="1"/>
  <c r="D1495" i="383" s="1"/>
  <c r="D1494" i="383" a="1"/>
  <c r="D1494" i="383" s="1"/>
  <c r="D1493" i="383" a="1"/>
  <c r="D1493" i="383" s="1"/>
  <c r="D1492" i="383" a="1"/>
  <c r="D1492" i="383" s="1"/>
  <c r="D1491" i="383" a="1"/>
  <c r="D1491" i="383" s="1"/>
  <c r="D1490" i="383" a="1"/>
  <c r="D1490" i="383" s="1"/>
  <c r="D1489" i="383" a="1"/>
  <c r="D1489" i="383"/>
  <c r="D1488" i="383" a="1"/>
  <c r="D1488" i="383" s="1"/>
  <c r="D1487" i="383" a="1"/>
  <c r="D1487" i="383" s="1"/>
  <c r="D1486" i="383" a="1"/>
  <c r="D1486" i="383" s="1"/>
  <c r="D1485" i="383" a="1"/>
  <c r="D1485" i="383" s="1"/>
  <c r="D1484" i="383" a="1"/>
  <c r="D1484" i="383" s="1"/>
  <c r="D1483" i="383" a="1"/>
  <c r="D1483" i="383" s="1"/>
  <c r="D1482" i="383" a="1"/>
  <c r="D1482" i="383" s="1"/>
  <c r="D1481" i="383" a="1"/>
  <c r="D1481" i="383"/>
  <c r="D1480" i="383" a="1"/>
  <c r="D1480" i="383" s="1"/>
  <c r="D1479" i="383" a="1"/>
  <c r="D1479" i="383" s="1"/>
  <c r="D1478" i="383" a="1"/>
  <c r="D1478" i="383"/>
  <c r="D1477" i="383" a="1"/>
  <c r="D1477" i="383" s="1"/>
  <c r="D1476" i="383" a="1"/>
  <c r="D1476" i="383" s="1"/>
  <c r="D1475" i="383" a="1"/>
  <c r="D1475" i="383" s="1"/>
  <c r="D1474" i="383" a="1"/>
  <c r="D1474" i="383" s="1"/>
  <c r="D1473" i="383" a="1"/>
  <c r="D1473" i="383"/>
  <c r="D1472" i="383" a="1"/>
  <c r="D1472" i="383" s="1"/>
  <c r="D1471" i="383" a="1"/>
  <c r="D1471" i="383" s="1"/>
  <c r="D1470" i="383" a="1"/>
  <c r="D1470" i="383"/>
  <c r="D1469" i="383" a="1"/>
  <c r="D1469" i="383" s="1"/>
  <c r="D1468" i="383" a="1"/>
  <c r="D1468" i="383" s="1"/>
  <c r="D1467" i="383" a="1"/>
  <c r="D1467" i="383" s="1"/>
  <c r="D1466" i="383" a="1"/>
  <c r="D1466" i="383" s="1"/>
  <c r="D1465" i="383" a="1"/>
  <c r="D1465" i="383"/>
  <c r="D1464" i="383" a="1"/>
  <c r="D1464" i="383" s="1"/>
  <c r="D1463" i="383" a="1"/>
  <c r="D1463" i="383" s="1"/>
  <c r="D1462" i="383" a="1"/>
  <c r="D1462" i="383"/>
  <c r="D1461" i="383" a="1"/>
  <c r="D1461" i="383" s="1"/>
  <c r="D1460" i="383" a="1"/>
  <c r="D1460" i="383"/>
  <c r="D1459" i="383" a="1"/>
  <c r="D1459" i="383" s="1"/>
  <c r="D1458" i="383" a="1"/>
  <c r="D1458" i="383" s="1"/>
  <c r="D1457" i="383" a="1"/>
  <c r="D1457" i="383"/>
  <c r="D1456" i="383" a="1"/>
  <c r="D1456" i="383" s="1"/>
  <c r="D1455" i="383" a="1"/>
  <c r="D1455" i="383" s="1"/>
  <c r="D1454" i="383" a="1"/>
  <c r="D1454" i="383" s="1"/>
  <c r="D1453" i="383" a="1"/>
  <c r="D1453" i="383"/>
  <c r="D1452" i="383" a="1"/>
  <c r="D1452" i="383"/>
  <c r="D1451" i="383" a="1"/>
  <c r="D1451" i="383" s="1"/>
  <c r="D1450" i="383" a="1"/>
  <c r="D1450" i="383" s="1"/>
  <c r="D1449" i="383" a="1"/>
  <c r="D1449" i="383"/>
  <c r="D1448" i="383" a="1"/>
  <c r="D1448" i="383" s="1"/>
  <c r="D1447" i="383" a="1"/>
  <c r="D1447" i="383" s="1"/>
  <c r="D1446" i="383" a="1"/>
  <c r="D1446" i="383" s="1"/>
  <c r="D1445" i="383" a="1"/>
  <c r="D1445" i="383" s="1"/>
  <c r="D1444" i="383" a="1"/>
  <c r="D1444" i="383"/>
  <c r="D1443" i="383" a="1"/>
  <c r="D1443" i="383"/>
  <c r="D1442" i="383" a="1"/>
  <c r="D1442" i="383" s="1"/>
  <c r="D1441" i="383" a="1"/>
  <c r="D1441" i="383"/>
  <c r="D1440" i="383" a="1"/>
  <c r="D1440" i="383" s="1"/>
  <c r="D1439" i="383" a="1"/>
  <c r="D1439" i="383" s="1"/>
  <c r="D1438" i="383" a="1"/>
  <c r="D1438" i="383" s="1"/>
  <c r="D1437" i="383" a="1"/>
  <c r="D1437" i="383" s="1"/>
  <c r="D1436" i="383" a="1"/>
  <c r="D1436" i="383" s="1"/>
  <c r="D1435" i="383" a="1"/>
  <c r="D1435" i="383"/>
  <c r="D1434" i="383" a="1"/>
  <c r="D1434" i="383" s="1"/>
  <c r="D1433" i="383" a="1"/>
  <c r="D1433" i="383" s="1"/>
  <c r="D1432" i="383" a="1"/>
  <c r="D1432" i="383" s="1"/>
  <c r="D1431" i="383" a="1"/>
  <c r="D1431" i="383" s="1"/>
  <c r="D1430" i="383" a="1"/>
  <c r="D1430" i="383" s="1"/>
  <c r="D1429" i="383" a="1"/>
  <c r="D1429" i="383" s="1"/>
  <c r="D1428" i="383" a="1"/>
  <c r="D1428" i="383" s="1"/>
  <c r="D1427" i="383" a="1"/>
  <c r="D1427" i="383" s="1"/>
  <c r="D1426" i="383" a="1"/>
  <c r="D1426" i="383" s="1"/>
  <c r="D1425" i="383" a="1"/>
  <c r="D1425" i="383"/>
  <c r="D1424" i="383" a="1"/>
  <c r="D1424" i="383" s="1"/>
  <c r="D1423" i="383" a="1"/>
  <c r="D1423" i="383" s="1"/>
  <c r="D1422" i="383" a="1"/>
  <c r="D1422" i="383" s="1"/>
  <c r="D1421" i="383" a="1"/>
  <c r="D1421" i="383" s="1"/>
  <c r="D1420" i="383" a="1"/>
  <c r="D1420" i="383" s="1"/>
  <c r="D1419" i="383" a="1"/>
  <c r="D1419" i="383" s="1"/>
  <c r="D1418" i="383" a="1"/>
  <c r="D1418" i="383" s="1"/>
  <c r="D1417" i="383" a="1"/>
  <c r="D1417" i="383"/>
  <c r="D1416" i="383" a="1"/>
  <c r="D1416" i="383" s="1"/>
  <c r="D1415" i="383" a="1"/>
  <c r="D1415" i="383" s="1"/>
  <c r="D1414" i="383" a="1"/>
  <c r="D1414" i="383"/>
  <c r="D1413" i="383" a="1"/>
  <c r="D1413" i="383" s="1"/>
  <c r="D1412" i="383" a="1"/>
  <c r="D1412" i="383" s="1"/>
  <c r="D1411" i="383" a="1"/>
  <c r="D1411" i="383" s="1"/>
  <c r="D1410" i="383" a="1"/>
  <c r="D1410" i="383" s="1"/>
  <c r="D1409" i="383" a="1"/>
  <c r="D1409" i="383"/>
  <c r="D1408" i="383" a="1"/>
  <c r="D1408" i="383" s="1"/>
  <c r="D1407" i="383" a="1"/>
  <c r="D1407" i="383" s="1"/>
  <c r="D1406" i="383" a="1"/>
  <c r="D1406" i="383"/>
  <c r="D1405" i="383" a="1"/>
  <c r="D1405" i="383" s="1"/>
  <c r="D1404" i="383" a="1"/>
  <c r="D1404" i="383" s="1"/>
  <c r="D1403" i="383" a="1"/>
  <c r="D1403" i="383"/>
  <c r="D1402" i="383" a="1"/>
  <c r="D1402" i="383" s="1"/>
  <c r="D1401" i="383" a="1"/>
  <c r="D1401" i="383"/>
  <c r="D1400" i="383" a="1"/>
  <c r="D1400" i="383" s="1"/>
  <c r="D1399" i="383" a="1"/>
  <c r="D1399" i="383" s="1"/>
  <c r="D1398" i="383" a="1"/>
  <c r="D1398" i="383"/>
  <c r="D1397" i="383" a="1"/>
  <c r="D1397" i="383" s="1"/>
  <c r="D1396" i="383" a="1"/>
  <c r="D1396" i="383"/>
  <c r="D1395" i="383" a="1"/>
  <c r="D1395" i="383" s="1"/>
  <c r="D1394" i="383" a="1"/>
  <c r="D1394" i="383" s="1"/>
  <c r="D1393" i="383" a="1"/>
  <c r="D1393" i="383"/>
  <c r="D1392" i="383" a="1"/>
  <c r="D1392" i="383" s="1"/>
  <c r="D1391" i="383" a="1"/>
  <c r="D1391" i="383" s="1"/>
  <c r="D1390" i="383" a="1"/>
  <c r="D1390" i="383" s="1"/>
  <c r="D1389" i="383" a="1"/>
  <c r="D1389" i="383" s="1"/>
  <c r="D1388" i="383" a="1"/>
  <c r="D1388" i="383" s="1"/>
  <c r="D1387" i="383" a="1"/>
  <c r="D1387" i="383"/>
  <c r="D1386" i="383" a="1"/>
  <c r="D1386" i="383" s="1"/>
  <c r="D1385" i="383" a="1"/>
  <c r="D1385" i="383"/>
  <c r="D1384" i="383" a="1"/>
  <c r="D1384" i="383" s="1"/>
  <c r="D1383" i="383" a="1"/>
  <c r="D1383" i="383" s="1"/>
  <c r="D1382" i="383" a="1"/>
  <c r="D1382" i="383" s="1"/>
  <c r="D1381" i="383" a="1"/>
  <c r="D1381" i="383" s="1"/>
  <c r="D1380" i="383" a="1"/>
  <c r="D1380" i="383" s="1"/>
  <c r="D1379" i="383" a="1"/>
  <c r="D1379" i="383"/>
  <c r="D1378" i="383" a="1"/>
  <c r="D1378" i="383" s="1"/>
  <c r="D1377" i="383" a="1"/>
  <c r="D1377" i="383" s="1"/>
  <c r="D1376" i="383" a="1"/>
  <c r="D1376" i="383" s="1"/>
  <c r="D1375" i="383" a="1"/>
  <c r="D1375" i="383" s="1"/>
  <c r="D1374" i="383" a="1"/>
  <c r="D1374" i="383" s="1"/>
  <c r="D1373" i="383" a="1"/>
  <c r="D1373" i="383" s="1"/>
  <c r="D1372" i="383" a="1"/>
  <c r="D1372" i="383" s="1"/>
  <c r="D1371" i="383" a="1"/>
  <c r="D1371" i="383" s="1"/>
  <c r="D1370" i="383" a="1"/>
  <c r="D1370" i="383" s="1"/>
  <c r="D1369" i="383" a="1"/>
  <c r="D1369" i="383" s="1"/>
  <c r="D1368" i="383" a="1"/>
  <c r="D1368" i="383" s="1"/>
  <c r="D1367" i="383" a="1"/>
  <c r="D1367" i="383" s="1"/>
  <c r="D1366" i="383" a="1"/>
  <c r="D1366" i="383" s="1"/>
  <c r="D1365" i="383" a="1"/>
  <c r="D1365" i="383" s="1"/>
  <c r="D1364" i="383" a="1"/>
  <c r="D1364" i="383" s="1"/>
  <c r="D1363" i="383" a="1"/>
  <c r="D1363" i="383" s="1"/>
  <c r="D1362" i="383" a="1"/>
  <c r="D1362" i="383" s="1"/>
  <c r="D1361" i="383" a="1"/>
  <c r="D1361" i="383"/>
  <c r="D1360" i="383" a="1"/>
  <c r="D1360" i="383" s="1"/>
  <c r="D1359" i="383" a="1"/>
  <c r="D1359" i="383" s="1"/>
  <c r="D1358" i="383" a="1"/>
  <c r="D1358" i="383" s="1"/>
  <c r="D1357" i="383" a="1"/>
  <c r="D1357" i="383" s="1"/>
  <c r="D1356" i="383" a="1"/>
  <c r="D1356" i="383" s="1"/>
  <c r="D1355" i="383" a="1"/>
  <c r="D1355" i="383" s="1"/>
  <c r="D1354" i="383" a="1"/>
  <c r="D1354" i="383" s="1"/>
  <c r="D1353" i="383" a="1"/>
  <c r="D1353" i="383"/>
  <c r="D1352" i="383" a="1"/>
  <c r="D1352" i="383" s="1"/>
  <c r="D1351" i="383" a="1"/>
  <c r="D1351" i="383" s="1"/>
  <c r="D1350" i="383" a="1"/>
  <c r="D1350" i="383"/>
  <c r="D1349" i="383" a="1"/>
  <c r="D1349" i="383" s="1"/>
  <c r="D1348" i="383" a="1"/>
  <c r="D1348" i="383" s="1"/>
  <c r="D1347" i="383" a="1"/>
  <c r="D1347" i="383" s="1"/>
  <c r="D1346" i="383" a="1"/>
  <c r="D1346" i="383" s="1"/>
  <c r="D1345" i="383" a="1"/>
  <c r="D1345" i="383"/>
  <c r="D1344" i="383" a="1"/>
  <c r="D1344" i="383" s="1"/>
  <c r="D1343" i="383" a="1"/>
  <c r="D1343" i="383" s="1"/>
  <c r="D1342" i="383" a="1"/>
  <c r="D1342" i="383"/>
  <c r="D1341" i="383" a="1"/>
  <c r="D1341" i="383" s="1"/>
  <c r="D1340" i="383" a="1"/>
  <c r="D1340" i="383" s="1"/>
  <c r="D1339" i="383" a="1"/>
  <c r="D1339" i="383" s="1"/>
  <c r="D1338" i="383" a="1"/>
  <c r="D1338" i="383" s="1"/>
  <c r="D1337" i="383" a="1"/>
  <c r="D1337" i="383"/>
  <c r="D1336" i="383" a="1"/>
  <c r="D1336" i="383" s="1"/>
  <c r="D1335" i="383" a="1"/>
  <c r="D1335" i="383" s="1"/>
  <c r="D1334" i="383" a="1"/>
  <c r="D1334" i="383"/>
  <c r="D1333" i="383" a="1"/>
  <c r="D1333" i="383" s="1"/>
  <c r="D1332" i="383" a="1"/>
  <c r="D1332" i="383"/>
  <c r="D1331" i="383" a="1"/>
  <c r="D1331" i="383" s="1"/>
  <c r="D1330" i="383" a="1"/>
  <c r="D1330" i="383" s="1"/>
  <c r="D1329" i="383" a="1"/>
  <c r="D1329" i="383"/>
  <c r="D1328" i="383" a="1"/>
  <c r="D1328" i="383" s="1"/>
  <c r="D1327" i="383" a="1"/>
  <c r="D1327" i="383" s="1"/>
  <c r="D1326" i="383" a="1"/>
  <c r="D1326" i="383" s="1"/>
  <c r="D1325" i="383" a="1"/>
  <c r="D1325" i="383" s="1"/>
  <c r="D1324" i="383" a="1"/>
  <c r="D1324" i="383" s="1"/>
  <c r="D1323" i="383" a="1"/>
  <c r="D1323" i="383" s="1"/>
  <c r="D1322" i="383" a="1"/>
  <c r="D1322" i="383" s="1"/>
  <c r="D1321" i="383" a="1"/>
  <c r="D1321" i="383"/>
  <c r="D1320" i="383" a="1"/>
  <c r="D1320" i="383" s="1"/>
  <c r="D1319" i="383" a="1"/>
  <c r="D1319" i="383" s="1"/>
  <c r="D1318" i="383" a="1"/>
  <c r="D1318" i="383" s="1"/>
  <c r="D1317" i="383" a="1"/>
  <c r="D1317" i="383" s="1"/>
  <c r="D1316" i="383" a="1"/>
  <c r="D1316" i="383" s="1"/>
  <c r="D1315" i="383" a="1"/>
  <c r="D1315" i="383"/>
  <c r="D1314" i="383" a="1"/>
  <c r="D1314" i="383" s="1"/>
  <c r="D1313" i="383" a="1"/>
  <c r="D1313" i="383" s="1"/>
  <c r="D1312" i="383" a="1"/>
  <c r="D1312" i="383" s="1"/>
  <c r="D1311" i="383" a="1"/>
  <c r="D1311" i="383" s="1"/>
  <c r="D1310" i="383" a="1"/>
  <c r="D1310" i="383" s="1"/>
  <c r="D1309" i="383" a="1"/>
  <c r="D1309" i="383" s="1"/>
  <c r="D1308" i="383" a="1"/>
  <c r="D1308" i="383" s="1"/>
  <c r="D1307" i="383" a="1"/>
  <c r="D1307" i="383"/>
  <c r="D1306" i="383" a="1"/>
  <c r="D1306" i="383" s="1"/>
  <c r="D1305" i="383" a="1"/>
  <c r="D1305" i="383" s="1"/>
  <c r="D1304" i="383" a="1"/>
  <c r="D1304" i="383" s="1"/>
  <c r="D1303" i="383" a="1"/>
  <c r="D1303" i="383" s="1"/>
  <c r="D1302" i="383" a="1"/>
  <c r="D1302" i="383" s="1"/>
  <c r="D1301" i="383" a="1"/>
  <c r="D1301" i="383" s="1"/>
  <c r="D1300" i="383" a="1"/>
  <c r="D1300" i="383" s="1"/>
  <c r="D1299" i="383" a="1"/>
  <c r="D1299" i="383" s="1"/>
  <c r="D1298" i="383" a="1"/>
  <c r="D1298" i="383" s="1"/>
  <c r="D1297" i="383" a="1"/>
  <c r="D1297" i="383"/>
  <c r="D1296" i="383" a="1"/>
  <c r="D1296" i="383" s="1"/>
  <c r="D1295" i="383" a="1"/>
  <c r="D1295" i="383"/>
  <c r="D1294" i="383" a="1"/>
  <c r="D1294" i="383" s="1"/>
  <c r="D1293" i="383" a="1"/>
  <c r="D1293" i="383" s="1"/>
  <c r="D1292" i="383" a="1"/>
  <c r="D1292" i="383" s="1"/>
  <c r="D1291" i="383" a="1"/>
  <c r="D1291" i="383" s="1"/>
  <c r="D1290" i="383" a="1"/>
  <c r="D1290" i="383" s="1"/>
  <c r="D1289" i="383" a="1"/>
  <c r="D1289" i="383"/>
  <c r="D1288" i="383" a="1"/>
  <c r="D1288" i="383" s="1"/>
  <c r="D1287" i="383" a="1"/>
  <c r="D1287" i="383" s="1"/>
  <c r="D1286" i="383" a="1"/>
  <c r="D1286" i="383"/>
  <c r="D1285" i="383" a="1"/>
  <c r="D1285" i="383" s="1"/>
  <c r="D1284" i="383" a="1"/>
  <c r="D1284" i="383"/>
  <c r="D1283" i="383" a="1"/>
  <c r="D1283" i="383" s="1"/>
  <c r="D1282" i="383" a="1"/>
  <c r="D1282" i="383" s="1"/>
  <c r="D1281" i="383" a="1"/>
  <c r="D1281" i="383"/>
  <c r="D1280" i="383" a="1"/>
  <c r="D1280" i="383" s="1"/>
  <c r="D1279" i="383" a="1"/>
  <c r="D1279" i="383" s="1"/>
  <c r="D1278" i="383" a="1"/>
  <c r="D1278" i="383"/>
  <c r="D1277" i="383" a="1"/>
  <c r="D1277" i="383" s="1"/>
  <c r="D1276" i="383" a="1"/>
  <c r="D1276" i="383" s="1"/>
  <c r="D1275" i="383" a="1"/>
  <c r="D1275" i="383"/>
  <c r="D1274" i="383" a="1"/>
  <c r="D1274" i="383" s="1"/>
  <c r="D1273" i="383" a="1"/>
  <c r="D1273" i="383"/>
  <c r="D1272" i="383" a="1"/>
  <c r="D1272" i="383" s="1"/>
  <c r="D1271" i="383" a="1"/>
  <c r="D1271" i="383" s="1"/>
  <c r="D1270" i="383" a="1"/>
  <c r="D1270" i="383" s="1"/>
  <c r="D1269" i="383" a="1"/>
  <c r="D1269" i="383" s="1"/>
  <c r="D1268" i="383" a="1"/>
  <c r="D1268" i="383" s="1"/>
  <c r="D1267" i="383" a="1"/>
  <c r="D1267" i="383" s="1"/>
  <c r="D1266" i="383" a="1"/>
  <c r="D1266" i="383" s="1"/>
  <c r="D1265" i="383" a="1"/>
  <c r="D1265" i="383"/>
  <c r="D1264" i="383" a="1"/>
  <c r="D1264" i="383" s="1"/>
  <c r="D1263" i="383" a="1"/>
  <c r="D1263" i="383" s="1"/>
  <c r="D1262" i="383" a="1"/>
  <c r="D1262" i="383" s="1"/>
  <c r="D1261" i="383" a="1"/>
  <c r="D1261" i="383" s="1"/>
  <c r="D1260" i="383" a="1"/>
  <c r="D1260" i="383" s="1"/>
  <c r="D1259" i="383" a="1"/>
  <c r="D1259" i="383" s="1"/>
  <c r="D1258" i="383" a="1"/>
  <c r="D1258" i="383" s="1"/>
  <c r="D1257" i="383" a="1"/>
  <c r="D1257" i="383"/>
  <c r="D1256" i="383" a="1"/>
  <c r="D1256" i="383" s="1"/>
  <c r="D1255" i="383" a="1"/>
  <c r="D1255" i="383"/>
  <c r="D1254" i="383" a="1"/>
  <c r="D1254" i="383" s="1"/>
  <c r="D1253" i="383" a="1"/>
  <c r="D1253" i="383"/>
  <c r="D1252" i="383" a="1"/>
  <c r="D1252" i="383" s="1"/>
  <c r="D1251" i="383" a="1"/>
  <c r="D1251" i="383"/>
  <c r="D1250" i="383" a="1"/>
  <c r="D1250" i="383" s="1"/>
  <c r="D1249" i="383" a="1"/>
  <c r="D1249" i="383" s="1"/>
  <c r="D1248" i="383" a="1"/>
  <c r="D1248" i="383" s="1"/>
  <c r="D1247" i="383" a="1"/>
  <c r="D1247" i="383" s="1"/>
  <c r="D1246" i="383" a="1"/>
  <c r="D1246" i="383"/>
  <c r="D1245" i="383" a="1"/>
  <c r="D1245" i="383" s="1"/>
  <c r="D1244" i="383" a="1"/>
  <c r="D1244" i="383"/>
  <c r="D1243" i="383" a="1"/>
  <c r="D1243" i="383" s="1"/>
  <c r="D1242" i="383" a="1"/>
  <c r="D1242" i="383" s="1"/>
  <c r="D1241" i="383" a="1"/>
  <c r="D1241" i="383"/>
  <c r="D1240" i="383" a="1"/>
  <c r="D1240" i="383" s="1"/>
  <c r="D1239" i="383" a="1"/>
  <c r="D1239" i="383" s="1"/>
  <c r="D1238" i="383" a="1"/>
  <c r="D1238" i="383" s="1"/>
  <c r="D1237" i="383" a="1"/>
  <c r="D1237" i="383" s="1"/>
  <c r="D1236" i="383" a="1"/>
  <c r="D1236" i="383" s="1"/>
  <c r="D1235" i="383" a="1"/>
  <c r="D1235" i="383" s="1"/>
  <c r="D1234" i="383" a="1"/>
  <c r="D1234" i="383" s="1"/>
  <c r="D1233" i="383" a="1"/>
  <c r="D1233" i="383" s="1"/>
  <c r="D1232" i="383" a="1"/>
  <c r="D1232" i="383" s="1"/>
  <c r="D1231" i="383" a="1"/>
  <c r="D1231" i="383"/>
  <c r="D1230" i="383" a="1"/>
  <c r="D1230" i="383" s="1"/>
  <c r="D1229" i="383" a="1"/>
  <c r="D1229" i="383"/>
  <c r="D1228" i="383" a="1"/>
  <c r="D1228" i="383" s="1"/>
  <c r="D1227" i="383" a="1"/>
  <c r="D1227" i="383" s="1"/>
  <c r="D1226" i="383" a="1"/>
  <c r="D1226" i="383" s="1"/>
  <c r="D1225" i="383" a="1"/>
  <c r="D1225" i="383" s="1"/>
  <c r="D1224" i="383" a="1"/>
  <c r="D1224" i="383" s="1"/>
  <c r="D1223" i="383" a="1"/>
  <c r="D1223" i="383" s="1"/>
  <c r="D1222" i="383" a="1"/>
  <c r="D1222" i="383" s="1"/>
  <c r="D1221" i="383" a="1"/>
  <c r="D1221" i="383"/>
  <c r="D1220" i="383" a="1"/>
  <c r="D1220" i="383" s="1"/>
  <c r="D1219" i="383" a="1"/>
  <c r="D1219" i="383" s="1"/>
  <c r="D1218" i="383" a="1"/>
  <c r="D1218" i="383" s="1"/>
  <c r="D1217" i="383" a="1"/>
  <c r="D1217" i="383"/>
  <c r="D1216" i="383" a="1"/>
  <c r="D1216" i="383" s="1"/>
  <c r="D1215" i="383" a="1"/>
  <c r="D1215" i="383"/>
  <c r="D1214" i="383" a="1"/>
  <c r="D1214" i="383" s="1"/>
  <c r="D1213" i="383" a="1"/>
  <c r="D1213" i="383" s="1"/>
  <c r="D1212" i="383" a="1"/>
  <c r="D1212" i="383"/>
  <c r="D1211" i="383" a="1"/>
  <c r="D1211" i="383" s="1"/>
  <c r="D1210" i="383" a="1"/>
  <c r="D1210" i="383" s="1"/>
  <c r="D1209" i="383" a="1"/>
  <c r="D1209" i="383" s="1"/>
  <c r="D1208" i="383" a="1"/>
  <c r="D1208" i="383" s="1"/>
  <c r="D1207" i="383" a="1"/>
  <c r="D1207" i="383"/>
  <c r="D1206" i="383" a="1"/>
  <c r="D1206" i="383"/>
  <c r="D1205" i="383" a="1"/>
  <c r="D1205" i="383" s="1"/>
  <c r="D1204" i="383" a="1"/>
  <c r="D1204" i="383" s="1"/>
  <c r="D1203" i="383" a="1"/>
  <c r="D1203" i="383" s="1"/>
  <c r="D1202" i="383" a="1"/>
  <c r="D1202" i="383" s="1"/>
  <c r="D1201" i="383" a="1"/>
  <c r="D1201" i="383"/>
  <c r="D1200" i="383" a="1"/>
  <c r="D1200" i="383" s="1"/>
  <c r="D1199" i="383" a="1"/>
  <c r="D1199" i="383" s="1"/>
  <c r="D1198" i="383" a="1"/>
  <c r="D1198" i="383"/>
  <c r="D1197" i="383" a="1"/>
  <c r="D1197" i="383" s="1"/>
  <c r="D1196" i="383" a="1"/>
  <c r="D1196" i="383"/>
  <c r="D1195" i="383" a="1"/>
  <c r="D1195" i="383" s="1"/>
  <c r="D1194" i="383" a="1"/>
  <c r="D1194" i="383" s="1"/>
  <c r="D1193" i="383" a="1"/>
  <c r="D1193" i="383"/>
  <c r="D1192" i="383" a="1"/>
  <c r="D1192" i="383" s="1"/>
  <c r="D1191" i="383" a="1"/>
  <c r="D1191" i="383"/>
  <c r="D1190" i="383" a="1"/>
  <c r="D1190" i="383" s="1"/>
  <c r="D1189" i="383" a="1"/>
  <c r="D1189" i="383" s="1"/>
  <c r="D1188" i="383" a="1"/>
  <c r="D1188" i="383"/>
  <c r="D1187" i="383" a="1"/>
  <c r="D1187" i="383"/>
  <c r="D1186" i="383" a="1"/>
  <c r="D1186" i="383" s="1"/>
  <c r="D1185" i="383" a="1"/>
  <c r="D1185" i="383" s="1"/>
  <c r="D1184" i="383" a="1"/>
  <c r="D1184" i="383" s="1"/>
  <c r="D1183" i="383" a="1"/>
  <c r="D1183" i="383"/>
  <c r="D1182" i="383" a="1"/>
  <c r="D1182" i="383" s="1"/>
  <c r="D1181" i="383" a="1"/>
  <c r="D1181" i="383" s="1"/>
  <c r="D1180" i="383" a="1"/>
  <c r="D1180" i="383" s="1"/>
  <c r="D1179" i="383" a="1"/>
  <c r="D1179" i="383"/>
  <c r="D1178" i="383" a="1"/>
  <c r="D1178" i="383" s="1"/>
  <c r="D1177" i="383" a="1"/>
  <c r="D1177" i="383" s="1"/>
  <c r="D1176" i="383" a="1"/>
  <c r="D1176" i="383" s="1"/>
  <c r="D1175" i="383" a="1"/>
  <c r="D1175" i="383" s="1"/>
  <c r="D1174" i="383" a="1"/>
  <c r="D1174" i="383"/>
  <c r="D1173" i="383" a="1"/>
  <c r="D1173" i="383" s="1"/>
  <c r="D1172" i="383" a="1"/>
  <c r="D1172" i="383" s="1"/>
  <c r="D1171" i="383" a="1"/>
  <c r="D1171" i="383" s="1"/>
  <c r="D1170" i="383" a="1"/>
  <c r="D1170" i="383" s="1"/>
  <c r="D1169" i="383" a="1"/>
  <c r="D1169" i="383"/>
  <c r="D1168" i="383" a="1"/>
  <c r="D1168" i="383" s="1"/>
  <c r="D1167" i="383" a="1"/>
  <c r="D1167" i="383" s="1"/>
  <c r="D1166" i="383" a="1"/>
  <c r="D1166" i="383" s="1"/>
  <c r="D1165" i="383" a="1"/>
  <c r="D1165" i="383" s="1"/>
  <c r="D1164" i="383" a="1"/>
  <c r="D1164" i="383" s="1"/>
  <c r="D1163" i="383" a="1"/>
  <c r="D1163" i="383" s="1"/>
  <c r="D1162" i="383" a="1"/>
  <c r="D1162" i="383" s="1"/>
  <c r="D1161" i="383" a="1"/>
  <c r="D1161" i="383" s="1"/>
  <c r="D1160" i="383" a="1"/>
  <c r="D1160" i="383" s="1"/>
  <c r="D1159" i="383" a="1"/>
  <c r="D1159" i="383" s="1"/>
  <c r="D1158" i="383" a="1"/>
  <c r="D1158" i="383" s="1"/>
  <c r="D1157" i="383" a="1"/>
  <c r="D1157" i="383"/>
  <c r="D1156" i="383" a="1"/>
  <c r="D1156" i="383" s="1"/>
  <c r="D1155" i="383" a="1"/>
  <c r="D1155" i="383"/>
  <c r="D1154" i="383" a="1"/>
  <c r="D1154" i="383" s="1"/>
  <c r="D1153" i="383" a="1"/>
  <c r="D1153" i="383"/>
  <c r="D1152" i="383" a="1"/>
  <c r="D1152" i="383" s="1"/>
  <c r="D1151" i="383" a="1"/>
  <c r="D1151" i="383" s="1"/>
  <c r="D1150" i="383" a="1"/>
  <c r="D1150" i="383" s="1"/>
  <c r="D1149" i="383" a="1"/>
  <c r="D1149" i="383" s="1"/>
  <c r="D1148" i="383" a="1"/>
  <c r="D1148" i="383"/>
  <c r="D1147" i="383" a="1"/>
  <c r="D1147" i="383" s="1"/>
  <c r="D1146" i="383" a="1"/>
  <c r="D1146" i="383" s="1"/>
  <c r="D1145" i="383" a="1"/>
  <c r="D1145" i="383" s="1"/>
  <c r="D1144" i="383" a="1"/>
  <c r="D1144" i="383" s="1"/>
  <c r="D1143" i="383" a="1"/>
  <c r="D1143" i="383"/>
  <c r="D1142" i="383" a="1"/>
  <c r="D1142" i="383" s="1"/>
  <c r="D1141" i="383" a="1"/>
  <c r="D1141" i="383" s="1"/>
  <c r="D1140" i="383" a="1"/>
  <c r="D1140" i="383" s="1"/>
  <c r="D1139" i="383" a="1"/>
  <c r="D1139" i="383"/>
  <c r="D1138" i="383" a="1"/>
  <c r="D1138" i="383" s="1"/>
  <c r="D1137" i="383" a="1"/>
  <c r="D1137" i="383"/>
  <c r="D1136" i="383" a="1"/>
  <c r="D1136" i="383" s="1"/>
  <c r="D1135" i="383" a="1"/>
  <c r="D1135" i="383" s="1"/>
  <c r="D1134" i="383" a="1"/>
  <c r="D1134" i="383" s="1"/>
  <c r="D1133" i="383" a="1"/>
  <c r="D1133" i="383" s="1"/>
  <c r="D1132" i="383" a="1"/>
  <c r="D1132" i="383"/>
  <c r="D1131" i="383" a="1"/>
  <c r="D1131" i="383"/>
  <c r="D1130" i="383" a="1"/>
  <c r="D1130" i="383" s="1"/>
  <c r="D1129" i="383" a="1"/>
  <c r="D1129" i="383"/>
  <c r="D1128" i="383" a="1"/>
  <c r="D1128" i="383" s="1"/>
  <c r="D1127" i="383" a="1"/>
  <c r="D1127" i="383"/>
  <c r="D1126" i="383" a="1"/>
  <c r="D1126" i="383" s="1"/>
  <c r="D1125" i="383" a="1"/>
  <c r="D1125" i="383" s="1"/>
  <c r="D1124" i="383" a="1"/>
  <c r="D1124" i="383"/>
  <c r="D1123" i="383" a="1"/>
  <c r="D1123" i="383" s="1"/>
  <c r="D1122" i="383" a="1"/>
  <c r="D1122" i="383" s="1"/>
  <c r="D1121" i="383" a="1"/>
  <c r="D1121" i="383"/>
  <c r="D1120" i="383" a="1"/>
  <c r="D1120" i="383" s="1"/>
  <c r="D1119" i="383" a="1"/>
  <c r="D1119" i="383"/>
  <c r="D1118" i="383" a="1"/>
  <c r="D1118" i="383" s="1"/>
  <c r="D1117" i="383" a="1"/>
  <c r="D1117" i="383" s="1"/>
  <c r="D1116" i="383" a="1"/>
  <c r="D1116" i="383"/>
  <c r="D1115" i="383" a="1"/>
  <c r="D1115" i="383" s="1"/>
  <c r="D1114" i="383" a="1"/>
  <c r="D1114" i="383" s="1"/>
  <c r="D1113" i="383" a="1"/>
  <c r="D1113" i="383" s="1"/>
  <c r="D1112" i="383" a="1"/>
  <c r="D1112" i="383" s="1"/>
  <c r="D1111" i="383" a="1"/>
  <c r="D1111" i="383"/>
  <c r="D1110" i="383" a="1"/>
  <c r="D1110" i="383"/>
  <c r="D1109" i="383" a="1"/>
  <c r="D1109" i="383"/>
  <c r="D1108" i="383" a="1"/>
  <c r="D1108" i="383"/>
  <c r="D1107" i="383" a="1"/>
  <c r="D1107" i="383" s="1"/>
  <c r="D1106" i="383" a="1"/>
  <c r="D1106" i="383" s="1"/>
  <c r="D1105" i="383" a="1"/>
  <c r="D1105" i="383"/>
  <c r="D1104" i="383" a="1"/>
  <c r="D1104" i="383" s="1"/>
  <c r="D1103" i="383" a="1"/>
  <c r="D1103" i="383"/>
  <c r="D1102" i="383" a="1"/>
  <c r="D1102" i="383"/>
  <c r="D1101" i="383" a="1"/>
  <c r="D1101" i="383" s="1"/>
  <c r="D1100" i="383" a="1"/>
  <c r="D1100" i="383"/>
  <c r="D1099" i="383" a="1"/>
  <c r="D1099" i="383"/>
  <c r="D1098" i="383" a="1"/>
  <c r="D1098" i="383" s="1"/>
  <c r="D1097" i="383" a="1"/>
  <c r="D1097" i="383" s="1"/>
  <c r="D1096" i="383" a="1"/>
  <c r="D1096" i="383" s="1"/>
  <c r="D1095" i="383" a="1"/>
  <c r="D1095" i="383"/>
  <c r="D1094" i="383" a="1"/>
  <c r="D1094" i="383"/>
  <c r="D1093" i="383" a="1"/>
  <c r="D1093" i="383"/>
  <c r="D1092" i="383" a="1"/>
  <c r="D1092" i="383" s="1"/>
  <c r="D1091" i="383" a="1"/>
  <c r="D1091" i="383"/>
  <c r="D1090" i="383" a="1"/>
  <c r="D1090" i="383" s="1"/>
  <c r="D1089" i="383" a="1"/>
  <c r="D1089" i="383" s="1"/>
  <c r="D1088" i="383" a="1"/>
  <c r="D1088" i="383" s="1"/>
  <c r="D1087" i="383" a="1"/>
  <c r="D1087" i="383" s="1"/>
  <c r="D1086" i="383" a="1"/>
  <c r="D1086" i="383" s="1"/>
  <c r="D1085" i="383" a="1"/>
  <c r="D1085" i="383"/>
  <c r="D1084" i="383" a="1"/>
  <c r="D1084" i="383"/>
  <c r="D1083" i="383" a="1"/>
  <c r="D1083" i="383" s="1"/>
  <c r="D1082" i="383" a="1"/>
  <c r="D1082" i="383" s="1"/>
  <c r="D1081" i="383" a="1"/>
  <c r="D1081" i="383" s="1"/>
  <c r="D1080" i="383" a="1"/>
  <c r="D1080" i="383" s="1"/>
  <c r="D1079" i="383" a="1"/>
  <c r="D1079" i="383"/>
  <c r="D1078" i="383" a="1"/>
  <c r="D1078" i="383" s="1"/>
  <c r="D1077" i="383" a="1"/>
  <c r="D1077" i="383" s="1"/>
  <c r="D1076" i="383" a="1"/>
  <c r="D1076" i="383" s="1"/>
  <c r="D1075" i="383" a="1"/>
  <c r="D1075" i="383"/>
  <c r="D1074" i="383" a="1"/>
  <c r="D1074" i="383" s="1"/>
  <c r="D1073" i="383" a="1"/>
  <c r="D1073" i="383"/>
  <c r="D1072" i="383" a="1"/>
  <c r="D1072" i="383" s="1"/>
  <c r="D1071" i="383" a="1"/>
  <c r="D1071" i="383" s="1"/>
  <c r="D1070" i="383" a="1"/>
  <c r="D1070" i="383" s="1"/>
  <c r="D1069" i="383" a="1"/>
  <c r="D1069" i="383" s="1"/>
  <c r="D1068" i="383" a="1"/>
  <c r="D1068" i="383"/>
  <c r="D1067" i="383" a="1"/>
  <c r="D1067" i="383" s="1"/>
  <c r="D1066" i="383" a="1"/>
  <c r="D1066" i="383" s="1"/>
  <c r="D1065" i="383" a="1"/>
  <c r="D1065" i="383" s="1"/>
  <c r="D1064" i="383" a="1"/>
  <c r="D1064" i="383" s="1"/>
  <c r="D1063" i="383" a="1"/>
  <c r="D1063" i="383"/>
  <c r="D1062" i="383" a="1"/>
  <c r="D1062" i="383" s="1"/>
  <c r="D1061" i="383" a="1"/>
  <c r="D1061" i="383" s="1"/>
  <c r="D1060" i="383" a="1"/>
  <c r="D1060" i="383" s="1"/>
  <c r="D1059" i="383" a="1"/>
  <c r="D1059" i="383"/>
  <c r="D1058" i="383" a="1"/>
  <c r="D1058" i="383" s="1"/>
  <c r="D1057" i="383" a="1"/>
  <c r="D1057" i="383"/>
  <c r="D1056" i="383" a="1"/>
  <c r="D1056" i="383" s="1"/>
  <c r="D1055" i="383" a="1"/>
  <c r="D1055" i="383" s="1"/>
  <c r="D1054" i="383" a="1"/>
  <c r="D1054" i="383" s="1"/>
  <c r="D1053" i="383" a="1"/>
  <c r="D1053" i="383"/>
  <c r="D1052" i="383" a="1"/>
  <c r="D1052" i="383" s="1"/>
  <c r="D1051" i="383" a="1"/>
  <c r="D1051" i="383" s="1"/>
  <c r="D1050" i="383" a="1"/>
  <c r="D1050" i="383" s="1"/>
  <c r="D1049" i="383" a="1"/>
  <c r="D1049" i="383" s="1"/>
  <c r="D1048" i="383" a="1"/>
  <c r="D1048" i="383" s="1"/>
  <c r="D1047" i="383" a="1"/>
  <c r="D1047" i="383"/>
  <c r="D1046" i="383" a="1"/>
  <c r="D1046" i="383" s="1"/>
  <c r="D1045" i="383" a="1"/>
  <c r="D1045" i="383" s="1"/>
  <c r="D1044" i="383" a="1"/>
  <c r="D1044" i="383" s="1"/>
  <c r="D1043" i="383" a="1"/>
  <c r="D1043" i="383"/>
  <c r="D1042" i="383" a="1"/>
  <c r="D1042" i="383" s="1"/>
  <c r="D1041" i="383" a="1"/>
  <c r="D1041" i="383"/>
  <c r="D1040" i="383" a="1"/>
  <c r="D1040" i="383" s="1"/>
  <c r="D1039" i="383" a="1"/>
  <c r="D1039" i="383" s="1"/>
  <c r="D1038" i="383" a="1"/>
  <c r="D1038" i="383"/>
  <c r="D1037" i="383" a="1"/>
  <c r="D1037" i="383" s="1"/>
  <c r="D1036" i="383" a="1"/>
  <c r="D1036" i="383"/>
  <c r="D1035" i="383" a="1"/>
  <c r="D1035" i="383" s="1"/>
  <c r="D1034" i="383" a="1"/>
  <c r="D1034" i="383" s="1"/>
  <c r="D1033" i="383" a="1"/>
  <c r="D1033" i="383" s="1"/>
  <c r="D1032" i="383" a="1"/>
  <c r="D1032" i="383" s="1"/>
  <c r="D1031" i="383" a="1"/>
  <c r="D1031" i="383"/>
  <c r="D1030" i="383" a="1"/>
  <c r="D1030" i="383" s="1"/>
  <c r="D1029" i="383" a="1"/>
  <c r="D1029" i="383"/>
  <c r="D1028" i="383" a="1"/>
  <c r="D1028" i="383" s="1"/>
  <c r="D1027" i="383" a="1"/>
  <c r="D1027" i="383"/>
  <c r="D1026" i="383" a="1"/>
  <c r="D1026" i="383" s="1"/>
  <c r="D1025" i="383" a="1"/>
  <c r="D1025" i="383" s="1"/>
  <c r="D1024" i="383" a="1"/>
  <c r="D1024" i="383" s="1"/>
  <c r="D1023" i="383" a="1"/>
  <c r="D1023" i="383" s="1"/>
  <c r="D1022" i="383" a="1"/>
  <c r="D1022" i="383"/>
  <c r="D1021" i="383" a="1"/>
  <c r="D1021" i="383" s="1"/>
  <c r="D1020" i="383" a="1"/>
  <c r="D1020" i="383"/>
  <c r="D1019" i="383" a="1"/>
  <c r="D1019" i="383" s="1"/>
  <c r="D1018" i="383" a="1"/>
  <c r="D1018" i="383" s="1"/>
  <c r="D1017" i="383" a="1"/>
  <c r="D1017" i="383"/>
  <c r="D1016" i="383" a="1"/>
  <c r="D1016" i="383"/>
  <c r="D1015" i="383" a="1"/>
  <c r="D1015" i="383" s="1"/>
  <c r="D1014" i="383" a="1"/>
  <c r="D1014" i="383" s="1"/>
  <c r="D1013" i="383" a="1"/>
  <c r="D1013" i="383" s="1"/>
  <c r="D1012" i="383" a="1"/>
  <c r="D1012" i="383"/>
  <c r="D1011" i="383" a="1"/>
  <c r="D1011" i="383" s="1"/>
  <c r="D1010" i="383" a="1"/>
  <c r="D1010" i="383"/>
  <c r="D1009" i="383" a="1"/>
  <c r="D1009" i="383" s="1"/>
  <c r="D1008" i="383" a="1"/>
  <c r="D1008" i="383"/>
  <c r="D1007" i="383" a="1"/>
  <c r="D1007" i="383"/>
  <c r="D1006" i="383" a="1"/>
  <c r="D1006" i="383" s="1"/>
  <c r="D1005" i="383" a="1"/>
  <c r="D1005" i="383" s="1"/>
  <c r="D1004" i="383" a="1"/>
  <c r="D1004" i="383" s="1"/>
  <c r="D1003" i="383" a="1"/>
  <c r="D1003" i="383" s="1"/>
  <c r="D1002" i="383" a="1"/>
  <c r="D1002" i="383"/>
  <c r="D1001" i="383" a="1"/>
  <c r="D1001" i="383"/>
  <c r="D1000" i="383" a="1"/>
  <c r="D1000" i="383" s="1"/>
  <c r="D999" i="383" a="1"/>
  <c r="D999" i="383"/>
  <c r="D998" i="383" a="1"/>
  <c r="D998" i="383"/>
  <c r="D997" i="383" a="1"/>
  <c r="D997" i="383" s="1"/>
  <c r="D996" i="383" a="1"/>
  <c r="D996" i="383"/>
  <c r="D995" i="383" a="1"/>
  <c r="D995" i="383" s="1"/>
  <c r="D994" i="383" a="1"/>
  <c r="D994" i="383"/>
  <c r="D993" i="383" a="1"/>
  <c r="D993" i="383" s="1"/>
  <c r="D992" i="383" a="1"/>
  <c r="D992" i="383" s="1"/>
  <c r="D991" i="383" a="1"/>
  <c r="D991" i="383" s="1"/>
  <c r="D990" i="383" a="1"/>
  <c r="D990" i="383"/>
  <c r="D989" i="383" a="1"/>
  <c r="D989" i="383" s="1"/>
  <c r="D988" i="383" a="1"/>
  <c r="D988" i="383" s="1"/>
  <c r="D987" i="383" a="1"/>
  <c r="D987" i="383" s="1"/>
  <c r="D986" i="383" a="1"/>
  <c r="D986" i="383"/>
  <c r="D985" i="383" a="1"/>
  <c r="D985" i="383"/>
  <c r="D984" i="383" a="1"/>
  <c r="D984" i="383"/>
  <c r="D983" i="383" a="1"/>
  <c r="D983" i="383" s="1"/>
  <c r="D982" i="383" a="1"/>
  <c r="D982" i="383"/>
  <c r="D981" i="383" a="1"/>
  <c r="D981" i="383" s="1"/>
  <c r="D980" i="383" a="1"/>
  <c r="D980" i="383" s="1"/>
  <c r="D979" i="383" a="1"/>
  <c r="D979" i="383"/>
  <c r="D978" i="383" a="1"/>
  <c r="D978" i="383" s="1"/>
  <c r="D977" i="383" a="1"/>
  <c r="D977" i="383"/>
  <c r="D976" i="383" a="1"/>
  <c r="D976" i="383" s="1"/>
  <c r="D975" i="383" a="1"/>
  <c r="D975" i="383" s="1"/>
  <c r="D974" i="383" a="1"/>
  <c r="D974" i="383" s="1"/>
  <c r="D973" i="383" a="1"/>
  <c r="D973" i="383" s="1"/>
  <c r="D972" i="383" a="1"/>
  <c r="D972" i="383"/>
  <c r="D971" i="383" a="1"/>
  <c r="D971" i="383" s="1"/>
  <c r="D970" i="383" a="1"/>
  <c r="D970" i="383" s="1"/>
  <c r="D969" i="383" a="1"/>
  <c r="D969" i="383"/>
  <c r="D968" i="383" a="1"/>
  <c r="D968" i="383"/>
  <c r="D967" i="383" a="1"/>
  <c r="D967" i="383"/>
  <c r="D966" i="383" a="1"/>
  <c r="D966" i="383" s="1"/>
  <c r="D965" i="383" a="1"/>
  <c r="D965" i="383" s="1"/>
  <c r="D964" i="383" a="1"/>
  <c r="D964" i="383"/>
  <c r="D963" i="383" a="1"/>
  <c r="D963" i="383" s="1"/>
  <c r="D962" i="383" a="1"/>
  <c r="D962" i="383"/>
  <c r="D961" i="383" a="1"/>
  <c r="D961" i="383" s="1"/>
  <c r="D960" i="383" a="1"/>
  <c r="D960" i="383"/>
  <c r="D959" i="383" a="1"/>
  <c r="D959" i="383" s="1"/>
  <c r="D958" i="383" a="1"/>
  <c r="D958" i="383" s="1"/>
  <c r="D957" i="383" a="1"/>
  <c r="D957" i="383" s="1"/>
  <c r="D956" i="383" a="1"/>
  <c r="D956" i="383"/>
  <c r="D955" i="383" a="1"/>
  <c r="D955" i="383"/>
  <c r="D954" i="383" a="1"/>
  <c r="D954" i="383" s="1"/>
  <c r="D953" i="383" a="1"/>
  <c r="D953" i="383" s="1"/>
  <c r="D952" i="383" a="1"/>
  <c r="D952" i="383"/>
  <c r="D951" i="383" a="1"/>
  <c r="D951" i="383"/>
  <c r="D950" i="383" a="1"/>
  <c r="D950" i="383"/>
  <c r="D949" i="383" a="1"/>
  <c r="D949" i="383" s="1"/>
  <c r="D948" i="383" a="1"/>
  <c r="D948" i="383" s="1"/>
  <c r="D947" i="383" a="1"/>
  <c r="D947" i="383"/>
  <c r="D946" i="383" a="1"/>
  <c r="D946" i="383" s="1"/>
  <c r="D945" i="383" a="1"/>
  <c r="D945" i="383"/>
  <c r="D944" i="383" a="1"/>
  <c r="D944" i="383" s="1"/>
  <c r="D943" i="383" a="1"/>
  <c r="D943" i="383"/>
  <c r="D942" i="383" a="1"/>
  <c r="D942" i="383" s="1"/>
  <c r="D941" i="383" a="1"/>
  <c r="D941" i="383" s="1"/>
  <c r="D940" i="383" a="1"/>
  <c r="D940" i="383" s="1"/>
  <c r="D939" i="383" a="1"/>
  <c r="D939" i="383"/>
  <c r="D938" i="383" a="1"/>
  <c r="D938" i="383"/>
  <c r="D937" i="383" a="1"/>
  <c r="D937" i="383" s="1"/>
  <c r="D936" i="383" a="1"/>
  <c r="D936" i="383" s="1"/>
  <c r="D935" i="383" a="1"/>
  <c r="D935" i="383"/>
  <c r="D934" i="383" a="1"/>
  <c r="D934" i="383"/>
  <c r="D933" i="383" a="1"/>
  <c r="D933" i="383" s="1"/>
  <c r="D932" i="383" a="1"/>
  <c r="D932" i="383" s="1"/>
  <c r="D931" i="383" a="1"/>
  <c r="D931" i="383" s="1"/>
  <c r="D930" i="383" a="1"/>
  <c r="D930" i="383"/>
  <c r="D929" i="383" a="1"/>
  <c r="D929" i="383" s="1"/>
  <c r="D928" i="383" a="1"/>
  <c r="D928" i="383"/>
  <c r="D927" i="383" a="1"/>
  <c r="D927" i="383" s="1"/>
  <c r="D926" i="383" a="1"/>
  <c r="D926" i="383"/>
  <c r="D925" i="383" a="1"/>
  <c r="D925" i="383" s="1"/>
  <c r="D924" i="383" a="1"/>
  <c r="D924" i="383"/>
  <c r="D923" i="383" a="1"/>
  <c r="D923" i="383" s="1"/>
  <c r="D922" i="383" a="1"/>
  <c r="D922" i="383"/>
  <c r="D921" i="383" a="1"/>
  <c r="D921" i="383"/>
  <c r="D920" i="383" a="1"/>
  <c r="D920" i="383" s="1"/>
  <c r="D919" i="383" a="1"/>
  <c r="D919" i="383" s="1"/>
  <c r="D918" i="383" a="1"/>
  <c r="D918" i="383"/>
  <c r="D917" i="383" a="1"/>
  <c r="D917" i="383" s="1"/>
  <c r="D916" i="383" a="1"/>
  <c r="D916" i="383" s="1"/>
  <c r="D915" i="383" a="1"/>
  <c r="D915" i="383" s="1"/>
  <c r="D914" i="383" a="1"/>
  <c r="D914" i="383" s="1"/>
  <c r="D913" i="383" a="1"/>
  <c r="D913" i="383"/>
  <c r="D912" i="383" a="1"/>
  <c r="D912" i="383" s="1"/>
  <c r="D911" i="383" a="1"/>
  <c r="D911" i="383"/>
  <c r="D910" i="383" a="1"/>
  <c r="D910" i="383" s="1"/>
  <c r="D909" i="383" a="1"/>
  <c r="D909" i="383" s="1"/>
  <c r="D908" i="383" a="1"/>
  <c r="D908" i="383"/>
  <c r="D907" i="383" a="1"/>
  <c r="D907" i="383"/>
  <c r="D906" i="383" a="1"/>
  <c r="D906" i="383" s="1"/>
  <c r="D905" i="383" a="1"/>
  <c r="D905" i="383"/>
  <c r="D904" i="383" a="1"/>
  <c r="D904" i="383"/>
  <c r="D903" i="383" a="1"/>
  <c r="D903" i="383" s="1"/>
  <c r="D902" i="383" a="1"/>
  <c r="D902" i="383" s="1"/>
  <c r="D901" i="383" a="1"/>
  <c r="D901" i="383" s="1"/>
  <c r="D900" i="383" a="1"/>
  <c r="D900" i="383"/>
  <c r="D899" i="383" a="1"/>
  <c r="D899" i="383" s="1"/>
  <c r="D898" i="383" a="1"/>
  <c r="D898" i="383" s="1"/>
  <c r="D897" i="383" a="1"/>
  <c r="D897" i="383" s="1"/>
  <c r="D896" i="383" a="1"/>
  <c r="D896" i="383"/>
  <c r="D895" i="383" a="1"/>
  <c r="D895" i="383" s="1"/>
  <c r="D894" i="383" a="1"/>
  <c r="D894" i="383"/>
  <c r="D893" i="383" a="1"/>
  <c r="D893" i="383" s="1"/>
  <c r="D892" i="383" a="1"/>
  <c r="D892" i="383"/>
  <c r="D891" i="383" a="1"/>
  <c r="D891" i="383"/>
  <c r="D890" i="383" a="1"/>
  <c r="D890" i="383"/>
  <c r="D889" i="383" a="1"/>
  <c r="D889" i="383" s="1"/>
  <c r="D888" i="383" a="1"/>
  <c r="D888" i="383"/>
  <c r="D887" i="383" a="1"/>
  <c r="D887" i="383"/>
  <c r="D886" i="383" a="1"/>
  <c r="D886" i="383" s="1"/>
  <c r="D885" i="383" a="1"/>
  <c r="D885" i="383" s="1"/>
  <c r="D884" i="383" a="1"/>
  <c r="D884" i="383" s="1"/>
  <c r="D883" i="383" a="1"/>
  <c r="D883" i="383"/>
  <c r="D882" i="383" a="1"/>
  <c r="D882" i="383" s="1"/>
  <c r="D881" i="383" a="1"/>
  <c r="D881" i="383" s="1"/>
  <c r="D880" i="383" a="1"/>
  <c r="D880" i="383" s="1"/>
  <c r="D879" i="383" a="1"/>
  <c r="D879" i="383"/>
  <c r="D878" i="383" a="1"/>
  <c r="D878" i="383" s="1"/>
  <c r="D877" i="383" a="1"/>
  <c r="D877" i="383" s="1"/>
  <c r="D876" i="383" a="1"/>
  <c r="D876" i="383" s="1"/>
  <c r="D875" i="383" a="1"/>
  <c r="D875" i="383"/>
  <c r="D874" i="383" a="1"/>
  <c r="D874" i="383"/>
  <c r="D873" i="383" a="1"/>
  <c r="D873" i="383"/>
  <c r="D872" i="383" a="1"/>
  <c r="D872" i="383" s="1"/>
  <c r="D871" i="383" a="1"/>
  <c r="D871" i="383"/>
  <c r="D870" i="383" a="1"/>
  <c r="D870" i="383"/>
  <c r="D869" i="383" a="1"/>
  <c r="D869" i="383" s="1"/>
  <c r="D868" i="383" a="1"/>
  <c r="D868" i="383"/>
  <c r="D867" i="383" a="1"/>
  <c r="D867" i="383" s="1"/>
  <c r="D866" i="383" a="1"/>
  <c r="D866" i="383"/>
  <c r="D865" i="383" a="1"/>
  <c r="D865" i="383" s="1"/>
  <c r="D864" i="383" a="1"/>
  <c r="D864" i="383" s="1"/>
  <c r="D863" i="383" a="1"/>
  <c r="D863" i="383" s="1"/>
  <c r="D862" i="383" a="1"/>
  <c r="D862" i="383"/>
  <c r="D861" i="383" a="1"/>
  <c r="D861" i="383" s="1"/>
  <c r="D860" i="383" a="1"/>
  <c r="D860" i="383" s="1"/>
  <c r="D859" i="383" a="1"/>
  <c r="D859" i="383" s="1"/>
  <c r="D858" i="383" a="1"/>
  <c r="D858" i="383"/>
  <c r="D857" i="383" a="1"/>
  <c r="D857" i="383"/>
  <c r="D856" i="383" a="1"/>
  <c r="D856" i="383"/>
  <c r="D855" i="383" a="1"/>
  <c r="D855" i="383" s="1"/>
  <c r="D854" i="383" a="1"/>
  <c r="D854" i="383"/>
  <c r="D853" i="383" a="1"/>
  <c r="D853" i="383" s="1"/>
  <c r="D852" i="383" a="1"/>
  <c r="D852" i="383" s="1"/>
  <c r="D851" i="383" a="1"/>
  <c r="D851" i="383"/>
  <c r="D850" i="383" a="1"/>
  <c r="D850" i="383" s="1"/>
  <c r="D849" i="383" a="1"/>
  <c r="D849" i="383"/>
  <c r="D848" i="383" a="1"/>
  <c r="D848" i="383" s="1"/>
  <c r="D847" i="383" a="1"/>
  <c r="D847" i="383" s="1"/>
  <c r="D846" i="383" a="1"/>
  <c r="D846" i="383" s="1"/>
  <c r="D845" i="383" a="1"/>
  <c r="D845" i="383" s="1"/>
  <c r="D844" i="383" a="1"/>
  <c r="D844" i="383"/>
  <c r="D843" i="383" a="1"/>
  <c r="D843" i="383" s="1"/>
  <c r="D842" i="383" a="1"/>
  <c r="D842" i="383" s="1"/>
  <c r="D841" i="383" a="1"/>
  <c r="D841" i="383"/>
  <c r="D840" i="383" a="1"/>
  <c r="D840" i="383"/>
  <c r="D839" i="383" a="1"/>
  <c r="D839" i="383"/>
  <c r="D838" i="383" a="1"/>
  <c r="D838" i="383" s="1"/>
  <c r="D837" i="383" a="1"/>
  <c r="D837" i="383" s="1"/>
  <c r="D836" i="383" a="1"/>
  <c r="D836" i="383"/>
  <c r="D835" i="383" a="1"/>
  <c r="D835" i="383" s="1"/>
  <c r="D834" i="383" a="1"/>
  <c r="D834" i="383"/>
  <c r="D833" i="383" a="1"/>
  <c r="D833" i="383" s="1"/>
  <c r="D832" i="383" a="1"/>
  <c r="D832" i="383"/>
  <c r="D831" i="383" a="1"/>
  <c r="D831" i="383" s="1"/>
  <c r="D830" i="383" a="1"/>
  <c r="D830" i="383" s="1"/>
  <c r="D829" i="383" a="1"/>
  <c r="D829" i="383" s="1"/>
  <c r="D828" i="383" a="1"/>
  <c r="D828" i="383"/>
  <c r="D827" i="383" a="1"/>
  <c r="D827" i="383"/>
  <c r="D826" i="383" a="1"/>
  <c r="D826" i="383" s="1"/>
  <c r="D825" i="383" a="1"/>
  <c r="D825" i="383" s="1"/>
  <c r="D824" i="383" a="1"/>
  <c r="D824" i="383"/>
  <c r="D823" i="383" a="1"/>
  <c r="D823" i="383"/>
  <c r="D822" i="383" a="1"/>
  <c r="D822" i="383"/>
  <c r="D821" i="383" a="1"/>
  <c r="D821" i="383" s="1"/>
  <c r="D820" i="383" a="1"/>
  <c r="D820" i="383" s="1"/>
  <c r="D819" i="383" a="1"/>
  <c r="D819" i="383"/>
  <c r="D818" i="383" a="1"/>
  <c r="D818" i="383" s="1"/>
  <c r="D817" i="383" a="1"/>
  <c r="D817" i="383"/>
  <c r="D816" i="383" a="1"/>
  <c r="D816" i="383" s="1"/>
  <c r="D815" i="383" a="1"/>
  <c r="D815" i="383"/>
  <c r="D814" i="383" a="1"/>
  <c r="D814" i="383" s="1"/>
  <c r="D813" i="383" a="1"/>
  <c r="D813" i="383" s="1"/>
  <c r="D812" i="383" a="1"/>
  <c r="D812" i="383" s="1"/>
  <c r="D811" i="383" a="1"/>
  <c r="D811" i="383"/>
  <c r="D810" i="383" a="1"/>
  <c r="D810" i="383"/>
  <c r="D809" i="383" a="1"/>
  <c r="D809" i="383" s="1"/>
  <c r="D808" i="383" a="1"/>
  <c r="D808" i="383" s="1"/>
  <c r="D807" i="383" a="1"/>
  <c r="D807" i="383"/>
  <c r="D806" i="383" a="1"/>
  <c r="D806" i="383"/>
  <c r="D805" i="383" a="1"/>
  <c r="D805" i="383" s="1"/>
  <c r="D804" i="383" a="1"/>
  <c r="D804" i="383" s="1"/>
  <c r="D803" i="383" a="1"/>
  <c r="D803" i="383" s="1"/>
  <c r="D802" i="383" a="1"/>
  <c r="D802" i="383"/>
  <c r="D801" i="383" a="1"/>
  <c r="D801" i="383" s="1"/>
  <c r="D800" i="383" a="1"/>
  <c r="D800" i="383"/>
  <c r="D799" i="383" a="1"/>
  <c r="D799" i="383" s="1"/>
  <c r="D798" i="383" a="1"/>
  <c r="D798" i="383"/>
  <c r="D797" i="383" a="1"/>
  <c r="D797" i="383" s="1"/>
  <c r="D796" i="383" a="1"/>
  <c r="D796" i="383"/>
  <c r="D795" i="383" a="1"/>
  <c r="D795" i="383" s="1"/>
  <c r="D794" i="383" a="1"/>
  <c r="D794" i="383"/>
  <c r="D793" i="383" a="1"/>
  <c r="D793" i="383"/>
  <c r="D792" i="383" a="1"/>
  <c r="D792" i="383" s="1"/>
  <c r="D791" i="383" a="1"/>
  <c r="D791" i="383" s="1"/>
  <c r="D790" i="383" a="1"/>
  <c r="D790" i="383"/>
  <c r="D789" i="383" a="1"/>
  <c r="D789" i="383" s="1"/>
  <c r="D788" i="383" a="1"/>
  <c r="D788" i="383" s="1"/>
  <c r="D787" i="383" a="1"/>
  <c r="D787" i="383" s="1"/>
  <c r="D786" i="383" a="1"/>
  <c r="D786" i="383" s="1"/>
  <c r="D785" i="383" a="1"/>
  <c r="D785" i="383"/>
  <c r="D784" i="383" a="1"/>
  <c r="D784" i="383" s="1"/>
  <c r="D783" i="383" a="1"/>
  <c r="D783" i="383"/>
  <c r="D782" i="383" a="1"/>
  <c r="D782" i="383" s="1"/>
  <c r="D781" i="383" a="1"/>
  <c r="D781" i="383" s="1"/>
  <c r="D780" i="383" a="1"/>
  <c r="D780" i="383"/>
  <c r="D779" i="383" a="1"/>
  <c r="D779" i="383"/>
  <c r="D778" i="383" a="1"/>
  <c r="D778" i="383" s="1"/>
  <c r="D777" i="383" a="1"/>
  <c r="D777" i="383"/>
  <c r="D776" i="383" a="1"/>
  <c r="D776" i="383"/>
  <c r="D775" i="383" a="1"/>
  <c r="D775" i="383" s="1"/>
  <c r="D774" i="383" a="1"/>
  <c r="D774" i="383" s="1"/>
  <c r="D773" i="383" a="1"/>
  <c r="D773" i="383" s="1"/>
  <c r="D772" i="383" a="1"/>
  <c r="D772" i="383"/>
  <c r="D771" i="383" a="1"/>
  <c r="D771" i="383" s="1"/>
  <c r="D770" i="383" a="1"/>
  <c r="D770" i="383" s="1"/>
  <c r="D769" i="383" a="1"/>
  <c r="D769" i="383" s="1"/>
  <c r="D768" i="383" a="1"/>
  <c r="D768" i="383"/>
  <c r="D767" i="383" a="1"/>
  <c r="D767" i="383" s="1"/>
  <c r="D766" i="383" a="1"/>
  <c r="D766" i="383"/>
  <c r="D765" i="383" a="1"/>
  <c r="D765" i="383" s="1"/>
  <c r="D764" i="383" a="1"/>
  <c r="D764" i="383"/>
  <c r="D763" i="383" a="1"/>
  <c r="D763" i="383"/>
  <c r="D762" i="383" a="1"/>
  <c r="D762" i="383"/>
  <c r="D761" i="383" a="1"/>
  <c r="D761" i="383" s="1"/>
  <c r="D760" i="383" a="1"/>
  <c r="D760" i="383"/>
  <c r="D759" i="383" a="1"/>
  <c r="D759" i="383"/>
  <c r="D758" i="383" a="1"/>
  <c r="D758" i="383" s="1"/>
  <c r="D757" i="383" a="1"/>
  <c r="D757" i="383" s="1"/>
  <c r="D756" i="383" a="1"/>
  <c r="D756" i="383" s="1"/>
  <c r="D755" i="383" a="1"/>
  <c r="D755" i="383"/>
  <c r="D754" i="383" a="1"/>
  <c r="D754" i="383" s="1"/>
  <c r="D753" i="383" a="1"/>
  <c r="D753" i="383" s="1"/>
  <c r="D752" i="383" a="1"/>
  <c r="D752" i="383" s="1"/>
  <c r="D751" i="383" a="1"/>
  <c r="D751" i="383"/>
  <c r="D750" i="383" a="1"/>
  <c r="D750" i="383" s="1"/>
  <c r="D749" i="383" a="1"/>
  <c r="D749" i="383" s="1"/>
  <c r="D748" i="383" a="1"/>
  <c r="D748" i="383" s="1"/>
  <c r="D747" i="383" a="1"/>
  <c r="D747" i="383"/>
  <c r="D746" i="383" a="1"/>
  <c r="D746" i="383"/>
  <c r="D745" i="383" a="1"/>
  <c r="D745" i="383"/>
  <c r="D744" i="383" a="1"/>
  <c r="D744" i="383" s="1"/>
  <c r="D743" i="383" a="1"/>
  <c r="D743" i="383"/>
  <c r="D742" i="383" a="1"/>
  <c r="D742" i="383"/>
  <c r="D741" i="383" a="1"/>
  <c r="D741" i="383" s="1"/>
  <c r="D740" i="383" a="1"/>
  <c r="D740" i="383"/>
  <c r="D739" i="383" a="1"/>
  <c r="D739" i="383" s="1"/>
  <c r="D738" i="383" a="1"/>
  <c r="D738" i="383"/>
  <c r="D737" i="383" a="1"/>
  <c r="D737" i="383" s="1"/>
  <c r="D736" i="383" a="1"/>
  <c r="D736" i="383" s="1"/>
  <c r="D735" i="383" a="1"/>
  <c r="D735" i="383" s="1"/>
  <c r="D734" i="383" a="1"/>
  <c r="D734" i="383"/>
  <c r="D733" i="383" a="1"/>
  <c r="D733" i="383" s="1"/>
  <c r="D732" i="383" a="1"/>
  <c r="D732" i="383" s="1"/>
  <c r="D731" i="383" a="1"/>
  <c r="D731" i="383" s="1"/>
  <c r="D730" i="383" a="1"/>
  <c r="D730" i="383"/>
  <c r="D729" i="383" a="1"/>
  <c r="D729" i="383"/>
  <c r="D728" i="383" a="1"/>
  <c r="D728" i="383"/>
  <c r="D727" i="383" a="1"/>
  <c r="D727" i="383" s="1"/>
  <c r="D726" i="383" a="1"/>
  <c r="D726" i="383"/>
  <c r="D725" i="383" a="1"/>
  <c r="D725" i="383" s="1"/>
  <c r="D724" i="383" a="1"/>
  <c r="D724" i="383" s="1"/>
  <c r="D723" i="383" a="1"/>
  <c r="D723" i="383"/>
  <c r="D722" i="383" a="1"/>
  <c r="D722" i="383" s="1"/>
  <c r="D721" i="383" a="1"/>
  <c r="D721" i="383"/>
  <c r="D720" i="383" a="1"/>
  <c r="D720" i="383" s="1"/>
  <c r="D719" i="383" a="1"/>
  <c r="D719" i="383" s="1"/>
  <c r="D718" i="383" a="1"/>
  <c r="D718" i="383" s="1"/>
  <c r="D717" i="383" a="1"/>
  <c r="D717" i="383" s="1"/>
  <c r="D716" i="383" a="1"/>
  <c r="D716" i="383"/>
  <c r="D715" i="383" a="1"/>
  <c r="D715" i="383" s="1"/>
  <c r="D714" i="383" a="1"/>
  <c r="D714" i="383" s="1"/>
  <c r="D713" i="383" a="1"/>
  <c r="D713" i="383"/>
  <c r="D712" i="383" a="1"/>
  <c r="D712" i="383"/>
  <c r="D711" i="383" a="1"/>
  <c r="D711" i="383"/>
  <c r="D710" i="383" a="1"/>
  <c r="D710" i="383" s="1"/>
  <c r="D709" i="383" a="1"/>
  <c r="D709" i="383" s="1"/>
  <c r="D708" i="383" a="1"/>
  <c r="D708" i="383"/>
  <c r="D707" i="383" a="1"/>
  <c r="D707" i="383" s="1"/>
  <c r="D706" i="383" a="1"/>
  <c r="D706" i="383"/>
  <c r="D705" i="383" a="1"/>
  <c r="D705" i="383" s="1"/>
  <c r="D704" i="383" a="1"/>
  <c r="D704" i="383"/>
  <c r="D703" i="383" a="1"/>
  <c r="D703" i="383" s="1"/>
  <c r="D702" i="383" a="1"/>
  <c r="D702" i="383" s="1"/>
  <c r="D701" i="383" a="1"/>
  <c r="D701" i="383" s="1"/>
  <c r="D700" i="383" a="1"/>
  <c r="D700" i="383"/>
  <c r="D699" i="383" a="1"/>
  <c r="D699" i="383"/>
  <c r="D698" i="383" a="1"/>
  <c r="D698" i="383" s="1"/>
  <c r="D697" i="383" a="1"/>
  <c r="D697" i="383" s="1"/>
  <c r="D696" i="383" a="1"/>
  <c r="D696" i="383"/>
  <c r="D695" i="383" a="1"/>
  <c r="D695" i="383"/>
  <c r="D694" i="383" a="1"/>
  <c r="D694" i="383"/>
  <c r="D693" i="383" a="1"/>
  <c r="D693" i="383" s="1"/>
  <c r="D692" i="383" a="1"/>
  <c r="D692" i="383" s="1"/>
  <c r="D691" i="383" a="1"/>
  <c r="D691" i="383"/>
  <c r="D690" i="383" a="1"/>
  <c r="D690" i="383" s="1"/>
  <c r="D689" i="383" a="1"/>
  <c r="D689" i="383"/>
  <c r="D688" i="383" a="1"/>
  <c r="D688" i="383" s="1"/>
  <c r="D687" i="383" a="1"/>
  <c r="D687" i="383"/>
  <c r="D686" i="383" a="1"/>
  <c r="D686" i="383" s="1"/>
  <c r="D685" i="383" a="1"/>
  <c r="D685" i="383" s="1"/>
  <c r="D684" i="383" a="1"/>
  <c r="D684" i="383" s="1"/>
  <c r="D683" i="383" a="1"/>
  <c r="D683" i="383"/>
  <c r="D682" i="383" a="1"/>
  <c r="D682" i="383"/>
  <c r="D681" i="383" a="1"/>
  <c r="D681" i="383" s="1"/>
  <c r="D680" i="383" a="1"/>
  <c r="D680" i="383" s="1"/>
  <c r="D679" i="383" a="1"/>
  <c r="D679" i="383"/>
  <c r="D678" i="383" a="1"/>
  <c r="D678" i="383"/>
  <c r="D677" i="383" a="1"/>
  <c r="D677" i="383" s="1"/>
  <c r="D676" i="383" a="1"/>
  <c r="D676" i="383" s="1"/>
  <c r="D675" i="383" a="1"/>
  <c r="D675" i="383" s="1"/>
  <c r="D674" i="383" a="1"/>
  <c r="D674" i="383"/>
  <c r="D673" i="383" a="1"/>
  <c r="D673" i="383" s="1"/>
  <c r="D672" i="383" a="1"/>
  <c r="D672" i="383"/>
  <c r="D671" i="383" a="1"/>
  <c r="D671" i="383" s="1"/>
  <c r="D670" i="383" a="1"/>
  <c r="D670" i="383"/>
  <c r="D669" i="383" a="1"/>
  <c r="D669" i="383" s="1"/>
  <c r="D668" i="383" a="1"/>
  <c r="D668" i="383"/>
  <c r="D667" i="383" a="1"/>
  <c r="D667" i="383" s="1"/>
  <c r="D666" i="383" a="1"/>
  <c r="D666" i="383"/>
  <c r="D665" i="383" a="1"/>
  <c r="D665" i="383"/>
  <c r="D664" i="383" a="1"/>
  <c r="D664" i="383" s="1"/>
  <c r="D663" i="383" a="1"/>
  <c r="D663" i="383" s="1"/>
  <c r="D662" i="383" a="1"/>
  <c r="D662" i="383"/>
  <c r="D661" i="383" a="1"/>
  <c r="D661" i="383" s="1"/>
  <c r="D660" i="383" a="1"/>
  <c r="D660" i="383" s="1"/>
  <c r="D659" i="383" a="1"/>
  <c r="D659" i="383" s="1"/>
  <c r="D658" i="383" a="1"/>
  <c r="D658" i="383" s="1"/>
  <c r="D657" i="383" a="1"/>
  <c r="D657" i="383"/>
  <c r="D656" i="383" a="1"/>
  <c r="D656" i="383" s="1"/>
  <c r="D655" i="383" a="1"/>
  <c r="D655" i="383"/>
  <c r="D654" i="383" a="1"/>
  <c r="D654" i="383" s="1"/>
  <c r="D653" i="383" a="1"/>
  <c r="D653" i="383" s="1"/>
  <c r="D652" i="383" a="1"/>
  <c r="D652" i="383"/>
  <c r="D651" i="383" a="1"/>
  <c r="D651" i="383"/>
  <c r="D650" i="383" a="1"/>
  <c r="D650" i="383" s="1"/>
  <c r="D649" i="383" a="1"/>
  <c r="D649" i="383"/>
  <c r="D648" i="383" a="1"/>
  <c r="D648" i="383"/>
  <c r="D647" i="383" a="1"/>
  <c r="D647" i="383" s="1"/>
  <c r="D646" i="383" a="1"/>
  <c r="D646" i="383" s="1"/>
  <c r="D645" i="383" a="1"/>
  <c r="D645" i="383" s="1"/>
  <c r="D644" i="383" a="1"/>
  <c r="D644" i="383"/>
  <c r="D643" i="383" a="1"/>
  <c r="D643" i="383"/>
  <c r="D642" i="383" a="1"/>
  <c r="D642" i="383" s="1"/>
  <c r="D641" i="383" a="1"/>
  <c r="D641" i="383" s="1"/>
  <c r="D640" i="383" a="1"/>
  <c r="D640" i="383"/>
  <c r="D639" i="383" a="1"/>
  <c r="D639" i="383" s="1"/>
  <c r="D638" i="383" a="1"/>
  <c r="D638" i="383"/>
  <c r="D637" i="383" a="1"/>
  <c r="D637" i="383" s="1"/>
  <c r="D636" i="383" a="1"/>
  <c r="D636" i="383"/>
  <c r="D635" i="383" a="1"/>
  <c r="D635" i="383"/>
  <c r="D634" i="383" a="1"/>
  <c r="D634" i="383" s="1"/>
  <c r="D633" i="383" a="1"/>
  <c r="D633" i="383" s="1"/>
  <c r="D632" i="383" a="1"/>
  <c r="D632" i="383"/>
  <c r="D631" i="383" a="1"/>
  <c r="D631" i="383"/>
  <c r="D630" i="383" a="1"/>
  <c r="D630" i="383" s="1"/>
  <c r="D629" i="383" a="1"/>
  <c r="D629" i="383" s="1"/>
  <c r="D628" i="383" a="1"/>
  <c r="D628" i="383" s="1"/>
  <c r="D627" i="383" a="1"/>
  <c r="D627" i="383"/>
  <c r="D626" i="383" a="1"/>
  <c r="D626" i="383" s="1"/>
  <c r="D625" i="383" a="1"/>
  <c r="D625" i="383" s="1"/>
  <c r="D624" i="383" a="1"/>
  <c r="D624" i="383" s="1"/>
  <c r="D623" i="383" a="1"/>
  <c r="D623" i="383"/>
  <c r="D622" i="383" a="1"/>
  <c r="D622" i="383" s="1"/>
  <c r="D621" i="383" a="1"/>
  <c r="D621" i="383" s="1"/>
  <c r="D620" i="383" a="1"/>
  <c r="D620" i="383" s="1"/>
  <c r="D619" i="383" a="1"/>
  <c r="D619" i="383"/>
  <c r="D618" i="383" a="1"/>
  <c r="D618" i="383"/>
  <c r="D617" i="383" a="1"/>
  <c r="D617" i="383" s="1"/>
  <c r="D616" i="383" a="1"/>
  <c r="D616" i="383" s="1"/>
  <c r="D615" i="383" a="1"/>
  <c r="D615" i="383"/>
  <c r="D614" i="383" a="1"/>
  <c r="D614" i="383"/>
  <c r="D613" i="383" a="1"/>
  <c r="D613" i="383" s="1"/>
  <c r="D612" i="383" a="1"/>
  <c r="D612" i="383"/>
  <c r="D611" i="383" a="1"/>
  <c r="D611" i="383" s="1"/>
  <c r="D610" i="383" a="1"/>
  <c r="D610" i="383"/>
  <c r="D609" i="383" a="1"/>
  <c r="D609" i="383" s="1"/>
  <c r="D608" i="383" a="1"/>
  <c r="D608" i="383" s="1"/>
  <c r="D607" i="383" a="1"/>
  <c r="D607" i="383" s="1"/>
  <c r="D606" i="383" a="1"/>
  <c r="D606" i="383"/>
  <c r="D605" i="383" a="1"/>
  <c r="D605" i="383" s="1"/>
  <c r="D604" i="383" a="1"/>
  <c r="D604" i="383" s="1"/>
  <c r="D603" i="383" a="1"/>
  <c r="D603" i="383" s="1"/>
  <c r="D602" i="383" a="1"/>
  <c r="D602" i="383"/>
  <c r="D601" i="383" a="1"/>
  <c r="D601" i="383"/>
  <c r="D600" i="383" a="1"/>
  <c r="D600" i="383"/>
  <c r="D599" i="383" a="1"/>
  <c r="D599" i="383" s="1"/>
  <c r="D598" i="383" a="1"/>
  <c r="D598" i="383"/>
  <c r="D597" i="383" a="1"/>
  <c r="D597" i="383" s="1"/>
  <c r="D596" i="383" a="1"/>
  <c r="D596" i="383" s="1"/>
  <c r="D595" i="383" a="1"/>
  <c r="D595" i="383"/>
  <c r="D594" i="383" a="1"/>
  <c r="D594" i="383" s="1"/>
  <c r="D593" i="383" a="1"/>
  <c r="D593" i="383"/>
  <c r="D592" i="383" a="1"/>
  <c r="D592" i="383"/>
  <c r="D591" i="383" a="1"/>
  <c r="D591" i="383"/>
  <c r="D590" i="383" a="1"/>
  <c r="D590" i="383" s="1"/>
  <c r="D589" i="383" a="1"/>
  <c r="D589" i="383" s="1"/>
  <c r="D588" i="383" a="1"/>
  <c r="D588" i="383"/>
  <c r="D587" i="383" a="1"/>
  <c r="D587" i="383" s="1"/>
  <c r="D586" i="383" a="1"/>
  <c r="D586" i="383" s="1"/>
  <c r="D585" i="383" a="1"/>
  <c r="D585" i="383"/>
  <c r="D584" i="383" a="1"/>
  <c r="D584" i="383"/>
  <c r="D583" i="383" a="1"/>
  <c r="D583" i="383"/>
  <c r="D582" i="383" a="1"/>
  <c r="D582" i="383" s="1"/>
  <c r="D581" i="383" a="1"/>
  <c r="D581" i="383" s="1"/>
  <c r="D580" i="383" a="1"/>
  <c r="D580" i="383"/>
  <c r="D579" i="383" a="1"/>
  <c r="D579" i="383" s="1"/>
  <c r="D578" i="383" a="1"/>
  <c r="D578" i="383"/>
  <c r="D577" i="383" a="1"/>
  <c r="D577" i="383" s="1"/>
  <c r="D576" i="383" a="1"/>
  <c r="D576" i="383"/>
  <c r="D575" i="383" a="1"/>
  <c r="D575" i="383" s="1"/>
  <c r="D574" i="383" a="1"/>
  <c r="D574" i="383"/>
  <c r="D573" i="383" a="1"/>
  <c r="D573" i="383" s="1"/>
  <c r="D572" i="383" a="1"/>
  <c r="D572" i="383"/>
  <c r="D571" i="383" a="1"/>
  <c r="D571" i="383"/>
  <c r="D570" i="383" a="1"/>
  <c r="D570" i="383" s="1"/>
  <c r="D569" i="383" a="1"/>
  <c r="D569" i="383" s="1"/>
  <c r="D568" i="383" a="1"/>
  <c r="D568" i="383"/>
  <c r="D567" i="383" a="1"/>
  <c r="D567" i="383"/>
  <c r="D566" i="383" a="1"/>
  <c r="D566" i="383"/>
  <c r="D565" i="383" a="1"/>
  <c r="D565" i="383" s="1"/>
  <c r="D564" i="383" a="1"/>
  <c r="D564" i="383" s="1"/>
  <c r="D563" i="383" a="1"/>
  <c r="D563" i="383"/>
  <c r="D562" i="383" a="1"/>
  <c r="D562" i="383"/>
  <c r="D561" i="383" a="1"/>
  <c r="D561" i="383"/>
  <c r="D560" i="383" a="1"/>
  <c r="D560" i="383" s="1"/>
  <c r="D559" i="383" a="1"/>
  <c r="D559" i="383"/>
  <c r="D558" i="383" a="1"/>
  <c r="D558" i="383" s="1"/>
  <c r="D557" i="383" a="1"/>
  <c r="D557" i="383" s="1"/>
  <c r="D556" i="383" a="1"/>
  <c r="D556" i="383" s="1"/>
  <c r="D555" i="383" a="1"/>
  <c r="D555" i="383"/>
  <c r="D554" i="383" a="1"/>
  <c r="D554" i="383"/>
  <c r="D553" i="383" a="1"/>
  <c r="D553" i="383" s="1"/>
  <c r="D552" i="383" a="1"/>
  <c r="D552" i="383" s="1"/>
  <c r="D551" i="383" a="1"/>
  <c r="D551" i="383"/>
  <c r="D550" i="383" a="1"/>
  <c r="D550" i="383"/>
  <c r="D549" i="383" a="1"/>
  <c r="D549" i="383" s="1"/>
  <c r="D548" i="383" a="1"/>
  <c r="D548" i="383" s="1"/>
  <c r="D547" i="383" a="1"/>
  <c r="D547" i="383" s="1"/>
  <c r="D546" i="383" a="1"/>
  <c r="D546" i="383"/>
  <c r="D545" i="383" a="1"/>
  <c r="D545" i="383" s="1"/>
  <c r="D544" i="383" a="1"/>
  <c r="D544" i="383"/>
  <c r="D543" i="383" a="1"/>
  <c r="D543" i="383" s="1"/>
  <c r="D542" i="383" a="1"/>
  <c r="D542" i="383"/>
  <c r="D541" i="383" a="1"/>
  <c r="D541" i="383" s="1"/>
  <c r="D540" i="383" a="1"/>
  <c r="D540" i="383"/>
  <c r="D539" i="383" a="1"/>
  <c r="D539" i="383"/>
  <c r="D538" i="383" a="1"/>
  <c r="D538" i="383"/>
  <c r="D537" i="383" a="1"/>
  <c r="D537" i="383"/>
  <c r="D536" i="383" a="1"/>
  <c r="D536" i="383" s="1"/>
  <c r="D535" i="383" a="1"/>
  <c r="D535" i="383" s="1"/>
  <c r="D534" i="383" a="1"/>
  <c r="D534" i="383"/>
  <c r="D533" i="383" a="1"/>
  <c r="D533" i="383" s="1"/>
  <c r="D532" i="383" a="1"/>
  <c r="D532" i="383"/>
  <c r="D531" i="383" a="1"/>
  <c r="D531" i="383" s="1"/>
  <c r="D530" i="383" a="1"/>
  <c r="D530" i="383" s="1"/>
  <c r="D529" i="383" a="1"/>
  <c r="D529" i="383"/>
  <c r="D528" i="383" a="1"/>
  <c r="D528" i="383" s="1"/>
  <c r="D527" i="383" a="1"/>
  <c r="D527" i="383"/>
  <c r="D526" i="383" a="1"/>
  <c r="D526" i="383" s="1"/>
  <c r="D525" i="383" a="1"/>
  <c r="D525" i="383" s="1"/>
  <c r="D524" i="383" a="1"/>
  <c r="D524" i="383"/>
  <c r="D523" i="383" a="1"/>
  <c r="D523" i="383"/>
  <c r="D522" i="383" a="1"/>
  <c r="D522" i="383"/>
  <c r="D521" i="383" a="1"/>
  <c r="D521" i="383"/>
  <c r="D520" i="383" a="1"/>
  <c r="D520" i="383"/>
  <c r="D519" i="383" a="1"/>
  <c r="D519" i="383" s="1"/>
  <c r="D518" i="383" a="1"/>
  <c r="D518" i="383" s="1"/>
  <c r="D517" i="383" a="1"/>
  <c r="D517" i="383" s="1"/>
  <c r="D516" i="383" a="1"/>
  <c r="D516" i="383"/>
  <c r="D515" i="383" a="1"/>
  <c r="D515" i="383" s="1"/>
  <c r="D514" i="383" a="1"/>
  <c r="D514" i="383" s="1"/>
  <c r="D513" i="383" a="1"/>
  <c r="D513" i="383" s="1"/>
  <c r="D512" i="383" a="1"/>
  <c r="D512" i="383"/>
  <c r="D511" i="383" a="1"/>
  <c r="D511" i="383"/>
  <c r="D510" i="383" a="1"/>
  <c r="D510" i="383"/>
  <c r="D509" i="383" a="1"/>
  <c r="D509" i="383" s="1"/>
  <c r="D508" i="383" a="1"/>
  <c r="D508" i="383"/>
  <c r="D507" i="383" a="1"/>
  <c r="D507" i="383"/>
  <c r="D506" i="383" a="1"/>
  <c r="D506" i="383" s="1"/>
  <c r="D505" i="383" a="1"/>
  <c r="D505" i="383" s="1"/>
  <c r="D504" i="383" a="1"/>
  <c r="D504" i="383"/>
  <c r="D503" i="383" a="1"/>
  <c r="D503" i="383" s="1"/>
  <c r="D502" i="383" a="1"/>
  <c r="D502" i="383"/>
  <c r="D501" i="383" a="1"/>
  <c r="D501" i="383" s="1"/>
  <c r="D500" i="383" a="1"/>
  <c r="D500" i="383" s="1"/>
  <c r="D499" i="383" a="1"/>
  <c r="D499" i="383" s="1"/>
  <c r="D498" i="383" a="1"/>
  <c r="D498" i="383"/>
  <c r="D497" i="383" a="1"/>
  <c r="D497" i="383" s="1"/>
  <c r="D496" i="383" a="1"/>
  <c r="D496" i="383" s="1"/>
  <c r="D495" i="383" a="1"/>
  <c r="D495" i="383"/>
  <c r="D494" i="383" a="1"/>
  <c r="D494" i="383"/>
  <c r="D493" i="383" a="1"/>
  <c r="D493" i="383" s="1"/>
  <c r="D492" i="383" a="1"/>
  <c r="D492" i="383" s="1"/>
  <c r="D491" i="383" a="1"/>
  <c r="D491" i="383"/>
  <c r="D490" i="383" a="1"/>
  <c r="D490" i="383" s="1"/>
  <c r="D489" i="383" a="1"/>
  <c r="D489" i="383"/>
  <c r="D488" i="383" a="1"/>
  <c r="D488" i="383" s="1"/>
  <c r="D487" i="383" a="1"/>
  <c r="D487" i="383"/>
  <c r="D486" i="383" a="1"/>
  <c r="D486" i="383"/>
  <c r="D485" i="383" a="1"/>
  <c r="D485" i="383"/>
  <c r="D484" i="383" a="1"/>
  <c r="D484" i="383" s="1"/>
  <c r="D483" i="383" a="1"/>
  <c r="D483" i="383"/>
  <c r="D482" i="383" a="1"/>
  <c r="D482" i="383" s="1"/>
  <c r="D481" i="383" a="1"/>
  <c r="D481" i="383" s="1"/>
  <c r="D480" i="383" a="1"/>
  <c r="D480" i="383"/>
  <c r="D479" i="383" a="1"/>
  <c r="D479" i="383"/>
  <c r="D478" i="383" a="1"/>
  <c r="D478" i="383" s="1"/>
  <c r="D477" i="383" a="1"/>
  <c r="D477" i="383"/>
  <c r="D476" i="383" a="1"/>
  <c r="D476" i="383" s="1"/>
  <c r="D475" i="383" a="1"/>
  <c r="D475" i="383"/>
  <c r="D474" i="383" a="1"/>
  <c r="D474" i="383"/>
  <c r="D473" i="383" a="1"/>
  <c r="D473" i="383" s="1"/>
  <c r="D472" i="383" a="1"/>
  <c r="D472" i="383"/>
  <c r="D471" i="383" a="1"/>
  <c r="D471" i="383" s="1"/>
  <c r="D470" i="383" a="1"/>
  <c r="D470" i="383" s="1"/>
  <c r="D469" i="383" a="1"/>
  <c r="D469" i="383" s="1"/>
  <c r="D468" i="383" a="1"/>
  <c r="D468" i="383" s="1"/>
  <c r="D467" i="383" a="1"/>
  <c r="D467" i="383"/>
  <c r="D466" i="383" a="1"/>
  <c r="D466" i="383"/>
  <c r="D465" i="383" a="1"/>
  <c r="D465" i="383" s="1"/>
  <c r="D464" i="383" a="1"/>
  <c r="D464" i="383" s="1"/>
  <c r="D463" i="383" a="1"/>
  <c r="D463" i="383" s="1"/>
  <c r="D462" i="383" a="1"/>
  <c r="D462" i="383"/>
  <c r="D461" i="383" a="1"/>
  <c r="D461" i="383" s="1"/>
  <c r="D460" i="383" a="1"/>
  <c r="D460" i="383" s="1"/>
  <c r="D459" i="383" a="1"/>
  <c r="D459" i="383"/>
  <c r="D458" i="383" a="1"/>
  <c r="D458" i="383"/>
  <c r="D457" i="383" a="1"/>
  <c r="D457" i="383"/>
  <c r="D456" i="383" a="1"/>
  <c r="D456" i="383" s="1"/>
  <c r="D455" i="383" a="1"/>
  <c r="D455" i="383" s="1"/>
  <c r="D454" i="383" a="1"/>
  <c r="D454" i="383" s="1"/>
  <c r="D453" i="383" a="1"/>
  <c r="D453" i="383"/>
  <c r="D452" i="383" a="1"/>
  <c r="D452" i="383" s="1"/>
  <c r="D451" i="383" a="1"/>
  <c r="D451" i="383"/>
  <c r="D450" i="383" a="1"/>
  <c r="D450" i="383"/>
  <c r="D449" i="383" a="1"/>
  <c r="D449" i="383"/>
  <c r="D448" i="383" a="1"/>
  <c r="D448" i="383" s="1"/>
  <c r="D447" i="383" a="1"/>
  <c r="D447" i="383" s="1"/>
  <c r="D446" i="383" a="1"/>
  <c r="D446" i="383" s="1"/>
  <c r="D445" i="383" a="1"/>
  <c r="D445" i="383" s="1"/>
  <c r="D444" i="383" a="1"/>
  <c r="D444" i="383" s="1"/>
  <c r="D443" i="383" a="1"/>
  <c r="D443" i="383"/>
  <c r="D442" i="383" a="1"/>
  <c r="D442" i="383"/>
  <c r="D441" i="383" a="1"/>
  <c r="D441" i="383"/>
  <c r="D440" i="383" a="1"/>
  <c r="D440" i="383" s="1"/>
  <c r="D439" i="383" a="1"/>
  <c r="D439" i="383" s="1"/>
  <c r="D438" i="383" a="1"/>
  <c r="D438" i="383"/>
  <c r="D437" i="383" a="1"/>
  <c r="D437" i="383" s="1"/>
  <c r="D436" i="383" a="1"/>
  <c r="D436" i="383" s="1"/>
  <c r="D435" i="383" a="1"/>
  <c r="D435" i="383"/>
  <c r="D434" i="383" a="1"/>
  <c r="D434" i="383" s="1"/>
  <c r="D433" i="383" a="1"/>
  <c r="D433" i="383"/>
  <c r="D432" i="383" a="1"/>
  <c r="D432" i="383"/>
  <c r="D431" i="383" a="1"/>
  <c r="D431" i="383" s="1"/>
  <c r="D430" i="383" a="1"/>
  <c r="D430" i="383" s="1"/>
  <c r="D429" i="383" a="1"/>
  <c r="D429" i="383"/>
  <c r="D428" i="383" a="1"/>
  <c r="D428" i="383" s="1"/>
  <c r="D427" i="383" a="1"/>
  <c r="D427" i="383" s="1"/>
  <c r="D426" i="383" a="1"/>
  <c r="D426" i="383"/>
  <c r="D425" i="383" a="1"/>
  <c r="D425" i="383" s="1"/>
  <c r="D424" i="383" a="1"/>
  <c r="D424" i="383"/>
  <c r="D423" i="383" a="1"/>
  <c r="D423" i="383" s="1"/>
  <c r="D422" i="383" a="1"/>
  <c r="D422" i="383"/>
  <c r="D421" i="383" a="1"/>
  <c r="D421" i="383" s="1"/>
  <c r="D420" i="383" a="1"/>
  <c r="D420" i="383" s="1"/>
  <c r="D419" i="383" a="1"/>
  <c r="D419" i="383" s="1"/>
  <c r="D418" i="383" a="1"/>
  <c r="D418" i="383" s="1"/>
  <c r="D417" i="383" a="1"/>
  <c r="D417" i="383"/>
  <c r="D416" i="383" a="1"/>
  <c r="D416" i="383" s="1"/>
  <c r="D415" i="383" a="1"/>
  <c r="D415" i="383" s="1"/>
  <c r="D414" i="383" a="1"/>
  <c r="D414" i="383" s="1"/>
  <c r="D413" i="383" a="1"/>
  <c r="D413" i="383"/>
  <c r="D412" i="383" a="1"/>
  <c r="D412" i="383" s="1"/>
  <c r="D411" i="383" a="1"/>
  <c r="D411" i="383"/>
  <c r="D410" i="383" a="1"/>
  <c r="D410" i="383" s="1"/>
  <c r="D409" i="383" a="1"/>
  <c r="D409" i="383" s="1"/>
  <c r="D408" i="383" a="1"/>
  <c r="D408" i="383"/>
  <c r="D407" i="383" a="1"/>
  <c r="D407" i="383" s="1"/>
  <c r="D406" i="383" a="1"/>
  <c r="D406" i="383" s="1"/>
  <c r="D405" i="383" a="1"/>
  <c r="D405" i="383" s="1"/>
  <c r="D404" i="383" a="1"/>
  <c r="D404" i="383" s="1"/>
  <c r="D403" i="383" a="1"/>
  <c r="D403" i="383"/>
  <c r="D402" i="383" a="1"/>
  <c r="D402" i="383" s="1"/>
  <c r="D401" i="383" a="1"/>
  <c r="D401" i="383" s="1"/>
  <c r="D400" i="383" a="1"/>
  <c r="D400" i="383" s="1"/>
  <c r="D399" i="383" a="1"/>
  <c r="D399" i="383" s="1"/>
  <c r="D398" i="383" a="1"/>
  <c r="D398" i="383"/>
  <c r="D397" i="383" a="1"/>
  <c r="D397" i="383" s="1"/>
  <c r="D396" i="383" a="1"/>
  <c r="D396" i="383" s="1"/>
  <c r="D395" i="383" a="1"/>
  <c r="D395" i="383"/>
  <c r="D394" i="383" a="1"/>
  <c r="D394" i="383" s="1"/>
  <c r="D393" i="383" a="1"/>
  <c r="D393" i="383" s="1"/>
  <c r="D392" i="383" a="1"/>
  <c r="D392" i="383" s="1"/>
  <c r="D391" i="383" a="1"/>
  <c r="D391" i="383" s="1"/>
  <c r="D390" i="383" a="1"/>
  <c r="D390" i="383" s="1"/>
  <c r="D389" i="383" a="1"/>
  <c r="D389" i="383"/>
  <c r="D388" i="383" a="1"/>
  <c r="D388" i="383" s="1"/>
  <c r="D387" i="383" a="1"/>
  <c r="D387" i="383"/>
  <c r="D386" i="383" a="1"/>
  <c r="D386" i="383"/>
  <c r="D385" i="383" a="1"/>
  <c r="D385" i="383" s="1"/>
  <c r="D384" i="383" a="1"/>
  <c r="D384" i="383" s="1"/>
  <c r="D383" i="383" a="1"/>
  <c r="D383" i="383" s="1"/>
  <c r="D382" i="383" a="1"/>
  <c r="D382" i="383" s="1"/>
  <c r="D381" i="383" a="1"/>
  <c r="D381" i="383" s="1"/>
  <c r="D380" i="383" a="1"/>
  <c r="D380" i="383" s="1"/>
  <c r="D379" i="383" a="1"/>
  <c r="D379" i="383" s="1"/>
  <c r="D378" i="383" a="1"/>
  <c r="D378" i="383"/>
  <c r="D377" i="383" a="1"/>
  <c r="D377" i="383" s="1"/>
  <c r="D376" i="383" a="1"/>
  <c r="D376" i="383" s="1"/>
  <c r="D375" i="383" a="1"/>
  <c r="D375" i="383" s="1"/>
  <c r="D374" i="383" a="1"/>
  <c r="D374" i="383"/>
  <c r="D373" i="383" a="1"/>
  <c r="D373" i="383" s="1"/>
  <c r="D372" i="383" a="1"/>
  <c r="D372" i="383" s="1"/>
  <c r="D371" i="383" a="1"/>
  <c r="D371" i="383"/>
  <c r="D370" i="383" a="1"/>
  <c r="D370" i="383" s="1"/>
  <c r="D369" i="383" a="1"/>
  <c r="D369" i="383"/>
  <c r="D368" i="383" a="1"/>
  <c r="D368" i="383" s="1"/>
  <c r="D367" i="383" a="1"/>
  <c r="D367" i="383" s="1"/>
  <c r="D366" i="383" a="1"/>
  <c r="D366" i="383" s="1"/>
  <c r="D365" i="383" a="1"/>
  <c r="D365" i="383"/>
  <c r="D364" i="383" a="1"/>
  <c r="D364" i="383" s="1"/>
  <c r="D363" i="383" a="1"/>
  <c r="D363" i="383" s="1"/>
  <c r="D362" i="383" a="1"/>
  <c r="D362" i="383"/>
  <c r="D361" i="383" a="1"/>
  <c r="D361" i="383" s="1"/>
  <c r="D360" i="383" a="1"/>
  <c r="D360" i="383"/>
  <c r="D359" i="383" a="1"/>
  <c r="D359" i="383" s="1"/>
  <c r="D358" i="383" a="1"/>
  <c r="D358" i="383"/>
  <c r="D357" i="383" a="1"/>
  <c r="D357" i="383" s="1"/>
  <c r="D356" i="383" a="1"/>
  <c r="D356" i="383" s="1"/>
  <c r="D355" i="383" a="1"/>
  <c r="D355" i="383" s="1"/>
  <c r="D354" i="383" a="1"/>
  <c r="D354" i="383" s="1"/>
  <c r="D353" i="383" a="1"/>
  <c r="D353" i="383"/>
  <c r="D352" i="383" a="1"/>
  <c r="D352" i="383" s="1"/>
  <c r="D351" i="383" a="1"/>
  <c r="D351" i="383" s="1"/>
  <c r="D350" i="383" a="1"/>
  <c r="D350" i="383" s="1"/>
  <c r="D349" i="383" a="1"/>
  <c r="D349" i="383"/>
  <c r="D348" i="383" a="1"/>
  <c r="D348" i="383" s="1"/>
  <c r="D347" i="383" a="1"/>
  <c r="D347" i="383" s="1"/>
  <c r="D346" i="383" a="1"/>
  <c r="D346" i="383" s="1"/>
  <c r="D345" i="383" a="1"/>
  <c r="D345" i="383" s="1"/>
  <c r="D344" i="383" a="1"/>
  <c r="D344" i="383"/>
  <c r="D343" i="383" a="1"/>
  <c r="D343" i="383" s="1"/>
  <c r="D342" i="383" a="1"/>
  <c r="D342" i="383" s="1"/>
  <c r="D341" i="383" a="1"/>
  <c r="D341" i="383" s="1"/>
  <c r="D340" i="383" a="1"/>
  <c r="D340" i="383" s="1"/>
  <c r="D339" i="383" a="1"/>
  <c r="D339" i="383" s="1"/>
  <c r="D338" i="383" a="1"/>
  <c r="D338" i="383" s="1"/>
  <c r="D337" i="383" a="1"/>
  <c r="D337" i="383" s="1"/>
  <c r="D336" i="383" a="1"/>
  <c r="D336" i="383" s="1"/>
  <c r="D335" i="383" a="1"/>
  <c r="D335" i="383" s="1"/>
  <c r="D334" i="383" a="1"/>
  <c r="D334" i="383"/>
  <c r="D333" i="383" a="1"/>
  <c r="D333" i="383" s="1"/>
  <c r="D332" i="383" a="1"/>
  <c r="D332" i="383" s="1"/>
  <c r="D331" i="383" a="1"/>
  <c r="D331" i="383" s="1"/>
  <c r="D330" i="383" a="1"/>
  <c r="D330" i="383" s="1"/>
  <c r="D329" i="383" a="1"/>
  <c r="D329" i="383" s="1"/>
  <c r="D328" i="383" a="1"/>
  <c r="D328" i="383" s="1"/>
  <c r="D327" i="383" a="1"/>
  <c r="D327" i="383" s="1"/>
  <c r="D326" i="383" a="1"/>
  <c r="D326" i="383"/>
  <c r="D325" i="383" a="1"/>
  <c r="D325" i="383"/>
  <c r="D324" i="383" a="1"/>
  <c r="D324" i="383" s="1"/>
  <c r="D323" i="383" a="1"/>
  <c r="D323" i="383"/>
  <c r="D322" i="383" a="1"/>
  <c r="D322" i="383" s="1"/>
  <c r="D321" i="383" a="1"/>
  <c r="D321" i="383" s="1"/>
  <c r="D320" i="383" a="1"/>
  <c r="D320" i="383" s="1"/>
  <c r="D319" i="383" a="1"/>
  <c r="D319" i="383" s="1"/>
  <c r="D318" i="383" a="1"/>
  <c r="D318" i="383" s="1"/>
  <c r="D317" i="383" a="1"/>
  <c r="D317" i="383" s="1"/>
  <c r="D316" i="383" a="1"/>
  <c r="D316" i="383" s="1"/>
  <c r="D315" i="383" a="1"/>
  <c r="D315" i="383" s="1"/>
  <c r="D314" i="383" a="1"/>
  <c r="D314" i="383"/>
  <c r="D313" i="383" a="1"/>
  <c r="D313" i="383" s="1"/>
  <c r="D312" i="383" a="1"/>
  <c r="D312" i="383" s="1"/>
  <c r="D311" i="383" a="1"/>
  <c r="D311" i="383" s="1"/>
  <c r="D310" i="383" a="1"/>
  <c r="D310" i="383"/>
  <c r="D309" i="383" a="1"/>
  <c r="D309" i="383" s="1"/>
  <c r="D308" i="383" a="1"/>
  <c r="D308" i="383" s="1"/>
  <c r="D307" i="383" a="1"/>
  <c r="D307" i="383"/>
  <c r="D306" i="383" a="1"/>
  <c r="D306" i="383" s="1"/>
  <c r="D305" i="383" a="1"/>
  <c r="D305" i="383"/>
  <c r="D304" i="383" a="1"/>
  <c r="D304" i="383" s="1"/>
  <c r="D303" i="383" a="1"/>
  <c r="D303" i="383" s="1"/>
  <c r="D302" i="383" a="1"/>
  <c r="D302" i="383"/>
  <c r="D301" i="383" a="1"/>
  <c r="D301" i="383"/>
  <c r="D300" i="383" a="1"/>
  <c r="D300" i="383" s="1"/>
  <c r="D299" i="383" a="1"/>
  <c r="D299" i="383" s="1"/>
  <c r="D298" i="383" a="1"/>
  <c r="D298" i="383"/>
  <c r="D297" i="383" a="1"/>
  <c r="D297" i="383" s="1"/>
  <c r="D296" i="383" a="1"/>
  <c r="D296" i="383"/>
  <c r="D295" i="383" a="1"/>
  <c r="D295" i="383" s="1"/>
  <c r="D294" i="383" a="1"/>
  <c r="D294" i="383"/>
  <c r="D293" i="383" a="1"/>
  <c r="D293" i="383" s="1"/>
  <c r="D292" i="383" a="1"/>
  <c r="D292" i="383" s="1"/>
  <c r="D291" i="383" a="1"/>
  <c r="D291" i="383" s="1"/>
  <c r="D290" i="383" a="1"/>
  <c r="D290" i="383" s="1"/>
  <c r="D289" i="383" a="1"/>
  <c r="D289" i="383"/>
  <c r="D288" i="383" a="1"/>
  <c r="D288" i="383" s="1"/>
  <c r="D287" i="383" a="1"/>
  <c r="D287" i="383" s="1"/>
  <c r="D286" i="383" a="1"/>
  <c r="D286" i="383" s="1"/>
  <c r="D285" i="383" a="1"/>
  <c r="D285" i="383"/>
  <c r="D284" i="383" a="1"/>
  <c r="D284" i="383" s="1"/>
  <c r="D283" i="383" a="1"/>
  <c r="D283" i="383" s="1"/>
  <c r="D282" i="383" a="1"/>
  <c r="D282" i="383" s="1"/>
  <c r="D281" i="383" a="1"/>
  <c r="D281" i="383" s="1"/>
  <c r="D280" i="383" a="1"/>
  <c r="D280" i="383"/>
  <c r="D279" i="383" a="1"/>
  <c r="D279" i="383" s="1"/>
  <c r="D278" i="383" a="1"/>
  <c r="D278" i="383" s="1"/>
  <c r="D277" i="383" a="1"/>
  <c r="D277" i="383" s="1"/>
  <c r="D276" i="383" a="1"/>
  <c r="D276" i="383" s="1"/>
  <c r="D275" i="383" a="1"/>
  <c r="D275" i="383" s="1"/>
  <c r="D274" i="383" a="1"/>
  <c r="D274" i="383" s="1"/>
  <c r="D273" i="383" a="1"/>
  <c r="D273" i="383" s="1"/>
  <c r="D272" i="383" a="1"/>
  <c r="D272" i="383" s="1"/>
  <c r="D271" i="383" a="1"/>
  <c r="D271" i="383" s="1"/>
  <c r="D270" i="383" a="1"/>
  <c r="D270" i="383"/>
  <c r="D269" i="383" a="1"/>
  <c r="D269" i="383" s="1"/>
  <c r="D268" i="383" a="1"/>
  <c r="D268" i="383" s="1"/>
  <c r="D267" i="383" a="1"/>
  <c r="D267" i="383" s="1"/>
  <c r="D266" i="383" a="1"/>
  <c r="D266" i="383" s="1"/>
  <c r="D265" i="383" a="1"/>
  <c r="D265" i="383" s="1"/>
  <c r="D264" i="383" a="1"/>
  <c r="D264" i="383" s="1"/>
  <c r="D263" i="383" a="1"/>
  <c r="D263" i="383" s="1"/>
  <c r="D262" i="383" a="1"/>
  <c r="D262" i="383"/>
  <c r="D261" i="383" a="1"/>
  <c r="D261" i="383"/>
  <c r="D260" i="383" a="1"/>
  <c r="D260" i="383" s="1"/>
  <c r="D259" i="383" a="1"/>
  <c r="D259" i="383"/>
  <c r="D258" i="383" a="1"/>
  <c r="D258" i="383" s="1"/>
  <c r="D257" i="383" a="1"/>
  <c r="D257" i="383" s="1"/>
  <c r="D256" i="383" a="1"/>
  <c r="D256" i="383" s="1"/>
  <c r="D255" i="383" a="1"/>
  <c r="D255" i="383" s="1"/>
  <c r="D254" i="383" a="1"/>
  <c r="D254" i="383" s="1"/>
  <c r="D253" i="383" a="1"/>
  <c r="D253" i="383"/>
  <c r="D252" i="383" a="1"/>
  <c r="D252" i="383" s="1"/>
  <c r="D251" i="383" a="1"/>
  <c r="D251" i="383" s="1"/>
  <c r="D250" i="383" a="1"/>
  <c r="D250" i="383"/>
  <c r="D249" i="383" a="1"/>
  <c r="D249" i="383" s="1"/>
  <c r="D248" i="383" a="1"/>
  <c r="D248" i="383" s="1"/>
  <c r="D247" i="383" a="1"/>
  <c r="D247" i="383" s="1"/>
  <c r="D246" i="383" a="1"/>
  <c r="D246" i="383"/>
  <c r="D245" i="383" a="1"/>
  <c r="D245" i="383" s="1"/>
  <c r="D244" i="383" a="1"/>
  <c r="D244" i="383" s="1"/>
  <c r="D243" i="383" a="1"/>
  <c r="D243" i="383"/>
  <c r="D242" i="383" a="1"/>
  <c r="D242" i="383" s="1"/>
  <c r="D241" i="383" a="1"/>
  <c r="D241" i="383" s="1"/>
  <c r="D240" i="383" a="1"/>
  <c r="D240" i="383" s="1"/>
  <c r="D239" i="383" a="1"/>
  <c r="D239" i="383" s="1"/>
  <c r="D238" i="383" a="1"/>
  <c r="D238" i="383"/>
  <c r="D237" i="383" a="1"/>
  <c r="D237" i="383"/>
  <c r="D236" i="383" a="1"/>
  <c r="D236" i="383" s="1"/>
  <c r="D235" i="383" a="1"/>
  <c r="D235" i="383" s="1"/>
  <c r="D234" i="383" a="1"/>
  <c r="D234" i="383"/>
  <c r="D233" i="383" a="1"/>
  <c r="D233" i="383" s="1"/>
  <c r="D232" i="383" a="1"/>
  <c r="D232" i="383" s="1"/>
  <c r="D231" i="383" a="1"/>
  <c r="D231" i="383" s="1"/>
  <c r="D230" i="383" a="1"/>
  <c r="D230" i="383"/>
  <c r="D229" i="383" a="1"/>
  <c r="D229" i="383"/>
  <c r="D228" i="383" a="1"/>
  <c r="D228" i="383" s="1"/>
  <c r="D227" i="383" a="1"/>
  <c r="D227" i="383" s="1"/>
  <c r="D226" i="383" a="1"/>
  <c r="D226" i="383" s="1"/>
  <c r="D225" i="383" a="1"/>
  <c r="D225" i="383"/>
  <c r="D224" i="383" a="1"/>
  <c r="D224" i="383" s="1"/>
  <c r="D223" i="383" a="1"/>
  <c r="D223" i="383" s="1"/>
  <c r="D222" i="383" a="1"/>
  <c r="D222" i="383" s="1"/>
  <c r="D221" i="383" a="1"/>
  <c r="D221" i="383"/>
  <c r="D220" i="383" a="1"/>
  <c r="D220" i="383" s="1"/>
  <c r="D219" i="383" a="1"/>
  <c r="D219" i="383" s="1"/>
  <c r="D218" i="383" a="1"/>
  <c r="D218" i="383" s="1"/>
  <c r="D217" i="383" a="1"/>
  <c r="D217" i="383" s="1"/>
  <c r="D216" i="383" a="1"/>
  <c r="D216" i="383"/>
  <c r="D215" i="383" a="1"/>
  <c r="D215" i="383" s="1"/>
  <c r="D214" i="383" a="1"/>
  <c r="D214" i="383"/>
  <c r="D213" i="383" a="1"/>
  <c r="D213" i="383" s="1"/>
  <c r="D212" i="383" a="1"/>
  <c r="D212" i="383" s="1"/>
  <c r="D211" i="383" a="1"/>
  <c r="D211" i="383" s="1"/>
  <c r="D210" i="383" a="1"/>
  <c r="D210" i="383" s="1"/>
  <c r="D209" i="383" a="1"/>
  <c r="D209" i="383" s="1"/>
  <c r="D208" i="383" a="1"/>
  <c r="D208" i="383" s="1"/>
  <c r="D207" i="383" a="1"/>
  <c r="D207" i="383" s="1"/>
  <c r="D206" i="383" a="1"/>
  <c r="D206" i="383"/>
  <c r="D205" i="383" a="1"/>
  <c r="D205" i="383"/>
  <c r="D204" i="383" a="1"/>
  <c r="D204" i="383" s="1"/>
  <c r="D203" i="383" a="1"/>
  <c r="D203" i="383" s="1"/>
  <c r="D202" i="383" a="1"/>
  <c r="D202" i="383" s="1"/>
  <c r="D201" i="383" a="1"/>
  <c r="D201" i="383" s="1"/>
  <c r="D200" i="383" a="1"/>
  <c r="D200" i="383" s="1"/>
  <c r="D199" i="383" a="1"/>
  <c r="D199" i="383" s="1"/>
  <c r="D198" i="383" a="1"/>
  <c r="D198" i="383"/>
  <c r="D197" i="383" a="1"/>
  <c r="D197" i="383"/>
  <c r="D196" i="383" a="1"/>
  <c r="D196" i="383" s="1"/>
  <c r="D195" i="383" a="1"/>
  <c r="D195" i="383" s="1"/>
  <c r="D194" i="383" a="1"/>
  <c r="D194" i="383" s="1"/>
  <c r="D193" i="383" a="1"/>
  <c r="D193" i="383" s="1"/>
  <c r="D192" i="383" a="1"/>
  <c r="D192" i="383" s="1"/>
  <c r="D191" i="383" a="1"/>
  <c r="D191" i="383" s="1"/>
  <c r="D190" i="383" a="1"/>
  <c r="D190" i="383" s="1"/>
  <c r="D189" i="383" a="1"/>
  <c r="D189" i="383"/>
  <c r="D188" i="383" a="1"/>
  <c r="D188" i="383" s="1"/>
  <c r="D187" i="383" a="1"/>
  <c r="D187" i="383" s="1"/>
  <c r="D186" i="383" a="1"/>
  <c r="D186" i="383" s="1"/>
  <c r="D185" i="383" a="1"/>
  <c r="D185" i="383" s="1"/>
  <c r="D184" i="383" a="1"/>
  <c r="D184" i="383" s="1"/>
  <c r="D183" i="383" a="1"/>
  <c r="D183" i="383" s="1"/>
  <c r="D182" i="383" a="1"/>
  <c r="D182" i="383"/>
  <c r="D181" i="383" a="1"/>
  <c r="D181" i="383" s="1"/>
  <c r="D180" i="383" a="1"/>
  <c r="D180" i="383" s="1"/>
  <c r="D179" i="383" a="1"/>
  <c r="D179" i="383"/>
  <c r="D178" i="383" a="1"/>
  <c r="D178" i="383" s="1"/>
  <c r="D177" i="383" a="1"/>
  <c r="D177" i="383" s="1"/>
  <c r="D176" i="383" a="1"/>
  <c r="D176" i="383" s="1"/>
  <c r="D175" i="383" a="1"/>
  <c r="D175" i="383" s="1"/>
  <c r="D174" i="383" a="1"/>
  <c r="D174" i="383"/>
  <c r="D173" i="383" a="1"/>
  <c r="D173" i="383"/>
  <c r="D172" i="383" a="1"/>
  <c r="D172" i="383" s="1"/>
  <c r="D171" i="383" a="1"/>
  <c r="D171" i="383" s="1"/>
  <c r="D170" i="383" a="1"/>
  <c r="D170" i="383"/>
  <c r="D169" i="383" a="1"/>
  <c r="D169" i="383" s="1"/>
  <c r="D168" i="383" a="1"/>
  <c r="D168" i="383" s="1"/>
  <c r="D167" i="383" a="1"/>
  <c r="D167" i="383" s="1"/>
  <c r="D166" i="383" a="1"/>
  <c r="D166" i="383"/>
  <c r="D165" i="383" a="1"/>
  <c r="D165" i="383"/>
  <c r="D164" i="383" a="1"/>
  <c r="D164" i="383" s="1"/>
  <c r="D163" i="383" a="1"/>
  <c r="D163" i="383" s="1"/>
  <c r="D162" i="383" a="1"/>
  <c r="D162" i="383" s="1"/>
  <c r="D161" i="383" a="1"/>
  <c r="D161" i="383"/>
  <c r="D160" i="383" a="1"/>
  <c r="D160" i="383" s="1"/>
  <c r="D159" i="383" a="1"/>
  <c r="D159" i="383" s="1"/>
  <c r="D158" i="383" a="1"/>
  <c r="D158" i="383"/>
  <c r="D157" i="383" a="1"/>
  <c r="D157" i="383"/>
  <c r="D156" i="383" a="1"/>
  <c r="D156" i="383" s="1"/>
  <c r="D155" i="383" a="1"/>
  <c r="D155" i="383" s="1"/>
  <c r="D154" i="383" a="1"/>
  <c r="D154" i="383" s="1"/>
  <c r="D153" i="383" a="1"/>
  <c r="D153" i="383" s="1"/>
  <c r="D152" i="383" a="1"/>
  <c r="D152" i="383"/>
  <c r="D151" i="383" a="1"/>
  <c r="D151" i="383" s="1"/>
  <c r="D150" i="383" a="1"/>
  <c r="D150" i="383"/>
  <c r="D149" i="383" a="1"/>
  <c r="D149" i="383" s="1"/>
  <c r="D148" i="383" a="1"/>
  <c r="D148" i="383" s="1"/>
  <c r="D147" i="383" a="1"/>
  <c r="D147" i="383" s="1"/>
  <c r="D146" i="383" a="1"/>
  <c r="D146" i="383" s="1"/>
  <c r="D145" i="383" a="1"/>
  <c r="D145" i="383" s="1"/>
  <c r="D144" i="383" a="1"/>
  <c r="D144" i="383" s="1"/>
  <c r="D143" i="383" a="1"/>
  <c r="D143" i="383" s="1"/>
  <c r="D142" i="383" a="1"/>
  <c r="D142" i="383"/>
  <c r="D141" i="383" a="1"/>
  <c r="D141" i="383"/>
  <c r="D140" i="383" a="1"/>
  <c r="D140" i="383" s="1"/>
  <c r="D139" i="383" a="1"/>
  <c r="D139" i="383" s="1"/>
  <c r="D138" i="383" a="1"/>
  <c r="D138" i="383" s="1"/>
  <c r="D137" i="383" a="1"/>
  <c r="D137" i="383" s="1"/>
  <c r="D136" i="383" a="1"/>
  <c r="D136" i="383" s="1"/>
  <c r="D135" i="383" a="1"/>
  <c r="D135" i="383" s="1"/>
  <c r="D134" i="383" a="1"/>
  <c r="D134" i="383"/>
  <c r="D133" i="383" a="1"/>
  <c r="D133" i="383"/>
  <c r="D132" i="383" a="1"/>
  <c r="D132" i="383" s="1"/>
  <c r="D131" i="383" a="1"/>
  <c r="D131" i="383" s="1"/>
  <c r="D130" i="383" a="1"/>
  <c r="D130" i="383" s="1"/>
  <c r="D129" i="383" a="1"/>
  <c r="D129" i="383" s="1"/>
  <c r="D128" i="383" a="1"/>
  <c r="D128" i="383" s="1"/>
  <c r="D127" i="383" a="1"/>
  <c r="D127" i="383" s="1"/>
  <c r="D126" i="383" a="1"/>
  <c r="D126" i="383" s="1"/>
  <c r="D125" i="383" a="1"/>
  <c r="D125" i="383"/>
  <c r="D124" i="383" a="1"/>
  <c r="D124" i="383" s="1"/>
  <c r="D123" i="383" a="1"/>
  <c r="D123" i="383" s="1"/>
  <c r="D122" i="383" a="1"/>
  <c r="D122" i="383" s="1"/>
  <c r="D121" i="383" a="1"/>
  <c r="D121" i="383" s="1"/>
  <c r="D120" i="383" a="1"/>
  <c r="D120" i="383" s="1"/>
  <c r="D119" i="383" a="1"/>
  <c r="D119" i="383" s="1"/>
  <c r="D118" i="383" a="1"/>
  <c r="D118" i="383"/>
  <c r="D117" i="383" a="1"/>
  <c r="D117" i="383" s="1"/>
  <c r="D116" i="383" a="1"/>
  <c r="D116" i="383" s="1"/>
  <c r="D115" i="383" a="1"/>
  <c r="D115" i="383"/>
  <c r="D114" i="383" a="1"/>
  <c r="D114" i="383" s="1"/>
  <c r="D113" i="383" a="1"/>
  <c r="D113" i="383" s="1"/>
  <c r="D112" i="383" a="1"/>
  <c r="D112" i="383" s="1"/>
  <c r="D111" i="383" a="1"/>
  <c r="D111" i="383" s="1"/>
  <c r="D110" i="383" a="1"/>
  <c r="D110" i="383"/>
  <c r="D109" i="383" a="1"/>
  <c r="D109" i="383"/>
  <c r="D108" i="383" a="1"/>
  <c r="D108" i="383" s="1"/>
  <c r="D107" i="383" a="1"/>
  <c r="D107" i="383" s="1"/>
  <c r="D106" i="383" a="1"/>
  <c r="D106" i="383"/>
  <c r="D105" i="383" a="1"/>
  <c r="D105" i="383" s="1"/>
  <c r="D104" i="383" a="1"/>
  <c r="D104" i="383" s="1"/>
  <c r="D103" i="383" a="1"/>
  <c r="D103" i="383" s="1"/>
  <c r="D102" i="383" a="1"/>
  <c r="D102" i="383"/>
  <c r="D101" i="383" a="1"/>
  <c r="D101" i="383"/>
  <c r="D100" i="383" a="1"/>
  <c r="D100" i="383" s="1"/>
  <c r="D99" i="383" a="1"/>
  <c r="D99" i="383" s="1"/>
  <c r="D98" i="383" a="1"/>
  <c r="D98" i="383" s="1"/>
  <c r="D97" i="383" a="1"/>
  <c r="D97" i="383"/>
  <c r="D96" i="383" a="1"/>
  <c r="D96" i="383" s="1"/>
  <c r="D95" i="383" a="1"/>
  <c r="D95" i="383" s="1"/>
  <c r="D94" i="383" a="1"/>
  <c r="D94" i="383"/>
  <c r="D93" i="383" a="1"/>
  <c r="D93" i="383"/>
  <c r="D92" i="383" a="1"/>
  <c r="D92" i="383" s="1"/>
  <c r="D91" i="383" a="1"/>
  <c r="D91" i="383" s="1"/>
  <c r="D90" i="383" a="1"/>
  <c r="D90" i="383" s="1"/>
  <c r="D89" i="383" a="1"/>
  <c r="D89" i="383" s="1"/>
  <c r="D88" i="383" a="1"/>
  <c r="D88" i="383"/>
  <c r="D87" i="383" a="1"/>
  <c r="D87" i="383" s="1"/>
  <c r="D86" i="383" a="1"/>
  <c r="D86" i="383"/>
  <c r="D85" i="383" a="1"/>
  <c r="D85" i="383"/>
  <c r="D84" i="383" a="1"/>
  <c r="D84" i="383"/>
  <c r="D83" i="383" a="1"/>
  <c r="D83" i="383"/>
  <c r="D82" i="383" a="1"/>
  <c r="D82" i="383"/>
  <c r="D81" i="383" a="1"/>
  <c r="D81" i="383" s="1"/>
  <c r="D80" i="383" a="1"/>
  <c r="D80" i="383"/>
  <c r="D79" i="383" a="1"/>
  <c r="D79" i="383"/>
  <c r="D78" i="383" a="1"/>
  <c r="D78" i="383"/>
  <c r="D77" i="383" a="1"/>
  <c r="D77" i="383"/>
  <c r="D76" i="383" a="1"/>
  <c r="D76" i="383"/>
  <c r="D75" i="383" a="1"/>
  <c r="D75" i="383"/>
  <c r="D74" i="383" a="1"/>
  <c r="D74" i="383"/>
  <c r="D73" i="383" a="1"/>
  <c r="D73" i="383" s="1"/>
  <c r="D72" i="383" a="1"/>
  <c r="D72" i="383"/>
  <c r="D71" i="383" a="1"/>
  <c r="D71" i="383"/>
  <c r="D70" i="383" a="1"/>
  <c r="D70" i="383"/>
  <c r="D69" i="383" a="1"/>
  <c r="D69" i="383" s="1"/>
  <c r="D68" i="383" a="1"/>
  <c r="D68" i="383"/>
  <c r="D67" i="383" a="1"/>
  <c r="D67" i="383"/>
  <c r="D66" i="383" a="1"/>
  <c r="D66" i="383"/>
  <c r="D65" i="383" a="1"/>
  <c r="D65" i="383" s="1"/>
  <c r="D64" i="383" a="1"/>
  <c r="D64" i="383"/>
  <c r="D63" i="383" a="1"/>
  <c r="D63" i="383"/>
  <c r="D62" i="383" a="1"/>
  <c r="D62" i="383"/>
  <c r="D61" i="383" a="1"/>
  <c r="D61" i="383" s="1"/>
  <c r="D60" i="383" a="1"/>
  <c r="D60" i="383"/>
  <c r="D59" i="383" a="1"/>
  <c r="D59" i="383"/>
  <c r="D58" i="383" a="1"/>
  <c r="D58" i="383"/>
  <c r="D57" i="383" a="1"/>
  <c r="D57" i="383" s="1"/>
  <c r="D56" i="383" a="1"/>
  <c r="D56" i="383"/>
  <c r="D55" i="383" a="1"/>
  <c r="D55" i="383"/>
  <c r="D54" i="383" a="1"/>
  <c r="D54" i="383"/>
  <c r="D53" i="383" a="1"/>
  <c r="D53" i="383" s="1"/>
  <c r="D52" i="383" a="1"/>
  <c r="D52" i="383"/>
  <c r="D51" i="383" a="1"/>
  <c r="D51" i="383"/>
  <c r="D50" i="383" a="1"/>
  <c r="D50" i="383"/>
  <c r="D49" i="383" a="1"/>
  <c r="D49" i="383" s="1"/>
  <c r="D48" i="383" a="1"/>
  <c r="D48" i="383"/>
  <c r="D47" i="383" a="1"/>
  <c r="D47" i="383"/>
  <c r="D46" i="383" a="1"/>
  <c r="D46" i="383"/>
  <c r="D45" i="383" a="1"/>
  <c r="D45" i="383" s="1"/>
  <c r="D44" i="383" a="1"/>
  <c r="D44" i="383"/>
  <c r="D43" i="383" a="1"/>
  <c r="D43" i="383"/>
  <c r="D42" i="383" a="1"/>
  <c r="D42" i="383"/>
  <c r="D41" i="383" a="1"/>
  <c r="D41" i="383" s="1"/>
  <c r="D40" i="383" a="1"/>
  <c r="D40" i="383"/>
  <c r="D39" i="383" a="1"/>
  <c r="D39" i="383"/>
  <c r="D38" i="383" a="1"/>
  <c r="D38" i="383" s="1"/>
  <c r="D37" i="383" a="1"/>
  <c r="D37" i="383" s="1"/>
  <c r="D36" i="383" a="1"/>
  <c r="D36" i="383"/>
  <c r="D35" i="383" a="1"/>
  <c r="D35" i="383" s="1"/>
  <c r="D34" i="383" a="1"/>
  <c r="D34" i="383"/>
  <c r="D33" i="383" a="1"/>
  <c r="D33" i="383" s="1"/>
  <c r="D32" i="383" a="1"/>
  <c r="D32" i="383"/>
  <c r="D31" i="383" a="1"/>
  <c r="D31" i="383"/>
  <c r="D30" i="383" a="1"/>
  <c r="D30" i="383" s="1"/>
  <c r="D29" i="383" a="1"/>
  <c r="D29" i="383" s="1"/>
  <c r="D28" i="383" a="1"/>
  <c r="D28" i="383"/>
  <c r="D27" i="383" a="1"/>
  <c r="D27" i="383" s="1"/>
  <c r="D26" i="383" a="1"/>
  <c r="D26" i="383"/>
  <c r="D25" i="383" a="1"/>
  <c r="D25" i="383" s="1"/>
  <c r="D24" i="383" a="1"/>
  <c r="D24" i="383"/>
  <c r="D23" i="383" a="1"/>
  <c r="D23" i="383"/>
  <c r="D22" i="383" a="1"/>
  <c r="D22" i="383" s="1"/>
  <c r="D21" i="383" a="1"/>
  <c r="D21" i="383" s="1"/>
  <c r="D20" i="383" a="1"/>
  <c r="D20" i="383"/>
  <c r="D19" i="383" a="1"/>
  <c r="D19" i="383" s="1"/>
  <c r="D18" i="383" a="1"/>
  <c r="D18" i="383"/>
  <c r="D17" i="383" a="1"/>
  <c r="D17" i="383" s="1"/>
  <c r="D16" i="383" a="1"/>
  <c r="D16" i="383" s="1"/>
  <c r="D15" i="383" a="1"/>
  <c r="D15" i="383"/>
  <c r="D14" i="383" a="1"/>
  <c r="D14" i="383" s="1"/>
  <c r="D13" i="383" a="1"/>
  <c r="D13" i="383" s="1"/>
  <c r="D12" i="383" a="1"/>
  <c r="D12" i="383"/>
  <c r="D11" i="383" a="1"/>
  <c r="D11" i="383" s="1"/>
  <c r="D10" i="383" a="1"/>
  <c r="D10" i="383"/>
  <c r="D9" i="383" a="1"/>
  <c r="D9" i="383" s="1"/>
  <c r="D8" i="383" a="1"/>
  <c r="D8" i="383" s="1"/>
  <c r="D7" i="383" a="1"/>
  <c r="D7" i="383"/>
  <c r="D6" i="383" a="1"/>
  <c r="D6" i="383" s="1"/>
  <c r="D5" i="383" a="1"/>
  <c r="D5" i="383" s="1"/>
  <c r="D4" i="383" a="1"/>
  <c r="D4" i="383"/>
  <c r="D3" i="383" a="1"/>
  <c r="D3" i="383" s="1"/>
  <c r="D2" i="383" a="1"/>
  <c r="D2" i="383"/>
  <c r="P163" i="386"/>
  <c r="P154" i="386"/>
  <c r="P153" i="386"/>
  <c r="C108" i="386"/>
  <c r="P108" i="386"/>
  <c r="P86" i="386"/>
  <c r="P85" i="386"/>
  <c r="P84" i="386"/>
  <c r="P83" i="386"/>
  <c r="P81" i="386"/>
  <c r="C70" i="386"/>
  <c r="P70" i="386"/>
  <c r="P46" i="386"/>
  <c r="P45" i="386"/>
  <c r="C29" i="386"/>
  <c r="P29" i="386"/>
  <c r="C28" i="386"/>
  <c r="P28" i="386" s="1"/>
  <c r="C27" i="386"/>
  <c r="P27" i="386" s="1"/>
  <c r="C26" i="386"/>
  <c r="P26" i="386"/>
  <c r="C25" i="386"/>
  <c r="P25" i="386" s="1"/>
  <c r="P24" i="386"/>
  <c r="O7" i="386"/>
  <c r="N7" i="386"/>
  <c r="M7" i="386"/>
  <c r="M33" i="386" a="1"/>
  <c r="M33" i="386" s="1"/>
  <c r="L7" i="386"/>
  <c r="L91" i="386" a="1"/>
  <c r="L91" i="386" s="1"/>
  <c r="K7" i="386"/>
  <c r="J7" i="386"/>
  <c r="I7" i="386"/>
  <c r="I36" i="386" a="1"/>
  <c r="I36" i="386" s="1"/>
  <c r="H7" i="386"/>
  <c r="H88" i="386" a="1"/>
  <c r="H88" i="386" s="1"/>
  <c r="G7" i="386"/>
  <c r="F7" i="386"/>
  <c r="E7" i="386"/>
  <c r="E41" i="386" a="1"/>
  <c r="E41" i="386" s="1"/>
  <c r="D7" i="386"/>
  <c r="D91" i="386" a="1"/>
  <c r="D91" i="386" s="1"/>
  <c r="A5" i="386"/>
  <c r="P163" i="385"/>
  <c r="P154" i="385"/>
  <c r="P153" i="385"/>
  <c r="C108" i="385"/>
  <c r="P108" i="385" s="1"/>
  <c r="P86" i="385"/>
  <c r="P85" i="385"/>
  <c r="P84" i="385"/>
  <c r="P83" i="385"/>
  <c r="P81" i="385"/>
  <c r="C70" i="385"/>
  <c r="P70" i="385" s="1"/>
  <c r="P46" i="385"/>
  <c r="P45" i="385"/>
  <c r="C29" i="385"/>
  <c r="P29" i="385" s="1"/>
  <c r="C28" i="385"/>
  <c r="P28" i="385" s="1"/>
  <c r="C27" i="385"/>
  <c r="P27" i="385" s="1"/>
  <c r="C26" i="385"/>
  <c r="P26" i="385"/>
  <c r="C25" i="385"/>
  <c r="P25" i="385" s="1"/>
  <c r="P24" i="385"/>
  <c r="O7" i="385"/>
  <c r="O35" i="385" a="1"/>
  <c r="O35" i="385" s="1"/>
  <c r="N7" i="385"/>
  <c r="N32" i="385" a="1"/>
  <c r="N32" i="385" s="1"/>
  <c r="M7" i="385"/>
  <c r="L7" i="385"/>
  <c r="L12" i="385" a="1"/>
  <c r="L12" i="385" s="1"/>
  <c r="K7" i="385"/>
  <c r="K33" i="385" a="1"/>
  <c r="K33" i="385"/>
  <c r="J7" i="385"/>
  <c r="J31" i="385" a="1"/>
  <c r="J31" i="385" s="1"/>
  <c r="I7" i="385"/>
  <c r="H7" i="385"/>
  <c r="H12" i="385" s="1" a="1"/>
  <c r="H12" i="385" s="1"/>
  <c r="G7" i="385"/>
  <c r="G35" i="385" s="1" a="1"/>
  <c r="G35" i="385" s="1"/>
  <c r="F7" i="385"/>
  <c r="F32" i="385" a="1"/>
  <c r="F32" i="385" s="1"/>
  <c r="E7" i="385"/>
  <c r="D7" i="385"/>
  <c r="D14" i="385" a="1"/>
  <c r="D14" i="385" s="1"/>
  <c r="A5" i="385"/>
  <c r="P163" i="365"/>
  <c r="P154" i="365"/>
  <c r="P153" i="365"/>
  <c r="C108" i="365"/>
  <c r="P108" i="365" s="1"/>
  <c r="P86" i="365"/>
  <c r="P85" i="365"/>
  <c r="P84" i="365"/>
  <c r="P83" i="365"/>
  <c r="P81" i="365"/>
  <c r="C70" i="365"/>
  <c r="P70" i="365" s="1"/>
  <c r="P46" i="365"/>
  <c r="P45" i="365"/>
  <c r="C29" i="365"/>
  <c r="P29" i="365"/>
  <c r="C28" i="365"/>
  <c r="P28" i="365"/>
  <c r="C27" i="365"/>
  <c r="P27" i="365" s="1"/>
  <c r="C26" i="365"/>
  <c r="P26" i="365"/>
  <c r="C25" i="365"/>
  <c r="P25" i="365" s="1"/>
  <c r="P24" i="365"/>
  <c r="O7" i="365"/>
  <c r="O127" i="365" s="1" a="1"/>
  <c r="O127" i="365" s="1"/>
  <c r="N7" i="365"/>
  <c r="N128" i="365" a="1"/>
  <c r="N128" i="365" s="1"/>
  <c r="M7" i="365"/>
  <c r="M36" i="365" s="1" a="1"/>
  <c r="M36" i="365" s="1"/>
  <c r="L7" i="365"/>
  <c r="L127" i="365" s="1" a="1"/>
  <c r="L127" i="365" s="1"/>
  <c r="K7" i="365"/>
  <c r="K129" i="365" s="1" a="1"/>
  <c r="K129" i="365" s="1"/>
  <c r="J7" i="365"/>
  <c r="J127" i="365" a="1"/>
  <c r="J127" i="365" s="1"/>
  <c r="I7" i="365"/>
  <c r="I32" i="365" a="1"/>
  <c r="I32" i="365"/>
  <c r="H7" i="365"/>
  <c r="H130" i="365" a="1"/>
  <c r="H130" i="365" s="1"/>
  <c r="G7" i="365"/>
  <c r="G127" i="365" a="1"/>
  <c r="G127" i="365" s="1"/>
  <c r="F7" i="365"/>
  <c r="F127" i="365" a="1"/>
  <c r="F127" i="365" s="1"/>
  <c r="E7" i="365"/>
  <c r="E31" i="365" a="1"/>
  <c r="E31" i="365"/>
  <c r="D7" i="365"/>
  <c r="D127" i="365" s="1" a="1"/>
  <c r="D127" i="365" s="1"/>
  <c r="A5" i="365"/>
  <c r="C8" i="412"/>
  <c r="C135" i="412" a="1"/>
  <c r="C135" i="412" s="1"/>
  <c r="A4" i="412"/>
  <c r="D136" i="412" s="1" a="1"/>
  <c r="D136" i="412" s="1"/>
  <c r="C8" i="417"/>
  <c r="C132" i="417" s="1" a="1"/>
  <c r="C132" i="417" s="1"/>
  <c r="A5" i="417"/>
  <c r="A4" i="417"/>
  <c r="D137" i="417" s="1" a="1"/>
  <c r="D137" i="417" s="1"/>
  <c r="C8" i="416"/>
  <c r="C132" i="416" a="1"/>
  <c r="C132" i="416" s="1"/>
  <c r="A5" i="416"/>
  <c r="A4" i="416"/>
  <c r="D62" i="416" s="1" a="1"/>
  <c r="D62" i="416" s="1"/>
  <c r="C8" i="413"/>
  <c r="C105" i="413" a="1"/>
  <c r="C105" i="413" s="1"/>
  <c r="A5" i="413"/>
  <c r="A4" i="413"/>
  <c r="D70" i="413" s="1" a="1"/>
  <c r="D70" i="413" s="1"/>
  <c r="C8" i="418"/>
  <c r="A5" i="418"/>
  <c r="A4" i="418"/>
  <c r="D58" i="391"/>
  <c r="E57" i="391"/>
  <c r="V56" i="391"/>
  <c r="U56" i="391"/>
  <c r="K56" i="391"/>
  <c r="E56" i="391"/>
  <c r="D54" i="391"/>
  <c r="T53" i="391"/>
  <c r="S53" i="391"/>
  <c r="D53" i="391"/>
  <c r="D52" i="391"/>
  <c r="E51" i="391"/>
  <c r="V50" i="391"/>
  <c r="U50" i="391"/>
  <c r="M50" i="391"/>
  <c r="K50" i="391"/>
  <c r="E50" i="391"/>
  <c r="D49" i="391"/>
  <c r="E48" i="391"/>
  <c r="V47" i="391"/>
  <c r="U47" i="391"/>
  <c r="M47" i="391"/>
  <c r="L47" i="391"/>
  <c r="K47" i="391"/>
  <c r="E47" i="391"/>
  <c r="D46" i="391"/>
  <c r="E45" i="391"/>
  <c r="V44" i="391"/>
  <c r="U44" i="391"/>
  <c r="M44" i="391"/>
  <c r="L44" i="391"/>
  <c r="K44" i="391"/>
  <c r="E44" i="391"/>
  <c r="D43" i="391"/>
  <c r="E42" i="391"/>
  <c r="V41" i="391"/>
  <c r="U41" i="391"/>
  <c r="M41" i="391"/>
  <c r="L41" i="391"/>
  <c r="K41" i="391"/>
  <c r="E41" i="391"/>
  <c r="D40" i="391"/>
  <c r="E39" i="391"/>
  <c r="V38" i="391"/>
  <c r="U38" i="391"/>
  <c r="M38" i="391"/>
  <c r="L38" i="391"/>
  <c r="K38" i="391"/>
  <c r="E38" i="391"/>
  <c r="D36" i="391"/>
  <c r="T35" i="391"/>
  <c r="S35" i="391"/>
  <c r="D35" i="391"/>
  <c r="D34" i="391"/>
  <c r="E33" i="391"/>
  <c r="V32" i="391"/>
  <c r="U32" i="391"/>
  <c r="M32" i="391"/>
  <c r="K32" i="391"/>
  <c r="E32" i="391"/>
  <c r="D31" i="391"/>
  <c r="E30" i="391"/>
  <c r="V29" i="391"/>
  <c r="U29" i="391"/>
  <c r="M29" i="391"/>
  <c r="L29" i="391"/>
  <c r="K29" i="391"/>
  <c r="E29" i="391"/>
  <c r="D28" i="391"/>
  <c r="E27" i="391"/>
  <c r="V26" i="391"/>
  <c r="U26" i="391"/>
  <c r="M26" i="391"/>
  <c r="L26" i="391"/>
  <c r="K26" i="391"/>
  <c r="E26" i="391"/>
  <c r="D25" i="391"/>
  <c r="E24" i="391"/>
  <c r="V23" i="391"/>
  <c r="U23" i="391"/>
  <c r="M23" i="391"/>
  <c r="L23" i="391"/>
  <c r="K23" i="391"/>
  <c r="E23" i="391"/>
  <c r="D21" i="391"/>
  <c r="T20" i="391"/>
  <c r="S20" i="391"/>
  <c r="D20" i="391"/>
  <c r="D19" i="391"/>
  <c r="E18" i="391"/>
  <c r="V17" i="391"/>
  <c r="U17" i="391"/>
  <c r="M17" i="391"/>
  <c r="K17" i="391"/>
  <c r="E17" i="391"/>
  <c r="D16" i="391"/>
  <c r="E15" i="391"/>
  <c r="V14" i="391"/>
  <c r="U14" i="391"/>
  <c r="M14" i="391"/>
  <c r="L14" i="391"/>
  <c r="K14" i="391"/>
  <c r="E14" i="391"/>
  <c r="D13" i="391"/>
  <c r="E12" i="391"/>
  <c r="V11" i="391"/>
  <c r="U11" i="391"/>
  <c r="M11" i="391"/>
  <c r="L11" i="391"/>
  <c r="K11" i="391"/>
  <c r="E11" i="391"/>
  <c r="D10" i="391"/>
  <c r="E9" i="391"/>
  <c r="V8" i="391"/>
  <c r="U8" i="391"/>
  <c r="M8" i="391"/>
  <c r="L8" i="391"/>
  <c r="K8" i="391"/>
  <c r="E8" i="391"/>
  <c r="Q7" i="391"/>
  <c r="E6" i="391"/>
  <c r="B6" i="391"/>
  <c r="Q5" i="391" s="1"/>
  <c r="A4" i="391"/>
  <c r="G5" i="391" s="1"/>
  <c r="I183" i="388"/>
  <c r="H183" i="388"/>
  <c r="I182" i="388"/>
  <c r="H182" i="388"/>
  <c r="I181" i="388"/>
  <c r="H181" i="388"/>
  <c r="I180" i="388"/>
  <c r="H180" i="388"/>
  <c r="C175" i="388" a="1"/>
  <c r="C175" i="388" s="1"/>
  <c r="C177" i="388" s="1"/>
  <c r="I169" i="388"/>
  <c r="H169" i="388"/>
  <c r="I168" i="388"/>
  <c r="H168" i="388"/>
  <c r="C163" i="388" a="1"/>
  <c r="C163" i="388" s="1"/>
  <c r="C162" i="388" a="1"/>
  <c r="C162" i="388" s="1"/>
  <c r="C161" i="388" a="1"/>
  <c r="C161" i="388"/>
  <c r="C160" i="388" a="1"/>
  <c r="C160" i="388" s="1"/>
  <c r="C159" i="388" a="1"/>
  <c r="C159" i="388"/>
  <c r="C158" i="388" a="1"/>
  <c r="C158" i="388" s="1"/>
  <c r="C157" i="388" a="1"/>
  <c r="C157" i="388"/>
  <c r="C156" i="388" a="1"/>
  <c r="C156" i="388"/>
  <c r="C155" i="388" a="1"/>
  <c r="C155" i="388" s="1"/>
  <c r="I151" i="388"/>
  <c r="H151" i="388"/>
  <c r="I150" i="388"/>
  <c r="H150" i="388"/>
  <c r="C145" i="388" a="1"/>
  <c r="C145" i="388" s="1"/>
  <c r="C144" i="388" s="1"/>
  <c r="G143" i="388" a="1"/>
  <c r="G143" i="388" s="1"/>
  <c r="C143" i="388" a="1"/>
  <c r="C143" i="388" s="1"/>
  <c r="C142" i="388" a="1"/>
  <c r="C142" i="388"/>
  <c r="C141" i="388" a="1"/>
  <c r="C141" i="388"/>
  <c r="C140" i="388" a="1"/>
  <c r="C140" i="388" s="1"/>
  <c r="I138" i="388"/>
  <c r="H138" i="388"/>
  <c r="C137" i="388" a="1"/>
  <c r="C137" i="388"/>
  <c r="C136" i="388" a="1"/>
  <c r="C136" i="388" s="1"/>
  <c r="C135" i="388" a="1"/>
  <c r="C135" i="388"/>
  <c r="C134" i="388" a="1"/>
  <c r="C134" i="388" s="1"/>
  <c r="C133" i="388" a="1"/>
  <c r="C133" i="388"/>
  <c r="C132" i="388" a="1"/>
  <c r="C132" i="388"/>
  <c r="C131" i="388" a="1"/>
  <c r="C131" i="388" s="1"/>
  <c r="C130" i="388" a="1"/>
  <c r="C130" i="388" s="1"/>
  <c r="C129" i="388" a="1"/>
  <c r="C129" i="388"/>
  <c r="C128" i="388" a="1"/>
  <c r="C128" i="388" s="1"/>
  <c r="C127" i="388" a="1"/>
  <c r="C127" i="388"/>
  <c r="C126" i="388" a="1"/>
  <c r="C126" i="388" s="1"/>
  <c r="C125" i="388" a="1"/>
  <c r="C125" i="388"/>
  <c r="C124" i="388" a="1"/>
  <c r="C124" i="388"/>
  <c r="C123" i="388" a="1"/>
  <c r="C123" i="388" s="1"/>
  <c r="C122" i="388" a="1"/>
  <c r="C122" i="388" s="1"/>
  <c r="C121" i="388" a="1"/>
  <c r="C121" i="388"/>
  <c r="C120" i="388" a="1"/>
  <c r="C120" i="388" s="1"/>
  <c r="C119" i="388" a="1"/>
  <c r="C119" i="388"/>
  <c r="C118" i="388" a="1"/>
  <c r="C118" i="388" s="1"/>
  <c r="C117" i="388" a="1"/>
  <c r="C117" i="388"/>
  <c r="C116" i="388" a="1"/>
  <c r="C116" i="388"/>
  <c r="C115" i="388" a="1"/>
  <c r="C115" i="388" s="1"/>
  <c r="C114" i="388" a="1"/>
  <c r="C114" i="388" s="1"/>
  <c r="C113" i="388" a="1"/>
  <c r="C113" i="388"/>
  <c r="C112" i="388" a="1"/>
  <c r="C112" i="388" s="1"/>
  <c r="C111" i="388" a="1"/>
  <c r="C111" i="388"/>
  <c r="C110" i="388" a="1"/>
  <c r="C110" i="388" s="1"/>
  <c r="C109" i="388" a="1"/>
  <c r="C109" i="388"/>
  <c r="C108" i="388" a="1"/>
  <c r="C108" i="388"/>
  <c r="C107" i="388" a="1"/>
  <c r="C107" i="388" s="1"/>
  <c r="C106" i="388" a="1"/>
  <c r="C106" i="388" s="1"/>
  <c r="C105" i="388" a="1"/>
  <c r="C105" i="388"/>
  <c r="C104" i="388" a="1"/>
  <c r="C104" i="388" s="1"/>
  <c r="C103" i="388" a="1"/>
  <c r="C103" i="388"/>
  <c r="C102" i="388" a="1"/>
  <c r="C102" i="388" s="1"/>
  <c r="C101" i="388" a="1"/>
  <c r="C101" i="388" s="1"/>
  <c r="C100" i="388" a="1"/>
  <c r="C100" i="388"/>
  <c r="C99" i="388" a="1"/>
  <c r="C99" i="388" s="1"/>
  <c r="C98" i="388" a="1"/>
  <c r="C98" i="388" s="1"/>
  <c r="C97" i="388" a="1"/>
  <c r="C97" i="388"/>
  <c r="C96" i="388" a="1"/>
  <c r="C96" i="388" s="1"/>
  <c r="C95" i="388" a="1"/>
  <c r="C95" i="388"/>
  <c r="C94" i="388" a="1"/>
  <c r="C94" i="388" s="1"/>
  <c r="C93" i="388" a="1"/>
  <c r="C93" i="388" s="1"/>
  <c r="C92" i="388" a="1"/>
  <c r="C92" i="388"/>
  <c r="C91" i="388" a="1"/>
  <c r="C91" i="388" s="1"/>
  <c r="C90" i="388" a="1"/>
  <c r="C90" i="388" s="1"/>
  <c r="C89" i="388" a="1"/>
  <c r="C89" i="388"/>
  <c r="C88" i="388" a="1"/>
  <c r="C88" i="388" s="1"/>
  <c r="C87" i="388" a="1"/>
  <c r="C87" i="388" s="1"/>
  <c r="C86" i="388" a="1"/>
  <c r="C86" i="388" s="1"/>
  <c r="C85" i="388" a="1"/>
  <c r="C85" i="388" s="1"/>
  <c r="C84" i="388" a="1"/>
  <c r="C84" i="388"/>
  <c r="C83" i="388" a="1"/>
  <c r="C83" i="388" s="1"/>
  <c r="C82" i="388" a="1"/>
  <c r="C82" i="388" s="1"/>
  <c r="C81" i="388" a="1"/>
  <c r="C81" i="388"/>
  <c r="C80" i="388" a="1"/>
  <c r="C80" i="388" s="1"/>
  <c r="C79" i="388" a="1"/>
  <c r="C79" i="388" s="1"/>
  <c r="C74" i="388" a="1"/>
  <c r="C74" i="388" s="1"/>
  <c r="C73" i="388" a="1"/>
  <c r="C73" i="388" s="1"/>
  <c r="C72" i="388" a="1"/>
  <c r="C72" i="388"/>
  <c r="C71" i="388" a="1"/>
  <c r="C71" i="388" s="1"/>
  <c r="C70" i="388" a="1"/>
  <c r="C70" i="388" s="1"/>
  <c r="C69" i="388" a="1"/>
  <c r="C69" i="388"/>
  <c r="C68" i="388" a="1"/>
  <c r="C68" i="388" s="1"/>
  <c r="C67" i="388" a="1"/>
  <c r="C67" i="388" s="1"/>
  <c r="C66" i="388" a="1"/>
  <c r="C66" i="388" s="1"/>
  <c r="C65" i="388" a="1"/>
  <c r="C65" i="388" s="1"/>
  <c r="C64" i="388" a="1"/>
  <c r="C64" i="388"/>
  <c r="C63" i="388" a="1"/>
  <c r="C63" i="388" s="1"/>
  <c r="C62" i="388" a="1"/>
  <c r="C62" i="388" s="1"/>
  <c r="C61" i="388" a="1"/>
  <c r="C61" i="388"/>
  <c r="C60" i="388" a="1"/>
  <c r="C60" i="388" s="1"/>
  <c r="C59" i="388" a="1"/>
  <c r="C59" i="388" s="1"/>
  <c r="C58" i="388" a="1"/>
  <c r="C58" i="388" s="1"/>
  <c r="C57" i="388" a="1"/>
  <c r="C57" i="388" s="1"/>
  <c r="C56" i="388" a="1"/>
  <c r="C56" i="388" s="1"/>
  <c r="C55" i="388" a="1"/>
  <c r="C55" i="388" s="1"/>
  <c r="C54" i="388" a="1"/>
  <c r="C54" i="388" s="1"/>
  <c r="C53" i="388" a="1"/>
  <c r="C53" i="388"/>
  <c r="C52" i="388" a="1"/>
  <c r="C52" i="388" s="1"/>
  <c r="C45" i="388" a="1"/>
  <c r="C45" i="388" s="1"/>
  <c r="C44" i="388" a="1"/>
  <c r="C44" i="388" s="1"/>
  <c r="C43" i="388" a="1"/>
  <c r="C43" i="388" s="1"/>
  <c r="C42" i="388" a="1"/>
  <c r="C42" i="388" s="1"/>
  <c r="C41" i="388" a="1"/>
  <c r="C41" i="388" s="1"/>
  <c r="C40" i="388" a="1"/>
  <c r="C40" i="388" s="1"/>
  <c r="C39" i="388" a="1"/>
  <c r="C39" i="388"/>
  <c r="C38" i="388" a="1"/>
  <c r="C38" i="388" s="1"/>
  <c r="C37" i="388" a="1"/>
  <c r="C37" i="388" s="1"/>
  <c r="C35" i="388" a="1"/>
  <c r="C35" i="388" s="1"/>
  <c r="C34" i="388" a="1"/>
  <c r="C34" i="388" s="1"/>
  <c r="C33" i="388" a="1"/>
  <c r="C33" i="388" s="1"/>
  <c r="C31" i="388" a="1"/>
  <c r="C31" i="388" s="1"/>
  <c r="C30" i="388" a="1"/>
  <c r="C30" i="388" s="1"/>
  <c r="C28" i="388" a="1"/>
  <c r="C28" i="388"/>
  <c r="C26" i="388" a="1"/>
  <c r="C26" i="388" s="1"/>
  <c r="C23" i="388" a="1"/>
  <c r="C23" i="388" s="1"/>
  <c r="C22" i="388" a="1"/>
  <c r="C22" i="388" s="1"/>
  <c r="C20" i="388" a="1"/>
  <c r="C20" i="388" s="1"/>
  <c r="C18" i="388" a="1"/>
  <c r="C18" i="388" s="1"/>
  <c r="C17" i="388" a="1"/>
  <c r="C17" i="388" s="1"/>
  <c r="C16" i="388" a="1"/>
  <c r="C16" i="388" s="1"/>
  <c r="C14" i="388" a="1"/>
  <c r="C14" i="388"/>
  <c r="C13" i="388" a="1"/>
  <c r="C13" i="388" s="1"/>
  <c r="C12" i="388" a="1"/>
  <c r="C12" i="388" s="1"/>
  <c r="C10" i="388" a="1"/>
  <c r="C10" i="388" s="1"/>
  <c r="E7" i="388"/>
  <c r="E28" i="388" s="1" a="1"/>
  <c r="E28" i="388" s="1"/>
  <c r="A3" i="388"/>
  <c r="F175" i="388" s="1" a="1"/>
  <c r="F175" i="388" s="1"/>
  <c r="F177" i="388" s="1"/>
  <c r="I183" i="405"/>
  <c r="H183" i="405"/>
  <c r="I182" i="405"/>
  <c r="H182" i="405"/>
  <c r="I181" i="405"/>
  <c r="H181" i="405"/>
  <c r="I180" i="405"/>
  <c r="H180" i="405"/>
  <c r="C175" i="405" a="1"/>
  <c r="C175" i="405" s="1"/>
  <c r="C177" i="405" s="1"/>
  <c r="I169" i="405"/>
  <c r="H169" i="405"/>
  <c r="I168" i="405"/>
  <c r="H168" i="405"/>
  <c r="C163" i="405" a="1"/>
  <c r="C163" i="405"/>
  <c r="C162" i="405" a="1"/>
  <c r="C162" i="405"/>
  <c r="C161" i="405" a="1"/>
  <c r="C161" i="405"/>
  <c r="C160" i="405" a="1"/>
  <c r="C160" i="405" s="1"/>
  <c r="C159" i="405" a="1"/>
  <c r="C159" i="405"/>
  <c r="C158" i="405" a="1"/>
  <c r="C158" i="405"/>
  <c r="C157" i="405" a="1"/>
  <c r="C157" i="405"/>
  <c r="C156" i="405" a="1"/>
  <c r="C156" i="405"/>
  <c r="C155" i="405" a="1"/>
  <c r="C155" i="405"/>
  <c r="I151" i="405"/>
  <c r="H151" i="405"/>
  <c r="I150" i="405"/>
  <c r="H150" i="405"/>
  <c r="I146" i="405"/>
  <c r="G146" i="405"/>
  <c r="H146" i="405" s="1"/>
  <c r="C145" i="405" a="1"/>
  <c r="C145" i="405" s="1"/>
  <c r="C144" i="405" s="1"/>
  <c r="G143" i="405" a="1"/>
  <c r="G143" i="405" s="1"/>
  <c r="C143" i="405" a="1"/>
  <c r="C143" i="405" s="1"/>
  <c r="C142" i="405" a="1"/>
  <c r="C142" i="405" s="1"/>
  <c r="C141" i="405" a="1"/>
  <c r="C141" i="405" s="1"/>
  <c r="C140" i="405" a="1"/>
  <c r="C140" i="405" s="1"/>
  <c r="I138" i="405"/>
  <c r="H138" i="405"/>
  <c r="C137" i="405" a="1"/>
  <c r="C137" i="405" s="1"/>
  <c r="C136" i="405" a="1"/>
  <c r="C136" i="405" s="1"/>
  <c r="C135" i="405" a="1"/>
  <c r="C135" i="405" s="1"/>
  <c r="C134" i="405" a="1"/>
  <c r="C134" i="405" s="1"/>
  <c r="C133" i="405" a="1"/>
  <c r="C133" i="405" s="1"/>
  <c r="C132" i="405" a="1"/>
  <c r="C132" i="405" s="1"/>
  <c r="C131" i="405" a="1"/>
  <c r="C131" i="405" s="1"/>
  <c r="C130" i="405" a="1"/>
  <c r="C130" i="405"/>
  <c r="C129" i="405" a="1"/>
  <c r="C129" i="405" s="1"/>
  <c r="C128" i="405" a="1"/>
  <c r="C128" i="405" s="1"/>
  <c r="C127" i="405" a="1"/>
  <c r="C127" i="405" s="1"/>
  <c r="C126" i="405" a="1"/>
  <c r="C126" i="405" s="1"/>
  <c r="C125" i="405" a="1"/>
  <c r="C125" i="405" s="1"/>
  <c r="C124" i="405" a="1"/>
  <c r="C124" i="405" s="1"/>
  <c r="C123" i="405" a="1"/>
  <c r="C123" i="405" s="1"/>
  <c r="C122" i="405" a="1"/>
  <c r="C122" i="405"/>
  <c r="C121" i="405" a="1"/>
  <c r="C121" i="405" s="1"/>
  <c r="C120" i="405" a="1"/>
  <c r="C120" i="405" s="1"/>
  <c r="C119" i="405" a="1"/>
  <c r="C119" i="405" s="1"/>
  <c r="C118" i="405" a="1"/>
  <c r="C118" i="405" s="1"/>
  <c r="C117" i="405" a="1"/>
  <c r="C117" i="405" s="1"/>
  <c r="C116" i="405" a="1"/>
  <c r="C116" i="405" s="1"/>
  <c r="C115" i="405" a="1"/>
  <c r="C115" i="405" s="1"/>
  <c r="C114" i="405" a="1"/>
  <c r="C114" i="405"/>
  <c r="C113" i="405" a="1"/>
  <c r="C113" i="405" s="1"/>
  <c r="C112" i="405" a="1"/>
  <c r="C112" i="405" s="1"/>
  <c r="C111" i="405" a="1"/>
  <c r="C111" i="405" s="1"/>
  <c r="C110" i="405" a="1"/>
  <c r="C110" i="405" s="1"/>
  <c r="C109" i="405" a="1"/>
  <c r="C109" i="405" s="1"/>
  <c r="C108" i="405" a="1"/>
  <c r="C108" i="405" s="1"/>
  <c r="C107" i="405" a="1"/>
  <c r="C107" i="405" s="1"/>
  <c r="C106" i="405" a="1"/>
  <c r="C106" i="405"/>
  <c r="C105" i="405" a="1"/>
  <c r="C105" i="405" s="1"/>
  <c r="C104" i="405" a="1"/>
  <c r="C104" i="405" s="1"/>
  <c r="C103" i="405" a="1"/>
  <c r="C103" i="405" s="1"/>
  <c r="C102" i="405" a="1"/>
  <c r="C102" i="405" s="1"/>
  <c r="C101" i="405" a="1"/>
  <c r="C101" i="405" s="1"/>
  <c r="C100" i="405" a="1"/>
  <c r="C100" i="405" s="1"/>
  <c r="C99" i="405" a="1"/>
  <c r="C99" i="405" s="1"/>
  <c r="C98" i="405" a="1"/>
  <c r="C98" i="405"/>
  <c r="C97" i="405" a="1"/>
  <c r="C97" i="405" s="1"/>
  <c r="C96" i="405" a="1"/>
  <c r="C96" i="405" s="1"/>
  <c r="C95" i="405" a="1"/>
  <c r="C95" i="405" s="1"/>
  <c r="C94" i="405" a="1"/>
  <c r="C94" i="405" s="1"/>
  <c r="C93" i="405" a="1"/>
  <c r="C93" i="405" s="1"/>
  <c r="C92" i="405" a="1"/>
  <c r="C92" i="405" s="1"/>
  <c r="C91" i="405" a="1"/>
  <c r="C91" i="405" s="1"/>
  <c r="C90" i="405" a="1"/>
  <c r="C90" i="405"/>
  <c r="C89" i="405" a="1"/>
  <c r="C89" i="405" s="1"/>
  <c r="C88" i="405" a="1"/>
  <c r="C88" i="405" s="1"/>
  <c r="C87" i="405" a="1"/>
  <c r="C87" i="405" s="1"/>
  <c r="C86" i="405" a="1"/>
  <c r="C86" i="405" s="1"/>
  <c r="C85" i="405" a="1"/>
  <c r="C85" i="405" s="1"/>
  <c r="C84" i="405" a="1"/>
  <c r="C84" i="405" s="1"/>
  <c r="C83" i="405" a="1"/>
  <c r="C83" i="405" s="1"/>
  <c r="C82" i="405" a="1"/>
  <c r="C82" i="405"/>
  <c r="C81" i="405" a="1"/>
  <c r="C81" i="405" s="1"/>
  <c r="C80" i="405" a="1"/>
  <c r="C80" i="405" s="1"/>
  <c r="C79" i="405" a="1"/>
  <c r="C79" i="405" s="1"/>
  <c r="C74" i="405" a="1"/>
  <c r="C74" i="405" s="1"/>
  <c r="C73" i="405" a="1"/>
  <c r="C73" i="405" s="1"/>
  <c r="C72" i="405" a="1"/>
  <c r="C72" i="405" s="1"/>
  <c r="C71" i="405" a="1"/>
  <c r="C71" i="405" s="1"/>
  <c r="C70" i="405" a="1"/>
  <c r="C70" i="405"/>
  <c r="C69" i="405" a="1"/>
  <c r="C69" i="405" s="1"/>
  <c r="C68" i="405" a="1"/>
  <c r="C68" i="405" s="1"/>
  <c r="C67" i="405" a="1"/>
  <c r="C67" i="405" s="1"/>
  <c r="C66" i="405" a="1"/>
  <c r="C66" i="405" s="1"/>
  <c r="C65" i="405" a="1"/>
  <c r="C65" i="405" s="1"/>
  <c r="C64" i="405" a="1"/>
  <c r="C64" i="405" s="1"/>
  <c r="C63" i="405" a="1"/>
  <c r="C63" i="405" s="1"/>
  <c r="C62" i="405" a="1"/>
  <c r="C62" i="405"/>
  <c r="C61" i="405" a="1"/>
  <c r="C61" i="405" s="1"/>
  <c r="C60" i="405" a="1"/>
  <c r="C60" i="405" s="1"/>
  <c r="C59" i="405" a="1"/>
  <c r="C59" i="405" s="1"/>
  <c r="C58" i="405" a="1"/>
  <c r="C58" i="405" s="1"/>
  <c r="C57" i="405" a="1"/>
  <c r="C57" i="405" s="1"/>
  <c r="C56" i="405" a="1"/>
  <c r="C56" i="405" s="1"/>
  <c r="C55" i="405" a="1"/>
  <c r="C55" i="405" s="1"/>
  <c r="C54" i="405" a="1"/>
  <c r="C54" i="405" s="1"/>
  <c r="C53" i="405" a="1"/>
  <c r="C53" i="405" s="1"/>
  <c r="C52" i="405" a="1"/>
  <c r="C52" i="405" s="1"/>
  <c r="I46" i="405"/>
  <c r="G46" i="405" a="1"/>
  <c r="G46" i="405" s="1"/>
  <c r="C45" i="405" a="1"/>
  <c r="C45" i="405" s="1"/>
  <c r="C44" i="405" a="1"/>
  <c r="C44" i="405" s="1"/>
  <c r="C43" i="405" a="1"/>
  <c r="C43" i="405" s="1"/>
  <c r="C42" i="405" a="1"/>
  <c r="C42" i="405" s="1"/>
  <c r="C41" i="405" a="1"/>
  <c r="C41" i="405" s="1"/>
  <c r="C40" i="405" a="1"/>
  <c r="C40" i="405" s="1"/>
  <c r="C39" i="405" a="1"/>
  <c r="C39" i="405" s="1"/>
  <c r="C38" i="405" a="1"/>
  <c r="C38" i="405" s="1"/>
  <c r="C37" i="405" a="1"/>
  <c r="C37" i="405" s="1"/>
  <c r="C35" i="405" a="1"/>
  <c r="C35" i="405" s="1"/>
  <c r="C34" i="405" a="1"/>
  <c r="C34" i="405" s="1"/>
  <c r="C33" i="405" a="1"/>
  <c r="C33" i="405" s="1"/>
  <c r="C31" i="405" a="1"/>
  <c r="C31" i="405" s="1"/>
  <c r="C30" i="405" a="1"/>
  <c r="C30" i="405" s="1"/>
  <c r="C28" i="405" a="1"/>
  <c r="C28" i="405" s="1"/>
  <c r="C26" i="405" a="1"/>
  <c r="C26" i="405" s="1"/>
  <c r="C23" i="405" a="1"/>
  <c r="C23" i="405" s="1"/>
  <c r="C22" i="405" a="1"/>
  <c r="C22" i="405" s="1"/>
  <c r="C20" i="405" a="1"/>
  <c r="C20" i="405" s="1"/>
  <c r="C18" i="405" a="1"/>
  <c r="C18" i="405" s="1"/>
  <c r="C17" i="405" a="1"/>
  <c r="C17" i="405" s="1"/>
  <c r="C16" i="405" a="1"/>
  <c r="C16" i="405" s="1"/>
  <c r="C14" i="405" a="1"/>
  <c r="C14" i="405" s="1"/>
  <c r="C13" i="405" a="1"/>
  <c r="C13" i="405" s="1"/>
  <c r="C12" i="405" a="1"/>
  <c r="C12" i="405" s="1"/>
  <c r="C10" i="405" a="1"/>
  <c r="C10" i="405" s="1"/>
  <c r="E7" i="405"/>
  <c r="E98" i="405" s="1" a="1"/>
  <c r="E98" i="405" s="1"/>
  <c r="A4" i="405"/>
  <c r="A3" i="405"/>
  <c r="F160" i="405" a="1"/>
  <c r="F160" i="405" s="1"/>
  <c r="I183" i="404"/>
  <c r="H183" i="404"/>
  <c r="I182" i="404"/>
  <c r="H182" i="404"/>
  <c r="I181" i="404"/>
  <c r="H181" i="404"/>
  <c r="I180" i="404"/>
  <c r="H180" i="404"/>
  <c r="C175" i="404" a="1"/>
  <c r="C175" i="404"/>
  <c r="C177" i="404" s="1"/>
  <c r="I169" i="404"/>
  <c r="H169" i="404"/>
  <c r="I168" i="404"/>
  <c r="H168" i="404"/>
  <c r="C163" i="404" a="1"/>
  <c r="C163" i="404"/>
  <c r="C162" i="404" a="1"/>
  <c r="C162" i="404" s="1"/>
  <c r="C161" i="404" a="1"/>
  <c r="C161" i="404" s="1"/>
  <c r="C160" i="404" a="1"/>
  <c r="C160" i="404" s="1"/>
  <c r="C159" i="404" a="1"/>
  <c r="C159" i="404" s="1"/>
  <c r="C158" i="404" a="1"/>
  <c r="C158" i="404" s="1"/>
  <c r="C157" i="404" a="1"/>
  <c r="C157" i="404" s="1"/>
  <c r="C156" i="404" a="1"/>
  <c r="C156" i="404" s="1"/>
  <c r="C155" i="404" a="1"/>
  <c r="C155" i="404" s="1"/>
  <c r="I151" i="404"/>
  <c r="H151" i="404"/>
  <c r="I150" i="404"/>
  <c r="H150" i="404"/>
  <c r="I146" i="404"/>
  <c r="G146" i="404"/>
  <c r="H146" i="404"/>
  <c r="C145" i="404" a="1"/>
  <c r="C145" i="404"/>
  <c r="C144" i="404" s="1"/>
  <c r="G143" i="404" a="1"/>
  <c r="G143" i="404" s="1"/>
  <c r="C143" i="404" a="1"/>
  <c r="C143" i="404"/>
  <c r="C142" i="404" a="1"/>
  <c r="C142" i="404"/>
  <c r="C141" i="404" a="1"/>
  <c r="C141" i="404" s="1"/>
  <c r="C140" i="404" a="1"/>
  <c r="C140" i="404"/>
  <c r="I138" i="404"/>
  <c r="H138" i="404"/>
  <c r="C137" i="404" a="1"/>
  <c r="C137" i="404"/>
  <c r="C136" i="404" a="1"/>
  <c r="C136" i="404"/>
  <c r="C135" i="404" a="1"/>
  <c r="C135" i="404"/>
  <c r="C134" i="404" a="1"/>
  <c r="C134" i="404"/>
  <c r="C133" i="404" a="1"/>
  <c r="C133" i="404"/>
  <c r="C132" i="404" a="1"/>
  <c r="C132" i="404" s="1"/>
  <c r="C131" i="404" a="1"/>
  <c r="C131" i="404"/>
  <c r="C130" i="404" a="1"/>
  <c r="C130" i="404"/>
  <c r="C129" i="404" a="1"/>
  <c r="C129" i="404"/>
  <c r="C128" i="404" a="1"/>
  <c r="C128" i="404"/>
  <c r="C127" i="404" a="1"/>
  <c r="C127" i="404"/>
  <c r="C126" i="404" a="1"/>
  <c r="C126" i="404"/>
  <c r="C125" i="404" a="1"/>
  <c r="C125" i="404"/>
  <c r="C124" i="404" a="1"/>
  <c r="C124" i="404" s="1"/>
  <c r="C123" i="404" a="1"/>
  <c r="C123" i="404"/>
  <c r="C122" i="404" a="1"/>
  <c r="C122" i="404"/>
  <c r="C121" i="404" a="1"/>
  <c r="C121" i="404"/>
  <c r="C120" i="404" a="1"/>
  <c r="C120" i="404"/>
  <c r="C119" i="404" a="1"/>
  <c r="C119" i="404"/>
  <c r="C118" i="404" a="1"/>
  <c r="C118" i="404"/>
  <c r="C117" i="404" a="1"/>
  <c r="C117" i="404"/>
  <c r="C116" i="404" a="1"/>
  <c r="C116" i="404" s="1"/>
  <c r="C115" i="404" a="1"/>
  <c r="C115" i="404"/>
  <c r="C114" i="404" a="1"/>
  <c r="C114" i="404"/>
  <c r="C113" i="404" a="1"/>
  <c r="C113" i="404"/>
  <c r="C112" i="404" a="1"/>
  <c r="C112" i="404"/>
  <c r="C111" i="404" a="1"/>
  <c r="C111" i="404"/>
  <c r="C110" i="404" a="1"/>
  <c r="C110" i="404"/>
  <c r="C109" i="404" a="1"/>
  <c r="C109" i="404"/>
  <c r="C108" i="404" a="1"/>
  <c r="C108" i="404" s="1"/>
  <c r="C107" i="404" a="1"/>
  <c r="C107" i="404"/>
  <c r="C106" i="404" a="1"/>
  <c r="C106" i="404"/>
  <c r="C105" i="404" a="1"/>
  <c r="C105" i="404"/>
  <c r="C104" i="404" a="1"/>
  <c r="C104" i="404"/>
  <c r="C103" i="404" a="1"/>
  <c r="C103" i="404"/>
  <c r="C102" i="404" a="1"/>
  <c r="C102" i="404"/>
  <c r="C101" i="404" a="1"/>
  <c r="C101" i="404"/>
  <c r="C100" i="404" a="1"/>
  <c r="C100" i="404" s="1"/>
  <c r="C99" i="404" a="1"/>
  <c r="C99" i="404"/>
  <c r="C98" i="404" a="1"/>
  <c r="C98" i="404"/>
  <c r="C97" i="404" a="1"/>
  <c r="C97" i="404"/>
  <c r="C96" i="404" a="1"/>
  <c r="C96" i="404"/>
  <c r="C95" i="404" a="1"/>
  <c r="C95" i="404"/>
  <c r="C94" i="404" a="1"/>
  <c r="C94" i="404"/>
  <c r="C93" i="404" a="1"/>
  <c r="C93" i="404"/>
  <c r="C92" i="404" a="1"/>
  <c r="C92" i="404" s="1"/>
  <c r="C91" i="404" a="1"/>
  <c r="C91" i="404"/>
  <c r="C90" i="404" a="1"/>
  <c r="C90" i="404"/>
  <c r="C89" i="404" a="1"/>
  <c r="C89" i="404"/>
  <c r="C88" i="404" a="1"/>
  <c r="C88" i="404"/>
  <c r="C87" i="404" a="1"/>
  <c r="C87" i="404"/>
  <c r="C86" i="404" a="1"/>
  <c r="C86" i="404"/>
  <c r="C85" i="404" a="1"/>
  <c r="C85" i="404"/>
  <c r="C84" i="404" a="1"/>
  <c r="C84" i="404" s="1"/>
  <c r="C83" i="404" a="1"/>
  <c r="C83" i="404"/>
  <c r="C82" i="404" a="1"/>
  <c r="C82" i="404"/>
  <c r="C81" i="404" a="1"/>
  <c r="C81" i="404"/>
  <c r="C80" i="404" a="1"/>
  <c r="C80" i="404"/>
  <c r="C79" i="404" a="1"/>
  <c r="C79" i="404"/>
  <c r="C74" i="404" a="1"/>
  <c r="C74" i="404"/>
  <c r="C73" i="404" a="1"/>
  <c r="C73" i="404"/>
  <c r="C72" i="404" a="1"/>
  <c r="C72" i="404" s="1"/>
  <c r="C71" i="404" a="1"/>
  <c r="C71" i="404"/>
  <c r="C70" i="404" a="1"/>
  <c r="C70" i="404"/>
  <c r="C69" i="404" a="1"/>
  <c r="C69" i="404"/>
  <c r="C68" i="404" a="1"/>
  <c r="C68" i="404"/>
  <c r="C67" i="404" a="1"/>
  <c r="C67" i="404" s="1"/>
  <c r="C66" i="404" a="1"/>
  <c r="C66" i="404"/>
  <c r="C65" i="404" a="1"/>
  <c r="C65" i="404"/>
  <c r="C64" i="404" a="1"/>
  <c r="C64" i="404" s="1"/>
  <c r="C63" i="404" a="1"/>
  <c r="C63" i="404"/>
  <c r="C62" i="404" a="1"/>
  <c r="C62" i="404"/>
  <c r="C61" i="404" a="1"/>
  <c r="C61" i="404"/>
  <c r="C60" i="404" a="1"/>
  <c r="C60" i="404"/>
  <c r="C59" i="404" a="1"/>
  <c r="C59" i="404" s="1"/>
  <c r="C58" i="404" a="1"/>
  <c r="C58" i="404"/>
  <c r="C57" i="404" a="1"/>
  <c r="C57" i="404"/>
  <c r="C56" i="404" a="1"/>
  <c r="C56" i="404" s="1"/>
  <c r="C55" i="404" a="1"/>
  <c r="C55" i="404"/>
  <c r="C54" i="404" a="1"/>
  <c r="C54" i="404"/>
  <c r="C53" i="404" a="1"/>
  <c r="C53" i="404"/>
  <c r="C52" i="404" a="1"/>
  <c r="C52" i="404"/>
  <c r="I46" i="404"/>
  <c r="G46" i="404" a="1"/>
  <c r="G46" i="404" s="1"/>
  <c r="C45" i="404" a="1"/>
  <c r="C45" i="404"/>
  <c r="C44" i="404" a="1"/>
  <c r="C44" i="404"/>
  <c r="C43" i="404" a="1"/>
  <c r="C43" i="404" s="1"/>
  <c r="C42" i="404" a="1"/>
  <c r="C42" i="404"/>
  <c r="C41" i="404" a="1"/>
  <c r="C41" i="404"/>
  <c r="C40" i="404" a="1"/>
  <c r="C40" i="404"/>
  <c r="C39" i="404" a="1"/>
  <c r="C39" i="404"/>
  <c r="C38" i="404" a="1"/>
  <c r="C38" i="404" s="1"/>
  <c r="C37" i="404" a="1"/>
  <c r="C37" i="404"/>
  <c r="C35" i="404" a="1"/>
  <c r="C35" i="404"/>
  <c r="C34" i="404" a="1"/>
  <c r="C34" i="404" s="1"/>
  <c r="C33" i="404" a="1"/>
  <c r="C33" i="404"/>
  <c r="C31" i="404" a="1"/>
  <c r="C31" i="404"/>
  <c r="C30" i="404" a="1"/>
  <c r="C30" i="404"/>
  <c r="C28" i="404" a="1"/>
  <c r="C28" i="404"/>
  <c r="C26" i="404" a="1"/>
  <c r="C26" i="404" s="1"/>
  <c r="C23" i="404" a="1"/>
  <c r="C23" i="404"/>
  <c r="C22" i="404" a="1"/>
  <c r="C22" i="404"/>
  <c r="C20" i="404" a="1"/>
  <c r="C20" i="404" s="1"/>
  <c r="C18" i="404" a="1"/>
  <c r="C18" i="404"/>
  <c r="C17" i="404" a="1"/>
  <c r="C17" i="404" s="1"/>
  <c r="C16" i="404" a="1"/>
  <c r="C16" i="404" s="1"/>
  <c r="C14" i="404" a="1"/>
  <c r="C14" i="404"/>
  <c r="C13" i="404" a="1"/>
  <c r="C13" i="404" s="1"/>
  <c r="C12" i="404" a="1"/>
  <c r="C12" i="404" s="1"/>
  <c r="C10" i="404" a="1"/>
  <c r="C10" i="404" s="1"/>
  <c r="E7" i="404"/>
  <c r="E175" i="404" s="1" a="1"/>
  <c r="E175" i="404" s="1"/>
  <c r="A4" i="404"/>
  <c r="A3" i="404"/>
  <c r="F61" i="404" a="1"/>
  <c r="F61" i="404" s="1"/>
  <c r="I183" i="403"/>
  <c r="H183" i="403"/>
  <c r="I182" i="403"/>
  <c r="H182" i="403"/>
  <c r="I181" i="403"/>
  <c r="H181" i="403"/>
  <c r="I180" i="403"/>
  <c r="H180" i="403"/>
  <c r="C175" i="403" a="1"/>
  <c r="C175" i="403"/>
  <c r="C177" i="403" s="1"/>
  <c r="I169" i="403"/>
  <c r="H169" i="403"/>
  <c r="I168" i="403"/>
  <c r="H168" i="403"/>
  <c r="C163" i="403" a="1"/>
  <c r="C163" i="403" s="1"/>
  <c r="C162" i="403" a="1"/>
  <c r="C162" i="403" s="1"/>
  <c r="C161" i="403" a="1"/>
  <c r="C161" i="403"/>
  <c r="C160" i="403" a="1"/>
  <c r="C160" i="403" s="1"/>
  <c r="C159" i="403" a="1"/>
  <c r="C159" i="403" s="1"/>
  <c r="C158" i="403" a="1"/>
  <c r="C158" i="403" s="1"/>
  <c r="C157" i="403" a="1"/>
  <c r="C157" i="403" s="1"/>
  <c r="C156" i="403" a="1"/>
  <c r="C156" i="403"/>
  <c r="C155" i="403" a="1"/>
  <c r="C155" i="403" s="1"/>
  <c r="I151" i="403"/>
  <c r="H151" i="403"/>
  <c r="I150" i="403"/>
  <c r="H150" i="403"/>
  <c r="I146" i="403"/>
  <c r="G146" i="403"/>
  <c r="H146" i="403"/>
  <c r="C145" i="403" a="1"/>
  <c r="C145" i="403"/>
  <c r="C144" i="403" s="1"/>
  <c r="G143" i="403" a="1"/>
  <c r="G143" i="403" s="1"/>
  <c r="C143" i="403" a="1"/>
  <c r="C143" i="403" s="1"/>
  <c r="C142" i="403" a="1"/>
  <c r="C142" i="403" s="1"/>
  <c r="C141" i="403" a="1"/>
  <c r="C141" i="403" s="1"/>
  <c r="C140" i="403" a="1"/>
  <c r="C140" i="403" s="1"/>
  <c r="I138" i="403"/>
  <c r="H138" i="403"/>
  <c r="C137" i="403" a="1"/>
  <c r="C137" i="403" s="1"/>
  <c r="C136" i="403" a="1"/>
  <c r="C136" i="403" s="1"/>
  <c r="C135" i="403" a="1"/>
  <c r="C135" i="403" s="1"/>
  <c r="C134" i="403" a="1"/>
  <c r="C134" i="403" s="1"/>
  <c r="C133" i="403" a="1"/>
  <c r="C133" i="403" s="1"/>
  <c r="C132" i="403" a="1"/>
  <c r="C132" i="403"/>
  <c r="C131" i="403" a="1"/>
  <c r="C131" i="403" s="1"/>
  <c r="C130" i="403" a="1"/>
  <c r="C130" i="403"/>
  <c r="C129" i="403" a="1"/>
  <c r="C129" i="403"/>
  <c r="C128" i="403" a="1"/>
  <c r="C128" i="403"/>
  <c r="C127" i="403" a="1"/>
  <c r="C127" i="403"/>
  <c r="C126" i="403" a="1"/>
  <c r="C126" i="403" s="1"/>
  <c r="C125" i="403" a="1"/>
  <c r="C125" i="403" s="1"/>
  <c r="C124" i="403" a="1"/>
  <c r="C124" i="403" s="1"/>
  <c r="C123" i="403" a="1"/>
  <c r="C123" i="403" s="1"/>
  <c r="C122" i="403" a="1"/>
  <c r="C122" i="403" s="1"/>
  <c r="C121" i="403" a="1"/>
  <c r="C121" i="403"/>
  <c r="C120" i="403" a="1"/>
  <c r="C120" i="403" s="1"/>
  <c r="C119" i="403" a="1"/>
  <c r="C119" i="403" s="1"/>
  <c r="C118" i="403" a="1"/>
  <c r="C118" i="403" s="1"/>
  <c r="C117" i="403" a="1"/>
  <c r="C117" i="403"/>
  <c r="C116" i="403" a="1"/>
  <c r="C116" i="403" s="1"/>
  <c r="C115" i="403" a="1"/>
  <c r="C115" i="403"/>
  <c r="C114" i="403" a="1"/>
  <c r="C114" i="403" s="1"/>
  <c r="C113" i="403" a="1"/>
  <c r="C113" i="403"/>
  <c r="C112" i="403" a="1"/>
  <c r="C112" i="403"/>
  <c r="C111" i="403" a="1"/>
  <c r="C111" i="403"/>
  <c r="C110" i="403" a="1"/>
  <c r="C110" i="403" s="1"/>
  <c r="C109" i="403" a="1"/>
  <c r="C109" i="403" s="1"/>
  <c r="C108" i="403" a="1"/>
  <c r="C108" i="403" s="1"/>
  <c r="C107" i="403" a="1"/>
  <c r="C107" i="403" s="1"/>
  <c r="C106" i="403" a="1"/>
  <c r="C106" i="403" s="1"/>
  <c r="C105" i="403" a="1"/>
  <c r="C105" i="403" s="1"/>
  <c r="C104" i="403" a="1"/>
  <c r="C104" i="403"/>
  <c r="C103" i="403" a="1"/>
  <c r="C103" i="403" s="1"/>
  <c r="C102" i="403" a="1"/>
  <c r="C102" i="403" s="1"/>
  <c r="C101" i="403" a="1"/>
  <c r="C101" i="403"/>
  <c r="C100" i="403" a="1"/>
  <c r="C100" i="403"/>
  <c r="C99" i="403" a="1"/>
  <c r="C99" i="403" s="1"/>
  <c r="C98" i="403" a="1"/>
  <c r="C98" i="403"/>
  <c r="C97" i="403" a="1"/>
  <c r="C97" i="403" s="1"/>
  <c r="C96" i="403" a="1"/>
  <c r="C96" i="403"/>
  <c r="C95" i="403" a="1"/>
  <c r="C95" i="403"/>
  <c r="C94" i="403" a="1"/>
  <c r="C94" i="403" s="1"/>
  <c r="C93" i="403" a="1"/>
  <c r="C93" i="403" s="1"/>
  <c r="C92" i="403" a="1"/>
  <c r="C92" i="403" s="1"/>
  <c r="C91" i="403" a="1"/>
  <c r="C91" i="403" s="1"/>
  <c r="C90" i="403" a="1"/>
  <c r="C90" i="403" s="1"/>
  <c r="C89" i="403" a="1"/>
  <c r="C89" i="403" s="1"/>
  <c r="C88" i="403" a="1"/>
  <c r="C88" i="403" s="1"/>
  <c r="C87" i="403" a="1"/>
  <c r="C87" i="403"/>
  <c r="C86" i="403" a="1"/>
  <c r="C86" i="403" s="1"/>
  <c r="C85" i="403" a="1"/>
  <c r="C85" i="403"/>
  <c r="C84" i="403" a="1"/>
  <c r="C84" i="403"/>
  <c r="C83" i="403" a="1"/>
  <c r="C83" i="403"/>
  <c r="C82" i="403" a="1"/>
  <c r="C82" i="403" s="1"/>
  <c r="C81" i="403" a="1"/>
  <c r="C81" i="403"/>
  <c r="C80" i="403" a="1"/>
  <c r="C80" i="403" s="1"/>
  <c r="C79" i="403" a="1"/>
  <c r="C79" i="403"/>
  <c r="C74" i="403" a="1"/>
  <c r="C74" i="403" s="1"/>
  <c r="C73" i="403" a="1"/>
  <c r="C73" i="403" s="1"/>
  <c r="C72" i="403" a="1"/>
  <c r="C72" i="403" s="1"/>
  <c r="C71" i="403" a="1"/>
  <c r="C71" i="403" s="1"/>
  <c r="C70" i="403" a="1"/>
  <c r="C70" i="403" s="1"/>
  <c r="C69" i="403" a="1"/>
  <c r="C69" i="403" s="1"/>
  <c r="C68" i="403" a="1"/>
  <c r="C68" i="403" s="1"/>
  <c r="C67" i="403" a="1"/>
  <c r="C67" i="403" s="1"/>
  <c r="C66" i="403" a="1"/>
  <c r="C66" i="403" s="1"/>
  <c r="C65" i="403" a="1"/>
  <c r="C65" i="403"/>
  <c r="C64" i="403" a="1"/>
  <c r="C64" i="403"/>
  <c r="C63" i="403" a="1"/>
  <c r="C63" i="403"/>
  <c r="C62" i="403" a="1"/>
  <c r="C62" i="403"/>
  <c r="C61" i="403" a="1"/>
  <c r="C61" i="403" s="1"/>
  <c r="C60" i="403" a="1"/>
  <c r="C60" i="403"/>
  <c r="C59" i="403" a="1"/>
  <c r="C59" i="403" s="1"/>
  <c r="C58" i="403" a="1"/>
  <c r="C58" i="403" s="1"/>
  <c r="C57" i="403" a="1"/>
  <c r="C57" i="403"/>
  <c r="C56" i="403" a="1"/>
  <c r="C56" i="403" s="1"/>
  <c r="C55" i="403" a="1"/>
  <c r="C55" i="403" s="1"/>
  <c r="C54" i="403" a="1"/>
  <c r="C54" i="403" s="1"/>
  <c r="C53" i="403" a="1"/>
  <c r="C53" i="403" s="1"/>
  <c r="C52" i="403" a="1"/>
  <c r="C52" i="403" s="1"/>
  <c r="I46" i="403"/>
  <c r="G46" i="403" a="1"/>
  <c r="G46" i="403" s="1"/>
  <c r="C45" i="403" a="1"/>
  <c r="C45" i="403" s="1"/>
  <c r="C44" i="403" a="1"/>
  <c r="C44" i="403"/>
  <c r="C43" i="403" a="1"/>
  <c r="C43" i="403"/>
  <c r="C42" i="403" a="1"/>
  <c r="C42" i="403"/>
  <c r="C41" i="403" a="1"/>
  <c r="C41" i="403"/>
  <c r="C40" i="403" a="1"/>
  <c r="C40" i="403"/>
  <c r="C39" i="403" a="1"/>
  <c r="C39" i="403" s="1"/>
  <c r="C38" i="403" a="1"/>
  <c r="C38" i="403"/>
  <c r="C37" i="403" a="1"/>
  <c r="C37" i="403" s="1"/>
  <c r="C35" i="403" a="1"/>
  <c r="C35" i="403" s="1"/>
  <c r="C34" i="403" a="1"/>
  <c r="C34" i="403"/>
  <c r="C33" i="403" a="1"/>
  <c r="C33" i="403" s="1"/>
  <c r="C31" i="403" a="1"/>
  <c r="C31" i="403" s="1"/>
  <c r="C30" i="403" a="1"/>
  <c r="C30" i="403" s="1"/>
  <c r="C28" i="403" a="1"/>
  <c r="C28" i="403" s="1"/>
  <c r="C26" i="403" a="1"/>
  <c r="C26" i="403" s="1"/>
  <c r="C23" i="403" a="1"/>
  <c r="C23" i="403" s="1"/>
  <c r="C22" i="403" a="1"/>
  <c r="C22" i="403" s="1"/>
  <c r="C20" i="403" a="1"/>
  <c r="C20" i="403"/>
  <c r="C18" i="403" a="1"/>
  <c r="C18" i="403"/>
  <c r="C17" i="403" a="1"/>
  <c r="C17" i="403"/>
  <c r="C16" i="403" a="1"/>
  <c r="C16" i="403"/>
  <c r="C14" i="403" a="1"/>
  <c r="C14" i="403"/>
  <c r="C13" i="403" a="1"/>
  <c r="C13" i="403" s="1"/>
  <c r="C12" i="403" a="1"/>
  <c r="C12" i="403" s="1"/>
  <c r="C10" i="403" a="1"/>
  <c r="C10" i="403" s="1"/>
  <c r="E7" i="403"/>
  <c r="E100" i="403" s="1" a="1"/>
  <c r="E100" i="403" s="1"/>
  <c r="A4" i="403"/>
  <c r="A3" i="403"/>
  <c r="I183" i="402"/>
  <c r="H183" i="402"/>
  <c r="I182" i="402"/>
  <c r="H182" i="402"/>
  <c r="I181" i="402"/>
  <c r="H181" i="402"/>
  <c r="I180" i="402"/>
  <c r="H180" i="402"/>
  <c r="C175" i="402" a="1"/>
  <c r="C175" i="402" s="1"/>
  <c r="C177" i="402" s="1"/>
  <c r="I169" i="402"/>
  <c r="H169" i="402"/>
  <c r="I168" i="402"/>
  <c r="H168" i="402"/>
  <c r="C163" i="402" a="1"/>
  <c r="C163" i="402"/>
  <c r="C162" i="402" a="1"/>
  <c r="C162" i="402" s="1"/>
  <c r="C161" i="402" a="1"/>
  <c r="C161" i="402" s="1"/>
  <c r="C160" i="402" a="1"/>
  <c r="C160" i="402" s="1"/>
  <c r="C159" i="402" a="1"/>
  <c r="C159" i="402" s="1"/>
  <c r="C158" i="402" a="1"/>
  <c r="C158" i="402"/>
  <c r="C157" i="402" a="1"/>
  <c r="C157" i="402" s="1"/>
  <c r="C156" i="402" a="1"/>
  <c r="C156" i="402" s="1"/>
  <c r="C155" i="402" a="1"/>
  <c r="C155" i="402"/>
  <c r="I151" i="402"/>
  <c r="H151" i="402"/>
  <c r="I150" i="402"/>
  <c r="H150" i="402"/>
  <c r="I146" i="402"/>
  <c r="G146" i="402"/>
  <c r="H146" i="402"/>
  <c r="C145" i="402" a="1"/>
  <c r="C145" i="402" s="1"/>
  <c r="C144" i="402" s="1"/>
  <c r="G143" i="402" a="1"/>
  <c r="G143" i="402" s="1"/>
  <c r="C143" i="402" a="1"/>
  <c r="C143" i="402" s="1"/>
  <c r="C142" i="402" a="1"/>
  <c r="C142" i="402" s="1"/>
  <c r="C141" i="402" a="1"/>
  <c r="C141" i="402" s="1"/>
  <c r="C140" i="402" a="1"/>
  <c r="C140" i="402" s="1"/>
  <c r="I138" i="402"/>
  <c r="H138" i="402"/>
  <c r="C137" i="402" a="1"/>
  <c r="C137" i="402" s="1"/>
  <c r="C136" i="402" a="1"/>
  <c r="C136" i="402" s="1"/>
  <c r="C135" i="402" a="1"/>
  <c r="C135" i="402" s="1"/>
  <c r="C134" i="402" a="1"/>
  <c r="C134" i="402"/>
  <c r="C133" i="402" a="1"/>
  <c r="C133" i="402" s="1"/>
  <c r="C132" i="402" a="1"/>
  <c r="C132" i="402"/>
  <c r="C131" i="402" a="1"/>
  <c r="C131" i="402"/>
  <c r="C130" i="402" a="1"/>
  <c r="C130" i="402"/>
  <c r="C129" i="402" a="1"/>
  <c r="C129" i="402"/>
  <c r="C128" i="402" a="1"/>
  <c r="C128" i="402" s="1"/>
  <c r="C127" i="402" a="1"/>
  <c r="C127" i="402" s="1"/>
  <c r="C126" i="402" a="1"/>
  <c r="C126" i="402" s="1"/>
  <c r="C125" i="402" a="1"/>
  <c r="C125" i="402" s="1"/>
  <c r="C124" i="402" a="1"/>
  <c r="C124" i="402" s="1"/>
  <c r="C123" i="402" a="1"/>
  <c r="C123" i="402" s="1"/>
  <c r="C122" i="402" a="1"/>
  <c r="C122" i="402" s="1"/>
  <c r="C121" i="402" a="1"/>
  <c r="C121" i="402" s="1"/>
  <c r="C120" i="402" a="1"/>
  <c r="C120" i="402" s="1"/>
  <c r="C119" i="402" a="1"/>
  <c r="C119" i="402"/>
  <c r="C118" i="402" a="1"/>
  <c r="C118" i="402" s="1"/>
  <c r="C117" i="402" a="1"/>
  <c r="C117" i="402"/>
  <c r="C116" i="402" a="1"/>
  <c r="C116" i="402" s="1"/>
  <c r="C115" i="402" a="1"/>
  <c r="C115" i="402"/>
  <c r="C114" i="402" a="1"/>
  <c r="C114" i="402"/>
  <c r="C113" i="402" a="1"/>
  <c r="C113" i="402"/>
  <c r="C112" i="402" a="1"/>
  <c r="C112" i="402" s="1"/>
  <c r="C111" i="402" a="1"/>
  <c r="C111" i="402" s="1"/>
  <c r="C110" i="402" a="1"/>
  <c r="C110" i="402" s="1"/>
  <c r="C109" i="402" a="1"/>
  <c r="C109" i="402" s="1"/>
  <c r="C108" i="402" a="1"/>
  <c r="C108" i="402" s="1"/>
  <c r="C107" i="402" a="1"/>
  <c r="C107" i="402" s="1"/>
  <c r="C106" i="402" a="1"/>
  <c r="C106" i="402" s="1"/>
  <c r="C105" i="402" a="1"/>
  <c r="C105" i="402" s="1"/>
  <c r="C104" i="402" a="1"/>
  <c r="C104" i="402" s="1"/>
  <c r="C103" i="402" a="1"/>
  <c r="C103" i="402"/>
  <c r="C102" i="402" a="1"/>
  <c r="C102" i="402"/>
  <c r="C101" i="402" a="1"/>
  <c r="C101" i="402" s="1"/>
  <c r="C100" i="402" a="1"/>
  <c r="C100" i="402"/>
  <c r="C99" i="402" a="1"/>
  <c r="C99" i="402" s="1"/>
  <c r="C98" i="402" a="1"/>
  <c r="C98" i="402"/>
  <c r="C97" i="402" a="1"/>
  <c r="C97" i="402"/>
  <c r="C96" i="402" a="1"/>
  <c r="C96" i="402" s="1"/>
  <c r="C95" i="402" a="1"/>
  <c r="C95" i="402" s="1"/>
  <c r="C94" i="402" a="1"/>
  <c r="C94" i="402" s="1"/>
  <c r="C93" i="402" a="1"/>
  <c r="C93" i="402" s="1"/>
  <c r="C92" i="402" a="1"/>
  <c r="C92" i="402" s="1"/>
  <c r="C91" i="402" a="1"/>
  <c r="C91" i="402" s="1"/>
  <c r="C90" i="402" a="1"/>
  <c r="C90" i="402" s="1"/>
  <c r="C89" i="402" a="1"/>
  <c r="C89" i="402" s="1"/>
  <c r="C88" i="402" a="1"/>
  <c r="C88" i="402" s="1"/>
  <c r="C87" i="402" a="1"/>
  <c r="C87" i="402"/>
  <c r="C86" i="402" a="1"/>
  <c r="C86" i="402"/>
  <c r="C85" i="402" a="1"/>
  <c r="C85" i="402"/>
  <c r="C84" i="402" a="1"/>
  <c r="C84" i="402" s="1"/>
  <c r="C83" i="402" a="1"/>
  <c r="C83" i="402"/>
  <c r="C82" i="402" a="1"/>
  <c r="C82" i="402" s="1"/>
  <c r="C81" i="402" a="1"/>
  <c r="C81" i="402"/>
  <c r="C80" i="402" a="1"/>
  <c r="C80" i="402"/>
  <c r="C79" i="402" a="1"/>
  <c r="C79" i="402"/>
  <c r="C74" i="402" a="1"/>
  <c r="C74" i="402"/>
  <c r="C73" i="402" a="1"/>
  <c r="C73" i="402"/>
  <c r="C72" i="402" a="1"/>
  <c r="C72" i="402" s="1"/>
  <c r="C71" i="402" a="1"/>
  <c r="C71" i="402"/>
  <c r="C70" i="402" a="1"/>
  <c r="C70" i="402" s="1"/>
  <c r="C69" i="402" a="1"/>
  <c r="C69" i="402"/>
  <c r="C68" i="402" a="1"/>
  <c r="C68" i="402"/>
  <c r="C67" i="402" a="1"/>
  <c r="C67" i="402" s="1"/>
  <c r="C66" i="402" a="1"/>
  <c r="C66" i="402"/>
  <c r="C65" i="402" a="1"/>
  <c r="C65" i="402"/>
  <c r="C64" i="402" a="1"/>
  <c r="C64" i="402" s="1"/>
  <c r="C63" i="402" a="1"/>
  <c r="C63" i="402"/>
  <c r="C62" i="402" a="1"/>
  <c r="C62" i="402" s="1"/>
  <c r="C61" i="402" a="1"/>
  <c r="C61" i="402"/>
  <c r="C60" i="402" a="1"/>
  <c r="C60" i="402"/>
  <c r="C59" i="402" a="1"/>
  <c r="C59" i="402" s="1"/>
  <c r="C58" i="402" a="1"/>
  <c r="C58" i="402"/>
  <c r="C57" i="402" a="1"/>
  <c r="C57" i="402"/>
  <c r="C56" i="402" a="1"/>
  <c r="C56" i="402" s="1"/>
  <c r="C55" i="402" a="1"/>
  <c r="C55" i="402"/>
  <c r="C54" i="402" a="1"/>
  <c r="C54" i="402" s="1"/>
  <c r="C53" i="402" a="1"/>
  <c r="C53" i="402"/>
  <c r="C52" i="402" a="1"/>
  <c r="C52" i="402"/>
  <c r="I46" i="402"/>
  <c r="G46" i="402" a="1"/>
  <c r="G46" i="402" s="1"/>
  <c r="C45" i="402" a="1"/>
  <c r="C45" i="402"/>
  <c r="C44" i="402" a="1"/>
  <c r="C44" i="402"/>
  <c r="C43" i="402" a="1"/>
  <c r="C43" i="402" s="1"/>
  <c r="C42" i="402" a="1"/>
  <c r="C42" i="402"/>
  <c r="C41" i="402" a="1"/>
  <c r="C41" i="402" s="1"/>
  <c r="C40" i="402" a="1"/>
  <c r="C40" i="402"/>
  <c r="C39" i="402" a="1"/>
  <c r="C39" i="402"/>
  <c r="C38" i="402" a="1"/>
  <c r="C38" i="402" s="1"/>
  <c r="C37" i="402" a="1"/>
  <c r="C37" i="402" s="1"/>
  <c r="C35" i="402" a="1"/>
  <c r="C35" i="402"/>
  <c r="C34" i="402" a="1"/>
  <c r="C34" i="402" s="1"/>
  <c r="C33" i="402" a="1"/>
  <c r="C33" i="402"/>
  <c r="C31" i="402" a="1"/>
  <c r="C31" i="402" s="1"/>
  <c r="C30" i="402" a="1"/>
  <c r="C30" i="402"/>
  <c r="C28" i="402" a="1"/>
  <c r="C28" i="402"/>
  <c r="C26" i="402" a="1"/>
  <c r="C26" i="402" s="1"/>
  <c r="C23" i="402" a="1"/>
  <c r="C23" i="402" s="1"/>
  <c r="C22" i="402" a="1"/>
  <c r="C22" i="402"/>
  <c r="C20" i="402" a="1"/>
  <c r="C20" i="402" s="1"/>
  <c r="C18" i="402" a="1"/>
  <c r="C18" i="402"/>
  <c r="C17" i="402" a="1"/>
  <c r="C17" i="402" s="1"/>
  <c r="C16" i="402" a="1"/>
  <c r="C16" i="402"/>
  <c r="C14" i="402" a="1"/>
  <c r="C14" i="402"/>
  <c r="C13" i="402" a="1"/>
  <c r="C13" i="402" s="1"/>
  <c r="C12" i="402" a="1"/>
  <c r="C12" i="402" s="1"/>
  <c r="C10" i="402" a="1"/>
  <c r="C10" i="402"/>
  <c r="E7" i="402"/>
  <c r="E58" i="402" s="1" a="1"/>
  <c r="E58" i="402" s="1"/>
  <c r="A4" i="402"/>
  <c r="A3" i="402"/>
  <c r="F81" i="402" a="1"/>
  <c r="F81" i="402" s="1"/>
  <c r="I183" i="394"/>
  <c r="H183" i="394"/>
  <c r="I182" i="394"/>
  <c r="H182" i="394"/>
  <c r="I181" i="394"/>
  <c r="H181" i="394"/>
  <c r="I180" i="394"/>
  <c r="H180" i="394"/>
  <c r="C175" i="394" a="1"/>
  <c r="C175" i="394"/>
  <c r="C177" i="394"/>
  <c r="I169" i="394"/>
  <c r="H169" i="394"/>
  <c r="I168" i="394"/>
  <c r="H168" i="394"/>
  <c r="C163" i="394" a="1"/>
  <c r="C163" i="394" s="1"/>
  <c r="C162" i="394" a="1"/>
  <c r="C162" i="394"/>
  <c r="C161" i="394" a="1"/>
  <c r="C161" i="394"/>
  <c r="C160" i="394" a="1"/>
  <c r="C160" i="394" s="1"/>
  <c r="C159" i="394" a="1"/>
  <c r="C159" i="394" s="1"/>
  <c r="C158" i="394" a="1"/>
  <c r="C158" i="394"/>
  <c r="C157" i="394" a="1"/>
  <c r="C157" i="394" s="1"/>
  <c r="C156" i="394" a="1"/>
  <c r="C156" i="394"/>
  <c r="C155" i="394" a="1"/>
  <c r="C155" i="394" s="1"/>
  <c r="I151" i="394"/>
  <c r="H151" i="394"/>
  <c r="I150" i="394"/>
  <c r="H150" i="394"/>
  <c r="I146" i="394"/>
  <c r="G146" i="394"/>
  <c r="H146" i="394"/>
  <c r="C145" i="394" a="1"/>
  <c r="C145" i="394"/>
  <c r="C144" i="394"/>
  <c r="G143" i="394" a="1"/>
  <c r="G143" i="394" s="1"/>
  <c r="C143" i="394" a="1"/>
  <c r="C143" i="394"/>
  <c r="C142" i="394" a="1"/>
  <c r="C142" i="394"/>
  <c r="C141" i="394" a="1"/>
  <c r="C141" i="394"/>
  <c r="C140" i="394" a="1"/>
  <c r="C140" i="394"/>
  <c r="I138" i="394"/>
  <c r="H138" i="394"/>
  <c r="C137" i="394" a="1"/>
  <c r="C137" i="394"/>
  <c r="C136" i="394" a="1"/>
  <c r="C136" i="394"/>
  <c r="C135" i="394" a="1"/>
  <c r="C135" i="394" s="1"/>
  <c r="C134" i="394" a="1"/>
  <c r="C134" i="394"/>
  <c r="C133" i="394" a="1"/>
  <c r="C133" i="394"/>
  <c r="C132" i="394" a="1"/>
  <c r="C132" i="394"/>
  <c r="C131" i="394" a="1"/>
  <c r="C131" i="394"/>
  <c r="C130" i="394" a="1"/>
  <c r="C130" i="394" s="1"/>
  <c r="C129" i="394" a="1"/>
  <c r="C129" i="394"/>
  <c r="C128" i="394" a="1"/>
  <c r="C128" i="394" s="1"/>
  <c r="C127" i="394" a="1"/>
  <c r="C127" i="394" s="1"/>
  <c r="C126" i="394" a="1"/>
  <c r="C126" i="394"/>
  <c r="C125" i="394" a="1"/>
  <c r="C125" i="394"/>
  <c r="C124" i="394" a="1"/>
  <c r="C124" i="394"/>
  <c r="C123" i="394" a="1"/>
  <c r="C123" i="394"/>
  <c r="C122" i="394" a="1"/>
  <c r="C122" i="394" s="1"/>
  <c r="C121" i="394" a="1"/>
  <c r="C121" i="394"/>
  <c r="C120" i="394" a="1"/>
  <c r="C120" i="394" s="1"/>
  <c r="C119" i="394" a="1"/>
  <c r="C119" i="394" s="1"/>
  <c r="C118" i="394" a="1"/>
  <c r="C118" i="394"/>
  <c r="C117" i="394" a="1"/>
  <c r="C117" i="394"/>
  <c r="C116" i="394" a="1"/>
  <c r="C116" i="394"/>
  <c r="C115" i="394" a="1"/>
  <c r="C115" i="394"/>
  <c r="C114" i="394" a="1"/>
  <c r="C114" i="394" s="1"/>
  <c r="C113" i="394" a="1"/>
  <c r="C113" i="394"/>
  <c r="C112" i="394" a="1"/>
  <c r="C112" i="394" s="1"/>
  <c r="C111" i="394" a="1"/>
  <c r="C111" i="394" s="1"/>
  <c r="C110" i="394" a="1"/>
  <c r="C110" i="394"/>
  <c r="C109" i="394" a="1"/>
  <c r="C109" i="394"/>
  <c r="C108" i="394" a="1"/>
  <c r="C108" i="394"/>
  <c r="C107" i="394" a="1"/>
  <c r="C107" i="394"/>
  <c r="C106" i="394" a="1"/>
  <c r="C106" i="394" s="1"/>
  <c r="C105" i="394" a="1"/>
  <c r="C105" i="394" s="1"/>
  <c r="C104" i="394" a="1"/>
  <c r="C104" i="394" s="1"/>
  <c r="C103" i="394" a="1"/>
  <c r="C103" i="394" s="1"/>
  <c r="C102" i="394" a="1"/>
  <c r="C102" i="394"/>
  <c r="C101" i="394" a="1"/>
  <c r="C101" i="394"/>
  <c r="C100" i="394" a="1"/>
  <c r="C100" i="394" s="1"/>
  <c r="C99" i="394" a="1"/>
  <c r="C99" i="394"/>
  <c r="C98" i="394" a="1"/>
  <c r="C98" i="394" s="1"/>
  <c r="C97" i="394" a="1"/>
  <c r="C97" i="394" s="1"/>
  <c r="C96" i="394" a="1"/>
  <c r="C96" i="394" s="1"/>
  <c r="C95" i="394" a="1"/>
  <c r="C95" i="394" s="1"/>
  <c r="C94" i="394" a="1"/>
  <c r="C94" i="394" s="1"/>
  <c r="C93" i="394" a="1"/>
  <c r="C93" i="394"/>
  <c r="C92" i="394" a="1"/>
  <c r="C92" i="394" s="1"/>
  <c r="C91" i="394" a="1"/>
  <c r="C91" i="394"/>
  <c r="C90" i="394" a="1"/>
  <c r="C90" i="394" s="1"/>
  <c r="C89" i="394" a="1"/>
  <c r="C89" i="394" s="1"/>
  <c r="C88" i="394" a="1"/>
  <c r="C88" i="394" s="1"/>
  <c r="C87" i="394" a="1"/>
  <c r="C87" i="394" s="1"/>
  <c r="C86" i="394" a="1"/>
  <c r="C86" i="394" s="1"/>
  <c r="C85" i="394" a="1"/>
  <c r="C85" i="394"/>
  <c r="C84" i="394" a="1"/>
  <c r="C84" i="394" s="1"/>
  <c r="C83" i="394" a="1"/>
  <c r="C83" i="394" s="1"/>
  <c r="C82" i="394" a="1"/>
  <c r="C82" i="394" s="1"/>
  <c r="C81" i="394" a="1"/>
  <c r="C81" i="394" s="1"/>
  <c r="C80" i="394" a="1"/>
  <c r="C80" i="394" s="1"/>
  <c r="C79" i="394" a="1"/>
  <c r="C79" i="394" s="1"/>
  <c r="C74" i="394" a="1"/>
  <c r="C74" i="394" s="1"/>
  <c r="C73" i="394" a="1"/>
  <c r="C73" i="394"/>
  <c r="C72" i="394" a="1"/>
  <c r="C72" i="394" s="1"/>
  <c r="C71" i="394" a="1"/>
  <c r="C71" i="394" s="1"/>
  <c r="C70" i="394" a="1"/>
  <c r="C70" i="394" s="1"/>
  <c r="C69" i="394" a="1"/>
  <c r="C69" i="394" s="1"/>
  <c r="C68" i="394" a="1"/>
  <c r="C68" i="394" s="1"/>
  <c r="C67" i="394" a="1"/>
  <c r="C67" i="394" s="1"/>
  <c r="C66" i="394" a="1"/>
  <c r="C66" i="394" s="1"/>
  <c r="C65" i="394" a="1"/>
  <c r="C65" i="394"/>
  <c r="C64" i="394" a="1"/>
  <c r="C64" i="394" s="1"/>
  <c r="C63" i="394" a="1"/>
  <c r="C63" i="394" s="1"/>
  <c r="C62" i="394" a="1"/>
  <c r="C62" i="394" s="1"/>
  <c r="C61" i="394" a="1"/>
  <c r="C61" i="394" s="1"/>
  <c r="C60" i="394" a="1"/>
  <c r="C60" i="394" s="1"/>
  <c r="C59" i="394" a="1"/>
  <c r="C59" i="394" s="1"/>
  <c r="C58" i="394" a="1"/>
  <c r="C58" i="394" s="1"/>
  <c r="C57" i="394" a="1"/>
  <c r="C57" i="394" s="1"/>
  <c r="C56" i="394" a="1"/>
  <c r="C56" i="394" s="1"/>
  <c r="C55" i="394" a="1"/>
  <c r="C55" i="394" s="1"/>
  <c r="C54" i="394" a="1"/>
  <c r="C54" i="394" s="1"/>
  <c r="C53" i="394" a="1"/>
  <c r="C53" i="394" s="1"/>
  <c r="C52" i="394" a="1"/>
  <c r="C52" i="394" s="1"/>
  <c r="I46" i="394"/>
  <c r="G46" i="394" a="1"/>
  <c r="G46" i="394" s="1"/>
  <c r="C45" i="394" a="1"/>
  <c r="C45" i="394" s="1"/>
  <c r="C44" i="394" a="1"/>
  <c r="C44" i="394" s="1"/>
  <c r="C43" i="394" a="1"/>
  <c r="C43" i="394" s="1"/>
  <c r="C42" i="394" a="1"/>
  <c r="C42" i="394" s="1"/>
  <c r="C41" i="394" a="1"/>
  <c r="C41" i="394" s="1"/>
  <c r="C40" i="394" a="1"/>
  <c r="C40" i="394" s="1"/>
  <c r="C39" i="394" a="1"/>
  <c r="C39" i="394" s="1"/>
  <c r="C38" i="394" a="1"/>
  <c r="C38" i="394" s="1"/>
  <c r="C37" i="394" a="1"/>
  <c r="C37" i="394" s="1"/>
  <c r="C35" i="394" a="1"/>
  <c r="C35" i="394" s="1"/>
  <c r="C34" i="394" a="1"/>
  <c r="C34" i="394" s="1"/>
  <c r="C33" i="394" a="1"/>
  <c r="C33" i="394" s="1"/>
  <c r="C31" i="394" a="1"/>
  <c r="C31" i="394" s="1"/>
  <c r="C30" i="394" a="1"/>
  <c r="C30" i="394" s="1"/>
  <c r="C28" i="394" a="1"/>
  <c r="C28" i="394" s="1"/>
  <c r="C26" i="394" a="1"/>
  <c r="C26" i="394" s="1"/>
  <c r="C23" i="394" a="1"/>
  <c r="C23" i="394" s="1"/>
  <c r="C22" i="394" a="1"/>
  <c r="C22" i="394" s="1"/>
  <c r="C20" i="394" a="1"/>
  <c r="C20" i="394" s="1"/>
  <c r="C18" i="394" a="1"/>
  <c r="C18" i="394" s="1"/>
  <c r="C17" i="394" a="1"/>
  <c r="C17" i="394" s="1"/>
  <c r="C16" i="394" a="1"/>
  <c r="C16" i="394" s="1"/>
  <c r="C14" i="394" a="1"/>
  <c r="C14" i="394" s="1"/>
  <c r="C13" i="394" a="1"/>
  <c r="C13" i="394" s="1"/>
  <c r="C12" i="394" a="1"/>
  <c r="C12" i="394" s="1"/>
  <c r="C10" i="394" a="1"/>
  <c r="C10" i="394" s="1"/>
  <c r="E7" i="394"/>
  <c r="E134" i="394" s="1" a="1"/>
  <c r="E134" i="394" s="1"/>
  <c r="A4" i="394"/>
  <c r="A3" i="394"/>
  <c r="D7" i="394"/>
  <c r="I183" i="401"/>
  <c r="H183" i="401"/>
  <c r="I182" i="401"/>
  <c r="H182" i="401"/>
  <c r="I181" i="401"/>
  <c r="H181" i="401"/>
  <c r="I180" i="401"/>
  <c r="H180" i="401"/>
  <c r="C175" i="401" a="1"/>
  <c r="C175" i="401"/>
  <c r="C177" i="401" s="1"/>
  <c r="I169" i="401"/>
  <c r="H169" i="401"/>
  <c r="I168" i="401"/>
  <c r="H168" i="401"/>
  <c r="C163" i="401" a="1"/>
  <c r="C163" i="401" s="1"/>
  <c r="C162" i="401" a="1"/>
  <c r="C162" i="401" s="1"/>
  <c r="C161" i="401" a="1"/>
  <c r="C161" i="401" s="1"/>
  <c r="C160" i="401" a="1"/>
  <c r="C160" i="401" s="1"/>
  <c r="C159" i="401" a="1"/>
  <c r="C159" i="401" s="1"/>
  <c r="C158" i="401" a="1"/>
  <c r="C158" i="401" s="1"/>
  <c r="C157" i="401" a="1"/>
  <c r="C157" i="401" s="1"/>
  <c r="C156" i="401" a="1"/>
  <c r="C156" i="401" s="1"/>
  <c r="C155" i="401" a="1"/>
  <c r="C155" i="401" s="1"/>
  <c r="I151" i="401"/>
  <c r="H151" i="401"/>
  <c r="I150" i="401"/>
  <c r="H150" i="401"/>
  <c r="I146" i="401"/>
  <c r="G146" i="401"/>
  <c r="H146" i="401"/>
  <c r="C145" i="401" a="1"/>
  <c r="C145" i="401"/>
  <c r="C144" i="401" s="1"/>
  <c r="G143" i="401" a="1"/>
  <c r="G143" i="401" s="1"/>
  <c r="C143" i="401" a="1"/>
  <c r="C143" i="401"/>
  <c r="C142" i="401" a="1"/>
  <c r="C142" i="401"/>
  <c r="C141" i="401" a="1"/>
  <c r="C141" i="401"/>
  <c r="C140" i="401" a="1"/>
  <c r="C140" i="401"/>
  <c r="I138" i="401"/>
  <c r="H138" i="401"/>
  <c r="C137" i="401" a="1"/>
  <c r="C137" i="401"/>
  <c r="C136" i="401" a="1"/>
  <c r="C136" i="401"/>
  <c r="C135" i="401" a="1"/>
  <c r="C135" i="401" s="1"/>
  <c r="C134" i="401" a="1"/>
  <c r="C134" i="401"/>
  <c r="C133" i="401" a="1"/>
  <c r="C133" i="401"/>
  <c r="C132" i="401" a="1"/>
  <c r="C132" i="401"/>
  <c r="C131" i="401" a="1"/>
  <c r="C131" i="401"/>
  <c r="C130" i="401" a="1"/>
  <c r="C130" i="401"/>
  <c r="C129" i="401" a="1"/>
  <c r="C129" i="401"/>
  <c r="C128" i="401" a="1"/>
  <c r="C128" i="401"/>
  <c r="C127" i="401" a="1"/>
  <c r="C127" i="401" s="1"/>
  <c r="C126" i="401" a="1"/>
  <c r="C126" i="401"/>
  <c r="C125" i="401" a="1"/>
  <c r="C125" i="401"/>
  <c r="C124" i="401" a="1"/>
  <c r="C124" i="401"/>
  <c r="C123" i="401" a="1"/>
  <c r="C123" i="401"/>
  <c r="C122" i="401" a="1"/>
  <c r="C122" i="401"/>
  <c r="C121" i="401" a="1"/>
  <c r="C121" i="401"/>
  <c r="C120" i="401" a="1"/>
  <c r="C120" i="401"/>
  <c r="C119" i="401" a="1"/>
  <c r="C119" i="401" s="1"/>
  <c r="C118" i="401" a="1"/>
  <c r="C118" i="401"/>
  <c r="C117" i="401" a="1"/>
  <c r="C117" i="401"/>
  <c r="C116" i="401" a="1"/>
  <c r="C116" i="401"/>
  <c r="C115" i="401" a="1"/>
  <c r="C115" i="401"/>
  <c r="C114" i="401" a="1"/>
  <c r="C114" i="401"/>
  <c r="C113" i="401" a="1"/>
  <c r="C113" i="401" s="1"/>
  <c r="C112" i="401" a="1"/>
  <c r="C112" i="401"/>
  <c r="C111" i="401" a="1"/>
  <c r="C111" i="401" s="1"/>
  <c r="C110" i="401" a="1"/>
  <c r="C110" i="401"/>
  <c r="C109" i="401" a="1"/>
  <c r="C109" i="401"/>
  <c r="C108" i="401" a="1"/>
  <c r="C108" i="401"/>
  <c r="C107" i="401" a="1"/>
  <c r="C107" i="401"/>
  <c r="C106" i="401" a="1"/>
  <c r="C106" i="401"/>
  <c r="C105" i="401" a="1"/>
  <c r="C105" i="401" s="1"/>
  <c r="C104" i="401" a="1"/>
  <c r="C104" i="401"/>
  <c r="C103" i="401" a="1"/>
  <c r="C103" i="401" s="1"/>
  <c r="C102" i="401" a="1"/>
  <c r="C102" i="401"/>
  <c r="C101" i="401" a="1"/>
  <c r="C101" i="401"/>
  <c r="C100" i="401" a="1"/>
  <c r="C100" i="401"/>
  <c r="C99" i="401" a="1"/>
  <c r="C99" i="401"/>
  <c r="C98" i="401" a="1"/>
  <c r="C98" i="401"/>
  <c r="C97" i="401" a="1"/>
  <c r="C97" i="401" s="1"/>
  <c r="C96" i="401" a="1"/>
  <c r="C96" i="401"/>
  <c r="C95" i="401" a="1"/>
  <c r="C95" i="401" s="1"/>
  <c r="C94" i="401" a="1"/>
  <c r="C94" i="401"/>
  <c r="C93" i="401" a="1"/>
  <c r="C93" i="401"/>
  <c r="C92" i="401" a="1"/>
  <c r="C92" i="401"/>
  <c r="C91" i="401" a="1"/>
  <c r="C91" i="401"/>
  <c r="C90" i="401" a="1"/>
  <c r="C90" i="401"/>
  <c r="C89" i="401" a="1"/>
  <c r="C89" i="401" s="1"/>
  <c r="C88" i="401" a="1"/>
  <c r="C88" i="401"/>
  <c r="C87" i="401" a="1"/>
  <c r="C87" i="401" s="1"/>
  <c r="C86" i="401" a="1"/>
  <c r="C86" i="401"/>
  <c r="C85" i="401" a="1"/>
  <c r="C85" i="401"/>
  <c r="C84" i="401" a="1"/>
  <c r="C84" i="401"/>
  <c r="C83" i="401" a="1"/>
  <c r="C83" i="401"/>
  <c r="C82" i="401" a="1"/>
  <c r="C82" i="401"/>
  <c r="C81" i="401" a="1"/>
  <c r="C81" i="401" s="1"/>
  <c r="C80" i="401" a="1"/>
  <c r="C80" i="401"/>
  <c r="C79" i="401" a="1"/>
  <c r="C79" i="401" s="1"/>
  <c r="C74" i="401" a="1"/>
  <c r="C74" i="401"/>
  <c r="C73" i="401" a="1"/>
  <c r="C73" i="401"/>
  <c r="C72" i="401" a="1"/>
  <c r="C72" i="401"/>
  <c r="C71" i="401" a="1"/>
  <c r="C71" i="401"/>
  <c r="C70" i="401" a="1"/>
  <c r="C70" i="401"/>
  <c r="C69" i="401" a="1"/>
  <c r="C69" i="401" s="1"/>
  <c r="C68" i="401" a="1"/>
  <c r="C68" i="401"/>
  <c r="C67" i="401" a="1"/>
  <c r="C67" i="401" s="1"/>
  <c r="C66" i="401" a="1"/>
  <c r="C66" i="401"/>
  <c r="C65" i="401" a="1"/>
  <c r="C65" i="401"/>
  <c r="C64" i="401" a="1"/>
  <c r="C64" i="401"/>
  <c r="C63" i="401" a="1"/>
  <c r="C63" i="401"/>
  <c r="C62" i="401" a="1"/>
  <c r="C62" i="401"/>
  <c r="C61" i="401" a="1"/>
  <c r="C61" i="401" s="1"/>
  <c r="C60" i="401" a="1"/>
  <c r="C60" i="401"/>
  <c r="C59" i="401" a="1"/>
  <c r="C59" i="401" s="1"/>
  <c r="C58" i="401" a="1"/>
  <c r="C58" i="401"/>
  <c r="C57" i="401" a="1"/>
  <c r="C57" i="401"/>
  <c r="C56" i="401" a="1"/>
  <c r="C56" i="401"/>
  <c r="C55" i="401" a="1"/>
  <c r="C55" i="401"/>
  <c r="C54" i="401" a="1"/>
  <c r="C54" i="401"/>
  <c r="C53" i="401" a="1"/>
  <c r="C53" i="401" s="1"/>
  <c r="C52" i="401" a="1"/>
  <c r="C52" i="401"/>
  <c r="I46" i="401"/>
  <c r="G46" i="401" a="1"/>
  <c r="G46" i="401" s="1"/>
  <c r="C45" i="401" a="1"/>
  <c r="C45" i="401"/>
  <c r="C44" i="401" a="1"/>
  <c r="C44" i="401"/>
  <c r="C43" i="401" a="1"/>
  <c r="C43" i="401"/>
  <c r="C42" i="401" a="1"/>
  <c r="C42" i="401"/>
  <c r="C41" i="401" a="1"/>
  <c r="C41" i="401"/>
  <c r="C40" i="401" a="1"/>
  <c r="C40" i="401" s="1"/>
  <c r="C39" i="401" a="1"/>
  <c r="C39" i="401"/>
  <c r="C38" i="401" a="1"/>
  <c r="C38" i="401" s="1"/>
  <c r="C37" i="401" a="1"/>
  <c r="C37" i="401"/>
  <c r="C35" i="401" a="1"/>
  <c r="C35" i="401"/>
  <c r="C34" i="401" a="1"/>
  <c r="C34" i="401"/>
  <c r="C33" i="401" a="1"/>
  <c r="C33" i="401" s="1"/>
  <c r="C31" i="401" a="1"/>
  <c r="C31" i="401"/>
  <c r="C30" i="401" a="1"/>
  <c r="C30" i="401" s="1"/>
  <c r="C28" i="401" a="1"/>
  <c r="C28" i="401"/>
  <c r="C26" i="401" a="1"/>
  <c r="C26" i="401" s="1"/>
  <c r="C23" i="401" a="1"/>
  <c r="C23" i="401"/>
  <c r="C22" i="401" a="1"/>
  <c r="C22" i="401"/>
  <c r="C20" i="401" a="1"/>
  <c r="C20" i="401"/>
  <c r="C18" i="401" a="1"/>
  <c r="C18" i="401" s="1"/>
  <c r="C17" i="401" a="1"/>
  <c r="C17" i="401"/>
  <c r="C16" i="401" a="1"/>
  <c r="C16" i="401" s="1"/>
  <c r="C14" i="401" a="1"/>
  <c r="C14" i="401"/>
  <c r="C13" i="401" a="1"/>
  <c r="C13" i="401" s="1"/>
  <c r="C12" i="401" a="1"/>
  <c r="C12" i="401"/>
  <c r="C10" i="401" a="1"/>
  <c r="C10" i="401"/>
  <c r="E7" i="401"/>
  <c r="E17" i="401" a="1"/>
  <c r="E17" i="401" s="1"/>
  <c r="A4" i="401"/>
  <c r="A3" i="401"/>
  <c r="F38" i="401" s="1" a="1"/>
  <c r="F38" i="401" s="1"/>
  <c r="I183" i="399"/>
  <c r="H183" i="399"/>
  <c r="I182" i="399"/>
  <c r="H182" i="399"/>
  <c r="I181" i="399"/>
  <c r="H181" i="399"/>
  <c r="I180" i="399"/>
  <c r="H180" i="399"/>
  <c r="C175" i="399" a="1"/>
  <c r="C175" i="399"/>
  <c r="C177" i="399"/>
  <c r="I169" i="399"/>
  <c r="H169" i="399"/>
  <c r="I168" i="399"/>
  <c r="H168" i="399"/>
  <c r="C163" i="399" a="1"/>
  <c r="C163" i="399"/>
  <c r="C162" i="399" a="1"/>
  <c r="C162" i="399" s="1"/>
  <c r="C161" i="399" a="1"/>
  <c r="C161" i="399"/>
  <c r="C160" i="399" a="1"/>
  <c r="C160" i="399" s="1"/>
  <c r="C159" i="399" a="1"/>
  <c r="C159" i="399"/>
  <c r="C158" i="399" a="1"/>
  <c r="C158" i="399"/>
  <c r="C157" i="399" a="1"/>
  <c r="C157" i="399"/>
  <c r="C156" i="399" a="1"/>
  <c r="C156" i="399" s="1"/>
  <c r="C155" i="399" a="1"/>
  <c r="C155" i="399"/>
  <c r="I151" i="399"/>
  <c r="H151" i="399"/>
  <c r="I150" i="399"/>
  <c r="H150" i="399"/>
  <c r="I146" i="399"/>
  <c r="G146" i="399"/>
  <c r="H146" i="399"/>
  <c r="C145" i="399" a="1"/>
  <c r="C145" i="399"/>
  <c r="C144" i="399"/>
  <c r="G143" i="399" a="1"/>
  <c r="G143" i="399" s="1"/>
  <c r="C143" i="399" a="1"/>
  <c r="C143" i="399" s="1"/>
  <c r="C142" i="399" a="1"/>
  <c r="C142" i="399"/>
  <c r="C141" i="399" a="1"/>
  <c r="C141" i="399" s="1"/>
  <c r="C140" i="399" a="1"/>
  <c r="C140" i="399"/>
  <c r="I138" i="399"/>
  <c r="H138" i="399"/>
  <c r="C137" i="399" a="1"/>
  <c r="C137" i="399"/>
  <c r="C136" i="399" a="1"/>
  <c r="C136" i="399"/>
  <c r="C135" i="399" a="1"/>
  <c r="C135" i="399" s="1"/>
  <c r="C134" i="399" a="1"/>
  <c r="C134" i="399" s="1"/>
  <c r="C133" i="399" a="1"/>
  <c r="C133" i="399" s="1"/>
  <c r="C132" i="399" a="1"/>
  <c r="C132" i="399" s="1"/>
  <c r="C131" i="399" a="1"/>
  <c r="C131" i="399"/>
  <c r="C130" i="399" a="1"/>
  <c r="C130" i="399"/>
  <c r="C129" i="399" a="1"/>
  <c r="C129" i="399"/>
  <c r="C128" i="399" a="1"/>
  <c r="C128" i="399"/>
  <c r="C127" i="399" a="1"/>
  <c r="C127" i="399" s="1"/>
  <c r="C126" i="399" a="1"/>
  <c r="C126" i="399" s="1"/>
  <c r="C125" i="399" a="1"/>
  <c r="C125" i="399" s="1"/>
  <c r="C124" i="399" a="1"/>
  <c r="C124" i="399" s="1"/>
  <c r="C123" i="399" a="1"/>
  <c r="C123" i="399"/>
  <c r="C122" i="399" a="1"/>
  <c r="C122" i="399"/>
  <c r="C121" i="399" a="1"/>
  <c r="C121" i="399"/>
  <c r="C120" i="399" a="1"/>
  <c r="C120" i="399"/>
  <c r="C119" i="399" a="1"/>
  <c r="C119" i="399" s="1"/>
  <c r="C118" i="399" a="1"/>
  <c r="C118" i="399" s="1"/>
  <c r="C117" i="399" a="1"/>
  <c r="C117" i="399" s="1"/>
  <c r="C116" i="399" a="1"/>
  <c r="C116" i="399" s="1"/>
  <c r="C115" i="399" a="1"/>
  <c r="C115" i="399"/>
  <c r="C114" i="399" a="1"/>
  <c r="C114" i="399"/>
  <c r="C113" i="399" a="1"/>
  <c r="C113" i="399"/>
  <c r="C112" i="399" a="1"/>
  <c r="C112" i="399"/>
  <c r="C111" i="399" a="1"/>
  <c r="C111" i="399" s="1"/>
  <c r="C110" i="399" a="1"/>
  <c r="C110" i="399" s="1"/>
  <c r="C109" i="399" a="1"/>
  <c r="C109" i="399" s="1"/>
  <c r="C108" i="399" a="1"/>
  <c r="C108" i="399" s="1"/>
  <c r="C107" i="399" a="1"/>
  <c r="C107" i="399"/>
  <c r="C106" i="399" a="1"/>
  <c r="C106" i="399"/>
  <c r="C105" i="399" a="1"/>
  <c r="C105" i="399"/>
  <c r="C104" i="399" a="1"/>
  <c r="C104" i="399"/>
  <c r="C103" i="399" a="1"/>
  <c r="C103" i="399" s="1"/>
  <c r="C102" i="399" a="1"/>
  <c r="C102" i="399" s="1"/>
  <c r="C101" i="399" a="1"/>
  <c r="C101" i="399" s="1"/>
  <c r="C100" i="399" a="1"/>
  <c r="C100" i="399" s="1"/>
  <c r="C99" i="399" a="1"/>
  <c r="C99" i="399"/>
  <c r="C98" i="399" a="1"/>
  <c r="C98" i="399"/>
  <c r="C97" i="399" a="1"/>
  <c r="C97" i="399" s="1"/>
  <c r="C96" i="399" a="1"/>
  <c r="C96" i="399"/>
  <c r="C95" i="399" a="1"/>
  <c r="C95" i="399" s="1"/>
  <c r="C94" i="399" a="1"/>
  <c r="C94" i="399" s="1"/>
  <c r="C93" i="399" a="1"/>
  <c r="C93" i="399" s="1"/>
  <c r="C92" i="399" a="1"/>
  <c r="C92" i="399" s="1"/>
  <c r="C91" i="399" a="1"/>
  <c r="C91" i="399"/>
  <c r="C90" i="399" a="1"/>
  <c r="C90" i="399"/>
  <c r="C89" i="399" a="1"/>
  <c r="C89" i="399" s="1"/>
  <c r="C88" i="399" a="1"/>
  <c r="C88" i="399"/>
  <c r="C87" i="399" a="1"/>
  <c r="C87" i="399" s="1"/>
  <c r="C86" i="399" a="1"/>
  <c r="C86" i="399" s="1"/>
  <c r="C85" i="399" a="1"/>
  <c r="C85" i="399" s="1"/>
  <c r="C84" i="399" a="1"/>
  <c r="C84" i="399" s="1"/>
  <c r="C83" i="399" a="1"/>
  <c r="C83" i="399"/>
  <c r="C82" i="399" a="1"/>
  <c r="C82" i="399"/>
  <c r="C81" i="399" a="1"/>
  <c r="C81" i="399" s="1"/>
  <c r="C80" i="399" a="1"/>
  <c r="C80" i="399"/>
  <c r="C79" i="399" a="1"/>
  <c r="C79" i="399" s="1"/>
  <c r="C74" i="399" a="1"/>
  <c r="C74" i="399" s="1"/>
  <c r="C73" i="399" a="1"/>
  <c r="C73" i="399" s="1"/>
  <c r="C72" i="399" a="1"/>
  <c r="C72" i="399" s="1"/>
  <c r="C71" i="399" a="1"/>
  <c r="C71" i="399"/>
  <c r="C70" i="399" a="1"/>
  <c r="C70" i="399"/>
  <c r="C69" i="399" a="1"/>
  <c r="C69" i="399" s="1"/>
  <c r="C68" i="399" a="1"/>
  <c r="C68" i="399" s="1"/>
  <c r="C67" i="399" a="1"/>
  <c r="C67" i="399" s="1"/>
  <c r="C66" i="399" a="1"/>
  <c r="C66" i="399" s="1"/>
  <c r="C65" i="399" a="1"/>
  <c r="C65" i="399" s="1"/>
  <c r="C64" i="399" a="1"/>
  <c r="C64" i="399" s="1"/>
  <c r="C63" i="399" a="1"/>
  <c r="C63" i="399" s="1"/>
  <c r="C62" i="399" a="1"/>
  <c r="C62" i="399"/>
  <c r="C61" i="399" a="1"/>
  <c r="C61" i="399" s="1"/>
  <c r="C60" i="399" a="1"/>
  <c r="C60" i="399" s="1"/>
  <c r="C59" i="399" a="1"/>
  <c r="C59" i="399" s="1"/>
  <c r="C58" i="399" a="1"/>
  <c r="C58" i="399" s="1"/>
  <c r="C57" i="399" a="1"/>
  <c r="C57" i="399" s="1"/>
  <c r="C56" i="399" a="1"/>
  <c r="C56" i="399" s="1"/>
  <c r="C55" i="399" a="1"/>
  <c r="C55" i="399" s="1"/>
  <c r="C54" i="399" a="1"/>
  <c r="C54" i="399" s="1"/>
  <c r="C53" i="399" a="1"/>
  <c r="C53" i="399" s="1"/>
  <c r="C52" i="399" a="1"/>
  <c r="C52" i="399" s="1"/>
  <c r="I46" i="399"/>
  <c r="G46" i="399" a="1"/>
  <c r="G46" i="399" s="1"/>
  <c r="C45" i="399" a="1"/>
  <c r="C45" i="399" s="1"/>
  <c r="C44" i="399" a="1"/>
  <c r="C44" i="399" s="1"/>
  <c r="C43" i="399" a="1"/>
  <c r="C43" i="399" s="1"/>
  <c r="C42" i="399" a="1"/>
  <c r="C42" i="399" s="1"/>
  <c r="C41" i="399" a="1"/>
  <c r="C41" i="399" s="1"/>
  <c r="C40" i="399" a="1"/>
  <c r="C40" i="399" s="1"/>
  <c r="C39" i="399" a="1"/>
  <c r="C39" i="399" s="1"/>
  <c r="C38" i="399" a="1"/>
  <c r="C38" i="399" s="1"/>
  <c r="C37" i="399" a="1"/>
  <c r="C37" i="399" s="1"/>
  <c r="C35" i="399" a="1"/>
  <c r="C35" i="399" s="1"/>
  <c r="C34" i="399" a="1"/>
  <c r="C34" i="399" s="1"/>
  <c r="C33" i="399" a="1"/>
  <c r="C33" i="399" s="1"/>
  <c r="C31" i="399" a="1"/>
  <c r="C31" i="399" s="1"/>
  <c r="C30" i="399" a="1"/>
  <c r="C30" i="399" s="1"/>
  <c r="C28" i="399" a="1"/>
  <c r="C28" i="399" s="1"/>
  <c r="C26" i="399" a="1"/>
  <c r="C26" i="399" s="1"/>
  <c r="C23" i="399" a="1"/>
  <c r="C23" i="399" s="1"/>
  <c r="C22" i="399" a="1"/>
  <c r="C22" i="399" s="1"/>
  <c r="C20" i="399" a="1"/>
  <c r="C20" i="399" s="1"/>
  <c r="C18" i="399" a="1"/>
  <c r="C18" i="399" s="1"/>
  <c r="C17" i="399" a="1"/>
  <c r="C17" i="399" s="1"/>
  <c r="C16" i="399" a="1"/>
  <c r="C16" i="399" s="1"/>
  <c r="C14" i="399" a="1"/>
  <c r="C14" i="399" s="1"/>
  <c r="C13" i="399" a="1"/>
  <c r="C13" i="399" s="1"/>
  <c r="C12" i="399" a="1"/>
  <c r="C12" i="399" s="1"/>
  <c r="C10" i="399" a="1"/>
  <c r="C10" i="399" s="1"/>
  <c r="E7" i="399"/>
  <c r="E159" i="399" s="1" a="1"/>
  <c r="E159" i="399" s="1"/>
  <c r="A4" i="399"/>
  <c r="A3" i="399"/>
  <c r="F162" i="399" a="1"/>
  <c r="F162" i="399" s="1"/>
  <c r="I183" i="398"/>
  <c r="H183" i="398"/>
  <c r="I182" i="398"/>
  <c r="H182" i="398"/>
  <c r="I181" i="398"/>
  <c r="H181" i="398"/>
  <c r="I180" i="398"/>
  <c r="H180" i="398"/>
  <c r="C175" i="398" a="1"/>
  <c r="C175" i="398"/>
  <c r="C177" i="398" s="1"/>
  <c r="I169" i="398"/>
  <c r="H169" i="398"/>
  <c r="I168" i="398"/>
  <c r="H168" i="398"/>
  <c r="C163" i="398" a="1"/>
  <c r="C163" i="398" s="1"/>
  <c r="C162" i="398" a="1"/>
  <c r="C162" i="398" s="1"/>
  <c r="C161" i="398" a="1"/>
  <c r="C161" i="398" s="1"/>
  <c r="C160" i="398" a="1"/>
  <c r="C160" i="398" s="1"/>
  <c r="C159" i="398" a="1"/>
  <c r="C159" i="398" s="1"/>
  <c r="C158" i="398" a="1"/>
  <c r="C158" i="398" s="1"/>
  <c r="C157" i="398" a="1"/>
  <c r="C157" i="398" s="1"/>
  <c r="C156" i="398" a="1"/>
  <c r="C156" i="398" s="1"/>
  <c r="C155" i="398" a="1"/>
  <c r="C155" i="398" s="1"/>
  <c r="I151" i="398"/>
  <c r="H151" i="398"/>
  <c r="I150" i="398"/>
  <c r="H150" i="398"/>
  <c r="I146" i="398"/>
  <c r="G146" i="398"/>
  <c r="H146" i="398"/>
  <c r="C145" i="398" a="1"/>
  <c r="C145" i="398"/>
  <c r="C144" i="398" s="1"/>
  <c r="G143" i="398" a="1"/>
  <c r="G143" i="398" s="1"/>
  <c r="C143" i="398" a="1"/>
  <c r="C143" i="398"/>
  <c r="C142" i="398" a="1"/>
  <c r="C142" i="398"/>
  <c r="C141" i="398" a="1"/>
  <c r="C141" i="398" s="1"/>
  <c r="C140" i="398" a="1"/>
  <c r="C140" i="398"/>
  <c r="I138" i="398"/>
  <c r="H138" i="398"/>
  <c r="C137" i="398" a="1"/>
  <c r="C137" i="398"/>
  <c r="C136" i="398" a="1"/>
  <c r="C136" i="398"/>
  <c r="C135" i="398" a="1"/>
  <c r="C135" i="398"/>
  <c r="C134" i="398" a="1"/>
  <c r="C134" i="398" s="1"/>
  <c r="C133" i="398" a="1"/>
  <c r="C133" i="398"/>
  <c r="C132" i="398" a="1"/>
  <c r="C132" i="398" s="1"/>
  <c r="C131" i="398" a="1"/>
  <c r="C131" i="398"/>
  <c r="C130" i="398" a="1"/>
  <c r="C130" i="398"/>
  <c r="C129" i="398" a="1"/>
  <c r="C129" i="398"/>
  <c r="C128" i="398" a="1"/>
  <c r="C128" i="398"/>
  <c r="C127" i="398" a="1"/>
  <c r="C127" i="398"/>
  <c r="C126" i="398" a="1"/>
  <c r="C126" i="398" s="1"/>
  <c r="C125" i="398" a="1"/>
  <c r="C125" i="398"/>
  <c r="C124" i="398" a="1"/>
  <c r="C124" i="398" s="1"/>
  <c r="C123" i="398" a="1"/>
  <c r="C123" i="398"/>
  <c r="C122" i="398" a="1"/>
  <c r="C122" i="398"/>
  <c r="C121" i="398" a="1"/>
  <c r="C121" i="398"/>
  <c r="C120" i="398" a="1"/>
  <c r="C120" i="398"/>
  <c r="C119" i="398" a="1"/>
  <c r="C119" i="398"/>
  <c r="C118" i="398" a="1"/>
  <c r="C118" i="398" s="1"/>
  <c r="C117" i="398" a="1"/>
  <c r="C117" i="398"/>
  <c r="C116" i="398" a="1"/>
  <c r="C116" i="398" s="1"/>
  <c r="C115" i="398" a="1"/>
  <c r="C115" i="398"/>
  <c r="C114" i="398" a="1"/>
  <c r="C114" i="398"/>
  <c r="C113" i="398" a="1"/>
  <c r="C113" i="398"/>
  <c r="C112" i="398" a="1"/>
  <c r="C112" i="398"/>
  <c r="C111" i="398" a="1"/>
  <c r="C111" i="398"/>
  <c r="C110" i="398" a="1"/>
  <c r="C110" i="398" s="1"/>
  <c r="C109" i="398" a="1"/>
  <c r="C109" i="398"/>
  <c r="C108" i="398" a="1"/>
  <c r="C108" i="398" s="1"/>
  <c r="C107" i="398" a="1"/>
  <c r="C107" i="398"/>
  <c r="C106" i="398" a="1"/>
  <c r="C106" i="398"/>
  <c r="C105" i="398" a="1"/>
  <c r="C105" i="398"/>
  <c r="C104" i="398" a="1"/>
  <c r="C104" i="398"/>
  <c r="C103" i="398" a="1"/>
  <c r="C103" i="398"/>
  <c r="C102" i="398" a="1"/>
  <c r="C102" i="398" s="1"/>
  <c r="C101" i="398" a="1"/>
  <c r="C101" i="398"/>
  <c r="C100" i="398" a="1"/>
  <c r="C100" i="398" s="1"/>
  <c r="C99" i="398" a="1"/>
  <c r="C99" i="398"/>
  <c r="C98" i="398" a="1"/>
  <c r="C98" i="398"/>
  <c r="C97" i="398" a="1"/>
  <c r="C97" i="398"/>
  <c r="C96" i="398" a="1"/>
  <c r="C96" i="398"/>
  <c r="C95" i="398" a="1"/>
  <c r="C95" i="398"/>
  <c r="C94" i="398" a="1"/>
  <c r="C94" i="398" s="1"/>
  <c r="C93" i="398" a="1"/>
  <c r="C93" i="398"/>
  <c r="C92" i="398" a="1"/>
  <c r="C92" i="398" s="1"/>
  <c r="C91" i="398" a="1"/>
  <c r="C91" i="398"/>
  <c r="C90" i="398" a="1"/>
  <c r="C90" i="398"/>
  <c r="C89" i="398" a="1"/>
  <c r="C89" i="398"/>
  <c r="C88" i="398" a="1"/>
  <c r="C88" i="398"/>
  <c r="C87" i="398" a="1"/>
  <c r="C87" i="398"/>
  <c r="C86" i="398" a="1"/>
  <c r="C86" i="398" s="1"/>
  <c r="C85" i="398" a="1"/>
  <c r="C85" i="398"/>
  <c r="C84" i="398" a="1"/>
  <c r="C84" i="398" s="1"/>
  <c r="C83" i="398" a="1"/>
  <c r="C83" i="398"/>
  <c r="C82" i="398" a="1"/>
  <c r="C82" i="398" s="1"/>
  <c r="C81" i="398" a="1"/>
  <c r="C81" i="398"/>
  <c r="C80" i="398" a="1"/>
  <c r="C80" i="398"/>
  <c r="C79" i="398" a="1"/>
  <c r="C79" i="398"/>
  <c r="C74" i="398" a="1"/>
  <c r="C74" i="398" s="1"/>
  <c r="C73" i="398" a="1"/>
  <c r="C73" i="398"/>
  <c r="C72" i="398" a="1"/>
  <c r="C72" i="398" s="1"/>
  <c r="C71" i="398" a="1"/>
  <c r="C71" i="398"/>
  <c r="C70" i="398" a="1"/>
  <c r="C70" i="398" s="1"/>
  <c r="C69" i="398" a="1"/>
  <c r="C69" i="398"/>
  <c r="C68" i="398" a="1"/>
  <c r="C68" i="398"/>
  <c r="C67" i="398" a="1"/>
  <c r="C67" i="398"/>
  <c r="C66" i="398" a="1"/>
  <c r="C66" i="398" s="1"/>
  <c r="C65" i="398" a="1"/>
  <c r="C65" i="398"/>
  <c r="C64" i="398" a="1"/>
  <c r="C64" i="398" s="1"/>
  <c r="C63" i="398" a="1"/>
  <c r="C63" i="398"/>
  <c r="C62" i="398" a="1"/>
  <c r="C62" i="398" s="1"/>
  <c r="C61" i="398" a="1"/>
  <c r="C61" i="398"/>
  <c r="C60" i="398" a="1"/>
  <c r="C60" i="398"/>
  <c r="C59" i="398" a="1"/>
  <c r="C59" i="398"/>
  <c r="C58" i="398" a="1"/>
  <c r="C58" i="398" s="1"/>
  <c r="C57" i="398" a="1"/>
  <c r="C57" i="398"/>
  <c r="C56" i="398" a="1"/>
  <c r="C56" i="398" s="1"/>
  <c r="C55" i="398" a="1"/>
  <c r="C55" i="398"/>
  <c r="C54" i="398" a="1"/>
  <c r="C54" i="398" s="1"/>
  <c r="C53" i="398" a="1"/>
  <c r="C53" i="398"/>
  <c r="C52" i="398" a="1"/>
  <c r="C52" i="398"/>
  <c r="I46" i="398"/>
  <c r="G46" i="398" a="1"/>
  <c r="G46" i="398" s="1"/>
  <c r="C45" i="398" a="1"/>
  <c r="C45" i="398" s="1"/>
  <c r="C44" i="398" a="1"/>
  <c r="C44" i="398"/>
  <c r="C43" i="398" a="1"/>
  <c r="C43" i="398" s="1"/>
  <c r="C42" i="398" a="1"/>
  <c r="C42" i="398"/>
  <c r="C41" i="398" a="1"/>
  <c r="C41" i="398" s="1"/>
  <c r="C40" i="398" a="1"/>
  <c r="C40" i="398"/>
  <c r="C39" i="398" a="1"/>
  <c r="C39" i="398" s="1"/>
  <c r="C38" i="398" a="1"/>
  <c r="C38" i="398"/>
  <c r="C37" i="398" a="1"/>
  <c r="C37" i="398" s="1"/>
  <c r="C35" i="398" a="1"/>
  <c r="C35" i="398"/>
  <c r="C34" i="398" a="1"/>
  <c r="C34" i="398" s="1"/>
  <c r="C33" i="398" a="1"/>
  <c r="C33" i="398"/>
  <c r="C31" i="398" a="1"/>
  <c r="C31" i="398" s="1"/>
  <c r="C30" i="398" a="1"/>
  <c r="C30" i="398"/>
  <c r="C28" i="398" a="1"/>
  <c r="C28" i="398" s="1"/>
  <c r="C26" i="398" a="1"/>
  <c r="C26" i="398"/>
  <c r="C23" i="398" a="1"/>
  <c r="C23" i="398" s="1"/>
  <c r="C22" i="398" a="1"/>
  <c r="C22" i="398"/>
  <c r="C20" i="398" a="1"/>
  <c r="C20" i="398" s="1"/>
  <c r="C18" i="398" a="1"/>
  <c r="C18" i="398"/>
  <c r="C17" i="398" a="1"/>
  <c r="C17" i="398" s="1"/>
  <c r="C16" i="398" a="1"/>
  <c r="C16" i="398"/>
  <c r="C14" i="398" a="1"/>
  <c r="C14" i="398" s="1"/>
  <c r="C13" i="398" a="1"/>
  <c r="C13" i="398"/>
  <c r="C12" i="398" a="1"/>
  <c r="C12" i="398" s="1"/>
  <c r="C10" i="398" a="1"/>
  <c r="C10" i="398"/>
  <c r="E7" i="398"/>
  <c r="E175" i="398" s="1" a="1"/>
  <c r="E175" i="398" s="1"/>
  <c r="E177" i="398" s="1"/>
  <c r="A4" i="398"/>
  <c r="A3" i="398"/>
  <c r="F161" i="398" a="1"/>
  <c r="F161" i="398" s="1"/>
  <c r="I183" i="393"/>
  <c r="H183" i="393"/>
  <c r="I182" i="393"/>
  <c r="H182" i="393"/>
  <c r="I181" i="393"/>
  <c r="H181" i="393"/>
  <c r="I180" i="393"/>
  <c r="H180" i="393"/>
  <c r="C175" i="393" a="1"/>
  <c r="C175" i="393"/>
  <c r="C177" i="393"/>
  <c r="I169" i="393"/>
  <c r="H169" i="393"/>
  <c r="I168" i="393"/>
  <c r="H168" i="393"/>
  <c r="C163" i="393" a="1"/>
  <c r="C163" i="393" s="1"/>
  <c r="C162" i="393" a="1"/>
  <c r="C162" i="393"/>
  <c r="C161" i="393" a="1"/>
  <c r="C161" i="393" s="1"/>
  <c r="C160" i="393" a="1"/>
  <c r="C160" i="393"/>
  <c r="C159" i="393" a="1"/>
  <c r="C159" i="393" s="1"/>
  <c r="C158" i="393" a="1"/>
  <c r="C158" i="393"/>
  <c r="C157" i="393" a="1"/>
  <c r="C157" i="393" s="1"/>
  <c r="C156" i="393" a="1"/>
  <c r="C156" i="393"/>
  <c r="C155" i="393" a="1"/>
  <c r="C155" i="393" s="1"/>
  <c r="I151" i="393"/>
  <c r="H151" i="393"/>
  <c r="I150" i="393"/>
  <c r="H150" i="393"/>
  <c r="I146" i="393"/>
  <c r="G146" i="393"/>
  <c r="H146" i="393" s="1"/>
  <c r="C145" i="393" a="1"/>
  <c r="C145" i="393"/>
  <c r="C144" i="393"/>
  <c r="G143" i="393" a="1"/>
  <c r="G143" i="393" s="1"/>
  <c r="C143" i="393" a="1"/>
  <c r="C143" i="393"/>
  <c r="C142" i="393" a="1"/>
  <c r="C142" i="393"/>
  <c r="C141" i="393" a="1"/>
  <c r="C141" i="393" s="1"/>
  <c r="C140" i="393" a="1"/>
  <c r="C140" i="393" s="1"/>
  <c r="I138" i="393"/>
  <c r="H138" i="393"/>
  <c r="C137" i="393" a="1"/>
  <c r="C137" i="393" s="1"/>
  <c r="C136" i="393" a="1"/>
  <c r="C136" i="393"/>
  <c r="C135" i="393" a="1"/>
  <c r="C135" i="393"/>
  <c r="C134" i="393" a="1"/>
  <c r="C134" i="393"/>
  <c r="C133" i="393" a="1"/>
  <c r="C133" i="393"/>
  <c r="C132" i="393" a="1"/>
  <c r="C132" i="393" s="1"/>
  <c r="C131" i="393" a="1"/>
  <c r="C131" i="393" s="1"/>
  <c r="C130" i="393" a="1"/>
  <c r="C130" i="393" s="1"/>
  <c r="C129" i="393" a="1"/>
  <c r="C129" i="393" s="1"/>
  <c r="C128" i="393" a="1"/>
  <c r="C128" i="393"/>
  <c r="C127" i="393" a="1"/>
  <c r="C127" i="393"/>
  <c r="C126" i="393" a="1"/>
  <c r="C126" i="393"/>
  <c r="C125" i="393" a="1"/>
  <c r="C125" i="393"/>
  <c r="C124" i="393" a="1"/>
  <c r="C124" i="393" s="1"/>
  <c r="C123" i="393" a="1"/>
  <c r="C123" i="393" s="1"/>
  <c r="C122" i="393" a="1"/>
  <c r="C122" i="393" s="1"/>
  <c r="C121" i="393" a="1"/>
  <c r="C121" i="393" s="1"/>
  <c r="C120" i="393" a="1"/>
  <c r="C120" i="393"/>
  <c r="C119" i="393" a="1"/>
  <c r="C119" i="393"/>
  <c r="C118" i="393" a="1"/>
  <c r="C118" i="393"/>
  <c r="C117" i="393" a="1"/>
  <c r="C117" i="393"/>
  <c r="C116" i="393" a="1"/>
  <c r="C116" i="393" s="1"/>
  <c r="C115" i="393" a="1"/>
  <c r="C115" i="393" s="1"/>
  <c r="C114" i="393" a="1"/>
  <c r="C114" i="393" s="1"/>
  <c r="C113" i="393" a="1"/>
  <c r="C113" i="393" s="1"/>
  <c r="C112" i="393" a="1"/>
  <c r="C112" i="393"/>
  <c r="C111" i="393" a="1"/>
  <c r="C111" i="393"/>
  <c r="C110" i="393" a="1"/>
  <c r="C110" i="393" s="1"/>
  <c r="C109" i="393" a="1"/>
  <c r="C109" i="393"/>
  <c r="C108" i="393" a="1"/>
  <c r="C108" i="393" s="1"/>
  <c r="C107" i="393" a="1"/>
  <c r="C107" i="393" s="1"/>
  <c r="C106" i="393" a="1"/>
  <c r="C106" i="393" s="1"/>
  <c r="C105" i="393" a="1"/>
  <c r="C105" i="393" s="1"/>
  <c r="C104" i="393" a="1"/>
  <c r="C104" i="393"/>
  <c r="C103" i="393" a="1"/>
  <c r="C103" i="393"/>
  <c r="C102" i="393" a="1"/>
  <c r="C102" i="393" s="1"/>
  <c r="C101" i="393" a="1"/>
  <c r="C101" i="393"/>
  <c r="C100" i="393" a="1"/>
  <c r="C100" i="393" s="1"/>
  <c r="C99" i="393" a="1"/>
  <c r="C99" i="393" s="1"/>
  <c r="C98" i="393" a="1"/>
  <c r="C98" i="393" s="1"/>
  <c r="C97" i="393" a="1"/>
  <c r="C97" i="393" s="1"/>
  <c r="C96" i="393" a="1"/>
  <c r="C96" i="393"/>
  <c r="C95" i="393" a="1"/>
  <c r="C95" i="393"/>
  <c r="C94" i="393" a="1"/>
  <c r="C94" i="393" s="1"/>
  <c r="C93" i="393" a="1"/>
  <c r="C93" i="393"/>
  <c r="C92" i="393" a="1"/>
  <c r="C92" i="393" s="1"/>
  <c r="C91" i="393" a="1"/>
  <c r="C91" i="393" s="1"/>
  <c r="C90" i="393" a="1"/>
  <c r="C90" i="393" s="1"/>
  <c r="C89" i="393" a="1"/>
  <c r="C89" i="393" s="1"/>
  <c r="C88" i="393" a="1"/>
  <c r="C88" i="393"/>
  <c r="C87" i="393" a="1"/>
  <c r="C87" i="393"/>
  <c r="C86" i="393" a="1"/>
  <c r="C86" i="393" s="1"/>
  <c r="C85" i="393" a="1"/>
  <c r="C85" i="393"/>
  <c r="C84" i="393" a="1"/>
  <c r="C84" i="393" s="1"/>
  <c r="C83" i="393" a="1"/>
  <c r="C83" i="393" s="1"/>
  <c r="C82" i="393" a="1"/>
  <c r="C82" i="393" s="1"/>
  <c r="C81" i="393" a="1"/>
  <c r="C81" i="393" s="1"/>
  <c r="C80" i="393" a="1"/>
  <c r="C80" i="393"/>
  <c r="C79" i="393" a="1"/>
  <c r="C79" i="393"/>
  <c r="C74" i="393" a="1"/>
  <c r="C74" i="393" s="1"/>
  <c r="C73" i="393" a="1"/>
  <c r="C73" i="393"/>
  <c r="C72" i="393" a="1"/>
  <c r="C72" i="393" s="1"/>
  <c r="C71" i="393" a="1"/>
  <c r="C71" i="393" s="1"/>
  <c r="C70" i="393" a="1"/>
  <c r="C70" i="393" s="1"/>
  <c r="C69" i="393" a="1"/>
  <c r="C69" i="393" s="1"/>
  <c r="C68" i="393" a="1"/>
  <c r="C68" i="393" s="1"/>
  <c r="C67" i="393" a="1"/>
  <c r="C67" i="393"/>
  <c r="C66" i="393" a="1"/>
  <c r="C66" i="393" s="1"/>
  <c r="C65" i="393" a="1"/>
  <c r="C65" i="393"/>
  <c r="C64" i="393" a="1"/>
  <c r="C64" i="393" s="1"/>
  <c r="C63" i="393" a="1"/>
  <c r="C63" i="393" s="1"/>
  <c r="C62" i="393" a="1"/>
  <c r="C62" i="393" s="1"/>
  <c r="C61" i="393" a="1"/>
  <c r="C61" i="393" s="1"/>
  <c r="C60" i="393" a="1"/>
  <c r="C60" i="393" s="1"/>
  <c r="C59" i="393" a="1"/>
  <c r="C59" i="393" s="1"/>
  <c r="C58" i="393" a="1"/>
  <c r="C58" i="393" s="1"/>
  <c r="C57" i="393" a="1"/>
  <c r="C57" i="393"/>
  <c r="C56" i="393" a="1"/>
  <c r="C56" i="393" s="1"/>
  <c r="C55" i="393" a="1"/>
  <c r="C55" i="393" s="1"/>
  <c r="C54" i="393" a="1"/>
  <c r="C54" i="393" s="1"/>
  <c r="C53" i="393" a="1"/>
  <c r="C53" i="393" s="1"/>
  <c r="C52" i="393" a="1"/>
  <c r="C52" i="393" s="1"/>
  <c r="I46" i="393"/>
  <c r="G46" i="393" a="1"/>
  <c r="G46" i="393" s="1"/>
  <c r="C45" i="393" a="1"/>
  <c r="C45" i="393" s="1"/>
  <c r="C44" i="393" a="1"/>
  <c r="C44" i="393"/>
  <c r="C43" i="393" a="1"/>
  <c r="C43" i="393" s="1"/>
  <c r="C42" i="393" a="1"/>
  <c r="C42" i="393" s="1"/>
  <c r="C41" i="393" a="1"/>
  <c r="C41" i="393" s="1"/>
  <c r="C40" i="393" a="1"/>
  <c r="C40" i="393" s="1"/>
  <c r="C39" i="393" a="1"/>
  <c r="C39" i="393" s="1"/>
  <c r="C38" i="393" a="1"/>
  <c r="C38" i="393" s="1"/>
  <c r="C37" i="393" a="1"/>
  <c r="C37" i="393" s="1"/>
  <c r="C35" i="393" a="1"/>
  <c r="C35" i="393"/>
  <c r="C34" i="393" a="1"/>
  <c r="C34" i="393" s="1"/>
  <c r="C33" i="393" a="1"/>
  <c r="C33" i="393" s="1"/>
  <c r="C31" i="393" a="1"/>
  <c r="C31" i="393" s="1"/>
  <c r="C30" i="393" a="1"/>
  <c r="C30" i="393" s="1"/>
  <c r="C28" i="393" a="1"/>
  <c r="C28" i="393" s="1"/>
  <c r="C26" i="393" a="1"/>
  <c r="C26" i="393" s="1"/>
  <c r="C23" i="393" a="1"/>
  <c r="C23" i="393" s="1"/>
  <c r="C22" i="393" a="1"/>
  <c r="C22" i="393"/>
  <c r="C20" i="393" a="1"/>
  <c r="C20" i="393" s="1"/>
  <c r="C18" i="393" a="1"/>
  <c r="C18" i="393" s="1"/>
  <c r="C17" i="393" a="1"/>
  <c r="C17" i="393" s="1"/>
  <c r="C16" i="393" a="1"/>
  <c r="C16" i="393" s="1"/>
  <c r="C14" i="393" a="1"/>
  <c r="C14" i="393" s="1"/>
  <c r="C13" i="393" a="1"/>
  <c r="C13" i="393" s="1"/>
  <c r="C12" i="393" a="1"/>
  <c r="C12" i="393" s="1"/>
  <c r="C10" i="393" a="1"/>
  <c r="C10" i="393"/>
  <c r="E7" i="393"/>
  <c r="E175" i="393" s="1" a="1"/>
  <c r="E175" i="393" s="1"/>
  <c r="A4" i="393"/>
  <c r="A3" i="393"/>
  <c r="F72" i="393" a="1"/>
  <c r="F72" i="393" s="1"/>
  <c r="I183" i="397"/>
  <c r="H183" i="397"/>
  <c r="I182" i="397"/>
  <c r="H182" i="397"/>
  <c r="I181" i="397"/>
  <c r="H181" i="397"/>
  <c r="I180" i="397"/>
  <c r="H180" i="397"/>
  <c r="C175" i="397" a="1"/>
  <c r="C175" i="397"/>
  <c r="C177" i="397"/>
  <c r="I169" i="397"/>
  <c r="H169" i="397"/>
  <c r="I168" i="397"/>
  <c r="H168" i="397"/>
  <c r="C163" i="397" a="1"/>
  <c r="C163" i="397" s="1"/>
  <c r="C162" i="397" a="1"/>
  <c r="C162" i="397" s="1"/>
  <c r="C161" i="397" a="1"/>
  <c r="C161" i="397" s="1"/>
  <c r="C160" i="397" a="1"/>
  <c r="C160" i="397" s="1"/>
  <c r="C159" i="397" a="1"/>
  <c r="C159" i="397" s="1"/>
  <c r="C158" i="397" a="1"/>
  <c r="C158" i="397" s="1"/>
  <c r="C157" i="397" a="1"/>
  <c r="C157" i="397" s="1"/>
  <c r="C156" i="397" a="1"/>
  <c r="C156" i="397" s="1"/>
  <c r="C155" i="397" a="1"/>
  <c r="C155" i="397" s="1"/>
  <c r="I151" i="397"/>
  <c r="H151" i="397"/>
  <c r="I150" i="397"/>
  <c r="H150" i="397"/>
  <c r="I146" i="397"/>
  <c r="G146" i="397"/>
  <c r="H146" i="397" s="1"/>
  <c r="C145" i="397" a="1"/>
  <c r="C145" i="397"/>
  <c r="C144" i="397"/>
  <c r="G143" i="397" a="1"/>
  <c r="G143" i="397" s="1"/>
  <c r="C143" i="397" a="1"/>
  <c r="C143" i="397"/>
  <c r="C142" i="397" a="1"/>
  <c r="C142" i="397"/>
  <c r="C141" i="397" a="1"/>
  <c r="C141" i="397"/>
  <c r="C140" i="397" a="1"/>
  <c r="C140" i="397"/>
  <c r="I138" i="397"/>
  <c r="H138" i="397"/>
  <c r="C137" i="397" a="1"/>
  <c r="C137" i="397" s="1"/>
  <c r="C136" i="397" a="1"/>
  <c r="C136" i="397"/>
  <c r="C135" i="397" a="1"/>
  <c r="C135" i="397"/>
  <c r="C134" i="397" a="1"/>
  <c r="C134" i="397"/>
  <c r="C133" i="397" a="1"/>
  <c r="C133" i="397"/>
  <c r="C132" i="397" a="1"/>
  <c r="C132" i="397"/>
  <c r="C131" i="397" a="1"/>
  <c r="C131" i="397"/>
  <c r="C130" i="397" a="1"/>
  <c r="C130" i="397"/>
  <c r="C129" i="397" a="1"/>
  <c r="C129" i="397" s="1"/>
  <c r="C128" i="397" a="1"/>
  <c r="C128" i="397"/>
  <c r="C127" i="397" a="1"/>
  <c r="C127" i="397"/>
  <c r="C126" i="397" a="1"/>
  <c r="C126" i="397"/>
  <c r="C125" i="397" a="1"/>
  <c r="C125" i="397"/>
  <c r="C124" i="397" a="1"/>
  <c r="C124" i="397"/>
  <c r="C123" i="397" a="1"/>
  <c r="C123" i="397" s="1"/>
  <c r="C122" i="397" a="1"/>
  <c r="C122" i="397"/>
  <c r="C121" i="397" a="1"/>
  <c r="C121" i="397" s="1"/>
  <c r="C120" i="397" a="1"/>
  <c r="C120" i="397"/>
  <c r="C119" i="397" a="1"/>
  <c r="C119" i="397"/>
  <c r="C118" i="397" a="1"/>
  <c r="C118" i="397"/>
  <c r="C117" i="397" a="1"/>
  <c r="C117" i="397"/>
  <c r="C116" i="397" a="1"/>
  <c r="C116" i="397"/>
  <c r="C115" i="397" a="1"/>
  <c r="C115" i="397" s="1"/>
  <c r="C114" i="397" a="1"/>
  <c r="C114" i="397"/>
  <c r="C113" i="397" a="1"/>
  <c r="C113" i="397" s="1"/>
  <c r="C112" i="397" a="1"/>
  <c r="C112" i="397"/>
  <c r="C111" i="397" a="1"/>
  <c r="C111" i="397" s="1"/>
  <c r="C110" i="397" a="1"/>
  <c r="C110" i="397"/>
  <c r="C109" i="397" a="1"/>
  <c r="C109" i="397"/>
  <c r="C108" i="397" a="1"/>
  <c r="C108" i="397"/>
  <c r="C107" i="397" a="1"/>
  <c r="C107" i="397" s="1"/>
  <c r="C106" i="397" a="1"/>
  <c r="C106" i="397"/>
  <c r="C105" i="397" a="1"/>
  <c r="C105" i="397" s="1"/>
  <c r="C104" i="397" a="1"/>
  <c r="C104" i="397"/>
  <c r="C103" i="397" a="1"/>
  <c r="C103" i="397"/>
  <c r="C102" i="397" a="1"/>
  <c r="C102" i="397"/>
  <c r="C101" i="397" a="1"/>
  <c r="C101" i="397"/>
  <c r="C100" i="397" a="1"/>
  <c r="C100" i="397"/>
  <c r="C99" i="397" a="1"/>
  <c r="C99" i="397" s="1"/>
  <c r="C98" i="397" a="1"/>
  <c r="C98" i="397"/>
  <c r="C97" i="397" a="1"/>
  <c r="C97" i="397" s="1"/>
  <c r="C96" i="397" a="1"/>
  <c r="C96" i="397"/>
  <c r="C95" i="397" a="1"/>
  <c r="C95" i="397"/>
  <c r="C94" i="397" a="1"/>
  <c r="C94" i="397"/>
  <c r="C93" i="397" a="1"/>
  <c r="C93" i="397"/>
  <c r="C92" i="397" a="1"/>
  <c r="C92" i="397"/>
  <c r="C91" i="397" a="1"/>
  <c r="C91" i="397" s="1"/>
  <c r="C90" i="397" a="1"/>
  <c r="C90" i="397"/>
  <c r="C89" i="397" a="1"/>
  <c r="C89" i="397" s="1"/>
  <c r="C88" i="397" a="1"/>
  <c r="C88" i="397"/>
  <c r="C87" i="397" a="1"/>
  <c r="C87" i="397"/>
  <c r="C86" i="397" a="1"/>
  <c r="C86" i="397"/>
  <c r="C85" i="397" a="1"/>
  <c r="C85" i="397"/>
  <c r="C84" i="397" a="1"/>
  <c r="C84" i="397"/>
  <c r="C83" i="397" a="1"/>
  <c r="C83" i="397" s="1"/>
  <c r="C82" i="397" a="1"/>
  <c r="C82" i="397"/>
  <c r="C81" i="397" a="1"/>
  <c r="C81" i="397" s="1"/>
  <c r="C80" i="397" a="1"/>
  <c r="C80" i="397"/>
  <c r="C79" i="397" a="1"/>
  <c r="C79" i="397"/>
  <c r="C74" i="397" a="1"/>
  <c r="C74" i="397"/>
  <c r="C73" i="397" a="1"/>
  <c r="C73" i="397"/>
  <c r="C72" i="397" a="1"/>
  <c r="C72" i="397"/>
  <c r="C71" i="397" a="1"/>
  <c r="C71" i="397" s="1"/>
  <c r="C70" i="397" a="1"/>
  <c r="C70" i="397"/>
  <c r="C69" i="397" a="1"/>
  <c r="C69" i="397" s="1"/>
  <c r="C68" i="397" a="1"/>
  <c r="C68" i="397"/>
  <c r="C67" i="397" a="1"/>
  <c r="C67" i="397" s="1"/>
  <c r="C66" i="397" a="1"/>
  <c r="C66" i="397"/>
  <c r="C65" i="397" a="1"/>
  <c r="C65" i="397"/>
  <c r="C64" i="397" a="1"/>
  <c r="C64" i="397"/>
  <c r="C63" i="397" a="1"/>
  <c r="C63" i="397" s="1"/>
  <c r="C62" i="397" a="1"/>
  <c r="C62" i="397"/>
  <c r="C61" i="397" a="1"/>
  <c r="C61" i="397" s="1"/>
  <c r="C60" i="397" a="1"/>
  <c r="C60" i="397"/>
  <c r="C59" i="397" a="1"/>
  <c r="C59" i="397"/>
  <c r="C58" i="397" a="1"/>
  <c r="C58" i="397"/>
  <c r="C57" i="397" a="1"/>
  <c r="C57" i="397"/>
  <c r="C56" i="397" a="1"/>
  <c r="C56" i="397"/>
  <c r="C55" i="397" a="1"/>
  <c r="C55" i="397" s="1"/>
  <c r="C54" i="397" a="1"/>
  <c r="C54" i="397"/>
  <c r="C53" i="397" a="1"/>
  <c r="C53" i="397" s="1"/>
  <c r="C52" i="397" a="1"/>
  <c r="C52" i="397"/>
  <c r="I46" i="397"/>
  <c r="G46" i="397" a="1"/>
  <c r="G46" i="397" s="1"/>
  <c r="E46" i="397" s="1"/>
  <c r="C45" i="397" a="1"/>
  <c r="C45" i="397"/>
  <c r="C44" i="397" a="1"/>
  <c r="C44" i="397"/>
  <c r="C43" i="397" a="1"/>
  <c r="C43" i="397"/>
  <c r="C42" i="397" a="1"/>
  <c r="C42" i="397" s="1"/>
  <c r="C41" i="397" a="1"/>
  <c r="C41" i="397"/>
  <c r="C40" i="397" a="1"/>
  <c r="C40" i="397" s="1"/>
  <c r="C39" i="397" a="1"/>
  <c r="C39" i="397"/>
  <c r="C38" i="397" a="1"/>
  <c r="C38" i="397" s="1"/>
  <c r="C37" i="397" a="1"/>
  <c r="C37" i="397"/>
  <c r="C35" i="397" a="1"/>
  <c r="C35" i="397"/>
  <c r="C34" i="397" a="1"/>
  <c r="C34" i="397"/>
  <c r="C33" i="397" a="1"/>
  <c r="C33" i="397" s="1"/>
  <c r="C31" i="397" a="1"/>
  <c r="C31" i="397"/>
  <c r="C30" i="397" a="1"/>
  <c r="C30" i="397" s="1"/>
  <c r="C28" i="397" a="1"/>
  <c r="C28" i="397"/>
  <c r="C26" i="397" a="1"/>
  <c r="C26" i="397"/>
  <c r="C23" i="397" a="1"/>
  <c r="C23" i="397"/>
  <c r="C22" i="397" a="1"/>
  <c r="C22" i="397" s="1"/>
  <c r="C20" i="397" a="1"/>
  <c r="C20" i="397"/>
  <c r="C18" i="397" a="1"/>
  <c r="C18" i="397" s="1"/>
  <c r="C17" i="397" a="1"/>
  <c r="C17" i="397"/>
  <c r="C16" i="397" a="1"/>
  <c r="C16" i="397" s="1"/>
  <c r="C14" i="397" a="1"/>
  <c r="C14" i="397"/>
  <c r="C13" i="397" a="1"/>
  <c r="C13" i="397" s="1"/>
  <c r="C12" i="397" a="1"/>
  <c r="C12" i="397"/>
  <c r="C10" i="397" a="1"/>
  <c r="C10" i="397" s="1"/>
  <c r="E7" i="397"/>
  <c r="E175" i="397" a="1"/>
  <c r="E175" i="397" s="1"/>
  <c r="A4" i="397"/>
  <c r="A3" i="397"/>
  <c r="F175" i="397" a="1"/>
  <c r="F175" i="397" s="1"/>
  <c r="F177" i="397" s="1"/>
  <c r="I183" i="396"/>
  <c r="H183" i="396"/>
  <c r="I182" i="396"/>
  <c r="H182" i="396"/>
  <c r="I181" i="396"/>
  <c r="H181" i="396"/>
  <c r="I180" i="396"/>
  <c r="H180" i="396"/>
  <c r="C175" i="396" a="1"/>
  <c r="C175" i="396" s="1"/>
  <c r="C177" i="396" s="1"/>
  <c r="I169" i="396"/>
  <c r="H169" i="396"/>
  <c r="I168" i="396"/>
  <c r="H168" i="396"/>
  <c r="C163" i="396" a="1"/>
  <c r="C163" i="396"/>
  <c r="C162" i="396" a="1"/>
  <c r="C162" i="396" s="1"/>
  <c r="C161" i="396" a="1"/>
  <c r="C161" i="396"/>
  <c r="C160" i="396" a="1"/>
  <c r="C160" i="396"/>
  <c r="C159" i="396" a="1"/>
  <c r="C159" i="396"/>
  <c r="C158" i="396" a="1"/>
  <c r="C158" i="396" s="1"/>
  <c r="C157" i="396" a="1"/>
  <c r="C157" i="396"/>
  <c r="C156" i="396" a="1"/>
  <c r="C156" i="396" s="1"/>
  <c r="C155" i="396" a="1"/>
  <c r="C155" i="396"/>
  <c r="I151" i="396"/>
  <c r="H151" i="396"/>
  <c r="I150" i="396"/>
  <c r="H150" i="396"/>
  <c r="I146" i="396"/>
  <c r="G146" i="396"/>
  <c r="H146" i="396" s="1"/>
  <c r="C145" i="396" a="1"/>
  <c r="C145" i="396" s="1"/>
  <c r="C144" i="396" s="1"/>
  <c r="G143" i="396" a="1"/>
  <c r="G143" i="396" s="1"/>
  <c r="C143" i="396" a="1"/>
  <c r="C143" i="396" s="1"/>
  <c r="C142" i="396" a="1"/>
  <c r="C142" i="396"/>
  <c r="C141" i="396" a="1"/>
  <c r="C141" i="396"/>
  <c r="C140" i="396" a="1"/>
  <c r="C140" i="396"/>
  <c r="I138" i="396"/>
  <c r="H138" i="396"/>
  <c r="C137" i="396" a="1"/>
  <c r="C137" i="396" s="1"/>
  <c r="C136" i="396" a="1"/>
  <c r="C136" i="396" s="1"/>
  <c r="C135" i="396" a="1"/>
  <c r="C135" i="396" s="1"/>
  <c r="C134" i="396" a="1"/>
  <c r="C134" i="396" s="1"/>
  <c r="C133" i="396" a="1"/>
  <c r="C133" i="396"/>
  <c r="C132" i="396" a="1"/>
  <c r="C132" i="396"/>
  <c r="C131" i="396" a="1"/>
  <c r="C131" i="396"/>
  <c r="C130" i="396" a="1"/>
  <c r="C130" i="396"/>
  <c r="C129" i="396" a="1"/>
  <c r="C129" i="396" s="1"/>
  <c r="C128" i="396" a="1"/>
  <c r="C128" i="396" s="1"/>
  <c r="C127" i="396" a="1"/>
  <c r="C127" i="396" s="1"/>
  <c r="C126" i="396" a="1"/>
  <c r="C126" i="396" s="1"/>
  <c r="C125" i="396" a="1"/>
  <c r="C125" i="396"/>
  <c r="C124" i="396" a="1"/>
  <c r="C124" i="396"/>
  <c r="C123" i="396" a="1"/>
  <c r="C123" i="396"/>
  <c r="C122" i="396" a="1"/>
  <c r="C122" i="396" s="1"/>
  <c r="C121" i="396" a="1"/>
  <c r="C121" i="396" s="1"/>
  <c r="C120" i="396" a="1"/>
  <c r="C120" i="396" s="1"/>
  <c r="C119" i="396" a="1"/>
  <c r="C119" i="396" s="1"/>
  <c r="C118" i="396" a="1"/>
  <c r="C118" i="396" s="1"/>
  <c r="C117" i="396" a="1"/>
  <c r="C117" i="396"/>
  <c r="C116" i="396" a="1"/>
  <c r="C116" i="396" s="1"/>
  <c r="C115" i="396" a="1"/>
  <c r="C115" i="396"/>
  <c r="C114" i="396" a="1"/>
  <c r="C114" i="396"/>
  <c r="C113" i="396" a="1"/>
  <c r="C113" i="396" s="1"/>
  <c r="C112" i="396" a="1"/>
  <c r="C112" i="396" s="1"/>
  <c r="C111" i="396" a="1"/>
  <c r="C111" i="396" s="1"/>
  <c r="C110" i="396" a="1"/>
  <c r="C110" i="396" s="1"/>
  <c r="C109" i="396" a="1"/>
  <c r="C109" i="396"/>
  <c r="C108" i="396" a="1"/>
  <c r="C108" i="396"/>
  <c r="C107" i="396" a="1"/>
  <c r="C107" i="396"/>
  <c r="C106" i="396" a="1"/>
  <c r="C106" i="396" s="1"/>
  <c r="C105" i="396" a="1"/>
  <c r="C105" i="396" s="1"/>
  <c r="C104" i="396" a="1"/>
  <c r="C104" i="396" s="1"/>
  <c r="C103" i="396" a="1"/>
  <c r="C103" i="396" s="1"/>
  <c r="C102" i="396" a="1"/>
  <c r="C102" i="396" s="1"/>
  <c r="C101" i="396" a="1"/>
  <c r="C101" i="396"/>
  <c r="C100" i="396" a="1"/>
  <c r="C100" i="396" s="1"/>
  <c r="C99" i="396" a="1"/>
  <c r="C99" i="396" s="1"/>
  <c r="C98" i="396" a="1"/>
  <c r="C98" i="396" s="1"/>
  <c r="C97" i="396" a="1"/>
  <c r="C97" i="396" s="1"/>
  <c r="C96" i="396" a="1"/>
  <c r="C96" i="396" s="1"/>
  <c r="C95" i="396" a="1"/>
  <c r="C95" i="396" s="1"/>
  <c r="C94" i="396" a="1"/>
  <c r="C94" i="396" s="1"/>
  <c r="C93" i="396" a="1"/>
  <c r="C93" i="396"/>
  <c r="C92" i="396" a="1"/>
  <c r="C92" i="396" s="1"/>
  <c r="C91" i="396" a="1"/>
  <c r="C91" i="396" s="1"/>
  <c r="C90" i="396" a="1"/>
  <c r="C90" i="396" s="1"/>
  <c r="C89" i="396" a="1"/>
  <c r="C89" i="396" s="1"/>
  <c r="C88" i="396" a="1"/>
  <c r="C88" i="396" s="1"/>
  <c r="C87" i="396" a="1"/>
  <c r="C87" i="396" s="1"/>
  <c r="C86" i="396" a="1"/>
  <c r="C86" i="396" s="1"/>
  <c r="C85" i="396" a="1"/>
  <c r="C85" i="396"/>
  <c r="C84" i="396" a="1"/>
  <c r="C84" i="396"/>
  <c r="C83" i="396" a="1"/>
  <c r="C83" i="396" s="1"/>
  <c r="C82" i="396" a="1"/>
  <c r="C82" i="396" s="1"/>
  <c r="C81" i="396" a="1"/>
  <c r="C81" i="396" s="1"/>
  <c r="C80" i="396" a="1"/>
  <c r="C80" i="396" s="1"/>
  <c r="C79" i="396" a="1"/>
  <c r="C79" i="396" s="1"/>
  <c r="C74" i="396" a="1"/>
  <c r="C74" i="396" s="1"/>
  <c r="C73" i="396" a="1"/>
  <c r="C73" i="396"/>
  <c r="C72" i="396" a="1"/>
  <c r="C72" i="396" s="1"/>
  <c r="C71" i="396" a="1"/>
  <c r="C71" i="396" s="1"/>
  <c r="C70" i="396" a="1"/>
  <c r="C70" i="396"/>
  <c r="C69" i="396" a="1"/>
  <c r="C69" i="396" s="1"/>
  <c r="C68" i="396" a="1"/>
  <c r="C68" i="396" s="1"/>
  <c r="C67" i="396" a="1"/>
  <c r="C67" i="396" s="1"/>
  <c r="C66" i="396" a="1"/>
  <c r="C66" i="396" s="1"/>
  <c r="C65" i="396" a="1"/>
  <c r="C65" i="396"/>
  <c r="C64" i="396" a="1"/>
  <c r="C64" i="396"/>
  <c r="C63" i="396" a="1"/>
  <c r="C63" i="396" s="1"/>
  <c r="C62" i="396" a="1"/>
  <c r="C62" i="396"/>
  <c r="C61" i="396" a="1"/>
  <c r="C61" i="396" s="1"/>
  <c r="C60" i="396" a="1"/>
  <c r="C60" i="396" s="1"/>
  <c r="C59" i="396" a="1"/>
  <c r="C59" i="396" s="1"/>
  <c r="C58" i="396" a="1"/>
  <c r="C58" i="396" s="1"/>
  <c r="C57" i="396" a="1"/>
  <c r="C57" i="396" s="1"/>
  <c r="C56" i="396" a="1"/>
  <c r="C56" i="396"/>
  <c r="C55" i="396" a="1"/>
  <c r="C55" i="396" s="1"/>
  <c r="C54" i="396" a="1"/>
  <c r="C54" i="396" s="1"/>
  <c r="C53" i="396" a="1"/>
  <c r="C53" i="396" s="1"/>
  <c r="C52" i="396" a="1"/>
  <c r="C52" i="396" s="1"/>
  <c r="I46" i="396"/>
  <c r="G46" i="396" a="1"/>
  <c r="G46" i="396" s="1"/>
  <c r="C45" i="396" a="1"/>
  <c r="C45" i="396" s="1"/>
  <c r="C44" i="396" a="1"/>
  <c r="C44" i="396" s="1"/>
  <c r="C43" i="396" a="1"/>
  <c r="C43" i="396" s="1"/>
  <c r="C42" i="396" a="1"/>
  <c r="C42" i="396" s="1"/>
  <c r="C41" i="396" a="1"/>
  <c r="C41" i="396"/>
  <c r="C40" i="396" a="1"/>
  <c r="C40" i="396" s="1"/>
  <c r="C39" i="396" a="1"/>
  <c r="C39" i="396" s="1"/>
  <c r="C38" i="396" a="1"/>
  <c r="C38" i="396" s="1"/>
  <c r="C37" i="396" a="1"/>
  <c r="C37" i="396" s="1"/>
  <c r="C35" i="396" a="1"/>
  <c r="C35" i="396" s="1"/>
  <c r="C34" i="396" a="1"/>
  <c r="C34" i="396" s="1"/>
  <c r="C33" i="396" a="1"/>
  <c r="C33" i="396" s="1"/>
  <c r="C31" i="396" a="1"/>
  <c r="C31" i="396" s="1"/>
  <c r="C30" i="396" a="1"/>
  <c r="C30" i="396" s="1"/>
  <c r="C28" i="396" a="1"/>
  <c r="C28" i="396" s="1"/>
  <c r="C26" i="396" a="1"/>
  <c r="C26" i="396" s="1"/>
  <c r="C23" i="396" a="1"/>
  <c r="C23" i="396"/>
  <c r="C22" i="396" a="1"/>
  <c r="C22" i="396" s="1"/>
  <c r="C20" i="396" a="1"/>
  <c r="C20" i="396"/>
  <c r="C18" i="396" a="1"/>
  <c r="C18" i="396" s="1"/>
  <c r="C17" i="396" a="1"/>
  <c r="C17" i="396"/>
  <c r="C16" i="396" a="1"/>
  <c r="C16" i="396" s="1"/>
  <c r="C14" i="396" a="1"/>
  <c r="C14" i="396" s="1"/>
  <c r="C13" i="396" a="1"/>
  <c r="C13" i="396" s="1"/>
  <c r="C12" i="396" a="1"/>
  <c r="C12" i="396" s="1"/>
  <c r="C10" i="396" a="1"/>
  <c r="C10" i="396" s="1"/>
  <c r="E7" i="396"/>
  <c r="E175" i="396" a="1"/>
  <c r="E175" i="396" s="1"/>
  <c r="E177" i="396" s="1"/>
  <c r="A4" i="396"/>
  <c r="A3" i="396"/>
  <c r="F94" i="396" a="1"/>
  <c r="F94" i="396" s="1"/>
  <c r="I183" i="395"/>
  <c r="H183" i="395"/>
  <c r="I182" i="395"/>
  <c r="H182" i="395"/>
  <c r="I181" i="395"/>
  <c r="H181" i="395"/>
  <c r="I180" i="395"/>
  <c r="H180" i="395"/>
  <c r="C175" i="395" a="1"/>
  <c r="C175" i="395" s="1"/>
  <c r="C177" i="395" s="1"/>
  <c r="I169" i="395"/>
  <c r="H169" i="395"/>
  <c r="I168" i="395"/>
  <c r="H168" i="395"/>
  <c r="C163" i="395" a="1"/>
  <c r="C163" i="395" s="1"/>
  <c r="C162" i="395" a="1"/>
  <c r="C162" i="395" s="1"/>
  <c r="C161" i="395" a="1"/>
  <c r="C161" i="395" s="1"/>
  <c r="C160" i="395" a="1"/>
  <c r="C160" i="395" s="1"/>
  <c r="C159" i="395" a="1"/>
  <c r="C159" i="395"/>
  <c r="C158" i="395" a="1"/>
  <c r="C158" i="395" s="1"/>
  <c r="C157" i="395" a="1"/>
  <c r="C157" i="395"/>
  <c r="C156" i="395" a="1"/>
  <c r="C156" i="395" s="1"/>
  <c r="C155" i="395" a="1"/>
  <c r="C155" i="395"/>
  <c r="I151" i="395"/>
  <c r="H151" i="395"/>
  <c r="I150" i="395"/>
  <c r="H150" i="395"/>
  <c r="I146" i="395"/>
  <c r="G146" i="395"/>
  <c r="H146" i="395"/>
  <c r="C145" i="395" a="1"/>
  <c r="C145" i="395" s="1"/>
  <c r="C144" i="395" s="1"/>
  <c r="G143" i="395" a="1"/>
  <c r="G143" i="395" s="1"/>
  <c r="C143" i="395" a="1"/>
  <c r="C143" i="395" s="1"/>
  <c r="C142" i="395" a="1"/>
  <c r="C142" i="395"/>
  <c r="C141" i="395" a="1"/>
  <c r="C141" i="395"/>
  <c r="C140" i="395" a="1"/>
  <c r="C140" i="395"/>
  <c r="I138" i="395"/>
  <c r="H138" i="395"/>
  <c r="C137" i="395" a="1"/>
  <c r="C137" i="395"/>
  <c r="C136" i="395" a="1"/>
  <c r="C136" i="395"/>
  <c r="C135" i="395" a="1"/>
  <c r="C135" i="395"/>
  <c r="C134" i="395" a="1"/>
  <c r="C134" i="395" s="1"/>
  <c r="C133" i="395" a="1"/>
  <c r="C133" i="395"/>
  <c r="C132" i="395" a="1"/>
  <c r="C132" i="395"/>
  <c r="C131" i="395" a="1"/>
  <c r="C131" i="395"/>
  <c r="C130" i="395" a="1"/>
  <c r="C130" i="395"/>
  <c r="C129" i="395" a="1"/>
  <c r="C129" i="395"/>
  <c r="C128" i="395" a="1"/>
  <c r="C128" i="395" s="1"/>
  <c r="C127" i="395" a="1"/>
  <c r="C127" i="395"/>
  <c r="C126" i="395" a="1"/>
  <c r="C126" i="395" s="1"/>
  <c r="C125" i="395" a="1"/>
  <c r="C125" i="395"/>
  <c r="C124" i="395" a="1"/>
  <c r="C124" i="395"/>
  <c r="C123" i="395" a="1"/>
  <c r="C123" i="395"/>
  <c r="C122" i="395" a="1"/>
  <c r="C122" i="395"/>
  <c r="C121" i="395" a="1"/>
  <c r="C121" i="395"/>
  <c r="C120" i="395" a="1"/>
  <c r="C120" i="395" s="1"/>
  <c r="C119" i="395" a="1"/>
  <c r="C119" i="395"/>
  <c r="C118" i="395" a="1"/>
  <c r="C118" i="395" s="1"/>
  <c r="C117" i="395" a="1"/>
  <c r="C117" i="395"/>
  <c r="C116" i="395" a="1"/>
  <c r="C116" i="395" s="1"/>
  <c r="C115" i="395" a="1"/>
  <c r="C115" i="395"/>
  <c r="C114" i="395" a="1"/>
  <c r="C114" i="395"/>
  <c r="C113" i="395" a="1"/>
  <c r="C113" i="395"/>
  <c r="C112" i="395" a="1"/>
  <c r="C112" i="395" s="1"/>
  <c r="C111" i="395" a="1"/>
  <c r="C111" i="395"/>
  <c r="C110" i="395" a="1"/>
  <c r="C110" i="395" s="1"/>
  <c r="C109" i="395" a="1"/>
  <c r="C109" i="395"/>
  <c r="C108" i="395" a="1"/>
  <c r="C108" i="395" s="1"/>
  <c r="C107" i="395" a="1"/>
  <c r="C107" i="395"/>
  <c r="C106" i="395" a="1"/>
  <c r="C106" i="395"/>
  <c r="C105" i="395" a="1"/>
  <c r="C105" i="395"/>
  <c r="C104" i="395" a="1"/>
  <c r="C104" i="395" s="1"/>
  <c r="C103" i="395" a="1"/>
  <c r="C103" i="395"/>
  <c r="C102" i="395" a="1"/>
  <c r="C102" i="395" s="1"/>
  <c r="C101" i="395" a="1"/>
  <c r="C101" i="395" s="1"/>
  <c r="C100" i="395" a="1"/>
  <c r="C100" i="395" s="1"/>
  <c r="C99" i="395" a="1"/>
  <c r="C99" i="395"/>
  <c r="C98" i="395" a="1"/>
  <c r="C98" i="395"/>
  <c r="C97" i="395" a="1"/>
  <c r="C97" i="395"/>
  <c r="C96" i="395" a="1"/>
  <c r="C96" i="395" s="1"/>
  <c r="C95" i="395" a="1"/>
  <c r="C95" i="395"/>
  <c r="C94" i="395" a="1"/>
  <c r="C94" i="395" s="1"/>
  <c r="C93" i="395" a="1"/>
  <c r="C93" i="395" s="1"/>
  <c r="C92" i="395" a="1"/>
  <c r="C92" i="395" s="1"/>
  <c r="C91" i="395" a="1"/>
  <c r="C91" i="395"/>
  <c r="C90" i="395" a="1"/>
  <c r="C90" i="395" s="1"/>
  <c r="C89" i="395" a="1"/>
  <c r="C89" i="395"/>
  <c r="C88" i="395" a="1"/>
  <c r="C88" i="395" s="1"/>
  <c r="C87" i="395" a="1"/>
  <c r="C87" i="395"/>
  <c r="C86" i="395" a="1"/>
  <c r="C86" i="395" s="1"/>
  <c r="C85" i="395" a="1"/>
  <c r="C85" i="395" s="1"/>
  <c r="C84" i="395" a="1"/>
  <c r="C84" i="395" s="1"/>
  <c r="C83" i="395" a="1"/>
  <c r="C83" i="395"/>
  <c r="C82" i="395" a="1"/>
  <c r="C82" i="395" s="1"/>
  <c r="C81" i="395" a="1"/>
  <c r="C81" i="395"/>
  <c r="C80" i="395" a="1"/>
  <c r="C80" i="395" s="1"/>
  <c r="C79" i="395" a="1"/>
  <c r="C79" i="395"/>
  <c r="C74" i="395" a="1"/>
  <c r="C74" i="395" s="1"/>
  <c r="C73" i="395" a="1"/>
  <c r="C73" i="395" s="1"/>
  <c r="C72" i="395" a="1"/>
  <c r="C72" i="395" s="1"/>
  <c r="C71" i="395" a="1"/>
  <c r="C71" i="395"/>
  <c r="C70" i="395" a="1"/>
  <c r="C70" i="395" s="1"/>
  <c r="C69" i="395" a="1"/>
  <c r="C69" i="395" s="1"/>
  <c r="C68" i="395" a="1"/>
  <c r="C68" i="395" s="1"/>
  <c r="C67" i="395" a="1"/>
  <c r="C67" i="395"/>
  <c r="C66" i="395" a="1"/>
  <c r="C66" i="395" s="1"/>
  <c r="C65" i="395" a="1"/>
  <c r="C65" i="395" s="1"/>
  <c r="C64" i="395" a="1"/>
  <c r="C64" i="395" s="1"/>
  <c r="C63" i="395" a="1"/>
  <c r="C63" i="395"/>
  <c r="C62" i="395" a="1"/>
  <c r="C62" i="395" s="1"/>
  <c r="C61" i="395" a="1"/>
  <c r="C61" i="395" s="1"/>
  <c r="C60" i="395" a="1"/>
  <c r="C60" i="395" s="1"/>
  <c r="C59" i="395" a="1"/>
  <c r="C59" i="395"/>
  <c r="C58" i="395" a="1"/>
  <c r="C58" i="395" s="1"/>
  <c r="C57" i="395" a="1"/>
  <c r="C57" i="395" s="1"/>
  <c r="C56" i="395" a="1"/>
  <c r="C56" i="395" s="1"/>
  <c r="C55" i="395" a="1"/>
  <c r="C55" i="395"/>
  <c r="C54" i="395" a="1"/>
  <c r="C54" i="395" s="1"/>
  <c r="C53" i="395" a="1"/>
  <c r="C53" i="395" s="1"/>
  <c r="C52" i="395" a="1"/>
  <c r="C52" i="395" s="1"/>
  <c r="I46" i="395"/>
  <c r="G46" i="395" a="1"/>
  <c r="G46" i="395" s="1"/>
  <c r="C45" i="395" a="1"/>
  <c r="C45" i="395" s="1"/>
  <c r="C44" i="395" a="1"/>
  <c r="C44" i="395" s="1"/>
  <c r="C43" i="395" a="1"/>
  <c r="C43" i="395" s="1"/>
  <c r="C42" i="395" a="1"/>
  <c r="C42" i="395"/>
  <c r="C41" i="395" a="1"/>
  <c r="C41" i="395" s="1"/>
  <c r="C40" i="395" a="1"/>
  <c r="C40" i="395" s="1"/>
  <c r="C39" i="395" a="1"/>
  <c r="C39" i="395" s="1"/>
  <c r="C38" i="395" a="1"/>
  <c r="C38" i="395"/>
  <c r="C37" i="395" a="1"/>
  <c r="C37" i="395" s="1"/>
  <c r="C35" i="395" a="1"/>
  <c r="C35" i="395" s="1"/>
  <c r="C34" i="395" a="1"/>
  <c r="C34" i="395" s="1"/>
  <c r="C33" i="395" a="1"/>
  <c r="C33" i="395"/>
  <c r="C31" i="395" a="1"/>
  <c r="C31" i="395" s="1"/>
  <c r="C30" i="395" a="1"/>
  <c r="C30" i="395" s="1"/>
  <c r="C28" i="395" a="1"/>
  <c r="C28" i="395" s="1"/>
  <c r="C26" i="395" a="1"/>
  <c r="C26" i="395"/>
  <c r="C23" i="395" a="1"/>
  <c r="C23" i="395" s="1"/>
  <c r="C22" i="395" a="1"/>
  <c r="C22" i="395" s="1"/>
  <c r="C20" i="395" a="1"/>
  <c r="C20" i="395" s="1"/>
  <c r="C18" i="395" a="1"/>
  <c r="C18" i="395"/>
  <c r="C17" i="395" a="1"/>
  <c r="C17" i="395" s="1"/>
  <c r="C16" i="395" a="1"/>
  <c r="C16" i="395" s="1"/>
  <c r="C14" i="395" a="1"/>
  <c r="C14" i="395" s="1"/>
  <c r="C13" i="395" a="1"/>
  <c r="C13" i="395"/>
  <c r="C12" i="395" a="1"/>
  <c r="C12" i="395" s="1"/>
  <c r="C10" i="395" a="1"/>
  <c r="C10" i="395" s="1"/>
  <c r="E7" i="395"/>
  <c r="E112" i="395" s="1" a="1"/>
  <c r="E112" i="395" s="1"/>
  <c r="A4" i="395"/>
  <c r="A3" i="395"/>
  <c r="F137" i="395" s="1" a="1"/>
  <c r="F137" i="395" s="1"/>
  <c r="I183" i="392"/>
  <c r="H183" i="392"/>
  <c r="I182" i="392"/>
  <c r="H182" i="392"/>
  <c r="I181" i="392"/>
  <c r="H181" i="392"/>
  <c r="I180" i="392"/>
  <c r="H180" i="392"/>
  <c r="C175" i="392" a="1"/>
  <c r="C175" i="392"/>
  <c r="C177" i="392" s="1"/>
  <c r="I169" i="392"/>
  <c r="H169" i="392"/>
  <c r="I168" i="392"/>
  <c r="H168" i="392"/>
  <c r="C163" i="392" a="1"/>
  <c r="C163" i="392" s="1"/>
  <c r="C162" i="392" a="1"/>
  <c r="C162" i="392" s="1"/>
  <c r="C161" i="392" a="1"/>
  <c r="C161" i="392" s="1"/>
  <c r="C160" i="392" a="1"/>
  <c r="C160" i="392"/>
  <c r="C159" i="392" a="1"/>
  <c r="C159" i="392" s="1"/>
  <c r="C158" i="392" a="1"/>
  <c r="C158" i="392" s="1"/>
  <c r="C157" i="392" a="1"/>
  <c r="C157" i="392" s="1"/>
  <c r="C156" i="392" a="1"/>
  <c r="C156" i="392"/>
  <c r="C155" i="392" a="1"/>
  <c r="C155" i="392" s="1"/>
  <c r="I151" i="392"/>
  <c r="H151" i="392"/>
  <c r="I150" i="392"/>
  <c r="H150" i="392"/>
  <c r="I146" i="392"/>
  <c r="G146" i="392"/>
  <c r="H146" i="392"/>
  <c r="C145" i="392" a="1"/>
  <c r="C145" i="392"/>
  <c r="C144" i="392" s="1"/>
  <c r="G143" i="392" a="1"/>
  <c r="G143" i="392" s="1"/>
  <c r="C143" i="392" a="1"/>
  <c r="C143" i="392"/>
  <c r="C142" i="392" a="1"/>
  <c r="C142" i="392" s="1"/>
  <c r="C141" i="392" a="1"/>
  <c r="C141" i="392"/>
  <c r="C140" i="392" a="1"/>
  <c r="C140" i="392"/>
  <c r="I138" i="392"/>
  <c r="H138" i="392"/>
  <c r="C137" i="392" a="1"/>
  <c r="C137" i="392"/>
  <c r="C136" i="392" a="1"/>
  <c r="C136" i="392"/>
  <c r="C135" i="392" a="1"/>
  <c r="C135" i="392"/>
  <c r="C134" i="392" a="1"/>
  <c r="C134" i="392"/>
  <c r="C133" i="392" a="1"/>
  <c r="C133" i="392" s="1"/>
  <c r="C132" i="392" a="1"/>
  <c r="C132" i="392"/>
  <c r="C131" i="392" a="1"/>
  <c r="C131" i="392"/>
  <c r="C130" i="392" a="1"/>
  <c r="C130" i="392"/>
  <c r="C129" i="392" a="1"/>
  <c r="C129" i="392"/>
  <c r="C128" i="392" a="1"/>
  <c r="C128" i="392"/>
  <c r="C127" i="392" a="1"/>
  <c r="C127" i="392"/>
  <c r="C126" i="392" a="1"/>
  <c r="C126" i="392"/>
  <c r="C125" i="392" a="1"/>
  <c r="C125" i="392" s="1"/>
  <c r="C124" i="392" a="1"/>
  <c r="C124" i="392" s="1"/>
  <c r="C123" i="392" a="1"/>
  <c r="C123" i="392"/>
  <c r="C122" i="392" a="1"/>
  <c r="C122" i="392"/>
  <c r="C121" i="392" a="1"/>
  <c r="C121" i="392"/>
  <c r="C120" i="392" a="1"/>
  <c r="C120" i="392"/>
  <c r="C119" i="392" a="1"/>
  <c r="C119" i="392"/>
  <c r="C118" i="392" a="1"/>
  <c r="C118" i="392"/>
  <c r="C117" i="392" a="1"/>
  <c r="C117" i="392" s="1"/>
  <c r="C116" i="392" a="1"/>
  <c r="C116" i="392" s="1"/>
  <c r="C115" i="392" a="1"/>
  <c r="C115" i="392"/>
  <c r="C114" i="392" a="1"/>
  <c r="C114" i="392" s="1"/>
  <c r="C113" i="392" a="1"/>
  <c r="C113" i="392"/>
  <c r="C112" i="392" a="1"/>
  <c r="C112" i="392"/>
  <c r="C111" i="392" a="1"/>
  <c r="C111" i="392"/>
  <c r="C110" i="392" a="1"/>
  <c r="C110" i="392" s="1"/>
  <c r="C109" i="392" a="1"/>
  <c r="C109" i="392" s="1"/>
  <c r="C108" i="392" a="1"/>
  <c r="C108" i="392" s="1"/>
  <c r="C107" i="392" a="1"/>
  <c r="C107" i="392"/>
  <c r="C106" i="392" a="1"/>
  <c r="C106" i="392" s="1"/>
  <c r="C105" i="392" a="1"/>
  <c r="C105" i="392"/>
  <c r="C104" i="392" a="1"/>
  <c r="C104" i="392"/>
  <c r="C103" i="392" a="1"/>
  <c r="C103" i="392"/>
  <c r="C102" i="392" a="1"/>
  <c r="C102" i="392" s="1"/>
  <c r="C101" i="392" a="1"/>
  <c r="C101" i="392" s="1"/>
  <c r="C100" i="392" a="1"/>
  <c r="C100" i="392" s="1"/>
  <c r="C99" i="392" a="1"/>
  <c r="C99" i="392"/>
  <c r="C98" i="392" a="1"/>
  <c r="C98" i="392" s="1"/>
  <c r="C97" i="392" a="1"/>
  <c r="C97" i="392"/>
  <c r="C96" i="392" a="1"/>
  <c r="C96" i="392"/>
  <c r="C95" i="392" a="1"/>
  <c r="C95" i="392"/>
  <c r="C94" i="392" a="1"/>
  <c r="C94" i="392" s="1"/>
  <c r="C93" i="392" a="1"/>
  <c r="C93" i="392" s="1"/>
  <c r="C92" i="392" a="1"/>
  <c r="C92" i="392" s="1"/>
  <c r="C91" i="392" a="1"/>
  <c r="C91" i="392"/>
  <c r="C90" i="392" a="1"/>
  <c r="C90" i="392" s="1"/>
  <c r="C89" i="392" a="1"/>
  <c r="C89" i="392"/>
  <c r="C88" i="392" a="1"/>
  <c r="C88" i="392"/>
  <c r="C87" i="392" a="1"/>
  <c r="C87" i="392"/>
  <c r="C86" i="392" a="1"/>
  <c r="C86" i="392" s="1"/>
  <c r="C85" i="392" a="1"/>
  <c r="C85" i="392" s="1"/>
  <c r="C84" i="392" a="1"/>
  <c r="C84" i="392" s="1"/>
  <c r="C83" i="392" a="1"/>
  <c r="C83" i="392"/>
  <c r="C82" i="392" a="1"/>
  <c r="C82" i="392" s="1"/>
  <c r="C81" i="392" a="1"/>
  <c r="C81" i="392"/>
  <c r="C80" i="392" a="1"/>
  <c r="C80" i="392"/>
  <c r="C79" i="392" a="1"/>
  <c r="C79" i="392"/>
  <c r="C74" i="392" a="1"/>
  <c r="C74" i="392" s="1"/>
  <c r="C73" i="392" a="1"/>
  <c r="C73" i="392" s="1"/>
  <c r="C72" i="392" a="1"/>
  <c r="C72" i="392" s="1"/>
  <c r="C71" i="392" a="1"/>
  <c r="C71" i="392"/>
  <c r="C70" i="392" a="1"/>
  <c r="C70" i="392" s="1"/>
  <c r="C69" i="392" a="1"/>
  <c r="C69" i="392"/>
  <c r="C68" i="392" a="1"/>
  <c r="C68" i="392"/>
  <c r="C67" i="392" a="1"/>
  <c r="C67" i="392"/>
  <c r="C66" i="392" a="1"/>
  <c r="C66" i="392" s="1"/>
  <c r="C65" i="392" a="1"/>
  <c r="C65" i="392" s="1"/>
  <c r="C64" i="392" a="1"/>
  <c r="C64" i="392" s="1"/>
  <c r="C63" i="392" a="1"/>
  <c r="C63" i="392"/>
  <c r="C62" i="392" a="1"/>
  <c r="C62" i="392" s="1"/>
  <c r="C61" i="392" a="1"/>
  <c r="C61" i="392"/>
  <c r="C60" i="392" a="1"/>
  <c r="C60" i="392" s="1"/>
  <c r="C59" i="392" a="1"/>
  <c r="C59" i="392"/>
  <c r="C58" i="392" a="1"/>
  <c r="C58" i="392" s="1"/>
  <c r="C57" i="392" a="1"/>
  <c r="C57" i="392" s="1"/>
  <c r="C56" i="392" a="1"/>
  <c r="C56" i="392" s="1"/>
  <c r="C55" i="392" a="1"/>
  <c r="C55" i="392"/>
  <c r="C54" i="392" a="1"/>
  <c r="C54" i="392" s="1"/>
  <c r="C53" i="392" a="1"/>
  <c r="C53" i="392"/>
  <c r="C52" i="392" a="1"/>
  <c r="C52" i="392" s="1"/>
  <c r="I46" i="392"/>
  <c r="G46" i="392" a="1"/>
  <c r="G46" i="392" s="1"/>
  <c r="E46" i="392" s="1"/>
  <c r="C45" i="392" a="1"/>
  <c r="C45" i="392" s="1"/>
  <c r="C44" i="392" a="1"/>
  <c r="C44" i="392" s="1"/>
  <c r="C43" i="392" a="1"/>
  <c r="C43" i="392" s="1"/>
  <c r="C42" i="392" a="1"/>
  <c r="C42" i="392"/>
  <c r="C41" i="392" a="1"/>
  <c r="C41" i="392" s="1"/>
  <c r="C40" i="392" a="1"/>
  <c r="C40" i="392" s="1"/>
  <c r="C39" i="392" a="1"/>
  <c r="C39" i="392" s="1"/>
  <c r="C38" i="392" a="1"/>
  <c r="C38" i="392"/>
  <c r="C37" i="392" a="1"/>
  <c r="C37" i="392" s="1"/>
  <c r="C35" i="392" a="1"/>
  <c r="C35" i="392" s="1"/>
  <c r="C34" i="392" a="1"/>
  <c r="C34" i="392" s="1"/>
  <c r="C33" i="392" a="1"/>
  <c r="C33" i="392"/>
  <c r="C31" i="392" a="1"/>
  <c r="C31" i="392" s="1"/>
  <c r="C30" i="392" a="1"/>
  <c r="C30" i="392" s="1"/>
  <c r="C28" i="392" a="1"/>
  <c r="C28" i="392" s="1"/>
  <c r="C26" i="392" a="1"/>
  <c r="C26" i="392"/>
  <c r="C23" i="392" a="1"/>
  <c r="C23" i="392" s="1"/>
  <c r="C22" i="392" a="1"/>
  <c r="C22" i="392" s="1"/>
  <c r="C20" i="392" a="1"/>
  <c r="C20" i="392" s="1"/>
  <c r="C18" i="392" a="1"/>
  <c r="C18" i="392"/>
  <c r="C17" i="392" a="1"/>
  <c r="C17" i="392" s="1"/>
  <c r="C16" i="392" a="1"/>
  <c r="C16" i="392" s="1"/>
  <c r="C14" i="392" a="1"/>
  <c r="C14" i="392" s="1"/>
  <c r="C13" i="392" a="1"/>
  <c r="C13" i="392"/>
  <c r="C12" i="392" a="1"/>
  <c r="C12" i="392" s="1"/>
  <c r="C10" i="392" a="1"/>
  <c r="C10" i="392" s="1"/>
  <c r="E7" i="392"/>
  <c r="E88" i="392" s="1" a="1"/>
  <c r="E88" i="392" s="1"/>
  <c r="A4" i="392"/>
  <c r="A3" i="392"/>
  <c r="F163" i="392" s="1" a="1"/>
  <c r="F163" i="392" s="1"/>
  <c r="I183" i="408"/>
  <c r="H183" i="408"/>
  <c r="I182" i="408"/>
  <c r="H182" i="408"/>
  <c r="I181" i="408"/>
  <c r="H181" i="408"/>
  <c r="I180" i="408"/>
  <c r="H180" i="408"/>
  <c r="I176" i="408"/>
  <c r="H176" i="408"/>
  <c r="C175" i="408" a="1"/>
  <c r="C175" i="408"/>
  <c r="C177" i="408" s="1"/>
  <c r="I174" i="408"/>
  <c r="H174" i="408"/>
  <c r="I169" i="408"/>
  <c r="H169" i="408"/>
  <c r="I168" i="408"/>
  <c r="H168" i="408"/>
  <c r="C163" i="408" a="1"/>
  <c r="C163" i="408" s="1"/>
  <c r="C162" i="408" a="1"/>
  <c r="C162" i="408"/>
  <c r="C161" i="408" a="1"/>
  <c r="C161" i="408" s="1"/>
  <c r="C160" i="408" a="1"/>
  <c r="C160" i="408" s="1"/>
  <c r="C159" i="408" a="1"/>
  <c r="C159" i="408" s="1"/>
  <c r="C158" i="408" a="1"/>
  <c r="C158" i="408"/>
  <c r="C157" i="408" a="1"/>
  <c r="C157" i="408" s="1"/>
  <c r="C156" i="408" a="1"/>
  <c r="C156" i="408" s="1"/>
  <c r="C155" i="408" a="1"/>
  <c r="C155" i="408" s="1"/>
  <c r="I151" i="408"/>
  <c r="H151" i="408"/>
  <c r="I150" i="408"/>
  <c r="H150" i="408"/>
  <c r="I146" i="408"/>
  <c r="G146" i="408"/>
  <c r="H146" i="408"/>
  <c r="C145" i="408" a="1"/>
  <c r="C145" i="408"/>
  <c r="C144" i="408"/>
  <c r="C143" i="408" a="1"/>
  <c r="C143" i="408" s="1"/>
  <c r="C142" i="408" a="1"/>
  <c r="C142" i="408" s="1"/>
  <c r="C141" i="408" a="1"/>
  <c r="C141" i="408" s="1"/>
  <c r="C140" i="408" a="1"/>
  <c r="C140" i="408" s="1"/>
  <c r="I138" i="408"/>
  <c r="H138" i="408"/>
  <c r="C137" i="408" a="1"/>
  <c r="C137" i="408" s="1"/>
  <c r="C136" i="408" a="1"/>
  <c r="C136" i="408" s="1"/>
  <c r="C135" i="408" a="1"/>
  <c r="C135" i="408" s="1"/>
  <c r="C134" i="408" a="1"/>
  <c r="C134" i="408" s="1"/>
  <c r="C133" i="408" a="1"/>
  <c r="C133" i="408" s="1"/>
  <c r="C132" i="408" a="1"/>
  <c r="C132" i="408" s="1"/>
  <c r="C131" i="408" a="1"/>
  <c r="C131" i="408" s="1"/>
  <c r="C130" i="408" a="1"/>
  <c r="C130" i="408" s="1"/>
  <c r="C129" i="408" a="1"/>
  <c r="C129" i="408" s="1"/>
  <c r="C128" i="408" a="1"/>
  <c r="C128" i="408" s="1"/>
  <c r="C127" i="408" a="1"/>
  <c r="C127" i="408" s="1"/>
  <c r="C126" i="408" a="1"/>
  <c r="C126" i="408" s="1"/>
  <c r="C125" i="408" a="1"/>
  <c r="C125" i="408" s="1"/>
  <c r="C124" i="408" a="1"/>
  <c r="C124" i="408" s="1"/>
  <c r="C123" i="408" a="1"/>
  <c r="C123" i="408" s="1"/>
  <c r="C122" i="408" a="1"/>
  <c r="C122" i="408" s="1"/>
  <c r="C121" i="408" a="1"/>
  <c r="C121" i="408" s="1"/>
  <c r="C120" i="408" a="1"/>
  <c r="C120" i="408" s="1"/>
  <c r="C119" i="408" a="1"/>
  <c r="C119" i="408" s="1"/>
  <c r="C118" i="408" a="1"/>
  <c r="C118" i="408" s="1"/>
  <c r="C117" i="408" a="1"/>
  <c r="C117" i="408" s="1"/>
  <c r="C116" i="408" a="1"/>
  <c r="C116" i="408" s="1"/>
  <c r="C115" i="408" a="1"/>
  <c r="C115" i="408" s="1"/>
  <c r="C114" i="408" a="1"/>
  <c r="C114" i="408" s="1"/>
  <c r="C113" i="408" a="1"/>
  <c r="C113" i="408" s="1"/>
  <c r="C112" i="408" a="1"/>
  <c r="C112" i="408" s="1"/>
  <c r="C111" i="408" a="1"/>
  <c r="C111" i="408" s="1"/>
  <c r="C110" i="408" a="1"/>
  <c r="C110" i="408" s="1"/>
  <c r="C109" i="408" a="1"/>
  <c r="C109" i="408" s="1"/>
  <c r="C108" i="408" a="1"/>
  <c r="C108" i="408" s="1"/>
  <c r="C107" i="408" a="1"/>
  <c r="C107" i="408" s="1"/>
  <c r="C106" i="408" a="1"/>
  <c r="C106" i="408" s="1"/>
  <c r="C105" i="408" a="1"/>
  <c r="C105" i="408" s="1"/>
  <c r="C104" i="408" a="1"/>
  <c r="C104" i="408" s="1"/>
  <c r="C103" i="408" a="1"/>
  <c r="C103" i="408" s="1"/>
  <c r="C102" i="408" a="1"/>
  <c r="C102" i="408" s="1"/>
  <c r="C101" i="408" a="1"/>
  <c r="C101" i="408" s="1"/>
  <c r="C100" i="408" a="1"/>
  <c r="C100" i="408" s="1"/>
  <c r="C99" i="408" a="1"/>
  <c r="C99" i="408" s="1"/>
  <c r="C98" i="408" a="1"/>
  <c r="C98" i="408" s="1"/>
  <c r="C97" i="408" a="1"/>
  <c r="C97" i="408" s="1"/>
  <c r="C96" i="408" a="1"/>
  <c r="C96" i="408" s="1"/>
  <c r="C95" i="408" a="1"/>
  <c r="C95" i="408" s="1"/>
  <c r="C94" i="408" a="1"/>
  <c r="C94" i="408" s="1"/>
  <c r="C93" i="408" a="1"/>
  <c r="C93" i="408" s="1"/>
  <c r="C92" i="408" a="1"/>
  <c r="C92" i="408" s="1"/>
  <c r="C91" i="408" a="1"/>
  <c r="C91" i="408" s="1"/>
  <c r="C90" i="408" a="1"/>
  <c r="C90" i="408" s="1"/>
  <c r="C89" i="408" a="1"/>
  <c r="C89" i="408" s="1"/>
  <c r="C88" i="408" a="1"/>
  <c r="C88" i="408" s="1"/>
  <c r="C87" i="408" a="1"/>
  <c r="C87" i="408" s="1"/>
  <c r="C86" i="408" a="1"/>
  <c r="C86" i="408" s="1"/>
  <c r="C85" i="408" a="1"/>
  <c r="C85" i="408" s="1"/>
  <c r="C84" i="408" a="1"/>
  <c r="C84" i="408" s="1"/>
  <c r="C83" i="408" a="1"/>
  <c r="C83" i="408" s="1"/>
  <c r="C82" i="408" a="1"/>
  <c r="C82" i="408" s="1"/>
  <c r="C81" i="408" a="1"/>
  <c r="C81" i="408" s="1"/>
  <c r="C80" i="408" a="1"/>
  <c r="C80" i="408" s="1"/>
  <c r="C79" i="408" a="1"/>
  <c r="C79" i="408" s="1"/>
  <c r="C74" i="408" a="1"/>
  <c r="C74" i="408" s="1"/>
  <c r="C73" i="408" a="1"/>
  <c r="C73" i="408" s="1"/>
  <c r="C72" i="408" a="1"/>
  <c r="C72" i="408" s="1"/>
  <c r="C71" i="408" a="1"/>
  <c r="C71" i="408" s="1"/>
  <c r="C70" i="408" a="1"/>
  <c r="C70" i="408" s="1"/>
  <c r="C69" i="408" a="1"/>
  <c r="C69" i="408" s="1"/>
  <c r="C68" i="408" a="1"/>
  <c r="C68" i="408" s="1"/>
  <c r="C67" i="408" a="1"/>
  <c r="C67" i="408" s="1"/>
  <c r="C66" i="408" a="1"/>
  <c r="C66" i="408" s="1"/>
  <c r="C65" i="408" a="1"/>
  <c r="C65" i="408" s="1"/>
  <c r="C64" i="408" a="1"/>
  <c r="C64" i="408" s="1"/>
  <c r="C63" i="408" a="1"/>
  <c r="C63" i="408" s="1"/>
  <c r="C62" i="408" a="1"/>
  <c r="C62" i="408" s="1"/>
  <c r="C61" i="408" a="1"/>
  <c r="C61" i="408" s="1"/>
  <c r="C60" i="408" a="1"/>
  <c r="C60" i="408" s="1"/>
  <c r="C59" i="408" a="1"/>
  <c r="C59" i="408" s="1"/>
  <c r="C58" i="408" a="1"/>
  <c r="C58" i="408" s="1"/>
  <c r="C57" i="408" a="1"/>
  <c r="C57" i="408" s="1"/>
  <c r="C56" i="408" a="1"/>
  <c r="C56" i="408" s="1"/>
  <c r="C55" i="408" a="1"/>
  <c r="C55" i="408" s="1"/>
  <c r="C54" i="408" a="1"/>
  <c r="C54" i="408" s="1"/>
  <c r="C53" i="408" a="1"/>
  <c r="C53" i="408" s="1"/>
  <c r="C52" i="408" a="1"/>
  <c r="C52" i="408" s="1"/>
  <c r="I46" i="408"/>
  <c r="G46" i="408" a="1"/>
  <c r="G46" i="408" s="1"/>
  <c r="C45" i="408" a="1"/>
  <c r="C45" i="408" s="1"/>
  <c r="C44" i="408" a="1"/>
  <c r="C44" i="408" s="1"/>
  <c r="C43" i="408" a="1"/>
  <c r="C43" i="408" s="1"/>
  <c r="C42" i="408" a="1"/>
  <c r="C42" i="408" s="1"/>
  <c r="C41" i="408" a="1"/>
  <c r="C41" i="408" s="1"/>
  <c r="C40" i="408" a="1"/>
  <c r="C40" i="408" s="1"/>
  <c r="C39" i="408" a="1"/>
  <c r="C39" i="408" s="1"/>
  <c r="C38" i="408" a="1"/>
  <c r="C38" i="408" s="1"/>
  <c r="C37" i="408" a="1"/>
  <c r="C37" i="408" s="1"/>
  <c r="C35" i="408" a="1"/>
  <c r="C35" i="408" s="1"/>
  <c r="C34" i="408" a="1"/>
  <c r="C34" i="408" s="1"/>
  <c r="C33" i="408" a="1"/>
  <c r="C33" i="408" s="1"/>
  <c r="C31" i="408" a="1"/>
  <c r="C31" i="408" s="1"/>
  <c r="C30" i="408" a="1"/>
  <c r="C30" i="408" s="1"/>
  <c r="C28" i="408" a="1"/>
  <c r="C28" i="408" s="1"/>
  <c r="C26" i="408" a="1"/>
  <c r="C26" i="408" s="1"/>
  <c r="C23" i="408" a="1"/>
  <c r="C23" i="408" s="1"/>
  <c r="C22" i="408" a="1"/>
  <c r="C22" i="408" s="1"/>
  <c r="C20" i="408" a="1"/>
  <c r="C20" i="408" s="1"/>
  <c r="C18" i="408" a="1"/>
  <c r="C18" i="408" s="1"/>
  <c r="C17" i="408" a="1"/>
  <c r="C17" i="408" s="1"/>
  <c r="C16" i="408" a="1"/>
  <c r="C16" i="408" s="1"/>
  <c r="C14" i="408" a="1"/>
  <c r="C14" i="408" s="1"/>
  <c r="C13" i="408" a="1"/>
  <c r="C13" i="408" s="1"/>
  <c r="C12" i="408" a="1"/>
  <c r="C12" i="408" s="1"/>
  <c r="C10" i="408" a="1"/>
  <c r="C10" i="408" s="1"/>
  <c r="E7" i="408"/>
  <c r="A4" i="408"/>
  <c r="A3" i="408"/>
  <c r="F161" i="408" s="1" a="1"/>
  <c r="F161" i="408" s="1"/>
  <c r="I183" i="407"/>
  <c r="H183" i="407"/>
  <c r="I182" i="407"/>
  <c r="H182" i="407"/>
  <c r="I181" i="407"/>
  <c r="H181" i="407"/>
  <c r="I180" i="407"/>
  <c r="H180" i="407"/>
  <c r="I176" i="407"/>
  <c r="H176" i="407"/>
  <c r="C175" i="407" a="1"/>
  <c r="C175" i="407" s="1"/>
  <c r="C177" i="407" s="1"/>
  <c r="I174" i="407"/>
  <c r="H174" i="407"/>
  <c r="I169" i="407"/>
  <c r="H169" i="407"/>
  <c r="I168" i="407"/>
  <c r="H168" i="407"/>
  <c r="C163" i="407" a="1"/>
  <c r="C163" i="407"/>
  <c r="C162" i="407" a="1"/>
  <c r="C162" i="407"/>
  <c r="C161" i="407" a="1"/>
  <c r="C161" i="407"/>
  <c r="C160" i="407" a="1"/>
  <c r="C160" i="407"/>
  <c r="C159" i="407" a="1"/>
  <c r="C159" i="407"/>
  <c r="C158" i="407" a="1"/>
  <c r="C158" i="407"/>
  <c r="C157" i="407" a="1"/>
  <c r="C157" i="407"/>
  <c r="C156" i="407" a="1"/>
  <c r="C156" i="407"/>
  <c r="C155" i="407" a="1"/>
  <c r="C155" i="407"/>
  <c r="I151" i="407"/>
  <c r="H151" i="407"/>
  <c r="I150" i="407"/>
  <c r="H150" i="407"/>
  <c r="I146" i="407"/>
  <c r="G146" i="407"/>
  <c r="H146" i="407" s="1"/>
  <c r="C145" i="407" a="1"/>
  <c r="C145" i="407" s="1"/>
  <c r="C144" i="407" s="1"/>
  <c r="C143" i="407" a="1"/>
  <c r="C143" i="407"/>
  <c r="C142" i="407" a="1"/>
  <c r="C142" i="407"/>
  <c r="C141" i="407" a="1"/>
  <c r="C141" i="407"/>
  <c r="C140" i="407" a="1"/>
  <c r="C140" i="407"/>
  <c r="I138" i="407"/>
  <c r="H138" i="407"/>
  <c r="C137" i="407" a="1"/>
  <c r="C137" i="407"/>
  <c r="C136" i="407" a="1"/>
  <c r="C136" i="407"/>
  <c r="C135" i="407" a="1"/>
  <c r="C135" i="407"/>
  <c r="C134" i="407" a="1"/>
  <c r="C134" i="407"/>
  <c r="C133" i="407" a="1"/>
  <c r="C133" i="407"/>
  <c r="C132" i="407" a="1"/>
  <c r="C132" i="407"/>
  <c r="C131" i="407" a="1"/>
  <c r="C131" i="407"/>
  <c r="C130" i="407" a="1"/>
  <c r="C130" i="407"/>
  <c r="C129" i="407" a="1"/>
  <c r="C129" i="407"/>
  <c r="C128" i="407" a="1"/>
  <c r="C128" i="407"/>
  <c r="C127" i="407" a="1"/>
  <c r="C127" i="407"/>
  <c r="C126" i="407" a="1"/>
  <c r="C126" i="407"/>
  <c r="C125" i="407" a="1"/>
  <c r="C125" i="407"/>
  <c r="C124" i="407" a="1"/>
  <c r="C124" i="407"/>
  <c r="C123" i="407" a="1"/>
  <c r="C123" i="407"/>
  <c r="C122" i="407" a="1"/>
  <c r="C122" i="407"/>
  <c r="C121" i="407" a="1"/>
  <c r="C121" i="407"/>
  <c r="C120" i="407" a="1"/>
  <c r="C120" i="407"/>
  <c r="C119" i="407" a="1"/>
  <c r="C119" i="407"/>
  <c r="C118" i="407" a="1"/>
  <c r="C118" i="407"/>
  <c r="C117" i="407" a="1"/>
  <c r="C117" i="407"/>
  <c r="C116" i="407" a="1"/>
  <c r="C116" i="407"/>
  <c r="C115" i="407" a="1"/>
  <c r="C115" i="407"/>
  <c r="C114" i="407" a="1"/>
  <c r="C114" i="407"/>
  <c r="C113" i="407" a="1"/>
  <c r="C113" i="407"/>
  <c r="C112" i="407" a="1"/>
  <c r="C112" i="407"/>
  <c r="C111" i="407" a="1"/>
  <c r="C111" i="407"/>
  <c r="C110" i="407" a="1"/>
  <c r="C110" i="407"/>
  <c r="C109" i="407" a="1"/>
  <c r="C109" i="407"/>
  <c r="C108" i="407" a="1"/>
  <c r="C108" i="407"/>
  <c r="C107" i="407" a="1"/>
  <c r="C107" i="407"/>
  <c r="C106" i="407" a="1"/>
  <c r="C106" i="407"/>
  <c r="C105" i="407" a="1"/>
  <c r="C105" i="407"/>
  <c r="C104" i="407" a="1"/>
  <c r="C104" i="407"/>
  <c r="C103" i="407" a="1"/>
  <c r="C103" i="407"/>
  <c r="C102" i="407" a="1"/>
  <c r="C102" i="407"/>
  <c r="C101" i="407" a="1"/>
  <c r="C101" i="407"/>
  <c r="C100" i="407" a="1"/>
  <c r="C100" i="407"/>
  <c r="C99" i="407" a="1"/>
  <c r="C99" i="407"/>
  <c r="C98" i="407" a="1"/>
  <c r="C98" i="407"/>
  <c r="C97" i="407" a="1"/>
  <c r="C97" i="407"/>
  <c r="C96" i="407" a="1"/>
  <c r="C96" i="407"/>
  <c r="C95" i="407" a="1"/>
  <c r="C95" i="407"/>
  <c r="C94" i="407" a="1"/>
  <c r="C94" i="407"/>
  <c r="C93" i="407" a="1"/>
  <c r="C93" i="407"/>
  <c r="C92" i="407" a="1"/>
  <c r="C92" i="407"/>
  <c r="C91" i="407" a="1"/>
  <c r="C91" i="407"/>
  <c r="C90" i="407" a="1"/>
  <c r="C90" i="407"/>
  <c r="C89" i="407" a="1"/>
  <c r="C89" i="407"/>
  <c r="C88" i="407" a="1"/>
  <c r="C88" i="407"/>
  <c r="C87" i="407" a="1"/>
  <c r="C87" i="407"/>
  <c r="C86" i="407" a="1"/>
  <c r="C86" i="407"/>
  <c r="C85" i="407" a="1"/>
  <c r="C85" i="407"/>
  <c r="C84" i="407" a="1"/>
  <c r="C84" i="407"/>
  <c r="C83" i="407" a="1"/>
  <c r="C83" i="407"/>
  <c r="C82" i="407" a="1"/>
  <c r="C82" i="407"/>
  <c r="C81" i="407" a="1"/>
  <c r="C81" i="407"/>
  <c r="C80" i="407" a="1"/>
  <c r="C80" i="407"/>
  <c r="C79" i="407" a="1"/>
  <c r="C79" i="407"/>
  <c r="C74" i="407" a="1"/>
  <c r="C74" i="407"/>
  <c r="C73" i="407" a="1"/>
  <c r="C73" i="407"/>
  <c r="C72" i="407" a="1"/>
  <c r="C72" i="407"/>
  <c r="C71" i="407" a="1"/>
  <c r="C71" i="407"/>
  <c r="C70" i="407" a="1"/>
  <c r="C70" i="407"/>
  <c r="C69" i="407" a="1"/>
  <c r="C69" i="407"/>
  <c r="C68" i="407" a="1"/>
  <c r="C68" i="407"/>
  <c r="C67" i="407" a="1"/>
  <c r="C67" i="407"/>
  <c r="C66" i="407" a="1"/>
  <c r="C66" i="407"/>
  <c r="C65" i="407" a="1"/>
  <c r="C65" i="407"/>
  <c r="C64" i="407" a="1"/>
  <c r="C64" i="407"/>
  <c r="C63" i="407" a="1"/>
  <c r="C63" i="407"/>
  <c r="C62" i="407" a="1"/>
  <c r="C62" i="407"/>
  <c r="C61" i="407" a="1"/>
  <c r="C61" i="407"/>
  <c r="C60" i="407" a="1"/>
  <c r="C60" i="407"/>
  <c r="C59" i="407" a="1"/>
  <c r="C59" i="407"/>
  <c r="C58" i="407" a="1"/>
  <c r="C58" i="407"/>
  <c r="C57" i="407" a="1"/>
  <c r="C57" i="407"/>
  <c r="C56" i="407" a="1"/>
  <c r="C56" i="407"/>
  <c r="C55" i="407" a="1"/>
  <c r="C55" i="407"/>
  <c r="C54" i="407" a="1"/>
  <c r="C54" i="407"/>
  <c r="C53" i="407" a="1"/>
  <c r="C53" i="407"/>
  <c r="C52" i="407" a="1"/>
  <c r="C52" i="407"/>
  <c r="I46" i="407"/>
  <c r="G46" i="407" a="1"/>
  <c r="G46" i="407" s="1"/>
  <c r="C45" i="407" a="1"/>
  <c r="C45" i="407"/>
  <c r="C44" i="407" a="1"/>
  <c r="C44" i="407"/>
  <c r="C43" i="407" a="1"/>
  <c r="C43" i="407"/>
  <c r="C42" i="407" a="1"/>
  <c r="C42" i="407"/>
  <c r="C41" i="407" a="1"/>
  <c r="C41" i="407"/>
  <c r="C40" i="407" a="1"/>
  <c r="C40" i="407"/>
  <c r="C39" i="407" a="1"/>
  <c r="C39" i="407"/>
  <c r="C38" i="407" a="1"/>
  <c r="C38" i="407"/>
  <c r="C37" i="407" a="1"/>
  <c r="C37" i="407"/>
  <c r="C35" i="407" a="1"/>
  <c r="C35" i="407"/>
  <c r="C34" i="407" a="1"/>
  <c r="C34" i="407"/>
  <c r="C33" i="407" a="1"/>
  <c r="C33" i="407"/>
  <c r="C31" i="407" a="1"/>
  <c r="C31" i="407"/>
  <c r="C30" i="407" a="1"/>
  <c r="C30" i="407"/>
  <c r="C28" i="407" a="1"/>
  <c r="C28" i="407"/>
  <c r="C26" i="407" a="1"/>
  <c r="C26" i="407"/>
  <c r="C23" i="407" a="1"/>
  <c r="C23" i="407"/>
  <c r="C22" i="407" a="1"/>
  <c r="C22" i="407"/>
  <c r="C20" i="407" a="1"/>
  <c r="C20" i="407"/>
  <c r="C18" i="407" a="1"/>
  <c r="C18" i="407"/>
  <c r="C17" i="407" a="1"/>
  <c r="C17" i="407"/>
  <c r="C16" i="407" a="1"/>
  <c r="C16" i="407"/>
  <c r="C14" i="407" a="1"/>
  <c r="C14" i="407"/>
  <c r="C13" i="407" a="1"/>
  <c r="C13" i="407"/>
  <c r="C12" i="407" a="1"/>
  <c r="C12" i="407" s="1"/>
  <c r="C10" i="407" a="1"/>
  <c r="C10" i="407"/>
  <c r="E7" i="407"/>
  <c r="E175" i="407" a="1"/>
  <c r="E175" i="407" s="1"/>
  <c r="A4" i="407"/>
  <c r="A3" i="407"/>
  <c r="F162" i="407" a="1"/>
  <c r="F162" i="407" s="1"/>
  <c r="I183" i="389"/>
  <c r="H183" i="389"/>
  <c r="I182" i="389"/>
  <c r="H182" i="389"/>
  <c r="I181" i="389"/>
  <c r="H181" i="389"/>
  <c r="I180" i="389"/>
  <c r="H180" i="389"/>
  <c r="I176" i="389"/>
  <c r="H176" i="389"/>
  <c r="C175" i="389" a="1"/>
  <c r="C175" i="389" s="1"/>
  <c r="C177" i="389" s="1"/>
  <c r="I174" i="389"/>
  <c r="H174" i="389"/>
  <c r="I169" i="389"/>
  <c r="H169" i="389"/>
  <c r="I168" i="389"/>
  <c r="H168" i="389"/>
  <c r="C163" i="389" a="1"/>
  <c r="C163" i="389" s="1"/>
  <c r="C162" i="389" a="1"/>
  <c r="C162" i="389"/>
  <c r="C161" i="389" a="1"/>
  <c r="C161" i="389" s="1"/>
  <c r="C160" i="389" a="1"/>
  <c r="C160" i="389"/>
  <c r="C159" i="389" a="1"/>
  <c r="C159" i="389"/>
  <c r="C158" i="389" a="1"/>
  <c r="C158" i="389"/>
  <c r="C157" i="389" a="1"/>
  <c r="C157" i="389" s="1"/>
  <c r="C156" i="389" a="1"/>
  <c r="C156" i="389"/>
  <c r="C155" i="389" a="1"/>
  <c r="C155" i="389" s="1"/>
  <c r="I151" i="389"/>
  <c r="H151" i="389"/>
  <c r="I150" i="389"/>
  <c r="H150" i="389"/>
  <c r="I146" i="389"/>
  <c r="G146" i="389"/>
  <c r="H146" i="389" s="1"/>
  <c r="C145" i="389" a="1"/>
  <c r="C145" i="389" s="1"/>
  <c r="C144" i="389" s="1"/>
  <c r="C143" i="389" a="1"/>
  <c r="C143" i="389" s="1"/>
  <c r="C142" i="389" a="1"/>
  <c r="C142" i="389"/>
  <c r="C141" i="389" a="1"/>
  <c r="C141" i="389" s="1"/>
  <c r="C140" i="389" a="1"/>
  <c r="C140" i="389"/>
  <c r="I138" i="389"/>
  <c r="H138" i="389"/>
  <c r="C137" i="389" a="1"/>
  <c r="C137" i="389"/>
  <c r="C136" i="389" a="1"/>
  <c r="C136" i="389"/>
  <c r="C135" i="389" a="1"/>
  <c r="C135" i="389"/>
  <c r="C134" i="389" a="1"/>
  <c r="C134" i="389" s="1"/>
  <c r="C133" i="389" a="1"/>
  <c r="C133" i="389" s="1"/>
  <c r="C132" i="389" a="1"/>
  <c r="C132" i="389" s="1"/>
  <c r="C131" i="389" a="1"/>
  <c r="C131" i="389"/>
  <c r="C130" i="389" a="1"/>
  <c r="C130" i="389" s="1"/>
  <c r="C129" i="389" a="1"/>
  <c r="C129" i="389"/>
  <c r="C128" i="389" a="1"/>
  <c r="C128" i="389" s="1"/>
  <c r="C127" i="389" a="1"/>
  <c r="C127" i="389"/>
  <c r="C126" i="389" a="1"/>
  <c r="C126" i="389" s="1"/>
  <c r="C125" i="389" a="1"/>
  <c r="C125" i="389" s="1"/>
  <c r="C124" i="389" a="1"/>
  <c r="C124" i="389" s="1"/>
  <c r="C123" i="389" a="1"/>
  <c r="C123" i="389"/>
  <c r="C122" i="389" a="1"/>
  <c r="C122" i="389" s="1"/>
  <c r="C121" i="389" a="1"/>
  <c r="C121" i="389"/>
  <c r="C120" i="389" a="1"/>
  <c r="C120" i="389" s="1"/>
  <c r="C119" i="389" a="1"/>
  <c r="C119" i="389"/>
  <c r="C118" i="389" a="1"/>
  <c r="C118" i="389" s="1"/>
  <c r="C117" i="389" a="1"/>
  <c r="C117" i="389" s="1"/>
  <c r="C116" i="389" a="1"/>
  <c r="C116" i="389" s="1"/>
  <c r="C115" i="389" a="1"/>
  <c r="C115" i="389" s="1"/>
  <c r="C114" i="389" a="1"/>
  <c r="C114" i="389" s="1"/>
  <c r="C113" i="389" a="1"/>
  <c r="C113" i="389"/>
  <c r="C112" i="389" a="1"/>
  <c r="C112" i="389" s="1"/>
  <c r="C111" i="389" a="1"/>
  <c r="C111" i="389"/>
  <c r="C110" i="389" a="1"/>
  <c r="C110" i="389" s="1"/>
  <c r="C109" i="389" a="1"/>
  <c r="C109" i="389" s="1"/>
  <c r="C108" i="389" a="1"/>
  <c r="C108" i="389" s="1"/>
  <c r="C107" i="389" a="1"/>
  <c r="C107" i="389" s="1"/>
  <c r="C106" i="389" a="1"/>
  <c r="C106" i="389" s="1"/>
  <c r="C105" i="389" a="1"/>
  <c r="C105" i="389"/>
  <c r="C104" i="389" a="1"/>
  <c r="C104" i="389" s="1"/>
  <c r="C103" i="389" a="1"/>
  <c r="C103" i="389" s="1"/>
  <c r="C102" i="389" a="1"/>
  <c r="C102" i="389" s="1"/>
  <c r="C101" i="389" a="1"/>
  <c r="C101" i="389" s="1"/>
  <c r="C100" i="389" a="1"/>
  <c r="C100" i="389" s="1"/>
  <c r="C99" i="389" a="1"/>
  <c r="C99" i="389" s="1"/>
  <c r="C98" i="389" a="1"/>
  <c r="C98" i="389" s="1"/>
  <c r="C97" i="389" a="1"/>
  <c r="C97" i="389"/>
  <c r="C96" i="389" a="1"/>
  <c r="C96" i="389" s="1"/>
  <c r="C95" i="389" a="1"/>
  <c r="C95" i="389" s="1"/>
  <c r="C94" i="389" a="1"/>
  <c r="C94" i="389" s="1"/>
  <c r="C93" i="389" a="1"/>
  <c r="C93" i="389" s="1"/>
  <c r="C92" i="389" a="1"/>
  <c r="C92" i="389" s="1"/>
  <c r="C91" i="389" a="1"/>
  <c r="C91" i="389" s="1"/>
  <c r="C90" i="389" a="1"/>
  <c r="C90" i="389" s="1"/>
  <c r="C89" i="389" a="1"/>
  <c r="C89" i="389"/>
  <c r="C88" i="389" a="1"/>
  <c r="C88" i="389" s="1"/>
  <c r="C87" i="389" a="1"/>
  <c r="C87" i="389" s="1"/>
  <c r="C86" i="389" a="1"/>
  <c r="C86" i="389" s="1"/>
  <c r="C85" i="389" a="1"/>
  <c r="C85" i="389" s="1"/>
  <c r="C84" i="389" a="1"/>
  <c r="C84" i="389" s="1"/>
  <c r="C83" i="389" a="1"/>
  <c r="C83" i="389" s="1"/>
  <c r="C82" i="389" a="1"/>
  <c r="C82" i="389" s="1"/>
  <c r="C81" i="389" a="1"/>
  <c r="C81" i="389"/>
  <c r="C80" i="389" a="1"/>
  <c r="C80" i="389" s="1"/>
  <c r="C79" i="389" a="1"/>
  <c r="C79" i="389" s="1"/>
  <c r="C74" i="389" a="1"/>
  <c r="C74" i="389" s="1"/>
  <c r="C73" i="389" a="1"/>
  <c r="C73" i="389" s="1"/>
  <c r="C72" i="389" a="1"/>
  <c r="C72" i="389" s="1"/>
  <c r="C71" i="389" a="1"/>
  <c r="C71" i="389" s="1"/>
  <c r="C70" i="389" a="1"/>
  <c r="C70" i="389" s="1"/>
  <c r="C69" i="389" a="1"/>
  <c r="C69" i="389"/>
  <c r="C68" i="389" a="1"/>
  <c r="C68" i="389" s="1"/>
  <c r="C67" i="389" a="1"/>
  <c r="C67" i="389" s="1"/>
  <c r="C66" i="389" a="1"/>
  <c r="C66" i="389" s="1"/>
  <c r="C65" i="389" a="1"/>
  <c r="C65" i="389" s="1"/>
  <c r="C64" i="389" a="1"/>
  <c r="C64" i="389" s="1"/>
  <c r="C63" i="389" a="1"/>
  <c r="C63" i="389" s="1"/>
  <c r="C62" i="389" a="1"/>
  <c r="C62" i="389" s="1"/>
  <c r="C61" i="389" a="1"/>
  <c r="C61" i="389"/>
  <c r="C60" i="389" a="1"/>
  <c r="C60" i="389" s="1"/>
  <c r="C59" i="389" a="1"/>
  <c r="C59" i="389" s="1"/>
  <c r="C58" i="389" a="1"/>
  <c r="C58" i="389" s="1"/>
  <c r="C57" i="389" a="1"/>
  <c r="C57" i="389" s="1"/>
  <c r="C56" i="389" a="1"/>
  <c r="C56" i="389" s="1"/>
  <c r="C55" i="389" a="1"/>
  <c r="C55" i="389" s="1"/>
  <c r="C54" i="389" a="1"/>
  <c r="C54" i="389" s="1"/>
  <c r="C53" i="389" a="1"/>
  <c r="C53" i="389"/>
  <c r="C52" i="389" a="1"/>
  <c r="C52" i="389" s="1"/>
  <c r="I46" i="389"/>
  <c r="G46" i="389" a="1"/>
  <c r="G46" i="389" s="1"/>
  <c r="C45" i="389" a="1"/>
  <c r="C45" i="389" s="1"/>
  <c r="C44" i="389" a="1"/>
  <c r="C44" i="389" s="1"/>
  <c r="C43" i="389" a="1"/>
  <c r="C43" i="389" s="1"/>
  <c r="C42" i="389" a="1"/>
  <c r="C42" i="389" s="1"/>
  <c r="C41" i="389" a="1"/>
  <c r="C41" i="389" s="1"/>
  <c r="C40" i="389" a="1"/>
  <c r="C40" i="389"/>
  <c r="C39" i="389" a="1"/>
  <c r="C39" i="389" s="1"/>
  <c r="C38" i="389" a="1"/>
  <c r="C38" i="389" s="1"/>
  <c r="C37" i="389" a="1"/>
  <c r="C37" i="389" s="1"/>
  <c r="C35" i="389" a="1"/>
  <c r="C35" i="389" s="1"/>
  <c r="C34" i="389" a="1"/>
  <c r="C34" i="389" s="1"/>
  <c r="C33" i="389" a="1"/>
  <c r="C33" i="389" s="1"/>
  <c r="C31" i="389" a="1"/>
  <c r="C31" i="389" s="1"/>
  <c r="C30" i="389" a="1"/>
  <c r="C30" i="389"/>
  <c r="C28" i="389" a="1"/>
  <c r="C28" i="389" s="1"/>
  <c r="C26" i="389" a="1"/>
  <c r="C26" i="389" s="1"/>
  <c r="C23" i="389" a="1"/>
  <c r="C23" i="389" s="1"/>
  <c r="C22" i="389" a="1"/>
  <c r="C22" i="389" s="1"/>
  <c r="C20" i="389" a="1"/>
  <c r="C20" i="389" s="1"/>
  <c r="C18" i="389" a="1"/>
  <c r="C18" i="389" s="1"/>
  <c r="C17" i="389" a="1"/>
  <c r="C17" i="389" s="1"/>
  <c r="C16" i="389" a="1"/>
  <c r="C16" i="389"/>
  <c r="C14" i="389" a="1"/>
  <c r="C14" i="389" s="1"/>
  <c r="C13" i="389" a="1"/>
  <c r="C13" i="389" s="1"/>
  <c r="C12" i="389" a="1"/>
  <c r="C12" i="389" s="1"/>
  <c r="C10" i="389" a="1"/>
  <c r="C10" i="389" s="1"/>
  <c r="E7" i="389"/>
  <c r="E175" i="389" s="1" a="1"/>
  <c r="E175" i="389" s="1"/>
  <c r="A4" i="389"/>
  <c r="A3" i="389"/>
  <c r="F162" i="389" a="1"/>
  <c r="F162" i="389" s="1"/>
  <c r="I183" i="360"/>
  <c r="H183" i="360"/>
  <c r="I182" i="360"/>
  <c r="H182" i="360"/>
  <c r="I181" i="360"/>
  <c r="H181" i="360"/>
  <c r="I180" i="360"/>
  <c r="H180" i="360"/>
  <c r="E175" i="360" a="1"/>
  <c r="E175" i="360" s="1"/>
  <c r="C175" i="360" a="1"/>
  <c r="C175" i="360" s="1"/>
  <c r="C177" i="360" s="1"/>
  <c r="I169" i="360"/>
  <c r="H169" i="360"/>
  <c r="I168" i="360"/>
  <c r="H168" i="360"/>
  <c r="E163" i="360" a="1"/>
  <c r="E163" i="360" s="1"/>
  <c r="C163" i="360" a="1"/>
  <c r="C163" i="360"/>
  <c r="E162" i="360" a="1"/>
  <c r="E162" i="360" s="1"/>
  <c r="C162" i="360" a="1"/>
  <c r="C162" i="360"/>
  <c r="E161" i="360" a="1"/>
  <c r="E161" i="360" s="1"/>
  <c r="C161" i="360" a="1"/>
  <c r="C161" i="360" s="1"/>
  <c r="E160" i="360" a="1"/>
  <c r="E160" i="360" s="1"/>
  <c r="C160" i="360" a="1"/>
  <c r="C160" i="360"/>
  <c r="E159" i="360" a="1"/>
  <c r="E159" i="360" s="1"/>
  <c r="C159" i="360" a="1"/>
  <c r="C159" i="360" s="1"/>
  <c r="E158" i="360" a="1"/>
  <c r="E158" i="360" s="1"/>
  <c r="C158" i="360" a="1"/>
  <c r="C158" i="360"/>
  <c r="E157" i="360" a="1"/>
  <c r="E157" i="360" s="1"/>
  <c r="C157" i="360" a="1"/>
  <c r="C157" i="360" s="1"/>
  <c r="E156" i="360" a="1"/>
  <c r="E156" i="360" s="1"/>
  <c r="C156" i="360" a="1"/>
  <c r="C156" i="360"/>
  <c r="E155" i="360" a="1"/>
  <c r="E155" i="360" s="1"/>
  <c r="C155" i="360" a="1"/>
  <c r="C155" i="360" s="1"/>
  <c r="I151" i="360"/>
  <c r="H151" i="360"/>
  <c r="I150" i="360"/>
  <c r="H150" i="360"/>
  <c r="I146" i="360"/>
  <c r="G146" i="360"/>
  <c r="H146" i="360"/>
  <c r="E145" i="360" a="1"/>
  <c r="E145" i="360" s="1"/>
  <c r="C145" i="360" a="1"/>
  <c r="C145" i="360" s="1"/>
  <c r="C144" i="360" s="1"/>
  <c r="G143" i="360" a="1"/>
  <c r="G143" i="360" s="1"/>
  <c r="C143" i="360" a="1"/>
  <c r="C143" i="360" s="1"/>
  <c r="E142" i="360" a="1"/>
  <c r="E142" i="360" s="1"/>
  <c r="C142" i="360" a="1"/>
  <c r="C142" i="360"/>
  <c r="E141" i="360" a="1"/>
  <c r="E141" i="360" s="1"/>
  <c r="C141" i="360" a="1"/>
  <c r="C141" i="360" s="1"/>
  <c r="E140" i="360" a="1"/>
  <c r="E140" i="360" s="1"/>
  <c r="C140" i="360" a="1"/>
  <c r="C140" i="360"/>
  <c r="I138" i="360"/>
  <c r="H138" i="360"/>
  <c r="E137" i="360" a="1"/>
  <c r="E137" i="360" s="1"/>
  <c r="C137" i="360" a="1"/>
  <c r="C137" i="360" s="1"/>
  <c r="E136" i="360" a="1"/>
  <c r="E136" i="360" s="1"/>
  <c r="C136" i="360" a="1"/>
  <c r="C136" i="360"/>
  <c r="E135" i="360" a="1"/>
  <c r="E135" i="360" s="1"/>
  <c r="C135" i="360" a="1"/>
  <c r="C135" i="360" s="1"/>
  <c r="E134" i="360" a="1"/>
  <c r="E134" i="360" s="1"/>
  <c r="C134" i="360" a="1"/>
  <c r="C134" i="360"/>
  <c r="E133" i="360" a="1"/>
  <c r="E133" i="360" s="1"/>
  <c r="C133" i="360" a="1"/>
  <c r="C133" i="360"/>
  <c r="E132" i="360" a="1"/>
  <c r="E132" i="360" s="1"/>
  <c r="C132" i="360" a="1"/>
  <c r="C132" i="360"/>
  <c r="E131" i="360" a="1"/>
  <c r="E131" i="360" s="1"/>
  <c r="C131" i="360" a="1"/>
  <c r="C131" i="360" s="1"/>
  <c r="E130" i="360" a="1"/>
  <c r="E130" i="360" s="1"/>
  <c r="C130" i="360" a="1"/>
  <c r="C130" i="360"/>
  <c r="E129" i="360" a="1"/>
  <c r="E129" i="360" s="1"/>
  <c r="C129" i="360" a="1"/>
  <c r="C129" i="360" s="1"/>
  <c r="E128" i="360" a="1"/>
  <c r="E128" i="360" s="1"/>
  <c r="C128" i="360" a="1"/>
  <c r="C128" i="360"/>
  <c r="E127" i="360" a="1"/>
  <c r="E127" i="360" s="1"/>
  <c r="C127" i="360" a="1"/>
  <c r="C127" i="360" s="1"/>
  <c r="E126" i="360" a="1"/>
  <c r="E126" i="360" s="1"/>
  <c r="C126" i="360" a="1"/>
  <c r="C126" i="360"/>
  <c r="E125" i="360" a="1"/>
  <c r="E125" i="360" s="1"/>
  <c r="C125" i="360" a="1"/>
  <c r="C125" i="360" s="1"/>
  <c r="E124" i="360" a="1"/>
  <c r="E124" i="360" s="1"/>
  <c r="C124" i="360" a="1"/>
  <c r="C124" i="360"/>
  <c r="E123" i="360" a="1"/>
  <c r="E123" i="360" s="1"/>
  <c r="C123" i="360" a="1"/>
  <c r="C123" i="360" s="1"/>
  <c r="E122" i="360" a="1"/>
  <c r="E122" i="360" s="1"/>
  <c r="C122" i="360" a="1"/>
  <c r="C122" i="360" s="1"/>
  <c r="E121" i="360" a="1"/>
  <c r="E121" i="360" s="1"/>
  <c r="C121" i="360" a="1"/>
  <c r="C121" i="360" s="1"/>
  <c r="E120" i="360" a="1"/>
  <c r="E120" i="360" s="1"/>
  <c r="C120" i="360" a="1"/>
  <c r="C120" i="360"/>
  <c r="E119" i="360" a="1"/>
  <c r="E119" i="360" s="1"/>
  <c r="C119" i="360" a="1"/>
  <c r="C119" i="360" s="1"/>
  <c r="E118" i="360" a="1"/>
  <c r="E118" i="360" s="1"/>
  <c r="C118" i="360" a="1"/>
  <c r="C118" i="360"/>
  <c r="E117" i="360" a="1"/>
  <c r="E117" i="360" s="1"/>
  <c r="C117" i="360" a="1"/>
  <c r="C117" i="360"/>
  <c r="E116" i="360" a="1"/>
  <c r="E116" i="360" s="1"/>
  <c r="C116" i="360" a="1"/>
  <c r="C116" i="360"/>
  <c r="E115" i="360" a="1"/>
  <c r="E115" i="360" s="1"/>
  <c r="C115" i="360" a="1"/>
  <c r="C115" i="360" s="1"/>
  <c r="E114" i="360" a="1"/>
  <c r="E114" i="360" s="1"/>
  <c r="C114" i="360" a="1"/>
  <c r="C114" i="360"/>
  <c r="E113" i="360" a="1"/>
  <c r="E113" i="360" s="1"/>
  <c r="C113" i="360" a="1"/>
  <c r="C113" i="360" s="1"/>
  <c r="E112" i="360" a="1"/>
  <c r="E112" i="360" s="1"/>
  <c r="C112" i="360" a="1"/>
  <c r="C112" i="360"/>
  <c r="E111" i="360" a="1"/>
  <c r="E111" i="360" s="1"/>
  <c r="C111" i="360" a="1"/>
  <c r="C111" i="360" s="1"/>
  <c r="E110" i="360" a="1"/>
  <c r="E110" i="360" s="1"/>
  <c r="C110" i="360" a="1"/>
  <c r="C110" i="360"/>
  <c r="E109" i="360" a="1"/>
  <c r="E109" i="360" s="1"/>
  <c r="C109" i="360" a="1"/>
  <c r="C109" i="360" s="1"/>
  <c r="E108" i="360" a="1"/>
  <c r="E108" i="360" s="1"/>
  <c r="C108" i="360" a="1"/>
  <c r="C108" i="360"/>
  <c r="E107" i="360" a="1"/>
  <c r="E107" i="360" s="1"/>
  <c r="C107" i="360" a="1"/>
  <c r="C107" i="360" s="1"/>
  <c r="E106" i="360" a="1"/>
  <c r="E106" i="360" s="1"/>
  <c r="C106" i="360" a="1"/>
  <c r="C106" i="360" s="1"/>
  <c r="E105" i="360" a="1"/>
  <c r="E105" i="360" s="1"/>
  <c r="C105" i="360" a="1"/>
  <c r="C105" i="360" s="1"/>
  <c r="E104" i="360" a="1"/>
  <c r="E104" i="360" s="1"/>
  <c r="C104" i="360" a="1"/>
  <c r="C104" i="360"/>
  <c r="E103" i="360" a="1"/>
  <c r="E103" i="360" s="1"/>
  <c r="C103" i="360" a="1"/>
  <c r="C103" i="360" s="1"/>
  <c r="E102" i="360" a="1"/>
  <c r="E102" i="360" s="1"/>
  <c r="C102" i="360" a="1"/>
  <c r="C102" i="360"/>
  <c r="E101" i="360" a="1"/>
  <c r="E101" i="360" s="1"/>
  <c r="C101" i="360" a="1"/>
  <c r="C101" i="360"/>
  <c r="E100" i="360" a="1"/>
  <c r="E100" i="360" s="1"/>
  <c r="C100" i="360" a="1"/>
  <c r="C100" i="360"/>
  <c r="E99" i="360" a="1"/>
  <c r="E99" i="360" s="1"/>
  <c r="C99" i="360" a="1"/>
  <c r="C99" i="360" s="1"/>
  <c r="E98" i="360" a="1"/>
  <c r="E98" i="360" s="1"/>
  <c r="C98" i="360" a="1"/>
  <c r="C98" i="360"/>
  <c r="E97" i="360" a="1"/>
  <c r="E97" i="360" s="1"/>
  <c r="C97" i="360" a="1"/>
  <c r="C97" i="360" s="1"/>
  <c r="E96" i="360" a="1"/>
  <c r="E96" i="360" s="1"/>
  <c r="C96" i="360" a="1"/>
  <c r="C96" i="360"/>
  <c r="E95" i="360" a="1"/>
  <c r="E95" i="360" s="1"/>
  <c r="C95" i="360" a="1"/>
  <c r="C95" i="360" s="1"/>
  <c r="E94" i="360" a="1"/>
  <c r="E94" i="360" s="1"/>
  <c r="C94" i="360" a="1"/>
  <c r="C94" i="360"/>
  <c r="E93" i="360" a="1"/>
  <c r="E93" i="360" s="1"/>
  <c r="C93" i="360" a="1"/>
  <c r="C93" i="360" s="1"/>
  <c r="E92" i="360" a="1"/>
  <c r="E92" i="360" s="1"/>
  <c r="C92" i="360" a="1"/>
  <c r="C92" i="360"/>
  <c r="E91" i="360" a="1"/>
  <c r="E91" i="360" s="1"/>
  <c r="C91" i="360" a="1"/>
  <c r="C91" i="360" s="1"/>
  <c r="E90" i="360" a="1"/>
  <c r="E90" i="360" s="1"/>
  <c r="C90" i="360" a="1"/>
  <c r="C90" i="360" s="1"/>
  <c r="E89" i="360" a="1"/>
  <c r="E89" i="360" s="1"/>
  <c r="C89" i="360" a="1"/>
  <c r="C89" i="360" s="1"/>
  <c r="E88" i="360" a="1"/>
  <c r="E88" i="360" s="1"/>
  <c r="C88" i="360" a="1"/>
  <c r="C88" i="360"/>
  <c r="E87" i="360" a="1"/>
  <c r="E87" i="360" s="1"/>
  <c r="C87" i="360" a="1"/>
  <c r="C87" i="360" s="1"/>
  <c r="E86" i="360" a="1"/>
  <c r="E86" i="360" s="1"/>
  <c r="C86" i="360" a="1"/>
  <c r="C86" i="360"/>
  <c r="E85" i="360" a="1"/>
  <c r="E85" i="360" s="1"/>
  <c r="C85" i="360" a="1"/>
  <c r="C85" i="360"/>
  <c r="E84" i="360" a="1"/>
  <c r="E84" i="360" s="1"/>
  <c r="C84" i="360" a="1"/>
  <c r="C84" i="360"/>
  <c r="E83" i="360" a="1"/>
  <c r="E83" i="360" s="1"/>
  <c r="C83" i="360" a="1"/>
  <c r="C83" i="360" s="1"/>
  <c r="E82" i="360" a="1"/>
  <c r="E82" i="360" s="1"/>
  <c r="C82" i="360" a="1"/>
  <c r="C82" i="360"/>
  <c r="E81" i="360" a="1"/>
  <c r="E81" i="360" s="1"/>
  <c r="C81" i="360" a="1"/>
  <c r="C81" i="360" s="1"/>
  <c r="E80" i="360" a="1"/>
  <c r="E80" i="360" s="1"/>
  <c r="C80" i="360" a="1"/>
  <c r="C80" i="360"/>
  <c r="E79" i="360" a="1"/>
  <c r="E79" i="360" s="1"/>
  <c r="C79" i="360" a="1"/>
  <c r="C79" i="360" s="1"/>
  <c r="E74" i="360" a="1"/>
  <c r="E74" i="360" s="1"/>
  <c r="C74" i="360" a="1"/>
  <c r="C74" i="360"/>
  <c r="E73" i="360" a="1"/>
  <c r="E73" i="360" s="1"/>
  <c r="C73" i="360" a="1"/>
  <c r="C73" i="360" s="1"/>
  <c r="E72" i="360" a="1"/>
  <c r="E72" i="360" s="1"/>
  <c r="C72" i="360" a="1"/>
  <c r="C72" i="360"/>
  <c r="E71" i="360" a="1"/>
  <c r="E71" i="360" s="1"/>
  <c r="C71" i="360" a="1"/>
  <c r="C71" i="360" s="1"/>
  <c r="E70" i="360" a="1"/>
  <c r="E70" i="360" s="1"/>
  <c r="C70" i="360" a="1"/>
  <c r="C70" i="360" s="1"/>
  <c r="E69" i="360" a="1"/>
  <c r="E69" i="360" s="1"/>
  <c r="C69" i="360" a="1"/>
  <c r="C69" i="360" s="1"/>
  <c r="E68" i="360" a="1"/>
  <c r="E68" i="360" s="1"/>
  <c r="C68" i="360" a="1"/>
  <c r="C68" i="360"/>
  <c r="E67" i="360" a="1"/>
  <c r="E67" i="360" s="1"/>
  <c r="C67" i="360" a="1"/>
  <c r="C67" i="360" s="1"/>
  <c r="E66" i="360" a="1"/>
  <c r="E66" i="360" s="1"/>
  <c r="C66" i="360" a="1"/>
  <c r="C66" i="360"/>
  <c r="E65" i="360" a="1"/>
  <c r="E65" i="360" s="1"/>
  <c r="C65" i="360" a="1"/>
  <c r="C65" i="360"/>
  <c r="E64" i="360" a="1"/>
  <c r="E64" i="360" s="1"/>
  <c r="C64" i="360" a="1"/>
  <c r="C64" i="360"/>
  <c r="E63" i="360" a="1"/>
  <c r="E63" i="360" s="1"/>
  <c r="C63" i="360" a="1"/>
  <c r="C63" i="360" s="1"/>
  <c r="E62" i="360" a="1"/>
  <c r="E62" i="360" s="1"/>
  <c r="C62" i="360" a="1"/>
  <c r="C62" i="360"/>
  <c r="E61" i="360" a="1"/>
  <c r="E61" i="360" s="1"/>
  <c r="C61" i="360" a="1"/>
  <c r="C61" i="360" s="1"/>
  <c r="E60" i="360" a="1"/>
  <c r="E60" i="360" s="1"/>
  <c r="C60" i="360" a="1"/>
  <c r="C60" i="360"/>
  <c r="E59" i="360" a="1"/>
  <c r="E59" i="360" s="1"/>
  <c r="C59" i="360" a="1"/>
  <c r="C59" i="360" s="1"/>
  <c r="E58" i="360" a="1"/>
  <c r="E58" i="360" s="1"/>
  <c r="C58" i="360" a="1"/>
  <c r="C58" i="360"/>
  <c r="E57" i="360" a="1"/>
  <c r="E57" i="360" s="1"/>
  <c r="C57" i="360" a="1"/>
  <c r="C57" i="360" s="1"/>
  <c r="E56" i="360" a="1"/>
  <c r="E56" i="360" s="1"/>
  <c r="C56" i="360" a="1"/>
  <c r="C56" i="360"/>
  <c r="E55" i="360" a="1"/>
  <c r="E55" i="360" s="1"/>
  <c r="C55" i="360" a="1"/>
  <c r="C55" i="360" s="1"/>
  <c r="E54" i="360" a="1"/>
  <c r="E54" i="360" s="1"/>
  <c r="C54" i="360" a="1"/>
  <c r="C54" i="360" s="1"/>
  <c r="E53" i="360" a="1"/>
  <c r="E53" i="360" s="1"/>
  <c r="C53" i="360" a="1"/>
  <c r="C53" i="360" s="1"/>
  <c r="E52" i="360" a="1"/>
  <c r="E52" i="360" s="1"/>
  <c r="C52" i="360" a="1"/>
  <c r="C52" i="360"/>
  <c r="I46" i="360"/>
  <c r="G46" i="360" a="1"/>
  <c r="G46" i="360" s="1"/>
  <c r="E45" i="360" a="1"/>
  <c r="E45" i="360" s="1"/>
  <c r="C45" i="360" a="1"/>
  <c r="C45" i="360" s="1"/>
  <c r="E44" i="360" a="1"/>
  <c r="E44" i="360" s="1"/>
  <c r="C44" i="360" a="1"/>
  <c r="C44" i="360"/>
  <c r="E43" i="360" a="1"/>
  <c r="E43" i="360" s="1"/>
  <c r="C43" i="360" a="1"/>
  <c r="C43" i="360" s="1"/>
  <c r="E42" i="360" a="1"/>
  <c r="E42" i="360" s="1"/>
  <c r="C42" i="360" a="1"/>
  <c r="C42" i="360"/>
  <c r="E41" i="360" a="1"/>
  <c r="E41" i="360" s="1"/>
  <c r="C41" i="360" a="1"/>
  <c r="C41" i="360" s="1"/>
  <c r="E40" i="360" a="1"/>
  <c r="E40" i="360" s="1"/>
  <c r="C40" i="360" a="1"/>
  <c r="C40" i="360"/>
  <c r="E39" i="360" a="1"/>
  <c r="E39" i="360" s="1"/>
  <c r="C39" i="360" a="1"/>
  <c r="C39" i="360" s="1"/>
  <c r="E38" i="360" a="1"/>
  <c r="E38" i="360" s="1"/>
  <c r="C38" i="360" a="1"/>
  <c r="C38" i="360" s="1"/>
  <c r="E37" i="360" a="1"/>
  <c r="E37" i="360" s="1"/>
  <c r="C37" i="360" a="1"/>
  <c r="C37" i="360" s="1"/>
  <c r="E35" i="360" a="1"/>
  <c r="E35" i="360" s="1"/>
  <c r="C35" i="360" a="1"/>
  <c r="C35" i="360"/>
  <c r="E34" i="360" a="1"/>
  <c r="E34" i="360" s="1"/>
  <c r="C34" i="360" a="1"/>
  <c r="C34" i="360" s="1"/>
  <c r="E33" i="360" a="1"/>
  <c r="E33" i="360" s="1"/>
  <c r="C33" i="360" a="1"/>
  <c r="C33" i="360"/>
  <c r="E31" i="360" a="1"/>
  <c r="E31" i="360" s="1"/>
  <c r="C31" i="360" a="1"/>
  <c r="C31" i="360"/>
  <c r="E30" i="360" a="1"/>
  <c r="E30" i="360" s="1"/>
  <c r="C30" i="360" a="1"/>
  <c r="C30" i="360"/>
  <c r="E28" i="360" a="1"/>
  <c r="E28" i="360" s="1"/>
  <c r="C28" i="360" a="1"/>
  <c r="C28" i="360" s="1"/>
  <c r="E26" i="360" a="1"/>
  <c r="E26" i="360" s="1"/>
  <c r="C26" i="360" a="1"/>
  <c r="C26" i="360"/>
  <c r="E23" i="360" a="1"/>
  <c r="E23" i="360" s="1"/>
  <c r="C23" i="360" a="1"/>
  <c r="C23" i="360" s="1"/>
  <c r="E22" i="360" a="1"/>
  <c r="E22" i="360" s="1"/>
  <c r="C22" i="360" a="1"/>
  <c r="C22" i="360"/>
  <c r="E20" i="360" a="1"/>
  <c r="E20" i="360" s="1"/>
  <c r="C20" i="360" a="1"/>
  <c r="C20" i="360" s="1"/>
  <c r="E18" i="360" a="1"/>
  <c r="E18" i="360" s="1"/>
  <c r="C18" i="360" a="1"/>
  <c r="C18" i="360"/>
  <c r="E17" i="360" a="1"/>
  <c r="E17" i="360" s="1"/>
  <c r="C17" i="360" a="1"/>
  <c r="C17" i="360" s="1"/>
  <c r="E16" i="360" a="1"/>
  <c r="E16" i="360" s="1"/>
  <c r="C16" i="360" a="1"/>
  <c r="C16" i="360"/>
  <c r="E14" i="360" a="1"/>
  <c r="E14" i="360" s="1"/>
  <c r="C14" i="360" a="1"/>
  <c r="C14" i="360" s="1"/>
  <c r="E13" i="360" a="1"/>
  <c r="E13" i="360" s="1"/>
  <c r="C13" i="360" a="1"/>
  <c r="C13" i="360" s="1"/>
  <c r="E12" i="360" a="1"/>
  <c r="E12" i="360" s="1"/>
  <c r="C12" i="360" a="1"/>
  <c r="C12" i="360" s="1"/>
  <c r="E10" i="360" a="1"/>
  <c r="E10" i="360" s="1"/>
  <c r="C10" i="360" a="1"/>
  <c r="C10" i="360"/>
  <c r="A4" i="360"/>
  <c r="A3" i="360"/>
  <c r="F160" i="360" s="1" a="1"/>
  <c r="F160" i="360" s="1"/>
  <c r="S96" i="348" a="1"/>
  <c r="S96" i="348" s="1"/>
  <c r="R96" i="348" a="1"/>
  <c r="R96" i="348" s="1"/>
  <c r="Q96" i="348" a="1"/>
  <c r="Q96" i="348" s="1"/>
  <c r="P96" i="348" a="1"/>
  <c r="P96" i="348" s="1"/>
  <c r="O96" i="348" a="1"/>
  <c r="O96" i="348" s="1"/>
  <c r="M96" i="348" a="1"/>
  <c r="M96" i="348" s="1"/>
  <c r="L96" i="348" a="1"/>
  <c r="L96" i="348" s="1"/>
  <c r="K96" i="348" a="1"/>
  <c r="K96" i="348" s="1"/>
  <c r="J96" i="348" a="1"/>
  <c r="J96" i="348" s="1"/>
  <c r="H96" i="348" a="1"/>
  <c r="H96" i="348" s="1"/>
  <c r="G96" i="348" a="1"/>
  <c r="G96" i="348" s="1"/>
  <c r="F96" i="348" a="1"/>
  <c r="F96" i="348" s="1"/>
  <c r="E96" i="348" a="1"/>
  <c r="E96" i="348" s="1"/>
  <c r="C96" i="348"/>
  <c r="S95" i="348" a="1"/>
  <c r="S95" i="348" s="1"/>
  <c r="R95" i="348" a="1"/>
  <c r="R95" i="348" s="1"/>
  <c r="Q95" i="348" a="1"/>
  <c r="Q95" i="348" s="1"/>
  <c r="P95" i="348" a="1"/>
  <c r="P95" i="348" s="1"/>
  <c r="O95" i="348" a="1"/>
  <c r="O95" i="348" s="1"/>
  <c r="M95" i="348" a="1"/>
  <c r="M95" i="348" s="1"/>
  <c r="L95" i="348" a="1"/>
  <c r="L95" i="348" s="1"/>
  <c r="K95" i="348" a="1"/>
  <c r="K95" i="348" s="1"/>
  <c r="J95" i="348" a="1"/>
  <c r="J95" i="348" s="1"/>
  <c r="H95" i="348" a="1"/>
  <c r="H95" i="348" s="1"/>
  <c r="G95" i="348" a="1"/>
  <c r="G95" i="348" s="1"/>
  <c r="F95" i="348" a="1"/>
  <c r="F95" i="348" s="1"/>
  <c r="E95" i="348" a="1"/>
  <c r="E95" i="348" s="1"/>
  <c r="C95" i="348"/>
  <c r="S94" i="348" a="1"/>
  <c r="S94" i="348" s="1"/>
  <c r="R94" i="348" a="1"/>
  <c r="R94" i="348" s="1"/>
  <c r="Q94" i="348" a="1"/>
  <c r="Q94" i="348" s="1"/>
  <c r="P94" i="348" a="1"/>
  <c r="P94" i="348" s="1"/>
  <c r="O94" i="348" a="1"/>
  <c r="O94" i="348" s="1"/>
  <c r="M94" i="348" a="1"/>
  <c r="M94" i="348" s="1"/>
  <c r="L94" i="348" a="1"/>
  <c r="L94" i="348" s="1"/>
  <c r="K94" i="348" a="1"/>
  <c r="K94" i="348" s="1"/>
  <c r="J94" i="348" a="1"/>
  <c r="J94" i="348" s="1"/>
  <c r="H94" i="348" a="1"/>
  <c r="H94" i="348" s="1"/>
  <c r="G94" i="348" a="1"/>
  <c r="G94" i="348" s="1"/>
  <c r="F94" i="348" a="1"/>
  <c r="F94" i="348" s="1"/>
  <c r="E94" i="348" a="1"/>
  <c r="E94" i="348" s="1"/>
  <c r="C94" i="348"/>
  <c r="S93" i="348" a="1"/>
  <c r="S93" i="348" s="1"/>
  <c r="R93" i="348" a="1"/>
  <c r="R93" i="348" s="1"/>
  <c r="Q93" i="348" a="1"/>
  <c r="Q93" i="348" s="1"/>
  <c r="P93" i="348" a="1"/>
  <c r="P93" i="348" s="1"/>
  <c r="O93" i="348" a="1"/>
  <c r="O93" i="348" s="1"/>
  <c r="M93" i="348" a="1"/>
  <c r="M93" i="348" s="1"/>
  <c r="L93" i="348" a="1"/>
  <c r="L93" i="348" s="1"/>
  <c r="K93" i="348" a="1"/>
  <c r="K93" i="348" s="1"/>
  <c r="J93" i="348" a="1"/>
  <c r="J93" i="348" s="1"/>
  <c r="H93" i="348" a="1"/>
  <c r="H93" i="348" s="1"/>
  <c r="G93" i="348" a="1"/>
  <c r="G93" i="348" s="1"/>
  <c r="F93" i="348" a="1"/>
  <c r="F93" i="348" s="1"/>
  <c r="E93" i="348" a="1"/>
  <c r="E93" i="348" s="1"/>
  <c r="C93" i="348"/>
  <c r="S92" i="348" a="1"/>
  <c r="S92" i="348" s="1"/>
  <c r="R92" i="348" a="1"/>
  <c r="R92" i="348" s="1"/>
  <c r="Q92" i="348" a="1"/>
  <c r="Q92" i="348" s="1"/>
  <c r="P92" i="348" a="1"/>
  <c r="P92" i="348" s="1"/>
  <c r="O92" i="348" a="1"/>
  <c r="O92" i="348" s="1"/>
  <c r="M92" i="348" a="1"/>
  <c r="M92" i="348" s="1"/>
  <c r="L92" i="348" a="1"/>
  <c r="L92" i="348" s="1"/>
  <c r="K92" i="348" a="1"/>
  <c r="K92" i="348" s="1"/>
  <c r="J92" i="348" a="1"/>
  <c r="J92" i="348" s="1"/>
  <c r="H92" i="348" a="1"/>
  <c r="H92" i="348" s="1"/>
  <c r="G92" i="348" a="1"/>
  <c r="G92" i="348" s="1"/>
  <c r="F92" i="348" a="1"/>
  <c r="F92" i="348" s="1"/>
  <c r="E92" i="348" a="1"/>
  <c r="E92" i="348" s="1"/>
  <c r="C92" i="348"/>
  <c r="S91" i="348" a="1"/>
  <c r="S91" i="348" s="1"/>
  <c r="R91" i="348" a="1"/>
  <c r="R91" i="348" s="1"/>
  <c r="Q91" i="348" a="1"/>
  <c r="Q91" i="348" s="1"/>
  <c r="P91" i="348" a="1"/>
  <c r="P91" i="348" s="1"/>
  <c r="O91" i="348" a="1"/>
  <c r="O91" i="348" s="1"/>
  <c r="M91" i="348" a="1"/>
  <c r="M91" i="348" s="1"/>
  <c r="L91" i="348" a="1"/>
  <c r="L91" i="348" s="1"/>
  <c r="K91" i="348" a="1"/>
  <c r="K91" i="348" s="1"/>
  <c r="J91" i="348" a="1"/>
  <c r="J91" i="348" s="1"/>
  <c r="H91" i="348" a="1"/>
  <c r="H91" i="348" s="1"/>
  <c r="G91" i="348" a="1"/>
  <c r="G91" i="348" s="1"/>
  <c r="F91" i="348" a="1"/>
  <c r="F91" i="348" s="1"/>
  <c r="E91" i="348" a="1"/>
  <c r="E91" i="348" s="1"/>
  <c r="C91" i="348"/>
  <c r="S90" i="348" a="1"/>
  <c r="S90" i="348" s="1"/>
  <c r="R90" i="348" a="1"/>
  <c r="R90" i="348" s="1"/>
  <c r="Q90" i="348" a="1"/>
  <c r="Q90" i="348" s="1"/>
  <c r="P90" i="348" a="1"/>
  <c r="P90" i="348" s="1"/>
  <c r="O90" i="348" a="1"/>
  <c r="O90" i="348" s="1"/>
  <c r="M90" i="348" a="1"/>
  <c r="M90" i="348" s="1"/>
  <c r="L90" i="348" a="1"/>
  <c r="L90" i="348" s="1"/>
  <c r="K90" i="348" a="1"/>
  <c r="K90" i="348" s="1"/>
  <c r="J90" i="348" a="1"/>
  <c r="J90" i="348" s="1"/>
  <c r="H90" i="348" a="1"/>
  <c r="H90" i="348" s="1"/>
  <c r="G90" i="348" a="1"/>
  <c r="G90" i="348" s="1"/>
  <c r="F90" i="348" a="1"/>
  <c r="F90" i="348" s="1"/>
  <c r="E90" i="348" a="1"/>
  <c r="E90" i="348" s="1"/>
  <c r="C90" i="348"/>
  <c r="S89" i="348" a="1"/>
  <c r="S89" i="348" s="1"/>
  <c r="R89" i="348" a="1"/>
  <c r="R89" i="348" s="1"/>
  <c r="Q89" i="348" a="1"/>
  <c r="Q89" i="348" s="1"/>
  <c r="P89" i="348" a="1"/>
  <c r="P89" i="348" s="1"/>
  <c r="O89" i="348" a="1"/>
  <c r="O89" i="348" s="1"/>
  <c r="M89" i="348" a="1"/>
  <c r="M89" i="348" s="1"/>
  <c r="L89" i="348" a="1"/>
  <c r="L89" i="348" s="1"/>
  <c r="K89" i="348" a="1"/>
  <c r="K89" i="348" s="1"/>
  <c r="J89" i="348" a="1"/>
  <c r="J89" i="348" s="1"/>
  <c r="H89" i="348" a="1"/>
  <c r="H89" i="348" s="1"/>
  <c r="G89" i="348" a="1"/>
  <c r="G89" i="348" s="1"/>
  <c r="F89" i="348" a="1"/>
  <c r="F89" i="348" s="1"/>
  <c r="E89" i="348" a="1"/>
  <c r="E89" i="348" s="1"/>
  <c r="C89" i="348"/>
  <c r="S88" i="348" a="1"/>
  <c r="S88" i="348" s="1"/>
  <c r="R88" i="348" a="1"/>
  <c r="R88" i="348" s="1"/>
  <c r="Q88" i="348" a="1"/>
  <c r="Q88" i="348" s="1"/>
  <c r="P88" i="348" a="1"/>
  <c r="P88" i="348" s="1"/>
  <c r="O88" i="348" a="1"/>
  <c r="O88" i="348" s="1"/>
  <c r="M88" i="348" a="1"/>
  <c r="M88" i="348" s="1"/>
  <c r="L88" i="348" a="1"/>
  <c r="L88" i="348" s="1"/>
  <c r="K88" i="348" a="1"/>
  <c r="K88" i="348" s="1"/>
  <c r="J88" i="348" a="1"/>
  <c r="J88" i="348" s="1"/>
  <c r="H88" i="348" a="1"/>
  <c r="H88" i="348" s="1"/>
  <c r="G88" i="348" a="1"/>
  <c r="G88" i="348" s="1"/>
  <c r="F88" i="348" a="1"/>
  <c r="F88" i="348" s="1"/>
  <c r="E88" i="348" a="1"/>
  <c r="E88" i="348" s="1"/>
  <c r="C88" i="348"/>
  <c r="S87" i="348" a="1"/>
  <c r="S87" i="348" s="1"/>
  <c r="R87" i="348" a="1"/>
  <c r="R87" i="348" s="1"/>
  <c r="Q87" i="348" a="1"/>
  <c r="Q87" i="348" s="1"/>
  <c r="P87" i="348" a="1"/>
  <c r="P87" i="348" s="1"/>
  <c r="O87" i="348" a="1"/>
  <c r="O87" i="348" s="1"/>
  <c r="M87" i="348" a="1"/>
  <c r="M87" i="348" s="1"/>
  <c r="L87" i="348" a="1"/>
  <c r="L87" i="348" s="1"/>
  <c r="K87" i="348" a="1"/>
  <c r="K87" i="348" s="1"/>
  <c r="J87" i="348" a="1"/>
  <c r="J87" i="348" s="1"/>
  <c r="H87" i="348" a="1"/>
  <c r="H87" i="348" s="1"/>
  <c r="G87" i="348" a="1"/>
  <c r="G87" i="348" s="1"/>
  <c r="F87" i="348" a="1"/>
  <c r="F87" i="348" s="1"/>
  <c r="E87" i="348" a="1"/>
  <c r="E87" i="348" s="1"/>
  <c r="C87" i="348"/>
  <c r="S86" i="348" a="1"/>
  <c r="S86" i="348" s="1"/>
  <c r="R86" i="348" a="1"/>
  <c r="R86" i="348" s="1"/>
  <c r="Q86" i="348" a="1"/>
  <c r="Q86" i="348" s="1"/>
  <c r="P86" i="348" a="1"/>
  <c r="P86" i="348" s="1"/>
  <c r="O86" i="348" a="1"/>
  <c r="O86" i="348" s="1"/>
  <c r="M86" i="348" a="1"/>
  <c r="M86" i="348" s="1"/>
  <c r="L86" i="348" a="1"/>
  <c r="L86" i="348" s="1"/>
  <c r="K86" i="348" a="1"/>
  <c r="K86" i="348" s="1"/>
  <c r="J86" i="348" a="1"/>
  <c r="J86" i="348" s="1"/>
  <c r="H86" i="348" a="1"/>
  <c r="H86" i="348" s="1"/>
  <c r="G86" i="348" a="1"/>
  <c r="G86" i="348" s="1"/>
  <c r="F86" i="348" a="1"/>
  <c r="F86" i="348" s="1"/>
  <c r="E86" i="348" a="1"/>
  <c r="E86" i="348" s="1"/>
  <c r="C86" i="348"/>
  <c r="S85" i="348" a="1"/>
  <c r="S85" i="348" s="1"/>
  <c r="R85" i="348" a="1"/>
  <c r="R85" i="348" s="1"/>
  <c r="Q85" i="348" a="1"/>
  <c r="Q85" i="348" s="1"/>
  <c r="P85" i="348" a="1"/>
  <c r="P85" i="348" s="1"/>
  <c r="O85" i="348" a="1"/>
  <c r="O85" i="348" s="1"/>
  <c r="M85" i="348" a="1"/>
  <c r="M85" i="348" s="1"/>
  <c r="L85" i="348" a="1"/>
  <c r="L85" i="348" s="1"/>
  <c r="K85" i="348" a="1"/>
  <c r="K85" i="348" s="1"/>
  <c r="J85" i="348" a="1"/>
  <c r="J85" i="348" s="1"/>
  <c r="H85" i="348" a="1"/>
  <c r="H85" i="348" s="1"/>
  <c r="G85" i="348" a="1"/>
  <c r="G85" i="348" s="1"/>
  <c r="F85" i="348" a="1"/>
  <c r="F85" i="348" s="1"/>
  <c r="E85" i="348" a="1"/>
  <c r="E85" i="348" s="1"/>
  <c r="C85" i="348"/>
  <c r="S84" i="348" a="1"/>
  <c r="S84" i="348" s="1"/>
  <c r="R84" i="348" a="1"/>
  <c r="R84" i="348" s="1"/>
  <c r="Q84" i="348" a="1"/>
  <c r="Q84" i="348" s="1"/>
  <c r="P84" i="348" a="1"/>
  <c r="P84" i="348" s="1"/>
  <c r="O84" i="348" a="1"/>
  <c r="O84" i="348" s="1"/>
  <c r="M84" i="348" a="1"/>
  <c r="M84" i="348" s="1"/>
  <c r="L84" i="348" a="1"/>
  <c r="L84" i="348" s="1"/>
  <c r="K84" i="348" a="1"/>
  <c r="K84" i="348" s="1"/>
  <c r="J84" i="348" a="1"/>
  <c r="J84" i="348" s="1"/>
  <c r="H84" i="348" a="1"/>
  <c r="H84" i="348" s="1"/>
  <c r="G84" i="348" a="1"/>
  <c r="G84" i="348" s="1"/>
  <c r="F84" i="348" a="1"/>
  <c r="F84" i="348" s="1"/>
  <c r="E84" i="348" a="1"/>
  <c r="E84" i="348" s="1"/>
  <c r="C84" i="348"/>
  <c r="S83" i="348" a="1"/>
  <c r="S83" i="348" s="1"/>
  <c r="R83" i="348" a="1"/>
  <c r="R83" i="348" s="1"/>
  <c r="Q83" i="348" a="1"/>
  <c r="Q83" i="348" s="1"/>
  <c r="P83" i="348" a="1"/>
  <c r="P83" i="348" s="1"/>
  <c r="O83" i="348" a="1"/>
  <c r="O83" i="348" s="1"/>
  <c r="M83" i="348" a="1"/>
  <c r="M83" i="348" s="1"/>
  <c r="L83" i="348" a="1"/>
  <c r="L83" i="348" s="1"/>
  <c r="K83" i="348" a="1"/>
  <c r="K83" i="348" s="1"/>
  <c r="J83" i="348" a="1"/>
  <c r="J83" i="348" s="1"/>
  <c r="H83" i="348" a="1"/>
  <c r="H83" i="348" s="1"/>
  <c r="G83" i="348" a="1"/>
  <c r="G83" i="348" s="1"/>
  <c r="F83" i="348" a="1"/>
  <c r="F83" i="348" s="1"/>
  <c r="E83" i="348" a="1"/>
  <c r="E83" i="348" s="1"/>
  <c r="C83" i="348"/>
  <c r="S82" i="348" a="1"/>
  <c r="S82" i="348" s="1"/>
  <c r="R82" i="348" a="1"/>
  <c r="R82" i="348" s="1"/>
  <c r="Q82" i="348" a="1"/>
  <c r="Q82" i="348" s="1"/>
  <c r="P82" i="348" a="1"/>
  <c r="P82" i="348" s="1"/>
  <c r="O82" i="348" a="1"/>
  <c r="O82" i="348" s="1"/>
  <c r="M82" i="348" a="1"/>
  <c r="M82" i="348" s="1"/>
  <c r="L82" i="348" a="1"/>
  <c r="L82" i="348" s="1"/>
  <c r="K82" i="348" a="1"/>
  <c r="K82" i="348" s="1"/>
  <c r="J82" i="348" a="1"/>
  <c r="J82" i="348" s="1"/>
  <c r="H82" i="348" a="1"/>
  <c r="H82" i="348" s="1"/>
  <c r="G82" i="348" a="1"/>
  <c r="G82" i="348" s="1"/>
  <c r="F82" i="348" a="1"/>
  <c r="F82" i="348" s="1"/>
  <c r="E82" i="348" a="1"/>
  <c r="E82" i="348" s="1"/>
  <c r="C82" i="348"/>
  <c r="S81" i="348" a="1"/>
  <c r="S81" i="348" s="1"/>
  <c r="R81" i="348" a="1"/>
  <c r="R81" i="348" s="1"/>
  <c r="Q81" i="348" a="1"/>
  <c r="Q81" i="348" s="1"/>
  <c r="P81" i="348" a="1"/>
  <c r="P81" i="348" s="1"/>
  <c r="O81" i="348" a="1"/>
  <c r="O81" i="348" s="1"/>
  <c r="M81" i="348" a="1"/>
  <c r="M81" i="348" s="1"/>
  <c r="L81" i="348" a="1"/>
  <c r="L81" i="348" s="1"/>
  <c r="K81" i="348" a="1"/>
  <c r="K81" i="348" s="1"/>
  <c r="J81" i="348" a="1"/>
  <c r="J81" i="348" s="1"/>
  <c r="H81" i="348" a="1"/>
  <c r="H81" i="348" s="1"/>
  <c r="G81" i="348" a="1"/>
  <c r="G81" i="348" s="1"/>
  <c r="F81" i="348" a="1"/>
  <c r="F81" i="348" s="1"/>
  <c r="E81" i="348" a="1"/>
  <c r="E81" i="348" s="1"/>
  <c r="C81" i="348"/>
  <c r="S80" i="348" a="1"/>
  <c r="S80" i="348" s="1"/>
  <c r="R80" i="348" a="1"/>
  <c r="R80" i="348" s="1"/>
  <c r="Q80" i="348" a="1"/>
  <c r="Q80" i="348" s="1"/>
  <c r="P80" i="348" a="1"/>
  <c r="P80" i="348" s="1"/>
  <c r="O80" i="348" a="1"/>
  <c r="O80" i="348" s="1"/>
  <c r="M80" i="348" a="1"/>
  <c r="M80" i="348" s="1"/>
  <c r="L80" i="348" a="1"/>
  <c r="L80" i="348" s="1"/>
  <c r="K80" i="348" a="1"/>
  <c r="K80" i="348" s="1"/>
  <c r="J80" i="348" a="1"/>
  <c r="J80" i="348" s="1"/>
  <c r="H80" i="348" a="1"/>
  <c r="H80" i="348" s="1"/>
  <c r="G80" i="348" a="1"/>
  <c r="G80" i="348" s="1"/>
  <c r="F80" i="348" a="1"/>
  <c r="F80" i="348" s="1"/>
  <c r="E80" i="348" a="1"/>
  <c r="E80" i="348" s="1"/>
  <c r="C80" i="348"/>
  <c r="S79" i="348" a="1"/>
  <c r="S79" i="348" s="1"/>
  <c r="R79" i="348" a="1"/>
  <c r="R79" i="348" s="1"/>
  <c r="Q79" i="348" a="1"/>
  <c r="Q79" i="348" s="1"/>
  <c r="P79" i="348" a="1"/>
  <c r="P79" i="348" s="1"/>
  <c r="O79" i="348" a="1"/>
  <c r="O79" i="348" s="1"/>
  <c r="M79" i="348" a="1"/>
  <c r="M79" i="348" s="1"/>
  <c r="L79" i="348" a="1"/>
  <c r="L79" i="348" s="1"/>
  <c r="K79" i="348" a="1"/>
  <c r="K79" i="348" s="1"/>
  <c r="J79" i="348" a="1"/>
  <c r="J79" i="348" s="1"/>
  <c r="H79" i="348" a="1"/>
  <c r="H79" i="348" s="1"/>
  <c r="G79" i="348" a="1"/>
  <c r="G79" i="348" s="1"/>
  <c r="F79" i="348" a="1"/>
  <c r="F79" i="348" s="1"/>
  <c r="E79" i="348" a="1"/>
  <c r="E79" i="348" s="1"/>
  <c r="C79" i="348"/>
  <c r="S78" i="348" a="1"/>
  <c r="S78" i="348" s="1"/>
  <c r="R78" i="348" a="1"/>
  <c r="R78" i="348" s="1"/>
  <c r="Q78" i="348" a="1"/>
  <c r="Q78" i="348" s="1"/>
  <c r="P78" i="348" a="1"/>
  <c r="P78" i="348" s="1"/>
  <c r="O78" i="348" a="1"/>
  <c r="O78" i="348" s="1"/>
  <c r="M78" i="348" a="1"/>
  <c r="M78" i="348" s="1"/>
  <c r="L78" i="348" a="1"/>
  <c r="L78" i="348" s="1"/>
  <c r="K78" i="348" a="1"/>
  <c r="K78" i="348" s="1"/>
  <c r="J78" i="348" a="1"/>
  <c r="J78" i="348" s="1"/>
  <c r="H78" i="348" a="1"/>
  <c r="H78" i="348" s="1"/>
  <c r="G78" i="348" a="1"/>
  <c r="G78" i="348" s="1"/>
  <c r="F78" i="348" a="1"/>
  <c r="F78" i="348" s="1"/>
  <c r="E78" i="348" a="1"/>
  <c r="E78" i="348" s="1"/>
  <c r="C78" i="348"/>
  <c r="S77" i="348" a="1"/>
  <c r="S77" i="348" s="1"/>
  <c r="R77" i="348" a="1"/>
  <c r="R77" i="348" s="1"/>
  <c r="Q77" i="348" a="1"/>
  <c r="Q77" i="348" s="1"/>
  <c r="P77" i="348" a="1"/>
  <c r="P77" i="348" s="1"/>
  <c r="O77" i="348" a="1"/>
  <c r="O77" i="348" s="1"/>
  <c r="M77" i="348" a="1"/>
  <c r="M77" i="348" s="1"/>
  <c r="L77" i="348" a="1"/>
  <c r="L77" i="348" s="1"/>
  <c r="K77" i="348" a="1"/>
  <c r="K77" i="348" s="1"/>
  <c r="J77" i="348" a="1"/>
  <c r="J77" i="348" s="1"/>
  <c r="H77" i="348" a="1"/>
  <c r="H77" i="348" s="1"/>
  <c r="G77" i="348" a="1"/>
  <c r="G77" i="348" s="1"/>
  <c r="F77" i="348" a="1"/>
  <c r="F77" i="348" s="1"/>
  <c r="E77" i="348" a="1"/>
  <c r="E77" i="348" s="1"/>
  <c r="C77" i="348"/>
  <c r="S76" i="348" a="1"/>
  <c r="S76" i="348" s="1"/>
  <c r="R76" i="348" a="1"/>
  <c r="R76" i="348" s="1"/>
  <c r="Q76" i="348" a="1"/>
  <c r="Q76" i="348" s="1"/>
  <c r="P76" i="348" a="1"/>
  <c r="P76" i="348" s="1"/>
  <c r="O76" i="348" a="1"/>
  <c r="O76" i="348" s="1"/>
  <c r="M76" i="348" a="1"/>
  <c r="M76" i="348" s="1"/>
  <c r="L76" i="348" a="1"/>
  <c r="L76" i="348" s="1"/>
  <c r="K76" i="348" a="1"/>
  <c r="K76" i="348" s="1"/>
  <c r="J76" i="348" a="1"/>
  <c r="J76" i="348" s="1"/>
  <c r="H76" i="348" a="1"/>
  <c r="H76" i="348" s="1"/>
  <c r="G76" i="348" a="1"/>
  <c r="G76" i="348" s="1"/>
  <c r="F76" i="348" a="1"/>
  <c r="F76" i="348" s="1"/>
  <c r="E76" i="348" a="1"/>
  <c r="E76" i="348" s="1"/>
  <c r="C76" i="348"/>
  <c r="S75" i="348" a="1"/>
  <c r="S75" i="348" s="1"/>
  <c r="R75" i="348" a="1"/>
  <c r="R75" i="348" s="1"/>
  <c r="Q75" i="348" a="1"/>
  <c r="Q75" i="348" s="1"/>
  <c r="P75" i="348" a="1"/>
  <c r="P75" i="348" s="1"/>
  <c r="O75" i="348" a="1"/>
  <c r="O75" i="348" s="1"/>
  <c r="M75" i="348" a="1"/>
  <c r="M75" i="348" s="1"/>
  <c r="L75" i="348" a="1"/>
  <c r="L75" i="348" s="1"/>
  <c r="K75" i="348" a="1"/>
  <c r="K75" i="348" s="1"/>
  <c r="J75" i="348" a="1"/>
  <c r="J75" i="348" s="1"/>
  <c r="H75" i="348" a="1"/>
  <c r="H75" i="348" s="1"/>
  <c r="G75" i="348" a="1"/>
  <c r="G75" i="348" s="1"/>
  <c r="F75" i="348" a="1"/>
  <c r="F75" i="348" s="1"/>
  <c r="E75" i="348" a="1"/>
  <c r="E75" i="348" s="1"/>
  <c r="C75" i="348"/>
  <c r="S74" i="348" a="1"/>
  <c r="S74" i="348" s="1"/>
  <c r="R74" i="348" a="1"/>
  <c r="R74" i="348" s="1"/>
  <c r="Q74" i="348" a="1"/>
  <c r="Q74" i="348" s="1"/>
  <c r="P74" i="348" a="1"/>
  <c r="P74" i="348" s="1"/>
  <c r="O74" i="348" a="1"/>
  <c r="O74" i="348" s="1"/>
  <c r="M74" i="348" a="1"/>
  <c r="M74" i="348" s="1"/>
  <c r="L74" i="348" a="1"/>
  <c r="L74" i="348" s="1"/>
  <c r="K74" i="348" a="1"/>
  <c r="K74" i="348" s="1"/>
  <c r="J74" i="348" a="1"/>
  <c r="J74" i="348" s="1"/>
  <c r="H74" i="348" a="1"/>
  <c r="H74" i="348" s="1"/>
  <c r="G74" i="348" a="1"/>
  <c r="G74" i="348" s="1"/>
  <c r="F74" i="348" a="1"/>
  <c r="F74" i="348" s="1"/>
  <c r="E74" i="348" a="1"/>
  <c r="E74" i="348" s="1"/>
  <c r="C74" i="348"/>
  <c r="S73" i="348" a="1"/>
  <c r="S73" i="348" s="1"/>
  <c r="R73" i="348" a="1"/>
  <c r="R73" i="348" s="1"/>
  <c r="Q73" i="348" a="1"/>
  <c r="Q73" i="348" s="1"/>
  <c r="P73" i="348" a="1"/>
  <c r="P73" i="348" s="1"/>
  <c r="O73" i="348" a="1"/>
  <c r="O73" i="348" s="1"/>
  <c r="M73" i="348" a="1"/>
  <c r="M73" i="348" s="1"/>
  <c r="L73" i="348" a="1"/>
  <c r="L73" i="348" s="1"/>
  <c r="K73" i="348" a="1"/>
  <c r="K73" i="348" s="1"/>
  <c r="J73" i="348" a="1"/>
  <c r="J73" i="348" s="1"/>
  <c r="H73" i="348" a="1"/>
  <c r="H73" i="348" s="1"/>
  <c r="G73" i="348" a="1"/>
  <c r="G73" i="348" s="1"/>
  <c r="F73" i="348" a="1"/>
  <c r="F73" i="348" s="1"/>
  <c r="E73" i="348" a="1"/>
  <c r="E73" i="348" s="1"/>
  <c r="C73" i="348"/>
  <c r="S72" i="348" a="1"/>
  <c r="S72" i="348" s="1"/>
  <c r="R72" i="348" a="1"/>
  <c r="R72" i="348" s="1"/>
  <c r="Q72" i="348" a="1"/>
  <c r="Q72" i="348" s="1"/>
  <c r="P72" i="348" a="1"/>
  <c r="P72" i="348" s="1"/>
  <c r="O72" i="348" a="1"/>
  <c r="O72" i="348" s="1"/>
  <c r="M72" i="348" a="1"/>
  <c r="M72" i="348" s="1"/>
  <c r="L72" i="348" a="1"/>
  <c r="L72" i="348" s="1"/>
  <c r="K72" i="348" a="1"/>
  <c r="K72" i="348" s="1"/>
  <c r="J72" i="348" a="1"/>
  <c r="J72" i="348" s="1"/>
  <c r="H72" i="348" a="1"/>
  <c r="H72" i="348" s="1"/>
  <c r="G72" i="348" a="1"/>
  <c r="G72" i="348" s="1"/>
  <c r="F72" i="348" a="1"/>
  <c r="F72" i="348" s="1"/>
  <c r="E72" i="348" a="1"/>
  <c r="E72" i="348" s="1"/>
  <c r="C72" i="348"/>
  <c r="S71" i="348" a="1"/>
  <c r="S71" i="348" s="1"/>
  <c r="R71" i="348" a="1"/>
  <c r="R71" i="348" s="1"/>
  <c r="Q71" i="348" a="1"/>
  <c r="Q71" i="348" s="1"/>
  <c r="P71" i="348" a="1"/>
  <c r="P71" i="348" s="1"/>
  <c r="O71" i="348" a="1"/>
  <c r="O71" i="348" s="1"/>
  <c r="M71" i="348" a="1"/>
  <c r="M71" i="348" s="1"/>
  <c r="L71" i="348" a="1"/>
  <c r="L71" i="348" s="1"/>
  <c r="K71" i="348" a="1"/>
  <c r="K71" i="348" s="1"/>
  <c r="J71" i="348" a="1"/>
  <c r="J71" i="348" s="1"/>
  <c r="H71" i="348" a="1"/>
  <c r="H71" i="348" s="1"/>
  <c r="G71" i="348" a="1"/>
  <c r="G71" i="348" s="1"/>
  <c r="F71" i="348" a="1"/>
  <c r="F71" i="348" s="1"/>
  <c r="E71" i="348" a="1"/>
  <c r="E71" i="348" s="1"/>
  <c r="C71" i="348"/>
  <c r="S70" i="348" a="1"/>
  <c r="S70" i="348" s="1"/>
  <c r="R70" i="348" a="1"/>
  <c r="R70" i="348" s="1"/>
  <c r="Q70" i="348" a="1"/>
  <c r="Q70" i="348" s="1"/>
  <c r="P70" i="348" a="1"/>
  <c r="P70" i="348" s="1"/>
  <c r="O70" i="348" a="1"/>
  <c r="O70" i="348" s="1"/>
  <c r="M70" i="348" a="1"/>
  <c r="M70" i="348" s="1"/>
  <c r="L70" i="348" a="1"/>
  <c r="L70" i="348" s="1"/>
  <c r="K70" i="348" a="1"/>
  <c r="K70" i="348" s="1"/>
  <c r="J70" i="348" a="1"/>
  <c r="J70" i="348" s="1"/>
  <c r="H70" i="348" a="1"/>
  <c r="H70" i="348" s="1"/>
  <c r="G70" i="348" a="1"/>
  <c r="G70" i="348" s="1"/>
  <c r="F70" i="348" a="1"/>
  <c r="F70" i="348" s="1"/>
  <c r="E70" i="348" a="1"/>
  <c r="E70" i="348" s="1"/>
  <c r="C70" i="348"/>
  <c r="S69" i="348" a="1"/>
  <c r="S69" i="348" s="1"/>
  <c r="R69" i="348" a="1"/>
  <c r="R69" i="348" s="1"/>
  <c r="Q69" i="348" a="1"/>
  <c r="Q69" i="348" s="1"/>
  <c r="P69" i="348" a="1"/>
  <c r="P69" i="348" s="1"/>
  <c r="O69" i="348" a="1"/>
  <c r="O69" i="348" s="1"/>
  <c r="M69" i="348" a="1"/>
  <c r="M69" i="348" s="1"/>
  <c r="L69" i="348" a="1"/>
  <c r="L69" i="348" s="1"/>
  <c r="K69" i="348" a="1"/>
  <c r="K69" i="348" s="1"/>
  <c r="J69" i="348" a="1"/>
  <c r="J69" i="348" s="1"/>
  <c r="H69" i="348" a="1"/>
  <c r="H69" i="348" s="1"/>
  <c r="G69" i="348" a="1"/>
  <c r="G69" i="348" s="1"/>
  <c r="F69" i="348" a="1"/>
  <c r="F69" i="348" s="1"/>
  <c r="E69" i="348" a="1"/>
  <c r="E69" i="348" s="1"/>
  <c r="C69" i="348"/>
  <c r="S68" i="348" a="1"/>
  <c r="S68" i="348" s="1"/>
  <c r="R68" i="348" a="1"/>
  <c r="R68" i="348" s="1"/>
  <c r="Q68" i="348" a="1"/>
  <c r="Q68" i="348" s="1"/>
  <c r="P68" i="348" a="1"/>
  <c r="P68" i="348" s="1"/>
  <c r="O68" i="348" a="1"/>
  <c r="O68" i="348" s="1"/>
  <c r="M68" i="348" a="1"/>
  <c r="M68" i="348" s="1"/>
  <c r="L68" i="348" a="1"/>
  <c r="L68" i="348" s="1"/>
  <c r="K68" i="348" a="1"/>
  <c r="K68" i="348" s="1"/>
  <c r="J68" i="348" a="1"/>
  <c r="J68" i="348" s="1"/>
  <c r="H68" i="348" a="1"/>
  <c r="H68" i="348" s="1"/>
  <c r="G68" i="348" a="1"/>
  <c r="G68" i="348" s="1"/>
  <c r="F68" i="348" a="1"/>
  <c r="F68" i="348" s="1"/>
  <c r="E68" i="348" a="1"/>
  <c r="E68" i="348" s="1"/>
  <c r="C68" i="348"/>
  <c r="S67" i="348" a="1"/>
  <c r="S67" i="348" s="1"/>
  <c r="R67" i="348" a="1"/>
  <c r="R67" i="348" s="1"/>
  <c r="Q67" i="348" a="1"/>
  <c r="Q67" i="348" s="1"/>
  <c r="P67" i="348" a="1"/>
  <c r="P67" i="348" s="1"/>
  <c r="O67" i="348" a="1"/>
  <c r="O67" i="348" s="1"/>
  <c r="M67" i="348" a="1"/>
  <c r="M67" i="348" s="1"/>
  <c r="L67" i="348" a="1"/>
  <c r="L67" i="348" s="1"/>
  <c r="K67" i="348" a="1"/>
  <c r="K67" i="348" s="1"/>
  <c r="J67" i="348" a="1"/>
  <c r="J67" i="348" s="1"/>
  <c r="H67" i="348" a="1"/>
  <c r="H67" i="348" s="1"/>
  <c r="G67" i="348" a="1"/>
  <c r="G67" i="348" s="1"/>
  <c r="F67" i="348" a="1"/>
  <c r="F67" i="348" s="1"/>
  <c r="E67" i="348" a="1"/>
  <c r="E67" i="348" s="1"/>
  <c r="C67" i="348"/>
  <c r="S66" i="348" a="1"/>
  <c r="S66" i="348" s="1"/>
  <c r="R66" i="348" a="1"/>
  <c r="R66" i="348" s="1"/>
  <c r="Q66" i="348" a="1"/>
  <c r="Q66" i="348" s="1"/>
  <c r="P66" i="348" a="1"/>
  <c r="P66" i="348" s="1"/>
  <c r="O66" i="348" a="1"/>
  <c r="O66" i="348" s="1"/>
  <c r="M66" i="348" a="1"/>
  <c r="M66" i="348" s="1"/>
  <c r="L66" i="348" a="1"/>
  <c r="L66" i="348" s="1"/>
  <c r="K66" i="348" a="1"/>
  <c r="K66" i="348" s="1"/>
  <c r="J66" i="348" a="1"/>
  <c r="J66" i="348" s="1"/>
  <c r="H66" i="348" a="1"/>
  <c r="H66" i="348" s="1"/>
  <c r="G66" i="348" a="1"/>
  <c r="G66" i="348" s="1"/>
  <c r="F66" i="348" a="1"/>
  <c r="F66" i="348" s="1"/>
  <c r="E66" i="348" a="1"/>
  <c r="E66" i="348" s="1"/>
  <c r="C66" i="348"/>
  <c r="S65" i="348" a="1"/>
  <c r="S65" i="348" s="1"/>
  <c r="R65" i="348" a="1"/>
  <c r="R65" i="348" s="1"/>
  <c r="Q65" i="348" a="1"/>
  <c r="Q65" i="348" s="1"/>
  <c r="P65" i="348" a="1"/>
  <c r="P65" i="348"/>
  <c r="O65" i="348" a="1"/>
  <c r="O65" i="348" s="1"/>
  <c r="M65" i="348" a="1"/>
  <c r="M65" i="348" s="1"/>
  <c r="L65" i="348" a="1"/>
  <c r="L65" i="348" s="1"/>
  <c r="K65" i="348" a="1"/>
  <c r="K65" i="348" s="1"/>
  <c r="J65" i="348" a="1"/>
  <c r="J65" i="348" s="1"/>
  <c r="H65" i="348" a="1"/>
  <c r="H65" i="348" s="1"/>
  <c r="G65" i="348" a="1"/>
  <c r="G65" i="348" s="1"/>
  <c r="F65" i="348" a="1"/>
  <c r="F65" i="348" s="1"/>
  <c r="E65" i="348" a="1"/>
  <c r="E65" i="348" s="1"/>
  <c r="C65" i="348"/>
  <c r="S64" i="348" a="1"/>
  <c r="S64" i="348" s="1"/>
  <c r="R64" i="348" a="1"/>
  <c r="R64" i="348" s="1"/>
  <c r="Q64" i="348" a="1"/>
  <c r="Q64" i="348" s="1"/>
  <c r="P64" i="348" a="1"/>
  <c r="P64" i="348" s="1"/>
  <c r="O64" i="348" a="1"/>
  <c r="O64" i="348" s="1"/>
  <c r="M64" i="348" a="1"/>
  <c r="M64" i="348" s="1"/>
  <c r="L64" i="348" a="1"/>
  <c r="L64" i="348" s="1"/>
  <c r="K64" i="348" a="1"/>
  <c r="K64" i="348" s="1"/>
  <c r="J64" i="348" a="1"/>
  <c r="J64" i="348" s="1"/>
  <c r="H64" i="348" a="1"/>
  <c r="H64" i="348" s="1"/>
  <c r="G64" i="348" a="1"/>
  <c r="G64" i="348" s="1"/>
  <c r="F64" i="348" a="1"/>
  <c r="F64" i="348" s="1"/>
  <c r="E64" i="348" a="1"/>
  <c r="E64" i="348" s="1"/>
  <c r="C64" i="348"/>
  <c r="S63" i="348" a="1"/>
  <c r="S63" i="348" s="1"/>
  <c r="R63" i="348" a="1"/>
  <c r="R63" i="348" s="1"/>
  <c r="Q63" i="348" a="1"/>
  <c r="Q63" i="348" s="1"/>
  <c r="P63" i="348" a="1"/>
  <c r="P63" i="348" s="1"/>
  <c r="O63" i="348" a="1"/>
  <c r="O63" i="348" s="1"/>
  <c r="M63" i="348" a="1"/>
  <c r="M63" i="348" s="1"/>
  <c r="L63" i="348" a="1"/>
  <c r="L63" i="348" s="1"/>
  <c r="K63" i="348" a="1"/>
  <c r="K63" i="348" s="1"/>
  <c r="J63" i="348" a="1"/>
  <c r="J63" i="348" s="1"/>
  <c r="H63" i="348" a="1"/>
  <c r="H63" i="348" s="1"/>
  <c r="G63" i="348" a="1"/>
  <c r="G63" i="348" s="1"/>
  <c r="F63" i="348" a="1"/>
  <c r="F63" i="348" s="1"/>
  <c r="E63" i="348" a="1"/>
  <c r="E63" i="348" s="1"/>
  <c r="C63" i="348"/>
  <c r="S62" i="348" a="1"/>
  <c r="S62" i="348" s="1"/>
  <c r="R62" i="348" a="1"/>
  <c r="R62" i="348" s="1"/>
  <c r="Q62" i="348" a="1"/>
  <c r="Q62" i="348" s="1"/>
  <c r="P62" i="348" a="1"/>
  <c r="P62" i="348" s="1"/>
  <c r="O62" i="348" a="1"/>
  <c r="O62" i="348" s="1"/>
  <c r="M62" i="348" a="1"/>
  <c r="M62" i="348" s="1"/>
  <c r="L62" i="348" a="1"/>
  <c r="L62" i="348" s="1"/>
  <c r="K62" i="348" a="1"/>
  <c r="K62" i="348" s="1"/>
  <c r="J62" i="348" a="1"/>
  <c r="J62" i="348" s="1"/>
  <c r="H62" i="348" a="1"/>
  <c r="H62" i="348" s="1"/>
  <c r="G62" i="348" a="1"/>
  <c r="G62" i="348" s="1"/>
  <c r="F62" i="348" a="1"/>
  <c r="F62" i="348" s="1"/>
  <c r="E62" i="348" a="1"/>
  <c r="E62" i="348" s="1"/>
  <c r="C62" i="348"/>
  <c r="S61" i="348" a="1"/>
  <c r="S61" i="348" s="1"/>
  <c r="R61" i="348" a="1"/>
  <c r="R61" i="348" s="1"/>
  <c r="Q61" i="348" a="1"/>
  <c r="Q61" i="348" s="1"/>
  <c r="P61" i="348" a="1"/>
  <c r="P61" i="348" s="1"/>
  <c r="O61" i="348" a="1"/>
  <c r="O61" i="348" s="1"/>
  <c r="M61" i="348" a="1"/>
  <c r="M61" i="348" s="1"/>
  <c r="L61" i="348" a="1"/>
  <c r="L61" i="348" s="1"/>
  <c r="K61" i="348" a="1"/>
  <c r="K61" i="348" s="1"/>
  <c r="J61" i="348" a="1"/>
  <c r="J61" i="348" s="1"/>
  <c r="H61" i="348" a="1"/>
  <c r="H61" i="348" s="1"/>
  <c r="G61" i="348" a="1"/>
  <c r="G61" i="348" s="1"/>
  <c r="F61" i="348" a="1"/>
  <c r="F61" i="348" s="1"/>
  <c r="E61" i="348" a="1"/>
  <c r="E61" i="348" s="1"/>
  <c r="C61" i="348"/>
  <c r="S60" i="348" a="1"/>
  <c r="S60" i="348" s="1"/>
  <c r="R60" i="348" a="1"/>
  <c r="R60" i="348" s="1"/>
  <c r="Q60" i="348" a="1"/>
  <c r="Q60" i="348" s="1"/>
  <c r="P60" i="348" a="1"/>
  <c r="P60" i="348" s="1"/>
  <c r="O60" i="348" a="1"/>
  <c r="O60" i="348" s="1"/>
  <c r="M60" i="348" a="1"/>
  <c r="M60" i="348" s="1"/>
  <c r="L60" i="348" a="1"/>
  <c r="L60" i="348" s="1"/>
  <c r="K60" i="348" a="1"/>
  <c r="K60" i="348" s="1"/>
  <c r="J60" i="348" a="1"/>
  <c r="J60" i="348" s="1"/>
  <c r="H60" i="348" a="1"/>
  <c r="H60" i="348" s="1"/>
  <c r="G60" i="348" a="1"/>
  <c r="G60" i="348" s="1"/>
  <c r="F60" i="348" a="1"/>
  <c r="F60" i="348" s="1"/>
  <c r="E60" i="348" a="1"/>
  <c r="E60" i="348" s="1"/>
  <c r="C60" i="348"/>
  <c r="A60" i="348"/>
  <c r="A61" i="348"/>
  <c r="A62" i="348" s="1"/>
  <c r="A63" i="348" s="1"/>
  <c r="A64" i="348" s="1"/>
  <c r="A65" i="348" s="1"/>
  <c r="A66" i="348" s="1"/>
  <c r="A67" i="348" s="1"/>
  <c r="A68" i="348" s="1"/>
  <c r="A69" i="348" s="1"/>
  <c r="A70" i="348" s="1"/>
  <c r="A71" i="348" s="1"/>
  <c r="A72" i="348" s="1"/>
  <c r="A73" i="348" s="1"/>
  <c r="A74" i="348" s="1"/>
  <c r="A75" i="348" s="1"/>
  <c r="A76" i="348" s="1"/>
  <c r="A77" i="348" s="1"/>
  <c r="A78" i="348" s="1"/>
  <c r="A79" i="348" s="1"/>
  <c r="A80" i="348" s="1"/>
  <c r="A81" i="348" s="1"/>
  <c r="A82" i="348" s="1"/>
  <c r="A83" i="348" s="1"/>
  <c r="A84" i="348" s="1"/>
  <c r="A85" i="348" s="1"/>
  <c r="A86" i="348" s="1"/>
  <c r="A87" i="348" s="1"/>
  <c r="A88" i="348" s="1"/>
  <c r="A89" i="348" s="1"/>
  <c r="A90" i="348" s="1"/>
  <c r="A91" i="348" s="1"/>
  <c r="A92" i="348" s="1"/>
  <c r="A93" i="348" s="1"/>
  <c r="A94" i="348" s="1"/>
  <c r="A95" i="348" s="1"/>
  <c r="A96" i="348" s="1"/>
  <c r="S59" i="348" a="1"/>
  <c r="S59" i="348" s="1"/>
  <c r="R59" i="348" a="1"/>
  <c r="R59" i="348" s="1"/>
  <c r="Q59" i="348" a="1"/>
  <c r="Q59" i="348" s="1"/>
  <c r="P59" i="348" a="1"/>
  <c r="P59" i="348" s="1"/>
  <c r="O59" i="348" a="1"/>
  <c r="O59" i="348" s="1"/>
  <c r="M59" i="348" a="1"/>
  <c r="M59" i="348" s="1"/>
  <c r="L59" i="348" a="1"/>
  <c r="L59" i="348" s="1"/>
  <c r="K59" i="348" a="1"/>
  <c r="K59" i="348" s="1"/>
  <c r="J59" i="348" a="1"/>
  <c r="J59" i="348" s="1"/>
  <c r="H59" i="348" a="1"/>
  <c r="H59" i="348" s="1"/>
  <c r="G59" i="348" a="1"/>
  <c r="G59" i="348" s="1"/>
  <c r="F59" i="348" a="1"/>
  <c r="F59" i="348" s="1"/>
  <c r="E59" i="348" a="1"/>
  <c r="E59" i="348" s="1"/>
  <c r="C59" i="348"/>
  <c r="S56" i="348" a="1"/>
  <c r="S56" i="348" s="1"/>
  <c r="R56" i="348" a="1"/>
  <c r="R56" i="348" s="1"/>
  <c r="Q56" i="348" a="1"/>
  <c r="Q56" i="348" s="1"/>
  <c r="P56" i="348" a="1"/>
  <c r="P56" i="348" s="1"/>
  <c r="O56" i="348" a="1"/>
  <c r="O56" i="348" s="1"/>
  <c r="M56" i="348" a="1"/>
  <c r="M56" i="348" s="1"/>
  <c r="L56" i="348" a="1"/>
  <c r="L56" i="348" s="1"/>
  <c r="K56" i="348" a="1"/>
  <c r="K56" i="348" s="1"/>
  <c r="J56" i="348" a="1"/>
  <c r="J56" i="348" s="1"/>
  <c r="H56" i="348" a="1"/>
  <c r="H56" i="348" s="1"/>
  <c r="G56" i="348" a="1"/>
  <c r="G56" i="348" s="1"/>
  <c r="F56" i="348" a="1"/>
  <c r="F56" i="348" s="1"/>
  <c r="E56" i="348" a="1"/>
  <c r="E56" i="348" s="1"/>
  <c r="C56" i="348"/>
  <c r="S55" i="348" a="1"/>
  <c r="S55" i="348" s="1"/>
  <c r="R55" i="348" a="1"/>
  <c r="R55" i="348" s="1"/>
  <c r="Q55" i="348" a="1"/>
  <c r="Q55" i="348" s="1"/>
  <c r="P55" i="348" a="1"/>
  <c r="P55" i="348" s="1"/>
  <c r="O55" i="348" a="1"/>
  <c r="O55" i="348" s="1"/>
  <c r="M55" i="348" a="1"/>
  <c r="M55" i="348" s="1"/>
  <c r="L55" i="348" a="1"/>
  <c r="L55" i="348" s="1"/>
  <c r="K55" i="348" a="1"/>
  <c r="K55" i="348" s="1"/>
  <c r="J55" i="348" a="1"/>
  <c r="J55" i="348" s="1"/>
  <c r="H55" i="348" a="1"/>
  <c r="H55" i="348" s="1"/>
  <c r="G55" i="348" a="1"/>
  <c r="G55" i="348" s="1"/>
  <c r="F55" i="348" a="1"/>
  <c r="F55" i="348" s="1"/>
  <c r="E55" i="348" a="1"/>
  <c r="E55" i="348" s="1"/>
  <c r="C55" i="348"/>
  <c r="S54" i="348" a="1"/>
  <c r="S54" i="348" s="1"/>
  <c r="R54" i="348" a="1"/>
  <c r="R54" i="348" s="1"/>
  <c r="Q54" i="348" a="1"/>
  <c r="Q54" i="348" s="1"/>
  <c r="P54" i="348" a="1"/>
  <c r="P54" i="348" s="1"/>
  <c r="O54" i="348" a="1"/>
  <c r="O54" i="348" s="1"/>
  <c r="M54" i="348" a="1"/>
  <c r="M54" i="348" s="1"/>
  <c r="L54" i="348" a="1"/>
  <c r="L54" i="348" s="1"/>
  <c r="K54" i="348" a="1"/>
  <c r="K54" i="348" s="1"/>
  <c r="J54" i="348" a="1"/>
  <c r="J54" i="348" s="1"/>
  <c r="H54" i="348" a="1"/>
  <c r="H54" i="348" s="1"/>
  <c r="G54" i="348" a="1"/>
  <c r="G54" i="348" s="1"/>
  <c r="F54" i="348" a="1"/>
  <c r="F54" i="348" s="1"/>
  <c r="E54" i="348" a="1"/>
  <c r="E54" i="348" s="1"/>
  <c r="C54" i="348"/>
  <c r="S53" i="348" a="1"/>
  <c r="S53" i="348" s="1"/>
  <c r="R53" i="348" a="1"/>
  <c r="R53" i="348" s="1"/>
  <c r="Q53" i="348" a="1"/>
  <c r="Q53" i="348" s="1"/>
  <c r="P53" i="348" a="1"/>
  <c r="P53" i="348" s="1"/>
  <c r="O53" i="348" a="1"/>
  <c r="O53" i="348" s="1"/>
  <c r="M53" i="348" a="1"/>
  <c r="M53" i="348" s="1"/>
  <c r="L53" i="348" a="1"/>
  <c r="L53" i="348" s="1"/>
  <c r="K53" i="348" a="1"/>
  <c r="K53" i="348" s="1"/>
  <c r="J53" i="348" a="1"/>
  <c r="J53" i="348" s="1"/>
  <c r="H53" i="348" a="1"/>
  <c r="H53" i="348" s="1"/>
  <c r="G53" i="348" a="1"/>
  <c r="G53" i="348" s="1"/>
  <c r="F53" i="348" a="1"/>
  <c r="F53" i="348" s="1"/>
  <c r="E53" i="348" a="1"/>
  <c r="E53" i="348" s="1"/>
  <c r="C53" i="348"/>
  <c r="S52" i="348" a="1"/>
  <c r="S52" i="348" s="1"/>
  <c r="R52" i="348" a="1"/>
  <c r="R52" i="348" s="1"/>
  <c r="Q52" i="348" a="1"/>
  <c r="Q52" i="348" s="1"/>
  <c r="P52" i="348" a="1"/>
  <c r="P52" i="348" s="1"/>
  <c r="O52" i="348" a="1"/>
  <c r="O52" i="348" s="1"/>
  <c r="M52" i="348" a="1"/>
  <c r="M52" i="348" s="1"/>
  <c r="L52" i="348" a="1"/>
  <c r="L52" i="348" s="1"/>
  <c r="K52" i="348" a="1"/>
  <c r="K52" i="348" s="1"/>
  <c r="J52" i="348" a="1"/>
  <c r="J52" i="348" s="1"/>
  <c r="H52" i="348" a="1"/>
  <c r="H52" i="348" s="1"/>
  <c r="G52" i="348" a="1"/>
  <c r="G52" i="348" s="1"/>
  <c r="F52" i="348" a="1"/>
  <c r="F52" i="348" s="1"/>
  <c r="E52" i="348" a="1"/>
  <c r="E52" i="348" s="1"/>
  <c r="C52" i="348"/>
  <c r="S51" i="348" a="1"/>
  <c r="S51" i="348" s="1"/>
  <c r="R51" i="348" a="1"/>
  <c r="R51" i="348" s="1"/>
  <c r="Q51" i="348" a="1"/>
  <c r="Q51" i="348" s="1"/>
  <c r="P51" i="348" a="1"/>
  <c r="P51" i="348" s="1"/>
  <c r="O51" i="348" a="1"/>
  <c r="O51" i="348" s="1"/>
  <c r="M51" i="348" a="1"/>
  <c r="M51" i="348" s="1"/>
  <c r="L51" i="348" a="1"/>
  <c r="L51" i="348" s="1"/>
  <c r="K51" i="348" a="1"/>
  <c r="K51" i="348" s="1"/>
  <c r="J51" i="348" a="1"/>
  <c r="J51" i="348" s="1"/>
  <c r="H51" i="348" a="1"/>
  <c r="H51" i="348" s="1"/>
  <c r="G51" i="348" a="1"/>
  <c r="G51" i="348" s="1"/>
  <c r="F51" i="348" a="1"/>
  <c r="F51" i="348" s="1"/>
  <c r="E51" i="348" a="1"/>
  <c r="E51" i="348" s="1"/>
  <c r="C51" i="348"/>
  <c r="S50" i="348" a="1"/>
  <c r="S50" i="348" s="1"/>
  <c r="R50" i="348" a="1"/>
  <c r="R50" i="348" s="1"/>
  <c r="Q50" i="348" a="1"/>
  <c r="Q50" i="348" s="1"/>
  <c r="P50" i="348" a="1"/>
  <c r="P50" i="348" s="1"/>
  <c r="O50" i="348" a="1"/>
  <c r="O50" i="348" s="1"/>
  <c r="M50" i="348" a="1"/>
  <c r="M50" i="348" s="1"/>
  <c r="L50" i="348" a="1"/>
  <c r="L50" i="348" s="1"/>
  <c r="K50" i="348" a="1"/>
  <c r="K50" i="348" s="1"/>
  <c r="J50" i="348" a="1"/>
  <c r="J50" i="348" s="1"/>
  <c r="H50" i="348" a="1"/>
  <c r="H50" i="348" s="1"/>
  <c r="G50" i="348" a="1"/>
  <c r="G50" i="348" s="1"/>
  <c r="F50" i="348" a="1"/>
  <c r="F50" i="348" s="1"/>
  <c r="E50" i="348" a="1"/>
  <c r="E50" i="348" s="1"/>
  <c r="C50" i="348"/>
  <c r="S49" i="348" a="1"/>
  <c r="S49" i="348" s="1"/>
  <c r="R49" i="348" a="1"/>
  <c r="R49" i="348" s="1"/>
  <c r="Q49" i="348" a="1"/>
  <c r="Q49" i="348" s="1"/>
  <c r="P49" i="348" a="1"/>
  <c r="P49" i="348" s="1"/>
  <c r="O49" i="348" a="1"/>
  <c r="O49" i="348" s="1"/>
  <c r="M49" i="348" a="1"/>
  <c r="M49" i="348" s="1"/>
  <c r="L49" i="348" a="1"/>
  <c r="L49" i="348" s="1"/>
  <c r="K49" i="348" a="1"/>
  <c r="K49" i="348" s="1"/>
  <c r="J49" i="348" a="1"/>
  <c r="J49" i="348" s="1"/>
  <c r="H49" i="348" a="1"/>
  <c r="H49" i="348" s="1"/>
  <c r="G49" i="348" a="1"/>
  <c r="G49" i="348" s="1"/>
  <c r="F49" i="348" a="1"/>
  <c r="F49" i="348" s="1"/>
  <c r="E49" i="348" a="1"/>
  <c r="E49" i="348" s="1"/>
  <c r="C49" i="348"/>
  <c r="S48" i="348" a="1"/>
  <c r="S48" i="348" s="1"/>
  <c r="R48" i="348" a="1"/>
  <c r="R48" i="348" s="1"/>
  <c r="Q48" i="348" a="1"/>
  <c r="Q48" i="348" s="1"/>
  <c r="P48" i="348" a="1"/>
  <c r="P48" i="348" s="1"/>
  <c r="O48" i="348" a="1"/>
  <c r="O48" i="348" s="1"/>
  <c r="M48" i="348" a="1"/>
  <c r="M48" i="348" s="1"/>
  <c r="L48" i="348" a="1"/>
  <c r="L48" i="348" s="1"/>
  <c r="K48" i="348" a="1"/>
  <c r="K48" i="348" s="1"/>
  <c r="J48" i="348" a="1"/>
  <c r="J48" i="348" s="1"/>
  <c r="H48" i="348" a="1"/>
  <c r="H48" i="348" s="1"/>
  <c r="G48" i="348" a="1"/>
  <c r="G48" i="348" s="1"/>
  <c r="F48" i="348" a="1"/>
  <c r="F48" i="348" s="1"/>
  <c r="E48" i="348" a="1"/>
  <c r="E48" i="348" s="1"/>
  <c r="C48" i="348"/>
  <c r="S47" i="348" a="1"/>
  <c r="S47" i="348" s="1"/>
  <c r="R47" i="348" a="1"/>
  <c r="R47" i="348" s="1"/>
  <c r="Q47" i="348" a="1"/>
  <c r="Q47" i="348" s="1"/>
  <c r="P47" i="348" a="1"/>
  <c r="P47" i="348" s="1"/>
  <c r="O47" i="348" a="1"/>
  <c r="O47" i="348" s="1"/>
  <c r="M47" i="348" a="1"/>
  <c r="M47" i="348" s="1"/>
  <c r="L47" i="348" a="1"/>
  <c r="L47" i="348" s="1"/>
  <c r="K47" i="348" a="1"/>
  <c r="K47" i="348" s="1"/>
  <c r="J47" i="348" a="1"/>
  <c r="J47" i="348" s="1"/>
  <c r="H47" i="348" a="1"/>
  <c r="H47" i="348" s="1"/>
  <c r="G47" i="348" a="1"/>
  <c r="G47" i="348" s="1"/>
  <c r="F47" i="348" a="1"/>
  <c r="F47" i="348" s="1"/>
  <c r="E47" i="348" a="1"/>
  <c r="E47" i="348" s="1"/>
  <c r="C47" i="348"/>
  <c r="S46" i="348" a="1"/>
  <c r="S46" i="348" s="1"/>
  <c r="R46" i="348" a="1"/>
  <c r="R46" i="348" s="1"/>
  <c r="Q46" i="348" a="1"/>
  <c r="Q46" i="348" s="1"/>
  <c r="P46" i="348" a="1"/>
  <c r="P46" i="348" s="1"/>
  <c r="O46" i="348" a="1"/>
  <c r="O46" i="348" s="1"/>
  <c r="M46" i="348" a="1"/>
  <c r="M46" i="348" s="1"/>
  <c r="L46" i="348" a="1"/>
  <c r="L46" i="348" s="1"/>
  <c r="K46" i="348" a="1"/>
  <c r="K46" i="348" s="1"/>
  <c r="J46" i="348" a="1"/>
  <c r="J46" i="348" s="1"/>
  <c r="H46" i="348" a="1"/>
  <c r="H46" i="348" s="1"/>
  <c r="G46" i="348" a="1"/>
  <c r="G46" i="348" s="1"/>
  <c r="F46" i="348" a="1"/>
  <c r="F46" i="348" s="1"/>
  <c r="E46" i="348" a="1"/>
  <c r="E46" i="348" s="1"/>
  <c r="C46" i="348"/>
  <c r="S45" i="348" a="1"/>
  <c r="S45" i="348" s="1"/>
  <c r="R45" i="348" a="1"/>
  <c r="R45" i="348" s="1"/>
  <c r="Q45" i="348" a="1"/>
  <c r="Q45" i="348" s="1"/>
  <c r="P45" i="348" a="1"/>
  <c r="P45" i="348" s="1"/>
  <c r="O45" i="348" a="1"/>
  <c r="O45" i="348" s="1"/>
  <c r="M45" i="348" a="1"/>
  <c r="M45" i="348" s="1"/>
  <c r="L45" i="348" a="1"/>
  <c r="L45" i="348" s="1"/>
  <c r="K45" i="348" a="1"/>
  <c r="K45" i="348" s="1"/>
  <c r="J45" i="348" a="1"/>
  <c r="J45" i="348" s="1"/>
  <c r="H45" i="348" a="1"/>
  <c r="H45" i="348" s="1"/>
  <c r="G45" i="348" a="1"/>
  <c r="G45" i="348" s="1"/>
  <c r="F45" i="348" a="1"/>
  <c r="F45" i="348" s="1"/>
  <c r="E45" i="348" a="1"/>
  <c r="E45" i="348" s="1"/>
  <c r="C45" i="348"/>
  <c r="S44" i="348" a="1"/>
  <c r="S44" i="348" s="1"/>
  <c r="R44" i="348" a="1"/>
  <c r="R44" i="348" s="1"/>
  <c r="Q44" i="348" a="1"/>
  <c r="Q44" i="348" s="1"/>
  <c r="P44" i="348" a="1"/>
  <c r="P44" i="348" s="1"/>
  <c r="O44" i="348" a="1"/>
  <c r="O44" i="348" s="1"/>
  <c r="M44" i="348" a="1"/>
  <c r="M44" i="348" s="1"/>
  <c r="L44" i="348" a="1"/>
  <c r="L44" i="348" s="1"/>
  <c r="K44" i="348" a="1"/>
  <c r="K44" i="348" s="1"/>
  <c r="J44" i="348" a="1"/>
  <c r="J44" i="348" s="1"/>
  <c r="H44" i="348" a="1"/>
  <c r="H44" i="348" s="1"/>
  <c r="G44" i="348" a="1"/>
  <c r="G44" i="348" s="1"/>
  <c r="F44" i="348" a="1"/>
  <c r="F44" i="348" s="1"/>
  <c r="E44" i="348" a="1"/>
  <c r="E44" i="348" s="1"/>
  <c r="C44" i="348"/>
  <c r="S43" i="348" a="1"/>
  <c r="S43" i="348" s="1"/>
  <c r="R43" i="348" a="1"/>
  <c r="R43" i="348" s="1"/>
  <c r="Q43" i="348" a="1"/>
  <c r="Q43" i="348" s="1"/>
  <c r="P43" i="348" a="1"/>
  <c r="P43" i="348" s="1"/>
  <c r="O43" i="348" a="1"/>
  <c r="O43" i="348" s="1"/>
  <c r="M43" i="348" a="1"/>
  <c r="M43" i="348" s="1"/>
  <c r="L43" i="348" a="1"/>
  <c r="L43" i="348" s="1"/>
  <c r="K43" i="348" a="1"/>
  <c r="K43" i="348" s="1"/>
  <c r="J43" i="348" a="1"/>
  <c r="J43" i="348" s="1"/>
  <c r="H43" i="348" a="1"/>
  <c r="H43" i="348" s="1"/>
  <c r="G43" i="348" a="1"/>
  <c r="G43" i="348" s="1"/>
  <c r="F43" i="348" a="1"/>
  <c r="F43" i="348" s="1"/>
  <c r="E43" i="348" a="1"/>
  <c r="E43" i="348" s="1"/>
  <c r="C43" i="348"/>
  <c r="S42" i="348" a="1"/>
  <c r="S42" i="348" s="1"/>
  <c r="R42" i="348" a="1"/>
  <c r="R42" i="348" s="1"/>
  <c r="Q42" i="348" a="1"/>
  <c r="Q42" i="348" s="1"/>
  <c r="P42" i="348" a="1"/>
  <c r="P42" i="348" s="1"/>
  <c r="O42" i="348" a="1"/>
  <c r="O42" i="348" s="1"/>
  <c r="M42" i="348" a="1"/>
  <c r="M42" i="348" s="1"/>
  <c r="L42" i="348" a="1"/>
  <c r="L42" i="348" s="1"/>
  <c r="K42" i="348" a="1"/>
  <c r="K42" i="348" s="1"/>
  <c r="J42" i="348" a="1"/>
  <c r="J42" i="348" s="1"/>
  <c r="H42" i="348" a="1"/>
  <c r="H42" i="348" s="1"/>
  <c r="G42" i="348" a="1"/>
  <c r="G42" i="348" s="1"/>
  <c r="F42" i="348" a="1"/>
  <c r="F42" i="348" s="1"/>
  <c r="E42" i="348" a="1"/>
  <c r="E42" i="348" s="1"/>
  <c r="C42" i="348"/>
  <c r="S41" i="348" a="1"/>
  <c r="S41" i="348" s="1"/>
  <c r="R41" i="348" a="1"/>
  <c r="R41" i="348" s="1"/>
  <c r="Q41" i="348" a="1"/>
  <c r="Q41" i="348" s="1"/>
  <c r="P41" i="348" a="1"/>
  <c r="P41" i="348" s="1"/>
  <c r="O41" i="348" a="1"/>
  <c r="O41" i="348" s="1"/>
  <c r="M41" i="348" a="1"/>
  <c r="M41" i="348" s="1"/>
  <c r="L41" i="348" a="1"/>
  <c r="L41" i="348" s="1"/>
  <c r="K41" i="348" a="1"/>
  <c r="K41" i="348" s="1"/>
  <c r="J41" i="348" a="1"/>
  <c r="J41" i="348" s="1"/>
  <c r="H41" i="348" a="1"/>
  <c r="H41" i="348" s="1"/>
  <c r="G41" i="348" a="1"/>
  <c r="G41" i="348" s="1"/>
  <c r="F41" i="348" a="1"/>
  <c r="F41" i="348" s="1"/>
  <c r="E41" i="348" a="1"/>
  <c r="E41" i="348" s="1"/>
  <c r="C41" i="348"/>
  <c r="S40" i="348" a="1"/>
  <c r="S40" i="348" s="1"/>
  <c r="R40" i="348" a="1"/>
  <c r="R40" i="348" s="1"/>
  <c r="Q40" i="348" a="1"/>
  <c r="Q40" i="348" s="1"/>
  <c r="P40" i="348" a="1"/>
  <c r="P40" i="348" s="1"/>
  <c r="O40" i="348" a="1"/>
  <c r="O40" i="348" s="1"/>
  <c r="M40" i="348" a="1"/>
  <c r="M40" i="348" s="1"/>
  <c r="L40" i="348" a="1"/>
  <c r="L40" i="348" s="1"/>
  <c r="K40" i="348" a="1"/>
  <c r="K40" i="348" s="1"/>
  <c r="J40" i="348" a="1"/>
  <c r="J40" i="348" s="1"/>
  <c r="H40" i="348" a="1"/>
  <c r="H40" i="348" s="1"/>
  <c r="G40" i="348" a="1"/>
  <c r="G40" i="348" s="1"/>
  <c r="F40" i="348" a="1"/>
  <c r="F40" i="348" s="1"/>
  <c r="E40" i="348" a="1"/>
  <c r="E40" i="348" s="1"/>
  <c r="C40" i="348"/>
  <c r="S39" i="348" a="1"/>
  <c r="S39" i="348" s="1"/>
  <c r="R39" i="348" a="1"/>
  <c r="R39" i="348" s="1"/>
  <c r="Q39" i="348" a="1"/>
  <c r="Q39" i="348" s="1"/>
  <c r="P39" i="348" a="1"/>
  <c r="P39" i="348" s="1"/>
  <c r="O39" i="348" a="1"/>
  <c r="O39" i="348" s="1"/>
  <c r="M39" i="348" a="1"/>
  <c r="M39" i="348" s="1"/>
  <c r="L39" i="348" a="1"/>
  <c r="L39" i="348" s="1"/>
  <c r="K39" i="348" a="1"/>
  <c r="K39" i="348" s="1"/>
  <c r="J39" i="348" a="1"/>
  <c r="J39" i="348" s="1"/>
  <c r="H39" i="348" a="1"/>
  <c r="H39" i="348" s="1"/>
  <c r="G39" i="348" a="1"/>
  <c r="G39" i="348" s="1"/>
  <c r="F39" i="348" a="1"/>
  <c r="F39" i="348" s="1"/>
  <c r="E39" i="348" a="1"/>
  <c r="E39" i="348" s="1"/>
  <c r="C39" i="348"/>
  <c r="S38" i="348" a="1"/>
  <c r="S38" i="348" s="1"/>
  <c r="R38" i="348" a="1"/>
  <c r="R38" i="348" s="1"/>
  <c r="Q38" i="348" a="1"/>
  <c r="Q38" i="348" s="1"/>
  <c r="P38" i="348" a="1"/>
  <c r="P38" i="348" s="1"/>
  <c r="O38" i="348" a="1"/>
  <c r="O38" i="348" s="1"/>
  <c r="M38" i="348" a="1"/>
  <c r="M38" i="348" s="1"/>
  <c r="L38" i="348" a="1"/>
  <c r="L38" i="348" s="1"/>
  <c r="K38" i="348" a="1"/>
  <c r="K38" i="348" s="1"/>
  <c r="J38" i="348" a="1"/>
  <c r="J38" i="348" s="1"/>
  <c r="H38" i="348" a="1"/>
  <c r="H38" i="348" s="1"/>
  <c r="G38" i="348" a="1"/>
  <c r="G38" i="348" s="1"/>
  <c r="F38" i="348" a="1"/>
  <c r="F38" i="348" s="1"/>
  <c r="E38" i="348" a="1"/>
  <c r="E38" i="348" s="1"/>
  <c r="C38" i="348"/>
  <c r="S37" i="348" a="1"/>
  <c r="S37" i="348" s="1"/>
  <c r="R37" i="348" a="1"/>
  <c r="R37" i="348" s="1"/>
  <c r="Q37" i="348" a="1"/>
  <c r="Q37" i="348" s="1"/>
  <c r="P37" i="348" a="1"/>
  <c r="P37" i="348" s="1"/>
  <c r="O37" i="348" a="1"/>
  <c r="O37" i="348" s="1"/>
  <c r="M37" i="348" a="1"/>
  <c r="M37" i="348" s="1"/>
  <c r="L37" i="348" a="1"/>
  <c r="L37" i="348" s="1"/>
  <c r="K37" i="348" a="1"/>
  <c r="K37" i="348" s="1"/>
  <c r="J37" i="348" a="1"/>
  <c r="J37" i="348" s="1"/>
  <c r="H37" i="348" a="1"/>
  <c r="H37" i="348" s="1"/>
  <c r="G37" i="348" a="1"/>
  <c r="G37" i="348" s="1"/>
  <c r="F37" i="348" a="1"/>
  <c r="F37" i="348" s="1"/>
  <c r="E37" i="348" a="1"/>
  <c r="E37" i="348" s="1"/>
  <c r="C37" i="348"/>
  <c r="S36" i="348" a="1"/>
  <c r="S36" i="348" s="1"/>
  <c r="R36" i="348" a="1"/>
  <c r="R36" i="348" s="1"/>
  <c r="Q36" i="348" a="1"/>
  <c r="Q36" i="348" s="1"/>
  <c r="P36" i="348" a="1"/>
  <c r="P36" i="348" s="1"/>
  <c r="O36" i="348" a="1"/>
  <c r="O36" i="348" s="1"/>
  <c r="M36" i="348" a="1"/>
  <c r="M36" i="348" s="1"/>
  <c r="L36" i="348" a="1"/>
  <c r="L36" i="348" s="1"/>
  <c r="K36" i="348" a="1"/>
  <c r="K36" i="348" s="1"/>
  <c r="J36" i="348" a="1"/>
  <c r="J36" i="348" s="1"/>
  <c r="H36" i="348" a="1"/>
  <c r="H36" i="348" s="1"/>
  <c r="G36" i="348" a="1"/>
  <c r="G36" i="348" s="1"/>
  <c r="F36" i="348" a="1"/>
  <c r="F36" i="348" s="1"/>
  <c r="E36" i="348" a="1"/>
  <c r="E36" i="348" s="1"/>
  <c r="C36" i="348"/>
  <c r="S35" i="348" a="1"/>
  <c r="S35" i="348" s="1"/>
  <c r="R35" i="348" a="1"/>
  <c r="R35" i="348" s="1"/>
  <c r="Q35" i="348" a="1"/>
  <c r="Q35" i="348" s="1"/>
  <c r="P35" i="348" a="1"/>
  <c r="P35" i="348" s="1"/>
  <c r="O35" i="348" a="1"/>
  <c r="O35" i="348" s="1"/>
  <c r="M35" i="348" a="1"/>
  <c r="M35" i="348" s="1"/>
  <c r="L35" i="348" a="1"/>
  <c r="L35" i="348" s="1"/>
  <c r="K35" i="348" a="1"/>
  <c r="K35" i="348" s="1"/>
  <c r="J35" i="348" a="1"/>
  <c r="J35" i="348" s="1"/>
  <c r="H35" i="348" a="1"/>
  <c r="H35" i="348" s="1"/>
  <c r="G35" i="348" a="1"/>
  <c r="G35" i="348" s="1"/>
  <c r="F35" i="348" a="1"/>
  <c r="F35" i="348" s="1"/>
  <c r="E35" i="348" a="1"/>
  <c r="E35" i="348" s="1"/>
  <c r="C35" i="348"/>
  <c r="A35" i="348"/>
  <c r="A36" i="348"/>
  <c r="A37" i="348"/>
  <c r="A38" i="348" s="1"/>
  <c r="A39" i="348" s="1"/>
  <c r="A40" i="348" s="1"/>
  <c r="A41" i="348" s="1"/>
  <c r="A42" i="348" s="1"/>
  <c r="A43" i="348" s="1"/>
  <c r="A44" i="348" s="1"/>
  <c r="A45" i="348" s="1"/>
  <c r="A46" i="348" s="1"/>
  <c r="A47" i="348" s="1"/>
  <c r="A48" i="348" s="1"/>
  <c r="A49" i="348" s="1"/>
  <c r="A50" i="348" s="1"/>
  <c r="A51" i="348" s="1"/>
  <c r="A52" i="348" s="1"/>
  <c r="A53" i="348" s="1"/>
  <c r="A54" i="348" s="1"/>
  <c r="A55" i="348" s="1"/>
  <c r="A56" i="348" s="1"/>
  <c r="S34" i="348" a="1"/>
  <c r="S34" i="348" s="1"/>
  <c r="R34" i="348" a="1"/>
  <c r="R34" i="348" s="1"/>
  <c r="Q34" i="348" a="1"/>
  <c r="Q34" i="348" s="1"/>
  <c r="P34" i="348" a="1"/>
  <c r="P34" i="348" s="1"/>
  <c r="O34" i="348" a="1"/>
  <c r="O34" i="348" s="1"/>
  <c r="M34" i="348" a="1"/>
  <c r="M34" i="348" s="1"/>
  <c r="L34" i="348" a="1"/>
  <c r="L34" i="348" s="1"/>
  <c r="K34" i="348" a="1"/>
  <c r="K34" i="348" s="1"/>
  <c r="J34" i="348" a="1"/>
  <c r="J34" i="348" s="1"/>
  <c r="H34" i="348" a="1"/>
  <c r="H34" i="348" s="1"/>
  <c r="G34" i="348" a="1"/>
  <c r="G34" i="348" s="1"/>
  <c r="F34" i="348" a="1"/>
  <c r="F34" i="348" s="1"/>
  <c r="E34" i="348" a="1"/>
  <c r="E34" i="348" s="1"/>
  <c r="C34" i="348"/>
  <c r="S31" i="348" a="1"/>
  <c r="S31" i="348" s="1"/>
  <c r="R31" i="348" a="1"/>
  <c r="R31" i="348" s="1"/>
  <c r="Q31" i="348" a="1"/>
  <c r="Q31" i="348" s="1"/>
  <c r="P31" i="348" a="1"/>
  <c r="P31" i="348" s="1"/>
  <c r="O31" i="348" a="1"/>
  <c r="O31" i="348" s="1"/>
  <c r="M31" i="348" a="1"/>
  <c r="M31" i="348" s="1"/>
  <c r="L31" i="348" a="1"/>
  <c r="L31" i="348" s="1"/>
  <c r="K31" i="348" a="1"/>
  <c r="K31" i="348" s="1"/>
  <c r="J31" i="348" a="1"/>
  <c r="J31" i="348" s="1"/>
  <c r="H31" i="348" a="1"/>
  <c r="H31" i="348" s="1"/>
  <c r="G31" i="348" a="1"/>
  <c r="G31" i="348" s="1"/>
  <c r="F31" i="348" a="1"/>
  <c r="F31" i="348" s="1"/>
  <c r="E31" i="348" a="1"/>
  <c r="E31" i="348" s="1"/>
  <c r="C31" i="348"/>
  <c r="S30" i="348" a="1"/>
  <c r="S30" i="348" s="1"/>
  <c r="R30" i="348" a="1"/>
  <c r="R30" i="348" s="1"/>
  <c r="Q30" i="348" a="1"/>
  <c r="Q30" i="348" s="1"/>
  <c r="P30" i="348" a="1"/>
  <c r="P30" i="348" s="1"/>
  <c r="O30" i="348" a="1"/>
  <c r="O30" i="348" s="1"/>
  <c r="M30" i="348" a="1"/>
  <c r="M30" i="348" s="1"/>
  <c r="L30" i="348" a="1"/>
  <c r="L30" i="348" s="1"/>
  <c r="K30" i="348" a="1"/>
  <c r="K30" i="348" s="1"/>
  <c r="J30" i="348" a="1"/>
  <c r="J30" i="348" s="1"/>
  <c r="H30" i="348" a="1"/>
  <c r="H30" i="348" s="1"/>
  <c r="G30" i="348" a="1"/>
  <c r="G30" i="348" s="1"/>
  <c r="F30" i="348" a="1"/>
  <c r="F30" i="348" s="1"/>
  <c r="E30" i="348" a="1"/>
  <c r="E30" i="348" s="1"/>
  <c r="C30" i="348"/>
  <c r="S29" i="348" a="1"/>
  <c r="S29" i="348" s="1"/>
  <c r="R29" i="348" a="1"/>
  <c r="R29" i="348" s="1"/>
  <c r="Q29" i="348" a="1"/>
  <c r="Q29" i="348" s="1"/>
  <c r="P29" i="348" a="1"/>
  <c r="P29" i="348" s="1"/>
  <c r="O29" i="348" a="1"/>
  <c r="O29" i="348" s="1"/>
  <c r="M29" i="348" a="1"/>
  <c r="M29" i="348" s="1"/>
  <c r="L29" i="348" a="1"/>
  <c r="L29" i="348" s="1"/>
  <c r="K29" i="348" a="1"/>
  <c r="K29" i="348" s="1"/>
  <c r="J29" i="348" a="1"/>
  <c r="J29" i="348" s="1"/>
  <c r="H29" i="348" a="1"/>
  <c r="H29" i="348" s="1"/>
  <c r="G29" i="348" a="1"/>
  <c r="G29" i="348" s="1"/>
  <c r="F29" i="348" a="1"/>
  <c r="F29" i="348" s="1"/>
  <c r="E29" i="348" a="1"/>
  <c r="E29" i="348" s="1"/>
  <c r="C29" i="348"/>
  <c r="S28" i="348" a="1"/>
  <c r="S28" i="348" s="1"/>
  <c r="R28" i="348" a="1"/>
  <c r="R28" i="348" s="1"/>
  <c r="Q28" i="348" a="1"/>
  <c r="Q28" i="348" s="1"/>
  <c r="P28" i="348" a="1"/>
  <c r="P28" i="348" s="1"/>
  <c r="O28" i="348" a="1"/>
  <c r="O28" i="348" s="1"/>
  <c r="M28" i="348" a="1"/>
  <c r="M28" i="348" s="1"/>
  <c r="L28" i="348" a="1"/>
  <c r="L28" i="348" s="1"/>
  <c r="K28" i="348" a="1"/>
  <c r="K28" i="348" s="1"/>
  <c r="J28" i="348" a="1"/>
  <c r="J28" i="348" s="1"/>
  <c r="H28" i="348" a="1"/>
  <c r="H28" i="348" s="1"/>
  <c r="G28" i="348" a="1"/>
  <c r="G28" i="348" s="1"/>
  <c r="F28" i="348" a="1"/>
  <c r="F28" i="348" s="1"/>
  <c r="E28" i="348" a="1"/>
  <c r="E28" i="348" s="1"/>
  <c r="C28" i="348"/>
  <c r="S27" i="348" a="1"/>
  <c r="S27" i="348" s="1"/>
  <c r="R27" i="348" a="1"/>
  <c r="R27" i="348" s="1"/>
  <c r="Q27" i="348" a="1"/>
  <c r="Q27" i="348" s="1"/>
  <c r="P27" i="348" a="1"/>
  <c r="P27" i="348" s="1"/>
  <c r="O27" i="348" a="1"/>
  <c r="O27" i="348" s="1"/>
  <c r="M27" i="348" a="1"/>
  <c r="M27" i="348" s="1"/>
  <c r="L27" i="348" a="1"/>
  <c r="L27" i="348" s="1"/>
  <c r="K27" i="348" a="1"/>
  <c r="K27" i="348" s="1"/>
  <c r="J27" i="348" a="1"/>
  <c r="J27" i="348" s="1"/>
  <c r="H27" i="348" a="1"/>
  <c r="H27" i="348" s="1"/>
  <c r="G27" i="348" a="1"/>
  <c r="G27" i="348" s="1"/>
  <c r="F27" i="348" a="1"/>
  <c r="F27" i="348" s="1"/>
  <c r="E27" i="348" a="1"/>
  <c r="E27" i="348" s="1"/>
  <c r="C27" i="348"/>
  <c r="S26" i="348" a="1"/>
  <c r="S26" i="348" s="1"/>
  <c r="R26" i="348" a="1"/>
  <c r="R26" i="348" s="1"/>
  <c r="Q26" i="348" a="1"/>
  <c r="Q26" i="348" s="1"/>
  <c r="P26" i="348" a="1"/>
  <c r="P26" i="348" s="1"/>
  <c r="O26" i="348" a="1"/>
  <c r="O26" i="348" s="1"/>
  <c r="M26" i="348" a="1"/>
  <c r="M26" i="348" s="1"/>
  <c r="L26" i="348" a="1"/>
  <c r="L26" i="348" s="1"/>
  <c r="K26" i="348" a="1"/>
  <c r="K26" i="348" s="1"/>
  <c r="J26" i="348" a="1"/>
  <c r="J26" i="348" s="1"/>
  <c r="H26" i="348" a="1"/>
  <c r="H26" i="348" s="1"/>
  <c r="G26" i="348" a="1"/>
  <c r="G26" i="348" s="1"/>
  <c r="F26" i="348" a="1"/>
  <c r="F26" i="348" s="1"/>
  <c r="E26" i="348" a="1"/>
  <c r="E26" i="348" s="1"/>
  <c r="C26" i="348"/>
  <c r="S25" i="348" a="1"/>
  <c r="S25" i="348" s="1"/>
  <c r="R25" i="348" a="1"/>
  <c r="R25" i="348" s="1"/>
  <c r="Q25" i="348" a="1"/>
  <c r="Q25" i="348" s="1"/>
  <c r="P25" i="348" a="1"/>
  <c r="P25" i="348" s="1"/>
  <c r="O25" i="348" a="1"/>
  <c r="O25" i="348" s="1"/>
  <c r="M25" i="348" a="1"/>
  <c r="M25" i="348" s="1"/>
  <c r="L25" i="348" a="1"/>
  <c r="L25" i="348" s="1"/>
  <c r="K25" i="348" a="1"/>
  <c r="K25" i="348" s="1"/>
  <c r="J25" i="348" a="1"/>
  <c r="J25" i="348" s="1"/>
  <c r="H25" i="348" a="1"/>
  <c r="H25" i="348" s="1"/>
  <c r="G25" i="348" a="1"/>
  <c r="G25" i="348" s="1"/>
  <c r="F25" i="348" a="1"/>
  <c r="F25" i="348" s="1"/>
  <c r="E25" i="348" a="1"/>
  <c r="E25" i="348" s="1"/>
  <c r="C25" i="348"/>
  <c r="S24" i="348" a="1"/>
  <c r="S24" i="348" s="1"/>
  <c r="R24" i="348" a="1"/>
  <c r="R24" i="348" s="1"/>
  <c r="Q24" i="348" a="1"/>
  <c r="Q24" i="348" s="1"/>
  <c r="P24" i="348" a="1"/>
  <c r="P24" i="348" s="1"/>
  <c r="O24" i="348" a="1"/>
  <c r="O24" i="348" s="1"/>
  <c r="M24" i="348" a="1"/>
  <c r="M24" i="348" s="1"/>
  <c r="L24" i="348" a="1"/>
  <c r="L24" i="348" s="1"/>
  <c r="K24" i="348" a="1"/>
  <c r="K24" i="348" s="1"/>
  <c r="J24" i="348" a="1"/>
  <c r="J24" i="348" s="1"/>
  <c r="H24" i="348" a="1"/>
  <c r="H24" i="348" s="1"/>
  <c r="G24" i="348" a="1"/>
  <c r="G24" i="348" s="1"/>
  <c r="F24" i="348" a="1"/>
  <c r="F24" i="348" s="1"/>
  <c r="E24" i="348" a="1"/>
  <c r="E24" i="348" s="1"/>
  <c r="C24" i="348"/>
  <c r="S23" i="348" a="1"/>
  <c r="S23" i="348" s="1"/>
  <c r="R23" i="348" a="1"/>
  <c r="R23" i="348" s="1"/>
  <c r="Q23" i="348" a="1"/>
  <c r="Q23" i="348" s="1"/>
  <c r="P23" i="348" a="1"/>
  <c r="P23" i="348" s="1"/>
  <c r="O23" i="348" a="1"/>
  <c r="O23" i="348" s="1"/>
  <c r="M23" i="348" a="1"/>
  <c r="M23" i="348" s="1"/>
  <c r="L23" i="348" a="1"/>
  <c r="L23" i="348" s="1"/>
  <c r="K23" i="348" a="1"/>
  <c r="K23" i="348" s="1"/>
  <c r="J23" i="348" a="1"/>
  <c r="J23" i="348" s="1"/>
  <c r="H23" i="348" a="1"/>
  <c r="H23" i="348" s="1"/>
  <c r="G23" i="348" a="1"/>
  <c r="G23" i="348" s="1"/>
  <c r="F23" i="348" a="1"/>
  <c r="F23" i="348" s="1"/>
  <c r="E23" i="348" a="1"/>
  <c r="E23" i="348" s="1"/>
  <c r="C23" i="348"/>
  <c r="S22" i="348" a="1"/>
  <c r="S22" i="348" s="1"/>
  <c r="R22" i="348" a="1"/>
  <c r="R22" i="348" s="1"/>
  <c r="Q22" i="348" a="1"/>
  <c r="Q22" i="348" s="1"/>
  <c r="P22" i="348" a="1"/>
  <c r="P22" i="348" s="1"/>
  <c r="O22" i="348" a="1"/>
  <c r="O22" i="348" s="1"/>
  <c r="M22" i="348" a="1"/>
  <c r="M22" i="348" s="1"/>
  <c r="L22" i="348" a="1"/>
  <c r="L22" i="348" s="1"/>
  <c r="K22" i="348" a="1"/>
  <c r="K22" i="348" s="1"/>
  <c r="J22" i="348" a="1"/>
  <c r="J22" i="348" s="1"/>
  <c r="H22" i="348" a="1"/>
  <c r="H22" i="348" s="1"/>
  <c r="G22" i="348" a="1"/>
  <c r="G22" i="348" s="1"/>
  <c r="F22" i="348" a="1"/>
  <c r="F22" i="348" s="1"/>
  <c r="E22" i="348" a="1"/>
  <c r="E22" i="348" s="1"/>
  <c r="C22" i="348"/>
  <c r="S21" i="348" a="1"/>
  <c r="S21" i="348" s="1"/>
  <c r="R21" i="348" a="1"/>
  <c r="R21" i="348" s="1"/>
  <c r="Q21" i="348" a="1"/>
  <c r="Q21" i="348" s="1"/>
  <c r="P21" i="348" a="1"/>
  <c r="P21" i="348" s="1"/>
  <c r="O21" i="348" a="1"/>
  <c r="O21" i="348" s="1"/>
  <c r="M21" i="348" a="1"/>
  <c r="M21" i="348" s="1"/>
  <c r="L21" i="348" a="1"/>
  <c r="L21" i="348" s="1"/>
  <c r="K21" i="348" a="1"/>
  <c r="K21" i="348" s="1"/>
  <c r="J21" i="348" a="1"/>
  <c r="J21" i="348" s="1"/>
  <c r="H21" i="348" a="1"/>
  <c r="H21" i="348" s="1"/>
  <c r="G21" i="348" a="1"/>
  <c r="G21" i="348" s="1"/>
  <c r="F21" i="348" a="1"/>
  <c r="F21" i="348" s="1"/>
  <c r="E21" i="348" a="1"/>
  <c r="E21" i="348" s="1"/>
  <c r="C21" i="348"/>
  <c r="S20" i="348" a="1"/>
  <c r="S20" i="348" s="1"/>
  <c r="R20" i="348" a="1"/>
  <c r="R20" i="348" s="1"/>
  <c r="Q20" i="348" a="1"/>
  <c r="Q20" i="348" s="1"/>
  <c r="P20" i="348" a="1"/>
  <c r="P20" i="348" s="1"/>
  <c r="O20" i="348" a="1"/>
  <c r="O20" i="348" s="1"/>
  <c r="M20" i="348" a="1"/>
  <c r="M20" i="348" s="1"/>
  <c r="L20" i="348" a="1"/>
  <c r="L20" i="348" s="1"/>
  <c r="K20" i="348" a="1"/>
  <c r="K20" i="348" s="1"/>
  <c r="J20" i="348" a="1"/>
  <c r="J20" i="348" s="1"/>
  <c r="H20" i="348" a="1"/>
  <c r="H20" i="348" s="1"/>
  <c r="G20" i="348" a="1"/>
  <c r="G20" i="348" s="1"/>
  <c r="F20" i="348" a="1"/>
  <c r="F20" i="348" s="1"/>
  <c r="E20" i="348" a="1"/>
  <c r="E20" i="348" s="1"/>
  <c r="C20" i="348"/>
  <c r="S19" i="348" a="1"/>
  <c r="S19" i="348" s="1"/>
  <c r="R19" i="348" a="1"/>
  <c r="R19" i="348" s="1"/>
  <c r="Q19" i="348" a="1"/>
  <c r="Q19" i="348" s="1"/>
  <c r="P19" i="348" a="1"/>
  <c r="P19" i="348" s="1"/>
  <c r="O19" i="348" a="1"/>
  <c r="O19" i="348" s="1"/>
  <c r="M19" i="348" a="1"/>
  <c r="M19" i="348" s="1"/>
  <c r="L19" i="348" a="1"/>
  <c r="L19" i="348" s="1"/>
  <c r="K19" i="348" a="1"/>
  <c r="K19" i="348" s="1"/>
  <c r="J19" i="348" a="1"/>
  <c r="J19" i="348" s="1"/>
  <c r="H19" i="348" a="1"/>
  <c r="H19" i="348" s="1"/>
  <c r="G19" i="348" a="1"/>
  <c r="G19" i="348" s="1"/>
  <c r="F19" i="348" a="1"/>
  <c r="F19" i="348" s="1"/>
  <c r="E19" i="348" a="1"/>
  <c r="E19" i="348" s="1"/>
  <c r="C19" i="348"/>
  <c r="S18" i="348" a="1"/>
  <c r="S18" i="348" s="1"/>
  <c r="R18" i="348" a="1"/>
  <c r="R18" i="348" s="1"/>
  <c r="Q18" i="348" a="1"/>
  <c r="Q18" i="348" s="1"/>
  <c r="P18" i="348" a="1"/>
  <c r="P18" i="348" s="1"/>
  <c r="O18" i="348" a="1"/>
  <c r="O18" i="348" s="1"/>
  <c r="M18" i="348" a="1"/>
  <c r="M18" i="348" s="1"/>
  <c r="L18" i="348" a="1"/>
  <c r="L18" i="348" s="1"/>
  <c r="K18" i="348" a="1"/>
  <c r="K18" i="348" s="1"/>
  <c r="J18" i="348" a="1"/>
  <c r="J18" i="348" s="1"/>
  <c r="H18" i="348" a="1"/>
  <c r="H18" i="348" s="1"/>
  <c r="G18" i="348" a="1"/>
  <c r="G18" i="348" s="1"/>
  <c r="F18" i="348" a="1"/>
  <c r="F18" i="348" s="1"/>
  <c r="E18" i="348" a="1"/>
  <c r="E18" i="348" s="1"/>
  <c r="C18" i="348"/>
  <c r="S17" i="348" a="1"/>
  <c r="S17" i="348" s="1"/>
  <c r="R17" i="348" a="1"/>
  <c r="R17" i="348" s="1"/>
  <c r="Q17" i="348" a="1"/>
  <c r="Q17" i="348" s="1"/>
  <c r="P17" i="348" a="1"/>
  <c r="P17" i="348" s="1"/>
  <c r="O17" i="348" a="1"/>
  <c r="O17" i="348" s="1"/>
  <c r="M17" i="348" a="1"/>
  <c r="M17" i="348" s="1"/>
  <c r="L17" i="348" a="1"/>
  <c r="L17" i="348" s="1"/>
  <c r="K17" i="348" a="1"/>
  <c r="K17" i="348" s="1"/>
  <c r="J17" i="348" a="1"/>
  <c r="J17" i="348" s="1"/>
  <c r="H17" i="348" a="1"/>
  <c r="H17" i="348" s="1"/>
  <c r="G17" i="348" a="1"/>
  <c r="G17" i="348" s="1"/>
  <c r="F17" i="348" a="1"/>
  <c r="F17" i="348" s="1"/>
  <c r="E17" i="348" a="1"/>
  <c r="E17" i="348" s="1"/>
  <c r="C17" i="348"/>
  <c r="S16" i="348" a="1"/>
  <c r="S16" i="348" s="1"/>
  <c r="R16" i="348" a="1"/>
  <c r="R16" i="348" s="1"/>
  <c r="Q16" i="348" a="1"/>
  <c r="Q16" i="348" s="1"/>
  <c r="P16" i="348" a="1"/>
  <c r="P16" i="348" s="1"/>
  <c r="O16" i="348" a="1"/>
  <c r="O16" i="348" s="1"/>
  <c r="M16" i="348" a="1"/>
  <c r="M16" i="348" s="1"/>
  <c r="L16" i="348" a="1"/>
  <c r="L16" i="348" s="1"/>
  <c r="K16" i="348" a="1"/>
  <c r="K16" i="348" s="1"/>
  <c r="J16" i="348" a="1"/>
  <c r="J16" i="348" s="1"/>
  <c r="H16" i="348" a="1"/>
  <c r="H16" i="348" s="1"/>
  <c r="G16" i="348" a="1"/>
  <c r="G16" i="348" s="1"/>
  <c r="F16" i="348" a="1"/>
  <c r="F16" i="348" s="1"/>
  <c r="E16" i="348" a="1"/>
  <c r="E16" i="348" s="1"/>
  <c r="C16" i="348"/>
  <c r="S15" i="348" a="1"/>
  <c r="S15" i="348" s="1"/>
  <c r="R15" i="348" a="1"/>
  <c r="R15" i="348" s="1"/>
  <c r="Q15" i="348" a="1"/>
  <c r="Q15" i="348" s="1"/>
  <c r="P15" i="348" a="1"/>
  <c r="P15" i="348" s="1"/>
  <c r="O15" i="348" a="1"/>
  <c r="O15" i="348" s="1"/>
  <c r="M15" i="348" a="1"/>
  <c r="M15" i="348" s="1"/>
  <c r="L15" i="348" a="1"/>
  <c r="L15" i="348" s="1"/>
  <c r="K15" i="348" a="1"/>
  <c r="K15" i="348" s="1"/>
  <c r="J15" i="348" a="1"/>
  <c r="J15" i="348" s="1"/>
  <c r="H15" i="348" a="1"/>
  <c r="H15" i="348" s="1"/>
  <c r="G15" i="348" a="1"/>
  <c r="G15" i="348" s="1"/>
  <c r="F15" i="348" a="1"/>
  <c r="F15" i="348" s="1"/>
  <c r="E15" i="348" a="1"/>
  <c r="E15" i="348" s="1"/>
  <c r="C15" i="348"/>
  <c r="S14" i="348" a="1"/>
  <c r="S14" i="348" s="1"/>
  <c r="R14" i="348" a="1"/>
  <c r="R14" i="348" s="1"/>
  <c r="Q14" i="348" a="1"/>
  <c r="Q14" i="348" s="1"/>
  <c r="P14" i="348" a="1"/>
  <c r="P14" i="348" s="1"/>
  <c r="O14" i="348" a="1"/>
  <c r="O14" i="348" s="1"/>
  <c r="M14" i="348" a="1"/>
  <c r="M14" i="348" s="1"/>
  <c r="L14" i="348" a="1"/>
  <c r="L14" i="348" s="1"/>
  <c r="K14" i="348" a="1"/>
  <c r="K14" i="348" s="1"/>
  <c r="J14" i="348" a="1"/>
  <c r="J14" i="348" s="1"/>
  <c r="H14" i="348" a="1"/>
  <c r="H14" i="348" s="1"/>
  <c r="G14" i="348" a="1"/>
  <c r="G14" i="348" s="1"/>
  <c r="F14" i="348" a="1"/>
  <c r="F14" i="348" s="1"/>
  <c r="E14" i="348" a="1"/>
  <c r="E14" i="348" s="1"/>
  <c r="C14" i="348"/>
  <c r="S13" i="348" a="1"/>
  <c r="S13" i="348" s="1"/>
  <c r="R13" i="348" a="1"/>
  <c r="R13" i="348" s="1"/>
  <c r="Q13" i="348" a="1"/>
  <c r="Q13" i="348" s="1"/>
  <c r="P13" i="348" a="1"/>
  <c r="P13" i="348" s="1"/>
  <c r="O13" i="348" a="1"/>
  <c r="O13" i="348" s="1"/>
  <c r="M13" i="348" a="1"/>
  <c r="M13" i="348" s="1"/>
  <c r="L13" i="348" a="1"/>
  <c r="L13" i="348" s="1"/>
  <c r="K13" i="348" a="1"/>
  <c r="K13" i="348" s="1"/>
  <c r="J13" i="348" a="1"/>
  <c r="J13" i="348" s="1"/>
  <c r="H13" i="348" a="1"/>
  <c r="H13" i="348" s="1"/>
  <c r="G13" i="348" a="1"/>
  <c r="G13" i="348" s="1"/>
  <c r="F13" i="348" a="1"/>
  <c r="F13" i="348" s="1"/>
  <c r="E13" i="348" a="1"/>
  <c r="E13" i="348" s="1"/>
  <c r="C13" i="348"/>
  <c r="S12" i="348" a="1"/>
  <c r="S12" i="348" s="1"/>
  <c r="R12" i="348" a="1"/>
  <c r="R12" i="348" s="1"/>
  <c r="Q12" i="348" a="1"/>
  <c r="Q12" i="348" s="1"/>
  <c r="P12" i="348" a="1"/>
  <c r="P12" i="348" s="1"/>
  <c r="O12" i="348" a="1"/>
  <c r="O12" i="348" s="1"/>
  <c r="M12" i="348" a="1"/>
  <c r="M12" i="348" s="1"/>
  <c r="L12" i="348" a="1"/>
  <c r="L12" i="348" s="1"/>
  <c r="K12" i="348" a="1"/>
  <c r="K12" i="348" s="1"/>
  <c r="J12" i="348" a="1"/>
  <c r="J12" i="348" s="1"/>
  <c r="H12" i="348" a="1"/>
  <c r="H12" i="348" s="1"/>
  <c r="G12" i="348" a="1"/>
  <c r="G12" i="348" s="1"/>
  <c r="F12" i="348" a="1"/>
  <c r="F12" i="348" s="1"/>
  <c r="E12" i="348" a="1"/>
  <c r="E12" i="348" s="1"/>
  <c r="C12" i="348"/>
  <c r="S11" i="348" a="1"/>
  <c r="S11" i="348" s="1"/>
  <c r="R11" i="348" a="1"/>
  <c r="R11" i="348" s="1"/>
  <c r="Q11" i="348" a="1"/>
  <c r="Q11" i="348" s="1"/>
  <c r="P11" i="348" a="1"/>
  <c r="P11" i="348" s="1"/>
  <c r="O11" i="348" a="1"/>
  <c r="O11" i="348" s="1"/>
  <c r="M11" i="348" a="1"/>
  <c r="M11" i="348" s="1"/>
  <c r="L11" i="348" a="1"/>
  <c r="L11" i="348" s="1"/>
  <c r="K11" i="348" a="1"/>
  <c r="K11" i="348" s="1"/>
  <c r="J11" i="348" a="1"/>
  <c r="J11" i="348" s="1"/>
  <c r="H11" i="348" a="1"/>
  <c r="H11" i="348" s="1"/>
  <c r="G11" i="348" a="1"/>
  <c r="G11" i="348" s="1"/>
  <c r="F11" i="348" a="1"/>
  <c r="F11" i="348" s="1"/>
  <c r="E11" i="348" a="1"/>
  <c r="E11" i="348" s="1"/>
  <c r="C11" i="348"/>
  <c r="S10" i="348" a="1"/>
  <c r="S10" i="348" s="1"/>
  <c r="R10" i="348" a="1"/>
  <c r="R10" i="348" s="1"/>
  <c r="Q10" i="348" a="1"/>
  <c r="Q10" i="348" s="1"/>
  <c r="P10" i="348" a="1"/>
  <c r="P10" i="348" s="1"/>
  <c r="O10" i="348" a="1"/>
  <c r="O10" i="348" s="1"/>
  <c r="M10" i="348" a="1"/>
  <c r="M10" i="348" s="1"/>
  <c r="L10" i="348" a="1"/>
  <c r="L10" i="348" s="1"/>
  <c r="K10" i="348" a="1"/>
  <c r="K10" i="348" s="1"/>
  <c r="J10" i="348" a="1"/>
  <c r="J10" i="348" s="1"/>
  <c r="H10" i="348" a="1"/>
  <c r="H10" i="348" s="1"/>
  <c r="G10" i="348" a="1"/>
  <c r="G10" i="348" s="1"/>
  <c r="F10" i="348" a="1"/>
  <c r="F10" i="348" s="1"/>
  <c r="E10" i="348" a="1"/>
  <c r="E10" i="348" s="1"/>
  <c r="C10" i="348"/>
  <c r="A10" i="348"/>
  <c r="A11" i="348" s="1"/>
  <c r="A12" i="348" s="1"/>
  <c r="A13" i="348" s="1"/>
  <c r="A14" i="348" s="1"/>
  <c r="A15" i="348" s="1"/>
  <c r="A16" i="348" s="1"/>
  <c r="A17" i="348" s="1"/>
  <c r="A18" i="348" s="1"/>
  <c r="A19" i="348" s="1"/>
  <c r="A20" i="348" s="1"/>
  <c r="A21" i="348" s="1"/>
  <c r="A22" i="348" s="1"/>
  <c r="A23" i="348" s="1"/>
  <c r="A24" i="348" s="1"/>
  <c r="A25" i="348" s="1"/>
  <c r="A26" i="348" s="1"/>
  <c r="A27" i="348" s="1"/>
  <c r="A28" i="348" s="1"/>
  <c r="A29" i="348" s="1"/>
  <c r="A30" i="348" s="1"/>
  <c r="A31" i="348" s="1"/>
  <c r="S9" i="348" a="1"/>
  <c r="S9" i="348" s="1"/>
  <c r="R9" i="348" a="1"/>
  <c r="R9" i="348" s="1"/>
  <c r="Q9" i="348" a="1"/>
  <c r="Q9" i="348" s="1"/>
  <c r="P9" i="348" a="1"/>
  <c r="P9" i="348" s="1"/>
  <c r="O9" i="348" a="1"/>
  <c r="O9" i="348" s="1"/>
  <c r="M9" i="348" a="1"/>
  <c r="M9" i="348" s="1"/>
  <c r="L9" i="348" a="1"/>
  <c r="L9" i="348" s="1"/>
  <c r="K9" i="348" a="1"/>
  <c r="K9" i="348" s="1"/>
  <c r="J9" i="348" a="1"/>
  <c r="J9" i="348" s="1"/>
  <c r="H9" i="348" a="1"/>
  <c r="H9" i="348" s="1"/>
  <c r="G9" i="348" a="1"/>
  <c r="G9" i="348" s="1"/>
  <c r="F9" i="348" a="1"/>
  <c r="F9" i="348" s="1"/>
  <c r="E9" i="348" a="1"/>
  <c r="E9" i="348" s="1"/>
  <c r="C9" i="348"/>
  <c r="T109" i="347" a="1"/>
  <c r="T109" i="347" s="1"/>
  <c r="S109" i="347" a="1"/>
  <c r="S109" i="347" s="1"/>
  <c r="R109" i="347" a="1"/>
  <c r="R109" i="347" s="1"/>
  <c r="Q109" i="347" a="1"/>
  <c r="Q109" i="347" s="1"/>
  <c r="P109" i="347" a="1"/>
  <c r="P109" i="347" s="1"/>
  <c r="N109" i="347" a="1"/>
  <c r="N109" i="347" s="1"/>
  <c r="M109" i="347" a="1"/>
  <c r="M109" i="347" s="1"/>
  <c r="L109" i="347" a="1"/>
  <c r="L109" i="347" s="1"/>
  <c r="K109" i="347" a="1"/>
  <c r="K109" i="347" s="1"/>
  <c r="I109" i="347" a="1"/>
  <c r="I109" i="347" s="1"/>
  <c r="H109" i="347" a="1"/>
  <c r="H109" i="347" s="1"/>
  <c r="G109" i="347" a="1"/>
  <c r="G109" i="347" s="1"/>
  <c r="F109" i="347" a="1"/>
  <c r="F109" i="347" s="1"/>
  <c r="E109" i="347" a="1"/>
  <c r="E109" i="347" s="1"/>
  <c r="C109" i="347"/>
  <c r="T108" i="347" a="1"/>
  <c r="T108" i="347" s="1"/>
  <c r="S108" i="347" a="1"/>
  <c r="S108" i="347" s="1"/>
  <c r="R108" i="347" a="1"/>
  <c r="R108" i="347" s="1"/>
  <c r="Q108" i="347" a="1"/>
  <c r="Q108" i="347" s="1"/>
  <c r="P108" i="347" a="1"/>
  <c r="P108" i="347" s="1"/>
  <c r="N108" i="347" a="1"/>
  <c r="N108" i="347" s="1"/>
  <c r="M108" i="347" a="1"/>
  <c r="M108" i="347" s="1"/>
  <c r="L108" i="347" a="1"/>
  <c r="L108" i="347" s="1"/>
  <c r="K108" i="347" a="1"/>
  <c r="K108" i="347" s="1"/>
  <c r="I108" i="347" a="1"/>
  <c r="I108" i="347" s="1"/>
  <c r="H108" i="347" a="1"/>
  <c r="H108" i="347" s="1"/>
  <c r="G108" i="347" a="1"/>
  <c r="G108" i="347" s="1"/>
  <c r="F108" i="347" a="1"/>
  <c r="F108" i="347" s="1"/>
  <c r="E108" i="347" a="1"/>
  <c r="E108" i="347" s="1"/>
  <c r="C108" i="347"/>
  <c r="T107" i="347" a="1"/>
  <c r="T107" i="347" s="1"/>
  <c r="S107" i="347" a="1"/>
  <c r="S107" i="347" s="1"/>
  <c r="R107" i="347" a="1"/>
  <c r="R107" i="347" s="1"/>
  <c r="Q107" i="347" a="1"/>
  <c r="Q107" i="347" s="1"/>
  <c r="P107" i="347" a="1"/>
  <c r="P107" i="347" s="1"/>
  <c r="N107" i="347" a="1"/>
  <c r="N107" i="347" s="1"/>
  <c r="M107" i="347" a="1"/>
  <c r="M107" i="347" s="1"/>
  <c r="L107" i="347" a="1"/>
  <c r="L107" i="347" s="1"/>
  <c r="K107" i="347" a="1"/>
  <c r="K107" i="347" s="1"/>
  <c r="I107" i="347" a="1"/>
  <c r="I107" i="347" s="1"/>
  <c r="H107" i="347" a="1"/>
  <c r="H107" i="347" s="1"/>
  <c r="G107" i="347" a="1"/>
  <c r="G107" i="347" s="1"/>
  <c r="F107" i="347" a="1"/>
  <c r="F107" i="347" s="1"/>
  <c r="E107" i="347" a="1"/>
  <c r="E107" i="347" s="1"/>
  <c r="C107" i="347"/>
  <c r="T106" i="347" a="1"/>
  <c r="T106" i="347" s="1"/>
  <c r="S106" i="347" a="1"/>
  <c r="S106" i="347" s="1"/>
  <c r="R106" i="347" a="1"/>
  <c r="R106" i="347" s="1"/>
  <c r="Q106" i="347" a="1"/>
  <c r="Q106" i="347" s="1"/>
  <c r="P106" i="347" a="1"/>
  <c r="P106" i="347" s="1"/>
  <c r="N106" i="347" a="1"/>
  <c r="N106" i="347" s="1"/>
  <c r="M106" i="347" a="1"/>
  <c r="M106" i="347" s="1"/>
  <c r="L106" i="347" a="1"/>
  <c r="L106" i="347" s="1"/>
  <c r="K106" i="347" a="1"/>
  <c r="K106" i="347" s="1"/>
  <c r="I106" i="347" a="1"/>
  <c r="I106" i="347" s="1"/>
  <c r="H106" i="347" a="1"/>
  <c r="H106" i="347" s="1"/>
  <c r="G106" i="347" a="1"/>
  <c r="G106" i="347" s="1"/>
  <c r="F106" i="347" a="1"/>
  <c r="F106" i="347" s="1"/>
  <c r="E106" i="347" a="1"/>
  <c r="E106" i="347" s="1"/>
  <c r="C106" i="347"/>
  <c r="T105" i="347" a="1"/>
  <c r="T105" i="347" s="1"/>
  <c r="S105" i="347" a="1"/>
  <c r="S105" i="347" s="1"/>
  <c r="R105" i="347" a="1"/>
  <c r="R105" i="347" s="1"/>
  <c r="Q105" i="347" a="1"/>
  <c r="Q105" i="347" s="1"/>
  <c r="P105" i="347" a="1"/>
  <c r="P105" i="347" s="1"/>
  <c r="N105" i="347" a="1"/>
  <c r="N105" i="347" s="1"/>
  <c r="M105" i="347" a="1"/>
  <c r="M105" i="347" s="1"/>
  <c r="L105" i="347" a="1"/>
  <c r="L105" i="347" s="1"/>
  <c r="K105" i="347" a="1"/>
  <c r="K105" i="347" s="1"/>
  <c r="I105" i="347" a="1"/>
  <c r="I105" i="347" s="1"/>
  <c r="H105" i="347" a="1"/>
  <c r="H105" i="347" s="1"/>
  <c r="G105" i="347" a="1"/>
  <c r="G105" i="347" s="1"/>
  <c r="F105" i="347" a="1"/>
  <c r="F105" i="347" s="1"/>
  <c r="E105" i="347" a="1"/>
  <c r="E105" i="347" s="1"/>
  <c r="C105" i="347"/>
  <c r="T104" i="347" a="1"/>
  <c r="T104" i="347" s="1"/>
  <c r="S104" i="347" a="1"/>
  <c r="S104" i="347" s="1"/>
  <c r="R104" i="347" a="1"/>
  <c r="R104" i="347" s="1"/>
  <c r="Q104" i="347" a="1"/>
  <c r="Q104" i="347" s="1"/>
  <c r="P104" i="347" a="1"/>
  <c r="P104" i="347" s="1"/>
  <c r="N104" i="347" a="1"/>
  <c r="N104" i="347" s="1"/>
  <c r="M104" i="347" a="1"/>
  <c r="M104" i="347" s="1"/>
  <c r="L104" i="347" a="1"/>
  <c r="L104" i="347" s="1"/>
  <c r="K104" i="347" a="1"/>
  <c r="K104" i="347" s="1"/>
  <c r="I104" i="347" a="1"/>
  <c r="I104" i="347" s="1"/>
  <c r="H104" i="347" a="1"/>
  <c r="H104" i="347" s="1"/>
  <c r="G104" i="347" a="1"/>
  <c r="G104" i="347" s="1"/>
  <c r="F104" i="347" a="1"/>
  <c r="F104" i="347" s="1"/>
  <c r="E104" i="347" a="1"/>
  <c r="E104" i="347" s="1"/>
  <c r="C104" i="347"/>
  <c r="T103" i="347" a="1"/>
  <c r="T103" i="347" s="1"/>
  <c r="S103" i="347" a="1"/>
  <c r="S103" i="347" s="1"/>
  <c r="R103" i="347" a="1"/>
  <c r="R103" i="347" s="1"/>
  <c r="Q103" i="347" a="1"/>
  <c r="Q103" i="347" s="1"/>
  <c r="P103" i="347" a="1"/>
  <c r="P103" i="347" s="1"/>
  <c r="N103" i="347" a="1"/>
  <c r="N103" i="347" s="1"/>
  <c r="M103" i="347" a="1"/>
  <c r="M103" i="347" s="1"/>
  <c r="L103" i="347" a="1"/>
  <c r="L103" i="347" s="1"/>
  <c r="K103" i="347" a="1"/>
  <c r="K103" i="347" s="1"/>
  <c r="I103" i="347" a="1"/>
  <c r="I103" i="347" s="1"/>
  <c r="H103" i="347" a="1"/>
  <c r="H103" i="347" s="1"/>
  <c r="G103" i="347" a="1"/>
  <c r="G103" i="347" s="1"/>
  <c r="F103" i="347" a="1"/>
  <c r="F103" i="347" s="1"/>
  <c r="E103" i="347" a="1"/>
  <c r="E103" i="347" s="1"/>
  <c r="C103" i="347"/>
  <c r="T102" i="347" a="1"/>
  <c r="T102" i="347" s="1"/>
  <c r="S102" i="347" a="1"/>
  <c r="S102" i="347" s="1"/>
  <c r="R102" i="347" a="1"/>
  <c r="R102" i="347" s="1"/>
  <c r="Q102" i="347" a="1"/>
  <c r="Q102" i="347" s="1"/>
  <c r="P102" i="347" a="1"/>
  <c r="P102" i="347" s="1"/>
  <c r="N102" i="347" a="1"/>
  <c r="N102" i="347" s="1"/>
  <c r="M102" i="347" a="1"/>
  <c r="M102" i="347" s="1"/>
  <c r="L102" i="347" a="1"/>
  <c r="L102" i="347" s="1"/>
  <c r="K102" i="347" a="1"/>
  <c r="K102" i="347" s="1"/>
  <c r="I102" i="347" a="1"/>
  <c r="I102" i="347" s="1"/>
  <c r="H102" i="347" a="1"/>
  <c r="H102" i="347" s="1"/>
  <c r="G102" i="347" a="1"/>
  <c r="G102" i="347" s="1"/>
  <c r="F102" i="347" a="1"/>
  <c r="F102" i="347" s="1"/>
  <c r="E102" i="347" a="1"/>
  <c r="E102" i="347" s="1"/>
  <c r="C102" i="347"/>
  <c r="T101" i="347" a="1"/>
  <c r="T101" i="347" s="1"/>
  <c r="S101" i="347" a="1"/>
  <c r="S101" i="347" s="1"/>
  <c r="R101" i="347" a="1"/>
  <c r="R101" i="347" s="1"/>
  <c r="Q101" i="347" a="1"/>
  <c r="Q101" i="347" s="1"/>
  <c r="P101" i="347" a="1"/>
  <c r="P101" i="347" s="1"/>
  <c r="N101" i="347" a="1"/>
  <c r="N101" i="347" s="1"/>
  <c r="M101" i="347" a="1"/>
  <c r="M101" i="347" s="1"/>
  <c r="L101" i="347" a="1"/>
  <c r="L101" i="347" s="1"/>
  <c r="K101" i="347" a="1"/>
  <c r="K101" i="347" s="1"/>
  <c r="I101" i="347" a="1"/>
  <c r="I101" i="347" s="1"/>
  <c r="H101" i="347" a="1"/>
  <c r="H101" i="347" s="1"/>
  <c r="G101" i="347" a="1"/>
  <c r="G101" i="347" s="1"/>
  <c r="F101" i="347" a="1"/>
  <c r="F101" i="347" s="1"/>
  <c r="E101" i="347" a="1"/>
  <c r="E101" i="347" s="1"/>
  <c r="C101" i="347"/>
  <c r="T100" i="347" a="1"/>
  <c r="T100" i="347" s="1"/>
  <c r="S100" i="347" a="1"/>
  <c r="S100" i="347" s="1"/>
  <c r="R100" i="347" a="1"/>
  <c r="R100" i="347" s="1"/>
  <c r="Q100" i="347" a="1"/>
  <c r="Q100" i="347" s="1"/>
  <c r="P100" i="347" a="1"/>
  <c r="P100" i="347" s="1"/>
  <c r="N100" i="347" a="1"/>
  <c r="N100" i="347" s="1"/>
  <c r="M100" i="347" a="1"/>
  <c r="M100" i="347" s="1"/>
  <c r="L100" i="347" a="1"/>
  <c r="L100" i="347" s="1"/>
  <c r="K100" i="347" a="1"/>
  <c r="K100" i="347" s="1"/>
  <c r="I100" i="347" a="1"/>
  <c r="I100" i="347" s="1"/>
  <c r="H100" i="347" a="1"/>
  <c r="H100" i="347" s="1"/>
  <c r="G100" i="347" a="1"/>
  <c r="G100" i="347" s="1"/>
  <c r="F100" i="347" a="1"/>
  <c r="F100" i="347" s="1"/>
  <c r="E100" i="347" a="1"/>
  <c r="E100" i="347" s="1"/>
  <c r="C100" i="347"/>
  <c r="T99" i="347" a="1"/>
  <c r="T99" i="347" s="1"/>
  <c r="S99" i="347" a="1"/>
  <c r="S99" i="347" s="1"/>
  <c r="R99" i="347" a="1"/>
  <c r="R99" i="347" s="1"/>
  <c r="Q99" i="347" a="1"/>
  <c r="Q99" i="347" s="1"/>
  <c r="P99" i="347" a="1"/>
  <c r="P99" i="347" s="1"/>
  <c r="N99" i="347" a="1"/>
  <c r="N99" i="347" s="1"/>
  <c r="M99" i="347" a="1"/>
  <c r="M99" i="347" s="1"/>
  <c r="L99" i="347" a="1"/>
  <c r="L99" i="347" s="1"/>
  <c r="K99" i="347" a="1"/>
  <c r="K99" i="347" s="1"/>
  <c r="I99" i="347" a="1"/>
  <c r="I99" i="347" s="1"/>
  <c r="H99" i="347" a="1"/>
  <c r="H99" i="347" s="1"/>
  <c r="G99" i="347" a="1"/>
  <c r="G99" i="347" s="1"/>
  <c r="F99" i="347" a="1"/>
  <c r="F99" i="347" s="1"/>
  <c r="E99" i="347" a="1"/>
  <c r="E99" i="347" s="1"/>
  <c r="C99" i="347"/>
  <c r="T98" i="347" a="1"/>
  <c r="T98" i="347" s="1"/>
  <c r="S98" i="347" a="1"/>
  <c r="S98" i="347" s="1"/>
  <c r="R98" i="347" a="1"/>
  <c r="R98" i="347" s="1"/>
  <c r="Q98" i="347" a="1"/>
  <c r="Q98" i="347" s="1"/>
  <c r="P98" i="347" a="1"/>
  <c r="P98" i="347" s="1"/>
  <c r="N98" i="347" a="1"/>
  <c r="N98" i="347" s="1"/>
  <c r="M98" i="347" a="1"/>
  <c r="M98" i="347" s="1"/>
  <c r="L98" i="347" a="1"/>
  <c r="L98" i="347" s="1"/>
  <c r="K98" i="347" a="1"/>
  <c r="K98" i="347" s="1"/>
  <c r="I98" i="347" a="1"/>
  <c r="I98" i="347" s="1"/>
  <c r="H98" i="347" a="1"/>
  <c r="H98" i="347" s="1"/>
  <c r="G98" i="347" a="1"/>
  <c r="G98" i="347" s="1"/>
  <c r="F98" i="347" a="1"/>
  <c r="F98" i="347" s="1"/>
  <c r="E98" i="347" a="1"/>
  <c r="E98" i="347" s="1"/>
  <c r="C98" i="347"/>
  <c r="T97" i="347" a="1"/>
  <c r="T97" i="347" s="1"/>
  <c r="S97" i="347" a="1"/>
  <c r="S97" i="347" s="1"/>
  <c r="R97" i="347" a="1"/>
  <c r="R97" i="347" s="1"/>
  <c r="Q97" i="347" a="1"/>
  <c r="Q97" i="347" s="1"/>
  <c r="P97" i="347" a="1"/>
  <c r="P97" i="347" s="1"/>
  <c r="N97" i="347" a="1"/>
  <c r="N97" i="347" s="1"/>
  <c r="M97" i="347" a="1"/>
  <c r="M97" i="347" s="1"/>
  <c r="L97" i="347" a="1"/>
  <c r="L97" i="347" s="1"/>
  <c r="K97" i="347" a="1"/>
  <c r="K97" i="347" s="1"/>
  <c r="I97" i="347" a="1"/>
  <c r="I97" i="347" s="1"/>
  <c r="H97" i="347" a="1"/>
  <c r="H97" i="347" s="1"/>
  <c r="G97" i="347" a="1"/>
  <c r="G97" i="347" s="1"/>
  <c r="F97" i="347" a="1"/>
  <c r="F97" i="347" s="1"/>
  <c r="E97" i="347" a="1"/>
  <c r="E97" i="347" s="1"/>
  <c r="C97" i="347"/>
  <c r="T96" i="347" a="1"/>
  <c r="T96" i="347" s="1"/>
  <c r="S96" i="347" a="1"/>
  <c r="S96" i="347" s="1"/>
  <c r="R96" i="347" a="1"/>
  <c r="R96" i="347" s="1"/>
  <c r="Q96" i="347" a="1"/>
  <c r="Q96" i="347" s="1"/>
  <c r="P96" i="347" a="1"/>
  <c r="P96" i="347" s="1"/>
  <c r="N96" i="347" a="1"/>
  <c r="N96" i="347" s="1"/>
  <c r="M96" i="347" a="1"/>
  <c r="M96" i="347" s="1"/>
  <c r="L96" i="347" a="1"/>
  <c r="L96" i="347" s="1"/>
  <c r="K96" i="347" a="1"/>
  <c r="K96" i="347" s="1"/>
  <c r="I96" i="347" a="1"/>
  <c r="I96" i="347" s="1"/>
  <c r="H96" i="347" a="1"/>
  <c r="H96" i="347" s="1"/>
  <c r="G96" i="347" a="1"/>
  <c r="G96" i="347" s="1"/>
  <c r="F96" i="347" a="1"/>
  <c r="F96" i="347" s="1"/>
  <c r="E96" i="347" a="1"/>
  <c r="E96" i="347" s="1"/>
  <c r="C96" i="347"/>
  <c r="T95" i="347" a="1"/>
  <c r="T95" i="347" s="1"/>
  <c r="S95" i="347" a="1"/>
  <c r="S95" i="347" s="1"/>
  <c r="R95" i="347" a="1"/>
  <c r="R95" i="347" s="1"/>
  <c r="Q95" i="347" a="1"/>
  <c r="Q95" i="347" s="1"/>
  <c r="P95" i="347" a="1"/>
  <c r="P95" i="347" s="1"/>
  <c r="N95" i="347" a="1"/>
  <c r="N95" i="347" s="1"/>
  <c r="M95" i="347" a="1"/>
  <c r="M95" i="347" s="1"/>
  <c r="L95" i="347" a="1"/>
  <c r="L95" i="347" s="1"/>
  <c r="K95" i="347" a="1"/>
  <c r="K95" i="347" s="1"/>
  <c r="I95" i="347" a="1"/>
  <c r="I95" i="347" s="1"/>
  <c r="H95" i="347" a="1"/>
  <c r="H95" i="347" s="1"/>
  <c r="G95" i="347" a="1"/>
  <c r="G95" i="347" s="1"/>
  <c r="F95" i="347" a="1"/>
  <c r="F95" i="347" s="1"/>
  <c r="E95" i="347" a="1"/>
  <c r="E95" i="347" s="1"/>
  <c r="C95" i="347"/>
  <c r="T94" i="347" a="1"/>
  <c r="T94" i="347" s="1"/>
  <c r="S94" i="347" a="1"/>
  <c r="S94" i="347" s="1"/>
  <c r="R94" i="347" a="1"/>
  <c r="R94" i="347" s="1"/>
  <c r="Q94" i="347" a="1"/>
  <c r="Q94" i="347" s="1"/>
  <c r="P94" i="347" a="1"/>
  <c r="P94" i="347" s="1"/>
  <c r="N94" i="347" a="1"/>
  <c r="N94" i="347" s="1"/>
  <c r="M94" i="347" a="1"/>
  <c r="M94" i="347" s="1"/>
  <c r="L94" i="347" a="1"/>
  <c r="L94" i="347" s="1"/>
  <c r="K94" i="347" a="1"/>
  <c r="K94" i="347" s="1"/>
  <c r="I94" i="347" a="1"/>
  <c r="I94" i="347" s="1"/>
  <c r="H94" i="347" a="1"/>
  <c r="H94" i="347" s="1"/>
  <c r="G94" i="347" a="1"/>
  <c r="G94" i="347" s="1"/>
  <c r="F94" i="347" a="1"/>
  <c r="F94" i="347" s="1"/>
  <c r="E94" i="347" a="1"/>
  <c r="E94" i="347" s="1"/>
  <c r="C94" i="347"/>
  <c r="T93" i="347" a="1"/>
  <c r="T93" i="347" s="1"/>
  <c r="S93" i="347" a="1"/>
  <c r="S93" i="347" s="1"/>
  <c r="R93" i="347" a="1"/>
  <c r="R93" i="347" s="1"/>
  <c r="Q93" i="347" a="1"/>
  <c r="Q93" i="347" s="1"/>
  <c r="P93" i="347" a="1"/>
  <c r="P93" i="347" s="1"/>
  <c r="N93" i="347" a="1"/>
  <c r="N93" i="347" s="1"/>
  <c r="M93" i="347" a="1"/>
  <c r="M93" i="347" s="1"/>
  <c r="L93" i="347" a="1"/>
  <c r="L93" i="347" s="1"/>
  <c r="K93" i="347" a="1"/>
  <c r="K93" i="347" s="1"/>
  <c r="I93" i="347" a="1"/>
  <c r="I93" i="347" s="1"/>
  <c r="H93" i="347" a="1"/>
  <c r="H93" i="347" s="1"/>
  <c r="G93" i="347" a="1"/>
  <c r="G93" i="347" s="1"/>
  <c r="F93" i="347" a="1"/>
  <c r="F93" i="347" s="1"/>
  <c r="E93" i="347" a="1"/>
  <c r="E93" i="347" s="1"/>
  <c r="C93" i="347"/>
  <c r="T92" i="347" a="1"/>
  <c r="T92" i="347" s="1"/>
  <c r="S92" i="347" a="1"/>
  <c r="S92" i="347" s="1"/>
  <c r="R92" i="347" a="1"/>
  <c r="R92" i="347" s="1"/>
  <c r="Q92" i="347" a="1"/>
  <c r="Q92" i="347" s="1"/>
  <c r="P92" i="347" a="1"/>
  <c r="P92" i="347" s="1"/>
  <c r="N92" i="347" a="1"/>
  <c r="N92" i="347" s="1"/>
  <c r="M92" i="347" a="1"/>
  <c r="M92" i="347" s="1"/>
  <c r="L92" i="347" a="1"/>
  <c r="L92" i="347" s="1"/>
  <c r="K92" i="347" a="1"/>
  <c r="K92" i="347" s="1"/>
  <c r="I92" i="347" a="1"/>
  <c r="I92" i="347" s="1"/>
  <c r="H92" i="347" a="1"/>
  <c r="H92" i="347" s="1"/>
  <c r="G92" i="347" a="1"/>
  <c r="G92" i="347" s="1"/>
  <c r="F92" i="347" a="1"/>
  <c r="F92" i="347" s="1"/>
  <c r="E92" i="347" a="1"/>
  <c r="E92" i="347" s="1"/>
  <c r="C92" i="347"/>
  <c r="T91" i="347" a="1"/>
  <c r="T91" i="347" s="1"/>
  <c r="S91" i="347" a="1"/>
  <c r="S91" i="347" s="1"/>
  <c r="R91" i="347" a="1"/>
  <c r="R91" i="347" s="1"/>
  <c r="Q91" i="347" a="1"/>
  <c r="Q91" i="347" s="1"/>
  <c r="P91" i="347" a="1"/>
  <c r="P91" i="347" s="1"/>
  <c r="N91" i="347" a="1"/>
  <c r="N91" i="347" s="1"/>
  <c r="M91" i="347" a="1"/>
  <c r="M91" i="347" s="1"/>
  <c r="L91" i="347" a="1"/>
  <c r="L91" i="347" s="1"/>
  <c r="K91" i="347" a="1"/>
  <c r="K91" i="347" s="1"/>
  <c r="I91" i="347" a="1"/>
  <c r="I91" i="347" s="1"/>
  <c r="H91" i="347" a="1"/>
  <c r="H91" i="347" s="1"/>
  <c r="G91" i="347" a="1"/>
  <c r="G91" i="347" s="1"/>
  <c r="F91" i="347" a="1"/>
  <c r="F91" i="347" s="1"/>
  <c r="E91" i="347" a="1"/>
  <c r="E91" i="347" s="1"/>
  <c r="C91" i="347"/>
  <c r="T90" i="347" a="1"/>
  <c r="T90" i="347" s="1"/>
  <c r="S90" i="347" a="1"/>
  <c r="S90" i="347" s="1"/>
  <c r="R90" i="347" a="1"/>
  <c r="R90" i="347" s="1"/>
  <c r="Q90" i="347" a="1"/>
  <c r="Q90" i="347" s="1"/>
  <c r="P90" i="347" a="1"/>
  <c r="P90" i="347" s="1"/>
  <c r="N90" i="347" a="1"/>
  <c r="N90" i="347" s="1"/>
  <c r="M90" i="347" a="1"/>
  <c r="M90" i="347" s="1"/>
  <c r="L90" i="347" a="1"/>
  <c r="L90" i="347" s="1"/>
  <c r="K90" i="347" a="1"/>
  <c r="K90" i="347" s="1"/>
  <c r="I90" i="347" a="1"/>
  <c r="I90" i="347" s="1"/>
  <c r="H90" i="347" a="1"/>
  <c r="H90" i="347" s="1"/>
  <c r="G90" i="347" a="1"/>
  <c r="G90" i="347" s="1"/>
  <c r="F90" i="347" a="1"/>
  <c r="F90" i="347" s="1"/>
  <c r="E90" i="347" a="1"/>
  <c r="E90" i="347" s="1"/>
  <c r="C90" i="347"/>
  <c r="T89" i="347" a="1"/>
  <c r="T89" i="347" s="1"/>
  <c r="S89" i="347" a="1"/>
  <c r="S89" i="347" s="1"/>
  <c r="R89" i="347" a="1"/>
  <c r="R89" i="347" s="1"/>
  <c r="Q89" i="347" a="1"/>
  <c r="Q89" i="347" s="1"/>
  <c r="P89" i="347" a="1"/>
  <c r="P89" i="347" s="1"/>
  <c r="N89" i="347" a="1"/>
  <c r="N89" i="347" s="1"/>
  <c r="M89" i="347" a="1"/>
  <c r="M89" i="347" s="1"/>
  <c r="L89" i="347" a="1"/>
  <c r="L89" i="347" s="1"/>
  <c r="K89" i="347" a="1"/>
  <c r="K89" i="347" s="1"/>
  <c r="I89" i="347" a="1"/>
  <c r="I89" i="347" s="1"/>
  <c r="H89" i="347" a="1"/>
  <c r="H89" i="347" s="1"/>
  <c r="G89" i="347" a="1"/>
  <c r="G89" i="347" s="1"/>
  <c r="F89" i="347" a="1"/>
  <c r="F89" i="347" s="1"/>
  <c r="E89" i="347" a="1"/>
  <c r="E89" i="347" s="1"/>
  <c r="C89" i="347"/>
  <c r="T88" i="347" a="1"/>
  <c r="T88" i="347" s="1"/>
  <c r="S88" i="347" a="1"/>
  <c r="S88" i="347" s="1"/>
  <c r="R88" i="347" a="1"/>
  <c r="R88" i="347" s="1"/>
  <c r="Q88" i="347" a="1"/>
  <c r="Q88" i="347" s="1"/>
  <c r="P88" i="347" a="1"/>
  <c r="P88" i="347" s="1"/>
  <c r="N88" i="347" a="1"/>
  <c r="N88" i="347" s="1"/>
  <c r="M88" i="347" a="1"/>
  <c r="M88" i="347" s="1"/>
  <c r="L88" i="347" a="1"/>
  <c r="L88" i="347" s="1"/>
  <c r="K88" i="347" a="1"/>
  <c r="K88" i="347" s="1"/>
  <c r="I88" i="347" a="1"/>
  <c r="I88" i="347" s="1"/>
  <c r="H88" i="347" a="1"/>
  <c r="H88" i="347" s="1"/>
  <c r="G88" i="347" a="1"/>
  <c r="G88" i="347" s="1"/>
  <c r="F88" i="347" a="1"/>
  <c r="F88" i="347" s="1"/>
  <c r="E88" i="347" a="1"/>
  <c r="E88" i="347" s="1"/>
  <c r="C88" i="347"/>
  <c r="T87" i="347" a="1"/>
  <c r="T87" i="347" s="1"/>
  <c r="S87" i="347" a="1"/>
  <c r="S87" i="347" s="1"/>
  <c r="R87" i="347" a="1"/>
  <c r="R87" i="347" s="1"/>
  <c r="Q87" i="347" a="1"/>
  <c r="Q87" i="347" s="1"/>
  <c r="P87" i="347" a="1"/>
  <c r="P87" i="347" s="1"/>
  <c r="N87" i="347" a="1"/>
  <c r="N87" i="347" s="1"/>
  <c r="M87" i="347" a="1"/>
  <c r="M87" i="347" s="1"/>
  <c r="L87" i="347" a="1"/>
  <c r="L87" i="347" s="1"/>
  <c r="K87" i="347" a="1"/>
  <c r="K87" i="347" s="1"/>
  <c r="I87" i="347" a="1"/>
  <c r="I87" i="347" s="1"/>
  <c r="H87" i="347" a="1"/>
  <c r="H87" i="347" s="1"/>
  <c r="G87" i="347" a="1"/>
  <c r="G87" i="347" s="1"/>
  <c r="F87" i="347" a="1"/>
  <c r="F87" i="347" s="1"/>
  <c r="E87" i="347" a="1"/>
  <c r="E87" i="347" s="1"/>
  <c r="C87" i="347"/>
  <c r="T86" i="347" a="1"/>
  <c r="T86" i="347" s="1"/>
  <c r="S86" i="347" a="1"/>
  <c r="S86" i="347" s="1"/>
  <c r="R86" i="347" a="1"/>
  <c r="R86" i="347" s="1"/>
  <c r="Q86" i="347" a="1"/>
  <c r="Q86" i="347" s="1"/>
  <c r="P86" i="347" a="1"/>
  <c r="P86" i="347" s="1"/>
  <c r="N86" i="347" a="1"/>
  <c r="N86" i="347" s="1"/>
  <c r="M86" i="347" a="1"/>
  <c r="M86" i="347" s="1"/>
  <c r="L86" i="347" a="1"/>
  <c r="L86" i="347" s="1"/>
  <c r="K86" i="347" a="1"/>
  <c r="K86" i="347" s="1"/>
  <c r="I86" i="347" a="1"/>
  <c r="I86" i="347" s="1"/>
  <c r="H86" i="347" a="1"/>
  <c r="H86" i="347" s="1"/>
  <c r="G86" i="347" a="1"/>
  <c r="G86" i="347" s="1"/>
  <c r="F86" i="347" a="1"/>
  <c r="F86" i="347" s="1"/>
  <c r="E86" i="347" a="1"/>
  <c r="E86" i="347" s="1"/>
  <c r="C86" i="347"/>
  <c r="T85" i="347" a="1"/>
  <c r="T85" i="347" s="1"/>
  <c r="S85" i="347" a="1"/>
  <c r="S85" i="347" s="1"/>
  <c r="R85" i="347" a="1"/>
  <c r="R85" i="347" s="1"/>
  <c r="Q85" i="347" a="1"/>
  <c r="Q85" i="347" s="1"/>
  <c r="P85" i="347" a="1"/>
  <c r="P85" i="347" s="1"/>
  <c r="N85" i="347" a="1"/>
  <c r="N85" i="347" s="1"/>
  <c r="M85" i="347" a="1"/>
  <c r="M85" i="347" s="1"/>
  <c r="L85" i="347" a="1"/>
  <c r="L85" i="347" s="1"/>
  <c r="K85" i="347" a="1"/>
  <c r="K85" i="347" s="1"/>
  <c r="I85" i="347" a="1"/>
  <c r="I85" i="347" s="1"/>
  <c r="H85" i="347" a="1"/>
  <c r="H85" i="347" s="1"/>
  <c r="G85" i="347" a="1"/>
  <c r="G85" i="347" s="1"/>
  <c r="F85" i="347" a="1"/>
  <c r="F85" i="347" s="1"/>
  <c r="E85" i="347" a="1"/>
  <c r="E85" i="347" s="1"/>
  <c r="C85" i="347"/>
  <c r="T84" i="347" a="1"/>
  <c r="T84" i="347" s="1"/>
  <c r="S84" i="347" a="1"/>
  <c r="S84" i="347" s="1"/>
  <c r="R84" i="347" a="1"/>
  <c r="R84" i="347" s="1"/>
  <c r="Q84" i="347" a="1"/>
  <c r="Q84" i="347" s="1"/>
  <c r="P84" i="347" a="1"/>
  <c r="P84" i="347" s="1"/>
  <c r="N84" i="347" a="1"/>
  <c r="N84" i="347" s="1"/>
  <c r="M84" i="347" a="1"/>
  <c r="M84" i="347" s="1"/>
  <c r="L84" i="347" a="1"/>
  <c r="L84" i="347" s="1"/>
  <c r="K84" i="347" a="1"/>
  <c r="K84" i="347" s="1"/>
  <c r="I84" i="347" a="1"/>
  <c r="I84" i="347" s="1"/>
  <c r="H84" i="347" a="1"/>
  <c r="H84" i="347" s="1"/>
  <c r="G84" i="347" a="1"/>
  <c r="G84" i="347" s="1"/>
  <c r="F84" i="347" a="1"/>
  <c r="F84" i="347" s="1"/>
  <c r="E84" i="347" a="1"/>
  <c r="E84" i="347" s="1"/>
  <c r="C84" i="347"/>
  <c r="T83" i="347" a="1"/>
  <c r="T83" i="347" s="1"/>
  <c r="S83" i="347" a="1"/>
  <c r="S83" i="347" s="1"/>
  <c r="R83" i="347" a="1"/>
  <c r="R83" i="347" s="1"/>
  <c r="Q83" i="347" a="1"/>
  <c r="Q83" i="347" s="1"/>
  <c r="P83" i="347" a="1"/>
  <c r="P83" i="347" s="1"/>
  <c r="N83" i="347" a="1"/>
  <c r="N83" i="347" s="1"/>
  <c r="M83" i="347" a="1"/>
  <c r="M83" i="347" s="1"/>
  <c r="L83" i="347" a="1"/>
  <c r="L83" i="347" s="1"/>
  <c r="K83" i="347" a="1"/>
  <c r="K83" i="347" s="1"/>
  <c r="I83" i="347" a="1"/>
  <c r="I83" i="347" s="1"/>
  <c r="H83" i="347" a="1"/>
  <c r="H83" i="347" s="1"/>
  <c r="G83" i="347" a="1"/>
  <c r="G83" i="347" s="1"/>
  <c r="F83" i="347" a="1"/>
  <c r="F83" i="347" s="1"/>
  <c r="E83" i="347" a="1"/>
  <c r="E83" i="347" s="1"/>
  <c r="C83" i="347"/>
  <c r="T82" i="347" a="1"/>
  <c r="T82" i="347" s="1"/>
  <c r="S82" i="347" a="1"/>
  <c r="S82" i="347" s="1"/>
  <c r="R82" i="347" a="1"/>
  <c r="R82" i="347" s="1"/>
  <c r="Q82" i="347" a="1"/>
  <c r="Q82" i="347" s="1"/>
  <c r="P82" i="347" a="1"/>
  <c r="P82" i="347" s="1"/>
  <c r="N82" i="347" a="1"/>
  <c r="N82" i="347" s="1"/>
  <c r="M82" i="347" a="1"/>
  <c r="M82" i="347" s="1"/>
  <c r="L82" i="347" a="1"/>
  <c r="L82" i="347" s="1"/>
  <c r="K82" i="347" a="1"/>
  <c r="K82" i="347" s="1"/>
  <c r="I82" i="347" a="1"/>
  <c r="I82" i="347" s="1"/>
  <c r="H82" i="347" a="1"/>
  <c r="H82" i="347" s="1"/>
  <c r="G82" i="347" a="1"/>
  <c r="G82" i="347" s="1"/>
  <c r="F82" i="347" a="1"/>
  <c r="F82" i="347" s="1"/>
  <c r="E82" i="347" a="1"/>
  <c r="E82" i="347" s="1"/>
  <c r="C82" i="347"/>
  <c r="T81" i="347" a="1"/>
  <c r="T81" i="347" s="1"/>
  <c r="S81" i="347" a="1"/>
  <c r="S81" i="347" s="1"/>
  <c r="R81" i="347" a="1"/>
  <c r="R81" i="347" s="1"/>
  <c r="Q81" i="347" a="1"/>
  <c r="Q81" i="347" s="1"/>
  <c r="P81" i="347" a="1"/>
  <c r="P81" i="347" s="1"/>
  <c r="N81" i="347" a="1"/>
  <c r="N81" i="347" s="1"/>
  <c r="M81" i="347" a="1"/>
  <c r="M81" i="347" s="1"/>
  <c r="L81" i="347" a="1"/>
  <c r="L81" i="347" s="1"/>
  <c r="K81" i="347" a="1"/>
  <c r="K81" i="347" s="1"/>
  <c r="I81" i="347" a="1"/>
  <c r="I81" i="347" s="1"/>
  <c r="H81" i="347" a="1"/>
  <c r="H81" i="347" s="1"/>
  <c r="G81" i="347" a="1"/>
  <c r="G81" i="347" s="1"/>
  <c r="F81" i="347" a="1"/>
  <c r="F81" i="347" s="1"/>
  <c r="E81" i="347" a="1"/>
  <c r="E81" i="347" s="1"/>
  <c r="C81" i="347"/>
  <c r="T80" i="347" a="1"/>
  <c r="T80" i="347" s="1"/>
  <c r="S80" i="347" a="1"/>
  <c r="S80" i="347" s="1"/>
  <c r="R80" i="347" a="1"/>
  <c r="R80" i="347" s="1"/>
  <c r="Q80" i="347" a="1"/>
  <c r="Q80" i="347" s="1"/>
  <c r="P80" i="347" a="1"/>
  <c r="P80" i="347" s="1"/>
  <c r="N80" i="347" a="1"/>
  <c r="N80" i="347" s="1"/>
  <c r="M80" i="347" a="1"/>
  <c r="M80" i="347" s="1"/>
  <c r="L80" i="347" a="1"/>
  <c r="L80" i="347" s="1"/>
  <c r="K80" i="347" a="1"/>
  <c r="K80" i="347" s="1"/>
  <c r="I80" i="347" a="1"/>
  <c r="I80" i="347" s="1"/>
  <c r="H80" i="347" a="1"/>
  <c r="H80" i="347" s="1"/>
  <c r="G80" i="347" a="1"/>
  <c r="G80" i="347" s="1"/>
  <c r="F80" i="347" a="1"/>
  <c r="F80" i="347" s="1"/>
  <c r="E80" i="347" a="1"/>
  <c r="E80" i="347" s="1"/>
  <c r="C80" i="347"/>
  <c r="T79" i="347" a="1"/>
  <c r="T79" i="347" s="1"/>
  <c r="S79" i="347" a="1"/>
  <c r="S79" i="347" s="1"/>
  <c r="R79" i="347" a="1"/>
  <c r="R79" i="347" s="1"/>
  <c r="Q79" i="347" a="1"/>
  <c r="Q79" i="347" s="1"/>
  <c r="P79" i="347" a="1"/>
  <c r="P79" i="347" s="1"/>
  <c r="N79" i="347" a="1"/>
  <c r="N79" i="347" s="1"/>
  <c r="M79" i="347" a="1"/>
  <c r="M79" i="347" s="1"/>
  <c r="L79" i="347" a="1"/>
  <c r="L79" i="347" s="1"/>
  <c r="K79" i="347" a="1"/>
  <c r="K79" i="347" s="1"/>
  <c r="I79" i="347" a="1"/>
  <c r="I79" i="347" s="1"/>
  <c r="H79" i="347" a="1"/>
  <c r="H79" i="347" s="1"/>
  <c r="G79" i="347" a="1"/>
  <c r="G79" i="347" s="1"/>
  <c r="F79" i="347" a="1"/>
  <c r="F79" i="347" s="1"/>
  <c r="E79" i="347" a="1"/>
  <c r="E79" i="347" s="1"/>
  <c r="C79" i="347"/>
  <c r="T78" i="347" a="1"/>
  <c r="T78" i="347" s="1"/>
  <c r="S78" i="347" a="1"/>
  <c r="S78" i="347" s="1"/>
  <c r="R78" i="347" a="1"/>
  <c r="R78" i="347" s="1"/>
  <c r="Q78" i="347" a="1"/>
  <c r="Q78" i="347" s="1"/>
  <c r="P78" i="347" a="1"/>
  <c r="P78" i="347" s="1"/>
  <c r="N78" i="347" a="1"/>
  <c r="N78" i="347" s="1"/>
  <c r="M78" i="347" a="1"/>
  <c r="M78" i="347" s="1"/>
  <c r="L78" i="347" a="1"/>
  <c r="L78" i="347" s="1"/>
  <c r="K78" i="347" a="1"/>
  <c r="K78" i="347" s="1"/>
  <c r="I78" i="347" a="1"/>
  <c r="I78" i="347" s="1"/>
  <c r="H78" i="347" a="1"/>
  <c r="H78" i="347" s="1"/>
  <c r="G78" i="347" a="1"/>
  <c r="G78" i="347" s="1"/>
  <c r="F78" i="347" a="1"/>
  <c r="F78" i="347" s="1"/>
  <c r="E78" i="347" a="1"/>
  <c r="E78" i="347" s="1"/>
  <c r="C78" i="347"/>
  <c r="T77" i="347" a="1"/>
  <c r="T77" i="347" s="1"/>
  <c r="S77" i="347" a="1"/>
  <c r="S77" i="347" s="1"/>
  <c r="R77" i="347" a="1"/>
  <c r="R77" i="347" s="1"/>
  <c r="Q77" i="347" a="1"/>
  <c r="Q77" i="347" s="1"/>
  <c r="P77" i="347" a="1"/>
  <c r="P77" i="347" s="1"/>
  <c r="N77" i="347" a="1"/>
  <c r="N77" i="347" s="1"/>
  <c r="M77" i="347" a="1"/>
  <c r="M77" i="347" s="1"/>
  <c r="L77" i="347" a="1"/>
  <c r="L77" i="347" s="1"/>
  <c r="K77" i="347" a="1"/>
  <c r="K77" i="347" s="1"/>
  <c r="I77" i="347" a="1"/>
  <c r="I77" i="347" s="1"/>
  <c r="H77" i="347" a="1"/>
  <c r="H77" i="347" s="1"/>
  <c r="G77" i="347" a="1"/>
  <c r="G77" i="347" s="1"/>
  <c r="F77" i="347" a="1"/>
  <c r="F77" i="347" s="1"/>
  <c r="E77" i="347" a="1"/>
  <c r="E77" i="347" s="1"/>
  <c r="C77" i="347"/>
  <c r="T76" i="347" a="1"/>
  <c r="T76" i="347" s="1"/>
  <c r="S76" i="347" a="1"/>
  <c r="S76" i="347" s="1"/>
  <c r="R76" i="347" a="1"/>
  <c r="R76" i="347" s="1"/>
  <c r="Q76" i="347" a="1"/>
  <c r="Q76" i="347" s="1"/>
  <c r="P76" i="347" a="1"/>
  <c r="P76" i="347" s="1"/>
  <c r="N76" i="347" a="1"/>
  <c r="N76" i="347" s="1"/>
  <c r="M76" i="347" a="1"/>
  <c r="M76" i="347" s="1"/>
  <c r="L76" i="347" a="1"/>
  <c r="L76" i="347" s="1"/>
  <c r="K76" i="347" a="1"/>
  <c r="K76" i="347" s="1"/>
  <c r="I76" i="347" a="1"/>
  <c r="I76" i="347" s="1"/>
  <c r="H76" i="347" a="1"/>
  <c r="H76" i="347" s="1"/>
  <c r="G76" i="347" a="1"/>
  <c r="G76" i="347" s="1"/>
  <c r="F76" i="347" a="1"/>
  <c r="F76" i="347" s="1"/>
  <c r="E76" i="347" a="1"/>
  <c r="E76" i="347" s="1"/>
  <c r="C76" i="347"/>
  <c r="T75" i="347" a="1"/>
  <c r="T75" i="347" s="1"/>
  <c r="S75" i="347" a="1"/>
  <c r="S75" i="347" s="1"/>
  <c r="R75" i="347" a="1"/>
  <c r="R75" i="347" s="1"/>
  <c r="Q75" i="347" a="1"/>
  <c r="Q75" i="347" s="1"/>
  <c r="P75" i="347" a="1"/>
  <c r="P75" i="347" s="1"/>
  <c r="N75" i="347" a="1"/>
  <c r="N75" i="347" s="1"/>
  <c r="M75" i="347" a="1"/>
  <c r="M75" i="347" s="1"/>
  <c r="L75" i="347" a="1"/>
  <c r="L75" i="347" s="1"/>
  <c r="K75" i="347" a="1"/>
  <c r="K75" i="347" s="1"/>
  <c r="I75" i="347" a="1"/>
  <c r="I75" i="347" s="1"/>
  <c r="H75" i="347" a="1"/>
  <c r="H75" i="347" s="1"/>
  <c r="G75" i="347" a="1"/>
  <c r="G75" i="347" s="1"/>
  <c r="F75" i="347" a="1"/>
  <c r="F75" i="347" s="1"/>
  <c r="E75" i="347" a="1"/>
  <c r="E75" i="347" s="1"/>
  <c r="C75" i="347"/>
  <c r="T74" i="347" a="1"/>
  <c r="T74" i="347" s="1"/>
  <c r="S74" i="347" a="1"/>
  <c r="S74" i="347" s="1"/>
  <c r="R74" i="347" a="1"/>
  <c r="R74" i="347" s="1"/>
  <c r="Q74" i="347" a="1"/>
  <c r="Q74" i="347" s="1"/>
  <c r="P74" i="347" a="1"/>
  <c r="P74" i="347" s="1"/>
  <c r="N74" i="347" a="1"/>
  <c r="N74" i="347" s="1"/>
  <c r="M74" i="347" a="1"/>
  <c r="M74" i="347" s="1"/>
  <c r="L74" i="347" a="1"/>
  <c r="L74" i="347" s="1"/>
  <c r="K74" i="347" a="1"/>
  <c r="K74" i="347" s="1"/>
  <c r="I74" i="347" a="1"/>
  <c r="I74" i="347" s="1"/>
  <c r="H74" i="347" a="1"/>
  <c r="H74" i="347" s="1"/>
  <c r="G74" i="347" a="1"/>
  <c r="G74" i="347" s="1"/>
  <c r="F74" i="347" a="1"/>
  <c r="F74" i="347" s="1"/>
  <c r="E74" i="347" a="1"/>
  <c r="E74" i="347" s="1"/>
  <c r="C74" i="347"/>
  <c r="T73" i="347" a="1"/>
  <c r="T73" i="347" s="1"/>
  <c r="S73" i="347" a="1"/>
  <c r="S73" i="347" s="1"/>
  <c r="R73" i="347" a="1"/>
  <c r="R73" i="347" s="1"/>
  <c r="Q73" i="347" a="1"/>
  <c r="Q73" i="347" s="1"/>
  <c r="P73" i="347" a="1"/>
  <c r="P73" i="347" s="1"/>
  <c r="N73" i="347" a="1"/>
  <c r="N73" i="347" s="1"/>
  <c r="M73" i="347" a="1"/>
  <c r="M73" i="347" s="1"/>
  <c r="L73" i="347" a="1"/>
  <c r="L73" i="347" s="1"/>
  <c r="K73" i="347" a="1"/>
  <c r="K73" i="347" s="1"/>
  <c r="I73" i="347" a="1"/>
  <c r="I73" i="347" s="1"/>
  <c r="H73" i="347" a="1"/>
  <c r="H73" i="347" s="1"/>
  <c r="G73" i="347" a="1"/>
  <c r="G73" i="347" s="1"/>
  <c r="F73" i="347" a="1"/>
  <c r="F73" i="347" s="1"/>
  <c r="E73" i="347" a="1"/>
  <c r="E73" i="347" s="1"/>
  <c r="C73" i="347"/>
  <c r="T72" i="347" a="1"/>
  <c r="T72" i="347" s="1"/>
  <c r="S72" i="347" a="1"/>
  <c r="S72" i="347" s="1"/>
  <c r="R72" i="347" a="1"/>
  <c r="R72" i="347" s="1"/>
  <c r="Q72" i="347" a="1"/>
  <c r="Q72" i="347" s="1"/>
  <c r="P72" i="347" a="1"/>
  <c r="P72" i="347" s="1"/>
  <c r="N72" i="347" a="1"/>
  <c r="N72" i="347" s="1"/>
  <c r="M72" i="347" a="1"/>
  <c r="M72" i="347" s="1"/>
  <c r="L72" i="347" a="1"/>
  <c r="L72" i="347" s="1"/>
  <c r="K72" i="347" a="1"/>
  <c r="K72" i="347" s="1"/>
  <c r="I72" i="347" a="1"/>
  <c r="I72" i="347" s="1"/>
  <c r="H72" i="347" a="1"/>
  <c r="H72" i="347" s="1"/>
  <c r="G72" i="347" a="1"/>
  <c r="G72" i="347" s="1"/>
  <c r="F72" i="347" a="1"/>
  <c r="F72" i="347" s="1"/>
  <c r="E72" i="347" a="1"/>
  <c r="E72" i="347" s="1"/>
  <c r="C72" i="347"/>
  <c r="T71" i="347" a="1"/>
  <c r="T71" i="347" s="1"/>
  <c r="S71" i="347" a="1"/>
  <c r="S71" i="347" s="1"/>
  <c r="R71" i="347" a="1"/>
  <c r="R71" i="347" s="1"/>
  <c r="Q71" i="347" a="1"/>
  <c r="Q71" i="347" s="1"/>
  <c r="P71" i="347" a="1"/>
  <c r="P71" i="347" s="1"/>
  <c r="N71" i="347" a="1"/>
  <c r="N71" i="347" s="1"/>
  <c r="M71" i="347" a="1"/>
  <c r="M71" i="347" s="1"/>
  <c r="L71" i="347" a="1"/>
  <c r="L71" i="347" s="1"/>
  <c r="K71" i="347" a="1"/>
  <c r="K71" i="347" s="1"/>
  <c r="I71" i="347" a="1"/>
  <c r="I71" i="347" s="1"/>
  <c r="H71" i="347" a="1"/>
  <c r="H71" i="347" s="1"/>
  <c r="G71" i="347" a="1"/>
  <c r="G71" i="347" s="1"/>
  <c r="F71" i="347" a="1"/>
  <c r="F71" i="347" s="1"/>
  <c r="E71" i="347" a="1"/>
  <c r="E71" i="347" s="1"/>
  <c r="C71" i="347"/>
  <c r="T70" i="347" a="1"/>
  <c r="T70" i="347" s="1"/>
  <c r="S70" i="347" a="1"/>
  <c r="S70" i="347" s="1"/>
  <c r="R70" i="347" a="1"/>
  <c r="R70" i="347" s="1"/>
  <c r="Q70" i="347" a="1"/>
  <c r="Q70" i="347" s="1"/>
  <c r="P70" i="347" a="1"/>
  <c r="P70" i="347" s="1"/>
  <c r="N70" i="347" a="1"/>
  <c r="N70" i="347" s="1"/>
  <c r="M70" i="347" a="1"/>
  <c r="M70" i="347" s="1"/>
  <c r="L70" i="347" a="1"/>
  <c r="L70" i="347" s="1"/>
  <c r="K70" i="347" a="1"/>
  <c r="K70" i="347" s="1"/>
  <c r="I70" i="347" a="1"/>
  <c r="I70" i="347" s="1"/>
  <c r="H70" i="347" a="1"/>
  <c r="H70" i="347" s="1"/>
  <c r="G70" i="347" a="1"/>
  <c r="G70" i="347" s="1"/>
  <c r="F70" i="347" a="1"/>
  <c r="F70" i="347" s="1"/>
  <c r="E70" i="347" a="1"/>
  <c r="E70" i="347" s="1"/>
  <c r="C70" i="347"/>
  <c r="T69" i="347" a="1"/>
  <c r="T69" i="347" s="1"/>
  <c r="S69" i="347" a="1"/>
  <c r="S69" i="347" s="1"/>
  <c r="R69" i="347" a="1"/>
  <c r="R69" i="347" s="1"/>
  <c r="Q69" i="347" a="1"/>
  <c r="Q69" i="347" s="1"/>
  <c r="P69" i="347" a="1"/>
  <c r="P69" i="347" s="1"/>
  <c r="N69" i="347" a="1"/>
  <c r="N69" i="347" s="1"/>
  <c r="M69" i="347" a="1"/>
  <c r="M69" i="347" s="1"/>
  <c r="L69" i="347" a="1"/>
  <c r="L69" i="347" s="1"/>
  <c r="K69" i="347" a="1"/>
  <c r="K69" i="347" s="1"/>
  <c r="I69" i="347" a="1"/>
  <c r="I69" i="347" s="1"/>
  <c r="H69" i="347" a="1"/>
  <c r="H69" i="347" s="1"/>
  <c r="G69" i="347" a="1"/>
  <c r="G69" i="347" s="1"/>
  <c r="F69" i="347" a="1"/>
  <c r="F69" i="347" s="1"/>
  <c r="E69" i="347" a="1"/>
  <c r="E69" i="347" s="1"/>
  <c r="C69" i="347"/>
  <c r="T68" i="347" a="1"/>
  <c r="T68" i="347" s="1"/>
  <c r="S68" i="347" a="1"/>
  <c r="S68" i="347" s="1"/>
  <c r="R68" i="347" a="1"/>
  <c r="R68" i="347" s="1"/>
  <c r="Q68" i="347" a="1"/>
  <c r="Q68" i="347" s="1"/>
  <c r="P68" i="347" a="1"/>
  <c r="P68" i="347" s="1"/>
  <c r="N68" i="347" a="1"/>
  <c r="N68" i="347" s="1"/>
  <c r="M68" i="347" a="1"/>
  <c r="M68" i="347" s="1"/>
  <c r="L68" i="347" a="1"/>
  <c r="L68" i="347" s="1"/>
  <c r="K68" i="347" a="1"/>
  <c r="K68" i="347" s="1"/>
  <c r="I68" i="347" a="1"/>
  <c r="I68" i="347" s="1"/>
  <c r="H68" i="347" a="1"/>
  <c r="H68" i="347" s="1"/>
  <c r="G68" i="347" a="1"/>
  <c r="G68" i="347" s="1"/>
  <c r="F68" i="347" a="1"/>
  <c r="F68" i="347" s="1"/>
  <c r="E68" i="347" a="1"/>
  <c r="E68" i="347" s="1"/>
  <c r="C68" i="347"/>
  <c r="T67" i="347" a="1"/>
  <c r="T67" i="347" s="1"/>
  <c r="S67" i="347" a="1"/>
  <c r="S67" i="347" s="1"/>
  <c r="R67" i="347" a="1"/>
  <c r="R67" i="347" s="1"/>
  <c r="Q67" i="347" a="1"/>
  <c r="Q67" i="347" s="1"/>
  <c r="P67" i="347" a="1"/>
  <c r="P67" i="347" s="1"/>
  <c r="N67" i="347" a="1"/>
  <c r="N67" i="347" s="1"/>
  <c r="M67" i="347" a="1"/>
  <c r="M67" i="347" s="1"/>
  <c r="L67" i="347" a="1"/>
  <c r="L67" i="347" s="1"/>
  <c r="K67" i="347" a="1"/>
  <c r="K67" i="347" s="1"/>
  <c r="I67" i="347" a="1"/>
  <c r="I67" i="347" s="1"/>
  <c r="H67" i="347" a="1"/>
  <c r="H67" i="347" s="1"/>
  <c r="G67" i="347" a="1"/>
  <c r="G67" i="347" s="1"/>
  <c r="F67" i="347" a="1"/>
  <c r="F67" i="347" s="1"/>
  <c r="E67" i="347" a="1"/>
  <c r="E67" i="347" s="1"/>
  <c r="C67" i="347"/>
  <c r="T66" i="347" a="1"/>
  <c r="T66" i="347" s="1"/>
  <c r="S66" i="347" a="1"/>
  <c r="S66" i="347" s="1"/>
  <c r="R66" i="347" a="1"/>
  <c r="R66" i="347" s="1"/>
  <c r="Q66" i="347" a="1"/>
  <c r="Q66" i="347" s="1"/>
  <c r="P66" i="347" a="1"/>
  <c r="P66" i="347" s="1"/>
  <c r="N66" i="347" a="1"/>
  <c r="N66" i="347" s="1"/>
  <c r="M66" i="347" a="1"/>
  <c r="M66" i="347" s="1"/>
  <c r="L66" i="347" a="1"/>
  <c r="L66" i="347" s="1"/>
  <c r="K66" i="347" a="1"/>
  <c r="K66" i="347" s="1"/>
  <c r="I66" i="347" a="1"/>
  <c r="I66" i="347" s="1"/>
  <c r="H66" i="347" a="1"/>
  <c r="H66" i="347" s="1"/>
  <c r="G66" i="347" a="1"/>
  <c r="G66" i="347" s="1"/>
  <c r="F66" i="347" a="1"/>
  <c r="F66" i="347" s="1"/>
  <c r="E66" i="347" a="1"/>
  <c r="E66" i="347" s="1"/>
  <c r="C66" i="347"/>
  <c r="T65" i="347" a="1"/>
  <c r="T65" i="347" s="1"/>
  <c r="S65" i="347" a="1"/>
  <c r="S65" i="347" s="1"/>
  <c r="R65" i="347" a="1"/>
  <c r="R65" i="347" s="1"/>
  <c r="Q65" i="347" a="1"/>
  <c r="Q65" i="347" s="1"/>
  <c r="P65" i="347" a="1"/>
  <c r="P65" i="347" s="1"/>
  <c r="N65" i="347" a="1"/>
  <c r="N65" i="347" s="1"/>
  <c r="M65" i="347" a="1"/>
  <c r="M65" i="347" s="1"/>
  <c r="L65" i="347" a="1"/>
  <c r="L65" i="347" s="1"/>
  <c r="K65" i="347" a="1"/>
  <c r="K65" i="347" s="1"/>
  <c r="I65" i="347" a="1"/>
  <c r="I65" i="347" s="1"/>
  <c r="H65" i="347" a="1"/>
  <c r="H65" i="347" s="1"/>
  <c r="G65" i="347" a="1"/>
  <c r="G65" i="347" s="1"/>
  <c r="F65" i="347" a="1"/>
  <c r="F65" i="347" s="1"/>
  <c r="E65" i="347" a="1"/>
  <c r="E65" i="347" s="1"/>
  <c r="C65" i="347"/>
  <c r="T64" i="347" a="1"/>
  <c r="T64" i="347" s="1"/>
  <c r="S64" i="347" a="1"/>
  <c r="S64" i="347" s="1"/>
  <c r="R64" i="347" a="1"/>
  <c r="R64" i="347" s="1"/>
  <c r="Q64" i="347" a="1"/>
  <c r="Q64" i="347" s="1"/>
  <c r="P64" i="347" a="1"/>
  <c r="P64" i="347" s="1"/>
  <c r="N64" i="347" a="1"/>
  <c r="N64" i="347" s="1"/>
  <c r="M64" i="347" a="1"/>
  <c r="M64" i="347" s="1"/>
  <c r="L64" i="347" a="1"/>
  <c r="L64" i="347" s="1"/>
  <c r="K64" i="347" a="1"/>
  <c r="K64" i="347" s="1"/>
  <c r="I64" i="347" a="1"/>
  <c r="I64" i="347" s="1"/>
  <c r="H64" i="347" a="1"/>
  <c r="H64" i="347" s="1"/>
  <c r="G64" i="347" a="1"/>
  <c r="G64" i="347" s="1"/>
  <c r="F64" i="347" a="1"/>
  <c r="F64" i="347" s="1"/>
  <c r="E64" i="347" a="1"/>
  <c r="E64" i="347" s="1"/>
  <c r="C64" i="347"/>
  <c r="A64" i="347"/>
  <c r="A65" i="347"/>
  <c r="A66" i="347" s="1"/>
  <c r="A67" i="347" s="1"/>
  <c r="A68" i="347" s="1"/>
  <c r="A69" i="347" s="1"/>
  <c r="A70" i="347" s="1"/>
  <c r="A71" i="347" s="1"/>
  <c r="A72" i="347" s="1"/>
  <c r="A73" i="347" s="1"/>
  <c r="A74" i="347" s="1"/>
  <c r="A75" i="347"/>
  <c r="A76" i="347"/>
  <c r="A77" i="347" s="1"/>
  <c r="A78" i="347" s="1"/>
  <c r="A79" i="347" s="1"/>
  <c r="A80" i="347" s="1"/>
  <c r="A81" i="347" s="1"/>
  <c r="A82" i="347" s="1"/>
  <c r="A83" i="347" s="1"/>
  <c r="A84" i="347" s="1"/>
  <c r="A85" i="347" s="1"/>
  <c r="A86" i="347" s="1"/>
  <c r="A87" i="347" s="1"/>
  <c r="A88" i="347" s="1"/>
  <c r="A89" i="347" s="1"/>
  <c r="A90" i="347" s="1"/>
  <c r="A91" i="347" s="1"/>
  <c r="A92" i="347" s="1"/>
  <c r="A93" i="347" s="1"/>
  <c r="A94" i="347" s="1"/>
  <c r="A95" i="347" s="1"/>
  <c r="A96" i="347" s="1"/>
  <c r="A97" i="347" s="1"/>
  <c r="A98" i="347" s="1"/>
  <c r="A99" i="347" s="1"/>
  <c r="A100" i="347" s="1"/>
  <c r="A101" i="347" s="1"/>
  <c r="A102" i="347" s="1"/>
  <c r="A103" i="347" s="1"/>
  <c r="A104" i="347" s="1"/>
  <c r="A105" i="347" s="1"/>
  <c r="A106" i="347" s="1"/>
  <c r="A107" i="347" s="1"/>
  <c r="A108" i="347" s="1"/>
  <c r="A109" i="347" s="1"/>
  <c r="T63" i="347" a="1"/>
  <c r="T63" i="347" s="1"/>
  <c r="S63" i="347" a="1"/>
  <c r="S63" i="347" s="1"/>
  <c r="R63" i="347" a="1"/>
  <c r="R63" i="347" s="1"/>
  <c r="Q63" i="347" a="1"/>
  <c r="Q63" i="347" s="1"/>
  <c r="P63" i="347" a="1"/>
  <c r="P63" i="347" s="1"/>
  <c r="N63" i="347" a="1"/>
  <c r="N63" i="347" s="1"/>
  <c r="M63" i="347" a="1"/>
  <c r="M63" i="347" s="1"/>
  <c r="L63" i="347" a="1"/>
  <c r="L63" i="347" s="1"/>
  <c r="K63" i="347" a="1"/>
  <c r="K63" i="347" s="1"/>
  <c r="I63" i="347" a="1"/>
  <c r="I63" i="347" s="1"/>
  <c r="H63" i="347" a="1"/>
  <c r="H63" i="347" s="1"/>
  <c r="G63" i="347" a="1"/>
  <c r="G63" i="347" s="1"/>
  <c r="F63" i="347" a="1"/>
  <c r="F63" i="347" s="1"/>
  <c r="E63" i="347" a="1"/>
  <c r="E63" i="347" s="1"/>
  <c r="C63" i="347"/>
  <c r="T60" i="347" a="1"/>
  <c r="T60" i="347" s="1"/>
  <c r="S60" i="347" a="1"/>
  <c r="S60" i="347" s="1"/>
  <c r="R60" i="347" a="1"/>
  <c r="R60" i="347" s="1"/>
  <c r="Q60" i="347" a="1"/>
  <c r="Q60" i="347" s="1"/>
  <c r="P60" i="347" a="1"/>
  <c r="P60" i="347" s="1"/>
  <c r="N60" i="347" a="1"/>
  <c r="N60" i="347" s="1"/>
  <c r="M60" i="347" a="1"/>
  <c r="M60" i="347" s="1"/>
  <c r="L60" i="347" a="1"/>
  <c r="L60" i="347" s="1"/>
  <c r="K60" i="347" a="1"/>
  <c r="K60" i="347" s="1"/>
  <c r="I60" i="347" a="1"/>
  <c r="I60" i="347" s="1"/>
  <c r="H60" i="347" a="1"/>
  <c r="H60" i="347" s="1"/>
  <c r="G60" i="347" a="1"/>
  <c r="G60" i="347" s="1"/>
  <c r="F60" i="347" a="1"/>
  <c r="F60" i="347" s="1"/>
  <c r="E60" i="347" a="1"/>
  <c r="E60" i="347" s="1"/>
  <c r="C60" i="347"/>
  <c r="T59" i="347" a="1"/>
  <c r="T59" i="347" s="1"/>
  <c r="S59" i="347" a="1"/>
  <c r="S59" i="347" s="1"/>
  <c r="R59" i="347" a="1"/>
  <c r="R59" i="347" s="1"/>
  <c r="Q59" i="347" a="1"/>
  <c r="Q59" i="347" s="1"/>
  <c r="P59" i="347" a="1"/>
  <c r="P59" i="347" s="1"/>
  <c r="N59" i="347" a="1"/>
  <c r="N59" i="347" s="1"/>
  <c r="M59" i="347" a="1"/>
  <c r="M59" i="347" s="1"/>
  <c r="L59" i="347" a="1"/>
  <c r="L59" i="347" s="1"/>
  <c r="K59" i="347" a="1"/>
  <c r="K59" i="347" s="1"/>
  <c r="I59" i="347" a="1"/>
  <c r="I59" i="347" s="1"/>
  <c r="H59" i="347" a="1"/>
  <c r="H59" i="347" s="1"/>
  <c r="G59" i="347" a="1"/>
  <c r="G59" i="347" s="1"/>
  <c r="F59" i="347" a="1"/>
  <c r="F59" i="347" s="1"/>
  <c r="E59" i="347" a="1"/>
  <c r="E59" i="347" s="1"/>
  <c r="C59" i="347"/>
  <c r="T58" i="347" a="1"/>
  <c r="T58" i="347" s="1"/>
  <c r="S58" i="347" a="1"/>
  <c r="S58" i="347" s="1"/>
  <c r="R58" i="347" a="1"/>
  <c r="R58" i="347" s="1"/>
  <c r="Q58" i="347" a="1"/>
  <c r="Q58" i="347" s="1"/>
  <c r="P58" i="347" a="1"/>
  <c r="P58" i="347" s="1"/>
  <c r="N58" i="347" a="1"/>
  <c r="N58" i="347" s="1"/>
  <c r="M58" i="347" a="1"/>
  <c r="M58" i="347" s="1"/>
  <c r="L58" i="347" a="1"/>
  <c r="L58" i="347" s="1"/>
  <c r="K58" i="347" a="1"/>
  <c r="K58" i="347" s="1"/>
  <c r="I58" i="347" a="1"/>
  <c r="I58" i="347" s="1"/>
  <c r="H58" i="347" a="1"/>
  <c r="H58" i="347" s="1"/>
  <c r="G58" i="347" a="1"/>
  <c r="G58" i="347" s="1"/>
  <c r="F58" i="347" a="1"/>
  <c r="F58" i="347" s="1"/>
  <c r="E58" i="347" a="1"/>
  <c r="E58" i="347" s="1"/>
  <c r="C58" i="347"/>
  <c r="T57" i="347" a="1"/>
  <c r="T57" i="347" s="1"/>
  <c r="S57" i="347" a="1"/>
  <c r="S57" i="347" s="1"/>
  <c r="R57" i="347" a="1"/>
  <c r="R57" i="347" s="1"/>
  <c r="Q57" i="347" a="1"/>
  <c r="Q57" i="347" s="1"/>
  <c r="P57" i="347" a="1"/>
  <c r="P57" i="347" s="1"/>
  <c r="N57" i="347" a="1"/>
  <c r="N57" i="347" s="1"/>
  <c r="M57" i="347" a="1"/>
  <c r="M57" i="347" s="1"/>
  <c r="L57" i="347" a="1"/>
  <c r="L57" i="347" s="1"/>
  <c r="K57" i="347" a="1"/>
  <c r="K57" i="347" s="1"/>
  <c r="I57" i="347" a="1"/>
  <c r="I57" i="347" s="1"/>
  <c r="H57" i="347" a="1"/>
  <c r="H57" i="347" s="1"/>
  <c r="G57" i="347" a="1"/>
  <c r="G57" i="347" s="1"/>
  <c r="F57" i="347" a="1"/>
  <c r="F57" i="347" s="1"/>
  <c r="E57" i="347" a="1"/>
  <c r="E57" i="347" s="1"/>
  <c r="C57" i="347"/>
  <c r="T56" i="347" a="1"/>
  <c r="T56" i="347" s="1"/>
  <c r="S56" i="347" a="1"/>
  <c r="S56" i="347" s="1"/>
  <c r="R56" i="347" a="1"/>
  <c r="R56" i="347" s="1"/>
  <c r="Q56" i="347" a="1"/>
  <c r="Q56" i="347" s="1"/>
  <c r="P56" i="347" a="1"/>
  <c r="P56" i="347" s="1"/>
  <c r="N56" i="347" a="1"/>
  <c r="N56" i="347" s="1"/>
  <c r="M56" i="347" a="1"/>
  <c r="M56" i="347" s="1"/>
  <c r="L56" i="347" a="1"/>
  <c r="L56" i="347" s="1"/>
  <c r="K56" i="347" a="1"/>
  <c r="K56" i="347" s="1"/>
  <c r="I56" i="347" a="1"/>
  <c r="I56" i="347" s="1"/>
  <c r="H56" i="347" a="1"/>
  <c r="H56" i="347" s="1"/>
  <c r="G56" i="347" a="1"/>
  <c r="G56" i="347" s="1"/>
  <c r="F56" i="347" a="1"/>
  <c r="F56" i="347" s="1"/>
  <c r="E56" i="347" a="1"/>
  <c r="E56" i="347" s="1"/>
  <c r="C56" i="347"/>
  <c r="T55" i="347" a="1"/>
  <c r="T55" i="347" s="1"/>
  <c r="S55" i="347" a="1"/>
  <c r="S55" i="347" s="1"/>
  <c r="R55" i="347" a="1"/>
  <c r="R55" i="347" s="1"/>
  <c r="Q55" i="347" a="1"/>
  <c r="Q55" i="347" s="1"/>
  <c r="P55" i="347" a="1"/>
  <c r="P55" i="347" s="1"/>
  <c r="N55" i="347" a="1"/>
  <c r="N55" i="347" s="1"/>
  <c r="M55" i="347" a="1"/>
  <c r="M55" i="347" s="1"/>
  <c r="L55" i="347" a="1"/>
  <c r="L55" i="347" s="1"/>
  <c r="K55" i="347" a="1"/>
  <c r="K55" i="347" s="1"/>
  <c r="I55" i="347" a="1"/>
  <c r="I55" i="347" s="1"/>
  <c r="H55" i="347" a="1"/>
  <c r="H55" i="347" s="1"/>
  <c r="G55" i="347" a="1"/>
  <c r="G55" i="347" s="1"/>
  <c r="F55" i="347" a="1"/>
  <c r="F55" i="347" s="1"/>
  <c r="E55" i="347" a="1"/>
  <c r="E55" i="347" s="1"/>
  <c r="C55" i="347"/>
  <c r="T54" i="347" a="1"/>
  <c r="T54" i="347" s="1"/>
  <c r="S54" i="347" a="1"/>
  <c r="S54" i="347" s="1"/>
  <c r="R54" i="347" a="1"/>
  <c r="R54" i="347" s="1"/>
  <c r="Q54" i="347" a="1"/>
  <c r="Q54" i="347" s="1"/>
  <c r="P54" i="347" a="1"/>
  <c r="P54" i="347" s="1"/>
  <c r="N54" i="347" a="1"/>
  <c r="N54" i="347" s="1"/>
  <c r="M54" i="347" a="1"/>
  <c r="M54" i="347" s="1"/>
  <c r="L54" i="347" a="1"/>
  <c r="L54" i="347" s="1"/>
  <c r="K54" i="347" a="1"/>
  <c r="K54" i="347" s="1"/>
  <c r="I54" i="347" a="1"/>
  <c r="I54" i="347" s="1"/>
  <c r="H54" i="347" a="1"/>
  <c r="H54" i="347" s="1"/>
  <c r="G54" i="347" a="1"/>
  <c r="G54" i="347" s="1"/>
  <c r="F54" i="347" a="1"/>
  <c r="F54" i="347" s="1"/>
  <c r="E54" i="347" a="1"/>
  <c r="E54" i="347" s="1"/>
  <c r="C54" i="347"/>
  <c r="T53" i="347" a="1"/>
  <c r="T53" i="347" s="1"/>
  <c r="S53" i="347" a="1"/>
  <c r="S53" i="347" s="1"/>
  <c r="R53" i="347" a="1"/>
  <c r="R53" i="347" s="1"/>
  <c r="Q53" i="347" a="1"/>
  <c r="Q53" i="347" s="1"/>
  <c r="P53" i="347" a="1"/>
  <c r="P53" i="347" s="1"/>
  <c r="N53" i="347" a="1"/>
  <c r="N53" i="347" s="1"/>
  <c r="M53" i="347" a="1"/>
  <c r="M53" i="347" s="1"/>
  <c r="L53" i="347" a="1"/>
  <c r="L53" i="347" s="1"/>
  <c r="K53" i="347" a="1"/>
  <c r="K53" i="347" s="1"/>
  <c r="I53" i="347" a="1"/>
  <c r="I53" i="347" s="1"/>
  <c r="H53" i="347" a="1"/>
  <c r="H53" i="347" s="1"/>
  <c r="G53" i="347" a="1"/>
  <c r="G53" i="347" s="1"/>
  <c r="F53" i="347" a="1"/>
  <c r="F53" i="347" s="1"/>
  <c r="E53" i="347" a="1"/>
  <c r="E53" i="347" s="1"/>
  <c r="C53" i="347"/>
  <c r="T52" i="347" a="1"/>
  <c r="T52" i="347" s="1"/>
  <c r="S52" i="347" a="1"/>
  <c r="S52" i="347" s="1"/>
  <c r="R52" i="347" a="1"/>
  <c r="R52" i="347" s="1"/>
  <c r="Q52" i="347" a="1"/>
  <c r="Q52" i="347" s="1"/>
  <c r="P52" i="347" a="1"/>
  <c r="P52" i="347" s="1"/>
  <c r="N52" i="347" a="1"/>
  <c r="N52" i="347" s="1"/>
  <c r="M52" i="347" a="1"/>
  <c r="M52" i="347" s="1"/>
  <c r="L52" i="347" a="1"/>
  <c r="L52" i="347" s="1"/>
  <c r="K52" i="347" a="1"/>
  <c r="K52" i="347" s="1"/>
  <c r="I52" i="347" a="1"/>
  <c r="I52" i="347" s="1"/>
  <c r="H52" i="347" a="1"/>
  <c r="H52" i="347" s="1"/>
  <c r="G52" i="347" a="1"/>
  <c r="G52" i="347" s="1"/>
  <c r="F52" i="347" a="1"/>
  <c r="F52" i="347" s="1"/>
  <c r="E52" i="347" a="1"/>
  <c r="E52" i="347" s="1"/>
  <c r="C52" i="347"/>
  <c r="T51" i="347" a="1"/>
  <c r="T51" i="347" s="1"/>
  <c r="S51" i="347" a="1"/>
  <c r="S51" i="347" s="1"/>
  <c r="R51" i="347" a="1"/>
  <c r="R51" i="347" s="1"/>
  <c r="Q51" i="347" a="1"/>
  <c r="Q51" i="347" s="1"/>
  <c r="P51" i="347" a="1"/>
  <c r="P51" i="347" s="1"/>
  <c r="N51" i="347" a="1"/>
  <c r="N51" i="347" s="1"/>
  <c r="M51" i="347" a="1"/>
  <c r="M51" i="347" s="1"/>
  <c r="L51" i="347" a="1"/>
  <c r="L51" i="347" s="1"/>
  <c r="K51" i="347" a="1"/>
  <c r="K51" i="347" s="1"/>
  <c r="I51" i="347" a="1"/>
  <c r="I51" i="347" s="1"/>
  <c r="H51" i="347" a="1"/>
  <c r="H51" i="347" s="1"/>
  <c r="G51" i="347" a="1"/>
  <c r="G51" i="347" s="1"/>
  <c r="F51" i="347" a="1"/>
  <c r="F51" i="347" s="1"/>
  <c r="E51" i="347" a="1"/>
  <c r="E51" i="347" s="1"/>
  <c r="C51" i="347"/>
  <c r="T50" i="347" a="1"/>
  <c r="T50" i="347" s="1"/>
  <c r="S50" i="347" a="1"/>
  <c r="S50" i="347" s="1"/>
  <c r="R50" i="347" a="1"/>
  <c r="R50" i="347" s="1"/>
  <c r="Q50" i="347" a="1"/>
  <c r="Q50" i="347" s="1"/>
  <c r="P50" i="347" a="1"/>
  <c r="P50" i="347" s="1"/>
  <c r="N50" i="347" a="1"/>
  <c r="N50" i="347" s="1"/>
  <c r="M50" i="347" a="1"/>
  <c r="M50" i="347" s="1"/>
  <c r="L50" i="347" a="1"/>
  <c r="L50" i="347" s="1"/>
  <c r="K50" i="347" a="1"/>
  <c r="K50" i="347" s="1"/>
  <c r="I50" i="347" a="1"/>
  <c r="I50" i="347" s="1"/>
  <c r="H50" i="347" a="1"/>
  <c r="H50" i="347" s="1"/>
  <c r="G50" i="347" a="1"/>
  <c r="G50" i="347" s="1"/>
  <c r="F50" i="347" a="1"/>
  <c r="F50" i="347" s="1"/>
  <c r="E50" i="347" a="1"/>
  <c r="E50" i="347" s="1"/>
  <c r="C50" i="347"/>
  <c r="T49" i="347" a="1"/>
  <c r="T49" i="347" s="1"/>
  <c r="S49" i="347" a="1"/>
  <c r="S49" i="347" s="1"/>
  <c r="R49" i="347" a="1"/>
  <c r="R49" i="347" s="1"/>
  <c r="Q49" i="347" a="1"/>
  <c r="Q49" i="347" s="1"/>
  <c r="P49" i="347" a="1"/>
  <c r="P49" i="347" s="1"/>
  <c r="N49" i="347" a="1"/>
  <c r="N49" i="347" s="1"/>
  <c r="M49" i="347" a="1"/>
  <c r="M49" i="347" s="1"/>
  <c r="L49" i="347" a="1"/>
  <c r="L49" i="347" s="1"/>
  <c r="K49" i="347" a="1"/>
  <c r="K49" i="347" s="1"/>
  <c r="I49" i="347" a="1"/>
  <c r="I49" i="347" s="1"/>
  <c r="H49" i="347" a="1"/>
  <c r="H49" i="347" s="1"/>
  <c r="G49" i="347" a="1"/>
  <c r="G49" i="347" s="1"/>
  <c r="F49" i="347" a="1"/>
  <c r="F49" i="347" s="1"/>
  <c r="E49" i="347" a="1"/>
  <c r="E49" i="347" s="1"/>
  <c r="C49" i="347"/>
  <c r="T48" i="347" a="1"/>
  <c r="T48" i="347" s="1"/>
  <c r="S48" i="347" a="1"/>
  <c r="S48" i="347" s="1"/>
  <c r="R48" i="347" a="1"/>
  <c r="R48" i="347" s="1"/>
  <c r="Q48" i="347" a="1"/>
  <c r="Q48" i="347" s="1"/>
  <c r="P48" i="347" a="1"/>
  <c r="P48" i="347" s="1"/>
  <c r="N48" i="347" a="1"/>
  <c r="N48" i="347" s="1"/>
  <c r="M48" i="347" a="1"/>
  <c r="M48" i="347" s="1"/>
  <c r="L48" i="347" a="1"/>
  <c r="L48" i="347" s="1"/>
  <c r="K48" i="347" a="1"/>
  <c r="K48" i="347" s="1"/>
  <c r="I48" i="347" a="1"/>
  <c r="I48" i="347" s="1"/>
  <c r="H48" i="347" a="1"/>
  <c r="H48" i="347" s="1"/>
  <c r="G48" i="347" a="1"/>
  <c r="G48" i="347" s="1"/>
  <c r="F48" i="347" a="1"/>
  <c r="F48" i="347" s="1"/>
  <c r="E48" i="347" a="1"/>
  <c r="E48" i="347" s="1"/>
  <c r="C48" i="347"/>
  <c r="T47" i="347" a="1"/>
  <c r="T47" i="347" s="1"/>
  <c r="S47" i="347" a="1"/>
  <c r="S47" i="347" s="1"/>
  <c r="R47" i="347" a="1"/>
  <c r="R47" i="347" s="1"/>
  <c r="Q47" i="347" a="1"/>
  <c r="Q47" i="347" s="1"/>
  <c r="P47" i="347" a="1"/>
  <c r="P47" i="347" s="1"/>
  <c r="N47" i="347" a="1"/>
  <c r="N47" i="347" s="1"/>
  <c r="M47" i="347" a="1"/>
  <c r="M47" i="347" s="1"/>
  <c r="L47" i="347" a="1"/>
  <c r="L47" i="347" s="1"/>
  <c r="K47" i="347" a="1"/>
  <c r="K47" i="347" s="1"/>
  <c r="I47" i="347" a="1"/>
  <c r="I47" i="347" s="1"/>
  <c r="H47" i="347" a="1"/>
  <c r="H47" i="347" s="1"/>
  <c r="G47" i="347" a="1"/>
  <c r="G47" i="347" s="1"/>
  <c r="F47" i="347" a="1"/>
  <c r="F47" i="347" s="1"/>
  <c r="E47" i="347" a="1"/>
  <c r="E47" i="347" s="1"/>
  <c r="C47" i="347"/>
  <c r="T46" i="347" a="1"/>
  <c r="T46" i="347" s="1"/>
  <c r="S46" i="347" a="1"/>
  <c r="S46" i="347" s="1"/>
  <c r="R46" i="347" a="1"/>
  <c r="R46" i="347" s="1"/>
  <c r="Q46" i="347" a="1"/>
  <c r="Q46" i="347" s="1"/>
  <c r="P46" i="347" a="1"/>
  <c r="P46" i="347" s="1"/>
  <c r="N46" i="347" a="1"/>
  <c r="N46" i="347" s="1"/>
  <c r="M46" i="347" a="1"/>
  <c r="M46" i="347" s="1"/>
  <c r="L46" i="347" a="1"/>
  <c r="L46" i="347" s="1"/>
  <c r="K46" i="347" a="1"/>
  <c r="K46" i="347" s="1"/>
  <c r="I46" i="347" a="1"/>
  <c r="I46" i="347" s="1"/>
  <c r="H46" i="347" a="1"/>
  <c r="H46" i="347" s="1"/>
  <c r="G46" i="347" a="1"/>
  <c r="G46" i="347" s="1"/>
  <c r="F46" i="347" a="1"/>
  <c r="F46" i="347" s="1"/>
  <c r="E46" i="347" a="1"/>
  <c r="E46" i="347" s="1"/>
  <c r="C46" i="347"/>
  <c r="T45" i="347" a="1"/>
  <c r="T45" i="347" s="1"/>
  <c r="S45" i="347" a="1"/>
  <c r="S45" i="347" s="1"/>
  <c r="R45" i="347" a="1"/>
  <c r="R45" i="347" s="1"/>
  <c r="Q45" i="347" a="1"/>
  <c r="Q45" i="347" s="1"/>
  <c r="P45" i="347" a="1"/>
  <c r="P45" i="347" s="1"/>
  <c r="N45" i="347" a="1"/>
  <c r="N45" i="347" s="1"/>
  <c r="M45" i="347" a="1"/>
  <c r="M45" i="347" s="1"/>
  <c r="L45" i="347" a="1"/>
  <c r="L45" i="347" s="1"/>
  <c r="K45" i="347" a="1"/>
  <c r="K45" i="347" s="1"/>
  <c r="I45" i="347" a="1"/>
  <c r="I45" i="347" s="1"/>
  <c r="H45" i="347" a="1"/>
  <c r="H45" i="347" s="1"/>
  <c r="G45" i="347" a="1"/>
  <c r="G45" i="347" s="1"/>
  <c r="F45" i="347" a="1"/>
  <c r="F45" i="347" s="1"/>
  <c r="E45" i="347" a="1"/>
  <c r="E45" i="347" s="1"/>
  <c r="C45" i="347"/>
  <c r="T44" i="347" a="1"/>
  <c r="T44" i="347" s="1"/>
  <c r="S44" i="347" a="1"/>
  <c r="S44" i="347" s="1"/>
  <c r="R44" i="347" a="1"/>
  <c r="R44" i="347" s="1"/>
  <c r="Q44" i="347" a="1"/>
  <c r="Q44" i="347" s="1"/>
  <c r="P44" i="347" a="1"/>
  <c r="P44" i="347" s="1"/>
  <c r="N44" i="347" a="1"/>
  <c r="N44" i="347" s="1"/>
  <c r="M44" i="347" a="1"/>
  <c r="M44" i="347" s="1"/>
  <c r="L44" i="347" a="1"/>
  <c r="L44" i="347" s="1"/>
  <c r="K44" i="347" a="1"/>
  <c r="K44" i="347" s="1"/>
  <c r="I44" i="347" a="1"/>
  <c r="I44" i="347" s="1"/>
  <c r="H44" i="347" a="1"/>
  <c r="H44" i="347" s="1"/>
  <c r="G44" i="347" a="1"/>
  <c r="G44" i="347" s="1"/>
  <c r="F44" i="347" a="1"/>
  <c r="F44" i="347" s="1"/>
  <c r="E44" i="347" a="1"/>
  <c r="E44" i="347" s="1"/>
  <c r="C44" i="347"/>
  <c r="T43" i="347" a="1"/>
  <c r="T43" i="347" s="1"/>
  <c r="S43" i="347" a="1"/>
  <c r="S43" i="347" s="1"/>
  <c r="R43" i="347" a="1"/>
  <c r="R43" i="347" s="1"/>
  <c r="Q43" i="347" a="1"/>
  <c r="Q43" i="347" s="1"/>
  <c r="P43" i="347" a="1"/>
  <c r="P43" i="347" s="1"/>
  <c r="N43" i="347" a="1"/>
  <c r="N43" i="347" s="1"/>
  <c r="M43" i="347" a="1"/>
  <c r="M43" i="347" s="1"/>
  <c r="L43" i="347" a="1"/>
  <c r="L43" i="347" s="1"/>
  <c r="K43" i="347" a="1"/>
  <c r="K43" i="347" s="1"/>
  <c r="I43" i="347" a="1"/>
  <c r="I43" i="347" s="1"/>
  <c r="H43" i="347" a="1"/>
  <c r="H43" i="347" s="1"/>
  <c r="G43" i="347" a="1"/>
  <c r="G43" i="347" s="1"/>
  <c r="F43" i="347" a="1"/>
  <c r="F43" i="347" s="1"/>
  <c r="E43" i="347" a="1"/>
  <c r="E43" i="347" s="1"/>
  <c r="C43" i="347"/>
  <c r="T42" i="347" a="1"/>
  <c r="T42" i="347" s="1"/>
  <c r="S42" i="347" a="1"/>
  <c r="S42" i="347" s="1"/>
  <c r="R42" i="347" a="1"/>
  <c r="R42" i="347" s="1"/>
  <c r="Q42" i="347" a="1"/>
  <c r="Q42" i="347" s="1"/>
  <c r="P42" i="347" a="1"/>
  <c r="P42" i="347" s="1"/>
  <c r="N42" i="347" a="1"/>
  <c r="N42" i="347" s="1"/>
  <c r="M42" i="347" a="1"/>
  <c r="M42" i="347" s="1"/>
  <c r="L42" i="347" a="1"/>
  <c r="L42" i="347" s="1"/>
  <c r="K42" i="347" a="1"/>
  <c r="K42" i="347" s="1"/>
  <c r="I42" i="347" a="1"/>
  <c r="I42" i="347" s="1"/>
  <c r="H42" i="347" a="1"/>
  <c r="H42" i="347" s="1"/>
  <c r="G42" i="347" a="1"/>
  <c r="G42" i="347" s="1"/>
  <c r="F42" i="347" a="1"/>
  <c r="F42" i="347" s="1"/>
  <c r="E42" i="347" a="1"/>
  <c r="E42" i="347" s="1"/>
  <c r="C42" i="347"/>
  <c r="T41" i="347" a="1"/>
  <c r="T41" i="347" s="1"/>
  <c r="S41" i="347" a="1"/>
  <c r="S41" i="347" s="1"/>
  <c r="R41" i="347" a="1"/>
  <c r="R41" i="347" s="1"/>
  <c r="Q41" i="347" a="1"/>
  <c r="Q41" i="347" s="1"/>
  <c r="P41" i="347" a="1"/>
  <c r="P41" i="347" s="1"/>
  <c r="N41" i="347" a="1"/>
  <c r="N41" i="347" s="1"/>
  <c r="M41" i="347" a="1"/>
  <c r="M41" i="347" s="1"/>
  <c r="L41" i="347" a="1"/>
  <c r="L41" i="347" s="1"/>
  <c r="K41" i="347" a="1"/>
  <c r="K41" i="347" s="1"/>
  <c r="I41" i="347" a="1"/>
  <c r="I41" i="347" s="1"/>
  <c r="H41" i="347" a="1"/>
  <c r="H41" i="347" s="1"/>
  <c r="G41" i="347" a="1"/>
  <c r="G41" i="347" s="1"/>
  <c r="F41" i="347" a="1"/>
  <c r="F41" i="347" s="1"/>
  <c r="E41" i="347" a="1"/>
  <c r="E41" i="347" s="1"/>
  <c r="C41" i="347"/>
  <c r="T40" i="347" a="1"/>
  <c r="T40" i="347" s="1"/>
  <c r="S40" i="347" a="1"/>
  <c r="S40" i="347" s="1"/>
  <c r="R40" i="347" a="1"/>
  <c r="R40" i="347" s="1"/>
  <c r="Q40" i="347" a="1"/>
  <c r="Q40" i="347" s="1"/>
  <c r="P40" i="347" a="1"/>
  <c r="P40" i="347" s="1"/>
  <c r="N40" i="347" a="1"/>
  <c r="N40" i="347" s="1"/>
  <c r="M40" i="347" a="1"/>
  <c r="M40" i="347" s="1"/>
  <c r="L40" i="347" a="1"/>
  <c r="L40" i="347" s="1"/>
  <c r="K40" i="347" a="1"/>
  <c r="K40" i="347" s="1"/>
  <c r="I40" i="347" a="1"/>
  <c r="I40" i="347" s="1"/>
  <c r="H40" i="347" a="1"/>
  <c r="H40" i="347" s="1"/>
  <c r="G40" i="347" a="1"/>
  <c r="G40" i="347" s="1"/>
  <c r="F40" i="347" a="1"/>
  <c r="F40" i="347" s="1"/>
  <c r="E40" i="347" a="1"/>
  <c r="E40" i="347" s="1"/>
  <c r="C40" i="347"/>
  <c r="T39" i="347" a="1"/>
  <c r="T39" i="347" s="1"/>
  <c r="S39" i="347" a="1"/>
  <c r="S39" i="347" s="1"/>
  <c r="R39" i="347" a="1"/>
  <c r="R39" i="347" s="1"/>
  <c r="Q39" i="347" a="1"/>
  <c r="Q39" i="347" s="1"/>
  <c r="P39" i="347" a="1"/>
  <c r="P39" i="347" s="1"/>
  <c r="N39" i="347" a="1"/>
  <c r="N39" i="347" s="1"/>
  <c r="M39" i="347" a="1"/>
  <c r="M39" i="347" s="1"/>
  <c r="L39" i="347" a="1"/>
  <c r="L39" i="347" s="1"/>
  <c r="K39" i="347" a="1"/>
  <c r="K39" i="347" s="1"/>
  <c r="I39" i="347" a="1"/>
  <c r="I39" i="347" s="1"/>
  <c r="H39" i="347" a="1"/>
  <c r="H39" i="347" s="1"/>
  <c r="G39" i="347" a="1"/>
  <c r="G39" i="347" s="1"/>
  <c r="F39" i="347" a="1"/>
  <c r="F39" i="347" s="1"/>
  <c r="E39" i="347" a="1"/>
  <c r="E39" i="347" s="1"/>
  <c r="C39" i="347"/>
  <c r="A39" i="347"/>
  <c r="A40" i="347"/>
  <c r="A41" i="347" s="1"/>
  <c r="A42" i="347" s="1"/>
  <c r="A43" i="347" s="1"/>
  <c r="A44" i="347" s="1"/>
  <c r="A45" i="347" s="1"/>
  <c r="A46" i="347" s="1"/>
  <c r="A47" i="347" s="1"/>
  <c r="A48" i="347"/>
  <c r="A49" i="347" s="1"/>
  <c r="A50" i="347" s="1"/>
  <c r="A51" i="347" s="1"/>
  <c r="A52" i="347" s="1"/>
  <c r="A53" i="347" s="1"/>
  <c r="A54" i="347" s="1"/>
  <c r="A55" i="347" s="1"/>
  <c r="A56" i="347" s="1"/>
  <c r="A57" i="347" s="1"/>
  <c r="A58" i="347" s="1"/>
  <c r="A59" i="347" s="1"/>
  <c r="T38" i="347" a="1"/>
  <c r="T38" i="347" s="1"/>
  <c r="S38" i="347" a="1"/>
  <c r="S38" i="347" s="1"/>
  <c r="R38" i="347" a="1"/>
  <c r="R38" i="347" s="1"/>
  <c r="Q38" i="347" a="1"/>
  <c r="Q38" i="347" s="1"/>
  <c r="P38" i="347" a="1"/>
  <c r="P38" i="347" s="1"/>
  <c r="N38" i="347" a="1"/>
  <c r="N38" i="347" s="1"/>
  <c r="M38" i="347" a="1"/>
  <c r="M38" i="347" s="1"/>
  <c r="L38" i="347" a="1"/>
  <c r="L38" i="347" s="1"/>
  <c r="K38" i="347" a="1"/>
  <c r="K38" i="347" s="1"/>
  <c r="I38" i="347" a="1"/>
  <c r="I38" i="347" s="1"/>
  <c r="H38" i="347" a="1"/>
  <c r="H38" i="347" s="1"/>
  <c r="G38" i="347" a="1"/>
  <c r="G38" i="347" s="1"/>
  <c r="F38" i="347" a="1"/>
  <c r="F38" i="347" s="1"/>
  <c r="E38" i="347" a="1"/>
  <c r="E38" i="347" s="1"/>
  <c r="C38" i="347"/>
  <c r="T35" i="347" a="1"/>
  <c r="T35" i="347" s="1"/>
  <c r="S35" i="347" a="1"/>
  <c r="S35" i="347" s="1"/>
  <c r="R35" i="347" a="1"/>
  <c r="R35" i="347" s="1"/>
  <c r="Q35" i="347" a="1"/>
  <c r="Q35" i="347" s="1"/>
  <c r="P35" i="347" a="1"/>
  <c r="P35" i="347" s="1"/>
  <c r="N35" i="347" a="1"/>
  <c r="N35" i="347" s="1"/>
  <c r="M35" i="347" a="1"/>
  <c r="M35" i="347" s="1"/>
  <c r="L35" i="347" a="1"/>
  <c r="L35" i="347" s="1"/>
  <c r="K35" i="347" a="1"/>
  <c r="K35" i="347" s="1"/>
  <c r="I35" i="347" a="1"/>
  <c r="I35" i="347" s="1"/>
  <c r="H35" i="347" a="1"/>
  <c r="H35" i="347" s="1"/>
  <c r="G35" i="347" a="1"/>
  <c r="G35" i="347" s="1"/>
  <c r="F35" i="347" a="1"/>
  <c r="F35" i="347" s="1"/>
  <c r="E35" i="347" a="1"/>
  <c r="E35" i="347" s="1"/>
  <c r="C35" i="347"/>
  <c r="T34" i="347" a="1"/>
  <c r="T34" i="347" s="1"/>
  <c r="S34" i="347" a="1"/>
  <c r="S34" i="347" s="1"/>
  <c r="R34" i="347" a="1"/>
  <c r="R34" i="347" s="1"/>
  <c r="Q34" i="347" a="1"/>
  <c r="Q34" i="347" s="1"/>
  <c r="P34" i="347" a="1"/>
  <c r="P34" i="347" s="1"/>
  <c r="N34" i="347" a="1"/>
  <c r="N34" i="347" s="1"/>
  <c r="M34" i="347" a="1"/>
  <c r="M34" i="347" s="1"/>
  <c r="L34" i="347" a="1"/>
  <c r="L34" i="347" s="1"/>
  <c r="K34" i="347" a="1"/>
  <c r="K34" i="347" s="1"/>
  <c r="I34" i="347" a="1"/>
  <c r="I34" i="347" s="1"/>
  <c r="H34" i="347" a="1"/>
  <c r="H34" i="347" s="1"/>
  <c r="G34" i="347" a="1"/>
  <c r="G34" i="347" s="1"/>
  <c r="F34" i="347" a="1"/>
  <c r="F34" i="347" s="1"/>
  <c r="E34" i="347" a="1"/>
  <c r="E34" i="347" s="1"/>
  <c r="C34" i="347"/>
  <c r="T33" i="347" a="1"/>
  <c r="T33" i="347" s="1"/>
  <c r="S33" i="347" a="1"/>
  <c r="S33" i="347" s="1"/>
  <c r="R33" i="347" a="1"/>
  <c r="R33" i="347" s="1"/>
  <c r="Q33" i="347" a="1"/>
  <c r="Q33" i="347" s="1"/>
  <c r="P33" i="347" a="1"/>
  <c r="P33" i="347" s="1"/>
  <c r="N33" i="347" a="1"/>
  <c r="N33" i="347" s="1"/>
  <c r="M33" i="347" a="1"/>
  <c r="M33" i="347" s="1"/>
  <c r="L33" i="347" a="1"/>
  <c r="L33" i="347" s="1"/>
  <c r="K33" i="347" a="1"/>
  <c r="K33" i="347" s="1"/>
  <c r="I33" i="347" a="1"/>
  <c r="I33" i="347" s="1"/>
  <c r="H33" i="347" a="1"/>
  <c r="H33" i="347" s="1"/>
  <c r="G33" i="347" a="1"/>
  <c r="G33" i="347" s="1"/>
  <c r="F33" i="347" a="1"/>
  <c r="F33" i="347" s="1"/>
  <c r="E33" i="347" a="1"/>
  <c r="E33" i="347" s="1"/>
  <c r="C33" i="347"/>
  <c r="T32" i="347" a="1"/>
  <c r="T32" i="347" s="1"/>
  <c r="S32" i="347" a="1"/>
  <c r="S32" i="347" s="1"/>
  <c r="R32" i="347" a="1"/>
  <c r="R32" i="347" s="1"/>
  <c r="Q32" i="347" a="1"/>
  <c r="Q32" i="347" s="1"/>
  <c r="P32" i="347" a="1"/>
  <c r="P32" i="347" s="1"/>
  <c r="N32" i="347" a="1"/>
  <c r="N32" i="347" s="1"/>
  <c r="M32" i="347" a="1"/>
  <c r="M32" i="347" s="1"/>
  <c r="L32" i="347" a="1"/>
  <c r="L32" i="347" s="1"/>
  <c r="K32" i="347" a="1"/>
  <c r="K32" i="347" s="1"/>
  <c r="I32" i="347" a="1"/>
  <c r="I32" i="347" s="1"/>
  <c r="H32" i="347" a="1"/>
  <c r="H32" i="347" s="1"/>
  <c r="G32" i="347" a="1"/>
  <c r="G32" i="347" s="1"/>
  <c r="F32" i="347" a="1"/>
  <c r="F32" i="347" s="1"/>
  <c r="E32" i="347" a="1"/>
  <c r="E32" i="347" s="1"/>
  <c r="C32" i="347"/>
  <c r="T31" i="347" a="1"/>
  <c r="T31" i="347" s="1"/>
  <c r="S31" i="347" a="1"/>
  <c r="S31" i="347" s="1"/>
  <c r="R31" i="347" a="1"/>
  <c r="R31" i="347" s="1"/>
  <c r="Q31" i="347" a="1"/>
  <c r="Q31" i="347" s="1"/>
  <c r="P31" i="347" a="1"/>
  <c r="P31" i="347" s="1"/>
  <c r="N31" i="347" a="1"/>
  <c r="N31" i="347" s="1"/>
  <c r="M31" i="347" a="1"/>
  <c r="M31" i="347" s="1"/>
  <c r="L31" i="347" a="1"/>
  <c r="L31" i="347" s="1"/>
  <c r="K31" i="347" a="1"/>
  <c r="K31" i="347" s="1"/>
  <c r="I31" i="347" a="1"/>
  <c r="I31" i="347" s="1"/>
  <c r="H31" i="347" a="1"/>
  <c r="H31" i="347" s="1"/>
  <c r="G31" i="347" a="1"/>
  <c r="G31" i="347" s="1"/>
  <c r="F31" i="347" a="1"/>
  <c r="F31" i="347" s="1"/>
  <c r="E31" i="347" a="1"/>
  <c r="E31" i="347" s="1"/>
  <c r="C31" i="347"/>
  <c r="T30" i="347" a="1"/>
  <c r="T30" i="347" s="1"/>
  <c r="S30" i="347" a="1"/>
  <c r="S30" i="347" s="1"/>
  <c r="R30" i="347" a="1"/>
  <c r="R30" i="347" s="1"/>
  <c r="Q30" i="347" a="1"/>
  <c r="Q30" i="347" s="1"/>
  <c r="P30" i="347" a="1"/>
  <c r="P30" i="347" s="1"/>
  <c r="N30" i="347" a="1"/>
  <c r="N30" i="347" s="1"/>
  <c r="M30" i="347" a="1"/>
  <c r="M30" i="347" s="1"/>
  <c r="L30" i="347" a="1"/>
  <c r="L30" i="347" s="1"/>
  <c r="K30" i="347" a="1"/>
  <c r="K30" i="347" s="1"/>
  <c r="I30" i="347" a="1"/>
  <c r="I30" i="347" s="1"/>
  <c r="H30" i="347" a="1"/>
  <c r="H30" i="347" s="1"/>
  <c r="G30" i="347" a="1"/>
  <c r="G30" i="347" s="1"/>
  <c r="F30" i="347" a="1"/>
  <c r="F30" i="347" s="1"/>
  <c r="E30" i="347" a="1"/>
  <c r="E30" i="347" s="1"/>
  <c r="C30" i="347"/>
  <c r="T29" i="347" a="1"/>
  <c r="T29" i="347" s="1"/>
  <c r="S29" i="347" a="1"/>
  <c r="S29" i="347" s="1"/>
  <c r="R29" i="347" a="1"/>
  <c r="R29" i="347" s="1"/>
  <c r="Q29" i="347" a="1"/>
  <c r="Q29" i="347" s="1"/>
  <c r="P29" i="347" a="1"/>
  <c r="P29" i="347" s="1"/>
  <c r="N29" i="347" a="1"/>
  <c r="N29" i="347" s="1"/>
  <c r="M29" i="347" a="1"/>
  <c r="M29" i="347" s="1"/>
  <c r="L29" i="347" a="1"/>
  <c r="L29" i="347" s="1"/>
  <c r="K29" i="347" a="1"/>
  <c r="K29" i="347" s="1"/>
  <c r="I29" i="347" a="1"/>
  <c r="I29" i="347" s="1"/>
  <c r="H29" i="347" a="1"/>
  <c r="H29" i="347" s="1"/>
  <c r="G29" i="347" a="1"/>
  <c r="G29" i="347" s="1"/>
  <c r="F29" i="347" a="1"/>
  <c r="F29" i="347" s="1"/>
  <c r="E29" i="347" a="1"/>
  <c r="E29" i="347" s="1"/>
  <c r="C29" i="347"/>
  <c r="T28" i="347" a="1"/>
  <c r="T28" i="347" s="1"/>
  <c r="S28" i="347" a="1"/>
  <c r="S28" i="347" s="1"/>
  <c r="R28" i="347" a="1"/>
  <c r="R28" i="347" s="1"/>
  <c r="Q28" i="347" a="1"/>
  <c r="Q28" i="347" s="1"/>
  <c r="P28" i="347" a="1"/>
  <c r="P28" i="347" s="1"/>
  <c r="N28" i="347" a="1"/>
  <c r="N28" i="347" s="1"/>
  <c r="M28" i="347" a="1"/>
  <c r="M28" i="347" s="1"/>
  <c r="L28" i="347" a="1"/>
  <c r="L28" i="347" s="1"/>
  <c r="K28" i="347" a="1"/>
  <c r="K28" i="347" s="1"/>
  <c r="I28" i="347" a="1"/>
  <c r="I28" i="347" s="1"/>
  <c r="H28" i="347" a="1"/>
  <c r="H28" i="347" s="1"/>
  <c r="G28" i="347" a="1"/>
  <c r="G28" i="347" s="1"/>
  <c r="F28" i="347" a="1"/>
  <c r="F28" i="347" s="1"/>
  <c r="E28" i="347" a="1"/>
  <c r="E28" i="347" s="1"/>
  <c r="C28" i="347"/>
  <c r="T27" i="347" a="1"/>
  <c r="T27" i="347" s="1"/>
  <c r="S27" i="347" a="1"/>
  <c r="S27" i="347" s="1"/>
  <c r="R27" i="347" a="1"/>
  <c r="R27" i="347" s="1"/>
  <c r="Q27" i="347" a="1"/>
  <c r="Q27" i="347" s="1"/>
  <c r="P27" i="347" a="1"/>
  <c r="P27" i="347" s="1"/>
  <c r="N27" i="347" a="1"/>
  <c r="N27" i="347" s="1"/>
  <c r="M27" i="347" a="1"/>
  <c r="M27" i="347" s="1"/>
  <c r="L27" i="347" a="1"/>
  <c r="L27" i="347" s="1"/>
  <c r="K27" i="347" a="1"/>
  <c r="K27" i="347" s="1"/>
  <c r="I27" i="347" a="1"/>
  <c r="I27" i="347" s="1"/>
  <c r="H27" i="347" a="1"/>
  <c r="H27" i="347" s="1"/>
  <c r="G27" i="347" a="1"/>
  <c r="G27" i="347" s="1"/>
  <c r="F27" i="347" a="1"/>
  <c r="F27" i="347" s="1"/>
  <c r="E27" i="347" a="1"/>
  <c r="E27" i="347" s="1"/>
  <c r="C27" i="347"/>
  <c r="T26" i="347" a="1"/>
  <c r="T26" i="347" s="1"/>
  <c r="S26" i="347" a="1"/>
  <c r="S26" i="347" s="1"/>
  <c r="R26" i="347" a="1"/>
  <c r="R26" i="347" s="1"/>
  <c r="Q26" i="347" a="1"/>
  <c r="Q26" i="347" s="1"/>
  <c r="P26" i="347" a="1"/>
  <c r="P26" i="347" s="1"/>
  <c r="N26" i="347" a="1"/>
  <c r="N26" i="347" s="1"/>
  <c r="M26" i="347" a="1"/>
  <c r="M26" i="347" s="1"/>
  <c r="L26" i="347" a="1"/>
  <c r="L26" i="347" s="1"/>
  <c r="K26" i="347" a="1"/>
  <c r="K26" i="347" s="1"/>
  <c r="I26" i="347" a="1"/>
  <c r="I26" i="347" s="1"/>
  <c r="H26" i="347" a="1"/>
  <c r="H26" i="347" s="1"/>
  <c r="G26" i="347" a="1"/>
  <c r="G26" i="347" s="1"/>
  <c r="F26" i="347" a="1"/>
  <c r="F26" i="347" s="1"/>
  <c r="E26" i="347" a="1"/>
  <c r="E26" i="347" s="1"/>
  <c r="C26" i="347"/>
  <c r="T25" i="347" a="1"/>
  <c r="T25" i="347" s="1"/>
  <c r="S25" i="347" a="1"/>
  <c r="S25" i="347" s="1"/>
  <c r="R25" i="347" a="1"/>
  <c r="R25" i="347" s="1"/>
  <c r="Q25" i="347" a="1"/>
  <c r="Q25" i="347" s="1"/>
  <c r="P25" i="347" a="1"/>
  <c r="P25" i="347" s="1"/>
  <c r="N25" i="347" a="1"/>
  <c r="N25" i="347" s="1"/>
  <c r="M25" i="347" a="1"/>
  <c r="M25" i="347" s="1"/>
  <c r="L25" i="347" a="1"/>
  <c r="L25" i="347" s="1"/>
  <c r="K25" i="347" a="1"/>
  <c r="K25" i="347" s="1"/>
  <c r="I25" i="347" a="1"/>
  <c r="I25" i="347" s="1"/>
  <c r="H25" i="347" a="1"/>
  <c r="H25" i="347" s="1"/>
  <c r="G25" i="347" a="1"/>
  <c r="G25" i="347" s="1"/>
  <c r="F25" i="347" a="1"/>
  <c r="F25" i="347" s="1"/>
  <c r="E25" i="347" a="1"/>
  <c r="E25" i="347" s="1"/>
  <c r="C25" i="347"/>
  <c r="T24" i="347" a="1"/>
  <c r="T24" i="347" s="1"/>
  <c r="S24" i="347" a="1"/>
  <c r="S24" i="347" s="1"/>
  <c r="R24" i="347" a="1"/>
  <c r="R24" i="347" s="1"/>
  <c r="Q24" i="347" a="1"/>
  <c r="Q24" i="347" s="1"/>
  <c r="P24" i="347" a="1"/>
  <c r="P24" i="347" s="1"/>
  <c r="N24" i="347" a="1"/>
  <c r="N24" i="347" s="1"/>
  <c r="M24" i="347" a="1"/>
  <c r="M24" i="347" s="1"/>
  <c r="L24" i="347" a="1"/>
  <c r="L24" i="347" s="1"/>
  <c r="K24" i="347" a="1"/>
  <c r="K24" i="347" s="1"/>
  <c r="I24" i="347" a="1"/>
  <c r="I24" i="347" s="1"/>
  <c r="H24" i="347" a="1"/>
  <c r="H24" i="347" s="1"/>
  <c r="G24" i="347" a="1"/>
  <c r="G24" i="347" s="1"/>
  <c r="F24" i="347" a="1"/>
  <c r="F24" i="347" s="1"/>
  <c r="E24" i="347" a="1"/>
  <c r="E24" i="347" s="1"/>
  <c r="C24" i="347"/>
  <c r="T23" i="347" a="1"/>
  <c r="T23" i="347" s="1"/>
  <c r="S23" i="347" a="1"/>
  <c r="S23" i="347" s="1"/>
  <c r="R23" i="347" a="1"/>
  <c r="R23" i="347" s="1"/>
  <c r="Q23" i="347" a="1"/>
  <c r="Q23" i="347" s="1"/>
  <c r="P23" i="347" a="1"/>
  <c r="P23" i="347" s="1"/>
  <c r="N23" i="347" a="1"/>
  <c r="N23" i="347" s="1"/>
  <c r="M23" i="347" a="1"/>
  <c r="M23" i="347" s="1"/>
  <c r="L23" i="347" a="1"/>
  <c r="L23" i="347" s="1"/>
  <c r="K23" i="347" a="1"/>
  <c r="K23" i="347" s="1"/>
  <c r="I23" i="347" a="1"/>
  <c r="I23" i="347" s="1"/>
  <c r="H23" i="347" a="1"/>
  <c r="H23" i="347" s="1"/>
  <c r="G23" i="347" a="1"/>
  <c r="G23" i="347" s="1"/>
  <c r="F23" i="347" a="1"/>
  <c r="F23" i="347" s="1"/>
  <c r="E23" i="347" a="1"/>
  <c r="E23" i="347" s="1"/>
  <c r="C23" i="347"/>
  <c r="T22" i="347" a="1"/>
  <c r="T22" i="347" s="1"/>
  <c r="S22" i="347" a="1"/>
  <c r="S22" i="347" s="1"/>
  <c r="R22" i="347" a="1"/>
  <c r="R22" i="347" s="1"/>
  <c r="Q22" i="347" a="1"/>
  <c r="Q22" i="347" s="1"/>
  <c r="P22" i="347" a="1"/>
  <c r="P22" i="347" s="1"/>
  <c r="N22" i="347" a="1"/>
  <c r="N22" i="347" s="1"/>
  <c r="M22" i="347" a="1"/>
  <c r="M22" i="347" s="1"/>
  <c r="L22" i="347" a="1"/>
  <c r="L22" i="347" s="1"/>
  <c r="K22" i="347" a="1"/>
  <c r="K22" i="347" s="1"/>
  <c r="I22" i="347" a="1"/>
  <c r="I22" i="347" s="1"/>
  <c r="H22" i="347" a="1"/>
  <c r="H22" i="347" s="1"/>
  <c r="G22" i="347" a="1"/>
  <c r="G22" i="347" s="1"/>
  <c r="F22" i="347" a="1"/>
  <c r="F22" i="347" s="1"/>
  <c r="E22" i="347" a="1"/>
  <c r="E22" i="347" s="1"/>
  <c r="C22" i="347"/>
  <c r="T21" i="347" a="1"/>
  <c r="T21" i="347" s="1"/>
  <c r="S21" i="347" a="1"/>
  <c r="S21" i="347" s="1"/>
  <c r="R21" i="347" a="1"/>
  <c r="R21" i="347" s="1"/>
  <c r="Q21" i="347" a="1"/>
  <c r="Q21" i="347" s="1"/>
  <c r="P21" i="347" a="1"/>
  <c r="P21" i="347" s="1"/>
  <c r="N21" i="347" a="1"/>
  <c r="N21" i="347" s="1"/>
  <c r="M21" i="347" a="1"/>
  <c r="M21" i="347" s="1"/>
  <c r="L21" i="347" a="1"/>
  <c r="L21" i="347" s="1"/>
  <c r="K21" i="347" a="1"/>
  <c r="K21" i="347" s="1"/>
  <c r="I21" i="347" a="1"/>
  <c r="I21" i="347" s="1"/>
  <c r="H21" i="347" a="1"/>
  <c r="H21" i="347" s="1"/>
  <c r="G21" i="347" a="1"/>
  <c r="G21" i="347" s="1"/>
  <c r="F21" i="347" a="1"/>
  <c r="F21" i="347" s="1"/>
  <c r="E21" i="347" a="1"/>
  <c r="E21" i="347" s="1"/>
  <c r="C21" i="347"/>
  <c r="T20" i="347" a="1"/>
  <c r="T20" i="347" s="1"/>
  <c r="S20" i="347" a="1"/>
  <c r="S20" i="347" s="1"/>
  <c r="R20" i="347" a="1"/>
  <c r="R20" i="347" s="1"/>
  <c r="Q20" i="347" a="1"/>
  <c r="Q20" i="347" s="1"/>
  <c r="P20" i="347" a="1"/>
  <c r="P20" i="347" s="1"/>
  <c r="N20" i="347" a="1"/>
  <c r="N20" i="347" s="1"/>
  <c r="M20" i="347" a="1"/>
  <c r="M20" i="347" s="1"/>
  <c r="L20" i="347" a="1"/>
  <c r="L20" i="347" s="1"/>
  <c r="K20" i="347" a="1"/>
  <c r="K20" i="347" s="1"/>
  <c r="I20" i="347" a="1"/>
  <c r="I20" i="347" s="1"/>
  <c r="H20" i="347" a="1"/>
  <c r="H20" i="347" s="1"/>
  <c r="G20" i="347" a="1"/>
  <c r="G20" i="347" s="1"/>
  <c r="F20" i="347" a="1"/>
  <c r="F20" i="347" s="1"/>
  <c r="E20" i="347" a="1"/>
  <c r="E20" i="347" s="1"/>
  <c r="C20" i="347"/>
  <c r="T19" i="347" a="1"/>
  <c r="T19" i="347" s="1"/>
  <c r="S19" i="347" a="1"/>
  <c r="S19" i="347" s="1"/>
  <c r="R19" i="347" a="1"/>
  <c r="R19" i="347" s="1"/>
  <c r="Q19" i="347" a="1"/>
  <c r="Q19" i="347" s="1"/>
  <c r="P19" i="347" a="1"/>
  <c r="P19" i="347" s="1"/>
  <c r="N19" i="347" a="1"/>
  <c r="N19" i="347" s="1"/>
  <c r="M19" i="347" a="1"/>
  <c r="M19" i="347" s="1"/>
  <c r="L19" i="347" a="1"/>
  <c r="L19" i="347" s="1"/>
  <c r="K19" i="347" a="1"/>
  <c r="K19" i="347" s="1"/>
  <c r="I19" i="347" a="1"/>
  <c r="I19" i="347" s="1"/>
  <c r="H19" i="347" a="1"/>
  <c r="H19" i="347" s="1"/>
  <c r="G19" i="347" a="1"/>
  <c r="G19" i="347" s="1"/>
  <c r="F19" i="347" a="1"/>
  <c r="F19" i="347" s="1"/>
  <c r="E19" i="347" a="1"/>
  <c r="E19" i="347" s="1"/>
  <c r="C19" i="347"/>
  <c r="T18" i="347" a="1"/>
  <c r="T18" i="347" s="1"/>
  <c r="S18" i="347" a="1"/>
  <c r="S18" i="347" s="1"/>
  <c r="R18" i="347" a="1"/>
  <c r="R18" i="347" s="1"/>
  <c r="Q18" i="347" a="1"/>
  <c r="Q18" i="347" s="1"/>
  <c r="P18" i="347" a="1"/>
  <c r="P18" i="347" s="1"/>
  <c r="N18" i="347" a="1"/>
  <c r="N18" i="347" s="1"/>
  <c r="M18" i="347" a="1"/>
  <c r="M18" i="347" s="1"/>
  <c r="L18" i="347" a="1"/>
  <c r="L18" i="347" s="1"/>
  <c r="K18" i="347" a="1"/>
  <c r="K18" i="347" s="1"/>
  <c r="I18" i="347" a="1"/>
  <c r="I18" i="347" s="1"/>
  <c r="H18" i="347" a="1"/>
  <c r="H18" i="347" s="1"/>
  <c r="G18" i="347" a="1"/>
  <c r="G18" i="347" s="1"/>
  <c r="F18" i="347" a="1"/>
  <c r="F18" i="347" s="1"/>
  <c r="E18" i="347" a="1"/>
  <c r="E18" i="347" s="1"/>
  <c r="C18" i="347"/>
  <c r="T17" i="347" a="1"/>
  <c r="T17" i="347" s="1"/>
  <c r="S17" i="347" a="1"/>
  <c r="S17" i="347" s="1"/>
  <c r="R17" i="347" a="1"/>
  <c r="R17" i="347" s="1"/>
  <c r="Q17" i="347" a="1"/>
  <c r="Q17" i="347" s="1"/>
  <c r="P17" i="347" a="1"/>
  <c r="P17" i="347" s="1"/>
  <c r="N17" i="347" a="1"/>
  <c r="N17" i="347" s="1"/>
  <c r="M17" i="347" a="1"/>
  <c r="M17" i="347" s="1"/>
  <c r="L17" i="347" a="1"/>
  <c r="L17" i="347" s="1"/>
  <c r="K17" i="347" a="1"/>
  <c r="K17" i="347" s="1"/>
  <c r="I17" i="347" a="1"/>
  <c r="I17" i="347" s="1"/>
  <c r="H17" i="347" a="1"/>
  <c r="H17" i="347" s="1"/>
  <c r="G17" i="347" a="1"/>
  <c r="G17" i="347" s="1"/>
  <c r="F17" i="347" a="1"/>
  <c r="F17" i="347" s="1"/>
  <c r="E17" i="347" a="1"/>
  <c r="E17" i="347" s="1"/>
  <c r="C17" i="347"/>
  <c r="T16" i="347" a="1"/>
  <c r="T16" i="347" s="1"/>
  <c r="S16" i="347" a="1"/>
  <c r="S16" i="347" s="1"/>
  <c r="R16" i="347" a="1"/>
  <c r="R16" i="347" s="1"/>
  <c r="Q16" i="347" a="1"/>
  <c r="Q16" i="347" s="1"/>
  <c r="P16" i="347" a="1"/>
  <c r="P16" i="347" s="1"/>
  <c r="N16" i="347" a="1"/>
  <c r="N16" i="347" s="1"/>
  <c r="M16" i="347" a="1"/>
  <c r="M16" i="347" s="1"/>
  <c r="L16" i="347" a="1"/>
  <c r="L16" i="347" s="1"/>
  <c r="K16" i="347" a="1"/>
  <c r="K16" i="347" s="1"/>
  <c r="I16" i="347" a="1"/>
  <c r="I16" i="347" s="1"/>
  <c r="H16" i="347" a="1"/>
  <c r="H16" i="347" s="1"/>
  <c r="G16" i="347" a="1"/>
  <c r="G16" i="347" s="1"/>
  <c r="F16" i="347" a="1"/>
  <c r="F16" i="347" s="1"/>
  <c r="E16" i="347" a="1"/>
  <c r="E16" i="347" s="1"/>
  <c r="C16" i="347"/>
  <c r="T15" i="347" a="1"/>
  <c r="T15" i="347" s="1"/>
  <c r="S15" i="347" a="1"/>
  <c r="S15" i="347" s="1"/>
  <c r="R15" i="347" a="1"/>
  <c r="R15" i="347" s="1"/>
  <c r="Q15" i="347" a="1"/>
  <c r="Q15" i="347" s="1"/>
  <c r="P15" i="347" a="1"/>
  <c r="P15" i="347" s="1"/>
  <c r="N15" i="347" a="1"/>
  <c r="N15" i="347" s="1"/>
  <c r="M15" i="347" a="1"/>
  <c r="M15" i="347" s="1"/>
  <c r="L15" i="347" a="1"/>
  <c r="L15" i="347" s="1"/>
  <c r="K15" i="347" a="1"/>
  <c r="K15" i="347" s="1"/>
  <c r="I15" i="347" a="1"/>
  <c r="I15" i="347" s="1"/>
  <c r="H15" i="347" a="1"/>
  <c r="H15" i="347" s="1"/>
  <c r="G15" i="347" a="1"/>
  <c r="G15" i="347" s="1"/>
  <c r="F15" i="347" a="1"/>
  <c r="F15" i="347" s="1"/>
  <c r="E15" i="347" a="1"/>
  <c r="E15" i="347" s="1"/>
  <c r="C15" i="347"/>
  <c r="T14" i="347" a="1"/>
  <c r="T14" i="347" s="1"/>
  <c r="S14" i="347" a="1"/>
  <c r="S14" i="347" s="1"/>
  <c r="R14" i="347" a="1"/>
  <c r="R14" i="347" s="1"/>
  <c r="Q14" i="347" a="1"/>
  <c r="Q14" i="347" s="1"/>
  <c r="P14" i="347" a="1"/>
  <c r="P14" i="347" s="1"/>
  <c r="N14" i="347" a="1"/>
  <c r="N14" i="347" s="1"/>
  <c r="M14" i="347" a="1"/>
  <c r="M14" i="347" s="1"/>
  <c r="L14" i="347" a="1"/>
  <c r="L14" i="347" s="1"/>
  <c r="K14" i="347" a="1"/>
  <c r="K14" i="347" s="1"/>
  <c r="I14" i="347" a="1"/>
  <c r="I14" i="347" s="1"/>
  <c r="H14" i="347" a="1"/>
  <c r="H14" i="347" s="1"/>
  <c r="G14" i="347" a="1"/>
  <c r="G14" i="347" s="1"/>
  <c r="F14" i="347" a="1"/>
  <c r="F14" i="347" s="1"/>
  <c r="E14" i="347" a="1"/>
  <c r="E14" i="347" s="1"/>
  <c r="C14" i="347"/>
  <c r="T13" i="347" a="1"/>
  <c r="T13" i="347" s="1"/>
  <c r="S13" i="347" a="1"/>
  <c r="S13" i="347" s="1"/>
  <c r="R13" i="347" a="1"/>
  <c r="R13" i="347" s="1"/>
  <c r="Q13" i="347" a="1"/>
  <c r="Q13" i="347" s="1"/>
  <c r="P13" i="347" a="1"/>
  <c r="P13" i="347" s="1"/>
  <c r="N13" i="347" a="1"/>
  <c r="N13" i="347" s="1"/>
  <c r="M13" i="347" a="1"/>
  <c r="M13" i="347" s="1"/>
  <c r="L13" i="347" a="1"/>
  <c r="L13" i="347" s="1"/>
  <c r="K13" i="347" a="1"/>
  <c r="K13" i="347" s="1"/>
  <c r="I13" i="347" a="1"/>
  <c r="I13" i="347" s="1"/>
  <c r="H13" i="347" a="1"/>
  <c r="H13" i="347" s="1"/>
  <c r="G13" i="347" a="1"/>
  <c r="G13" i="347" s="1"/>
  <c r="F13" i="347" a="1"/>
  <c r="F13" i="347" s="1"/>
  <c r="E13" i="347" a="1"/>
  <c r="E13" i="347" s="1"/>
  <c r="C13" i="347"/>
  <c r="T12" i="347" a="1"/>
  <c r="T12" i="347" s="1"/>
  <c r="S12" i="347" a="1"/>
  <c r="S12" i="347" s="1"/>
  <c r="R12" i="347" a="1"/>
  <c r="R12" i="347" s="1"/>
  <c r="Q12" i="347" a="1"/>
  <c r="Q12" i="347" s="1"/>
  <c r="P12" i="347" a="1"/>
  <c r="P12" i="347" s="1"/>
  <c r="N12" i="347" a="1"/>
  <c r="N12" i="347" s="1"/>
  <c r="M12" i="347" a="1"/>
  <c r="M12" i="347" s="1"/>
  <c r="L12" i="347" a="1"/>
  <c r="L12" i="347" s="1"/>
  <c r="K12" i="347" a="1"/>
  <c r="K12" i="347" s="1"/>
  <c r="I12" i="347" a="1"/>
  <c r="I12" i="347" s="1"/>
  <c r="H12" i="347" a="1"/>
  <c r="H12" i="347" s="1"/>
  <c r="G12" i="347" a="1"/>
  <c r="G12" i="347" s="1"/>
  <c r="F12" i="347" a="1"/>
  <c r="F12" i="347" s="1"/>
  <c r="E12" i="347" a="1"/>
  <c r="E12" i="347" s="1"/>
  <c r="C12" i="347"/>
  <c r="T11" i="347" a="1"/>
  <c r="T11" i="347" s="1"/>
  <c r="S11" i="347" a="1"/>
  <c r="S11" i="347" s="1"/>
  <c r="R11" i="347" a="1"/>
  <c r="R11" i="347" s="1"/>
  <c r="Q11" i="347" a="1"/>
  <c r="Q11" i="347" s="1"/>
  <c r="P11" i="347" a="1"/>
  <c r="P11" i="347" s="1"/>
  <c r="N11" i="347" a="1"/>
  <c r="N11" i="347" s="1"/>
  <c r="M11" i="347" a="1"/>
  <c r="M11" i="347" s="1"/>
  <c r="L11" i="347" a="1"/>
  <c r="L11" i="347" s="1"/>
  <c r="K11" i="347" a="1"/>
  <c r="K11" i="347" s="1"/>
  <c r="I11" i="347" a="1"/>
  <c r="I11" i="347" s="1"/>
  <c r="H11" i="347" a="1"/>
  <c r="H11" i="347" s="1"/>
  <c r="G11" i="347" a="1"/>
  <c r="G11" i="347" s="1"/>
  <c r="F11" i="347" a="1"/>
  <c r="F11" i="347" s="1"/>
  <c r="E11" i="347" a="1"/>
  <c r="E11" i="347" s="1"/>
  <c r="C11" i="347"/>
  <c r="T10" i="347" a="1"/>
  <c r="T10" i="347" s="1"/>
  <c r="S10" i="347" a="1"/>
  <c r="S10" i="347" s="1"/>
  <c r="R10" i="347" a="1"/>
  <c r="R10" i="347" s="1"/>
  <c r="Q10" i="347" a="1"/>
  <c r="Q10" i="347" s="1"/>
  <c r="P10" i="347" a="1"/>
  <c r="P10" i="347" s="1"/>
  <c r="N10" i="347" a="1"/>
  <c r="N10" i="347" s="1"/>
  <c r="M10" i="347" a="1"/>
  <c r="M10" i="347" s="1"/>
  <c r="L10" i="347" a="1"/>
  <c r="L10" i="347" s="1"/>
  <c r="K10" i="347" a="1"/>
  <c r="K10" i="347" s="1"/>
  <c r="I10" i="347" a="1"/>
  <c r="I10" i="347" s="1"/>
  <c r="H10" i="347" a="1"/>
  <c r="H10" i="347" s="1"/>
  <c r="G10" i="347" a="1"/>
  <c r="G10" i="347" s="1"/>
  <c r="F10" i="347" a="1"/>
  <c r="F10" i="347" s="1"/>
  <c r="E10" i="347" a="1"/>
  <c r="E10" i="347" s="1"/>
  <c r="C10" i="347"/>
  <c r="A10" i="347"/>
  <c r="A11" i="347" s="1"/>
  <c r="A12" i="347" s="1"/>
  <c r="A13" i="347" s="1"/>
  <c r="A14" i="347"/>
  <c r="A15" i="347" s="1"/>
  <c r="A16" i="347" s="1"/>
  <c r="A17" i="347" s="1"/>
  <c r="A18" i="347" s="1"/>
  <c r="A19" i="347" s="1"/>
  <c r="A20" i="347" s="1"/>
  <c r="A21" i="347" s="1"/>
  <c r="A22" i="347" s="1"/>
  <c r="A23" i="347" s="1"/>
  <c r="A24" i="347" s="1"/>
  <c r="A25" i="347" s="1"/>
  <c r="A26" i="347" s="1"/>
  <c r="A27" i="347" s="1"/>
  <c r="A28" i="347" s="1"/>
  <c r="A29" i="347" s="1"/>
  <c r="A30" i="347" s="1"/>
  <c r="A31" i="347" s="1"/>
  <c r="A32" i="347" s="1"/>
  <c r="A33" i="347" s="1"/>
  <c r="A34" i="347" s="1"/>
  <c r="A35" i="347" s="1"/>
  <c r="T9" i="347" a="1"/>
  <c r="T9" i="347" s="1"/>
  <c r="S9" i="347" a="1"/>
  <c r="S9" i="347" s="1"/>
  <c r="R9" i="347" a="1"/>
  <c r="R9" i="347" s="1"/>
  <c r="Q9" i="347" a="1"/>
  <c r="Q9" i="347" s="1"/>
  <c r="P9" i="347" a="1"/>
  <c r="P9" i="347" s="1"/>
  <c r="N9" i="347" a="1"/>
  <c r="N9" i="347" s="1"/>
  <c r="M9" i="347" a="1"/>
  <c r="M9" i="347" s="1"/>
  <c r="L9" i="347" a="1"/>
  <c r="L9" i="347" s="1"/>
  <c r="K9" i="347" a="1"/>
  <c r="K9" i="347" s="1"/>
  <c r="I9" i="347" a="1"/>
  <c r="I9" i="347" s="1"/>
  <c r="H9" i="347" a="1"/>
  <c r="H9" i="347" s="1"/>
  <c r="G9" i="347" a="1"/>
  <c r="G9" i="347" s="1"/>
  <c r="F9" i="347" a="1"/>
  <c r="F9" i="347" s="1"/>
  <c r="E9" i="347" a="1"/>
  <c r="E9" i="347" s="1"/>
  <c r="C9" i="347"/>
  <c r="A4" i="347"/>
  <c r="C120" i="410"/>
  <c r="E119" i="410"/>
  <c r="D117" i="410" a="1"/>
  <c r="D117" i="410" s="1"/>
  <c r="D116" i="410" a="1"/>
  <c r="D116" i="410" s="1"/>
  <c r="D115" i="410" a="1"/>
  <c r="D115" i="410" s="1"/>
  <c r="D114" i="410" a="1"/>
  <c r="D114" i="410" s="1"/>
  <c r="D113" i="410" a="1"/>
  <c r="D113" i="410" s="1"/>
  <c r="D112" i="410" a="1"/>
  <c r="D112" i="410" s="1"/>
  <c r="D111" i="410" a="1"/>
  <c r="D111" i="410" s="1"/>
  <c r="D110" i="410" a="1"/>
  <c r="D110" i="410" s="1"/>
  <c r="D109" i="410" a="1"/>
  <c r="D109" i="410" s="1"/>
  <c r="D108" i="410" a="1"/>
  <c r="D108" i="410" s="1"/>
  <c r="D107" i="410" a="1"/>
  <c r="D107" i="410" s="1"/>
  <c r="D106" i="410" a="1"/>
  <c r="D106" i="410" s="1"/>
  <c r="D103" i="410" a="1"/>
  <c r="D103" i="410" s="1"/>
  <c r="D101" i="410"/>
  <c r="D100" i="410" a="1"/>
  <c r="D100" i="410" s="1"/>
  <c r="D99" i="410" a="1"/>
  <c r="D99" i="410" s="1"/>
  <c r="D97" i="410" a="1"/>
  <c r="D97" i="410" s="1"/>
  <c r="D96" i="410" a="1"/>
  <c r="D96" i="410" s="1"/>
  <c r="D95" i="410" a="1"/>
  <c r="D95" i="410" s="1"/>
  <c r="D94" i="410" a="1"/>
  <c r="D94" i="410" s="1"/>
  <c r="D93" i="410" a="1"/>
  <c r="D93" i="410" s="1"/>
  <c r="D92" i="410" a="1"/>
  <c r="D92" i="410" s="1"/>
  <c r="D91" i="410" a="1"/>
  <c r="D91" i="410" s="1"/>
  <c r="D90" i="410" a="1"/>
  <c r="D90" i="410" s="1"/>
  <c r="D89" i="410" a="1"/>
  <c r="D89" i="410" s="1"/>
  <c r="D88" i="410" a="1"/>
  <c r="D88" i="410" s="1"/>
  <c r="D86" i="410" a="1"/>
  <c r="D86" i="410" s="1"/>
  <c r="D85" i="410" a="1"/>
  <c r="D85" i="410" s="1"/>
  <c r="D84" i="410" a="1"/>
  <c r="D84" i="410" s="1"/>
  <c r="D83" i="410" a="1"/>
  <c r="D83" i="410" s="1"/>
  <c r="D82" i="410" a="1"/>
  <c r="D82" i="410" s="1"/>
  <c r="D81" i="410" a="1"/>
  <c r="D81" i="410" s="1"/>
  <c r="D80" i="410" a="1"/>
  <c r="D80" i="410" s="1"/>
  <c r="D79" i="410" a="1"/>
  <c r="D79" i="410" s="1"/>
  <c r="D77" i="410" a="1"/>
  <c r="D77" i="410" s="1"/>
  <c r="D76" i="410" a="1"/>
  <c r="D76" i="410" s="1"/>
  <c r="D75" i="410" a="1"/>
  <c r="D75" i="410" s="1"/>
  <c r="D74" i="410" a="1"/>
  <c r="D74" i="410" s="1"/>
  <c r="D73" i="410" a="1"/>
  <c r="D73" i="410" s="1"/>
  <c r="D72" i="410" a="1"/>
  <c r="D72" i="410" s="1"/>
  <c r="D71" i="410" a="1"/>
  <c r="D71" i="410" s="1"/>
  <c r="D70" i="410" a="1"/>
  <c r="D70" i="410" s="1"/>
  <c r="D69" i="410" a="1"/>
  <c r="D69" i="410" s="1"/>
  <c r="D68" i="410" a="1"/>
  <c r="D68" i="410" s="1"/>
  <c r="D67" i="410" a="1"/>
  <c r="D67" i="410" s="1"/>
  <c r="D65" i="410" a="1"/>
  <c r="D65" i="410" s="1"/>
  <c r="D64" i="410" a="1"/>
  <c r="D64" i="410" s="1"/>
  <c r="D62" i="410" a="1"/>
  <c r="D62" i="410" s="1"/>
  <c r="D59" i="410" a="1"/>
  <c r="D59" i="410" s="1"/>
  <c r="D58" i="410" a="1"/>
  <c r="D58" i="410" s="1"/>
  <c r="D57" i="410" a="1"/>
  <c r="D57" i="410" s="1"/>
  <c r="D56" i="410" a="1"/>
  <c r="D56" i="410" s="1"/>
  <c r="D55" i="410" a="1"/>
  <c r="D55" i="410" s="1"/>
  <c r="D54" i="410" a="1"/>
  <c r="D54" i="410" s="1"/>
  <c r="D53" i="410" a="1"/>
  <c r="D53" i="410" s="1"/>
  <c r="D51" i="410" a="1"/>
  <c r="D51" i="410" s="1"/>
  <c r="D50" i="410" a="1"/>
  <c r="D50" i="410" s="1"/>
  <c r="D46" i="410" a="1"/>
  <c r="D46" i="410" s="1"/>
  <c r="D45" i="410" a="1"/>
  <c r="D45" i="410" s="1"/>
  <c r="D44" i="410" a="1"/>
  <c r="D44" i="410" s="1"/>
  <c r="D43" i="410" a="1"/>
  <c r="D43" i="410" s="1"/>
  <c r="D41" i="410" a="1"/>
  <c r="D41" i="410" s="1"/>
  <c r="D40" i="410" a="1"/>
  <c r="D40" i="410" s="1"/>
  <c r="D39" i="410" a="1"/>
  <c r="D39" i="410" s="1"/>
  <c r="D38" i="410" a="1"/>
  <c r="D38" i="410" s="1"/>
  <c r="D36" i="410" a="1"/>
  <c r="D36" i="410" s="1"/>
  <c r="D35" i="410" a="1"/>
  <c r="D35" i="410" s="1"/>
  <c r="D34" i="410" a="1"/>
  <c r="D34" i="410" s="1"/>
  <c r="D32" i="410" a="1"/>
  <c r="D32" i="410" s="1"/>
  <c r="D31" i="410" a="1"/>
  <c r="D31" i="410" s="1"/>
  <c r="D30" i="410" a="1"/>
  <c r="D30" i="410" s="1"/>
  <c r="D29" i="410" a="1"/>
  <c r="D29" i="410" s="1"/>
  <c r="D28" i="410" a="1"/>
  <c r="D28" i="410" s="1"/>
  <c r="D27" i="410" a="1"/>
  <c r="D27" i="410" s="1"/>
  <c r="D26" i="410" a="1"/>
  <c r="D26" i="410" s="1"/>
  <c r="D25" i="410" a="1"/>
  <c r="D25" i="410" s="1"/>
  <c r="D24" i="410" a="1"/>
  <c r="D24" i="410" s="1"/>
  <c r="D23" i="410" a="1"/>
  <c r="D23" i="410" s="1"/>
  <c r="D22" i="410" a="1"/>
  <c r="D22" i="410" s="1"/>
  <c r="D21" i="410" a="1"/>
  <c r="D21" i="410" s="1"/>
  <c r="D20" i="410" a="1"/>
  <c r="D20" i="410" s="1"/>
  <c r="D19" i="410" a="1"/>
  <c r="D19" i="410" s="1"/>
  <c r="D16" i="410" a="1"/>
  <c r="D16" i="410" s="1"/>
  <c r="D15" i="410" a="1"/>
  <c r="D15" i="410" s="1"/>
  <c r="C120" i="411"/>
  <c r="E119" i="411"/>
  <c r="D117" i="411" a="1"/>
  <c r="D117" i="411" s="1"/>
  <c r="D116" i="411" a="1"/>
  <c r="D116" i="411" s="1"/>
  <c r="D115" i="411" a="1"/>
  <c r="D115" i="411" s="1"/>
  <c r="D114" i="411" a="1"/>
  <c r="D114" i="411" s="1"/>
  <c r="D113" i="411" a="1"/>
  <c r="D113" i="411" s="1"/>
  <c r="D112" i="411" a="1"/>
  <c r="D112" i="411" s="1"/>
  <c r="D111" i="411" a="1"/>
  <c r="D111" i="411" s="1"/>
  <c r="D110" i="411" a="1"/>
  <c r="D110" i="411" s="1"/>
  <c r="D109" i="411" a="1"/>
  <c r="D109" i="411" s="1"/>
  <c r="D108" i="411" a="1"/>
  <c r="D108" i="411" s="1"/>
  <c r="D107" i="411" a="1"/>
  <c r="D107" i="411" s="1"/>
  <c r="D106" i="411" a="1"/>
  <c r="D106" i="411" s="1"/>
  <c r="D103" i="411" a="1"/>
  <c r="D103" i="411" s="1"/>
  <c r="D101" i="411"/>
  <c r="D100" i="411" a="1"/>
  <c r="D100" i="411" s="1"/>
  <c r="D99" i="411" a="1"/>
  <c r="D99" i="411" s="1"/>
  <c r="D97" i="411" a="1"/>
  <c r="D97" i="411" s="1"/>
  <c r="D96" i="411" a="1"/>
  <c r="D96" i="411" s="1"/>
  <c r="D95" i="411" a="1"/>
  <c r="D95" i="411" s="1"/>
  <c r="D94" i="411" a="1"/>
  <c r="D94" i="411" s="1"/>
  <c r="D93" i="411" a="1"/>
  <c r="D93" i="411" s="1"/>
  <c r="D92" i="411" a="1"/>
  <c r="D92" i="411" s="1"/>
  <c r="D91" i="411" a="1"/>
  <c r="D91" i="411" s="1"/>
  <c r="D90" i="411" a="1"/>
  <c r="D90" i="411" s="1"/>
  <c r="D89" i="411" a="1"/>
  <c r="D89" i="411" s="1"/>
  <c r="D88" i="411" a="1"/>
  <c r="D88" i="411" s="1"/>
  <c r="D86" i="411" a="1"/>
  <c r="D86" i="411" s="1"/>
  <c r="D85" i="411" a="1"/>
  <c r="D85" i="411" s="1"/>
  <c r="D84" i="411" a="1"/>
  <c r="D84" i="411" s="1"/>
  <c r="D83" i="411" a="1"/>
  <c r="D83" i="411" s="1"/>
  <c r="D82" i="411" a="1"/>
  <c r="D82" i="411" s="1"/>
  <c r="D81" i="411" a="1"/>
  <c r="D81" i="411" s="1"/>
  <c r="D80" i="411" a="1"/>
  <c r="D80" i="411" s="1"/>
  <c r="D79" i="411" a="1"/>
  <c r="D79" i="411" s="1"/>
  <c r="D77" i="411" a="1"/>
  <c r="D77" i="411" s="1"/>
  <c r="D76" i="411" a="1"/>
  <c r="D76" i="411" s="1"/>
  <c r="D75" i="411" a="1"/>
  <c r="D75" i="411" s="1"/>
  <c r="D74" i="411" a="1"/>
  <c r="D74" i="411" s="1"/>
  <c r="D73" i="411" a="1"/>
  <c r="D73" i="411" s="1"/>
  <c r="D72" i="411" a="1"/>
  <c r="D72" i="411" s="1"/>
  <c r="D71" i="411" a="1"/>
  <c r="D71" i="411" s="1"/>
  <c r="D70" i="411" a="1"/>
  <c r="D70" i="411" s="1"/>
  <c r="D69" i="411" a="1"/>
  <c r="D69" i="411" s="1"/>
  <c r="D68" i="411" a="1"/>
  <c r="D68" i="411" s="1"/>
  <c r="D67" i="411" a="1"/>
  <c r="D67" i="411" s="1"/>
  <c r="D65" i="411" a="1"/>
  <c r="D65" i="411" s="1"/>
  <c r="D64" i="411" a="1"/>
  <c r="D64" i="411" s="1"/>
  <c r="D62" i="411" a="1"/>
  <c r="D62" i="411" s="1"/>
  <c r="D59" i="411" a="1"/>
  <c r="D59" i="411" s="1"/>
  <c r="D58" i="411" a="1"/>
  <c r="D58" i="411" s="1"/>
  <c r="D57" i="411" a="1"/>
  <c r="D57" i="411" s="1"/>
  <c r="D56" i="411" a="1"/>
  <c r="D56" i="411" s="1"/>
  <c r="D55" i="411" a="1"/>
  <c r="D55" i="411" s="1"/>
  <c r="D54" i="411" a="1"/>
  <c r="D54" i="411" s="1"/>
  <c r="D53" i="411" a="1"/>
  <c r="D53" i="411" s="1"/>
  <c r="D51" i="411" a="1"/>
  <c r="D51" i="411" s="1"/>
  <c r="D50" i="411" a="1"/>
  <c r="D50" i="411" s="1"/>
  <c r="D46" i="411" a="1"/>
  <c r="D46" i="411" s="1"/>
  <c r="D45" i="411" a="1"/>
  <c r="D45" i="411" s="1"/>
  <c r="D44" i="411" a="1"/>
  <c r="D44" i="411" s="1"/>
  <c r="D43" i="411" a="1"/>
  <c r="D43" i="411" s="1"/>
  <c r="D41" i="411" a="1"/>
  <c r="D41" i="411" s="1"/>
  <c r="D40" i="411" a="1"/>
  <c r="D40" i="411" s="1"/>
  <c r="D39" i="411" a="1"/>
  <c r="D39" i="411" s="1"/>
  <c r="D38" i="411" a="1"/>
  <c r="D38" i="411" s="1"/>
  <c r="D36" i="411" a="1"/>
  <c r="D36" i="411" s="1"/>
  <c r="D35" i="411" a="1"/>
  <c r="D35" i="411" s="1"/>
  <c r="D34" i="411" a="1"/>
  <c r="D34" i="411" s="1"/>
  <c r="D32" i="411" a="1"/>
  <c r="D32" i="411" s="1"/>
  <c r="D31" i="411" a="1"/>
  <c r="D31" i="411" s="1"/>
  <c r="D30" i="411" a="1"/>
  <c r="D30" i="411" s="1"/>
  <c r="D29" i="411" a="1"/>
  <c r="D29" i="411" s="1"/>
  <c r="D28" i="411" a="1"/>
  <c r="D28" i="411" s="1"/>
  <c r="D27" i="411" a="1"/>
  <c r="D27" i="411" s="1"/>
  <c r="D26" i="411" a="1"/>
  <c r="D26" i="411" s="1"/>
  <c r="D25" i="411" a="1"/>
  <c r="D25" i="411" s="1"/>
  <c r="D24" i="411" a="1"/>
  <c r="D24" i="411" s="1"/>
  <c r="D23" i="411" a="1"/>
  <c r="D23" i="411" s="1"/>
  <c r="D22" i="411" a="1"/>
  <c r="D22" i="411" s="1"/>
  <c r="D21" i="411" a="1"/>
  <c r="D21" i="411" s="1"/>
  <c r="D20" i="411" a="1"/>
  <c r="D20" i="411" s="1"/>
  <c r="D19" i="411" a="1"/>
  <c r="D19" i="411" s="1"/>
  <c r="D16" i="411" a="1"/>
  <c r="D16" i="411" s="1"/>
  <c r="D15" i="411" a="1"/>
  <c r="D15" i="411" s="1"/>
  <c r="C120" i="406"/>
  <c r="E119" i="406"/>
  <c r="D117" i="406" a="1"/>
  <c r="D117" i="406" s="1"/>
  <c r="D116" i="406" a="1"/>
  <c r="D116" i="406" s="1"/>
  <c r="D115" i="406" a="1"/>
  <c r="D115" i="406" s="1"/>
  <c r="D114" i="406" a="1"/>
  <c r="D114" i="406" s="1"/>
  <c r="D113" i="406" a="1"/>
  <c r="D113" i="406" s="1"/>
  <c r="D112" i="406" a="1"/>
  <c r="D112" i="406" s="1"/>
  <c r="D111" i="406" a="1"/>
  <c r="D111" i="406" s="1"/>
  <c r="D110" i="406" a="1"/>
  <c r="D110" i="406" s="1"/>
  <c r="D109" i="406" a="1"/>
  <c r="D109" i="406" s="1"/>
  <c r="D108" i="406" a="1"/>
  <c r="D108" i="406" s="1"/>
  <c r="D107" i="406" a="1"/>
  <c r="D107" i="406" s="1"/>
  <c r="D106" i="406" a="1"/>
  <c r="D106" i="406" s="1"/>
  <c r="D103" i="406" a="1"/>
  <c r="D103" i="406" s="1"/>
  <c r="D101" i="406" a="1"/>
  <c r="D101" i="406" s="1"/>
  <c r="D100" i="406" a="1"/>
  <c r="D100" i="406" s="1"/>
  <c r="D99" i="406" a="1"/>
  <c r="D99" i="406" s="1"/>
  <c r="D97" i="406" a="1"/>
  <c r="D97" i="406" s="1"/>
  <c r="D96" i="406" a="1"/>
  <c r="D96" i="406" s="1"/>
  <c r="D95" i="406" a="1"/>
  <c r="D95" i="406" s="1"/>
  <c r="D94" i="406" a="1"/>
  <c r="D94" i="406" s="1"/>
  <c r="D93" i="406" a="1"/>
  <c r="D93" i="406" s="1"/>
  <c r="D92" i="406" a="1"/>
  <c r="D92" i="406" s="1"/>
  <c r="D91" i="406" a="1"/>
  <c r="D91" i="406" s="1"/>
  <c r="D90" i="406" a="1"/>
  <c r="D90" i="406" s="1"/>
  <c r="D89" i="406" a="1"/>
  <c r="D89" i="406" s="1"/>
  <c r="D88" i="406" a="1"/>
  <c r="D88" i="406" s="1"/>
  <c r="D86" i="406" a="1"/>
  <c r="D86" i="406" s="1"/>
  <c r="D85" i="406" a="1"/>
  <c r="D85" i="406" s="1"/>
  <c r="D84" i="406" a="1"/>
  <c r="D84" i="406" s="1"/>
  <c r="D83" i="406" a="1"/>
  <c r="D83" i="406" s="1"/>
  <c r="D82" i="406" a="1"/>
  <c r="D82" i="406" s="1"/>
  <c r="D81" i="406" a="1"/>
  <c r="D81" i="406" s="1"/>
  <c r="D80" i="406" a="1"/>
  <c r="D80" i="406" s="1"/>
  <c r="D79" i="406" a="1"/>
  <c r="D79" i="406" s="1"/>
  <c r="D77" i="406" a="1"/>
  <c r="D77" i="406" s="1"/>
  <c r="D76" i="406" a="1"/>
  <c r="D76" i="406" s="1"/>
  <c r="D75" i="406" a="1"/>
  <c r="D75" i="406" s="1"/>
  <c r="D74" i="406" a="1"/>
  <c r="D74" i="406" s="1"/>
  <c r="D73" i="406" a="1"/>
  <c r="D73" i="406" s="1"/>
  <c r="D72" i="406" a="1"/>
  <c r="D72" i="406" s="1"/>
  <c r="D71" i="406" a="1"/>
  <c r="D71" i="406" s="1"/>
  <c r="D70" i="406" a="1"/>
  <c r="D70" i="406" s="1"/>
  <c r="D69" i="406" a="1"/>
  <c r="D69" i="406" s="1"/>
  <c r="D68" i="406" a="1"/>
  <c r="D68" i="406" s="1"/>
  <c r="D67" i="406" a="1"/>
  <c r="D67" i="406" s="1"/>
  <c r="D65" i="406" a="1"/>
  <c r="D65" i="406" s="1"/>
  <c r="D64" i="406" a="1"/>
  <c r="D64" i="406" s="1"/>
  <c r="D62" i="406" a="1"/>
  <c r="D62" i="406" s="1"/>
  <c r="D59" i="406" a="1"/>
  <c r="D59" i="406" s="1"/>
  <c r="D58" i="406" a="1"/>
  <c r="D58" i="406" s="1"/>
  <c r="D57" i="406" a="1"/>
  <c r="D57" i="406" s="1"/>
  <c r="D56" i="406" a="1"/>
  <c r="D56" i="406" s="1"/>
  <c r="D55" i="406" a="1"/>
  <c r="D55" i="406" s="1"/>
  <c r="D54" i="406" a="1"/>
  <c r="D54" i="406" s="1"/>
  <c r="D53" i="406" a="1"/>
  <c r="D53" i="406" s="1"/>
  <c r="D51" i="406" a="1"/>
  <c r="D51" i="406" s="1"/>
  <c r="D50" i="406" a="1"/>
  <c r="D50" i="406" s="1"/>
  <c r="D46" i="406" a="1"/>
  <c r="D46" i="406" s="1"/>
  <c r="D45" i="406" a="1"/>
  <c r="D45" i="406" s="1"/>
  <c r="D44" i="406" a="1"/>
  <c r="D44" i="406" s="1"/>
  <c r="D43" i="406" a="1"/>
  <c r="D43" i="406" s="1"/>
  <c r="D41" i="406" a="1"/>
  <c r="D41" i="406" s="1"/>
  <c r="D40" i="406" a="1"/>
  <c r="D40" i="406" s="1"/>
  <c r="D39" i="406" a="1"/>
  <c r="D39" i="406" s="1"/>
  <c r="D38" i="406" a="1"/>
  <c r="D38" i="406" s="1"/>
  <c r="D36" i="406" a="1"/>
  <c r="D36" i="406" s="1"/>
  <c r="D35" i="406" a="1"/>
  <c r="D35" i="406" s="1"/>
  <c r="D34" i="406" a="1"/>
  <c r="D34" i="406" s="1"/>
  <c r="D32" i="406" a="1"/>
  <c r="D32" i="406" s="1"/>
  <c r="D31" i="406" a="1"/>
  <c r="D31" i="406" s="1"/>
  <c r="D30" i="406" a="1"/>
  <c r="D30" i="406" s="1"/>
  <c r="D29" i="406" a="1"/>
  <c r="D29" i="406" s="1"/>
  <c r="D28" i="406" a="1"/>
  <c r="D28" i="406" s="1"/>
  <c r="D27" i="406" a="1"/>
  <c r="D27" i="406" s="1"/>
  <c r="D26" i="406" a="1"/>
  <c r="D26" i="406" s="1"/>
  <c r="D25" i="406" a="1"/>
  <c r="D25" i="406" s="1"/>
  <c r="D24" i="406" a="1"/>
  <c r="D24" i="406" s="1"/>
  <c r="D23" i="406" a="1"/>
  <c r="D23" i="406" s="1"/>
  <c r="D22" i="406" a="1"/>
  <c r="D22" i="406" s="1"/>
  <c r="D21" i="406" a="1"/>
  <c r="D21" i="406" s="1"/>
  <c r="D20" i="406" a="1"/>
  <c r="D20" i="406" s="1"/>
  <c r="D19" i="406" a="1"/>
  <c r="D19" i="406" s="1"/>
  <c r="D16" i="406" a="1"/>
  <c r="D16" i="406" s="1"/>
  <c r="D15" i="406" a="1"/>
  <c r="D15" i="406" s="1"/>
  <c r="A20" i="345"/>
  <c r="D18" i="345"/>
  <c r="C18" i="345"/>
  <c r="B18" i="345"/>
  <c r="A18" i="345"/>
  <c r="D17" i="345"/>
  <c r="C17" i="345"/>
  <c r="B17" i="345" s="1"/>
  <c r="A17" i="345"/>
  <c r="D16" i="345"/>
  <c r="C16" i="345"/>
  <c r="B16" i="345"/>
  <c r="A16" i="345"/>
  <c r="D15" i="345"/>
  <c r="C15" i="345"/>
  <c r="B15" i="345" s="1"/>
  <c r="A15" i="345"/>
  <c r="D14" i="345"/>
  <c r="C14" i="345"/>
  <c r="B14" i="345" s="1"/>
  <c r="A14" i="345"/>
  <c r="D13" i="345"/>
  <c r="C13" i="345"/>
  <c r="B13" i="345" s="1"/>
  <c r="A13" i="345"/>
  <c r="D12" i="345"/>
  <c r="C12" i="345"/>
  <c r="B12" i="345"/>
  <c r="A12" i="345"/>
  <c r="D11" i="345"/>
  <c r="C11" i="345"/>
  <c r="B11" i="345" s="1"/>
  <c r="A11" i="345"/>
  <c r="D10" i="345"/>
  <c r="C10" i="345"/>
  <c r="B10" i="345"/>
  <c r="A10" i="345"/>
  <c r="D9" i="345"/>
  <c r="C9" i="345"/>
  <c r="B9" i="345" s="1"/>
  <c r="A9" i="345"/>
  <c r="D8" i="345"/>
  <c r="C8" i="345"/>
  <c r="B8" i="345"/>
  <c r="A8" i="345"/>
  <c r="D7" i="345"/>
  <c r="C7" i="345"/>
  <c r="B7" i="345" s="1"/>
  <c r="A7" i="345"/>
  <c r="G6" i="345" a="1"/>
  <c r="G6" i="345"/>
  <c r="F6" i="345" a="1"/>
  <c r="F6" i="345"/>
  <c r="A6" i="345"/>
  <c r="H4" i="345"/>
  <c r="B3" i="345"/>
  <c r="C2" i="345"/>
  <c r="B1" i="345"/>
  <c r="A20" i="353"/>
  <c r="C18" i="353"/>
  <c r="B18" i="353"/>
  <c r="A18" i="353"/>
  <c r="C17" i="353"/>
  <c r="B17" i="353" s="1"/>
  <c r="A17" i="353"/>
  <c r="C16" i="353"/>
  <c r="B16" i="353"/>
  <c r="A16" i="353"/>
  <c r="C15" i="353"/>
  <c r="B15" i="353"/>
  <c r="A15" i="353"/>
  <c r="C14" i="353"/>
  <c r="B14" i="353" s="1"/>
  <c r="A14" i="353"/>
  <c r="C13" i="353"/>
  <c r="B13" i="353"/>
  <c r="A13" i="353"/>
  <c r="C12" i="353"/>
  <c r="B12" i="353"/>
  <c r="A12" i="353"/>
  <c r="C11" i="353"/>
  <c r="B11" i="353"/>
  <c r="A11" i="353"/>
  <c r="C10" i="353"/>
  <c r="B10" i="353"/>
  <c r="A10" i="353"/>
  <c r="C9" i="353"/>
  <c r="B9" i="353"/>
  <c r="A9" i="353"/>
  <c r="C8" i="353"/>
  <c r="B8" i="353"/>
  <c r="A8" i="353"/>
  <c r="B7" i="353"/>
  <c r="A7" i="353"/>
  <c r="F6" i="353" a="1"/>
  <c r="F6" i="353" s="1"/>
  <c r="E6" i="353" a="1"/>
  <c r="E6" i="353" s="1"/>
  <c r="B6" i="353"/>
  <c r="A6" i="353"/>
  <c r="C2" i="353"/>
  <c r="G4" i="353" s="1"/>
  <c r="B1" i="353"/>
  <c r="B106" i="346"/>
  <c r="A106" i="346"/>
  <c r="A107" i="346"/>
  <c r="A108" i="346"/>
  <c r="B104" i="346"/>
  <c r="A104" i="346"/>
  <c r="F104" i="346" a="1"/>
  <c r="F104" i="346" s="1"/>
  <c r="B103" i="346"/>
  <c r="A103" i="346"/>
  <c r="F103" i="346" a="1"/>
  <c r="F103" i="346" s="1"/>
  <c r="B102" i="346"/>
  <c r="A102" i="346"/>
  <c r="F102" i="346" s="1" a="1"/>
  <c r="F102" i="346" s="1"/>
  <c r="B98" i="346"/>
  <c r="A98" i="346"/>
  <c r="B96" i="346"/>
  <c r="A96" i="346"/>
  <c r="F96" i="346" a="1"/>
  <c r="F96" i="346" s="1"/>
  <c r="B95" i="346"/>
  <c r="A95" i="346"/>
  <c r="F95" i="346" a="1"/>
  <c r="F95" i="346" s="1"/>
  <c r="B94" i="346"/>
  <c r="A94" i="346"/>
  <c r="F94" i="346" a="1"/>
  <c r="F94" i="346" s="1"/>
  <c r="B90" i="346"/>
  <c r="A90" i="346"/>
  <c r="A91" i="346"/>
  <c r="A92" i="346" s="1"/>
  <c r="B88" i="346"/>
  <c r="A88" i="346"/>
  <c r="F88" i="346" a="1"/>
  <c r="F88" i="346" s="1"/>
  <c r="B87" i="346"/>
  <c r="A87" i="346"/>
  <c r="F87" i="346" a="1"/>
  <c r="F87" i="346" s="1"/>
  <c r="B86" i="346"/>
  <c r="A86" i="346"/>
  <c r="F86" i="346" a="1"/>
  <c r="F86" i="346" s="1"/>
  <c r="B82" i="346"/>
  <c r="A82" i="346"/>
  <c r="B80" i="346"/>
  <c r="A80" i="346"/>
  <c r="F80" i="346" a="1"/>
  <c r="F80" i="346" s="1"/>
  <c r="B79" i="346"/>
  <c r="A79" i="346"/>
  <c r="F79" i="346" s="1" a="1"/>
  <c r="F79" i="346" s="1"/>
  <c r="B78" i="346"/>
  <c r="A78" i="346"/>
  <c r="F78" i="346" a="1"/>
  <c r="F78" i="346" s="1"/>
  <c r="B74" i="346"/>
  <c r="A74" i="346"/>
  <c r="A75" i="346"/>
  <c r="A76" i="346"/>
  <c r="B72" i="346"/>
  <c r="A72" i="346"/>
  <c r="F72" i="346" s="1" a="1"/>
  <c r="F72" i="346" s="1"/>
  <c r="B71" i="346"/>
  <c r="A71" i="346"/>
  <c r="F71" i="346" a="1"/>
  <c r="F71" i="346" s="1"/>
  <c r="B70" i="346"/>
  <c r="A70" i="346"/>
  <c r="F70" i="346" s="1" a="1"/>
  <c r="F70" i="346" s="1"/>
  <c r="B66" i="346"/>
  <c r="A66" i="346"/>
  <c r="B64" i="346"/>
  <c r="A64" i="346"/>
  <c r="F64" i="346" s="1" a="1"/>
  <c r="F64" i="346" s="1"/>
  <c r="B63" i="346"/>
  <c r="A63" i="346"/>
  <c r="F63" i="346" a="1"/>
  <c r="F63" i="346" s="1"/>
  <c r="B62" i="346"/>
  <c r="A62" i="346"/>
  <c r="F62" i="346" s="1" a="1"/>
  <c r="F62" i="346" s="1"/>
  <c r="B58" i="346"/>
  <c r="A58" i="346"/>
  <c r="A59" i="346" s="1"/>
  <c r="A60" i="346" s="1"/>
  <c r="B56" i="346"/>
  <c r="A56" i="346"/>
  <c r="F56" i="346" a="1"/>
  <c r="F56" i="346" s="1"/>
  <c r="B55" i="346"/>
  <c r="A55" i="346"/>
  <c r="F55" i="346" a="1"/>
  <c r="F55" i="346" s="1"/>
  <c r="B54" i="346"/>
  <c r="A54" i="346"/>
  <c r="F54" i="346" s="1" a="1"/>
  <c r="F54" i="346" s="1"/>
  <c r="B50" i="346"/>
  <c r="A50" i="346"/>
  <c r="B48" i="346"/>
  <c r="A48" i="346"/>
  <c r="F48" i="346" a="1"/>
  <c r="F48" i="346" s="1"/>
  <c r="B47" i="346"/>
  <c r="A47" i="346"/>
  <c r="F47" i="346" s="1" a="1"/>
  <c r="F47" i="346" s="1"/>
  <c r="B46" i="346"/>
  <c r="A46" i="346"/>
  <c r="F46" i="346" a="1"/>
  <c r="F46" i="346" s="1"/>
  <c r="B42" i="346"/>
  <c r="A42" i="346"/>
  <c r="A43" i="346"/>
  <c r="A44" i="346" s="1"/>
  <c r="B40" i="346"/>
  <c r="A40" i="346"/>
  <c r="F40" i="346" s="1" a="1"/>
  <c r="F40" i="346" s="1"/>
  <c r="B39" i="346"/>
  <c r="A39" i="346"/>
  <c r="F39" i="346" s="1" a="1"/>
  <c r="F39" i="346" s="1"/>
  <c r="B38" i="346"/>
  <c r="A38" i="346"/>
  <c r="F38" i="346" s="1" a="1"/>
  <c r="F38" i="346" s="1"/>
  <c r="B34" i="346"/>
  <c r="A34" i="346"/>
  <c r="B32" i="346"/>
  <c r="A32" i="346"/>
  <c r="F32" i="346" s="1" a="1"/>
  <c r="F32" i="346" s="1"/>
  <c r="B31" i="346"/>
  <c r="A31" i="346"/>
  <c r="F31" i="346" a="1"/>
  <c r="F31" i="346" s="1"/>
  <c r="B30" i="346"/>
  <c r="A30" i="346"/>
  <c r="F30" i="346" a="1"/>
  <c r="F30" i="346" s="1"/>
  <c r="B26" i="346"/>
  <c r="A26" i="346"/>
  <c r="A27" i="346" s="1"/>
  <c r="A28" i="346" s="1"/>
  <c r="B24" i="346"/>
  <c r="A24" i="346"/>
  <c r="F24" i="346" a="1"/>
  <c r="F24" i="346" s="1"/>
  <c r="B23" i="346"/>
  <c r="A23" i="346"/>
  <c r="F23" i="346" s="1" a="1"/>
  <c r="F23" i="346" s="1"/>
  <c r="B22" i="346"/>
  <c r="A22" i="346"/>
  <c r="F22" i="346" s="1" a="1"/>
  <c r="F22" i="346" s="1"/>
  <c r="B18" i="346"/>
  <c r="A18" i="346"/>
  <c r="B16" i="346"/>
  <c r="A16" i="346"/>
  <c r="F16" i="346" s="1" a="1"/>
  <c r="F16" i="346" s="1"/>
  <c r="B15" i="346"/>
  <c r="A15" i="346"/>
  <c r="F15" i="346" s="1" a="1"/>
  <c r="F15" i="346" s="1"/>
  <c r="B14" i="346"/>
  <c r="A14" i="346"/>
  <c r="F14" i="346" s="1" a="1"/>
  <c r="F14" i="346" s="1"/>
  <c r="F10" i="346" a="1"/>
  <c r="F10" i="346" s="1"/>
  <c r="E10" i="346" a="1"/>
  <c r="E10" i="346"/>
  <c r="B10" i="346"/>
  <c r="A10" i="346"/>
  <c r="A11" i="346" s="1"/>
  <c r="F8" i="346" a="1"/>
  <c r="F8" i="346"/>
  <c r="E8" i="346" a="1"/>
  <c r="E8" i="346" s="1"/>
  <c r="B8" i="346"/>
  <c r="A8" i="346"/>
  <c r="F7" i="346" a="1"/>
  <c r="F7" i="346" s="1"/>
  <c r="E7" i="346" a="1"/>
  <c r="E7" i="346" s="1"/>
  <c r="B7" i="346"/>
  <c r="A7" i="346"/>
  <c r="F6" i="346" a="1"/>
  <c r="F6" i="346"/>
  <c r="E6" i="346" a="1"/>
  <c r="E6" i="346" s="1"/>
  <c r="A6" i="346"/>
  <c r="B3" i="346"/>
  <c r="C2" i="346"/>
  <c r="H4" i="346" s="1" a="1"/>
  <c r="H4" i="346" s="1"/>
  <c r="A5" i="343"/>
  <c r="A3" i="343"/>
  <c r="A88" i="339"/>
  <c r="D88" i="339" a="1"/>
  <c r="D88" i="339" s="1"/>
  <c r="A87" i="339"/>
  <c r="D87" i="339" s="1" a="1"/>
  <c r="D87" i="339" s="1"/>
  <c r="A86" i="339"/>
  <c r="A85" i="339"/>
  <c r="D85" i="339" s="1" a="1"/>
  <c r="D85" i="339" s="1"/>
  <c r="A81" i="339"/>
  <c r="A82" i="339"/>
  <c r="A83" i="339"/>
  <c r="A80" i="339"/>
  <c r="D80" i="339" s="1" a="1"/>
  <c r="D80" i="339" s="1"/>
  <c r="A79" i="339"/>
  <c r="D79" i="339" a="1"/>
  <c r="D79" i="339"/>
  <c r="A78" i="339"/>
  <c r="A74" i="339"/>
  <c r="C74" i="339" s="1" a="1"/>
  <c r="C74" i="339" s="1"/>
  <c r="A73" i="339"/>
  <c r="D73" i="339" s="1" a="1"/>
  <c r="D73" i="339" s="1"/>
  <c r="A72" i="339"/>
  <c r="D72" i="339" a="1"/>
  <c r="D72" i="339" s="1"/>
  <c r="A71" i="339"/>
  <c r="C71" i="339" s="1" a="1"/>
  <c r="C71" i="339" s="1"/>
  <c r="A67" i="339"/>
  <c r="A66" i="339"/>
  <c r="D66" i="339" s="1" a="1"/>
  <c r="D66" i="339" s="1"/>
  <c r="A65" i="339"/>
  <c r="D65" i="339" a="1"/>
  <c r="D65" i="339" s="1"/>
  <c r="A64" i="339"/>
  <c r="D64" i="339" a="1"/>
  <c r="D64" i="339" s="1"/>
  <c r="A60" i="339"/>
  <c r="A61" i="339" s="1"/>
  <c r="A62" i="339" s="1"/>
  <c r="A59" i="339"/>
  <c r="C59" i="339" s="1" a="1"/>
  <c r="C59" i="339" s="1"/>
  <c r="A58" i="339"/>
  <c r="C58" i="339" s="1" a="1"/>
  <c r="C58" i="339" s="1"/>
  <c r="A57" i="339"/>
  <c r="C57" i="339" a="1"/>
  <c r="C57" i="339" s="1"/>
  <c r="A53" i="339"/>
  <c r="D53" i="339" a="1"/>
  <c r="D53" i="339" s="1"/>
  <c r="A52" i="339"/>
  <c r="D52" i="339" s="1" a="1"/>
  <c r="D52" i="339" s="1"/>
  <c r="A51" i="339"/>
  <c r="D51" i="339" a="1"/>
  <c r="D51" i="339"/>
  <c r="A50" i="339"/>
  <c r="C50" i="339" s="1" a="1"/>
  <c r="C50" i="339" s="1"/>
  <c r="A46" i="339"/>
  <c r="A47" i="339" s="1"/>
  <c r="A48" i="339" s="1"/>
  <c r="A45" i="339"/>
  <c r="A44" i="339"/>
  <c r="A43" i="339"/>
  <c r="A39" i="339"/>
  <c r="A38" i="339"/>
  <c r="D38" i="339" s="1" a="1"/>
  <c r="D38" i="339" s="1"/>
  <c r="A37" i="339"/>
  <c r="D37" i="339" a="1"/>
  <c r="D37" i="339" s="1"/>
  <c r="A36" i="339"/>
  <c r="D36" i="339" s="1" a="1"/>
  <c r="D36" i="339" s="1"/>
  <c r="A32" i="339"/>
  <c r="A33" i="339"/>
  <c r="A34" i="339" s="1"/>
  <c r="A31" i="339"/>
  <c r="C31" i="339" s="1" a="1"/>
  <c r="C31" i="339" s="1"/>
  <c r="A30" i="339"/>
  <c r="D30" i="339" s="1" a="1"/>
  <c r="D30" i="339" s="1"/>
  <c r="A29" i="339"/>
  <c r="C29" i="339" s="1" a="1"/>
  <c r="C29" i="339" s="1"/>
  <c r="A25" i="339"/>
  <c r="A26" i="339" s="1"/>
  <c r="A27" i="339" s="1"/>
  <c r="A24" i="339"/>
  <c r="D24" i="339" a="1"/>
  <c r="D24" i="339" s="1"/>
  <c r="A23" i="339"/>
  <c r="A22" i="339"/>
  <c r="D22" i="339" a="1"/>
  <c r="D22" i="339" s="1"/>
  <c r="A18" i="339"/>
  <c r="D18" i="339" s="1" a="1"/>
  <c r="D18" i="339"/>
  <c r="A17" i="339"/>
  <c r="C17" i="339" s="1" a="1"/>
  <c r="C17" i="339" s="1"/>
  <c r="A16" i="339"/>
  <c r="C16" i="339" a="1"/>
  <c r="C16" i="339" s="1"/>
  <c r="A15" i="339"/>
  <c r="D15" i="339" s="1" a="1"/>
  <c r="D15" i="339" s="1"/>
  <c r="A11" i="339"/>
  <c r="D11" i="339" a="1"/>
  <c r="D11" i="339"/>
  <c r="A10" i="339"/>
  <c r="D10" i="339" a="1"/>
  <c r="D10" i="339" s="1"/>
  <c r="A9" i="339"/>
  <c r="D9" i="339" a="1"/>
  <c r="D9" i="339" s="1"/>
  <c r="A8" i="339"/>
  <c r="D8" i="339" a="1"/>
  <c r="D8" i="339" s="1"/>
  <c r="D6" i="339" a="1"/>
  <c r="D6" i="339"/>
  <c r="C6" i="339" a="1"/>
  <c r="C6" i="339"/>
  <c r="A6" i="339"/>
  <c r="B3" i="339" a="1"/>
  <c r="B3" i="339" s="1"/>
  <c r="C2" i="339" a="1"/>
  <c r="C2" i="339" s="1"/>
  <c r="E4" i="339" s="1" a="1"/>
  <c r="E4" i="339" s="1"/>
  <c r="B1" i="339"/>
  <c r="A88" i="324"/>
  <c r="A87" i="324"/>
  <c r="C87" i="324" s="1" a="1"/>
  <c r="C87" i="324" s="1"/>
  <c r="A86" i="324"/>
  <c r="A85" i="324"/>
  <c r="D85" i="324" a="1"/>
  <c r="D85" i="324" s="1"/>
  <c r="A81" i="324"/>
  <c r="C81" i="324" a="1"/>
  <c r="C81" i="324" s="1"/>
  <c r="A80" i="324"/>
  <c r="D80" i="324" s="1" a="1"/>
  <c r="D80" i="324" s="1"/>
  <c r="A79" i="324"/>
  <c r="D79" i="324" a="1"/>
  <c r="D79" i="324"/>
  <c r="A78" i="324"/>
  <c r="C78" i="324" s="1" a="1"/>
  <c r="C78" i="324" s="1"/>
  <c r="A74" i="324"/>
  <c r="A75" i="324" s="1"/>
  <c r="A76" i="324" s="1"/>
  <c r="A73" i="324"/>
  <c r="C73" i="324" a="1"/>
  <c r="C73" i="324"/>
  <c r="A72" i="324"/>
  <c r="D72" i="324" a="1"/>
  <c r="D72" i="324"/>
  <c r="A71" i="324"/>
  <c r="D71" i="324" s="1" a="1"/>
  <c r="D71" i="324" s="1"/>
  <c r="A67" i="324"/>
  <c r="A68" i="324" s="1"/>
  <c r="A69" i="324" s="1"/>
  <c r="A66" i="324"/>
  <c r="C66" i="324" s="1" a="1"/>
  <c r="C66" i="324" s="1"/>
  <c r="A65" i="324"/>
  <c r="C65" i="324" s="1" a="1"/>
  <c r="C65" i="324"/>
  <c r="A64" i="324"/>
  <c r="D64" i="324" s="1" a="1"/>
  <c r="D64" i="324" s="1"/>
  <c r="A60" i="324"/>
  <c r="D60" i="324" s="1" a="1"/>
  <c r="D60" i="324"/>
  <c r="A59" i="324"/>
  <c r="A58" i="324"/>
  <c r="D58" i="324" a="1"/>
  <c r="D58" i="324"/>
  <c r="A57" i="324"/>
  <c r="D57" i="324" s="1" a="1"/>
  <c r="D57" i="324" s="1"/>
  <c r="A53" i="324"/>
  <c r="A52" i="324"/>
  <c r="A51" i="324"/>
  <c r="D51" i="324" a="1"/>
  <c r="D51" i="324" s="1"/>
  <c r="A50" i="324"/>
  <c r="D50" i="324" a="1"/>
  <c r="D50" i="324" s="1"/>
  <c r="A46" i="324"/>
  <c r="D46" i="324" s="1" a="1"/>
  <c r="D46" i="324" s="1"/>
  <c r="A45" i="324"/>
  <c r="D45" i="324" s="1" a="1"/>
  <c r="D45" i="324"/>
  <c r="A44" i="324"/>
  <c r="D44" i="324" s="1" a="1"/>
  <c r="D44" i="324"/>
  <c r="A43" i="324"/>
  <c r="A39" i="324"/>
  <c r="D39" i="324" s="1" a="1"/>
  <c r="D39" i="324"/>
  <c r="A38" i="324"/>
  <c r="A37" i="324"/>
  <c r="D37" i="324" s="1" a="1"/>
  <c r="D37" i="324" s="1"/>
  <c r="A36" i="324"/>
  <c r="C36" i="324" s="1" a="1"/>
  <c r="C36" i="324" s="1"/>
  <c r="A32" i="324"/>
  <c r="A31" i="324"/>
  <c r="A30" i="324"/>
  <c r="D30" i="324" a="1"/>
  <c r="D30" i="324"/>
  <c r="A29" i="324"/>
  <c r="C29" i="324" s="1" a="1"/>
  <c r="C29" i="324" s="1"/>
  <c r="A25" i="324"/>
  <c r="A26" i="324" s="1"/>
  <c r="A27" i="324"/>
  <c r="A24" i="324"/>
  <c r="D24" i="324" a="1"/>
  <c r="D24" i="324"/>
  <c r="A23" i="324"/>
  <c r="D23" i="324" a="1"/>
  <c r="D23" i="324" s="1"/>
  <c r="A22" i="324"/>
  <c r="D22" i="324" s="1" a="1"/>
  <c r="D22" i="324" s="1"/>
  <c r="A18" i="324"/>
  <c r="A19" i="324"/>
  <c r="A20" i="324" s="1"/>
  <c r="A17" i="324"/>
  <c r="C17" i="324" s="1" a="1"/>
  <c r="C17" i="324" s="1"/>
  <c r="A16" i="324"/>
  <c r="D16" i="324" s="1" a="1"/>
  <c r="D16" i="324" s="1"/>
  <c r="A15" i="324"/>
  <c r="C15" i="324" a="1"/>
  <c r="C15" i="324" s="1"/>
  <c r="A11" i="324"/>
  <c r="D11" i="324" s="1" a="1"/>
  <c r="D11" i="324" s="1"/>
  <c r="A10" i="324"/>
  <c r="C10" i="324" s="1" a="1"/>
  <c r="C10" i="324"/>
  <c r="A9" i="324"/>
  <c r="D9" i="324" a="1"/>
  <c r="D9" i="324" s="1"/>
  <c r="A8" i="324"/>
  <c r="D8" i="324" a="1"/>
  <c r="D8" i="324" s="1"/>
  <c r="D6" i="324" a="1"/>
  <c r="D6" i="324" s="1"/>
  <c r="C6" i="324" a="1"/>
  <c r="C6" i="324"/>
  <c r="A6" i="324"/>
  <c r="B3" i="324" a="1"/>
  <c r="B3" i="324"/>
  <c r="C2" i="324" a="1"/>
  <c r="C2" i="324" s="1"/>
  <c r="E4" i="324" s="1" a="1"/>
  <c r="E4" i="324" s="1"/>
  <c r="B1" i="324"/>
  <c r="A88" i="254"/>
  <c r="A89" i="254"/>
  <c r="A90" i="254" s="1"/>
  <c r="A87" i="254"/>
  <c r="D87" i="254" s="1" a="1"/>
  <c r="D87" i="254" s="1"/>
  <c r="A86" i="254"/>
  <c r="D86" i="254" s="1" a="1"/>
  <c r="D86" i="254"/>
  <c r="A85" i="254"/>
  <c r="C85" i="254" s="1" a="1"/>
  <c r="C85" i="254" s="1"/>
  <c r="A81" i="254"/>
  <c r="A82" i="254"/>
  <c r="A83" i="254" s="1"/>
  <c r="A80" i="254"/>
  <c r="A79" i="254"/>
  <c r="D79" i="254" a="1"/>
  <c r="D79" i="254"/>
  <c r="A78" i="254"/>
  <c r="D78" i="254" s="1" a="1"/>
  <c r="D78" i="254" s="1"/>
  <c r="A74" i="254"/>
  <c r="A73" i="254"/>
  <c r="A72" i="254"/>
  <c r="A71" i="254"/>
  <c r="A67" i="254"/>
  <c r="A68" i="254"/>
  <c r="A69" i="254"/>
  <c r="A66" i="254"/>
  <c r="D66" i="254" s="1" a="1"/>
  <c r="D66" i="254" s="1"/>
  <c r="A65" i="254"/>
  <c r="D65" i="254" a="1"/>
  <c r="D65" i="254" s="1"/>
  <c r="A64" i="254"/>
  <c r="D64" i="254" a="1"/>
  <c r="D64" i="254" s="1"/>
  <c r="A60" i="254"/>
  <c r="C60" i="254" a="1"/>
  <c r="C60" i="254"/>
  <c r="A59" i="254"/>
  <c r="C59" i="254" a="1"/>
  <c r="C59" i="254" s="1"/>
  <c r="A58" i="254"/>
  <c r="C58" i="254" a="1"/>
  <c r="C58" i="254" s="1"/>
  <c r="A57" i="254"/>
  <c r="C57" i="254" s="1" a="1"/>
  <c r="C57" i="254" s="1"/>
  <c r="A53" i="254"/>
  <c r="A52" i="254"/>
  <c r="A51" i="254"/>
  <c r="A50" i="254"/>
  <c r="D50" i="254" a="1"/>
  <c r="D50" i="254" s="1"/>
  <c r="A46" i="254"/>
  <c r="D46" i="254" a="1"/>
  <c r="D46" i="254"/>
  <c r="A45" i="254"/>
  <c r="D45" i="254" a="1"/>
  <c r="D45" i="254" s="1"/>
  <c r="A44" i="254"/>
  <c r="D44" i="254" s="1" a="1"/>
  <c r="D44" i="254" s="1"/>
  <c r="A43" i="254"/>
  <c r="D43" i="254" s="1" a="1"/>
  <c r="D43" i="254" s="1"/>
  <c r="A39" i="254"/>
  <c r="A38" i="254"/>
  <c r="A37" i="254"/>
  <c r="D37" i="254" a="1"/>
  <c r="D37" i="254" s="1"/>
  <c r="A36" i="254"/>
  <c r="D36" i="254" a="1"/>
  <c r="D36" i="254" s="1"/>
  <c r="A32" i="254"/>
  <c r="A31" i="254"/>
  <c r="A30" i="254"/>
  <c r="D30" i="254" a="1"/>
  <c r="D30" i="254"/>
  <c r="A29" i="254"/>
  <c r="D29" i="254" s="1" a="1"/>
  <c r="D29" i="254" s="1"/>
  <c r="A25" i="254"/>
  <c r="A24" i="254"/>
  <c r="A23" i="254"/>
  <c r="A22" i="254"/>
  <c r="A18" i="254"/>
  <c r="A17" i="254"/>
  <c r="D17" i="254" s="1" a="1"/>
  <c r="D17" i="254"/>
  <c r="A16" i="254"/>
  <c r="D16" i="254" s="1" a="1"/>
  <c r="D16" i="254"/>
  <c r="A15" i="254"/>
  <c r="A11" i="254"/>
  <c r="A12" i="254" s="1"/>
  <c r="A13" i="254" s="1"/>
  <c r="A10" i="254"/>
  <c r="D10" i="254" a="1"/>
  <c r="D10" i="254" s="1"/>
  <c r="A9" i="254"/>
  <c r="D9" i="254" s="1" a="1"/>
  <c r="D9" i="254" s="1"/>
  <c r="A8" i="254"/>
  <c r="C8" i="254" s="1" a="1"/>
  <c r="C8" i="254" s="1"/>
  <c r="D6" i="254"/>
  <c r="C6" i="254"/>
  <c r="A6" i="254"/>
  <c r="B3" i="254" a="1"/>
  <c r="B3" i="254" s="1"/>
  <c r="C2" i="254" a="1"/>
  <c r="C2" i="254"/>
  <c r="E4" i="254" s="1" a="1"/>
  <c r="E4" i="254" s="1"/>
  <c r="B1" i="254"/>
  <c r="A88" i="354"/>
  <c r="A87" i="354"/>
  <c r="C87" i="354" s="1" a="1"/>
  <c r="C87" i="354" s="1"/>
  <c r="A86" i="354"/>
  <c r="C86" i="354" a="1"/>
  <c r="C86" i="354" s="1"/>
  <c r="A85" i="354"/>
  <c r="C85" i="354" s="1" a="1"/>
  <c r="C85" i="354" s="1"/>
  <c r="A81" i="354"/>
  <c r="D81" i="354" s="1" a="1"/>
  <c r="D81" i="354" s="1"/>
  <c r="A80" i="354"/>
  <c r="D80" i="354" a="1"/>
  <c r="D80" i="354" s="1"/>
  <c r="A79" i="354"/>
  <c r="D79" i="354" s="1" a="1"/>
  <c r="D79" i="354"/>
  <c r="A78" i="354"/>
  <c r="C78" i="354" s="1" a="1"/>
  <c r="C78" i="354" s="1"/>
  <c r="A74" i="354"/>
  <c r="D74" i="354" a="1"/>
  <c r="D74" i="354" s="1"/>
  <c r="A73" i="354"/>
  <c r="C73" i="354" a="1"/>
  <c r="C73" i="354"/>
  <c r="A72" i="354"/>
  <c r="D72" i="354" a="1"/>
  <c r="D72" i="354" s="1"/>
  <c r="A71" i="354"/>
  <c r="C71" i="354" s="1" a="1"/>
  <c r="C71" i="354" s="1"/>
  <c r="A67" i="354"/>
  <c r="D67" i="354" s="1" a="1"/>
  <c r="D67" i="354" s="1"/>
  <c r="A66" i="354"/>
  <c r="C66" i="354" s="1" a="1"/>
  <c r="C66" i="354"/>
  <c r="A65" i="354"/>
  <c r="D65" i="354" s="1" a="1"/>
  <c r="D65" i="354" s="1"/>
  <c r="A64" i="354"/>
  <c r="C64" i="354" a="1"/>
  <c r="C64" i="354" s="1"/>
  <c r="A60" i="354"/>
  <c r="A59" i="354"/>
  <c r="C59" i="354" a="1"/>
  <c r="C59" i="354" s="1"/>
  <c r="A58" i="354"/>
  <c r="C58" i="354" a="1"/>
  <c r="C58" i="354" s="1"/>
  <c r="A57" i="354"/>
  <c r="D57" i="354" s="1" a="1"/>
  <c r="D57" i="354" s="1"/>
  <c r="A53" i="354"/>
  <c r="D53" i="354" s="1" a="1"/>
  <c r="D53" i="354" s="1"/>
  <c r="A52" i="354"/>
  <c r="D52" i="354" s="1" a="1"/>
  <c r="D52" i="354" s="1"/>
  <c r="A51" i="354"/>
  <c r="D51" i="354" a="1"/>
  <c r="D51" i="354"/>
  <c r="A50" i="354"/>
  <c r="C50" i="354" a="1"/>
  <c r="C50" i="354" s="1"/>
  <c r="A46" i="354"/>
  <c r="D46" i="354" s="1" a="1"/>
  <c r="D46" i="354" s="1"/>
  <c r="A45" i="354"/>
  <c r="C45" i="354" s="1" a="1"/>
  <c r="C45" i="354" s="1"/>
  <c r="A44" i="354"/>
  <c r="D44" i="354" s="1" a="1"/>
  <c r="D44" i="354"/>
  <c r="A43" i="354"/>
  <c r="D43" i="354" s="1" a="1"/>
  <c r="D43" i="354" s="1"/>
  <c r="A39" i="354"/>
  <c r="D39" i="354" s="1" a="1"/>
  <c r="D39" i="354"/>
  <c r="A38" i="354"/>
  <c r="D38" i="354" s="1" a="1"/>
  <c r="D38" i="354" s="1"/>
  <c r="A37" i="354"/>
  <c r="D37" i="354" s="1" a="1"/>
  <c r="D37" i="354"/>
  <c r="A36" i="354"/>
  <c r="C36" i="354" s="1" a="1"/>
  <c r="C36" i="354" s="1"/>
  <c r="A32" i="354"/>
  <c r="A31" i="354"/>
  <c r="C31" i="354" a="1"/>
  <c r="C31" i="354"/>
  <c r="A30" i="354"/>
  <c r="C30" i="354" a="1"/>
  <c r="C30" i="354" s="1"/>
  <c r="A29" i="354"/>
  <c r="C29" i="354" a="1"/>
  <c r="C29" i="354" s="1"/>
  <c r="A25" i="354"/>
  <c r="D25" i="354" a="1"/>
  <c r="D25" i="354" s="1"/>
  <c r="A24" i="354"/>
  <c r="D24" i="354" a="1"/>
  <c r="D24" i="354"/>
  <c r="A23" i="354"/>
  <c r="D23" i="354" s="1" a="1"/>
  <c r="D23" i="354" s="1"/>
  <c r="A22" i="354"/>
  <c r="C22" i="354" a="1"/>
  <c r="C22" i="354" s="1"/>
  <c r="A18" i="354"/>
  <c r="D18" i="354" s="1" a="1"/>
  <c r="D18" i="354" s="1"/>
  <c r="A17" i="354"/>
  <c r="C17" i="354" a="1"/>
  <c r="C17" i="354" s="1"/>
  <c r="A16" i="354"/>
  <c r="D16" i="354" s="1" a="1"/>
  <c r="D16" i="354" s="1"/>
  <c r="A15" i="354"/>
  <c r="D15" i="354" s="1" a="1"/>
  <c r="D15" i="354" s="1"/>
  <c r="A11" i="354"/>
  <c r="D11" i="354" s="1" a="1"/>
  <c r="D11" i="354" s="1"/>
  <c r="A10" i="354"/>
  <c r="D10" i="354" s="1" a="1"/>
  <c r="D10" i="354" s="1"/>
  <c r="A9" i="354"/>
  <c r="D9" i="354" s="1" a="1"/>
  <c r="D9" i="354" s="1"/>
  <c r="A8" i="354"/>
  <c r="C8" i="354" a="1"/>
  <c r="C8" i="354" s="1"/>
  <c r="D6" i="354" a="1"/>
  <c r="D6" i="354"/>
  <c r="C6" i="354" a="1"/>
  <c r="C6" i="354"/>
  <c r="A6" i="354"/>
  <c r="B3" i="354"/>
  <c r="C2" i="354"/>
  <c r="E4" i="354" s="1" a="1"/>
  <c r="E4" i="354"/>
  <c r="B1" i="354"/>
  <c r="O149" i="331" a="1"/>
  <c r="O149" i="331"/>
  <c r="S149" i="331" s="1"/>
  <c r="N149" i="331" a="1"/>
  <c r="N149" i="331" s="1"/>
  <c r="P149" i="331"/>
  <c r="L149" i="331"/>
  <c r="O148" i="331" a="1"/>
  <c r="O148" i="331" s="1"/>
  <c r="S148" i="331" s="1"/>
  <c r="N148" i="331" a="1"/>
  <c r="N148" i="331"/>
  <c r="P148" i="331"/>
  <c r="L148" i="331"/>
  <c r="O147" i="331" a="1"/>
  <c r="O147" i="331"/>
  <c r="S147" i="331"/>
  <c r="N147" i="331" a="1"/>
  <c r="N147" i="331"/>
  <c r="P147" i="331" s="1"/>
  <c r="L147" i="331"/>
  <c r="O146" i="331" a="1"/>
  <c r="O146" i="331"/>
  <c r="S146" i="331" s="1"/>
  <c r="N146" i="331" a="1"/>
  <c r="N146" i="331"/>
  <c r="P146" i="331" s="1"/>
  <c r="L146" i="331"/>
  <c r="O145" i="331" a="1"/>
  <c r="O145" i="331" s="1"/>
  <c r="S145" i="331" s="1"/>
  <c r="N145" i="331" a="1"/>
  <c r="N145" i="331" s="1"/>
  <c r="P145" i="331" s="1"/>
  <c r="L145" i="331"/>
  <c r="O144" i="331" a="1"/>
  <c r="O144" i="331" s="1"/>
  <c r="S144" i="331" s="1"/>
  <c r="N144" i="331" a="1"/>
  <c r="N144" i="331" s="1"/>
  <c r="P144" i="331" s="1"/>
  <c r="L144" i="331"/>
  <c r="E144" i="331"/>
  <c r="O143" i="331" a="1"/>
  <c r="O143" i="331"/>
  <c r="S143" i="331"/>
  <c r="N143" i="331" a="1"/>
  <c r="N143" i="331" s="1"/>
  <c r="P143" i="331" s="1"/>
  <c r="L143" i="331"/>
  <c r="E143" i="331"/>
  <c r="O142" i="331" a="1"/>
  <c r="O142" i="331" s="1"/>
  <c r="S142" i="331" s="1"/>
  <c r="N142" i="331" a="1"/>
  <c r="N142" i="331"/>
  <c r="P142" i="331" s="1"/>
  <c r="L142" i="331"/>
  <c r="E142" i="331"/>
  <c r="O141" i="331" a="1"/>
  <c r="O141" i="331" s="1"/>
  <c r="S141" i="331" s="1"/>
  <c r="N141" i="331" a="1"/>
  <c r="N141" i="331" s="1"/>
  <c r="P141" i="331" s="1"/>
  <c r="L141" i="331"/>
  <c r="E141" i="331"/>
  <c r="O140" i="331" a="1"/>
  <c r="O140" i="331"/>
  <c r="S140" i="331"/>
  <c r="N140" i="331" a="1"/>
  <c r="N140" i="331" s="1"/>
  <c r="P140" i="331" s="1"/>
  <c r="L140" i="331"/>
  <c r="E140" i="331"/>
  <c r="O139" i="331" a="1"/>
  <c r="O139" i="331" s="1"/>
  <c r="S139" i="331"/>
  <c r="N139" i="331" a="1"/>
  <c r="N139" i="331"/>
  <c r="P139" i="331" s="1"/>
  <c r="L139" i="331"/>
  <c r="E139" i="331"/>
  <c r="O138" i="331" a="1"/>
  <c r="O138" i="331" s="1"/>
  <c r="S138" i="331" s="1"/>
  <c r="N138" i="331" a="1"/>
  <c r="N138" i="331"/>
  <c r="P138" i="331" s="1"/>
  <c r="L138" i="331"/>
  <c r="E138" i="331"/>
  <c r="O137" i="331" a="1"/>
  <c r="O137" i="331"/>
  <c r="S137" i="331" s="1"/>
  <c r="N137" i="331" a="1"/>
  <c r="N137" i="331"/>
  <c r="P137" i="331" s="1"/>
  <c r="L137" i="331"/>
  <c r="E137" i="331"/>
  <c r="O136" i="331" a="1"/>
  <c r="O136" i="331"/>
  <c r="S136" i="331" s="1"/>
  <c r="N136" i="331" a="1"/>
  <c r="N136" i="331"/>
  <c r="P136" i="331" s="1"/>
  <c r="L136" i="331"/>
  <c r="E136" i="331"/>
  <c r="O135" i="331" a="1"/>
  <c r="O135" i="331" s="1"/>
  <c r="S135" i="331" s="1"/>
  <c r="N135" i="331" a="1"/>
  <c r="N135" i="331" s="1"/>
  <c r="P135" i="331" s="1"/>
  <c r="L135" i="331"/>
  <c r="E135" i="331"/>
  <c r="O134" i="331" a="1"/>
  <c r="O134" i="331"/>
  <c r="S134" i="331"/>
  <c r="N134" i="331" a="1"/>
  <c r="N134" i="331" s="1"/>
  <c r="P134" i="331" s="1"/>
  <c r="L134" i="331"/>
  <c r="E134" i="331"/>
  <c r="O133" i="331" a="1"/>
  <c r="O133" i="331"/>
  <c r="S133" i="331" s="1"/>
  <c r="N133" i="331" a="1"/>
  <c r="N133" i="331" s="1"/>
  <c r="P133" i="331" s="1"/>
  <c r="L133" i="331"/>
  <c r="E133" i="331"/>
  <c r="O132" i="331" a="1"/>
  <c r="O132" i="331" s="1"/>
  <c r="S132" i="331"/>
  <c r="N132" i="331" a="1"/>
  <c r="N132" i="331"/>
  <c r="P132" i="331" s="1"/>
  <c r="L132" i="331"/>
  <c r="E132" i="331"/>
  <c r="O131" i="331" a="1"/>
  <c r="O131" i="331" s="1"/>
  <c r="S131" i="331"/>
  <c r="N131" i="331" a="1"/>
  <c r="N131" i="331"/>
  <c r="P131" i="331" s="1"/>
  <c r="L131" i="331"/>
  <c r="E131" i="331"/>
  <c r="O130" i="331" a="1"/>
  <c r="O130" i="331" s="1"/>
  <c r="S130" i="331" s="1"/>
  <c r="N130" i="331" a="1"/>
  <c r="N130" i="331" s="1"/>
  <c r="P130" i="331" s="1"/>
  <c r="L130" i="331"/>
  <c r="E130" i="331"/>
  <c r="O129" i="331" a="1"/>
  <c r="O129" i="331"/>
  <c r="S129" i="331" s="1"/>
  <c r="N129" i="331" a="1"/>
  <c r="N129" i="331"/>
  <c r="P129" i="331" s="1"/>
  <c r="L129" i="331"/>
  <c r="E129" i="331"/>
  <c r="O128" i="331" a="1"/>
  <c r="O128" i="331" s="1"/>
  <c r="S128" i="331" s="1"/>
  <c r="N128" i="331" a="1"/>
  <c r="N128" i="331"/>
  <c r="P128" i="331" s="1"/>
  <c r="L128" i="331"/>
  <c r="E128" i="331"/>
  <c r="O127" i="331" a="1"/>
  <c r="O127" i="331" s="1"/>
  <c r="S127" i="331" s="1"/>
  <c r="N127" i="331" a="1"/>
  <c r="N127" i="331"/>
  <c r="P127" i="331" s="1"/>
  <c r="L127" i="331"/>
  <c r="E127" i="331"/>
  <c r="O126" i="331" a="1"/>
  <c r="O126" i="331" s="1"/>
  <c r="S126" i="331" s="1"/>
  <c r="N126" i="331" a="1"/>
  <c r="N126" i="331"/>
  <c r="P126" i="331"/>
  <c r="L126" i="331"/>
  <c r="E126" i="331"/>
  <c r="O125" i="331" a="1"/>
  <c r="O125" i="331" s="1"/>
  <c r="S125" i="331" s="1"/>
  <c r="N125" i="331" a="1"/>
  <c r="N125" i="331" s="1"/>
  <c r="P125" i="331" s="1"/>
  <c r="L125" i="331"/>
  <c r="E125" i="331"/>
  <c r="O124" i="331" a="1"/>
  <c r="O124" i="331" s="1"/>
  <c r="S124" i="331" s="1"/>
  <c r="N124" i="331" a="1"/>
  <c r="N124" i="331"/>
  <c r="P124" i="331" s="1"/>
  <c r="L124" i="331"/>
  <c r="E124" i="331"/>
  <c r="O123" i="331" a="1"/>
  <c r="O123" i="331" s="1"/>
  <c r="S123" i="331" s="1"/>
  <c r="N123" i="331" a="1"/>
  <c r="N123" i="331" s="1"/>
  <c r="P123" i="331" s="1"/>
  <c r="L123" i="331"/>
  <c r="E123" i="331"/>
  <c r="O122" i="331" a="1"/>
  <c r="O122" i="331"/>
  <c r="S122" i="331" s="1"/>
  <c r="N122" i="331" a="1"/>
  <c r="N122" i="331"/>
  <c r="P122" i="331" s="1"/>
  <c r="L122" i="331"/>
  <c r="E122" i="331"/>
  <c r="E120" i="331"/>
  <c r="T112" i="331"/>
  <c r="O102" i="331" a="1"/>
  <c r="O102" i="331"/>
  <c r="S102" i="331"/>
  <c r="N102" i="331" a="1"/>
  <c r="N102" i="331" s="1"/>
  <c r="P102" i="331" s="1"/>
  <c r="L102" i="331"/>
  <c r="O101" i="331" a="1"/>
  <c r="O101" i="331" s="1"/>
  <c r="S101" i="331" s="1"/>
  <c r="N101" i="331" a="1"/>
  <c r="N101" i="331"/>
  <c r="P101" i="331" s="1"/>
  <c r="L101" i="331"/>
  <c r="O100" i="331" a="1"/>
  <c r="O100" i="331" s="1"/>
  <c r="S100" i="331" s="1"/>
  <c r="N100" i="331" a="1"/>
  <c r="N100" i="331"/>
  <c r="P100" i="331"/>
  <c r="L100" i="331"/>
  <c r="O99" i="331" a="1"/>
  <c r="O99" i="331"/>
  <c r="S99" i="331"/>
  <c r="N99" i="331" a="1"/>
  <c r="N99" i="331" s="1"/>
  <c r="P99" i="331" s="1"/>
  <c r="L99" i="331"/>
  <c r="O98" i="331" a="1"/>
  <c r="O98" i="331" s="1"/>
  <c r="S98" i="331" s="1"/>
  <c r="N98" i="331" a="1"/>
  <c r="N98" i="331" s="1"/>
  <c r="P98" i="331"/>
  <c r="L98" i="331"/>
  <c r="O97" i="331" a="1"/>
  <c r="O97" i="331"/>
  <c r="S97" i="331"/>
  <c r="N97" i="331" a="1"/>
  <c r="N97" i="331" s="1"/>
  <c r="P97" i="331" s="1"/>
  <c r="L97" i="331"/>
  <c r="E97" i="331"/>
  <c r="O96" i="331" a="1"/>
  <c r="O96" i="331" s="1"/>
  <c r="S96" i="331" s="1"/>
  <c r="N96" i="331" a="1"/>
  <c r="N96" i="331"/>
  <c r="P96" i="331" s="1"/>
  <c r="L96" i="331"/>
  <c r="E96" i="331"/>
  <c r="O95" i="331" a="1"/>
  <c r="O95" i="331" s="1"/>
  <c r="S95" i="331" s="1"/>
  <c r="N95" i="331" a="1"/>
  <c r="N95" i="331" s="1"/>
  <c r="P95" i="331" s="1"/>
  <c r="L95" i="331"/>
  <c r="E95" i="331"/>
  <c r="O94" i="331" a="1"/>
  <c r="O94" i="331" s="1"/>
  <c r="S94" i="331"/>
  <c r="N94" i="331" a="1"/>
  <c r="N94" i="331"/>
  <c r="P94" i="331" s="1"/>
  <c r="L94" i="331"/>
  <c r="E94" i="331"/>
  <c r="O93" i="331" a="1"/>
  <c r="O93" i="331" s="1"/>
  <c r="S93" i="331" s="1"/>
  <c r="N93" i="331" a="1"/>
  <c r="N93" i="331" s="1"/>
  <c r="P93" i="331" s="1"/>
  <c r="L93" i="331"/>
  <c r="E93" i="331"/>
  <c r="O92" i="331" a="1"/>
  <c r="O92" i="331"/>
  <c r="S92" i="331"/>
  <c r="N92" i="331" a="1"/>
  <c r="N92" i="331" s="1"/>
  <c r="P92" i="331" s="1"/>
  <c r="L92" i="331"/>
  <c r="E92" i="331"/>
  <c r="O91" i="331" a="1"/>
  <c r="O91" i="331" s="1"/>
  <c r="S91" i="331" s="1"/>
  <c r="N91" i="331" a="1"/>
  <c r="N91" i="331" s="1"/>
  <c r="P91" i="331" s="1"/>
  <c r="L91" i="331"/>
  <c r="E91" i="331"/>
  <c r="O90" i="331" a="1"/>
  <c r="O90" i="331" s="1"/>
  <c r="S90" i="331" s="1"/>
  <c r="N90" i="331" a="1"/>
  <c r="N90" i="331"/>
  <c r="P90" i="331" s="1"/>
  <c r="L90" i="331"/>
  <c r="E90" i="331"/>
  <c r="O89" i="331" a="1"/>
  <c r="O89" i="331"/>
  <c r="S89" i="331" s="1"/>
  <c r="N89" i="331" a="1"/>
  <c r="N89" i="331" s="1"/>
  <c r="P89" i="331" s="1"/>
  <c r="L89" i="331"/>
  <c r="E89" i="331"/>
  <c r="O88" i="331" a="1"/>
  <c r="O88" i="331" s="1"/>
  <c r="S88" i="331"/>
  <c r="N88" i="331" a="1"/>
  <c r="N88" i="331" s="1"/>
  <c r="P88" i="331" s="1"/>
  <c r="L88" i="331"/>
  <c r="E88" i="331"/>
  <c r="O87" i="331" a="1"/>
  <c r="O87" i="331" s="1"/>
  <c r="S87" i="331" s="1"/>
  <c r="N87" i="331" a="1"/>
  <c r="N87" i="331"/>
  <c r="P87" i="331" s="1"/>
  <c r="L87" i="331"/>
  <c r="E87" i="331"/>
  <c r="O86" i="331" a="1"/>
  <c r="O86" i="331" s="1"/>
  <c r="S86" i="331"/>
  <c r="N86" i="331" a="1"/>
  <c r="N86" i="331"/>
  <c r="P86" i="331" s="1"/>
  <c r="L86" i="331"/>
  <c r="E86" i="331"/>
  <c r="O85" i="331" a="1"/>
  <c r="O85" i="331" s="1"/>
  <c r="S85" i="331" s="1"/>
  <c r="N85" i="331" a="1"/>
  <c r="N85" i="331" s="1"/>
  <c r="P85" i="331" s="1"/>
  <c r="L85" i="331"/>
  <c r="E85" i="331"/>
  <c r="O84" i="331" a="1"/>
  <c r="O84" i="331" s="1"/>
  <c r="S84" i="331" s="1"/>
  <c r="N84" i="331" a="1"/>
  <c r="N84" i="331" s="1"/>
  <c r="P84" i="331" s="1"/>
  <c r="L84" i="331"/>
  <c r="E84" i="331"/>
  <c r="O83" i="331" a="1"/>
  <c r="O83" i="331"/>
  <c r="S83" i="331" s="1"/>
  <c r="N83" i="331" a="1"/>
  <c r="N83" i="331" s="1"/>
  <c r="P83" i="331" s="1"/>
  <c r="L83" i="331"/>
  <c r="E83" i="331"/>
  <c r="O82" i="331" a="1"/>
  <c r="O82" i="331" s="1"/>
  <c r="S82" i="331" s="1"/>
  <c r="N82" i="331" a="1"/>
  <c r="N82" i="331"/>
  <c r="P82" i="331" s="1"/>
  <c r="L82" i="331"/>
  <c r="E82" i="331"/>
  <c r="O81" i="331" a="1"/>
  <c r="O81" i="331"/>
  <c r="S81" i="331" s="1"/>
  <c r="N81" i="331" a="1"/>
  <c r="N81" i="331"/>
  <c r="P81" i="331" s="1"/>
  <c r="L81" i="331"/>
  <c r="E81" i="331"/>
  <c r="O80" i="331" a="1"/>
  <c r="O80" i="331" s="1"/>
  <c r="S80" i="331"/>
  <c r="N80" i="331" a="1"/>
  <c r="N80" i="331" s="1"/>
  <c r="P80" i="331" s="1"/>
  <c r="L80" i="331"/>
  <c r="E80" i="331"/>
  <c r="O79" i="331" a="1"/>
  <c r="O79" i="331" s="1"/>
  <c r="S79" i="331" s="1"/>
  <c r="N79" i="331" a="1"/>
  <c r="N79" i="331"/>
  <c r="P79" i="331" s="1"/>
  <c r="L79" i="331"/>
  <c r="E79" i="331"/>
  <c r="O78" i="331" a="1"/>
  <c r="O78" i="331" s="1"/>
  <c r="S78" i="331"/>
  <c r="N78" i="331" a="1"/>
  <c r="N78" i="331"/>
  <c r="P78" i="331" s="1"/>
  <c r="L78" i="331"/>
  <c r="E78" i="331"/>
  <c r="O77" i="331" a="1"/>
  <c r="O77" i="331" s="1"/>
  <c r="S77" i="331" s="1"/>
  <c r="N77" i="331" a="1"/>
  <c r="N77" i="331" s="1"/>
  <c r="P77" i="331" s="1"/>
  <c r="L77" i="331"/>
  <c r="E77" i="331"/>
  <c r="O76" i="331" a="1"/>
  <c r="O76" i="331"/>
  <c r="S76" i="331" s="1"/>
  <c r="N76" i="331" a="1"/>
  <c r="N76" i="331" s="1"/>
  <c r="P76" i="331" s="1"/>
  <c r="L76" i="331"/>
  <c r="E76" i="331"/>
  <c r="O75" i="331" a="1"/>
  <c r="O75" i="331"/>
  <c r="S75" i="331"/>
  <c r="N75" i="331" a="1"/>
  <c r="N75" i="331" s="1"/>
  <c r="P75" i="331" s="1"/>
  <c r="L75" i="331"/>
  <c r="E75" i="331"/>
  <c r="E73" i="331"/>
  <c r="T65" i="331"/>
  <c r="O49" i="331" a="1"/>
  <c r="O49" i="331"/>
  <c r="S49" i="331" s="1"/>
  <c r="N49" i="331" a="1"/>
  <c r="N49" i="331"/>
  <c r="P49" i="331" s="1"/>
  <c r="L49" i="331" a="1"/>
  <c r="L49" i="331" s="1"/>
  <c r="E49" i="331"/>
  <c r="O33" i="331" a="1"/>
  <c r="O33" i="331"/>
  <c r="S33" i="331" s="1"/>
  <c r="N33" i="331" a="1"/>
  <c r="N33" i="331"/>
  <c r="P33" i="331" s="1"/>
  <c r="L33" i="331" a="1"/>
  <c r="L33" i="331"/>
  <c r="E33" i="331"/>
  <c r="O32" i="331" a="1"/>
  <c r="O32" i="331" s="1"/>
  <c r="S32" i="331"/>
  <c r="N32" i="331" a="1"/>
  <c r="N32" i="331" s="1"/>
  <c r="P32" i="331" s="1"/>
  <c r="L32" i="331" a="1"/>
  <c r="L32" i="331" s="1"/>
  <c r="E32" i="331"/>
  <c r="O31" i="331" a="1"/>
  <c r="O31" i="331" s="1"/>
  <c r="S31" i="331"/>
  <c r="N31" i="331" a="1"/>
  <c r="N31" i="331" s="1"/>
  <c r="P31" i="331" s="1"/>
  <c r="L31" i="331" a="1"/>
  <c r="L31" i="331" s="1"/>
  <c r="E31" i="331"/>
  <c r="O30" i="331" a="1"/>
  <c r="O30" i="331" s="1"/>
  <c r="S30" i="331" s="1"/>
  <c r="N30" i="331" a="1"/>
  <c r="N30" i="331" s="1"/>
  <c r="P30" i="331"/>
  <c r="L30" i="331" a="1"/>
  <c r="L30" i="331" s="1"/>
  <c r="E30" i="331"/>
  <c r="O29" i="331" a="1"/>
  <c r="O29" i="331" s="1"/>
  <c r="S29" i="331" s="1"/>
  <c r="N29" i="331" a="1"/>
  <c r="N29" i="331" s="1"/>
  <c r="P29" i="331"/>
  <c r="L29" i="331" a="1"/>
  <c r="L29" i="331"/>
  <c r="E29" i="331"/>
  <c r="O28" i="331" a="1"/>
  <c r="O28" i="331" s="1"/>
  <c r="S28" i="331" s="1"/>
  <c r="N28" i="331" a="1"/>
  <c r="N28" i="331"/>
  <c r="P28" i="331" s="1"/>
  <c r="L28" i="331" a="1"/>
  <c r="L28" i="331"/>
  <c r="E28" i="331"/>
  <c r="O27" i="331" a="1"/>
  <c r="O27" i="331"/>
  <c r="S27" i="331" s="1"/>
  <c r="N27" i="331" a="1"/>
  <c r="N27" i="331" s="1"/>
  <c r="P27" i="331"/>
  <c r="L27" i="331" a="1"/>
  <c r="L27" i="331" s="1"/>
  <c r="E27" i="331"/>
  <c r="O26" i="331" a="1"/>
  <c r="O26" i="331"/>
  <c r="S26" i="331" s="1"/>
  <c r="N26" i="331" a="1"/>
  <c r="N26" i="331" s="1"/>
  <c r="P26" i="331"/>
  <c r="L26" i="331" a="1"/>
  <c r="L26" i="331" s="1"/>
  <c r="E26" i="331"/>
  <c r="O25" i="331" a="1"/>
  <c r="O25" i="331"/>
  <c r="S25" i="331" s="1"/>
  <c r="N25" i="331" a="1"/>
  <c r="N25" i="331" s="1"/>
  <c r="P25" i="331"/>
  <c r="L25" i="331" a="1"/>
  <c r="L25" i="331" s="1"/>
  <c r="E25" i="331"/>
  <c r="O24" i="331" a="1"/>
  <c r="O24" i="331" s="1"/>
  <c r="S24" i="331" s="1"/>
  <c r="N24" i="331" a="1"/>
  <c r="N24" i="331" s="1"/>
  <c r="P24" i="331" s="1"/>
  <c r="L24" i="331" a="1"/>
  <c r="L24" i="331" s="1"/>
  <c r="E24" i="331"/>
  <c r="O23" i="331" a="1"/>
  <c r="O23" i="331"/>
  <c r="S23" i="331" s="1"/>
  <c r="N23" i="331" a="1"/>
  <c r="N23" i="331" s="1"/>
  <c r="P23" i="331" s="1"/>
  <c r="L23" i="331" a="1"/>
  <c r="L23" i="331"/>
  <c r="E23" i="331"/>
  <c r="O22" i="331" a="1"/>
  <c r="O22" i="331"/>
  <c r="S22" i="331" s="1"/>
  <c r="N22" i="331" a="1"/>
  <c r="N22" i="331"/>
  <c r="P22" i="331" s="1"/>
  <c r="L22" i="331" a="1"/>
  <c r="L22" i="331" s="1"/>
  <c r="E22" i="331"/>
  <c r="O21" i="331" a="1"/>
  <c r="O21" i="331" s="1"/>
  <c r="S21" i="331" s="1"/>
  <c r="N21" i="331" a="1"/>
  <c r="N21" i="331"/>
  <c r="P21" i="331" s="1"/>
  <c r="L21" i="331" a="1"/>
  <c r="L21" i="331" s="1"/>
  <c r="E21" i="331"/>
  <c r="O20" i="331" a="1"/>
  <c r="O20" i="331"/>
  <c r="S20" i="331" s="1"/>
  <c r="N20" i="331" a="1"/>
  <c r="N20" i="331"/>
  <c r="P20" i="331" s="1"/>
  <c r="L20" i="331" a="1"/>
  <c r="L20" i="331" s="1"/>
  <c r="E20" i="331"/>
  <c r="O19" i="331" a="1"/>
  <c r="O19" i="331" s="1"/>
  <c r="S19" i="331" s="1"/>
  <c r="N19" i="331" a="1"/>
  <c r="N19" i="331" s="1"/>
  <c r="P19" i="331" s="1"/>
  <c r="L19" i="331" a="1"/>
  <c r="L19" i="331" s="1"/>
  <c r="E19" i="331"/>
  <c r="O18" i="331" a="1"/>
  <c r="O18" i="331" s="1"/>
  <c r="S18" i="331"/>
  <c r="N18" i="331" a="1"/>
  <c r="N18" i="331"/>
  <c r="P18" i="331"/>
  <c r="L18" i="331" a="1"/>
  <c r="L18" i="331" s="1"/>
  <c r="E18" i="331"/>
  <c r="O17" i="331" a="1"/>
  <c r="O17" i="331"/>
  <c r="S17" i="331" s="1"/>
  <c r="N17" i="331" a="1"/>
  <c r="N17" i="331"/>
  <c r="P17" i="331"/>
  <c r="L17" i="331" a="1"/>
  <c r="L17" i="331"/>
  <c r="E17" i="331"/>
  <c r="O16" i="331" a="1"/>
  <c r="O16" i="331" s="1"/>
  <c r="S16" i="331" s="1"/>
  <c r="N16" i="331" a="1"/>
  <c r="N16" i="331" s="1"/>
  <c r="P16" i="331"/>
  <c r="L16" i="331" a="1"/>
  <c r="L16" i="331" s="1"/>
  <c r="E16" i="331"/>
  <c r="O15" i="331" a="1"/>
  <c r="O15" i="331" s="1"/>
  <c r="S15" i="331" s="1"/>
  <c r="N15" i="331" a="1"/>
  <c r="N15" i="331" s="1"/>
  <c r="P15" i="331"/>
  <c r="L15" i="331" a="1"/>
  <c r="L15" i="331"/>
  <c r="E15" i="331"/>
  <c r="O14" i="331" a="1"/>
  <c r="O14" i="331"/>
  <c r="S14" i="331" s="1"/>
  <c r="N14" i="331" a="1"/>
  <c r="N14" i="331"/>
  <c r="P14" i="331"/>
  <c r="E14" i="331"/>
  <c r="O13" i="331" a="1"/>
  <c r="O13" i="331" s="1"/>
  <c r="S13" i="331" s="1"/>
  <c r="N13" i="331" a="1"/>
  <c r="N13" i="331" s="1"/>
  <c r="P13" i="331" s="1"/>
  <c r="E13" i="331"/>
  <c r="E11" i="331"/>
  <c r="L12" i="318"/>
  <c r="A7" i="318"/>
  <c r="A6" i="318"/>
  <c r="C14" i="422"/>
  <c r="R14" i="422" a="1"/>
  <c r="R14" i="422" s="1"/>
  <c r="G8" i="422"/>
  <c r="G7" i="422"/>
  <c r="O1182" i="328" a="1"/>
  <c r="O1182" i="328" s="1"/>
  <c r="S1182" i="328" s="1"/>
  <c r="N1182" i="328" a="1"/>
  <c r="N1182" i="328" s="1"/>
  <c r="P1182" i="328" s="1"/>
  <c r="L1182" i="328"/>
  <c r="O1181" i="328" a="1"/>
  <c r="O1181" i="328" s="1"/>
  <c r="S1181" i="328" s="1"/>
  <c r="N1181" i="328" a="1"/>
  <c r="N1181" i="328" s="1"/>
  <c r="P1181" i="328" s="1"/>
  <c r="L1181" i="328"/>
  <c r="O1180" i="328" a="1"/>
  <c r="O1180" i="328" s="1"/>
  <c r="S1180" i="328" s="1"/>
  <c r="N1180" i="328" a="1"/>
  <c r="N1180" i="328"/>
  <c r="P1180" i="328" s="1"/>
  <c r="L1180" i="328"/>
  <c r="I1180" i="328"/>
  <c r="I1181" i="328"/>
  <c r="O1179" i="328" a="1"/>
  <c r="O1179" i="328" s="1"/>
  <c r="S1179" i="328" s="1"/>
  <c r="N1179" i="328" a="1"/>
  <c r="N1179" i="328"/>
  <c r="P1179" i="328"/>
  <c r="L1179" i="328"/>
  <c r="O1178" i="328" a="1"/>
  <c r="O1178" i="328" s="1"/>
  <c r="S1178" i="328" s="1"/>
  <c r="N1178" i="328" a="1"/>
  <c r="N1178" i="328"/>
  <c r="P1178" i="328"/>
  <c r="L1178" i="328"/>
  <c r="O1177" i="328" a="1"/>
  <c r="O1177" i="328" s="1"/>
  <c r="S1177" i="328" s="1"/>
  <c r="N1177" i="328" a="1"/>
  <c r="N1177" i="328"/>
  <c r="P1177" i="328" s="1"/>
  <c r="L1177" i="328"/>
  <c r="E1177" i="328"/>
  <c r="O1176" i="328" a="1"/>
  <c r="O1176" i="328" s="1"/>
  <c r="S1176" i="328"/>
  <c r="N1176" i="328" a="1"/>
  <c r="N1176" i="328" s="1"/>
  <c r="P1176" i="328" s="1"/>
  <c r="L1176" i="328"/>
  <c r="E1176" i="328"/>
  <c r="O1175" i="328" a="1"/>
  <c r="O1175" i="328"/>
  <c r="S1175" i="328"/>
  <c r="N1175" i="328" a="1"/>
  <c r="N1175" i="328"/>
  <c r="P1175" i="328" s="1"/>
  <c r="L1175" i="328"/>
  <c r="E1175" i="328"/>
  <c r="O1174" i="328" a="1"/>
  <c r="O1174" i="328"/>
  <c r="S1174" i="328"/>
  <c r="N1174" i="328" a="1"/>
  <c r="N1174" i="328" s="1"/>
  <c r="P1174" i="328" s="1"/>
  <c r="L1174" i="328"/>
  <c r="E1174" i="328"/>
  <c r="O1173" i="328" a="1"/>
  <c r="O1173" i="328"/>
  <c r="S1173" i="328"/>
  <c r="N1173" i="328" a="1"/>
  <c r="N1173" i="328"/>
  <c r="P1173" i="328"/>
  <c r="L1173" i="328"/>
  <c r="E1173" i="328"/>
  <c r="O1172" i="328" a="1"/>
  <c r="O1172" i="328" s="1"/>
  <c r="S1172" i="328"/>
  <c r="N1172" i="328" a="1"/>
  <c r="N1172" i="328" s="1"/>
  <c r="P1172" i="328"/>
  <c r="L1172" i="328"/>
  <c r="E1172" i="328"/>
  <c r="O1171" i="328" a="1"/>
  <c r="O1171" i="328"/>
  <c r="S1171" i="328"/>
  <c r="N1171" i="328" a="1"/>
  <c r="N1171" i="328"/>
  <c r="P1171" i="328"/>
  <c r="L1171" i="328"/>
  <c r="E1171" i="328"/>
  <c r="O1170" i="328" a="1"/>
  <c r="O1170" i="328"/>
  <c r="S1170" i="328" s="1"/>
  <c r="N1170" i="328" a="1"/>
  <c r="N1170" i="328" s="1"/>
  <c r="P1170" i="328"/>
  <c r="L1170" i="328"/>
  <c r="E1170" i="328"/>
  <c r="O1169" i="328" a="1"/>
  <c r="O1169" i="328" s="1"/>
  <c r="S1169" i="328" s="1"/>
  <c r="N1169" i="328" a="1"/>
  <c r="N1169" i="328"/>
  <c r="P1169" i="328"/>
  <c r="L1169" i="328"/>
  <c r="E1169" i="328"/>
  <c r="O1168" i="328" a="1"/>
  <c r="O1168" i="328" s="1"/>
  <c r="S1168" i="328"/>
  <c r="N1168" i="328" a="1"/>
  <c r="N1168" i="328" s="1"/>
  <c r="P1168" i="328" s="1"/>
  <c r="L1168" i="328"/>
  <c r="E1168" i="328"/>
  <c r="O1167" i="328" a="1"/>
  <c r="O1167" i="328"/>
  <c r="S1167" i="328" s="1"/>
  <c r="N1167" i="328" a="1"/>
  <c r="N1167" i="328"/>
  <c r="P1167" i="328"/>
  <c r="L1167" i="328"/>
  <c r="E1167" i="328"/>
  <c r="O1166" i="328" a="1"/>
  <c r="O1166" i="328"/>
  <c r="S1166" i="328" s="1"/>
  <c r="N1166" i="328" a="1"/>
  <c r="N1166" i="328" s="1"/>
  <c r="P1166" i="328"/>
  <c r="L1166" i="328"/>
  <c r="E1166" i="328"/>
  <c r="O1165" i="328" a="1"/>
  <c r="O1165" i="328" s="1"/>
  <c r="S1165" i="328" s="1"/>
  <c r="N1165" i="328" a="1"/>
  <c r="N1165" i="328"/>
  <c r="P1165" i="328"/>
  <c r="L1165" i="328"/>
  <c r="E1165" i="328"/>
  <c r="O1164" i="328" a="1"/>
  <c r="O1164" i="328"/>
  <c r="S1164" i="328"/>
  <c r="N1164" i="328" a="1"/>
  <c r="N1164" i="328" s="1"/>
  <c r="P1164" i="328"/>
  <c r="L1164" i="328"/>
  <c r="E1164" i="328"/>
  <c r="O1163" i="328" a="1"/>
  <c r="O1163" i="328" s="1"/>
  <c r="S1163" i="328" s="1"/>
  <c r="N1163" i="328" a="1"/>
  <c r="N1163" i="328"/>
  <c r="P1163" i="328"/>
  <c r="L1163" i="328"/>
  <c r="E1163" i="328"/>
  <c r="O1162" i="328" a="1"/>
  <c r="O1162" i="328" s="1"/>
  <c r="S1162" i="328" s="1"/>
  <c r="N1162" i="328" a="1"/>
  <c r="N1162" i="328" s="1"/>
  <c r="P1162" i="328" s="1"/>
  <c r="L1162" i="328"/>
  <c r="E1162" i="328"/>
  <c r="O1161" i="328" a="1"/>
  <c r="O1161" i="328" s="1"/>
  <c r="S1161" i="328" s="1"/>
  <c r="N1161" i="328" a="1"/>
  <c r="N1161" i="328"/>
  <c r="P1161" i="328" s="1"/>
  <c r="L1161" i="328"/>
  <c r="E1161" i="328"/>
  <c r="O1160" i="328" a="1"/>
  <c r="O1160" i="328"/>
  <c r="S1160" i="328" s="1"/>
  <c r="N1160" i="328" a="1"/>
  <c r="N1160" i="328" s="1"/>
  <c r="P1160" i="328" s="1"/>
  <c r="L1160" i="328"/>
  <c r="E1160" i="328"/>
  <c r="O1159" i="328" a="1"/>
  <c r="O1159" i="328"/>
  <c r="S1159" i="328" s="1"/>
  <c r="N1159" i="328" a="1"/>
  <c r="N1159" i="328"/>
  <c r="P1159" i="328" s="1"/>
  <c r="L1159" i="328"/>
  <c r="E1159" i="328"/>
  <c r="O1158" i="328" a="1"/>
  <c r="O1158" i="328"/>
  <c r="S1158" i="328" s="1"/>
  <c r="N1158" i="328" a="1"/>
  <c r="N1158" i="328" s="1"/>
  <c r="P1158" i="328" s="1"/>
  <c r="L1158" i="328"/>
  <c r="E1158" i="328"/>
  <c r="O1157" i="328" a="1"/>
  <c r="O1157" i="328"/>
  <c r="S1157" i="328"/>
  <c r="N1157" i="328" a="1"/>
  <c r="N1157" i="328"/>
  <c r="P1157" i="328" s="1"/>
  <c r="L1157" i="328"/>
  <c r="E1157" i="328"/>
  <c r="O1156" i="328" a="1"/>
  <c r="O1156" i="328"/>
  <c r="S1156" i="328"/>
  <c r="N1156" i="328" a="1"/>
  <c r="N1156" i="328" s="1"/>
  <c r="P1156" i="328" s="1"/>
  <c r="L1156" i="328"/>
  <c r="E1156" i="328"/>
  <c r="O1155" i="328" a="1"/>
  <c r="O1155" i="328"/>
  <c r="S1155" i="328"/>
  <c r="N1155" i="328" a="1"/>
  <c r="N1155" i="328"/>
  <c r="P1155" i="328" s="1"/>
  <c r="L1155" i="328"/>
  <c r="E1155" i="328"/>
  <c r="E1153" i="328"/>
  <c r="T1145" i="328"/>
  <c r="I1179" i="328"/>
  <c r="O1135" i="328" a="1"/>
  <c r="O1135" i="328" s="1"/>
  <c r="S1135" i="328"/>
  <c r="N1135" i="328" a="1"/>
  <c r="N1135" i="328" s="1"/>
  <c r="P1135" i="328" s="1"/>
  <c r="L1135" i="328"/>
  <c r="O1134" i="328" a="1"/>
  <c r="O1134" i="328" s="1"/>
  <c r="S1134" i="328" s="1"/>
  <c r="N1134" i="328" a="1"/>
  <c r="N1134" i="328"/>
  <c r="P1134" i="328"/>
  <c r="L1134" i="328"/>
  <c r="O1133" i="328" a="1"/>
  <c r="O1133" i="328" s="1"/>
  <c r="S1133" i="328" s="1"/>
  <c r="N1133" i="328" a="1"/>
  <c r="N1133" i="328"/>
  <c r="P1133" i="328"/>
  <c r="L1133" i="328"/>
  <c r="I1133" i="328"/>
  <c r="I1134" i="328"/>
  <c r="O1132" i="328" a="1"/>
  <c r="O1132" i="328" s="1"/>
  <c r="S1132" i="328"/>
  <c r="N1132" i="328" a="1"/>
  <c r="N1132" i="328"/>
  <c r="P1132" i="328" s="1"/>
  <c r="L1132" i="328"/>
  <c r="O1131" i="328" a="1"/>
  <c r="O1131" i="328"/>
  <c r="S1131" i="328" s="1"/>
  <c r="N1131" i="328" a="1"/>
  <c r="N1131" i="328"/>
  <c r="P1131" i="328"/>
  <c r="L1131" i="328"/>
  <c r="O1130" i="328" a="1"/>
  <c r="O1130" i="328" s="1"/>
  <c r="S1130" i="328" s="1"/>
  <c r="N1130" i="328" a="1"/>
  <c r="N1130" i="328"/>
  <c r="P1130" i="328"/>
  <c r="L1130" i="328"/>
  <c r="E1130" i="328"/>
  <c r="O1129" i="328" a="1"/>
  <c r="O1129" i="328"/>
  <c r="S1129" i="328" s="1"/>
  <c r="N1129" i="328" a="1"/>
  <c r="N1129" i="328" s="1"/>
  <c r="P1129" i="328"/>
  <c r="L1129" i="328"/>
  <c r="E1129" i="328"/>
  <c r="O1128" i="328" a="1"/>
  <c r="O1128" i="328"/>
  <c r="S1128" i="328" s="1"/>
  <c r="N1128" i="328" a="1"/>
  <c r="N1128" i="328"/>
  <c r="P1128" i="328"/>
  <c r="L1128" i="328"/>
  <c r="E1128" i="328"/>
  <c r="O1127" i="328" a="1"/>
  <c r="O1127" i="328" s="1"/>
  <c r="S1127" i="328" s="1"/>
  <c r="N1127" i="328" a="1"/>
  <c r="N1127" i="328" s="1"/>
  <c r="P1127" i="328" s="1"/>
  <c r="L1127" i="328"/>
  <c r="E1127" i="328"/>
  <c r="O1126" i="328" a="1"/>
  <c r="O1126" i="328"/>
  <c r="S1126" i="328"/>
  <c r="N1126" i="328" a="1"/>
  <c r="N1126" i="328"/>
  <c r="P1126" i="328" s="1"/>
  <c r="L1126" i="328"/>
  <c r="E1126" i="328"/>
  <c r="O1125" i="328" a="1"/>
  <c r="O1125" i="328"/>
  <c r="S1125" i="328"/>
  <c r="N1125" i="328" a="1"/>
  <c r="N1125" i="328" s="1"/>
  <c r="P1125" i="328" s="1"/>
  <c r="L1125" i="328"/>
  <c r="E1125" i="328"/>
  <c r="O1124" i="328" a="1"/>
  <c r="O1124" i="328" s="1"/>
  <c r="S1124" i="328" s="1"/>
  <c r="N1124" i="328" a="1"/>
  <c r="N1124" i="328"/>
  <c r="P1124" i="328" s="1"/>
  <c r="L1124" i="328"/>
  <c r="E1124" i="328"/>
  <c r="O1123" i="328" a="1"/>
  <c r="O1123" i="328" s="1"/>
  <c r="S1123" i="328" s="1"/>
  <c r="N1123" i="328" a="1"/>
  <c r="N1123" i="328" s="1"/>
  <c r="P1123" i="328" s="1"/>
  <c r="L1123" i="328"/>
  <c r="E1123" i="328"/>
  <c r="O1122" i="328" a="1"/>
  <c r="O1122" i="328"/>
  <c r="S1122" i="328" s="1"/>
  <c r="N1122" i="328" a="1"/>
  <c r="N1122" i="328"/>
  <c r="P1122" i="328" s="1"/>
  <c r="L1122" i="328"/>
  <c r="E1122" i="328"/>
  <c r="O1121" i="328" a="1"/>
  <c r="O1121" i="328" s="1"/>
  <c r="S1121" i="328" s="1"/>
  <c r="N1121" i="328" a="1"/>
  <c r="N1121" i="328" s="1"/>
  <c r="P1121" i="328"/>
  <c r="L1121" i="328"/>
  <c r="E1121" i="328"/>
  <c r="O1120" i="328" a="1"/>
  <c r="O1120" i="328"/>
  <c r="S1120" i="328" s="1"/>
  <c r="N1120" i="328" a="1"/>
  <c r="N1120" i="328"/>
  <c r="P1120" i="328"/>
  <c r="L1120" i="328"/>
  <c r="E1120" i="328"/>
  <c r="O1119" i="328" a="1"/>
  <c r="O1119" i="328"/>
  <c r="S1119" i="328" s="1"/>
  <c r="N1119" i="328" a="1"/>
  <c r="N1119" i="328" s="1"/>
  <c r="P1119" i="328"/>
  <c r="L1119" i="328"/>
  <c r="E1119" i="328"/>
  <c r="O1118" i="328" a="1"/>
  <c r="O1118" i="328" s="1"/>
  <c r="S1118" i="328" s="1"/>
  <c r="N1118" i="328" a="1"/>
  <c r="N1118" i="328"/>
  <c r="P1118" i="328" s="1"/>
  <c r="L1118" i="328"/>
  <c r="E1118" i="328"/>
  <c r="O1117" i="328" a="1"/>
  <c r="O1117" i="328" s="1"/>
  <c r="S1117" i="328"/>
  <c r="N1117" i="328" a="1"/>
  <c r="N1117" i="328" s="1"/>
  <c r="P1117" i="328" s="1"/>
  <c r="L1117" i="328"/>
  <c r="E1117" i="328"/>
  <c r="O1116" i="328" a="1"/>
  <c r="O1116" i="328"/>
  <c r="S1116" i="328" s="1"/>
  <c r="N1116" i="328" a="1"/>
  <c r="N1116" i="328"/>
  <c r="P1116" i="328"/>
  <c r="L1116" i="328"/>
  <c r="E1116" i="328"/>
  <c r="O1115" i="328" a="1"/>
  <c r="O1115" i="328" s="1"/>
  <c r="S1115" i="328" s="1"/>
  <c r="N1115" i="328" a="1"/>
  <c r="N1115" i="328" s="1"/>
  <c r="P1115" i="328"/>
  <c r="L1115" i="328"/>
  <c r="E1115" i="328"/>
  <c r="O1114" i="328" a="1"/>
  <c r="O1114" i="328" s="1"/>
  <c r="S1114" i="328" s="1"/>
  <c r="N1114" i="328" a="1"/>
  <c r="N1114" i="328"/>
  <c r="P1114" i="328" s="1"/>
  <c r="L1114" i="328"/>
  <c r="E1114" i="328"/>
  <c r="O1113" i="328" a="1"/>
  <c r="O1113" i="328" s="1"/>
  <c r="S1113" i="328" s="1"/>
  <c r="N1113" i="328" a="1"/>
  <c r="N1113" i="328" s="1"/>
  <c r="P1113" i="328"/>
  <c r="L1113" i="328"/>
  <c r="E1113" i="328"/>
  <c r="O1112" i="328" a="1"/>
  <c r="O1112" i="328" s="1"/>
  <c r="S1112" i="328"/>
  <c r="N1112" i="328" a="1"/>
  <c r="N1112" i="328" s="1"/>
  <c r="P1112" i="328"/>
  <c r="L1112" i="328"/>
  <c r="E1112" i="328"/>
  <c r="O1111" i="328" a="1"/>
  <c r="O1111" i="328"/>
  <c r="S1111" i="328"/>
  <c r="N1111" i="328" a="1"/>
  <c r="N1111" i="328" s="1"/>
  <c r="P1111" i="328" s="1"/>
  <c r="L1111" i="328"/>
  <c r="E1111" i="328"/>
  <c r="O1110" i="328" a="1"/>
  <c r="O1110" i="328" s="1"/>
  <c r="S1110" i="328" s="1"/>
  <c r="N1110" i="328" a="1"/>
  <c r="N1110" i="328" s="1"/>
  <c r="P1110" i="328" s="1"/>
  <c r="L1110" i="328"/>
  <c r="E1110" i="328"/>
  <c r="O1109" i="328" a="1"/>
  <c r="O1109" i="328"/>
  <c r="S1109" i="328" s="1"/>
  <c r="N1109" i="328" a="1"/>
  <c r="N1109" i="328" s="1"/>
  <c r="P1109" i="328"/>
  <c r="L1109" i="328"/>
  <c r="E1109" i="328"/>
  <c r="O1108" i="328" a="1"/>
  <c r="O1108" i="328" s="1"/>
  <c r="S1108" i="328"/>
  <c r="N1108" i="328" a="1"/>
  <c r="N1108" i="328"/>
  <c r="P1108" i="328" s="1"/>
  <c r="L1108" i="328"/>
  <c r="E1108" i="328"/>
  <c r="E1106" i="328"/>
  <c r="T1098" i="328"/>
  <c r="I1132" i="328"/>
  <c r="O1088" i="328" a="1"/>
  <c r="O1088" i="328" s="1"/>
  <c r="S1088" i="328" s="1"/>
  <c r="N1088" i="328" a="1"/>
  <c r="N1088" i="328" s="1"/>
  <c r="P1088" i="328"/>
  <c r="L1088" i="328"/>
  <c r="O1087" i="328" a="1"/>
  <c r="O1087" i="328" s="1"/>
  <c r="S1087" i="328" s="1"/>
  <c r="N1087" i="328" a="1"/>
  <c r="N1087" i="328" s="1"/>
  <c r="P1087" i="328" s="1"/>
  <c r="L1087" i="328"/>
  <c r="O1086" i="328" a="1"/>
  <c r="O1086" i="328"/>
  <c r="S1086" i="328" s="1"/>
  <c r="N1086" i="328" a="1"/>
  <c r="N1086" i="328"/>
  <c r="P1086" i="328" s="1"/>
  <c r="L1086" i="328"/>
  <c r="I1086" i="328"/>
  <c r="I1087" i="328" s="1"/>
  <c r="O1085" i="328" a="1"/>
  <c r="O1085" i="328" s="1"/>
  <c r="S1085" i="328" s="1"/>
  <c r="N1085" i="328" a="1"/>
  <c r="N1085" i="328"/>
  <c r="P1085" i="328" s="1"/>
  <c r="L1085" i="328"/>
  <c r="O1084" i="328" a="1"/>
  <c r="O1084" i="328"/>
  <c r="S1084" i="328" s="1"/>
  <c r="N1084" i="328" a="1"/>
  <c r="N1084" i="328"/>
  <c r="P1084" i="328"/>
  <c r="L1084" i="328"/>
  <c r="O1083" i="328" a="1"/>
  <c r="O1083" i="328"/>
  <c r="S1083" i="328" s="1"/>
  <c r="N1083" i="328" a="1"/>
  <c r="N1083" i="328" s="1"/>
  <c r="P1083" i="328" s="1"/>
  <c r="L1083" i="328"/>
  <c r="E1083" i="328"/>
  <c r="O1082" i="328" a="1"/>
  <c r="O1082" i="328"/>
  <c r="S1082" i="328" s="1"/>
  <c r="N1082" i="328" a="1"/>
  <c r="N1082" i="328" s="1"/>
  <c r="P1082" i="328" s="1"/>
  <c r="L1082" i="328"/>
  <c r="E1082" i="328"/>
  <c r="O1081" i="328" a="1"/>
  <c r="O1081" i="328"/>
  <c r="S1081" i="328"/>
  <c r="N1081" i="328" a="1"/>
  <c r="N1081" i="328"/>
  <c r="P1081" i="328" s="1"/>
  <c r="L1081" i="328"/>
  <c r="E1081" i="328"/>
  <c r="O1080" i="328" a="1"/>
  <c r="O1080" i="328"/>
  <c r="S1080" i="328" s="1"/>
  <c r="N1080" i="328" a="1"/>
  <c r="N1080" i="328" s="1"/>
  <c r="P1080" i="328"/>
  <c r="L1080" i="328"/>
  <c r="E1080" i="328"/>
  <c r="O1079" i="328" a="1"/>
  <c r="O1079" i="328" s="1"/>
  <c r="S1079" i="328" s="1"/>
  <c r="N1079" i="328" a="1"/>
  <c r="N1079" i="328" s="1"/>
  <c r="P1079" i="328" s="1"/>
  <c r="L1079" i="328"/>
  <c r="E1079" i="328"/>
  <c r="O1078" i="328" a="1"/>
  <c r="O1078" i="328" s="1"/>
  <c r="S1078" i="328"/>
  <c r="N1078" i="328" a="1"/>
  <c r="N1078" i="328" s="1"/>
  <c r="P1078" i="328" s="1"/>
  <c r="L1078" i="328"/>
  <c r="E1078" i="328"/>
  <c r="O1077" i="328" a="1"/>
  <c r="O1077" i="328" s="1"/>
  <c r="S1077" i="328" s="1"/>
  <c r="N1077" i="328" a="1"/>
  <c r="N1077" i="328"/>
  <c r="P1077" i="328"/>
  <c r="L1077" i="328"/>
  <c r="E1077" i="328"/>
  <c r="O1076" i="328" a="1"/>
  <c r="O1076" i="328"/>
  <c r="S1076" i="328" s="1"/>
  <c r="N1076" i="328" a="1"/>
  <c r="N1076" i="328" s="1"/>
  <c r="P1076" i="328" s="1"/>
  <c r="L1076" i="328"/>
  <c r="E1076" i="328"/>
  <c r="O1075" i="328" a="1"/>
  <c r="O1075" i="328"/>
  <c r="S1075" i="328" s="1"/>
  <c r="N1075" i="328" a="1"/>
  <c r="N1075" i="328"/>
  <c r="P1075" i="328"/>
  <c r="L1075" i="328"/>
  <c r="E1075" i="328"/>
  <c r="O1074" i="328" a="1"/>
  <c r="O1074" i="328"/>
  <c r="S1074" i="328"/>
  <c r="N1074" i="328" a="1"/>
  <c r="N1074" i="328" s="1"/>
  <c r="P1074" i="328"/>
  <c r="L1074" i="328"/>
  <c r="E1074" i="328"/>
  <c r="O1073" i="328" a="1"/>
  <c r="O1073" i="328"/>
  <c r="S1073" i="328" s="1"/>
  <c r="N1073" i="328" a="1"/>
  <c r="N1073" i="328" s="1"/>
  <c r="P1073" i="328" s="1"/>
  <c r="L1073" i="328"/>
  <c r="E1073" i="328"/>
  <c r="O1072" i="328" a="1"/>
  <c r="O1072" i="328"/>
  <c r="S1072" i="328" s="1"/>
  <c r="N1072" i="328" a="1"/>
  <c r="N1072" i="328" s="1"/>
  <c r="P1072" i="328" s="1"/>
  <c r="L1072" i="328"/>
  <c r="E1072" i="328"/>
  <c r="O1071" i="328" a="1"/>
  <c r="O1071" i="328" s="1"/>
  <c r="S1071" i="328" s="1"/>
  <c r="N1071" i="328" a="1"/>
  <c r="N1071" i="328" s="1"/>
  <c r="P1071" i="328" s="1"/>
  <c r="L1071" i="328"/>
  <c r="E1071" i="328"/>
  <c r="O1070" i="328" a="1"/>
  <c r="O1070" i="328" s="1"/>
  <c r="S1070" i="328" s="1"/>
  <c r="N1070" i="328" a="1"/>
  <c r="N1070" i="328" s="1"/>
  <c r="P1070" i="328"/>
  <c r="L1070" i="328"/>
  <c r="E1070" i="328"/>
  <c r="O1069" i="328" a="1"/>
  <c r="O1069" i="328"/>
  <c r="S1069" i="328" s="1"/>
  <c r="N1069" i="328" a="1"/>
  <c r="N1069" i="328"/>
  <c r="P1069" i="328" s="1"/>
  <c r="L1069" i="328"/>
  <c r="E1069" i="328"/>
  <c r="O1068" i="328" a="1"/>
  <c r="O1068" i="328"/>
  <c r="S1068" i="328" s="1"/>
  <c r="N1068" i="328" a="1"/>
  <c r="N1068" i="328" s="1"/>
  <c r="P1068" i="328"/>
  <c r="L1068" i="328"/>
  <c r="E1068" i="328"/>
  <c r="O1067" i="328" a="1"/>
  <c r="O1067" i="328"/>
  <c r="S1067" i="328" s="1"/>
  <c r="N1067" i="328" a="1"/>
  <c r="N1067" i="328" s="1"/>
  <c r="P1067" i="328"/>
  <c r="L1067" i="328"/>
  <c r="E1067" i="328"/>
  <c r="O1066" i="328" a="1"/>
  <c r="O1066" i="328"/>
  <c r="S1066" i="328" s="1"/>
  <c r="N1066" i="328" a="1"/>
  <c r="N1066" i="328" s="1"/>
  <c r="P1066" i="328"/>
  <c r="L1066" i="328"/>
  <c r="E1066" i="328"/>
  <c r="O1065" i="328" a="1"/>
  <c r="O1065" i="328"/>
  <c r="S1065" i="328"/>
  <c r="N1065" i="328" a="1"/>
  <c r="N1065" i="328" s="1"/>
  <c r="P1065" i="328" s="1"/>
  <c r="L1065" i="328"/>
  <c r="E1065" i="328"/>
  <c r="O1064" i="328" a="1"/>
  <c r="O1064" i="328"/>
  <c r="S1064" i="328" s="1"/>
  <c r="N1064" i="328" a="1"/>
  <c r="N1064" i="328" s="1"/>
  <c r="P1064" i="328" s="1"/>
  <c r="L1064" i="328"/>
  <c r="E1064" i="328"/>
  <c r="O1063" i="328" a="1"/>
  <c r="O1063" i="328" s="1"/>
  <c r="S1063" i="328" s="1"/>
  <c r="N1063" i="328" a="1"/>
  <c r="N1063" i="328" s="1"/>
  <c r="P1063" i="328" s="1"/>
  <c r="L1063" i="328"/>
  <c r="E1063" i="328"/>
  <c r="O1062" i="328" a="1"/>
  <c r="O1062" i="328" s="1"/>
  <c r="S1062" i="328" s="1"/>
  <c r="N1062" i="328" a="1"/>
  <c r="N1062" i="328" s="1"/>
  <c r="P1062" i="328" s="1"/>
  <c r="L1062" i="328"/>
  <c r="E1062" i="328"/>
  <c r="O1061" i="328" a="1"/>
  <c r="O1061" i="328"/>
  <c r="S1061" i="328" s="1"/>
  <c r="N1061" i="328" a="1"/>
  <c r="N1061" i="328"/>
  <c r="P1061" i="328"/>
  <c r="L1061" i="328"/>
  <c r="E1061" i="328"/>
  <c r="E1059" i="328"/>
  <c r="T1051" i="328"/>
  <c r="I1085" i="328" s="1"/>
  <c r="O1041" i="328" a="1"/>
  <c r="O1041" i="328" s="1"/>
  <c r="S1041" i="328"/>
  <c r="N1041" i="328" a="1"/>
  <c r="N1041" i="328"/>
  <c r="P1041" i="328" s="1"/>
  <c r="L1041" i="328"/>
  <c r="O1040" i="328" a="1"/>
  <c r="O1040" i="328" s="1"/>
  <c r="S1040" i="328" s="1"/>
  <c r="N1040" i="328" a="1"/>
  <c r="N1040" i="328"/>
  <c r="P1040" i="328" s="1"/>
  <c r="L1040" i="328"/>
  <c r="O1039" i="328" a="1"/>
  <c r="O1039" i="328"/>
  <c r="S1039" i="328" s="1"/>
  <c r="N1039" i="328" a="1"/>
  <c r="N1039" i="328"/>
  <c r="P1039" i="328" s="1"/>
  <c r="L1039" i="328"/>
  <c r="I1039" i="328"/>
  <c r="I1040" i="328"/>
  <c r="O1038" i="328" a="1"/>
  <c r="O1038" i="328" s="1"/>
  <c r="S1038" i="328" s="1"/>
  <c r="N1038" i="328" a="1"/>
  <c r="N1038" i="328" s="1"/>
  <c r="P1038" i="328" s="1"/>
  <c r="L1038" i="328"/>
  <c r="O1037" i="328" a="1"/>
  <c r="O1037" i="328" s="1"/>
  <c r="S1037" i="328" s="1"/>
  <c r="N1037" i="328" a="1"/>
  <c r="N1037" i="328"/>
  <c r="P1037" i="328"/>
  <c r="L1037" i="328"/>
  <c r="O1036" i="328" a="1"/>
  <c r="O1036" i="328"/>
  <c r="S1036" i="328" s="1"/>
  <c r="N1036" i="328" a="1"/>
  <c r="N1036" i="328"/>
  <c r="P1036" i="328"/>
  <c r="L1036" i="328"/>
  <c r="E1036" i="328"/>
  <c r="O1035" i="328" a="1"/>
  <c r="O1035" i="328"/>
  <c r="S1035" i="328"/>
  <c r="N1035" i="328" a="1"/>
  <c r="N1035" i="328" s="1"/>
  <c r="P1035" i="328"/>
  <c r="L1035" i="328"/>
  <c r="E1035" i="328"/>
  <c r="O1034" i="328" a="1"/>
  <c r="O1034" i="328" s="1"/>
  <c r="S1034" i="328" s="1"/>
  <c r="N1034" i="328" a="1"/>
  <c r="N1034" i="328" s="1"/>
  <c r="P1034" i="328" s="1"/>
  <c r="L1034" i="328"/>
  <c r="E1034" i="328"/>
  <c r="O1033" i="328" a="1"/>
  <c r="O1033" i="328" s="1"/>
  <c r="S1033" i="328" s="1"/>
  <c r="N1033" i="328" a="1"/>
  <c r="N1033" i="328" s="1"/>
  <c r="P1033" i="328" s="1"/>
  <c r="L1033" i="328"/>
  <c r="E1033" i="328"/>
  <c r="O1032" i="328" a="1"/>
  <c r="O1032" i="328" s="1"/>
  <c r="S1032" i="328" s="1"/>
  <c r="N1032" i="328" a="1"/>
  <c r="N1032" i="328" s="1"/>
  <c r="P1032" i="328" s="1"/>
  <c r="L1032" i="328"/>
  <c r="E1032" i="328"/>
  <c r="O1031" i="328" a="1"/>
  <c r="O1031" i="328" s="1"/>
  <c r="S1031" i="328" s="1"/>
  <c r="N1031" i="328" a="1"/>
  <c r="N1031" i="328" s="1"/>
  <c r="P1031" i="328" s="1"/>
  <c r="L1031" i="328"/>
  <c r="E1031" i="328"/>
  <c r="O1030" i="328" a="1"/>
  <c r="O1030" i="328"/>
  <c r="S1030" i="328" s="1"/>
  <c r="N1030" i="328" a="1"/>
  <c r="N1030" i="328" s="1"/>
  <c r="P1030" i="328" s="1"/>
  <c r="L1030" i="328"/>
  <c r="E1030" i="328"/>
  <c r="O1029" i="328" a="1"/>
  <c r="O1029" i="328"/>
  <c r="S1029" i="328"/>
  <c r="N1029" i="328" a="1"/>
  <c r="N1029" i="328" s="1"/>
  <c r="P1029" i="328" s="1"/>
  <c r="L1029" i="328"/>
  <c r="E1029" i="328"/>
  <c r="O1028" i="328" a="1"/>
  <c r="O1028" i="328"/>
  <c r="S1028" i="328"/>
  <c r="N1028" i="328" a="1"/>
  <c r="N1028" i="328"/>
  <c r="P1028" i="328" s="1"/>
  <c r="L1028" i="328"/>
  <c r="E1028" i="328"/>
  <c r="O1027" i="328" a="1"/>
  <c r="O1027" i="328" s="1"/>
  <c r="S1027" i="328" s="1"/>
  <c r="N1027" i="328" a="1"/>
  <c r="N1027" i="328" s="1"/>
  <c r="P1027" i="328"/>
  <c r="L1027" i="328"/>
  <c r="E1027" i="328"/>
  <c r="O1026" i="328" a="1"/>
  <c r="O1026" i="328"/>
  <c r="S1026" i="328"/>
  <c r="N1026" i="328" a="1"/>
  <c r="N1026" i="328" s="1"/>
  <c r="P1026" i="328" s="1"/>
  <c r="L1026" i="328"/>
  <c r="E1026" i="328"/>
  <c r="O1025" i="328" a="1"/>
  <c r="O1025" i="328"/>
  <c r="S1025" i="328" s="1"/>
  <c r="N1025" i="328" a="1"/>
  <c r="N1025" i="328" s="1"/>
  <c r="P1025" i="328"/>
  <c r="L1025" i="328"/>
  <c r="E1025" i="328"/>
  <c r="O1024" i="328" a="1"/>
  <c r="O1024" i="328" s="1"/>
  <c r="S1024" i="328"/>
  <c r="N1024" i="328" a="1"/>
  <c r="N1024" i="328"/>
  <c r="P1024" i="328"/>
  <c r="L1024" i="328"/>
  <c r="E1024" i="328"/>
  <c r="O1023" i="328" a="1"/>
  <c r="O1023" i="328" s="1"/>
  <c r="S1023" i="328"/>
  <c r="N1023" i="328" a="1"/>
  <c r="N1023" i="328" s="1"/>
  <c r="P1023" i="328"/>
  <c r="L1023" i="328"/>
  <c r="E1023" i="328"/>
  <c r="O1022" i="328" a="1"/>
  <c r="O1022" i="328" s="1"/>
  <c r="S1022" i="328" s="1"/>
  <c r="N1022" i="328" a="1"/>
  <c r="N1022" i="328" s="1"/>
  <c r="P1022" i="328" s="1"/>
  <c r="L1022" i="328"/>
  <c r="E1022" i="328"/>
  <c r="O1021" i="328" a="1"/>
  <c r="O1021" i="328"/>
  <c r="S1021" i="328" s="1"/>
  <c r="N1021" i="328" a="1"/>
  <c r="N1021" i="328" s="1"/>
  <c r="P1021" i="328" s="1"/>
  <c r="L1021" i="328"/>
  <c r="E1021" i="328"/>
  <c r="O1020" i="328" a="1"/>
  <c r="O1020" i="328" s="1"/>
  <c r="S1020" i="328" s="1"/>
  <c r="N1020" i="328" a="1"/>
  <c r="N1020" i="328"/>
  <c r="P1020" i="328" s="1"/>
  <c r="L1020" i="328"/>
  <c r="E1020" i="328"/>
  <c r="O1019" i="328" a="1"/>
  <c r="O1019" i="328" s="1"/>
  <c r="S1019" i="328" s="1"/>
  <c r="N1019" i="328" a="1"/>
  <c r="N1019" i="328" s="1"/>
  <c r="P1019" i="328"/>
  <c r="L1019" i="328"/>
  <c r="E1019" i="328"/>
  <c r="O1018" i="328" a="1"/>
  <c r="O1018" i="328"/>
  <c r="S1018" i="328" s="1"/>
  <c r="N1018" i="328" a="1"/>
  <c r="N1018" i="328" s="1"/>
  <c r="P1018" i="328" s="1"/>
  <c r="L1018" i="328"/>
  <c r="E1018" i="328"/>
  <c r="O1017" i="328" a="1"/>
  <c r="O1017" i="328"/>
  <c r="S1017" i="328"/>
  <c r="N1017" i="328" a="1"/>
  <c r="N1017" i="328" s="1"/>
  <c r="P1017" i="328" s="1"/>
  <c r="L1017" i="328"/>
  <c r="E1017" i="328"/>
  <c r="O1016" i="328" a="1"/>
  <c r="O1016" i="328" s="1"/>
  <c r="S1016" i="328" s="1"/>
  <c r="N1016" i="328" a="1"/>
  <c r="N1016" i="328"/>
  <c r="P1016" i="328" s="1"/>
  <c r="L1016" i="328"/>
  <c r="E1016" i="328"/>
  <c r="O1015" i="328" a="1"/>
  <c r="O1015" i="328"/>
  <c r="S1015" i="328" s="1"/>
  <c r="N1015" i="328" a="1"/>
  <c r="N1015" i="328" s="1"/>
  <c r="P1015" i="328"/>
  <c r="L1015" i="328"/>
  <c r="E1015" i="328"/>
  <c r="O1014" i="328" a="1"/>
  <c r="O1014" i="328"/>
  <c r="S1014" i="328"/>
  <c r="N1014" i="328" a="1"/>
  <c r="N1014" i="328"/>
  <c r="P1014" i="328" s="1"/>
  <c r="L1014" i="328"/>
  <c r="E1014" i="328"/>
  <c r="E1012" i="328"/>
  <c r="T1004" i="328"/>
  <c r="I1038" i="328" s="1"/>
  <c r="O994" i="328" a="1"/>
  <c r="O994" i="328" s="1"/>
  <c r="S994" i="328" s="1"/>
  <c r="N994" i="328" a="1"/>
  <c r="N994" i="328" s="1"/>
  <c r="P994" i="328"/>
  <c r="L994" i="328"/>
  <c r="O993" i="328" a="1"/>
  <c r="O993" i="328" s="1"/>
  <c r="S993" i="328" s="1"/>
  <c r="N993" i="328" a="1"/>
  <c r="N993" i="328" s="1"/>
  <c r="P993" i="328" s="1"/>
  <c r="L993" i="328"/>
  <c r="O992" i="328" a="1"/>
  <c r="O992" i="328"/>
  <c r="S992" i="328"/>
  <c r="N992" i="328" a="1"/>
  <c r="N992" i="328"/>
  <c r="P992" i="328" s="1"/>
  <c r="L992" i="328"/>
  <c r="I992" i="328"/>
  <c r="I993" i="328"/>
  <c r="O991" i="328" a="1"/>
  <c r="O991" i="328" s="1"/>
  <c r="S991" i="328" s="1"/>
  <c r="N991" i="328" a="1"/>
  <c r="N991" i="328"/>
  <c r="P991" i="328" s="1"/>
  <c r="L991" i="328"/>
  <c r="O990" i="328" a="1"/>
  <c r="O990" i="328"/>
  <c r="S990" i="328" s="1"/>
  <c r="N990" i="328" a="1"/>
  <c r="N990" i="328" s="1"/>
  <c r="P990" i="328" s="1"/>
  <c r="L990" i="328"/>
  <c r="O989" i="328" a="1"/>
  <c r="O989" i="328"/>
  <c r="S989" i="328"/>
  <c r="N989" i="328" a="1"/>
  <c r="N989" i="328" s="1"/>
  <c r="P989" i="328" s="1"/>
  <c r="L989" i="328"/>
  <c r="E989" i="328"/>
  <c r="O988" i="328" a="1"/>
  <c r="O988" i="328" s="1"/>
  <c r="S988" i="328"/>
  <c r="N988" i="328" a="1"/>
  <c r="N988" i="328" s="1"/>
  <c r="P988" i="328" s="1"/>
  <c r="L988" i="328"/>
  <c r="E988" i="328"/>
  <c r="O987" i="328" a="1"/>
  <c r="O987" i="328"/>
  <c r="S987" i="328"/>
  <c r="N987" i="328" a="1"/>
  <c r="N987" i="328"/>
  <c r="P987" i="328" s="1"/>
  <c r="L987" i="328"/>
  <c r="E987" i="328"/>
  <c r="O986" i="328" a="1"/>
  <c r="O986" i="328" s="1"/>
  <c r="S986" i="328"/>
  <c r="N986" i="328" a="1"/>
  <c r="N986" i="328"/>
  <c r="P986" i="328" s="1"/>
  <c r="L986" i="328"/>
  <c r="E986" i="328"/>
  <c r="O985" i="328" a="1"/>
  <c r="O985" i="328"/>
  <c r="S985" i="328"/>
  <c r="N985" i="328" a="1"/>
  <c r="N985" i="328"/>
  <c r="P985" i="328" s="1"/>
  <c r="L985" i="328"/>
  <c r="E985" i="328"/>
  <c r="O984" i="328" a="1"/>
  <c r="O984" i="328" s="1"/>
  <c r="S984" i="328"/>
  <c r="N984" i="328" a="1"/>
  <c r="N984" i="328"/>
  <c r="P984" i="328"/>
  <c r="L984" i="328"/>
  <c r="E984" i="328"/>
  <c r="O983" i="328" a="1"/>
  <c r="O983" i="328"/>
  <c r="S983" i="328"/>
  <c r="N983" i="328" a="1"/>
  <c r="N983" i="328"/>
  <c r="P983" i="328"/>
  <c r="L983" i="328"/>
  <c r="E983" i="328"/>
  <c r="O982" i="328" a="1"/>
  <c r="O982" i="328" s="1"/>
  <c r="S982" i="328"/>
  <c r="N982" i="328" a="1"/>
  <c r="N982" i="328"/>
  <c r="P982" i="328"/>
  <c r="L982" i="328"/>
  <c r="E982" i="328"/>
  <c r="O981" i="328" a="1"/>
  <c r="O981" i="328"/>
  <c r="S981" i="328"/>
  <c r="N981" i="328" a="1"/>
  <c r="N981" i="328"/>
  <c r="P981" i="328"/>
  <c r="L981" i="328"/>
  <c r="E981" i="328"/>
  <c r="O980" i="328" a="1"/>
  <c r="O980" i="328" s="1"/>
  <c r="S980" i="328" s="1"/>
  <c r="N980" i="328" a="1"/>
  <c r="N980" i="328"/>
  <c r="P980" i="328" s="1"/>
  <c r="L980" i="328"/>
  <c r="E980" i="328"/>
  <c r="O979" i="328" a="1"/>
  <c r="O979" i="328"/>
  <c r="S979" i="328"/>
  <c r="N979" i="328" a="1"/>
  <c r="N979" i="328" s="1"/>
  <c r="P979" i="328" s="1"/>
  <c r="L979" i="328"/>
  <c r="E979" i="328"/>
  <c r="O978" i="328" a="1"/>
  <c r="O978" i="328" s="1"/>
  <c r="S978" i="328" s="1"/>
  <c r="N978" i="328" a="1"/>
  <c r="N978" i="328"/>
  <c r="P978" i="328"/>
  <c r="L978" i="328"/>
  <c r="E978" i="328"/>
  <c r="O977" i="328" a="1"/>
  <c r="O977" i="328"/>
  <c r="S977" i="328"/>
  <c r="N977" i="328" a="1"/>
  <c r="N977" i="328"/>
  <c r="P977" i="328" s="1"/>
  <c r="L977" i="328"/>
  <c r="E977" i="328"/>
  <c r="O976" i="328" a="1"/>
  <c r="O976" i="328" s="1"/>
  <c r="S976" i="328"/>
  <c r="N976" i="328" a="1"/>
  <c r="N976" i="328" s="1"/>
  <c r="P976" i="328" s="1"/>
  <c r="L976" i="328"/>
  <c r="E976" i="328"/>
  <c r="O975" i="328" a="1"/>
  <c r="O975" i="328"/>
  <c r="S975" i="328"/>
  <c r="N975" i="328" a="1"/>
  <c r="N975" i="328" s="1"/>
  <c r="P975" i="328" s="1"/>
  <c r="L975" i="328"/>
  <c r="E975" i="328"/>
  <c r="O974" i="328" a="1"/>
  <c r="O974" i="328" s="1"/>
  <c r="S974" i="328" s="1"/>
  <c r="N974" i="328" a="1"/>
  <c r="N974" i="328" s="1"/>
  <c r="P974" i="328" s="1"/>
  <c r="L974" i="328"/>
  <c r="E974" i="328"/>
  <c r="O973" i="328" a="1"/>
  <c r="O973" i="328"/>
  <c r="S973" i="328"/>
  <c r="N973" i="328" a="1"/>
  <c r="N973" i="328"/>
  <c r="P973" i="328" s="1"/>
  <c r="L973" i="328"/>
  <c r="E973" i="328"/>
  <c r="O972" i="328" a="1"/>
  <c r="O972" i="328" s="1"/>
  <c r="S972" i="328" s="1"/>
  <c r="N972" i="328" a="1"/>
  <c r="N972" i="328"/>
  <c r="P972" i="328" s="1"/>
  <c r="L972" i="328"/>
  <c r="E972" i="328"/>
  <c r="O971" i="328" a="1"/>
  <c r="O971" i="328"/>
  <c r="S971" i="328"/>
  <c r="N971" i="328" a="1"/>
  <c r="N971" i="328"/>
  <c r="P971" i="328" s="1"/>
  <c r="L971" i="328"/>
  <c r="E971" i="328"/>
  <c r="O970" i="328" a="1"/>
  <c r="O970" i="328" s="1"/>
  <c r="S970" i="328"/>
  <c r="N970" i="328" a="1"/>
  <c r="N970" i="328" s="1"/>
  <c r="P970" i="328" s="1"/>
  <c r="L970" i="328"/>
  <c r="E970" i="328"/>
  <c r="O969" i="328" a="1"/>
  <c r="O969" i="328"/>
  <c r="S969" i="328"/>
  <c r="N969" i="328" a="1"/>
  <c r="N969" i="328" s="1"/>
  <c r="P969" i="328" s="1"/>
  <c r="L969" i="328"/>
  <c r="E969" i="328"/>
  <c r="O968" i="328" a="1"/>
  <c r="O968" i="328" s="1"/>
  <c r="S968" i="328" s="1"/>
  <c r="N968" i="328" a="1"/>
  <c r="N968" i="328" s="1"/>
  <c r="P968" i="328" s="1"/>
  <c r="L968" i="328"/>
  <c r="E968" i="328"/>
  <c r="O967" i="328" a="1"/>
  <c r="O967" i="328"/>
  <c r="S967" i="328"/>
  <c r="N967" i="328" a="1"/>
  <c r="N967" i="328"/>
  <c r="P967" i="328"/>
  <c r="L967" i="328"/>
  <c r="E967" i="328"/>
  <c r="E965" i="328"/>
  <c r="T957" i="328"/>
  <c r="I991" i="328"/>
  <c r="O947" i="328" a="1"/>
  <c r="O947" i="328" s="1"/>
  <c r="S947" i="328" s="1"/>
  <c r="N947" i="328" a="1"/>
  <c r="N947" i="328" s="1"/>
  <c r="P947" i="328" s="1"/>
  <c r="L947" i="328"/>
  <c r="O946" i="328" a="1"/>
  <c r="O946" i="328"/>
  <c r="S946" i="328"/>
  <c r="N946" i="328" a="1"/>
  <c r="N946" i="328"/>
  <c r="P946" i="328" s="1"/>
  <c r="L946" i="328"/>
  <c r="O945" i="328" a="1"/>
  <c r="O945" i="328" s="1"/>
  <c r="S945" i="328" s="1"/>
  <c r="N945" i="328" a="1"/>
  <c r="N945" i="328" s="1"/>
  <c r="P945" i="328" s="1"/>
  <c r="L945" i="328"/>
  <c r="I945" i="328"/>
  <c r="I946" i="328" s="1"/>
  <c r="O944" i="328" a="1"/>
  <c r="O944" i="328"/>
  <c r="S944" i="328"/>
  <c r="N944" i="328" a="1"/>
  <c r="N944" i="328"/>
  <c r="P944" i="328" s="1"/>
  <c r="L944" i="328"/>
  <c r="O943" i="328" a="1"/>
  <c r="O943" i="328"/>
  <c r="S943" i="328" s="1"/>
  <c r="N943" i="328" a="1"/>
  <c r="N943" i="328"/>
  <c r="P943" i="328" s="1"/>
  <c r="L943" i="328"/>
  <c r="O942" i="328" a="1"/>
  <c r="O942" i="328"/>
  <c r="S942" i="328"/>
  <c r="N942" i="328" a="1"/>
  <c r="N942" i="328"/>
  <c r="P942" i="328"/>
  <c r="L942" i="328"/>
  <c r="E942" i="328"/>
  <c r="O941" i="328" a="1"/>
  <c r="O941" i="328"/>
  <c r="S941" i="328"/>
  <c r="N941" i="328" a="1"/>
  <c r="N941" i="328" s="1"/>
  <c r="P941" i="328" s="1"/>
  <c r="L941" i="328"/>
  <c r="E941" i="328"/>
  <c r="O940" i="328" a="1"/>
  <c r="O940" i="328"/>
  <c r="S940" i="328" s="1"/>
  <c r="N940" i="328" a="1"/>
  <c r="N940" i="328"/>
  <c r="P940" i="328"/>
  <c r="L940" i="328"/>
  <c r="E940" i="328"/>
  <c r="O939" i="328" a="1"/>
  <c r="O939" i="328" s="1"/>
  <c r="S939" i="328" s="1"/>
  <c r="N939" i="328" a="1"/>
  <c r="N939" i="328" s="1"/>
  <c r="P939" i="328" s="1"/>
  <c r="L939" i="328"/>
  <c r="E939" i="328"/>
  <c r="O938" i="328" a="1"/>
  <c r="O938" i="328"/>
  <c r="S938" i="328"/>
  <c r="N938" i="328" a="1"/>
  <c r="N938" i="328"/>
  <c r="P938" i="328"/>
  <c r="L938" i="328"/>
  <c r="E938" i="328"/>
  <c r="O937" i="328" a="1"/>
  <c r="O937" i="328" s="1"/>
  <c r="S937" i="328" s="1"/>
  <c r="N937" i="328" a="1"/>
  <c r="N937" i="328" s="1"/>
  <c r="P937" i="328"/>
  <c r="L937" i="328"/>
  <c r="E937" i="328"/>
  <c r="O936" i="328" a="1"/>
  <c r="O936" i="328" s="1"/>
  <c r="S936" i="328"/>
  <c r="N936" i="328" a="1"/>
  <c r="N936" i="328"/>
  <c r="P936" i="328"/>
  <c r="L936" i="328"/>
  <c r="E936" i="328"/>
  <c r="O935" i="328" a="1"/>
  <c r="O935" i="328"/>
  <c r="S935" i="328"/>
  <c r="N935" i="328" a="1"/>
  <c r="N935" i="328" s="1"/>
  <c r="P935" i="328" s="1"/>
  <c r="L935" i="328"/>
  <c r="E935" i="328"/>
  <c r="O934" i="328" a="1"/>
  <c r="O934" i="328"/>
  <c r="S934" i="328" s="1"/>
  <c r="N934" i="328" a="1"/>
  <c r="N934" i="328"/>
  <c r="P934" i="328"/>
  <c r="L934" i="328"/>
  <c r="E934" i="328"/>
  <c r="O933" i="328" a="1"/>
  <c r="O933" i="328"/>
  <c r="S933" i="328"/>
  <c r="N933" i="328" a="1"/>
  <c r="N933" i="328" s="1"/>
  <c r="P933" i="328" s="1"/>
  <c r="L933" i="328"/>
  <c r="E933" i="328"/>
  <c r="O932" i="328" a="1"/>
  <c r="O932" i="328" s="1"/>
  <c r="S932" i="328" s="1"/>
  <c r="N932" i="328" a="1"/>
  <c r="N932" i="328"/>
  <c r="P932" i="328"/>
  <c r="L932" i="328"/>
  <c r="E932" i="328"/>
  <c r="O931" i="328" a="1"/>
  <c r="O931" i="328" s="1"/>
  <c r="S931" i="328" s="1"/>
  <c r="N931" i="328" a="1"/>
  <c r="N931" i="328" s="1"/>
  <c r="P931" i="328" s="1"/>
  <c r="L931" i="328"/>
  <c r="E931" i="328"/>
  <c r="O930" i="328" a="1"/>
  <c r="O930" i="328"/>
  <c r="S930" i="328" s="1"/>
  <c r="N930" i="328" a="1"/>
  <c r="N930" i="328"/>
  <c r="P930" i="328"/>
  <c r="L930" i="328"/>
  <c r="E930" i="328"/>
  <c r="O929" i="328" a="1"/>
  <c r="O929" i="328" s="1"/>
  <c r="S929" i="328" s="1"/>
  <c r="N929" i="328" a="1"/>
  <c r="N929" i="328" s="1"/>
  <c r="P929" i="328"/>
  <c r="L929" i="328"/>
  <c r="E929" i="328"/>
  <c r="O928" i="328" a="1"/>
  <c r="O928" i="328" s="1"/>
  <c r="S928" i="328"/>
  <c r="N928" i="328" a="1"/>
  <c r="N928" i="328"/>
  <c r="P928" i="328"/>
  <c r="L928" i="328"/>
  <c r="E928" i="328"/>
  <c r="O927" i="328" a="1"/>
  <c r="O927" i="328"/>
  <c r="S927" i="328" s="1"/>
  <c r="N927" i="328" a="1"/>
  <c r="N927" i="328" s="1"/>
  <c r="P927" i="328"/>
  <c r="L927" i="328"/>
  <c r="E927" i="328"/>
  <c r="O926" i="328" a="1"/>
  <c r="O926" i="328" s="1"/>
  <c r="S926" i="328" s="1"/>
  <c r="N926" i="328" a="1"/>
  <c r="N926" i="328"/>
  <c r="P926" i="328"/>
  <c r="L926" i="328"/>
  <c r="E926" i="328"/>
  <c r="O925" i="328" a="1"/>
  <c r="O925" i="328" s="1"/>
  <c r="S925" i="328" s="1"/>
  <c r="N925" i="328" a="1"/>
  <c r="N925" i="328" s="1"/>
  <c r="P925" i="328" s="1"/>
  <c r="L925" i="328"/>
  <c r="E925" i="328"/>
  <c r="O924" i="328" a="1"/>
  <c r="O924" i="328" s="1"/>
  <c r="S924" i="328" s="1"/>
  <c r="N924" i="328" a="1"/>
  <c r="N924" i="328"/>
  <c r="P924" i="328"/>
  <c r="L924" i="328"/>
  <c r="E924" i="328"/>
  <c r="O923" i="328" a="1"/>
  <c r="O923" i="328"/>
  <c r="S923" i="328" s="1"/>
  <c r="N923" i="328" a="1"/>
  <c r="N923" i="328" s="1"/>
  <c r="P923" i="328" s="1"/>
  <c r="L923" i="328"/>
  <c r="E923" i="328"/>
  <c r="O922" i="328" a="1"/>
  <c r="O922" i="328" s="1"/>
  <c r="S922" i="328" s="1"/>
  <c r="N922" i="328" a="1"/>
  <c r="N922" i="328"/>
  <c r="P922" i="328"/>
  <c r="L922" i="328"/>
  <c r="E922" i="328"/>
  <c r="O921" i="328" a="1"/>
  <c r="O921" i="328"/>
  <c r="S921" i="328"/>
  <c r="N921" i="328" a="1"/>
  <c r="N921" i="328" s="1"/>
  <c r="P921" i="328" s="1"/>
  <c r="L921" i="328"/>
  <c r="E921" i="328"/>
  <c r="O920" i="328" a="1"/>
  <c r="O920" i="328"/>
  <c r="S920" i="328" s="1"/>
  <c r="N920" i="328" a="1"/>
  <c r="N920" i="328"/>
  <c r="P920" i="328"/>
  <c r="L920" i="328"/>
  <c r="E920" i="328"/>
  <c r="E918" i="328"/>
  <c r="T910" i="328"/>
  <c r="I944" i="328"/>
  <c r="O900" i="328" a="1"/>
  <c r="O900" i="328" s="1"/>
  <c r="S900" i="328"/>
  <c r="N900" i="328" a="1"/>
  <c r="N900" i="328" s="1"/>
  <c r="P900" i="328" s="1"/>
  <c r="L900" i="328"/>
  <c r="O899" i="328" a="1"/>
  <c r="O899" i="328"/>
  <c r="S899" i="328" s="1"/>
  <c r="N899" i="328" a="1"/>
  <c r="N899" i="328"/>
  <c r="P899" i="328" s="1"/>
  <c r="L899" i="328"/>
  <c r="O898" i="328" a="1"/>
  <c r="O898" i="328"/>
  <c r="S898" i="328" s="1"/>
  <c r="N898" i="328" a="1"/>
  <c r="N898" i="328" s="1"/>
  <c r="P898" i="328" s="1"/>
  <c r="L898" i="328"/>
  <c r="I898" i="328"/>
  <c r="I899" i="328"/>
  <c r="O897" i="328" a="1"/>
  <c r="O897" i="328" s="1"/>
  <c r="S897" i="328" s="1"/>
  <c r="N897" i="328" a="1"/>
  <c r="N897" i="328"/>
  <c r="P897" i="328" s="1"/>
  <c r="L897" i="328"/>
  <c r="O896" i="328" a="1"/>
  <c r="O896" i="328" s="1"/>
  <c r="S896" i="328" s="1"/>
  <c r="N896" i="328" a="1"/>
  <c r="N896" i="328" s="1"/>
  <c r="P896" i="328" s="1"/>
  <c r="L896" i="328"/>
  <c r="O895" i="328" a="1"/>
  <c r="O895" i="328"/>
  <c r="S895" i="328" s="1"/>
  <c r="N895" i="328" a="1"/>
  <c r="N895" i="328" s="1"/>
  <c r="P895" i="328" s="1"/>
  <c r="L895" i="328"/>
  <c r="E895" i="328"/>
  <c r="O894" i="328" a="1"/>
  <c r="O894" i="328" s="1"/>
  <c r="S894" i="328" s="1"/>
  <c r="N894" i="328" a="1"/>
  <c r="N894" i="328"/>
  <c r="P894" i="328" s="1"/>
  <c r="L894" i="328"/>
  <c r="E894" i="328"/>
  <c r="O893" i="328" a="1"/>
  <c r="O893" i="328"/>
  <c r="S893" i="328"/>
  <c r="N893" i="328" a="1"/>
  <c r="N893" i="328" s="1"/>
  <c r="P893" i="328" s="1"/>
  <c r="L893" i="328"/>
  <c r="E893" i="328"/>
  <c r="O892" i="328" a="1"/>
  <c r="O892" i="328"/>
  <c r="S892" i="328" s="1"/>
  <c r="N892" i="328" a="1"/>
  <c r="N892" i="328" s="1"/>
  <c r="P892" i="328" s="1"/>
  <c r="L892" i="328"/>
  <c r="E892" i="328"/>
  <c r="O891" i="328" a="1"/>
  <c r="O891" i="328"/>
  <c r="S891" i="328" s="1"/>
  <c r="N891" i="328" a="1"/>
  <c r="N891" i="328" s="1"/>
  <c r="P891" i="328" s="1"/>
  <c r="L891" i="328"/>
  <c r="E891" i="328"/>
  <c r="O890" i="328" a="1"/>
  <c r="O890" i="328"/>
  <c r="S890" i="328" s="1"/>
  <c r="N890" i="328" a="1"/>
  <c r="N890" i="328"/>
  <c r="P890" i="328" s="1"/>
  <c r="L890" i="328"/>
  <c r="E890" i="328"/>
  <c r="O889" i="328" a="1"/>
  <c r="O889" i="328" s="1"/>
  <c r="S889" i="328" s="1"/>
  <c r="N889" i="328" a="1"/>
  <c r="N889" i="328" s="1"/>
  <c r="P889" i="328" s="1"/>
  <c r="L889" i="328"/>
  <c r="E889" i="328"/>
  <c r="O888" i="328" a="1"/>
  <c r="O888" i="328"/>
  <c r="S888" i="328" s="1"/>
  <c r="N888" i="328" a="1"/>
  <c r="N888" i="328" s="1"/>
  <c r="P888" i="328" s="1"/>
  <c r="L888" i="328"/>
  <c r="E888" i="328"/>
  <c r="O887" i="328" a="1"/>
  <c r="O887" i="328" s="1"/>
  <c r="S887" i="328"/>
  <c r="N887" i="328" a="1"/>
  <c r="N887" i="328" s="1"/>
  <c r="P887" i="328" s="1"/>
  <c r="L887" i="328"/>
  <c r="E887" i="328"/>
  <c r="O886" i="328" a="1"/>
  <c r="O886" i="328" s="1"/>
  <c r="S886" i="328" s="1"/>
  <c r="N886" i="328" a="1"/>
  <c r="N886" i="328"/>
  <c r="P886" i="328" s="1"/>
  <c r="L886" i="328"/>
  <c r="E886" i="328"/>
  <c r="O885" i="328" a="1"/>
  <c r="O885" i="328"/>
  <c r="S885" i="328" s="1"/>
  <c r="N885" i="328" a="1"/>
  <c r="N885" i="328" s="1"/>
  <c r="P885" i="328" s="1"/>
  <c r="L885" i="328"/>
  <c r="E885" i="328"/>
  <c r="O884" i="328" a="1"/>
  <c r="O884" i="328"/>
  <c r="S884" i="328"/>
  <c r="N884" i="328" a="1"/>
  <c r="N884" i="328" s="1"/>
  <c r="P884" i="328" s="1"/>
  <c r="L884" i="328"/>
  <c r="E884" i="328"/>
  <c r="O883" i="328" a="1"/>
  <c r="O883" i="328"/>
  <c r="S883" i="328" s="1"/>
  <c r="N883" i="328" a="1"/>
  <c r="N883" i="328" s="1"/>
  <c r="P883" i="328" s="1"/>
  <c r="L883" i="328"/>
  <c r="E883" i="328"/>
  <c r="O882" i="328" a="1"/>
  <c r="O882" i="328" s="1"/>
  <c r="S882" i="328" s="1"/>
  <c r="N882" i="328" a="1"/>
  <c r="N882" i="328" s="1"/>
  <c r="P882" i="328" s="1"/>
  <c r="L882" i="328"/>
  <c r="E882" i="328"/>
  <c r="O881" i="328" a="1"/>
  <c r="O881" i="328" s="1"/>
  <c r="S881" i="328" s="1"/>
  <c r="N881" i="328" a="1"/>
  <c r="N881" i="328" s="1"/>
  <c r="P881" i="328" s="1"/>
  <c r="L881" i="328"/>
  <c r="E881" i="328"/>
  <c r="O880" i="328" a="1"/>
  <c r="O880" i="328"/>
  <c r="S880" i="328" s="1"/>
  <c r="N880" i="328" a="1"/>
  <c r="N880" i="328" s="1"/>
  <c r="P880" i="328" s="1"/>
  <c r="L880" i="328"/>
  <c r="E880" i="328"/>
  <c r="O879" i="328" a="1"/>
  <c r="O879" i="328" s="1"/>
  <c r="S879" i="328" s="1"/>
  <c r="N879" i="328" a="1"/>
  <c r="N879" i="328" s="1"/>
  <c r="P879" i="328" s="1"/>
  <c r="L879" i="328"/>
  <c r="E879" i="328"/>
  <c r="O878" i="328" a="1"/>
  <c r="O878" i="328" s="1"/>
  <c r="S878" i="328" s="1"/>
  <c r="N878" i="328" a="1"/>
  <c r="N878" i="328"/>
  <c r="P878" i="328" s="1"/>
  <c r="L878" i="328"/>
  <c r="E878" i="328"/>
  <c r="O877" i="328" a="1"/>
  <c r="O877" i="328"/>
  <c r="S877" i="328"/>
  <c r="N877" i="328" a="1"/>
  <c r="N877" i="328" s="1"/>
  <c r="P877" i="328" s="1"/>
  <c r="L877" i="328"/>
  <c r="E877" i="328"/>
  <c r="O876" i="328" a="1"/>
  <c r="O876" i="328" s="1"/>
  <c r="S876" i="328"/>
  <c r="N876" i="328" a="1"/>
  <c r="N876" i="328" s="1"/>
  <c r="P876" i="328" s="1"/>
  <c r="L876" i="328"/>
  <c r="E876" i="328"/>
  <c r="O875" i="328" a="1"/>
  <c r="O875" i="328" s="1"/>
  <c r="S875" i="328"/>
  <c r="N875" i="328" a="1"/>
  <c r="N875" i="328" s="1"/>
  <c r="P875" i="328" s="1"/>
  <c r="L875" i="328"/>
  <c r="E875" i="328"/>
  <c r="O874" i="328" a="1"/>
  <c r="O874" i="328"/>
  <c r="S874" i="328"/>
  <c r="N874" i="328" a="1"/>
  <c r="N874" i="328" s="1"/>
  <c r="P874" i="328" s="1"/>
  <c r="L874" i="328"/>
  <c r="E874" i="328"/>
  <c r="O873" i="328" a="1"/>
  <c r="O873" i="328"/>
  <c r="S873" i="328" s="1"/>
  <c r="N873" i="328" a="1"/>
  <c r="N873" i="328" s="1"/>
  <c r="P873" i="328" s="1"/>
  <c r="L873" i="328"/>
  <c r="E873" i="328"/>
  <c r="E871" i="328"/>
  <c r="T863" i="328"/>
  <c r="I897" i="328"/>
  <c r="O853" i="328" a="1"/>
  <c r="O853" i="328" s="1"/>
  <c r="S853" i="328" s="1"/>
  <c r="N853" i="328" a="1"/>
  <c r="N853" i="328" s="1"/>
  <c r="P853" i="328" s="1"/>
  <c r="L853" i="328"/>
  <c r="O852" i="328" a="1"/>
  <c r="O852" i="328"/>
  <c r="S852" i="328" s="1"/>
  <c r="N852" i="328" a="1"/>
  <c r="N852" i="328" s="1"/>
  <c r="P852" i="328" s="1"/>
  <c r="L852" i="328"/>
  <c r="O851" i="328" a="1"/>
  <c r="O851" i="328"/>
  <c r="S851" i="328" s="1"/>
  <c r="N851" i="328" a="1"/>
  <c r="N851" i="328" s="1"/>
  <c r="P851" i="328" s="1"/>
  <c r="L851" i="328"/>
  <c r="I851" i="328"/>
  <c r="I852" i="328" s="1"/>
  <c r="O850" i="328" a="1"/>
  <c r="O850" i="328" s="1"/>
  <c r="S850" i="328"/>
  <c r="N850" i="328" a="1"/>
  <c r="N850" i="328" s="1"/>
  <c r="P850" i="328" s="1"/>
  <c r="L850" i="328"/>
  <c r="O849" i="328" a="1"/>
  <c r="O849" i="328"/>
  <c r="S849" i="328"/>
  <c r="N849" i="328" a="1"/>
  <c r="N849" i="328"/>
  <c r="P849" i="328" s="1"/>
  <c r="L849" i="328"/>
  <c r="O848" i="328" a="1"/>
  <c r="O848" i="328"/>
  <c r="S848" i="328" s="1"/>
  <c r="N848" i="328" a="1"/>
  <c r="N848" i="328"/>
  <c r="P848" i="328" s="1"/>
  <c r="L848" i="328"/>
  <c r="E848" i="328"/>
  <c r="O847" i="328" a="1"/>
  <c r="O847" i="328" s="1"/>
  <c r="S847" i="328" s="1"/>
  <c r="N847" i="328" a="1"/>
  <c r="N847" i="328" s="1"/>
  <c r="P847" i="328" s="1"/>
  <c r="L847" i="328"/>
  <c r="E847" i="328"/>
  <c r="O846" i="328" a="1"/>
  <c r="O846" i="328" s="1"/>
  <c r="S846" i="328" s="1"/>
  <c r="N846" i="328" a="1"/>
  <c r="N846" i="328" s="1"/>
  <c r="P846" i="328" s="1"/>
  <c r="L846" i="328"/>
  <c r="E846" i="328"/>
  <c r="O845" i="328" a="1"/>
  <c r="O845" i="328" s="1"/>
  <c r="S845" i="328" s="1"/>
  <c r="N845" i="328" a="1"/>
  <c r="N845" i="328" s="1"/>
  <c r="P845" i="328" s="1"/>
  <c r="L845" i="328"/>
  <c r="E845" i="328"/>
  <c r="O844" i="328" a="1"/>
  <c r="O844" i="328"/>
  <c r="S844" i="328" s="1"/>
  <c r="N844" i="328" a="1"/>
  <c r="N844" i="328"/>
  <c r="P844" i="328" s="1"/>
  <c r="L844" i="328"/>
  <c r="E844" i="328"/>
  <c r="O843" i="328" a="1"/>
  <c r="O843" i="328" s="1"/>
  <c r="S843" i="328" s="1"/>
  <c r="N843" i="328" a="1"/>
  <c r="N843" i="328"/>
  <c r="P843" i="328" s="1"/>
  <c r="L843" i="328"/>
  <c r="E843" i="328"/>
  <c r="O842" i="328" a="1"/>
  <c r="O842" i="328" s="1"/>
  <c r="S842" i="328" s="1"/>
  <c r="N842" i="328" a="1"/>
  <c r="N842" i="328" s="1"/>
  <c r="P842" i="328" s="1"/>
  <c r="L842" i="328"/>
  <c r="E842" i="328"/>
  <c r="O841" i="328" a="1"/>
  <c r="O841" i="328" s="1"/>
  <c r="S841" i="328" s="1"/>
  <c r="N841" i="328" a="1"/>
  <c r="N841" i="328"/>
  <c r="P841" i="328" s="1"/>
  <c r="L841" i="328"/>
  <c r="E841" i="328"/>
  <c r="O840" i="328" a="1"/>
  <c r="O840" i="328"/>
  <c r="S840" i="328" s="1"/>
  <c r="N840" i="328" a="1"/>
  <c r="N840" i="328"/>
  <c r="P840" i="328" s="1"/>
  <c r="L840" i="328"/>
  <c r="E840" i="328"/>
  <c r="O839" i="328" a="1"/>
  <c r="O839" i="328" s="1"/>
  <c r="S839" i="328" s="1"/>
  <c r="N839" i="328" a="1"/>
  <c r="N839" i="328" s="1"/>
  <c r="P839" i="328" s="1"/>
  <c r="L839" i="328"/>
  <c r="E839" i="328"/>
  <c r="O838" i="328" a="1"/>
  <c r="O838" i="328" s="1"/>
  <c r="S838" i="328" s="1"/>
  <c r="N838" i="328" a="1"/>
  <c r="N838" i="328" s="1"/>
  <c r="P838" i="328" s="1"/>
  <c r="L838" i="328"/>
  <c r="E838" i="328"/>
  <c r="O837" i="328" a="1"/>
  <c r="O837" i="328" s="1"/>
  <c r="S837" i="328" s="1"/>
  <c r="N837" i="328" a="1"/>
  <c r="N837" i="328" s="1"/>
  <c r="P837" i="328" s="1"/>
  <c r="L837" i="328"/>
  <c r="E837" i="328"/>
  <c r="O836" i="328" a="1"/>
  <c r="O836" i="328" s="1"/>
  <c r="S836" i="328" s="1"/>
  <c r="N836" i="328" a="1"/>
  <c r="N836" i="328" s="1"/>
  <c r="P836" i="328" s="1"/>
  <c r="L836" i="328"/>
  <c r="E836" i="328"/>
  <c r="O835" i="328" a="1"/>
  <c r="O835" i="328" s="1"/>
  <c r="S835" i="328" s="1"/>
  <c r="N835" i="328" a="1"/>
  <c r="N835" i="328"/>
  <c r="P835" i="328" s="1"/>
  <c r="L835" i="328"/>
  <c r="E835" i="328"/>
  <c r="O834" i="328" a="1"/>
  <c r="O834" i="328"/>
  <c r="S834" i="328" s="1"/>
  <c r="N834" i="328" a="1"/>
  <c r="N834" i="328" s="1"/>
  <c r="P834" i="328" s="1"/>
  <c r="L834" i="328"/>
  <c r="E834" i="328"/>
  <c r="O833" i="328" a="1"/>
  <c r="O833" i="328" s="1"/>
  <c r="S833" i="328" s="1"/>
  <c r="N833" i="328" a="1"/>
  <c r="N833" i="328" s="1"/>
  <c r="P833" i="328"/>
  <c r="L833" i="328"/>
  <c r="E833" i="328"/>
  <c r="O832" i="328" a="1"/>
  <c r="O832" i="328" s="1"/>
  <c r="S832" i="328" s="1"/>
  <c r="N832" i="328" a="1"/>
  <c r="N832" i="328"/>
  <c r="P832" i="328"/>
  <c r="L832" i="328"/>
  <c r="E832" i="328"/>
  <c r="O831" i="328" a="1"/>
  <c r="O831" i="328" s="1"/>
  <c r="S831" i="328" s="1"/>
  <c r="N831" i="328" a="1"/>
  <c r="N831" i="328" s="1"/>
  <c r="P831" i="328" s="1"/>
  <c r="L831" i="328"/>
  <c r="E831" i="328"/>
  <c r="O830" i="328" a="1"/>
  <c r="O830" i="328"/>
  <c r="S830" i="328" s="1"/>
  <c r="N830" i="328" a="1"/>
  <c r="N830" i="328"/>
  <c r="P830" i="328" s="1"/>
  <c r="L830" i="328"/>
  <c r="E830" i="328"/>
  <c r="O829" i="328" a="1"/>
  <c r="O829" i="328" s="1"/>
  <c r="S829" i="328" s="1"/>
  <c r="N829" i="328" a="1"/>
  <c r="N829" i="328"/>
  <c r="P829" i="328" s="1"/>
  <c r="L829" i="328"/>
  <c r="E829" i="328"/>
  <c r="O828" i="328" a="1"/>
  <c r="O828" i="328"/>
  <c r="S828" i="328" s="1"/>
  <c r="N828" i="328" a="1"/>
  <c r="N828" i="328"/>
  <c r="P828" i="328" s="1"/>
  <c r="L828" i="328"/>
  <c r="E828" i="328"/>
  <c r="O827" i="328" a="1"/>
  <c r="O827" i="328" s="1"/>
  <c r="S827" i="328" s="1"/>
  <c r="N827" i="328" a="1"/>
  <c r="N827" i="328"/>
  <c r="P827" i="328"/>
  <c r="L827" i="328"/>
  <c r="E827" i="328"/>
  <c r="O826" i="328" a="1"/>
  <c r="O826" i="328"/>
  <c r="S826" i="328" s="1"/>
  <c r="N826" i="328" a="1"/>
  <c r="N826" i="328" s="1"/>
  <c r="P826" i="328"/>
  <c r="L826" i="328"/>
  <c r="E826" i="328"/>
  <c r="E824" i="328"/>
  <c r="T816" i="328"/>
  <c r="I850" i="328"/>
  <c r="O806" i="328" a="1"/>
  <c r="O806" i="328" s="1"/>
  <c r="S806" i="328" s="1"/>
  <c r="N806" i="328" a="1"/>
  <c r="N806" i="328" s="1"/>
  <c r="P806" i="328" s="1"/>
  <c r="L806" i="328"/>
  <c r="O805" i="328" a="1"/>
  <c r="O805" i="328" s="1"/>
  <c r="S805" i="328" s="1"/>
  <c r="N805" i="328" a="1"/>
  <c r="N805" i="328" s="1"/>
  <c r="P805" i="328" s="1"/>
  <c r="L805" i="328"/>
  <c r="O804" i="328" a="1"/>
  <c r="O804" i="328"/>
  <c r="S804" i="328" s="1"/>
  <c r="N804" i="328" a="1"/>
  <c r="N804" i="328"/>
  <c r="P804" i="328" s="1"/>
  <c r="L804" i="328"/>
  <c r="I804" i="328"/>
  <c r="I805" i="328"/>
  <c r="O803" i="328" a="1"/>
  <c r="O803" i="328"/>
  <c r="S803" i="328" s="1"/>
  <c r="N803" i="328" a="1"/>
  <c r="N803" i="328" s="1"/>
  <c r="P803" i="328" s="1"/>
  <c r="L803" i="328"/>
  <c r="O802" i="328" a="1"/>
  <c r="O802" i="328" s="1"/>
  <c r="S802" i="328"/>
  <c r="N802" i="328" a="1"/>
  <c r="N802" i="328"/>
  <c r="P802" i="328"/>
  <c r="L802" i="328"/>
  <c r="O801" i="328" a="1"/>
  <c r="O801" i="328" s="1"/>
  <c r="S801" i="328" s="1"/>
  <c r="N801" i="328" a="1"/>
  <c r="N801" i="328"/>
  <c r="P801" i="328" s="1"/>
  <c r="L801" i="328"/>
  <c r="E801" i="328"/>
  <c r="O800" i="328" a="1"/>
  <c r="O800" i="328"/>
  <c r="S800" i="328"/>
  <c r="N800" i="328" a="1"/>
  <c r="N800" i="328" s="1"/>
  <c r="P800" i="328" s="1"/>
  <c r="L800" i="328"/>
  <c r="E800" i="328"/>
  <c r="O799" i="328" a="1"/>
  <c r="O799" i="328" s="1"/>
  <c r="S799" i="328" s="1"/>
  <c r="N799" i="328" a="1"/>
  <c r="N799" i="328" s="1"/>
  <c r="P799" i="328" s="1"/>
  <c r="L799" i="328"/>
  <c r="E799" i="328"/>
  <c r="O798" i="328" a="1"/>
  <c r="O798" i="328" s="1"/>
  <c r="S798" i="328" s="1"/>
  <c r="N798" i="328" a="1"/>
  <c r="N798" i="328" s="1"/>
  <c r="P798" i="328" s="1"/>
  <c r="L798" i="328"/>
  <c r="E798" i="328"/>
  <c r="O797" i="328" a="1"/>
  <c r="O797" i="328"/>
  <c r="S797" i="328" s="1"/>
  <c r="N797" i="328" a="1"/>
  <c r="N797" i="328" s="1"/>
  <c r="P797" i="328" s="1"/>
  <c r="L797" i="328"/>
  <c r="E797" i="328"/>
  <c r="O796" i="328" a="1"/>
  <c r="O796" i="328" s="1"/>
  <c r="S796" i="328" s="1"/>
  <c r="N796" i="328" a="1"/>
  <c r="N796" i="328" s="1"/>
  <c r="P796" i="328" s="1"/>
  <c r="L796" i="328"/>
  <c r="E796" i="328"/>
  <c r="O795" i="328" a="1"/>
  <c r="O795" i="328" s="1"/>
  <c r="S795" i="328" s="1"/>
  <c r="N795" i="328" a="1"/>
  <c r="N795" i="328"/>
  <c r="P795" i="328" s="1"/>
  <c r="L795" i="328"/>
  <c r="E795" i="328"/>
  <c r="O794" i="328" a="1"/>
  <c r="O794" i="328" s="1"/>
  <c r="S794" i="328" s="1"/>
  <c r="N794" i="328" a="1"/>
  <c r="N794" i="328" s="1"/>
  <c r="P794" i="328" s="1"/>
  <c r="L794" i="328"/>
  <c r="E794" i="328"/>
  <c r="O793" i="328" a="1"/>
  <c r="O793" i="328" s="1"/>
  <c r="S793" i="328" s="1"/>
  <c r="N793" i="328" a="1"/>
  <c r="N793" i="328" s="1"/>
  <c r="P793" i="328" s="1"/>
  <c r="L793" i="328"/>
  <c r="E793" i="328"/>
  <c r="O792" i="328" a="1"/>
  <c r="O792" i="328" s="1"/>
  <c r="S792" i="328"/>
  <c r="N792" i="328" a="1"/>
  <c r="N792" i="328" s="1"/>
  <c r="P792" i="328" s="1"/>
  <c r="L792" i="328"/>
  <c r="E792" i="328"/>
  <c r="O791" i="328" a="1"/>
  <c r="O791" i="328" s="1"/>
  <c r="S791" i="328" s="1"/>
  <c r="N791" i="328" a="1"/>
  <c r="N791" i="328" s="1"/>
  <c r="P791" i="328" s="1"/>
  <c r="L791" i="328"/>
  <c r="E791" i="328"/>
  <c r="O790" i="328" a="1"/>
  <c r="O790" i="328" s="1"/>
  <c r="S790" i="328" s="1"/>
  <c r="N790" i="328" a="1"/>
  <c r="N790" i="328" s="1"/>
  <c r="P790" i="328" s="1"/>
  <c r="L790" i="328"/>
  <c r="E790" i="328"/>
  <c r="O789" i="328" a="1"/>
  <c r="O789" i="328" s="1"/>
  <c r="S789" i="328" s="1"/>
  <c r="N789" i="328" a="1"/>
  <c r="N789" i="328" s="1"/>
  <c r="P789" i="328" s="1"/>
  <c r="L789" i="328"/>
  <c r="E789" i="328"/>
  <c r="O788" i="328" a="1"/>
  <c r="O788" i="328"/>
  <c r="S788" i="328" s="1"/>
  <c r="N788" i="328" a="1"/>
  <c r="N788" i="328" s="1"/>
  <c r="P788" i="328" s="1"/>
  <c r="L788" i="328"/>
  <c r="E788" i="328"/>
  <c r="O787" i="328" a="1"/>
  <c r="O787" i="328" s="1"/>
  <c r="S787" i="328" s="1"/>
  <c r="N787" i="328" a="1"/>
  <c r="N787" i="328" s="1"/>
  <c r="P787" i="328" s="1"/>
  <c r="L787" i="328"/>
  <c r="E787" i="328"/>
  <c r="O786" i="328" a="1"/>
  <c r="O786" i="328"/>
  <c r="S786" i="328"/>
  <c r="N786" i="328" a="1"/>
  <c r="N786" i="328" s="1"/>
  <c r="P786" i="328" s="1"/>
  <c r="L786" i="328"/>
  <c r="E786" i="328"/>
  <c r="O785" i="328" a="1"/>
  <c r="O785" i="328"/>
  <c r="S785" i="328" s="1"/>
  <c r="N785" i="328" a="1"/>
  <c r="N785" i="328" s="1"/>
  <c r="P785" i="328" s="1"/>
  <c r="L785" i="328"/>
  <c r="E785" i="328"/>
  <c r="O784" i="328" a="1"/>
  <c r="O784" i="328" s="1"/>
  <c r="S784" i="328" s="1"/>
  <c r="N784" i="328" a="1"/>
  <c r="N784" i="328" s="1"/>
  <c r="P784" i="328" s="1"/>
  <c r="L784" i="328"/>
  <c r="E784" i="328"/>
  <c r="O783" i="328" a="1"/>
  <c r="O783" i="328" s="1"/>
  <c r="S783" i="328"/>
  <c r="N783" i="328" a="1"/>
  <c r="N783" i="328" s="1"/>
  <c r="P783" i="328" s="1"/>
  <c r="L783" i="328"/>
  <c r="E783" i="328"/>
  <c r="O782" i="328" a="1"/>
  <c r="O782" i="328"/>
  <c r="S782" i="328"/>
  <c r="N782" i="328" a="1"/>
  <c r="N782" i="328" s="1"/>
  <c r="P782" i="328" s="1"/>
  <c r="L782" i="328"/>
  <c r="E782" i="328"/>
  <c r="O781" i="328" a="1"/>
  <c r="O781" i="328"/>
  <c r="S781" i="328"/>
  <c r="N781" i="328" a="1"/>
  <c r="N781" i="328"/>
  <c r="P781" i="328" s="1"/>
  <c r="L781" i="328"/>
  <c r="E781" i="328"/>
  <c r="O780" i="328" a="1"/>
  <c r="O780" i="328" s="1"/>
  <c r="S780" i="328"/>
  <c r="N780" i="328" a="1"/>
  <c r="N780" i="328" s="1"/>
  <c r="P780" i="328" s="1"/>
  <c r="L780" i="328"/>
  <c r="E780" i="328"/>
  <c r="O779" i="328" a="1"/>
  <c r="O779" i="328"/>
  <c r="S779" i="328" s="1"/>
  <c r="N779" i="328" a="1"/>
  <c r="N779" i="328"/>
  <c r="P779" i="328" s="1"/>
  <c r="L779" i="328"/>
  <c r="E779" i="328"/>
  <c r="E777" i="328"/>
  <c r="T769" i="328"/>
  <c r="I803" i="328"/>
  <c r="O759" i="328" a="1"/>
  <c r="O759" i="328" s="1"/>
  <c r="S759" i="328" s="1"/>
  <c r="N759" i="328" a="1"/>
  <c r="N759" i="328" s="1"/>
  <c r="P759" i="328"/>
  <c r="L759" i="328"/>
  <c r="O758" i="328" a="1"/>
  <c r="O758" i="328"/>
  <c r="S758" i="328" s="1"/>
  <c r="N758" i="328" a="1"/>
  <c r="N758" i="328" s="1"/>
  <c r="P758" i="328" s="1"/>
  <c r="L758" i="328"/>
  <c r="O757" i="328" a="1"/>
  <c r="O757" i="328"/>
  <c r="S757" i="328"/>
  <c r="N757" i="328" a="1"/>
  <c r="N757" i="328" s="1"/>
  <c r="P757" i="328" s="1"/>
  <c r="L757" i="328"/>
  <c r="I757" i="328"/>
  <c r="I758" i="328" s="1"/>
  <c r="O756" i="328" a="1"/>
  <c r="O756" i="328"/>
  <c r="S756" i="328" s="1"/>
  <c r="N756" i="328" a="1"/>
  <c r="N756" i="328" s="1"/>
  <c r="P756" i="328" s="1"/>
  <c r="L756" i="328"/>
  <c r="O755" i="328" a="1"/>
  <c r="O755" i="328" s="1"/>
  <c r="S755" i="328" s="1"/>
  <c r="N755" i="328" a="1"/>
  <c r="N755" i="328"/>
  <c r="P755" i="328"/>
  <c r="L755" i="328"/>
  <c r="O754" i="328" a="1"/>
  <c r="O754" i="328"/>
  <c r="S754" i="328"/>
  <c r="N754" i="328" a="1"/>
  <c r="N754" i="328"/>
  <c r="P754" i="328" s="1"/>
  <c r="L754" i="328"/>
  <c r="E754" i="328"/>
  <c r="O753" i="328" a="1"/>
  <c r="O753" i="328"/>
  <c r="S753" i="328" s="1"/>
  <c r="N753" i="328" a="1"/>
  <c r="N753" i="328"/>
  <c r="P753" i="328"/>
  <c r="L753" i="328"/>
  <c r="E753" i="328"/>
  <c r="O752" i="328" a="1"/>
  <c r="O752" i="328"/>
  <c r="S752" i="328" s="1"/>
  <c r="N752" i="328" a="1"/>
  <c r="N752" i="328"/>
  <c r="P752" i="328" s="1"/>
  <c r="L752" i="328"/>
  <c r="E752" i="328"/>
  <c r="O751" i="328" a="1"/>
  <c r="O751" i="328"/>
  <c r="S751" i="328" s="1"/>
  <c r="N751" i="328" a="1"/>
  <c r="N751" i="328"/>
  <c r="P751" i="328"/>
  <c r="L751" i="328"/>
  <c r="E751" i="328"/>
  <c r="O750" i="328" a="1"/>
  <c r="O750" i="328"/>
  <c r="S750" i="328"/>
  <c r="N750" i="328" a="1"/>
  <c r="N750" i="328"/>
  <c r="P750" i="328" s="1"/>
  <c r="L750" i="328"/>
  <c r="E750" i="328"/>
  <c r="O749" i="328" a="1"/>
  <c r="O749" i="328"/>
  <c r="S749" i="328" s="1"/>
  <c r="N749" i="328" a="1"/>
  <c r="N749" i="328"/>
  <c r="P749" i="328"/>
  <c r="L749" i="328"/>
  <c r="E749" i="328"/>
  <c r="O748" i="328" a="1"/>
  <c r="O748" i="328"/>
  <c r="S748" i="328" s="1"/>
  <c r="N748" i="328" a="1"/>
  <c r="N748" i="328"/>
  <c r="P748" i="328" s="1"/>
  <c r="L748" i="328"/>
  <c r="E748" i="328"/>
  <c r="O747" i="328" a="1"/>
  <c r="O747" i="328"/>
  <c r="S747" i="328" s="1"/>
  <c r="N747" i="328" a="1"/>
  <c r="N747" i="328"/>
  <c r="P747" i="328"/>
  <c r="L747" i="328"/>
  <c r="E747" i="328"/>
  <c r="O746" i="328" a="1"/>
  <c r="O746" i="328" s="1"/>
  <c r="S746" i="328"/>
  <c r="N746" i="328" a="1"/>
  <c r="N746" i="328"/>
  <c r="P746" i="328" s="1"/>
  <c r="L746" i="328"/>
  <c r="E746" i="328"/>
  <c r="O745" i="328" a="1"/>
  <c r="O745" i="328"/>
  <c r="S745" i="328" s="1"/>
  <c r="N745" i="328" a="1"/>
  <c r="N745" i="328"/>
  <c r="P745" i="328"/>
  <c r="L745" i="328"/>
  <c r="E745" i="328"/>
  <c r="O744" i="328" a="1"/>
  <c r="O744" i="328" s="1"/>
  <c r="S744" i="328"/>
  <c r="N744" i="328" a="1"/>
  <c r="N744" i="328"/>
  <c r="P744" i="328" s="1"/>
  <c r="L744" i="328"/>
  <c r="E744" i="328"/>
  <c r="O743" i="328" a="1"/>
  <c r="O743" i="328"/>
  <c r="S743" i="328" s="1"/>
  <c r="N743" i="328" a="1"/>
  <c r="N743" i="328"/>
  <c r="P743" i="328"/>
  <c r="L743" i="328"/>
  <c r="E743" i="328"/>
  <c r="O742" i="328" a="1"/>
  <c r="O742" i="328"/>
  <c r="S742" i="328"/>
  <c r="N742" i="328" a="1"/>
  <c r="N742" i="328"/>
  <c r="P742" i="328" s="1"/>
  <c r="L742" i="328"/>
  <c r="E742" i="328"/>
  <c r="O741" i="328" a="1"/>
  <c r="O741" i="328"/>
  <c r="S741" i="328" s="1"/>
  <c r="N741" i="328" a="1"/>
  <c r="N741" i="328" s="1"/>
  <c r="P741" i="328" s="1"/>
  <c r="L741" i="328"/>
  <c r="E741" i="328"/>
  <c r="O740" i="328" a="1"/>
  <c r="O740" i="328"/>
  <c r="S740" i="328" s="1"/>
  <c r="N740" i="328" a="1"/>
  <c r="N740" i="328"/>
  <c r="P740" i="328" s="1"/>
  <c r="L740" i="328"/>
  <c r="E740" i="328"/>
  <c r="O739" i="328" a="1"/>
  <c r="O739" i="328"/>
  <c r="S739" i="328" s="1"/>
  <c r="N739" i="328" a="1"/>
  <c r="N739" i="328" s="1"/>
  <c r="P739" i="328" s="1"/>
  <c r="L739" i="328"/>
  <c r="E739" i="328"/>
  <c r="O738" i="328" a="1"/>
  <c r="O738" i="328" s="1"/>
  <c r="S738" i="328" s="1"/>
  <c r="N738" i="328" a="1"/>
  <c r="N738" i="328"/>
  <c r="P738" i="328" s="1"/>
  <c r="L738" i="328"/>
  <c r="E738" i="328"/>
  <c r="O737" i="328" a="1"/>
  <c r="O737" i="328"/>
  <c r="S737" i="328" s="1"/>
  <c r="N737" i="328" a="1"/>
  <c r="N737" i="328" s="1"/>
  <c r="P737" i="328"/>
  <c r="L737" i="328"/>
  <c r="E737" i="328"/>
  <c r="O736" i="328" a="1"/>
  <c r="O736" i="328"/>
  <c r="S736" i="328" s="1"/>
  <c r="N736" i="328" a="1"/>
  <c r="N736" i="328"/>
  <c r="P736" i="328" s="1"/>
  <c r="L736" i="328"/>
  <c r="E736" i="328"/>
  <c r="O735" i="328" a="1"/>
  <c r="O735" i="328"/>
  <c r="S735" i="328" s="1"/>
  <c r="N735" i="328" a="1"/>
  <c r="N735" i="328" s="1"/>
  <c r="P735" i="328" s="1"/>
  <c r="L735" i="328"/>
  <c r="E735" i="328"/>
  <c r="O734" i="328" a="1"/>
  <c r="O734" i="328" s="1"/>
  <c r="S734" i="328"/>
  <c r="N734" i="328" a="1"/>
  <c r="N734" i="328"/>
  <c r="P734" i="328" s="1"/>
  <c r="L734" i="328"/>
  <c r="E734" i="328"/>
  <c r="O733" i="328" a="1"/>
  <c r="O733" i="328"/>
  <c r="S733" i="328" s="1"/>
  <c r="N733" i="328" a="1"/>
  <c r="N733" i="328" s="1"/>
  <c r="P733" i="328"/>
  <c r="L733" i="328"/>
  <c r="E733" i="328"/>
  <c r="O732" i="328" a="1"/>
  <c r="O732" i="328" s="1"/>
  <c r="S732" i="328" s="1"/>
  <c r="N732" i="328" a="1"/>
  <c r="N732" i="328"/>
  <c r="P732" i="328" s="1"/>
  <c r="L732" i="328"/>
  <c r="E732" i="328"/>
  <c r="E730" i="328"/>
  <c r="T722" i="328"/>
  <c r="I756" i="328" s="1"/>
  <c r="O712" i="328" a="1"/>
  <c r="O712" i="328" s="1"/>
  <c r="S712" i="328" s="1"/>
  <c r="N712" i="328" a="1"/>
  <c r="N712" i="328" s="1"/>
  <c r="P712" i="328" s="1"/>
  <c r="L712" i="328"/>
  <c r="O711" i="328" a="1"/>
  <c r="O711" i="328"/>
  <c r="S711" i="328"/>
  <c r="N711" i="328" a="1"/>
  <c r="N711" i="328"/>
  <c r="P711" i="328" s="1"/>
  <c r="L711" i="328"/>
  <c r="O710" i="328" a="1"/>
  <c r="O710" i="328" s="1"/>
  <c r="S710" i="328" s="1"/>
  <c r="N710" i="328" a="1"/>
  <c r="N710" i="328" s="1"/>
  <c r="P710" i="328" s="1"/>
  <c r="L710" i="328"/>
  <c r="I710" i="328"/>
  <c r="I711" i="328" s="1"/>
  <c r="O709" i="328" a="1"/>
  <c r="O709" i="328"/>
  <c r="S709" i="328" s="1"/>
  <c r="N709" i="328" a="1"/>
  <c r="N709" i="328" s="1"/>
  <c r="P709" i="328" s="1"/>
  <c r="L709" i="328"/>
  <c r="O708" i="328" a="1"/>
  <c r="O708" i="328"/>
  <c r="S708" i="328" s="1"/>
  <c r="N708" i="328" a="1"/>
  <c r="N708" i="328"/>
  <c r="P708" i="328"/>
  <c r="L708" i="328"/>
  <c r="O707" i="328" a="1"/>
  <c r="O707" i="328" s="1"/>
  <c r="S707" i="328" s="1"/>
  <c r="N707" i="328" a="1"/>
  <c r="N707" i="328" s="1"/>
  <c r="P707" i="328" s="1"/>
  <c r="L707" i="328"/>
  <c r="E707" i="328"/>
  <c r="O706" i="328" a="1"/>
  <c r="O706" i="328" s="1"/>
  <c r="S706" i="328" s="1"/>
  <c r="N706" i="328" a="1"/>
  <c r="N706" i="328"/>
  <c r="P706" i="328" s="1"/>
  <c r="L706" i="328"/>
  <c r="E706" i="328"/>
  <c r="O705" i="328" a="1"/>
  <c r="O705" i="328" s="1"/>
  <c r="S705" i="328" s="1"/>
  <c r="N705" i="328" a="1"/>
  <c r="N705" i="328" s="1"/>
  <c r="P705" i="328" s="1"/>
  <c r="L705" i="328"/>
  <c r="E705" i="328"/>
  <c r="O704" i="328" a="1"/>
  <c r="O704" i="328"/>
  <c r="S704" i="328"/>
  <c r="N704" i="328" a="1"/>
  <c r="N704" i="328"/>
  <c r="P704" i="328"/>
  <c r="L704" i="328"/>
  <c r="E704" i="328"/>
  <c r="O703" i="328" a="1"/>
  <c r="O703" i="328" s="1"/>
  <c r="S703" i="328" s="1"/>
  <c r="N703" i="328" a="1"/>
  <c r="N703" i="328" s="1"/>
  <c r="P703" i="328" s="1"/>
  <c r="L703" i="328"/>
  <c r="E703" i="328"/>
  <c r="O702" i="328" a="1"/>
  <c r="O702" i="328" s="1"/>
  <c r="S702" i="328" s="1"/>
  <c r="N702" i="328" a="1"/>
  <c r="N702" i="328"/>
  <c r="P702" i="328" s="1"/>
  <c r="L702" i="328"/>
  <c r="E702" i="328"/>
  <c r="O701" i="328" a="1"/>
  <c r="O701" i="328" s="1"/>
  <c r="S701" i="328" s="1"/>
  <c r="N701" i="328" a="1"/>
  <c r="N701" i="328" s="1"/>
  <c r="P701" i="328" s="1"/>
  <c r="L701" i="328"/>
  <c r="E701" i="328"/>
  <c r="O700" i="328" a="1"/>
  <c r="O700" i="328" s="1"/>
  <c r="S700" i="328" s="1"/>
  <c r="N700" i="328" a="1"/>
  <c r="N700" i="328"/>
  <c r="P700" i="328"/>
  <c r="L700" i="328"/>
  <c r="E700" i="328"/>
  <c r="O699" i="328" a="1"/>
  <c r="O699" i="328"/>
  <c r="S699" i="328" s="1"/>
  <c r="N699" i="328" a="1"/>
  <c r="N699" i="328" s="1"/>
  <c r="P699" i="328"/>
  <c r="L699" i="328"/>
  <c r="E699" i="328"/>
  <c r="O698" i="328" a="1"/>
  <c r="O698" i="328"/>
  <c r="S698" i="328"/>
  <c r="N698" i="328" a="1"/>
  <c r="N698" i="328"/>
  <c r="P698" i="328" s="1"/>
  <c r="L698" i="328"/>
  <c r="E698" i="328"/>
  <c r="O697" i="328" a="1"/>
  <c r="O697" i="328" s="1"/>
  <c r="S697" i="328" s="1"/>
  <c r="N697" i="328" a="1"/>
  <c r="N697" i="328" s="1"/>
  <c r="P697" i="328" s="1"/>
  <c r="L697" i="328"/>
  <c r="E697" i="328"/>
  <c r="O696" i="328" a="1"/>
  <c r="O696" i="328" s="1"/>
  <c r="S696" i="328" s="1"/>
  <c r="N696" i="328" a="1"/>
  <c r="N696" i="328"/>
  <c r="P696" i="328"/>
  <c r="L696" i="328"/>
  <c r="E696" i="328"/>
  <c r="O695" i="328" a="1"/>
  <c r="O695" i="328"/>
  <c r="S695" i="328" s="1"/>
  <c r="N695" i="328" a="1"/>
  <c r="N695" i="328"/>
  <c r="P695" i="328"/>
  <c r="L695" i="328"/>
  <c r="E695" i="328"/>
  <c r="O694" i="328" a="1"/>
  <c r="O694" i="328" s="1"/>
  <c r="S694" i="328" s="1"/>
  <c r="N694" i="328" a="1"/>
  <c r="N694" i="328"/>
  <c r="P694" i="328" s="1"/>
  <c r="L694" i="328"/>
  <c r="E694" i="328"/>
  <c r="O693" i="328" a="1"/>
  <c r="O693" i="328" s="1"/>
  <c r="S693" i="328" s="1"/>
  <c r="N693" i="328" a="1"/>
  <c r="N693" i="328" s="1"/>
  <c r="P693" i="328"/>
  <c r="L693" i="328"/>
  <c r="E693" i="328"/>
  <c r="O692" i="328" a="1"/>
  <c r="O692" i="328" s="1"/>
  <c r="S692" i="328" s="1"/>
  <c r="N692" i="328" a="1"/>
  <c r="N692" i="328"/>
  <c r="P692" i="328"/>
  <c r="L692" i="328"/>
  <c r="E692" i="328"/>
  <c r="O691" i="328" a="1"/>
  <c r="O691" i="328" s="1"/>
  <c r="S691" i="328" s="1"/>
  <c r="N691" i="328" a="1"/>
  <c r="N691" i="328"/>
  <c r="P691" i="328" s="1"/>
  <c r="L691" i="328"/>
  <c r="E691" i="328"/>
  <c r="O690" i="328" a="1"/>
  <c r="O690" i="328"/>
  <c r="S690" i="328" s="1"/>
  <c r="N690" i="328" a="1"/>
  <c r="N690" i="328"/>
  <c r="P690" i="328"/>
  <c r="L690" i="328"/>
  <c r="E690" i="328"/>
  <c r="O689" i="328" a="1"/>
  <c r="O689" i="328" s="1"/>
  <c r="S689" i="328" s="1"/>
  <c r="N689" i="328" a="1"/>
  <c r="N689" i="328" s="1"/>
  <c r="P689" i="328"/>
  <c r="L689" i="328"/>
  <c r="E689" i="328"/>
  <c r="O688" i="328" a="1"/>
  <c r="O688" i="328" s="1"/>
  <c r="S688" i="328"/>
  <c r="N688" i="328" a="1"/>
  <c r="N688" i="328"/>
  <c r="P688" i="328" s="1"/>
  <c r="L688" i="328"/>
  <c r="E688" i="328"/>
  <c r="O687" i="328" a="1"/>
  <c r="O687" i="328"/>
  <c r="S687" i="328" s="1"/>
  <c r="N687" i="328" a="1"/>
  <c r="N687" i="328" s="1"/>
  <c r="P687" i="328" s="1"/>
  <c r="L687" i="328"/>
  <c r="E687" i="328"/>
  <c r="O686" i="328" a="1"/>
  <c r="O686" i="328"/>
  <c r="S686" i="328" s="1"/>
  <c r="N686" i="328" a="1"/>
  <c r="N686" i="328"/>
  <c r="P686" i="328" s="1"/>
  <c r="L686" i="328"/>
  <c r="E686" i="328"/>
  <c r="O685" i="328" a="1"/>
  <c r="O685" i="328" s="1"/>
  <c r="S685" i="328" s="1"/>
  <c r="N685" i="328" a="1"/>
  <c r="N685" i="328" s="1"/>
  <c r="P685" i="328" s="1"/>
  <c r="L685" i="328"/>
  <c r="E685" i="328"/>
  <c r="E683" i="328"/>
  <c r="T675" i="328"/>
  <c r="I709" i="328"/>
  <c r="O665" i="328" a="1"/>
  <c r="O665" i="328"/>
  <c r="S665" i="328" s="1"/>
  <c r="N665" i="328" a="1"/>
  <c r="N665" i="328" s="1"/>
  <c r="P665" i="328" s="1"/>
  <c r="L665" i="328"/>
  <c r="O664" i="328" a="1"/>
  <c r="O664" i="328" s="1"/>
  <c r="S664" i="328" s="1"/>
  <c r="N664" i="328" a="1"/>
  <c r="N664" i="328" s="1"/>
  <c r="P664" i="328" s="1"/>
  <c r="L664" i="328"/>
  <c r="O663" i="328" a="1"/>
  <c r="O663" i="328"/>
  <c r="S663" i="328" s="1"/>
  <c r="N663" i="328" a="1"/>
  <c r="N663" i="328" s="1"/>
  <c r="P663" i="328" s="1"/>
  <c r="L663" i="328"/>
  <c r="I663" i="328"/>
  <c r="I664" i="328" s="1"/>
  <c r="O662" i="328" a="1"/>
  <c r="O662" i="328" s="1"/>
  <c r="S662" i="328" s="1"/>
  <c r="N662" i="328" a="1"/>
  <c r="N662" i="328" s="1"/>
  <c r="P662" i="328" s="1"/>
  <c r="L662" i="328"/>
  <c r="O661" i="328" a="1"/>
  <c r="O661" i="328" s="1"/>
  <c r="S661" i="328" s="1"/>
  <c r="N661" i="328" a="1"/>
  <c r="N661" i="328"/>
  <c r="P661" i="328" s="1"/>
  <c r="L661" i="328"/>
  <c r="O660" i="328" a="1"/>
  <c r="O660" i="328"/>
  <c r="S660" i="328" s="1"/>
  <c r="N660" i="328" a="1"/>
  <c r="N660" i="328" s="1"/>
  <c r="P660" i="328" s="1"/>
  <c r="L660" i="328"/>
  <c r="E660" i="328"/>
  <c r="O659" i="328" a="1"/>
  <c r="O659" i="328" s="1"/>
  <c r="S659" i="328" s="1"/>
  <c r="N659" i="328" a="1"/>
  <c r="N659" i="328"/>
  <c r="P659" i="328" s="1"/>
  <c r="L659" i="328"/>
  <c r="E659" i="328"/>
  <c r="O658" i="328" a="1"/>
  <c r="O658" i="328"/>
  <c r="S658" i="328" s="1"/>
  <c r="N658" i="328" a="1"/>
  <c r="N658" i="328" s="1"/>
  <c r="P658" i="328" s="1"/>
  <c r="L658" i="328"/>
  <c r="E658" i="328"/>
  <c r="O657" i="328" a="1"/>
  <c r="O657" i="328"/>
  <c r="S657" i="328"/>
  <c r="N657" i="328" a="1"/>
  <c r="N657" i="328" s="1"/>
  <c r="P657" i="328"/>
  <c r="L657" i="328"/>
  <c r="E657" i="328"/>
  <c r="O656" i="328" a="1"/>
  <c r="O656" i="328" s="1"/>
  <c r="S656" i="328" s="1"/>
  <c r="N656" i="328" a="1"/>
  <c r="N656" i="328"/>
  <c r="P656" i="328" s="1"/>
  <c r="L656" i="328"/>
  <c r="E656" i="328"/>
  <c r="O655" i="328" a="1"/>
  <c r="O655" i="328" s="1"/>
  <c r="S655" i="328" s="1"/>
  <c r="N655" i="328" a="1"/>
  <c r="N655" i="328"/>
  <c r="P655" i="328"/>
  <c r="L655" i="328"/>
  <c r="E655" i="328"/>
  <c r="O654" i="328" a="1"/>
  <c r="O654" i="328"/>
  <c r="S654" i="328" s="1"/>
  <c r="N654" i="328" a="1"/>
  <c r="N654" i="328"/>
  <c r="P654" i="328" s="1"/>
  <c r="L654" i="328"/>
  <c r="E654" i="328"/>
  <c r="O653" i="328" a="1"/>
  <c r="O653" i="328" s="1"/>
  <c r="S653" i="328" s="1"/>
  <c r="N653" i="328" a="1"/>
  <c r="N653" i="328" s="1"/>
  <c r="P653" i="328" s="1"/>
  <c r="L653" i="328"/>
  <c r="E653" i="328"/>
  <c r="O652" i="328" a="1"/>
  <c r="O652" i="328"/>
  <c r="S652" i="328" s="1"/>
  <c r="N652" i="328" a="1"/>
  <c r="N652" i="328"/>
  <c r="P652" i="328" s="1"/>
  <c r="L652" i="328"/>
  <c r="E652" i="328"/>
  <c r="O651" i="328" a="1"/>
  <c r="O651" i="328" s="1"/>
  <c r="S651" i="328" s="1"/>
  <c r="N651" i="328" a="1"/>
  <c r="N651" i="328"/>
  <c r="P651" i="328"/>
  <c r="L651" i="328"/>
  <c r="E651" i="328"/>
  <c r="O650" i="328" a="1"/>
  <c r="O650" i="328" s="1"/>
  <c r="S650" i="328" s="1"/>
  <c r="N650" i="328" a="1"/>
  <c r="N650" i="328" s="1"/>
  <c r="P650" i="328" s="1"/>
  <c r="L650" i="328"/>
  <c r="E650" i="328"/>
  <c r="O649" i="328" a="1"/>
  <c r="O649" i="328" s="1"/>
  <c r="S649" i="328" s="1"/>
  <c r="N649" i="328" a="1"/>
  <c r="N649" i="328" s="1"/>
  <c r="P649" i="328"/>
  <c r="L649" i="328"/>
  <c r="E649" i="328"/>
  <c r="O648" i="328" a="1"/>
  <c r="O648" i="328"/>
  <c r="S648" i="328"/>
  <c r="N648" i="328" a="1"/>
  <c r="N648" i="328" s="1"/>
  <c r="P648" i="328" s="1"/>
  <c r="L648" i="328"/>
  <c r="E648" i="328"/>
  <c r="O647" i="328" a="1"/>
  <c r="O647" i="328"/>
  <c r="S647" i="328" s="1"/>
  <c r="N647" i="328" a="1"/>
  <c r="N647" i="328" s="1"/>
  <c r="P647" i="328" s="1"/>
  <c r="L647" i="328"/>
  <c r="E647" i="328"/>
  <c r="O646" i="328" a="1"/>
  <c r="O646" i="328" s="1"/>
  <c r="S646" i="328" s="1"/>
  <c r="N646" i="328" a="1"/>
  <c r="N646" i="328" s="1"/>
  <c r="P646" i="328" s="1"/>
  <c r="L646" i="328"/>
  <c r="E646" i="328"/>
  <c r="O645" i="328" a="1"/>
  <c r="O645" i="328" s="1"/>
  <c r="S645" i="328" s="1"/>
  <c r="N645" i="328" a="1"/>
  <c r="N645" i="328" s="1"/>
  <c r="P645" i="328" s="1"/>
  <c r="L645" i="328"/>
  <c r="E645" i="328"/>
  <c r="O644" i="328" a="1"/>
  <c r="O644" i="328" s="1"/>
  <c r="S644" i="328" s="1"/>
  <c r="N644" i="328" a="1"/>
  <c r="N644" i="328"/>
  <c r="P644" i="328" s="1"/>
  <c r="L644" i="328"/>
  <c r="E644" i="328"/>
  <c r="O643" i="328" a="1"/>
  <c r="O643" i="328"/>
  <c r="S643" i="328"/>
  <c r="N643" i="328" a="1"/>
  <c r="N643" i="328"/>
  <c r="P643" i="328" s="1"/>
  <c r="L643" i="328"/>
  <c r="E643" i="328"/>
  <c r="O642" i="328" a="1"/>
  <c r="O642" i="328"/>
  <c r="S642" i="328" s="1"/>
  <c r="N642" i="328" a="1"/>
  <c r="N642" i="328" s="1"/>
  <c r="P642" i="328" s="1"/>
  <c r="L642" i="328"/>
  <c r="E642" i="328"/>
  <c r="O641" i="328" a="1"/>
  <c r="O641" i="328" s="1"/>
  <c r="S641" i="328"/>
  <c r="N641" i="328" a="1"/>
  <c r="N641" i="328"/>
  <c r="P641" i="328" s="1"/>
  <c r="L641" i="328"/>
  <c r="E641" i="328"/>
  <c r="O640" i="328" a="1"/>
  <c r="O640" i="328"/>
  <c r="S640" i="328" s="1"/>
  <c r="N640" i="328" a="1"/>
  <c r="N640" i="328" s="1"/>
  <c r="P640" i="328" s="1"/>
  <c r="L640" i="328"/>
  <c r="E640" i="328"/>
  <c r="O639" i="328" a="1"/>
  <c r="O639" i="328"/>
  <c r="S639" i="328" s="1"/>
  <c r="N639" i="328" a="1"/>
  <c r="N639" i="328" s="1"/>
  <c r="P639" i="328"/>
  <c r="L639" i="328"/>
  <c r="E639" i="328"/>
  <c r="O638" i="328" a="1"/>
  <c r="O638" i="328" s="1"/>
  <c r="S638" i="328" s="1"/>
  <c r="N638" i="328" a="1"/>
  <c r="N638" i="328" s="1"/>
  <c r="P638" i="328" s="1"/>
  <c r="L638" i="328"/>
  <c r="E638" i="328"/>
  <c r="E636" i="328"/>
  <c r="T628" i="328"/>
  <c r="I662" i="328" s="1"/>
  <c r="O618" i="328" a="1"/>
  <c r="O618" i="328"/>
  <c r="S618" i="328"/>
  <c r="N618" i="328" a="1"/>
  <c r="N618" i="328" s="1"/>
  <c r="P618" i="328"/>
  <c r="L618" i="328"/>
  <c r="O617" i="328" a="1"/>
  <c r="O617" i="328" s="1"/>
  <c r="S617" i="328"/>
  <c r="N617" i="328" a="1"/>
  <c r="N617" i="328" s="1"/>
  <c r="P617" i="328" s="1"/>
  <c r="L617" i="328"/>
  <c r="O616" i="328" a="1"/>
  <c r="O616" i="328" s="1"/>
  <c r="S616" i="328" s="1"/>
  <c r="N616" i="328" a="1"/>
  <c r="N616" i="328"/>
  <c r="P616" i="328" s="1"/>
  <c r="L616" i="328"/>
  <c r="I616" i="328"/>
  <c r="I617" i="328"/>
  <c r="O615" i="328" a="1"/>
  <c r="O615" i="328" s="1"/>
  <c r="S615" i="328" s="1"/>
  <c r="N615" i="328" a="1"/>
  <c r="N615" i="328"/>
  <c r="P615" i="328" s="1"/>
  <c r="L615" i="328"/>
  <c r="O614" i="328" a="1"/>
  <c r="O614" i="328"/>
  <c r="S614" i="328" s="1"/>
  <c r="N614" i="328" a="1"/>
  <c r="N614" i="328" s="1"/>
  <c r="P614" i="328" s="1"/>
  <c r="L614" i="328"/>
  <c r="O613" i="328" a="1"/>
  <c r="O613" i="328" s="1"/>
  <c r="S613" i="328" s="1"/>
  <c r="N613" i="328" a="1"/>
  <c r="N613" i="328"/>
  <c r="P613" i="328"/>
  <c r="L613" i="328"/>
  <c r="E613" i="328"/>
  <c r="O612" i="328" a="1"/>
  <c r="O612" i="328"/>
  <c r="S612" i="328"/>
  <c r="N612" i="328" a="1"/>
  <c r="N612" i="328"/>
  <c r="P612" i="328" s="1"/>
  <c r="L612" i="328"/>
  <c r="E612" i="328"/>
  <c r="O611" i="328" a="1"/>
  <c r="O611" i="328" s="1"/>
  <c r="S611" i="328"/>
  <c r="N611" i="328" a="1"/>
  <c r="N611" i="328"/>
  <c r="P611" i="328"/>
  <c r="L611" i="328"/>
  <c r="E611" i="328"/>
  <c r="O610" i="328" a="1"/>
  <c r="O610" i="328"/>
  <c r="S610" i="328" s="1"/>
  <c r="N610" i="328" a="1"/>
  <c r="N610" i="328"/>
  <c r="P610" i="328" s="1"/>
  <c r="L610" i="328"/>
  <c r="E610" i="328"/>
  <c r="O609" i="328" a="1"/>
  <c r="O609" i="328" s="1"/>
  <c r="S609" i="328" s="1"/>
  <c r="N609" i="328" a="1"/>
  <c r="N609" i="328"/>
  <c r="P609" i="328" s="1"/>
  <c r="L609" i="328"/>
  <c r="E609" i="328"/>
  <c r="O608" i="328" a="1"/>
  <c r="O608" i="328"/>
  <c r="S608" i="328"/>
  <c r="N608" i="328" a="1"/>
  <c r="N608" i="328" s="1"/>
  <c r="P608" i="328"/>
  <c r="L608" i="328"/>
  <c r="E608" i="328"/>
  <c r="O607" i="328" a="1"/>
  <c r="O607" i="328" s="1"/>
  <c r="S607" i="328" s="1"/>
  <c r="N607" i="328" a="1"/>
  <c r="N607" i="328"/>
  <c r="P607" i="328"/>
  <c r="L607" i="328"/>
  <c r="E607" i="328"/>
  <c r="O606" i="328" a="1"/>
  <c r="O606" i="328"/>
  <c r="S606" i="328" s="1"/>
  <c r="N606" i="328" a="1"/>
  <c r="N606" i="328"/>
  <c r="P606" i="328"/>
  <c r="L606" i="328"/>
  <c r="E606" i="328"/>
  <c r="O605" i="328" a="1"/>
  <c r="O605" i="328" s="1"/>
  <c r="S605" i="328"/>
  <c r="N605" i="328" a="1"/>
  <c r="N605" i="328" s="1"/>
  <c r="P605" i="328" s="1"/>
  <c r="L605" i="328"/>
  <c r="E605" i="328"/>
  <c r="O604" i="328" a="1"/>
  <c r="O604" i="328"/>
  <c r="S604" i="328" s="1"/>
  <c r="N604" i="328" a="1"/>
  <c r="N604" i="328"/>
  <c r="P604" i="328" s="1"/>
  <c r="L604" i="328"/>
  <c r="E604" i="328"/>
  <c r="O603" i="328" a="1"/>
  <c r="O603" i="328" s="1"/>
  <c r="S603" i="328" s="1"/>
  <c r="N603" i="328" a="1"/>
  <c r="N603" i="328" s="1"/>
  <c r="P603" i="328" s="1"/>
  <c r="L603" i="328"/>
  <c r="E603" i="328"/>
  <c r="O602" i="328" a="1"/>
  <c r="O602" i="328"/>
  <c r="S602" i="328" s="1"/>
  <c r="N602" i="328" a="1"/>
  <c r="N602" i="328" s="1"/>
  <c r="P602" i="328" s="1"/>
  <c r="L602" i="328"/>
  <c r="E602" i="328"/>
  <c r="O601" i="328" a="1"/>
  <c r="O601" i="328" s="1"/>
  <c r="S601" i="328"/>
  <c r="N601" i="328" a="1"/>
  <c r="N601" i="328" s="1"/>
  <c r="P601" i="328" s="1"/>
  <c r="L601" i="328"/>
  <c r="E601" i="328"/>
  <c r="O600" i="328" a="1"/>
  <c r="O600" i="328"/>
  <c r="S600" i="328"/>
  <c r="N600" i="328" a="1"/>
  <c r="N600" i="328" s="1"/>
  <c r="P600" i="328" s="1"/>
  <c r="L600" i="328"/>
  <c r="E600" i="328"/>
  <c r="O599" i="328" a="1"/>
  <c r="O599" i="328" s="1"/>
  <c r="S599" i="328"/>
  <c r="N599" i="328" a="1"/>
  <c r="N599" i="328"/>
  <c r="P599" i="328"/>
  <c r="L599" i="328"/>
  <c r="E599" i="328"/>
  <c r="O598" i="328" a="1"/>
  <c r="O598" i="328"/>
  <c r="S598" i="328"/>
  <c r="N598" i="328" a="1"/>
  <c r="N598" i="328" s="1"/>
  <c r="P598" i="328" s="1"/>
  <c r="L598" i="328"/>
  <c r="E598" i="328"/>
  <c r="O597" i="328" a="1"/>
  <c r="O597" i="328" s="1"/>
  <c r="S597" i="328"/>
  <c r="N597" i="328" a="1"/>
  <c r="N597" i="328"/>
  <c r="P597" i="328" s="1"/>
  <c r="L597" i="328"/>
  <c r="E597" i="328"/>
  <c r="O596" i="328" a="1"/>
  <c r="O596" i="328"/>
  <c r="S596" i="328" s="1"/>
  <c r="N596" i="328" a="1"/>
  <c r="N596" i="328" s="1"/>
  <c r="P596" i="328" s="1"/>
  <c r="L596" i="328"/>
  <c r="E596" i="328"/>
  <c r="O595" i="328" a="1"/>
  <c r="O595" i="328" s="1"/>
  <c r="S595" i="328" s="1"/>
  <c r="N595" i="328" a="1"/>
  <c r="N595" i="328" s="1"/>
  <c r="P595" i="328"/>
  <c r="L595" i="328"/>
  <c r="E595" i="328"/>
  <c r="O594" i="328" a="1"/>
  <c r="O594" i="328"/>
  <c r="S594" i="328"/>
  <c r="N594" i="328" a="1"/>
  <c r="N594" i="328"/>
  <c r="P594" i="328" s="1"/>
  <c r="L594" i="328"/>
  <c r="E594" i="328"/>
  <c r="O593" i="328" a="1"/>
  <c r="O593" i="328" s="1"/>
  <c r="S593" i="328"/>
  <c r="N593" i="328" a="1"/>
  <c r="N593" i="328"/>
  <c r="P593" i="328" s="1"/>
  <c r="L593" i="328"/>
  <c r="E593" i="328"/>
  <c r="O592" i="328" a="1"/>
  <c r="O592" i="328"/>
  <c r="S592" i="328" s="1"/>
  <c r="N592" i="328" a="1"/>
  <c r="N592" i="328" s="1"/>
  <c r="P592" i="328" s="1"/>
  <c r="L592" i="328"/>
  <c r="E592" i="328"/>
  <c r="O591" i="328" a="1"/>
  <c r="O591" i="328" s="1"/>
  <c r="S591" i="328" s="1"/>
  <c r="N591" i="328" a="1"/>
  <c r="N591" i="328" s="1"/>
  <c r="P591" i="328" s="1"/>
  <c r="L591" i="328"/>
  <c r="E591" i="328"/>
  <c r="E589" i="328"/>
  <c r="T581" i="328"/>
  <c r="I615" i="328" s="1"/>
  <c r="O571" i="328" a="1"/>
  <c r="O571" i="328"/>
  <c r="S571" i="328" s="1"/>
  <c r="N571" i="328" a="1"/>
  <c r="N571" i="328" s="1"/>
  <c r="P571" i="328" s="1"/>
  <c r="L571" i="328"/>
  <c r="O570" i="328" a="1"/>
  <c r="O570" i="328"/>
  <c r="S570" i="328"/>
  <c r="N570" i="328" a="1"/>
  <c r="N570" i="328" s="1"/>
  <c r="P570" i="328" s="1"/>
  <c r="L570" i="328"/>
  <c r="O569" i="328" a="1"/>
  <c r="O569" i="328" s="1"/>
  <c r="S569" i="328" s="1"/>
  <c r="N569" i="328" a="1"/>
  <c r="N569" i="328" s="1"/>
  <c r="P569" i="328" s="1"/>
  <c r="L569" i="328"/>
  <c r="I569" i="328"/>
  <c r="I570" i="328"/>
  <c r="O568" i="328" a="1"/>
  <c r="O568" i="328" s="1"/>
  <c r="S568" i="328" s="1"/>
  <c r="N568" i="328" a="1"/>
  <c r="N568" i="328" s="1"/>
  <c r="P568" i="328" s="1"/>
  <c r="L568" i="328"/>
  <c r="O567" i="328" a="1"/>
  <c r="O567" i="328"/>
  <c r="S567" i="328" s="1"/>
  <c r="N567" i="328" a="1"/>
  <c r="N567" i="328" s="1"/>
  <c r="P567" i="328" s="1"/>
  <c r="L567" i="328"/>
  <c r="O566" i="328" a="1"/>
  <c r="O566" i="328" s="1"/>
  <c r="S566" i="328"/>
  <c r="N566" i="328" a="1"/>
  <c r="N566" i="328" s="1"/>
  <c r="P566" i="328"/>
  <c r="L566" i="328"/>
  <c r="E566" i="328"/>
  <c r="O565" i="328" a="1"/>
  <c r="O565" i="328" s="1"/>
  <c r="S565" i="328" s="1"/>
  <c r="N565" i="328" a="1"/>
  <c r="N565" i="328"/>
  <c r="P565" i="328" s="1"/>
  <c r="L565" i="328"/>
  <c r="E565" i="328"/>
  <c r="O564" i="328" a="1"/>
  <c r="O564" i="328" s="1"/>
  <c r="S564" i="328" s="1"/>
  <c r="N564" i="328" a="1"/>
  <c r="N564" i="328" s="1"/>
  <c r="P564" i="328" s="1"/>
  <c r="L564" i="328"/>
  <c r="E564" i="328"/>
  <c r="O563" i="328" a="1"/>
  <c r="O563" i="328" s="1"/>
  <c r="S563" i="328" s="1"/>
  <c r="N563" i="328" a="1"/>
  <c r="N563" i="328"/>
  <c r="P563" i="328" s="1"/>
  <c r="L563" i="328"/>
  <c r="E563" i="328"/>
  <c r="O562" i="328" a="1"/>
  <c r="O562" i="328"/>
  <c r="S562" i="328" s="1"/>
  <c r="N562" i="328" a="1"/>
  <c r="N562" i="328" s="1"/>
  <c r="P562" i="328"/>
  <c r="L562" i="328"/>
  <c r="E562" i="328"/>
  <c r="O561" i="328" a="1"/>
  <c r="O561" i="328"/>
  <c r="S561" i="328" s="1"/>
  <c r="N561" i="328" a="1"/>
  <c r="N561" i="328"/>
  <c r="P561" i="328"/>
  <c r="L561" i="328"/>
  <c r="E561" i="328"/>
  <c r="O560" i="328" a="1"/>
  <c r="O560" i="328" s="1"/>
  <c r="S560" i="328"/>
  <c r="N560" i="328" a="1"/>
  <c r="N560" i="328" s="1"/>
  <c r="P560" i="328" s="1"/>
  <c r="L560" i="328"/>
  <c r="E560" i="328"/>
  <c r="O559" i="328" a="1"/>
  <c r="O559" i="328" s="1"/>
  <c r="S559" i="328"/>
  <c r="N559" i="328" a="1"/>
  <c r="N559" i="328"/>
  <c r="P559" i="328"/>
  <c r="L559" i="328"/>
  <c r="E559" i="328"/>
  <c r="O558" i="328" a="1"/>
  <c r="O558" i="328"/>
  <c r="S558" i="328" s="1"/>
  <c r="N558" i="328" a="1"/>
  <c r="N558" i="328" s="1"/>
  <c r="P558" i="328" s="1"/>
  <c r="L558" i="328"/>
  <c r="E558" i="328"/>
  <c r="O557" i="328" a="1"/>
  <c r="O557" i="328"/>
  <c r="S557" i="328" s="1"/>
  <c r="N557" i="328" a="1"/>
  <c r="N557" i="328"/>
  <c r="P557" i="328" s="1"/>
  <c r="L557" i="328"/>
  <c r="E557" i="328"/>
  <c r="O556" i="328" a="1"/>
  <c r="O556" i="328" s="1"/>
  <c r="S556" i="328" s="1"/>
  <c r="N556" i="328" a="1"/>
  <c r="N556" i="328" s="1"/>
  <c r="P556" i="328"/>
  <c r="L556" i="328"/>
  <c r="E556" i="328"/>
  <c r="O555" i="328" a="1"/>
  <c r="O555" i="328" s="1"/>
  <c r="S555" i="328" s="1"/>
  <c r="N555" i="328" a="1"/>
  <c r="N555" i="328"/>
  <c r="P555" i="328"/>
  <c r="L555" i="328"/>
  <c r="E555" i="328"/>
  <c r="O554" i="328" a="1"/>
  <c r="O554" i="328" s="1"/>
  <c r="S554" i="328" s="1"/>
  <c r="N554" i="328" a="1"/>
  <c r="N554" i="328" s="1"/>
  <c r="P554" i="328"/>
  <c r="L554" i="328"/>
  <c r="E554" i="328"/>
  <c r="O553" i="328" a="1"/>
  <c r="O553" i="328"/>
  <c r="S553" i="328" s="1"/>
  <c r="N553" i="328" a="1"/>
  <c r="N553" i="328"/>
  <c r="P553" i="328" s="1"/>
  <c r="L553" i="328"/>
  <c r="E553" i="328"/>
  <c r="O552" i="328" a="1"/>
  <c r="O552" i="328" s="1"/>
  <c r="S552" i="328" s="1"/>
  <c r="N552" i="328" a="1"/>
  <c r="N552" i="328" s="1"/>
  <c r="P552" i="328" s="1"/>
  <c r="L552" i="328"/>
  <c r="E552" i="328"/>
  <c r="O551" i="328" a="1"/>
  <c r="O551" i="328" s="1"/>
  <c r="S551" i="328" s="1"/>
  <c r="N551" i="328" a="1"/>
  <c r="N551" i="328"/>
  <c r="P551" i="328" s="1"/>
  <c r="L551" i="328"/>
  <c r="E551" i="328"/>
  <c r="O550" i="328" a="1"/>
  <c r="O550" i="328"/>
  <c r="S550" i="328"/>
  <c r="N550" i="328" a="1"/>
  <c r="N550" i="328" s="1"/>
  <c r="P550" i="328"/>
  <c r="L550" i="328"/>
  <c r="E550" i="328"/>
  <c r="O549" i="328" a="1"/>
  <c r="O549" i="328"/>
  <c r="S549" i="328" s="1"/>
  <c r="N549" i="328" a="1"/>
  <c r="N549" i="328" s="1"/>
  <c r="P549" i="328" s="1"/>
  <c r="L549" i="328"/>
  <c r="E549" i="328"/>
  <c r="O548" i="328" a="1"/>
  <c r="O548" i="328" s="1"/>
  <c r="S548" i="328" s="1"/>
  <c r="N548" i="328" a="1"/>
  <c r="N548" i="328" s="1"/>
  <c r="P548" i="328" s="1"/>
  <c r="L548" i="328"/>
  <c r="E548" i="328"/>
  <c r="O547" i="328" a="1"/>
  <c r="O547" i="328"/>
  <c r="S547" i="328" s="1"/>
  <c r="N547" i="328" a="1"/>
  <c r="N547" i="328"/>
  <c r="P547" i="328"/>
  <c r="L547" i="328"/>
  <c r="E547" i="328"/>
  <c r="O546" i="328" a="1"/>
  <c r="O546" i="328" s="1"/>
  <c r="S546" i="328" s="1"/>
  <c r="N546" i="328" a="1"/>
  <c r="N546" i="328" s="1"/>
  <c r="P546" i="328" s="1"/>
  <c r="L546" i="328"/>
  <c r="E546" i="328"/>
  <c r="O545" i="328" a="1"/>
  <c r="O545" i="328"/>
  <c r="S545" i="328" s="1"/>
  <c r="N545" i="328" a="1"/>
  <c r="N545" i="328" s="1"/>
  <c r="P545" i="328" s="1"/>
  <c r="L545" i="328"/>
  <c r="E545" i="328"/>
  <c r="O544" i="328" a="1"/>
  <c r="O544" i="328" s="1"/>
  <c r="S544" i="328" s="1"/>
  <c r="N544" i="328" a="1"/>
  <c r="N544" i="328" s="1"/>
  <c r="P544" i="328"/>
  <c r="L544" i="328"/>
  <c r="E544" i="328"/>
  <c r="E542" i="328"/>
  <c r="T534" i="328"/>
  <c r="I568" i="328"/>
  <c r="O524" i="328" a="1"/>
  <c r="O524" i="328"/>
  <c r="S524" i="328" s="1"/>
  <c r="N524" i="328" a="1"/>
  <c r="N524" i="328" s="1"/>
  <c r="P524" i="328" s="1"/>
  <c r="L524" i="328"/>
  <c r="O523" i="328" a="1"/>
  <c r="O523" i="328" s="1"/>
  <c r="S523" i="328" s="1"/>
  <c r="N523" i="328" a="1"/>
  <c r="N523" i="328"/>
  <c r="P523" i="328" s="1"/>
  <c r="L523" i="328"/>
  <c r="O522" i="328" a="1"/>
  <c r="O522" i="328" s="1"/>
  <c r="S522" i="328" s="1"/>
  <c r="N522" i="328" a="1"/>
  <c r="N522" i="328" s="1"/>
  <c r="P522" i="328" s="1"/>
  <c r="L522" i="328"/>
  <c r="I522" i="328"/>
  <c r="I523" i="328" s="1"/>
  <c r="O521" i="328" a="1"/>
  <c r="O521" i="328" s="1"/>
  <c r="S521" i="328"/>
  <c r="N521" i="328" a="1"/>
  <c r="N521" i="328" s="1"/>
  <c r="P521" i="328" s="1"/>
  <c r="L521" i="328"/>
  <c r="O520" i="328" a="1"/>
  <c r="O520" i="328" s="1"/>
  <c r="S520" i="328" s="1"/>
  <c r="N520" i="328" a="1"/>
  <c r="N520" i="328"/>
  <c r="P520" i="328"/>
  <c r="L520" i="328"/>
  <c r="O519" i="328" a="1"/>
  <c r="O519" i="328" s="1"/>
  <c r="S519" i="328" s="1"/>
  <c r="N519" i="328" a="1"/>
  <c r="N519" i="328" s="1"/>
  <c r="P519" i="328"/>
  <c r="L519" i="328"/>
  <c r="E519" i="328"/>
  <c r="O518" i="328" a="1"/>
  <c r="O518" i="328"/>
  <c r="S518" i="328"/>
  <c r="N518" i="328" a="1"/>
  <c r="N518" i="328"/>
  <c r="P518" i="328" s="1"/>
  <c r="L518" i="328"/>
  <c r="E518" i="328"/>
  <c r="O517" i="328" a="1"/>
  <c r="O517" i="328" s="1"/>
  <c r="S517" i="328" s="1"/>
  <c r="N517" i="328" a="1"/>
  <c r="N517" i="328" s="1"/>
  <c r="P517" i="328" s="1"/>
  <c r="L517" i="328"/>
  <c r="E517" i="328"/>
  <c r="O516" i="328" a="1"/>
  <c r="O516" i="328"/>
  <c r="S516" i="328" s="1"/>
  <c r="N516" i="328" a="1"/>
  <c r="N516" i="328" s="1"/>
  <c r="P516" i="328" s="1"/>
  <c r="L516" i="328"/>
  <c r="E516" i="328"/>
  <c r="O515" i="328" a="1"/>
  <c r="O515" i="328" s="1"/>
  <c r="S515" i="328"/>
  <c r="N515" i="328" a="1"/>
  <c r="N515" i="328" s="1"/>
  <c r="P515" i="328" s="1"/>
  <c r="L515" i="328"/>
  <c r="E515" i="328"/>
  <c r="O514" i="328" a="1"/>
  <c r="O514" i="328"/>
  <c r="S514" i="328"/>
  <c r="N514" i="328" a="1"/>
  <c r="N514" i="328" s="1"/>
  <c r="P514" i="328" s="1"/>
  <c r="L514" i="328"/>
  <c r="E514" i="328"/>
  <c r="O513" i="328" a="1"/>
  <c r="O513" i="328" s="1"/>
  <c r="S513" i="328"/>
  <c r="N513" i="328" a="1"/>
  <c r="N513" i="328"/>
  <c r="P513" i="328"/>
  <c r="L513" i="328"/>
  <c r="E513" i="328"/>
  <c r="O512" i="328" a="1"/>
  <c r="O512" i="328"/>
  <c r="S512" i="328"/>
  <c r="N512" i="328" a="1"/>
  <c r="N512" i="328" s="1"/>
  <c r="P512" i="328" s="1"/>
  <c r="L512" i="328"/>
  <c r="E512" i="328"/>
  <c r="O511" i="328" a="1"/>
  <c r="O511" i="328" s="1"/>
  <c r="S511" i="328" s="1"/>
  <c r="N511" i="328" a="1"/>
  <c r="N511" i="328" s="1"/>
  <c r="P511" i="328" s="1"/>
  <c r="L511" i="328"/>
  <c r="E511" i="328"/>
  <c r="O510" i="328" a="1"/>
  <c r="O510" i="328"/>
  <c r="S510" i="328" s="1"/>
  <c r="N510" i="328" a="1"/>
  <c r="N510" i="328"/>
  <c r="P510" i="328"/>
  <c r="L510" i="328"/>
  <c r="E510" i="328"/>
  <c r="O509" i="328" a="1"/>
  <c r="O509" i="328" s="1"/>
  <c r="S509" i="328"/>
  <c r="N509" i="328" a="1"/>
  <c r="N509" i="328"/>
  <c r="P509" i="328" s="1"/>
  <c r="L509" i="328"/>
  <c r="E509" i="328"/>
  <c r="O508" i="328" a="1"/>
  <c r="O508" i="328"/>
  <c r="S508" i="328"/>
  <c r="N508" i="328" a="1"/>
  <c r="N508" i="328"/>
  <c r="P508" i="328"/>
  <c r="L508" i="328"/>
  <c r="E508" i="328"/>
  <c r="O507" i="328" a="1"/>
  <c r="O507" i="328" s="1"/>
  <c r="S507" i="328"/>
  <c r="N507" i="328" a="1"/>
  <c r="N507" i="328" s="1"/>
  <c r="P507" i="328" s="1"/>
  <c r="L507" i="328"/>
  <c r="E507" i="328"/>
  <c r="O506" i="328" a="1"/>
  <c r="O506" i="328"/>
  <c r="S506" i="328" s="1"/>
  <c r="N506" i="328" a="1"/>
  <c r="N506" i="328" s="1"/>
  <c r="P506" i="328" s="1"/>
  <c r="L506" i="328"/>
  <c r="E506" i="328"/>
  <c r="O505" i="328" a="1"/>
  <c r="O505" i="328" s="1"/>
  <c r="S505" i="328" s="1"/>
  <c r="N505" i="328" a="1"/>
  <c r="N505" i="328" s="1"/>
  <c r="P505" i="328"/>
  <c r="L505" i="328"/>
  <c r="E505" i="328"/>
  <c r="O504" i="328" a="1"/>
  <c r="O504" i="328"/>
  <c r="S504" i="328"/>
  <c r="N504" i="328" a="1"/>
  <c r="N504" i="328"/>
  <c r="P504" i="328" s="1"/>
  <c r="L504" i="328"/>
  <c r="E504" i="328"/>
  <c r="O503" i="328" a="1"/>
  <c r="O503" i="328" s="1"/>
  <c r="S503" i="328"/>
  <c r="N503" i="328" a="1"/>
  <c r="N503" i="328"/>
  <c r="P503" i="328" s="1"/>
  <c r="L503" i="328"/>
  <c r="E503" i="328"/>
  <c r="O502" i="328" a="1"/>
  <c r="O502" i="328"/>
  <c r="S502" i="328" s="1"/>
  <c r="N502" i="328" a="1"/>
  <c r="N502" i="328" s="1"/>
  <c r="P502" i="328"/>
  <c r="L502" i="328"/>
  <c r="E502" i="328"/>
  <c r="O501" i="328" a="1"/>
  <c r="O501" i="328" s="1"/>
  <c r="S501" i="328" s="1"/>
  <c r="N501" i="328" a="1"/>
  <c r="N501" i="328" s="1"/>
  <c r="P501" i="328"/>
  <c r="L501" i="328"/>
  <c r="E501" i="328"/>
  <c r="O500" i="328" a="1"/>
  <c r="O500" i="328"/>
  <c r="S500" i="328"/>
  <c r="N500" i="328" a="1"/>
  <c r="N500" i="328"/>
  <c r="P500" i="328" s="1"/>
  <c r="L500" i="328"/>
  <c r="E500" i="328"/>
  <c r="O499" i="328" a="1"/>
  <c r="O499" i="328" s="1"/>
  <c r="S499" i="328"/>
  <c r="N499" i="328" a="1"/>
  <c r="N499" i="328" s="1"/>
  <c r="P499" i="328" s="1"/>
  <c r="L499" i="328"/>
  <c r="E499" i="328"/>
  <c r="O498" i="328" a="1"/>
  <c r="O498" i="328" s="1"/>
  <c r="S498" i="328" s="1"/>
  <c r="N498" i="328" a="1"/>
  <c r="N498" i="328"/>
  <c r="P498" i="328" s="1"/>
  <c r="L498" i="328"/>
  <c r="E498" i="328"/>
  <c r="O497" i="328" a="1"/>
  <c r="O497" i="328" s="1"/>
  <c r="S497" i="328"/>
  <c r="N497" i="328" a="1"/>
  <c r="N497" i="328" s="1"/>
  <c r="P497" i="328" s="1"/>
  <c r="L497" i="328"/>
  <c r="E497" i="328"/>
  <c r="E495" i="328"/>
  <c r="T487" i="328"/>
  <c r="I521" i="328"/>
  <c r="O477" i="328" a="1"/>
  <c r="O477" i="328" s="1"/>
  <c r="S477" i="328" s="1"/>
  <c r="N477" i="328" a="1"/>
  <c r="N477" i="328" s="1"/>
  <c r="P477" i="328" s="1"/>
  <c r="L477" i="328"/>
  <c r="O476" i="328" a="1"/>
  <c r="O476" i="328"/>
  <c r="S476" i="328"/>
  <c r="N476" i="328" a="1"/>
  <c r="N476" i="328"/>
  <c r="P476" i="328" s="1"/>
  <c r="L476" i="328"/>
  <c r="O475" i="328" a="1"/>
  <c r="O475" i="328"/>
  <c r="S475" i="328"/>
  <c r="N475" i="328" a="1"/>
  <c r="N475" i="328" s="1"/>
  <c r="P475" i="328" s="1"/>
  <c r="L475" i="328"/>
  <c r="I475" i="328"/>
  <c r="I476" i="328" s="1"/>
  <c r="O474" i="328" a="1"/>
  <c r="O474" i="328" s="1"/>
  <c r="S474" i="328" s="1"/>
  <c r="N474" i="328" a="1"/>
  <c r="N474" i="328" s="1"/>
  <c r="P474" i="328" s="1"/>
  <c r="L474" i="328"/>
  <c r="O473" i="328" a="1"/>
  <c r="O473" i="328" s="1"/>
  <c r="S473" i="328" s="1"/>
  <c r="N473" i="328" a="1"/>
  <c r="N473" i="328" s="1"/>
  <c r="P473" i="328" s="1"/>
  <c r="L473" i="328"/>
  <c r="O472" i="328" a="1"/>
  <c r="O472" i="328"/>
  <c r="S472" i="328" s="1"/>
  <c r="N472" i="328" a="1"/>
  <c r="N472" i="328" s="1"/>
  <c r="P472" i="328" s="1"/>
  <c r="L472" i="328"/>
  <c r="E472" i="328"/>
  <c r="O471" i="328" a="1"/>
  <c r="O471" i="328" s="1"/>
  <c r="S471" i="328" s="1"/>
  <c r="N471" i="328" a="1"/>
  <c r="N471" i="328" s="1"/>
  <c r="P471" i="328" s="1"/>
  <c r="L471" i="328"/>
  <c r="E471" i="328"/>
  <c r="O470" i="328" a="1"/>
  <c r="O470" i="328" s="1"/>
  <c r="S470" i="328" s="1"/>
  <c r="N470" i="328" a="1"/>
  <c r="N470" i="328"/>
  <c r="P470" i="328"/>
  <c r="L470" i="328"/>
  <c r="E470" i="328"/>
  <c r="O469" i="328" a="1"/>
  <c r="O469" i="328"/>
  <c r="S469" i="328" s="1"/>
  <c r="N469" i="328" a="1"/>
  <c r="N469" i="328" s="1"/>
  <c r="P469" i="328" s="1"/>
  <c r="L469" i="328"/>
  <c r="E469" i="328"/>
  <c r="O468" i="328" a="1"/>
  <c r="O468" i="328" s="1"/>
  <c r="S468" i="328" s="1"/>
  <c r="N468" i="328" a="1"/>
  <c r="N468" i="328" s="1"/>
  <c r="P468" i="328" s="1"/>
  <c r="L468" i="328"/>
  <c r="E468" i="328"/>
  <c r="O467" i="328" a="1"/>
  <c r="O467" i="328" s="1"/>
  <c r="S467" i="328" s="1"/>
  <c r="N467" i="328" a="1"/>
  <c r="N467" i="328" s="1"/>
  <c r="P467" i="328" s="1"/>
  <c r="L467" i="328"/>
  <c r="E467" i="328"/>
  <c r="O466" i="328" a="1"/>
  <c r="O466" i="328"/>
  <c r="S466" i="328"/>
  <c r="N466" i="328" a="1"/>
  <c r="N466" i="328" s="1"/>
  <c r="P466" i="328" s="1"/>
  <c r="L466" i="328"/>
  <c r="E466" i="328"/>
  <c r="O465" i="328" a="1"/>
  <c r="O465" i="328"/>
  <c r="S465" i="328" s="1"/>
  <c r="N465" i="328" a="1"/>
  <c r="N465" i="328"/>
  <c r="P465" i="328" s="1"/>
  <c r="L465" i="328"/>
  <c r="E465" i="328"/>
  <c r="O464" i="328" a="1"/>
  <c r="O464" i="328"/>
  <c r="S464" i="328" s="1"/>
  <c r="N464" i="328" a="1"/>
  <c r="N464" i="328" s="1"/>
  <c r="P464" i="328" s="1"/>
  <c r="L464" i="328"/>
  <c r="E464" i="328"/>
  <c r="O463" i="328" a="1"/>
  <c r="O463" i="328" s="1"/>
  <c r="S463" i="328" s="1"/>
  <c r="N463" i="328" a="1"/>
  <c r="N463" i="328"/>
  <c r="P463" i="328" s="1"/>
  <c r="L463" i="328"/>
  <c r="E463" i="328"/>
  <c r="O462" i="328" a="1"/>
  <c r="O462" i="328"/>
  <c r="S462" i="328" s="1"/>
  <c r="N462" i="328" a="1"/>
  <c r="N462" i="328"/>
  <c r="P462" i="328" s="1"/>
  <c r="L462" i="328"/>
  <c r="E462" i="328"/>
  <c r="O461" i="328" a="1"/>
  <c r="O461" i="328" s="1"/>
  <c r="S461" i="328" s="1"/>
  <c r="N461" i="328" a="1"/>
  <c r="N461" i="328"/>
  <c r="P461" i="328"/>
  <c r="L461" i="328"/>
  <c r="E461" i="328"/>
  <c r="O460" i="328" a="1"/>
  <c r="O460" i="328"/>
  <c r="S460" i="328" s="1"/>
  <c r="N460" i="328" a="1"/>
  <c r="N460" i="328"/>
  <c r="P460" i="328"/>
  <c r="L460" i="328"/>
  <c r="E460" i="328"/>
  <c r="O459" i="328" a="1"/>
  <c r="O459" i="328" s="1"/>
  <c r="S459" i="328" s="1"/>
  <c r="N459" i="328" a="1"/>
  <c r="N459" i="328" s="1"/>
  <c r="P459" i="328"/>
  <c r="L459" i="328"/>
  <c r="E459" i="328"/>
  <c r="O458" i="328" a="1"/>
  <c r="O458" i="328" s="1"/>
  <c r="S458" i="328"/>
  <c r="N458" i="328" a="1"/>
  <c r="N458" i="328" s="1"/>
  <c r="P458" i="328" s="1"/>
  <c r="L458" i="328"/>
  <c r="E458" i="328"/>
  <c r="O457" i="328" a="1"/>
  <c r="O457" i="328" s="1"/>
  <c r="S457" i="328" s="1"/>
  <c r="N457" i="328" a="1"/>
  <c r="N457" i="328" s="1"/>
  <c r="P457" i="328" s="1"/>
  <c r="L457" i="328"/>
  <c r="E457" i="328"/>
  <c r="O456" i="328" a="1"/>
  <c r="O456" i="328"/>
  <c r="S456" i="328" s="1"/>
  <c r="N456" i="328" a="1"/>
  <c r="N456" i="328"/>
  <c r="P456" i="328"/>
  <c r="L456" i="328"/>
  <c r="E456" i="328"/>
  <c r="O455" i="328" a="1"/>
  <c r="O455" i="328"/>
  <c r="S455" i="328" s="1"/>
  <c r="N455" i="328" a="1"/>
  <c r="N455" i="328"/>
  <c r="P455" i="328" s="1"/>
  <c r="L455" i="328"/>
  <c r="E455" i="328"/>
  <c r="O454" i="328" a="1"/>
  <c r="O454" i="328" s="1"/>
  <c r="S454" i="328"/>
  <c r="N454" i="328" a="1"/>
  <c r="N454" i="328" s="1"/>
  <c r="P454" i="328" s="1"/>
  <c r="L454" i="328"/>
  <c r="E454" i="328"/>
  <c r="O453" i="328" a="1"/>
  <c r="O453" i="328"/>
  <c r="S453" i="328" s="1"/>
  <c r="N453" i="328" a="1"/>
  <c r="N453" i="328"/>
  <c r="P453" i="328" s="1"/>
  <c r="L453" i="328"/>
  <c r="E453" i="328"/>
  <c r="O452" i="328" a="1"/>
  <c r="O452" i="328" s="1"/>
  <c r="S452" i="328" s="1"/>
  <c r="N452" i="328" a="1"/>
  <c r="N452" i="328"/>
  <c r="P452" i="328"/>
  <c r="L452" i="328"/>
  <c r="E452" i="328"/>
  <c r="O451" i="328" a="1"/>
  <c r="O451" i="328" s="1"/>
  <c r="S451" i="328" s="1"/>
  <c r="N451" i="328" a="1"/>
  <c r="N451" i="328"/>
  <c r="P451" i="328" s="1"/>
  <c r="L451" i="328"/>
  <c r="E451" i="328"/>
  <c r="O450" i="328" a="1"/>
  <c r="O450" i="328"/>
  <c r="S450" i="328" s="1"/>
  <c r="N450" i="328" a="1"/>
  <c r="N450" i="328"/>
  <c r="P450" i="328"/>
  <c r="L450" i="328"/>
  <c r="E450" i="328"/>
  <c r="E448" i="328"/>
  <c r="T440" i="328"/>
  <c r="I474" i="328" s="1"/>
  <c r="O430" i="328" a="1"/>
  <c r="O430" i="328" s="1"/>
  <c r="S430" i="328" s="1"/>
  <c r="N430" i="328" a="1"/>
  <c r="N430" i="328" s="1"/>
  <c r="P430" i="328"/>
  <c r="L430" i="328"/>
  <c r="O429" i="328" a="1"/>
  <c r="O429" i="328"/>
  <c r="S429" i="328" s="1"/>
  <c r="N429" i="328" a="1"/>
  <c r="N429" i="328"/>
  <c r="P429" i="328" s="1"/>
  <c r="L429" i="328"/>
  <c r="O428" i="328" a="1"/>
  <c r="O428" i="328" s="1"/>
  <c r="S428" i="328" s="1"/>
  <c r="N428" i="328" a="1"/>
  <c r="N428" i="328"/>
  <c r="P428" i="328" s="1"/>
  <c r="L428" i="328"/>
  <c r="I428" i="328"/>
  <c r="I429" i="328"/>
  <c r="O427" i="328" a="1"/>
  <c r="O427" i="328" s="1"/>
  <c r="S427" i="328" s="1"/>
  <c r="N427" i="328" a="1"/>
  <c r="N427" i="328" s="1"/>
  <c r="P427" i="328" s="1"/>
  <c r="L427" i="328"/>
  <c r="O426" i="328" a="1"/>
  <c r="O426" i="328"/>
  <c r="S426" i="328"/>
  <c r="N426" i="328" a="1"/>
  <c r="N426" i="328" s="1"/>
  <c r="P426" i="328" s="1"/>
  <c r="L426" i="328"/>
  <c r="O425" i="328" a="1"/>
  <c r="O425" i="328" s="1"/>
  <c r="S425" i="328" s="1"/>
  <c r="N425" i="328" a="1"/>
  <c r="N425" i="328"/>
  <c r="P425" i="328" s="1"/>
  <c r="L425" i="328"/>
  <c r="E425" i="328"/>
  <c r="O424" i="328" a="1"/>
  <c r="O424" i="328" s="1"/>
  <c r="S424" i="328" s="1"/>
  <c r="N424" i="328" a="1"/>
  <c r="N424" i="328"/>
  <c r="P424" i="328" s="1"/>
  <c r="L424" i="328"/>
  <c r="E424" i="328"/>
  <c r="O423" i="328" a="1"/>
  <c r="O423" i="328" s="1"/>
  <c r="S423" i="328" s="1"/>
  <c r="N423" i="328" a="1"/>
  <c r="N423" i="328" s="1"/>
  <c r="P423" i="328" s="1"/>
  <c r="L423" i="328"/>
  <c r="E423" i="328"/>
  <c r="O422" i="328" a="1"/>
  <c r="O422" i="328"/>
  <c r="S422" i="328" s="1"/>
  <c r="N422" i="328" a="1"/>
  <c r="N422" i="328"/>
  <c r="P422" i="328" s="1"/>
  <c r="L422" i="328"/>
  <c r="E422" i="328"/>
  <c r="O421" i="328" a="1"/>
  <c r="O421" i="328" s="1"/>
  <c r="S421" i="328" s="1"/>
  <c r="N421" i="328" a="1"/>
  <c r="N421" i="328" s="1"/>
  <c r="P421" i="328" s="1"/>
  <c r="L421" i="328"/>
  <c r="E421" i="328"/>
  <c r="O420" i="328" a="1"/>
  <c r="O420" i="328"/>
  <c r="S420" i="328"/>
  <c r="N420" i="328" a="1"/>
  <c r="N420" i="328" s="1"/>
  <c r="P420" i="328" s="1"/>
  <c r="L420" i="328"/>
  <c r="E420" i="328"/>
  <c r="O419" i="328" a="1"/>
  <c r="O419" i="328"/>
  <c r="S419" i="328" s="1"/>
  <c r="N419" i="328" a="1"/>
  <c r="N419" i="328" s="1"/>
  <c r="P419" i="328" s="1"/>
  <c r="L419" i="328"/>
  <c r="E419" i="328"/>
  <c r="O418" i="328" a="1"/>
  <c r="O418" i="328"/>
  <c r="S418" i="328"/>
  <c r="N418" i="328" a="1"/>
  <c r="N418" i="328"/>
  <c r="P418" i="328" s="1"/>
  <c r="L418" i="328"/>
  <c r="E418" i="328"/>
  <c r="O417" i="328" a="1"/>
  <c r="O417" i="328"/>
  <c r="S417" i="328"/>
  <c r="N417" i="328" a="1"/>
  <c r="N417" i="328" s="1"/>
  <c r="P417" i="328" s="1"/>
  <c r="L417" i="328"/>
  <c r="E417" i="328"/>
  <c r="O416" i="328" a="1"/>
  <c r="O416" i="328" s="1"/>
  <c r="S416" i="328"/>
  <c r="N416" i="328" a="1"/>
  <c r="N416" i="328"/>
  <c r="P416" i="328" s="1"/>
  <c r="L416" i="328"/>
  <c r="E416" i="328"/>
  <c r="O415" i="328" a="1"/>
  <c r="O415" i="328"/>
  <c r="S415" i="328" s="1"/>
  <c r="N415" i="328" a="1"/>
  <c r="N415" i="328"/>
  <c r="P415" i="328"/>
  <c r="L415" i="328"/>
  <c r="E415" i="328"/>
  <c r="O414" i="328" a="1"/>
  <c r="O414" i="328"/>
  <c r="S414" i="328" s="1"/>
  <c r="N414" i="328" a="1"/>
  <c r="N414" i="328"/>
  <c r="P414" i="328" s="1"/>
  <c r="L414" i="328"/>
  <c r="E414" i="328"/>
  <c r="O413" i="328" a="1"/>
  <c r="O413" i="328"/>
  <c r="S413" i="328" s="1"/>
  <c r="N413" i="328" a="1"/>
  <c r="N413" i="328" s="1"/>
  <c r="P413" i="328" s="1"/>
  <c r="L413" i="328"/>
  <c r="E413" i="328"/>
  <c r="O412" i="328" a="1"/>
  <c r="O412" i="328" s="1"/>
  <c r="S412" i="328" s="1"/>
  <c r="N412" i="328" a="1"/>
  <c r="N412" i="328"/>
  <c r="P412" i="328" s="1"/>
  <c r="L412" i="328"/>
  <c r="E412" i="328"/>
  <c r="O411" i="328" a="1"/>
  <c r="O411" i="328"/>
  <c r="S411" i="328" s="1"/>
  <c r="N411" i="328" a="1"/>
  <c r="N411" i="328"/>
  <c r="P411" i="328" s="1"/>
  <c r="L411" i="328"/>
  <c r="E411" i="328"/>
  <c r="O410" i="328" a="1"/>
  <c r="O410" i="328"/>
  <c r="S410" i="328"/>
  <c r="N410" i="328" a="1"/>
  <c r="N410" i="328" s="1"/>
  <c r="P410" i="328" s="1"/>
  <c r="L410" i="328"/>
  <c r="E410" i="328"/>
  <c r="O409" i="328" a="1"/>
  <c r="O409" i="328"/>
  <c r="S409" i="328" s="1"/>
  <c r="N409" i="328" a="1"/>
  <c r="N409" i="328"/>
  <c r="P409" i="328" s="1"/>
  <c r="L409" i="328"/>
  <c r="E409" i="328"/>
  <c r="O408" i="328" a="1"/>
  <c r="O408" i="328" s="1"/>
  <c r="S408" i="328" s="1"/>
  <c r="N408" i="328" a="1"/>
  <c r="N408" i="328" s="1"/>
  <c r="P408" i="328" s="1"/>
  <c r="L408" i="328"/>
  <c r="E408" i="328"/>
  <c r="O407" i="328" a="1"/>
  <c r="O407" i="328"/>
  <c r="S407" i="328" s="1"/>
  <c r="N407" i="328" a="1"/>
  <c r="N407" i="328" s="1"/>
  <c r="P407" i="328" s="1"/>
  <c r="L407" i="328"/>
  <c r="E407" i="328"/>
  <c r="O406" i="328" a="1"/>
  <c r="O406" i="328" s="1"/>
  <c r="S406" i="328" s="1"/>
  <c r="N406" i="328" a="1"/>
  <c r="N406" i="328"/>
  <c r="P406" i="328" s="1"/>
  <c r="L406" i="328"/>
  <c r="E406" i="328"/>
  <c r="O405" i="328" a="1"/>
  <c r="O405" i="328"/>
  <c r="S405" i="328" s="1"/>
  <c r="N405" i="328" a="1"/>
  <c r="N405" i="328"/>
  <c r="P405" i="328" s="1"/>
  <c r="L405" i="328"/>
  <c r="E405" i="328"/>
  <c r="O404" i="328" a="1"/>
  <c r="O404" i="328" s="1"/>
  <c r="S404" i="328" s="1"/>
  <c r="N404" i="328" a="1"/>
  <c r="N404" i="328"/>
  <c r="P404" i="328" s="1"/>
  <c r="L404" i="328"/>
  <c r="E404" i="328"/>
  <c r="O403" i="328" a="1"/>
  <c r="O403" i="328"/>
  <c r="S403" i="328"/>
  <c r="N403" i="328" a="1"/>
  <c r="N403" i="328" s="1"/>
  <c r="P403" i="328" s="1"/>
  <c r="L403" i="328"/>
  <c r="E403" i="328"/>
  <c r="E401" i="328"/>
  <c r="T393" i="328"/>
  <c r="I427" i="328" s="1"/>
  <c r="O383" i="328" a="1"/>
  <c r="O383" i="328" s="1"/>
  <c r="S383" i="328" s="1"/>
  <c r="N383" i="328" a="1"/>
  <c r="N383" i="328" s="1"/>
  <c r="P383" i="328"/>
  <c r="L383" i="328"/>
  <c r="O382" i="328" a="1"/>
  <c r="O382" i="328"/>
  <c r="S382" i="328"/>
  <c r="N382" i="328" a="1"/>
  <c r="N382" i="328" s="1"/>
  <c r="P382" i="328" s="1"/>
  <c r="L382" i="328"/>
  <c r="O381" i="328" a="1"/>
  <c r="O381" i="328"/>
  <c r="S381" i="328" s="1"/>
  <c r="N381" i="328" a="1"/>
  <c r="N381" i="328"/>
  <c r="P381" i="328" s="1"/>
  <c r="L381" i="328"/>
  <c r="I381" i="328"/>
  <c r="I382" i="328"/>
  <c r="O380" i="328" a="1"/>
  <c r="O380" i="328" s="1"/>
  <c r="S380" i="328"/>
  <c r="N380" i="328" a="1"/>
  <c r="N380" i="328" s="1"/>
  <c r="P380" i="328" s="1"/>
  <c r="L380" i="328"/>
  <c r="O379" i="328" a="1"/>
  <c r="O379" i="328" s="1"/>
  <c r="S379" i="328" s="1"/>
  <c r="N379" i="328" a="1"/>
  <c r="N379" i="328" s="1"/>
  <c r="P379" i="328"/>
  <c r="L379" i="328"/>
  <c r="O378" i="328" a="1"/>
  <c r="O378" i="328"/>
  <c r="S378" i="328" s="1"/>
  <c r="N378" i="328" a="1"/>
  <c r="N378" i="328" s="1"/>
  <c r="P378" i="328"/>
  <c r="L378" i="328"/>
  <c r="E378" i="328"/>
  <c r="O377" i="328" a="1"/>
  <c r="O377" i="328" s="1"/>
  <c r="S377" i="328"/>
  <c r="N377" i="328" a="1"/>
  <c r="N377" i="328" s="1"/>
  <c r="P377" i="328" s="1"/>
  <c r="L377" i="328"/>
  <c r="E377" i="328"/>
  <c r="O376" i="328" a="1"/>
  <c r="O376" i="328"/>
  <c r="S376" i="328" s="1"/>
  <c r="N376" i="328" a="1"/>
  <c r="N376" i="328" s="1"/>
  <c r="P376" i="328" s="1"/>
  <c r="L376" i="328"/>
  <c r="E376" i="328"/>
  <c r="O375" i="328" a="1"/>
  <c r="O375" i="328"/>
  <c r="S375" i="328" s="1"/>
  <c r="N375" i="328" a="1"/>
  <c r="N375" i="328" s="1"/>
  <c r="P375" i="328" s="1"/>
  <c r="L375" i="328"/>
  <c r="E375" i="328"/>
  <c r="O374" i="328" a="1"/>
  <c r="O374" i="328"/>
  <c r="S374" i="328" s="1"/>
  <c r="N374" i="328" a="1"/>
  <c r="N374" i="328" s="1"/>
  <c r="P374" i="328" s="1"/>
  <c r="L374" i="328"/>
  <c r="E374" i="328"/>
  <c r="O373" i="328" a="1"/>
  <c r="O373" i="328" s="1"/>
  <c r="S373" i="328" s="1"/>
  <c r="N373" i="328" a="1"/>
  <c r="N373" i="328"/>
  <c r="P373" i="328"/>
  <c r="L373" i="328"/>
  <c r="E373" i="328"/>
  <c r="O372" i="328" a="1"/>
  <c r="O372" i="328"/>
  <c r="S372" i="328" s="1"/>
  <c r="N372" i="328" a="1"/>
  <c r="N372" i="328" s="1"/>
  <c r="P372" i="328" s="1"/>
  <c r="L372" i="328"/>
  <c r="E372" i="328"/>
  <c r="O371" i="328" a="1"/>
  <c r="O371" i="328"/>
  <c r="S371" i="328" s="1"/>
  <c r="N371" i="328" a="1"/>
  <c r="N371" i="328" s="1"/>
  <c r="P371" i="328" s="1"/>
  <c r="L371" i="328"/>
  <c r="E371" i="328"/>
  <c r="O370" i="328" a="1"/>
  <c r="O370" i="328"/>
  <c r="S370" i="328"/>
  <c r="N370" i="328" a="1"/>
  <c r="N370" i="328" s="1"/>
  <c r="P370" i="328" s="1"/>
  <c r="L370" i="328"/>
  <c r="E370" i="328"/>
  <c r="O369" i="328" a="1"/>
  <c r="O369" i="328"/>
  <c r="S369" i="328"/>
  <c r="N369" i="328" a="1"/>
  <c r="N369" i="328" s="1"/>
  <c r="P369" i="328" s="1"/>
  <c r="L369" i="328"/>
  <c r="E369" i="328"/>
  <c r="O368" i="328" a="1"/>
  <c r="O368" i="328"/>
  <c r="S368" i="328" s="1"/>
  <c r="N368" i="328" a="1"/>
  <c r="N368" i="328" s="1"/>
  <c r="P368" i="328"/>
  <c r="L368" i="328"/>
  <c r="E368" i="328"/>
  <c r="O367" i="328" a="1"/>
  <c r="O367" i="328" s="1"/>
  <c r="S367" i="328" s="1"/>
  <c r="N367" i="328" a="1"/>
  <c r="N367" i="328"/>
  <c r="P367" i="328" s="1"/>
  <c r="L367" i="328"/>
  <c r="E367" i="328"/>
  <c r="O366" i="328" a="1"/>
  <c r="O366" i="328"/>
  <c r="S366" i="328" s="1"/>
  <c r="N366" i="328" a="1"/>
  <c r="N366" i="328" s="1"/>
  <c r="P366" i="328"/>
  <c r="L366" i="328"/>
  <c r="E366" i="328"/>
  <c r="O365" i="328" a="1"/>
  <c r="O365" i="328" s="1"/>
  <c r="S365" i="328" s="1"/>
  <c r="N365" i="328" a="1"/>
  <c r="N365" i="328"/>
  <c r="P365" i="328"/>
  <c r="L365" i="328"/>
  <c r="E365" i="328"/>
  <c r="O364" i="328" a="1"/>
  <c r="O364" i="328"/>
  <c r="S364" i="328"/>
  <c r="N364" i="328" a="1"/>
  <c r="N364" i="328" s="1"/>
  <c r="P364" i="328" s="1"/>
  <c r="L364" i="328"/>
  <c r="E364" i="328"/>
  <c r="O363" i="328" a="1"/>
  <c r="O363" i="328" s="1"/>
  <c r="S363" i="328" s="1"/>
  <c r="N363" i="328" a="1"/>
  <c r="N363" i="328" s="1"/>
  <c r="P363" i="328" s="1"/>
  <c r="L363" i="328"/>
  <c r="E363" i="328"/>
  <c r="O362" i="328" a="1"/>
  <c r="O362" i="328"/>
  <c r="S362" i="328" s="1"/>
  <c r="N362" i="328" a="1"/>
  <c r="N362" i="328" s="1"/>
  <c r="P362" i="328" s="1"/>
  <c r="L362" i="328"/>
  <c r="E362" i="328"/>
  <c r="O361" i="328" a="1"/>
  <c r="O361" i="328"/>
  <c r="S361" i="328"/>
  <c r="N361" i="328" a="1"/>
  <c r="N361" i="328" s="1"/>
  <c r="P361" i="328" s="1"/>
  <c r="L361" i="328"/>
  <c r="E361" i="328"/>
  <c r="O360" i="328" a="1"/>
  <c r="O360" i="328"/>
  <c r="S360" i="328"/>
  <c r="N360" i="328" a="1"/>
  <c r="N360" i="328" s="1"/>
  <c r="P360" i="328"/>
  <c r="L360" i="328"/>
  <c r="E360" i="328"/>
  <c r="O359" i="328" a="1"/>
  <c r="O359" i="328" s="1"/>
  <c r="S359" i="328"/>
  <c r="N359" i="328" a="1"/>
  <c r="N359" i="328"/>
  <c r="P359" i="328" s="1"/>
  <c r="L359" i="328"/>
  <c r="E359" i="328"/>
  <c r="O358" i="328" a="1"/>
  <c r="O358" i="328"/>
  <c r="S358" i="328" s="1"/>
  <c r="N358" i="328" a="1"/>
  <c r="N358" i="328" s="1"/>
  <c r="P358" i="328" s="1"/>
  <c r="L358" i="328"/>
  <c r="E358" i="328"/>
  <c r="O357" i="328" a="1"/>
  <c r="O357" i="328"/>
  <c r="S357" i="328" s="1"/>
  <c r="N357" i="328" a="1"/>
  <c r="N357" i="328" s="1"/>
  <c r="P357" i="328" s="1"/>
  <c r="L357" i="328"/>
  <c r="E357" i="328"/>
  <c r="O356" i="328" a="1"/>
  <c r="O356" i="328"/>
  <c r="S356" i="328"/>
  <c r="N356" i="328" a="1"/>
  <c r="N356" i="328" s="1"/>
  <c r="P356" i="328" s="1"/>
  <c r="L356" i="328"/>
  <c r="E356" i="328"/>
  <c r="E354" i="328"/>
  <c r="T346" i="328"/>
  <c r="I380" i="328"/>
  <c r="O336" i="328" a="1"/>
  <c r="O336" i="328"/>
  <c r="S336" i="328" s="1"/>
  <c r="N336" i="328" a="1"/>
  <c r="N336" i="328" s="1"/>
  <c r="P336" i="328" s="1"/>
  <c r="L336" i="328"/>
  <c r="O335" i="328" a="1"/>
  <c r="O335" i="328"/>
  <c r="S335" i="328"/>
  <c r="N335" i="328" a="1"/>
  <c r="N335" i="328"/>
  <c r="P335" i="328" s="1"/>
  <c r="L335" i="328"/>
  <c r="O334" i="328" a="1"/>
  <c r="O334" i="328"/>
  <c r="S334" i="328" s="1"/>
  <c r="N334" i="328" a="1"/>
  <c r="N334" i="328"/>
  <c r="P334" i="328" s="1"/>
  <c r="L334" i="328"/>
  <c r="I334" i="328"/>
  <c r="I335" i="328"/>
  <c r="O333" i="328" a="1"/>
  <c r="O333" i="328"/>
  <c r="S333" i="328" s="1"/>
  <c r="N333" i="328" a="1"/>
  <c r="N333" i="328" s="1"/>
  <c r="P333" i="328"/>
  <c r="L333" i="328"/>
  <c r="O332" i="328" a="1"/>
  <c r="O332" i="328" s="1"/>
  <c r="S332" i="328"/>
  <c r="N332" i="328" a="1"/>
  <c r="N332" i="328"/>
  <c r="P332" i="328"/>
  <c r="L332" i="328"/>
  <c r="O331" i="328" a="1"/>
  <c r="O331" i="328"/>
  <c r="S331" i="328" s="1"/>
  <c r="N331" i="328" a="1"/>
  <c r="N331" i="328" s="1"/>
  <c r="P331" i="328" s="1"/>
  <c r="L331" i="328"/>
  <c r="E331" i="328"/>
  <c r="O330" i="328" a="1"/>
  <c r="O330" i="328" s="1"/>
  <c r="S330" i="328" s="1"/>
  <c r="N330" i="328" a="1"/>
  <c r="N330" i="328"/>
  <c r="P330" i="328" s="1"/>
  <c r="L330" i="328"/>
  <c r="E330" i="328"/>
  <c r="O329" i="328" a="1"/>
  <c r="O329" i="328" s="1"/>
  <c r="S329" i="328" s="1"/>
  <c r="N329" i="328" a="1"/>
  <c r="N329" i="328" s="1"/>
  <c r="P329" i="328" s="1"/>
  <c r="L329" i="328"/>
  <c r="E329" i="328"/>
  <c r="O328" i="328" a="1"/>
  <c r="O328" i="328"/>
  <c r="S328" i="328"/>
  <c r="N328" i="328" a="1"/>
  <c r="N328" i="328" s="1"/>
  <c r="P328" i="328" s="1"/>
  <c r="L328" i="328"/>
  <c r="E328" i="328"/>
  <c r="O327" i="328" a="1"/>
  <c r="O327" i="328"/>
  <c r="S327" i="328" s="1"/>
  <c r="N327" i="328" a="1"/>
  <c r="N327" i="328"/>
  <c r="P327" i="328" s="1"/>
  <c r="L327" i="328"/>
  <c r="E327" i="328"/>
  <c r="O326" i="328" a="1"/>
  <c r="O326" i="328" s="1"/>
  <c r="S326" i="328" s="1"/>
  <c r="N326" i="328" a="1"/>
  <c r="N326" i="328"/>
  <c r="P326" i="328" s="1"/>
  <c r="L326" i="328"/>
  <c r="E326" i="328"/>
  <c r="O325" i="328" a="1"/>
  <c r="O325" i="328"/>
  <c r="S325" i="328" s="1"/>
  <c r="N325" i="328" a="1"/>
  <c r="N325" i="328"/>
  <c r="P325" i="328" s="1"/>
  <c r="L325" i="328"/>
  <c r="E325" i="328"/>
  <c r="O324" i="328" a="1"/>
  <c r="O324" i="328" s="1"/>
  <c r="S324" i="328" s="1"/>
  <c r="N324" i="328" a="1"/>
  <c r="N324" i="328" s="1"/>
  <c r="P324" i="328" s="1"/>
  <c r="L324" i="328"/>
  <c r="E324" i="328"/>
  <c r="O323" i="328" a="1"/>
  <c r="O323" i="328" s="1"/>
  <c r="S323" i="328" s="1"/>
  <c r="N323" i="328" a="1"/>
  <c r="N323" i="328"/>
  <c r="P323" i="328" s="1"/>
  <c r="L323" i="328"/>
  <c r="E323" i="328"/>
  <c r="O322" i="328" a="1"/>
  <c r="O322" i="328" s="1"/>
  <c r="S322" i="328" s="1"/>
  <c r="N322" i="328" a="1"/>
  <c r="N322" i="328"/>
  <c r="P322" i="328" s="1"/>
  <c r="L322" i="328"/>
  <c r="E322" i="328"/>
  <c r="O321" i="328" a="1"/>
  <c r="O321" i="328" s="1"/>
  <c r="S321" i="328" s="1"/>
  <c r="N321" i="328" a="1"/>
  <c r="N321" i="328" s="1"/>
  <c r="P321" i="328"/>
  <c r="L321" i="328"/>
  <c r="E321" i="328"/>
  <c r="O320" i="328" a="1"/>
  <c r="O320" i="328" s="1"/>
  <c r="S320" i="328" s="1"/>
  <c r="N320" i="328" a="1"/>
  <c r="N320" i="328" s="1"/>
  <c r="P320" i="328" s="1"/>
  <c r="L320" i="328"/>
  <c r="E320" i="328"/>
  <c r="O319" i="328" a="1"/>
  <c r="O319" i="328"/>
  <c r="S319" i="328" s="1"/>
  <c r="N319" i="328" a="1"/>
  <c r="N319" i="328"/>
  <c r="P319" i="328" s="1"/>
  <c r="L319" i="328"/>
  <c r="E319" i="328"/>
  <c r="O318" i="328" a="1"/>
  <c r="O318" i="328" s="1"/>
  <c r="S318" i="328" s="1"/>
  <c r="N318" i="328" a="1"/>
  <c r="N318" i="328"/>
  <c r="P318" i="328" s="1"/>
  <c r="L318" i="328"/>
  <c r="E318" i="328"/>
  <c r="O317" i="328" a="1"/>
  <c r="O317" i="328" s="1"/>
  <c r="S317" i="328" s="1"/>
  <c r="N317" i="328" a="1"/>
  <c r="N317" i="328"/>
  <c r="P317" i="328"/>
  <c r="L317" i="328"/>
  <c r="E317" i="328"/>
  <c r="O316" i="328" a="1"/>
  <c r="O316" i="328"/>
  <c r="S316" i="328" s="1"/>
  <c r="N316" i="328" a="1"/>
  <c r="N316" i="328"/>
  <c r="P316" i="328" s="1"/>
  <c r="L316" i="328"/>
  <c r="E316" i="328"/>
  <c r="O315" i="328" a="1"/>
  <c r="O315" i="328" s="1"/>
  <c r="S315" i="328" s="1"/>
  <c r="N315" i="328" a="1"/>
  <c r="N315" i="328" s="1"/>
  <c r="P315" i="328" s="1"/>
  <c r="L315" i="328"/>
  <c r="E315" i="328"/>
  <c r="O314" i="328" a="1"/>
  <c r="O314" i="328" s="1"/>
  <c r="S314" i="328" s="1"/>
  <c r="N314" i="328" a="1"/>
  <c r="N314" i="328"/>
  <c r="P314" i="328" s="1"/>
  <c r="L314" i="328"/>
  <c r="E314" i="328"/>
  <c r="O313" i="328" a="1"/>
  <c r="O313" i="328"/>
  <c r="S313" i="328" s="1"/>
  <c r="N313" i="328" a="1"/>
  <c r="N313" i="328" s="1"/>
  <c r="P313" i="328" s="1"/>
  <c r="L313" i="328"/>
  <c r="E313" i="328"/>
  <c r="O312" i="328" a="1"/>
  <c r="O312" i="328" s="1"/>
  <c r="S312" i="328" s="1"/>
  <c r="N312" i="328" a="1"/>
  <c r="N312" i="328" s="1"/>
  <c r="P312" i="328" s="1"/>
  <c r="L312" i="328"/>
  <c r="E312" i="328"/>
  <c r="O311" i="328" a="1"/>
  <c r="O311" i="328"/>
  <c r="S311" i="328" s="1"/>
  <c r="N311" i="328" a="1"/>
  <c r="N311" i="328" s="1"/>
  <c r="P311" i="328" s="1"/>
  <c r="L311" i="328"/>
  <c r="E311" i="328"/>
  <c r="O310" i="328" a="1"/>
  <c r="O310" i="328"/>
  <c r="S310" i="328"/>
  <c r="N310" i="328" a="1"/>
  <c r="N310" i="328"/>
  <c r="P310" i="328" s="1"/>
  <c r="L310" i="328"/>
  <c r="E310" i="328"/>
  <c r="O309" i="328" a="1"/>
  <c r="O309" i="328" s="1"/>
  <c r="S309" i="328" s="1"/>
  <c r="N309" i="328" a="1"/>
  <c r="N309" i="328" s="1"/>
  <c r="P309" i="328" s="1"/>
  <c r="L309" i="328"/>
  <c r="E309" i="328"/>
  <c r="E307" i="328"/>
  <c r="T299" i="328"/>
  <c r="I333" i="328" s="1"/>
  <c r="O289" i="328" a="1"/>
  <c r="O289" i="328"/>
  <c r="S289" i="328" s="1"/>
  <c r="N289" i="328" a="1"/>
  <c r="N289" i="328" s="1"/>
  <c r="P289" i="328" s="1"/>
  <c r="L289" i="328"/>
  <c r="O288" i="328" a="1"/>
  <c r="O288" i="328" s="1"/>
  <c r="S288" i="328" s="1"/>
  <c r="N288" i="328" a="1"/>
  <c r="N288" i="328" s="1"/>
  <c r="P288" i="328" s="1"/>
  <c r="L288" i="328"/>
  <c r="O287" i="328" a="1"/>
  <c r="O287" i="328" s="1"/>
  <c r="S287" i="328" s="1"/>
  <c r="N287" i="328" a="1"/>
  <c r="N287" i="328" s="1"/>
  <c r="P287" i="328" s="1"/>
  <c r="L287" i="328"/>
  <c r="I287" i="328"/>
  <c r="I288" i="328"/>
  <c r="O286" i="328" a="1"/>
  <c r="O286" i="328" s="1"/>
  <c r="S286" i="328" s="1"/>
  <c r="N286" i="328" a="1"/>
  <c r="N286" i="328"/>
  <c r="P286" i="328" s="1"/>
  <c r="L286" i="328"/>
  <c r="O285" i="328" a="1"/>
  <c r="O285" i="328"/>
  <c r="S285" i="328"/>
  <c r="N285" i="328" a="1"/>
  <c r="N285" i="328" s="1"/>
  <c r="P285" i="328" s="1"/>
  <c r="L285" i="328"/>
  <c r="O284" i="328" a="1"/>
  <c r="O284" i="328" s="1"/>
  <c r="S284" i="328"/>
  <c r="N284" i="328" a="1"/>
  <c r="N284" i="328" s="1"/>
  <c r="P284" i="328" s="1"/>
  <c r="L284" i="328"/>
  <c r="E284" i="328"/>
  <c r="O283" i="328" a="1"/>
  <c r="O283" i="328" s="1"/>
  <c r="S283" i="328" s="1"/>
  <c r="N283" i="328" a="1"/>
  <c r="N283" i="328"/>
  <c r="P283" i="328"/>
  <c r="L283" i="328"/>
  <c r="E283" i="328"/>
  <c r="O282" i="328" a="1"/>
  <c r="O282" i="328" s="1"/>
  <c r="S282" i="328" s="1"/>
  <c r="N282" i="328" a="1"/>
  <c r="N282" i="328" s="1"/>
  <c r="P282" i="328"/>
  <c r="L282" i="328"/>
  <c r="E282" i="328"/>
  <c r="O281" i="328" a="1"/>
  <c r="O281" i="328"/>
  <c r="S281" i="328" s="1"/>
  <c r="N281" i="328" a="1"/>
  <c r="N281" i="328"/>
  <c r="P281" i="328" s="1"/>
  <c r="L281" i="328"/>
  <c r="E281" i="328"/>
  <c r="O280" i="328" a="1"/>
  <c r="O280" i="328" s="1"/>
  <c r="S280" i="328" s="1"/>
  <c r="N280" i="328" a="1"/>
  <c r="N280" i="328" s="1"/>
  <c r="P280" i="328"/>
  <c r="L280" i="328"/>
  <c r="E280" i="328"/>
  <c r="O279" i="328" a="1"/>
  <c r="O279" i="328" s="1"/>
  <c r="S279" i="328" s="1"/>
  <c r="N279" i="328" a="1"/>
  <c r="N279" i="328" s="1"/>
  <c r="P279" i="328" s="1"/>
  <c r="L279" i="328"/>
  <c r="E279" i="328"/>
  <c r="O278" i="328" a="1"/>
  <c r="O278" i="328" s="1"/>
  <c r="S278" i="328" s="1"/>
  <c r="N278" i="328" a="1"/>
  <c r="N278" i="328" s="1"/>
  <c r="P278" i="328" s="1"/>
  <c r="L278" i="328"/>
  <c r="E278" i="328"/>
  <c r="O277" i="328" a="1"/>
  <c r="O277" i="328"/>
  <c r="S277" i="328"/>
  <c r="N277" i="328" a="1"/>
  <c r="N277" i="328"/>
  <c r="P277" i="328" s="1"/>
  <c r="L277" i="328"/>
  <c r="E277" i="328"/>
  <c r="O276" i="328" a="1"/>
  <c r="O276" i="328"/>
  <c r="S276" i="328" s="1"/>
  <c r="N276" i="328" a="1"/>
  <c r="N276" i="328" s="1"/>
  <c r="P276" i="328" s="1"/>
  <c r="L276" i="328"/>
  <c r="E276" i="328"/>
  <c r="O275" i="328" a="1"/>
  <c r="O275" i="328"/>
  <c r="S275" i="328"/>
  <c r="N275" i="328" a="1"/>
  <c r="N275" i="328" s="1"/>
  <c r="P275" i="328"/>
  <c r="L275" i="328"/>
  <c r="E275" i="328"/>
  <c r="O274" i="328" a="1"/>
  <c r="O274" i="328" s="1"/>
  <c r="S274" i="328"/>
  <c r="N274" i="328" a="1"/>
  <c r="N274" i="328" s="1"/>
  <c r="P274" i="328"/>
  <c r="L274" i="328"/>
  <c r="E274" i="328"/>
  <c r="O273" i="328" a="1"/>
  <c r="O273" i="328"/>
  <c r="S273" i="328"/>
  <c r="N273" i="328" a="1"/>
  <c r="N273" i="328" s="1"/>
  <c r="P273" i="328" s="1"/>
  <c r="L273" i="328"/>
  <c r="E273" i="328"/>
  <c r="O272" i="328" a="1"/>
  <c r="O272" i="328"/>
  <c r="S272" i="328" s="1"/>
  <c r="N272" i="328" a="1"/>
  <c r="N272" i="328" s="1"/>
  <c r="P272" i="328" s="1"/>
  <c r="L272" i="328"/>
  <c r="E272" i="328"/>
  <c r="O271" i="328" a="1"/>
  <c r="O271" i="328"/>
  <c r="S271" i="328"/>
  <c r="N271" i="328" a="1"/>
  <c r="N271" i="328" s="1"/>
  <c r="P271" i="328" s="1"/>
  <c r="L271" i="328"/>
  <c r="E271" i="328"/>
  <c r="O270" i="328" a="1"/>
  <c r="O270" i="328" s="1"/>
  <c r="S270" i="328" s="1"/>
  <c r="N270" i="328" a="1"/>
  <c r="N270" i="328" s="1"/>
  <c r="P270" i="328"/>
  <c r="L270" i="328"/>
  <c r="E270" i="328"/>
  <c r="O269" i="328" a="1"/>
  <c r="O269" i="328" s="1"/>
  <c r="S269" i="328" s="1"/>
  <c r="N269" i="328" a="1"/>
  <c r="N269" i="328"/>
  <c r="P269" i="328"/>
  <c r="L269" i="328"/>
  <c r="E269" i="328"/>
  <c r="O268" i="328" a="1"/>
  <c r="O268" i="328"/>
  <c r="S268" i="328" s="1"/>
  <c r="N268" i="328" a="1"/>
  <c r="N268" i="328" s="1"/>
  <c r="P268" i="328"/>
  <c r="L268" i="328"/>
  <c r="E268" i="328"/>
  <c r="O267" i="328" a="1"/>
  <c r="O267" i="328" s="1"/>
  <c r="S267" i="328" s="1"/>
  <c r="N267" i="328" a="1"/>
  <c r="N267" i="328" s="1"/>
  <c r="P267" i="328" s="1"/>
  <c r="L267" i="328"/>
  <c r="E267" i="328"/>
  <c r="O266" i="328" a="1"/>
  <c r="O266" i="328"/>
  <c r="S266" i="328" s="1"/>
  <c r="N266" i="328" a="1"/>
  <c r="N266" i="328" s="1"/>
  <c r="P266" i="328" s="1"/>
  <c r="L266" i="328"/>
  <c r="E266" i="328"/>
  <c r="O265" i="328" a="1"/>
  <c r="O265" i="328"/>
  <c r="S265" i="328" s="1"/>
  <c r="N265" i="328" a="1"/>
  <c r="N265" i="328" s="1"/>
  <c r="P265" i="328" s="1"/>
  <c r="L265" i="328"/>
  <c r="E265" i="328"/>
  <c r="O264" i="328" a="1"/>
  <c r="O264" i="328" s="1"/>
  <c r="S264" i="328" s="1"/>
  <c r="N264" i="328" a="1"/>
  <c r="N264" i="328" s="1"/>
  <c r="P264" i="328"/>
  <c r="L264" i="328"/>
  <c r="E264" i="328"/>
  <c r="O263" i="328" a="1"/>
  <c r="O263" i="328" s="1"/>
  <c r="S263" i="328"/>
  <c r="N263" i="328" a="1"/>
  <c r="N263" i="328" s="1"/>
  <c r="P263" i="328" s="1"/>
  <c r="L263" i="328"/>
  <c r="E263" i="328"/>
  <c r="O262" i="328" a="1"/>
  <c r="O262" i="328"/>
  <c r="S262" i="328"/>
  <c r="N262" i="328" a="1"/>
  <c r="N262" i="328" s="1"/>
  <c r="P262" i="328" s="1"/>
  <c r="L262" i="328"/>
  <c r="E262" i="328"/>
  <c r="E260" i="328"/>
  <c r="T252" i="328"/>
  <c r="I286" i="328" s="1"/>
  <c r="O242" i="328" a="1"/>
  <c r="O242" i="328"/>
  <c r="S242" i="328" s="1"/>
  <c r="N242" i="328" a="1"/>
  <c r="N242" i="328" s="1"/>
  <c r="P242" i="328" s="1"/>
  <c r="L242" i="328"/>
  <c r="O241" i="328" a="1"/>
  <c r="O241" i="328"/>
  <c r="S241" i="328" s="1"/>
  <c r="N241" i="328" a="1"/>
  <c r="N241" i="328"/>
  <c r="P241" i="328"/>
  <c r="L241" i="328"/>
  <c r="O240" i="328" a="1"/>
  <c r="O240" i="328"/>
  <c r="S240" i="328" s="1"/>
  <c r="N240" i="328" a="1"/>
  <c r="N240" i="328" s="1"/>
  <c r="P240" i="328"/>
  <c r="L240" i="328"/>
  <c r="I240" i="328"/>
  <c r="I241" i="328" s="1"/>
  <c r="O239" i="328" a="1"/>
  <c r="O239" i="328"/>
  <c r="S239" i="328" s="1"/>
  <c r="N239" i="328" a="1"/>
  <c r="N239" i="328" s="1"/>
  <c r="P239" i="328" s="1"/>
  <c r="L239" i="328"/>
  <c r="O238" i="328" a="1"/>
  <c r="O238" i="328"/>
  <c r="S238" i="328" s="1"/>
  <c r="N238" i="328" a="1"/>
  <c r="N238" i="328" s="1"/>
  <c r="P238" i="328" s="1"/>
  <c r="L238" i="328"/>
  <c r="O237" i="328" a="1"/>
  <c r="O237" i="328" s="1"/>
  <c r="S237" i="328" s="1"/>
  <c r="N237" i="328" a="1"/>
  <c r="N237" i="328" s="1"/>
  <c r="P237" i="328" s="1"/>
  <c r="L237" i="328"/>
  <c r="E237" i="328"/>
  <c r="O236" i="328" a="1"/>
  <c r="O236" i="328" s="1"/>
  <c r="S236" i="328" s="1"/>
  <c r="N236" i="328" a="1"/>
  <c r="N236" i="328"/>
  <c r="P236" i="328"/>
  <c r="L236" i="328"/>
  <c r="E236" i="328"/>
  <c r="O235" i="328" a="1"/>
  <c r="O235" i="328" s="1"/>
  <c r="S235" i="328" s="1"/>
  <c r="N235" i="328" a="1"/>
  <c r="N235" i="328" s="1"/>
  <c r="P235" i="328" s="1"/>
  <c r="L235" i="328"/>
  <c r="E235" i="328"/>
  <c r="O234" i="328" a="1"/>
  <c r="O234" i="328" s="1"/>
  <c r="S234" i="328" s="1"/>
  <c r="N234" i="328" a="1"/>
  <c r="N234" i="328"/>
  <c r="P234" i="328" s="1"/>
  <c r="L234" i="328"/>
  <c r="E234" i="328"/>
  <c r="O233" i="328" a="1"/>
  <c r="O233" i="328" s="1"/>
  <c r="S233" i="328" s="1"/>
  <c r="N233" i="328" a="1"/>
  <c r="N233" i="328"/>
  <c r="P233" i="328"/>
  <c r="L233" i="328"/>
  <c r="E233" i="328"/>
  <c r="O232" i="328" a="1"/>
  <c r="O232" i="328" s="1"/>
  <c r="S232" i="328" s="1"/>
  <c r="N232" i="328" a="1"/>
  <c r="N232" i="328"/>
  <c r="P232" i="328"/>
  <c r="L232" i="328"/>
  <c r="E232" i="328"/>
  <c r="O231" i="328" a="1"/>
  <c r="O231" i="328" s="1"/>
  <c r="S231" i="328" s="1"/>
  <c r="N231" i="328" a="1"/>
  <c r="N231" i="328" s="1"/>
  <c r="P231" i="328" s="1"/>
  <c r="L231" i="328"/>
  <c r="E231" i="328"/>
  <c r="O230" i="328" a="1"/>
  <c r="O230" i="328" s="1"/>
  <c r="S230" i="328" s="1"/>
  <c r="N230" i="328" a="1"/>
  <c r="N230" i="328"/>
  <c r="P230" i="328" s="1"/>
  <c r="L230" i="328"/>
  <c r="E230" i="328"/>
  <c r="O229" i="328" a="1"/>
  <c r="O229" i="328" s="1"/>
  <c r="S229" i="328" s="1"/>
  <c r="N229" i="328" a="1"/>
  <c r="N229" i="328" s="1"/>
  <c r="P229" i="328" s="1"/>
  <c r="L229" i="328"/>
  <c r="E229" i="328"/>
  <c r="O228" i="328" a="1"/>
  <c r="O228" i="328" s="1"/>
  <c r="S228" i="328" s="1"/>
  <c r="N228" i="328" a="1"/>
  <c r="N228" i="328"/>
  <c r="P228" i="328"/>
  <c r="L228" i="328"/>
  <c r="E228" i="328"/>
  <c r="O227" i="328" a="1"/>
  <c r="O227" i="328" s="1"/>
  <c r="S227" i="328" s="1"/>
  <c r="N227" i="328" a="1"/>
  <c r="N227" i="328" s="1"/>
  <c r="P227" i="328" s="1"/>
  <c r="L227" i="328"/>
  <c r="E227" i="328"/>
  <c r="O226" i="328" a="1"/>
  <c r="O226" i="328" s="1"/>
  <c r="S226" i="328" s="1"/>
  <c r="N226" i="328" a="1"/>
  <c r="N226" i="328"/>
  <c r="P226" i="328" s="1"/>
  <c r="L226" i="328"/>
  <c r="E226" i="328"/>
  <c r="O225" i="328" a="1"/>
  <c r="O225" i="328" s="1"/>
  <c r="S225" i="328" s="1"/>
  <c r="N225" i="328" a="1"/>
  <c r="N225" i="328"/>
  <c r="P225" i="328"/>
  <c r="L225" i="328"/>
  <c r="E225" i="328"/>
  <c r="O224" i="328" a="1"/>
  <c r="O224" i="328" s="1"/>
  <c r="S224" i="328" s="1"/>
  <c r="N224" i="328" a="1"/>
  <c r="N224" i="328"/>
  <c r="P224" i="328"/>
  <c r="L224" i="328"/>
  <c r="E224" i="328"/>
  <c r="O223" i="328" a="1"/>
  <c r="O223" i="328" s="1"/>
  <c r="S223" i="328" s="1"/>
  <c r="N223" i="328" a="1"/>
  <c r="N223" i="328" s="1"/>
  <c r="P223" i="328" s="1"/>
  <c r="L223" i="328"/>
  <c r="E223" i="328"/>
  <c r="O222" i="328" a="1"/>
  <c r="O222" i="328" s="1"/>
  <c r="S222" i="328" s="1"/>
  <c r="N222" i="328" a="1"/>
  <c r="N222" i="328"/>
  <c r="P222" i="328" s="1"/>
  <c r="L222" i="328"/>
  <c r="E222" i="328"/>
  <c r="O221" i="328" a="1"/>
  <c r="O221" i="328" s="1"/>
  <c r="S221" i="328" s="1"/>
  <c r="N221" i="328" a="1"/>
  <c r="N221" i="328"/>
  <c r="P221" i="328" s="1"/>
  <c r="L221" i="328"/>
  <c r="E221" i="328"/>
  <c r="O220" i="328" a="1"/>
  <c r="O220" i="328" s="1"/>
  <c r="S220" i="328" s="1"/>
  <c r="N220" i="328" a="1"/>
  <c r="N220" i="328"/>
  <c r="P220" i="328"/>
  <c r="L220" i="328"/>
  <c r="E220" i="328"/>
  <c r="O219" i="328" a="1"/>
  <c r="O219" i="328" s="1"/>
  <c r="S219" i="328" s="1"/>
  <c r="N219" i="328" a="1"/>
  <c r="N219" i="328" s="1"/>
  <c r="P219" i="328" s="1"/>
  <c r="L219" i="328"/>
  <c r="E219" i="328"/>
  <c r="O218" i="328" a="1"/>
  <c r="O218" i="328" s="1"/>
  <c r="S218" i="328" s="1"/>
  <c r="N218" i="328" a="1"/>
  <c r="N218" i="328"/>
  <c r="P218" i="328" s="1"/>
  <c r="L218" i="328"/>
  <c r="E218" i="328"/>
  <c r="O217" i="328" a="1"/>
  <c r="O217" i="328" s="1"/>
  <c r="S217" i="328" s="1"/>
  <c r="N217" i="328" a="1"/>
  <c r="N217" i="328"/>
  <c r="P217" i="328"/>
  <c r="L217" i="328"/>
  <c r="E217" i="328"/>
  <c r="O216" i="328" a="1"/>
  <c r="O216" i="328" s="1"/>
  <c r="S216" i="328" s="1"/>
  <c r="N216" i="328" a="1"/>
  <c r="N216" i="328"/>
  <c r="P216" i="328"/>
  <c r="L216" i="328"/>
  <c r="E216" i="328"/>
  <c r="O215" i="328" a="1"/>
  <c r="O215" i="328" s="1"/>
  <c r="S215" i="328" s="1"/>
  <c r="N215" i="328" a="1"/>
  <c r="N215" i="328" s="1"/>
  <c r="P215" i="328" s="1"/>
  <c r="L215" i="328"/>
  <c r="E215" i="328"/>
  <c r="E213" i="328"/>
  <c r="T205" i="328"/>
  <c r="I239" i="328"/>
  <c r="O195" i="328" a="1"/>
  <c r="O195" i="328"/>
  <c r="S195" i="328"/>
  <c r="N195" i="328" a="1"/>
  <c r="N195" i="328" s="1"/>
  <c r="P195" i="328" s="1"/>
  <c r="L195" i="328"/>
  <c r="O194" i="328" a="1"/>
  <c r="O194" i="328"/>
  <c r="S194" i="328"/>
  <c r="N194" i="328" a="1"/>
  <c r="N194" i="328" s="1"/>
  <c r="P194" i="328" s="1"/>
  <c r="L194" i="328"/>
  <c r="O193" i="328" a="1"/>
  <c r="O193" i="328" s="1"/>
  <c r="S193" i="328" s="1"/>
  <c r="N193" i="328" a="1"/>
  <c r="N193" i="328"/>
  <c r="P193" i="328"/>
  <c r="L193" i="328"/>
  <c r="I193" i="328"/>
  <c r="I194" i="328" s="1"/>
  <c r="O192" i="328" a="1"/>
  <c r="O192" i="328"/>
  <c r="S192" i="328"/>
  <c r="N192" i="328" a="1"/>
  <c r="N192" i="328" s="1"/>
  <c r="P192" i="328" s="1"/>
  <c r="L192" i="328"/>
  <c r="O191" i="328" a="1"/>
  <c r="O191" i="328" s="1"/>
  <c r="S191" i="328" s="1"/>
  <c r="N191" i="328" a="1"/>
  <c r="N191" i="328"/>
  <c r="P191" i="328"/>
  <c r="L191" i="328"/>
  <c r="O190" i="328" a="1"/>
  <c r="O190" i="328" s="1"/>
  <c r="S190" i="328" s="1"/>
  <c r="N190" i="328" a="1"/>
  <c r="N190" i="328"/>
  <c r="P190" i="328" s="1"/>
  <c r="L190" i="328"/>
  <c r="E190" i="328"/>
  <c r="O189" i="328" a="1"/>
  <c r="O189" i="328" s="1"/>
  <c r="S189" i="328" s="1"/>
  <c r="N189" i="328" a="1"/>
  <c r="N189" i="328"/>
  <c r="P189" i="328"/>
  <c r="L189" i="328"/>
  <c r="E189" i="328"/>
  <c r="O188" i="328" a="1"/>
  <c r="O188" i="328" s="1"/>
  <c r="S188" i="328" s="1"/>
  <c r="N188" i="328" a="1"/>
  <c r="N188" i="328"/>
  <c r="P188" i="328"/>
  <c r="L188" i="328"/>
  <c r="E188" i="328"/>
  <c r="O187" i="328" a="1"/>
  <c r="O187" i="328" s="1"/>
  <c r="S187" i="328" s="1"/>
  <c r="N187" i="328" a="1"/>
  <c r="N187" i="328"/>
  <c r="P187" i="328"/>
  <c r="L187" i="328"/>
  <c r="E187" i="328"/>
  <c r="O186" i="328" a="1"/>
  <c r="O186" i="328" s="1"/>
  <c r="S186" i="328" s="1"/>
  <c r="N186" i="328" a="1"/>
  <c r="N186" i="328"/>
  <c r="P186" i="328" s="1"/>
  <c r="L186" i="328"/>
  <c r="E186" i="328"/>
  <c r="O185" i="328" a="1"/>
  <c r="O185" i="328"/>
  <c r="S185" i="328" s="1"/>
  <c r="N185" i="328" a="1"/>
  <c r="N185" i="328"/>
  <c r="P185" i="328"/>
  <c r="L185" i="328"/>
  <c r="E185" i="328"/>
  <c r="O184" i="328" a="1"/>
  <c r="O184" i="328" s="1"/>
  <c r="S184" i="328" s="1"/>
  <c r="N184" i="328" a="1"/>
  <c r="N184" i="328"/>
  <c r="P184" i="328" s="1"/>
  <c r="L184" i="328"/>
  <c r="E184" i="328"/>
  <c r="O183" i="328" a="1"/>
  <c r="O183" i="328"/>
  <c r="S183" i="328" s="1"/>
  <c r="N183" i="328" a="1"/>
  <c r="N183" i="328"/>
  <c r="P183" i="328"/>
  <c r="L183" i="328"/>
  <c r="E183" i="328"/>
  <c r="O182" i="328" a="1"/>
  <c r="O182" i="328" s="1"/>
  <c r="S182" i="328" s="1"/>
  <c r="N182" i="328" a="1"/>
  <c r="N182" i="328"/>
  <c r="P182" i="328" s="1"/>
  <c r="L182" i="328"/>
  <c r="E182" i="328"/>
  <c r="O181" i="328" a="1"/>
  <c r="O181" i="328"/>
  <c r="S181" i="328" s="1"/>
  <c r="N181" i="328" a="1"/>
  <c r="N181" i="328"/>
  <c r="P181" i="328"/>
  <c r="L181" i="328"/>
  <c r="E181" i="328"/>
  <c r="O180" i="328" a="1"/>
  <c r="O180" i="328" s="1"/>
  <c r="S180" i="328" s="1"/>
  <c r="N180" i="328" a="1"/>
  <c r="N180" i="328"/>
  <c r="P180" i="328" s="1"/>
  <c r="L180" i="328"/>
  <c r="E180" i="328"/>
  <c r="O179" i="328" a="1"/>
  <c r="O179" i="328"/>
  <c r="S179" i="328" s="1"/>
  <c r="N179" i="328" a="1"/>
  <c r="N179" i="328"/>
  <c r="P179" i="328"/>
  <c r="L179" i="328"/>
  <c r="E179" i="328"/>
  <c r="O178" i="328" a="1"/>
  <c r="O178" i="328" s="1"/>
  <c r="S178" i="328" s="1"/>
  <c r="N178" i="328" a="1"/>
  <c r="N178" i="328"/>
  <c r="P178" i="328"/>
  <c r="L178" i="328"/>
  <c r="E178" i="328"/>
  <c r="O177" i="328" a="1"/>
  <c r="O177" i="328" s="1"/>
  <c r="S177" i="328" s="1"/>
  <c r="N177" i="328" a="1"/>
  <c r="N177" i="328"/>
  <c r="P177" i="328"/>
  <c r="L177" i="328"/>
  <c r="E177" i="328"/>
  <c r="O176" i="328" a="1"/>
  <c r="O176" i="328" s="1"/>
  <c r="S176" i="328" s="1"/>
  <c r="N176" i="328" a="1"/>
  <c r="N176" i="328"/>
  <c r="P176" i="328"/>
  <c r="L176" i="328"/>
  <c r="E176" i="328"/>
  <c r="O175" i="328" a="1"/>
  <c r="O175" i="328"/>
  <c r="S175" i="328" s="1"/>
  <c r="N175" i="328" a="1"/>
  <c r="N175" i="328" s="1"/>
  <c r="P175" i="328" s="1"/>
  <c r="L175" i="328"/>
  <c r="E175" i="328"/>
  <c r="O174" i="328" a="1"/>
  <c r="O174" i="328" s="1"/>
  <c r="S174" i="328" s="1"/>
  <c r="N174" i="328" a="1"/>
  <c r="N174" i="328"/>
  <c r="P174" i="328" s="1"/>
  <c r="L174" i="328"/>
  <c r="E174" i="328"/>
  <c r="O173" i="328" a="1"/>
  <c r="O173" i="328" s="1"/>
  <c r="S173" i="328" s="1"/>
  <c r="N173" i="328" a="1"/>
  <c r="N173" i="328" s="1"/>
  <c r="P173" i="328"/>
  <c r="L173" i="328"/>
  <c r="E173" i="328"/>
  <c r="O172" i="328" a="1"/>
  <c r="O172" i="328" s="1"/>
  <c r="S172" i="328" s="1"/>
  <c r="N172" i="328" a="1"/>
  <c r="N172" i="328"/>
  <c r="P172" i="328"/>
  <c r="L172" i="328"/>
  <c r="E172" i="328"/>
  <c r="O171" i="328" a="1"/>
  <c r="O171" i="328" s="1"/>
  <c r="S171" i="328" s="1"/>
  <c r="N171" i="328" a="1"/>
  <c r="N171" i="328" s="1"/>
  <c r="P171" i="328" s="1"/>
  <c r="L171" i="328"/>
  <c r="E171" i="328"/>
  <c r="O170" i="328" a="1"/>
  <c r="O170" i="328" s="1"/>
  <c r="S170" i="328" s="1"/>
  <c r="N170" i="328" a="1"/>
  <c r="N170" i="328"/>
  <c r="P170" i="328"/>
  <c r="L170" i="328"/>
  <c r="E170" i="328"/>
  <c r="O169" i="328" a="1"/>
  <c r="O169" i="328"/>
  <c r="S169" i="328" s="1"/>
  <c r="N169" i="328" a="1"/>
  <c r="N169" i="328" s="1"/>
  <c r="P169" i="328"/>
  <c r="L169" i="328"/>
  <c r="E169" i="328"/>
  <c r="O168" i="328" a="1"/>
  <c r="O168" i="328" s="1"/>
  <c r="S168" i="328" s="1"/>
  <c r="N168" i="328" a="1"/>
  <c r="N168" i="328"/>
  <c r="P168" i="328" s="1"/>
  <c r="L168" i="328"/>
  <c r="E168" i="328"/>
  <c r="E166" i="328"/>
  <c r="T158" i="328"/>
  <c r="I192" i="328" s="1"/>
  <c r="O148" i="328" a="1"/>
  <c r="O148" i="328" s="1"/>
  <c r="S148" i="328" s="1"/>
  <c r="N148" i="328" a="1"/>
  <c r="N148" i="328" s="1"/>
  <c r="P148" i="328"/>
  <c r="L148" i="328"/>
  <c r="O147" i="328" a="1"/>
  <c r="O147" i="328" s="1"/>
  <c r="S147" i="328" s="1"/>
  <c r="N147" i="328" a="1"/>
  <c r="N147" i="328" s="1"/>
  <c r="P147" i="328" s="1"/>
  <c r="L147" i="328"/>
  <c r="O146" i="328" a="1"/>
  <c r="O146" i="328" s="1"/>
  <c r="S146" i="328" s="1"/>
  <c r="N146" i="328" a="1"/>
  <c r="N146" i="328" s="1"/>
  <c r="P146" i="328"/>
  <c r="L146" i="328"/>
  <c r="I146" i="328"/>
  <c r="I147" i="328" s="1"/>
  <c r="O145" i="328" a="1"/>
  <c r="O145" i="328" s="1"/>
  <c r="S145" i="328" s="1"/>
  <c r="N145" i="328" a="1"/>
  <c r="N145" i="328"/>
  <c r="P145" i="328" s="1"/>
  <c r="L145" i="328"/>
  <c r="O144" i="328" a="1"/>
  <c r="O144" i="328" s="1"/>
  <c r="S144" i="328" s="1"/>
  <c r="N144" i="328" a="1"/>
  <c r="N144" i="328" s="1"/>
  <c r="P144" i="328" s="1"/>
  <c r="L144" i="328"/>
  <c r="O143" i="328" a="1"/>
  <c r="O143" i="328" s="1"/>
  <c r="S143" i="328" s="1"/>
  <c r="N143" i="328" a="1"/>
  <c r="N143" i="328"/>
  <c r="P143" i="328"/>
  <c r="L143" i="328"/>
  <c r="E143" i="328"/>
  <c r="O142" i="328" a="1"/>
  <c r="O142" i="328"/>
  <c r="S142" i="328" s="1"/>
  <c r="N142" i="328" a="1"/>
  <c r="N142" i="328"/>
  <c r="P142" i="328" s="1"/>
  <c r="L142" i="328"/>
  <c r="E142" i="328"/>
  <c r="O141" i="328" a="1"/>
  <c r="O141" i="328" s="1"/>
  <c r="S141" i="328" s="1"/>
  <c r="N141" i="328" a="1"/>
  <c r="N141" i="328"/>
  <c r="P141" i="328"/>
  <c r="L141" i="328"/>
  <c r="E141" i="328"/>
  <c r="O140" i="328" a="1"/>
  <c r="O140" i="328"/>
  <c r="S140" i="328" s="1"/>
  <c r="N140" i="328" a="1"/>
  <c r="N140" i="328"/>
  <c r="P140" i="328" s="1"/>
  <c r="L140" i="328"/>
  <c r="E140" i="328"/>
  <c r="O139" i="328" a="1"/>
  <c r="O139" i="328"/>
  <c r="S139" i="328" s="1"/>
  <c r="N139" i="328" a="1"/>
  <c r="N139" i="328"/>
  <c r="P139" i="328"/>
  <c r="L139" i="328"/>
  <c r="E139" i="328"/>
  <c r="O138" i="328" a="1"/>
  <c r="O138" i="328"/>
  <c r="S138" i="328" s="1"/>
  <c r="N138" i="328" a="1"/>
  <c r="N138" i="328"/>
  <c r="P138" i="328" s="1"/>
  <c r="L138" i="328"/>
  <c r="E138" i="328"/>
  <c r="O137" i="328" a="1"/>
  <c r="O137" i="328" s="1"/>
  <c r="S137" i="328" s="1"/>
  <c r="N137" i="328" a="1"/>
  <c r="N137" i="328"/>
  <c r="P137" i="328"/>
  <c r="L137" i="328"/>
  <c r="E137" i="328"/>
  <c r="O136" i="328" a="1"/>
  <c r="O136" i="328"/>
  <c r="S136" i="328"/>
  <c r="N136" i="328" a="1"/>
  <c r="N136" i="328"/>
  <c r="P136" i="328" s="1"/>
  <c r="L136" i="328"/>
  <c r="E136" i="328"/>
  <c r="O135" i="328" a="1"/>
  <c r="O135" i="328" s="1"/>
  <c r="S135" i="328" s="1"/>
  <c r="N135" i="328" a="1"/>
  <c r="N135" i="328"/>
  <c r="P135" i="328"/>
  <c r="L135" i="328"/>
  <c r="E135" i="328"/>
  <c r="O134" i="328" a="1"/>
  <c r="O134" i="328"/>
  <c r="S134" i="328" s="1"/>
  <c r="N134" i="328" a="1"/>
  <c r="N134" i="328"/>
  <c r="P134" i="328" s="1"/>
  <c r="L134" i="328"/>
  <c r="E134" i="328"/>
  <c r="O133" i="328" a="1"/>
  <c r="O133" i="328" s="1"/>
  <c r="S133" i="328" s="1"/>
  <c r="N133" i="328" a="1"/>
  <c r="N133" i="328"/>
  <c r="P133" i="328"/>
  <c r="L133" i="328"/>
  <c r="E133" i="328"/>
  <c r="O132" i="328" a="1"/>
  <c r="O132" i="328"/>
  <c r="S132" i="328" s="1"/>
  <c r="N132" i="328" a="1"/>
  <c r="N132" i="328"/>
  <c r="P132" i="328" s="1"/>
  <c r="L132" i="328"/>
  <c r="E132" i="328"/>
  <c r="O131" i="328" a="1"/>
  <c r="O131" i="328" s="1"/>
  <c r="S131" i="328" s="1"/>
  <c r="N131" i="328" a="1"/>
  <c r="N131" i="328"/>
  <c r="P131" i="328"/>
  <c r="L131" i="328"/>
  <c r="E131" i="328"/>
  <c r="O130" i="328" a="1"/>
  <c r="O130" i="328"/>
  <c r="S130" i="328"/>
  <c r="N130" i="328" a="1"/>
  <c r="N130" i="328"/>
  <c r="P130" i="328" s="1"/>
  <c r="L130" i="328"/>
  <c r="E130" i="328"/>
  <c r="O129" i="328" a="1"/>
  <c r="O129" i="328"/>
  <c r="S129" i="328" s="1"/>
  <c r="N129" i="328" a="1"/>
  <c r="N129" i="328"/>
  <c r="P129" i="328"/>
  <c r="L129" i="328"/>
  <c r="E129" i="328"/>
  <c r="O128" i="328" a="1"/>
  <c r="O128" i="328"/>
  <c r="S128" i="328"/>
  <c r="N128" i="328" a="1"/>
  <c r="N128" i="328"/>
  <c r="P128" i="328" s="1"/>
  <c r="L128" i="328"/>
  <c r="E128" i="328"/>
  <c r="O127" i="328" a="1"/>
  <c r="O127" i="328" s="1"/>
  <c r="S127" i="328" s="1"/>
  <c r="N127" i="328" a="1"/>
  <c r="N127" i="328"/>
  <c r="P127" i="328"/>
  <c r="L127" i="328"/>
  <c r="E127" i="328"/>
  <c r="O126" i="328" a="1"/>
  <c r="O126" i="328"/>
  <c r="S126" i="328" s="1"/>
  <c r="N126" i="328" a="1"/>
  <c r="N126" i="328"/>
  <c r="P126" i="328" s="1"/>
  <c r="L126" i="328"/>
  <c r="E126" i="328"/>
  <c r="O125" i="328" a="1"/>
  <c r="O125" i="328" s="1"/>
  <c r="S125" i="328" s="1"/>
  <c r="N125" i="328" a="1"/>
  <c r="N125" i="328"/>
  <c r="P125" i="328"/>
  <c r="L125" i="328"/>
  <c r="E125" i="328"/>
  <c r="O124" i="328" a="1"/>
  <c r="O124" i="328"/>
  <c r="S124" i="328" s="1"/>
  <c r="N124" i="328" a="1"/>
  <c r="N124" i="328"/>
  <c r="P124" i="328" s="1"/>
  <c r="L124" i="328"/>
  <c r="E124" i="328"/>
  <c r="O123" i="328" a="1"/>
  <c r="O123" i="328"/>
  <c r="S123" i="328" s="1"/>
  <c r="N123" i="328" a="1"/>
  <c r="N123" i="328"/>
  <c r="P123" i="328"/>
  <c r="L123" i="328"/>
  <c r="E123" i="328"/>
  <c r="O122" i="328" a="1"/>
  <c r="O122" i="328"/>
  <c r="S122" i="328" s="1"/>
  <c r="N122" i="328" a="1"/>
  <c r="N122" i="328"/>
  <c r="P122" i="328" s="1"/>
  <c r="L122" i="328"/>
  <c r="E122" i="328"/>
  <c r="O121" i="328" a="1"/>
  <c r="O121" i="328"/>
  <c r="S121" i="328" s="1"/>
  <c r="N121" i="328" a="1"/>
  <c r="N121" i="328"/>
  <c r="P121" i="328"/>
  <c r="L121" i="328"/>
  <c r="E121" i="328"/>
  <c r="E119" i="328"/>
  <c r="T111" i="328"/>
  <c r="I145" i="328"/>
  <c r="O101" i="328" a="1"/>
  <c r="O101" i="328"/>
  <c r="S101" i="328" s="1"/>
  <c r="N101" i="328" a="1"/>
  <c r="N101" i="328" s="1"/>
  <c r="P101" i="328" s="1"/>
  <c r="L101" i="328"/>
  <c r="O100" i="328" a="1"/>
  <c r="O100" i="328" s="1"/>
  <c r="S100" i="328" s="1"/>
  <c r="N100" i="328" a="1"/>
  <c r="N100" i="328"/>
  <c r="P100" i="328" s="1"/>
  <c r="L100" i="328"/>
  <c r="O99" i="328" a="1"/>
  <c r="O99" i="328"/>
  <c r="S99" i="328"/>
  <c r="N99" i="328" a="1"/>
  <c r="N99" i="328"/>
  <c r="P99" i="328" s="1"/>
  <c r="L99" i="328"/>
  <c r="I99" i="328"/>
  <c r="I100" i="328" s="1"/>
  <c r="O98" i="328" a="1"/>
  <c r="O98" i="328" s="1"/>
  <c r="S98" i="328" s="1"/>
  <c r="N98" i="328" a="1"/>
  <c r="N98" i="328"/>
  <c r="P98" i="328" s="1"/>
  <c r="L98" i="328"/>
  <c r="O97" i="328" a="1"/>
  <c r="O97" i="328"/>
  <c r="S97" i="328"/>
  <c r="N97" i="328" a="1"/>
  <c r="N97" i="328"/>
  <c r="P97" i="328" s="1"/>
  <c r="L97" i="328"/>
  <c r="O96" i="328" a="1"/>
  <c r="O96" i="328"/>
  <c r="S96" i="328"/>
  <c r="N96" i="328" a="1"/>
  <c r="N96" i="328" s="1"/>
  <c r="P96" i="328" s="1"/>
  <c r="L96" i="328"/>
  <c r="E96" i="328"/>
  <c r="O95" i="328" a="1"/>
  <c r="O95" i="328" s="1"/>
  <c r="S95" i="328"/>
  <c r="N95" i="328" a="1"/>
  <c r="N95" i="328" s="1"/>
  <c r="P95" i="328" s="1"/>
  <c r="L95" i="328"/>
  <c r="E95" i="328"/>
  <c r="O94" i="328" a="1"/>
  <c r="O94" i="328"/>
  <c r="S94" i="328" s="1"/>
  <c r="N94" i="328" a="1"/>
  <c r="N94" i="328" s="1"/>
  <c r="P94" i="328" s="1"/>
  <c r="L94" i="328"/>
  <c r="E94" i="328"/>
  <c r="O93" i="328" a="1"/>
  <c r="O93" i="328" s="1"/>
  <c r="S93" i="328"/>
  <c r="N93" i="328" a="1"/>
  <c r="N93" i="328" s="1"/>
  <c r="P93" i="328" s="1"/>
  <c r="L93" i="328"/>
  <c r="E93" i="328"/>
  <c r="O92" i="328" a="1"/>
  <c r="O92" i="328"/>
  <c r="S92" i="328" s="1"/>
  <c r="N92" i="328" a="1"/>
  <c r="N92" i="328" s="1"/>
  <c r="P92" i="328" s="1"/>
  <c r="L92" i="328"/>
  <c r="E92" i="328"/>
  <c r="O91" i="328" a="1"/>
  <c r="O91" i="328" s="1"/>
  <c r="S91" i="328" s="1"/>
  <c r="N91" i="328" a="1"/>
  <c r="N91" i="328" s="1"/>
  <c r="P91" i="328" s="1"/>
  <c r="L91" i="328"/>
  <c r="E91" i="328"/>
  <c r="O90" i="328" a="1"/>
  <c r="O90" i="328"/>
  <c r="S90" i="328"/>
  <c r="N90" i="328" a="1"/>
  <c r="N90" i="328" s="1"/>
  <c r="P90" i="328" s="1"/>
  <c r="L90" i="328"/>
  <c r="E90" i="328"/>
  <c r="O89" i="328" a="1"/>
  <c r="O89" i="328" s="1"/>
  <c r="S89" i="328" s="1"/>
  <c r="N89" i="328" a="1"/>
  <c r="N89" i="328" s="1"/>
  <c r="P89" i="328" s="1"/>
  <c r="L89" i="328"/>
  <c r="E89" i="328"/>
  <c r="O88" i="328" a="1"/>
  <c r="O88" i="328" s="1"/>
  <c r="S88" i="328" s="1"/>
  <c r="N88" i="328" a="1"/>
  <c r="N88" i="328" s="1"/>
  <c r="P88" i="328" s="1"/>
  <c r="L88" i="328"/>
  <c r="E88" i="328"/>
  <c r="O87" i="328" a="1"/>
  <c r="O87" i="328" s="1"/>
  <c r="S87" i="328"/>
  <c r="N87" i="328" a="1"/>
  <c r="N87" i="328" s="1"/>
  <c r="P87" i="328" s="1"/>
  <c r="L87" i="328"/>
  <c r="E87" i="328"/>
  <c r="O86" i="328" a="1"/>
  <c r="O86" i="328" s="1"/>
  <c r="S86" i="328" s="1"/>
  <c r="N86" i="328" a="1"/>
  <c r="N86" i="328" s="1"/>
  <c r="P86" i="328" s="1"/>
  <c r="L86" i="328"/>
  <c r="E86" i="328"/>
  <c r="O85" i="328" a="1"/>
  <c r="O85" i="328" s="1"/>
  <c r="S85" i="328" s="1"/>
  <c r="N85" i="328" a="1"/>
  <c r="N85" i="328" s="1"/>
  <c r="P85" i="328" s="1"/>
  <c r="L85" i="328"/>
  <c r="E85" i="328"/>
  <c r="O84" i="328" a="1"/>
  <c r="O84" i="328"/>
  <c r="S84" i="328" s="1"/>
  <c r="N84" i="328" a="1"/>
  <c r="N84" i="328" s="1"/>
  <c r="P84" i="328" s="1"/>
  <c r="L84" i="328"/>
  <c r="E84" i="328"/>
  <c r="O83" i="328" a="1"/>
  <c r="O83" i="328" s="1"/>
  <c r="S83" i="328"/>
  <c r="N83" i="328" a="1"/>
  <c r="N83" i="328" s="1"/>
  <c r="P83" i="328" s="1"/>
  <c r="L83" i="328"/>
  <c r="E83" i="328"/>
  <c r="O82" i="328" a="1"/>
  <c r="O82" i="328" s="1"/>
  <c r="S82" i="328" s="1"/>
  <c r="N82" i="328" a="1"/>
  <c r="N82" i="328" s="1"/>
  <c r="P82" i="328" s="1"/>
  <c r="L82" i="328"/>
  <c r="E82" i="328"/>
  <c r="O81" i="328" a="1"/>
  <c r="O81" i="328" s="1"/>
  <c r="S81" i="328" s="1"/>
  <c r="N81" i="328" a="1"/>
  <c r="N81" i="328" s="1"/>
  <c r="P81" i="328" s="1"/>
  <c r="L81" i="328"/>
  <c r="E81" i="328"/>
  <c r="O80" i="328" a="1"/>
  <c r="O80" i="328"/>
  <c r="S80" i="328"/>
  <c r="N80" i="328" a="1"/>
  <c r="N80" i="328" s="1"/>
  <c r="P80" i="328" s="1"/>
  <c r="L80" i="328"/>
  <c r="E80" i="328"/>
  <c r="O79" i="328" a="1"/>
  <c r="O79" i="328" s="1"/>
  <c r="S79" i="328" s="1"/>
  <c r="N79" i="328" a="1"/>
  <c r="N79" i="328" s="1"/>
  <c r="P79" i="328" s="1"/>
  <c r="L79" i="328"/>
  <c r="E79" i="328"/>
  <c r="O78" i="328" a="1"/>
  <c r="O78" i="328" s="1"/>
  <c r="S78" i="328" s="1"/>
  <c r="N78" i="328" a="1"/>
  <c r="N78" i="328" s="1"/>
  <c r="P78" i="328" s="1"/>
  <c r="L78" i="328"/>
  <c r="E78" i="328"/>
  <c r="O77" i="328" a="1"/>
  <c r="O77" i="328" s="1"/>
  <c r="S77" i="328" s="1"/>
  <c r="N77" i="328" a="1"/>
  <c r="N77" i="328" s="1"/>
  <c r="P77" i="328" s="1"/>
  <c r="L77" i="328"/>
  <c r="E77" i="328"/>
  <c r="O76" i="328" a="1"/>
  <c r="O76" i="328" s="1"/>
  <c r="S76" i="328" s="1"/>
  <c r="N76" i="328" a="1"/>
  <c r="N76" i="328" s="1"/>
  <c r="P76" i="328" s="1"/>
  <c r="L76" i="328"/>
  <c r="E76" i="328"/>
  <c r="O75" i="328" a="1"/>
  <c r="O75" i="328" s="1"/>
  <c r="S75" i="328" s="1"/>
  <c r="N75" i="328" a="1"/>
  <c r="N75" i="328" s="1"/>
  <c r="P75" i="328" s="1"/>
  <c r="L75" i="328"/>
  <c r="E75" i="328"/>
  <c r="O74" i="328" a="1"/>
  <c r="O74" i="328" s="1"/>
  <c r="S74" i="328" s="1"/>
  <c r="N74" i="328" a="1"/>
  <c r="N74" i="328" s="1"/>
  <c r="P74" i="328" s="1"/>
  <c r="L74" i="328"/>
  <c r="E74" i="328"/>
  <c r="E72" i="328"/>
  <c r="T64" i="328"/>
  <c r="I98" i="328"/>
  <c r="I53" i="328"/>
  <c r="S49" i="328"/>
  <c r="P49" i="328"/>
  <c r="L49" i="328" a="1"/>
  <c r="L49" i="328" s="1"/>
  <c r="E49" i="328"/>
  <c r="S34" i="328"/>
  <c r="P34" i="328"/>
  <c r="L34" i="328" a="1"/>
  <c r="L34" i="328" s="1"/>
  <c r="E34" i="328"/>
  <c r="S33" i="328"/>
  <c r="P33" i="328"/>
  <c r="L33" i="328" a="1"/>
  <c r="L33" i="328" s="1"/>
  <c r="E33" i="328"/>
  <c r="S32" i="328"/>
  <c r="P32" i="328"/>
  <c r="L32" i="328" a="1"/>
  <c r="L32" i="328"/>
  <c r="E32" i="328"/>
  <c r="S31" i="328"/>
  <c r="P31" i="328"/>
  <c r="L31" i="328" a="1"/>
  <c r="L31" i="328" s="1"/>
  <c r="E31" i="328"/>
  <c r="S30" i="328"/>
  <c r="P30" i="328"/>
  <c r="L30" i="328" a="1"/>
  <c r="L30" i="328" s="1"/>
  <c r="E30" i="328"/>
  <c r="S29" i="328"/>
  <c r="P29" i="328"/>
  <c r="L29" i="328" a="1"/>
  <c r="L29" i="328" s="1"/>
  <c r="E29" i="328"/>
  <c r="S28" i="328"/>
  <c r="P28" i="328"/>
  <c r="L28" i="328" a="1"/>
  <c r="L28" i="328" s="1"/>
  <c r="E28" i="328"/>
  <c r="S27" i="328"/>
  <c r="P27" i="328"/>
  <c r="L27" i="328" a="1"/>
  <c r="L27" i="328"/>
  <c r="E27" i="328"/>
  <c r="S26" i="328"/>
  <c r="P26" i="328"/>
  <c r="L26" i="328" a="1"/>
  <c r="L26" i="328" s="1"/>
  <c r="E26" i="328"/>
  <c r="S25" i="328"/>
  <c r="P25" i="328"/>
  <c r="L25" i="328" a="1"/>
  <c r="L25" i="328" s="1"/>
  <c r="E25" i="328"/>
  <c r="S24" i="328"/>
  <c r="P24" i="328"/>
  <c r="L24" i="328" a="1"/>
  <c r="L24" i="328"/>
  <c r="E24" i="328"/>
  <c r="S23" i="328"/>
  <c r="P23" i="328"/>
  <c r="L23" i="328" a="1"/>
  <c r="L23" i="328"/>
  <c r="E23" i="328"/>
  <c r="S22" i="328"/>
  <c r="P22" i="328"/>
  <c r="L22" i="328" a="1"/>
  <c r="L22" i="328"/>
  <c r="E22" i="328"/>
  <c r="S21" i="328"/>
  <c r="P21" i="328"/>
  <c r="L21" i="328" a="1"/>
  <c r="L21" i="328" s="1"/>
  <c r="E21" i="328"/>
  <c r="S20" i="328"/>
  <c r="P20" i="328"/>
  <c r="L20" i="328" a="1"/>
  <c r="L20" i="328" s="1"/>
  <c r="E20" i="328"/>
  <c r="S19" i="328"/>
  <c r="P19" i="328"/>
  <c r="L19" i="328" a="1"/>
  <c r="L19" i="328" s="1"/>
  <c r="E19" i="328"/>
  <c r="S18" i="328"/>
  <c r="P18" i="328"/>
  <c r="L18" i="328" a="1"/>
  <c r="L18" i="328" s="1"/>
  <c r="E18" i="328"/>
  <c r="S17" i="328"/>
  <c r="P17" i="328"/>
  <c r="L17" i="328" a="1"/>
  <c r="L17" i="328" s="1"/>
  <c r="E17" i="328"/>
  <c r="S16" i="328"/>
  <c r="P16" i="328"/>
  <c r="L16" i="328" a="1"/>
  <c r="L16" i="328" s="1"/>
  <c r="E16" i="328"/>
  <c r="S15" i="328"/>
  <c r="P15" i="328"/>
  <c r="L15" i="328" a="1"/>
  <c r="L15" i="328"/>
  <c r="E15" i="328"/>
  <c r="S14" i="328"/>
  <c r="P14" i="328"/>
  <c r="L14" i="328" a="1"/>
  <c r="L14" i="328"/>
  <c r="E14" i="328"/>
  <c r="S13" i="328"/>
  <c r="P13" i="328"/>
  <c r="L13" i="328" a="1"/>
  <c r="L13" i="328" s="1"/>
  <c r="E13" i="328"/>
  <c r="E11" i="328"/>
  <c r="T3" i="328"/>
  <c r="I51" i="328"/>
  <c r="P3" i="316"/>
  <c r="P4" i="316"/>
  <c r="P5" i="316" s="1"/>
  <c r="P6" i="316" s="1"/>
  <c r="P7" i="316" s="1"/>
  <c r="P8" i="316" s="1"/>
  <c r="C12" i="421"/>
  <c r="G6" i="421"/>
  <c r="G5" i="421"/>
  <c r="S33" i="341"/>
  <c r="P33" i="341"/>
  <c r="E33" i="341"/>
  <c r="S32" i="341"/>
  <c r="P32" i="341"/>
  <c r="E32" i="341"/>
  <c r="S31" i="341"/>
  <c r="P31" i="341"/>
  <c r="E31" i="341"/>
  <c r="S30" i="341"/>
  <c r="P30" i="341"/>
  <c r="E30" i="341"/>
  <c r="S29" i="341"/>
  <c r="P29" i="341"/>
  <c r="E29" i="341"/>
  <c r="E28" i="341"/>
  <c r="E27" i="341"/>
  <c r="E26" i="341"/>
  <c r="E25" i="341"/>
  <c r="E24" i="341"/>
  <c r="E23" i="341"/>
  <c r="E22" i="341"/>
  <c r="E21" i="341"/>
  <c r="E20" i="341"/>
  <c r="E19" i="341"/>
  <c r="E18" i="341"/>
  <c r="E17" i="341"/>
  <c r="E16" i="341"/>
  <c r="E15" i="341"/>
  <c r="E14" i="341"/>
  <c r="E13" i="341"/>
  <c r="E11" i="341"/>
  <c r="T3" i="341"/>
  <c r="P3" i="310"/>
  <c r="P4" i="310" s="1"/>
  <c r="P5" i="310" s="1"/>
  <c r="P6" i="310" s="1"/>
  <c r="P7" i="310" s="1"/>
  <c r="P8" i="310" s="1"/>
  <c r="P9" i="310" s="1"/>
  <c r="P10" i="310" s="1"/>
  <c r="P11" i="310" s="1"/>
  <c r="P12" i="310" s="1"/>
  <c r="P13" i="310" s="1"/>
  <c r="P14" i="310" s="1"/>
  <c r="P15" i="310" s="1"/>
  <c r="P16" i="310" s="1"/>
  <c r="P17" i="310" s="1"/>
  <c r="P18" i="310" s="1"/>
  <c r="C13" i="420"/>
  <c r="Q13" i="420" s="1" a="1"/>
  <c r="Q13" i="420" s="1"/>
  <c r="A6" i="420"/>
  <c r="A5" i="420"/>
  <c r="O87" i="330" a="1"/>
  <c r="O87" i="330" s="1"/>
  <c r="S87" i="330" s="1"/>
  <c r="N87" i="330" a="1"/>
  <c r="N87" i="330" s="1"/>
  <c r="P87" i="330" s="1"/>
  <c r="L87" i="330"/>
  <c r="E87" i="330"/>
  <c r="O86" i="330" a="1"/>
  <c r="O86" i="330" s="1"/>
  <c r="S86" i="330" s="1"/>
  <c r="N86" i="330" a="1"/>
  <c r="N86" i="330" s="1"/>
  <c r="P86" i="330" s="1"/>
  <c r="L86" i="330"/>
  <c r="O85" i="330" a="1"/>
  <c r="O85" i="330" s="1"/>
  <c r="S85" i="330"/>
  <c r="N85" i="330" a="1"/>
  <c r="N85" i="330" s="1"/>
  <c r="P85" i="330" s="1"/>
  <c r="L85" i="330"/>
  <c r="I85" i="330"/>
  <c r="O84" i="330" a="1"/>
  <c r="O84" i="330"/>
  <c r="S84" i="330"/>
  <c r="N84" i="330" a="1"/>
  <c r="N84" i="330" s="1"/>
  <c r="P84" i="330"/>
  <c r="L84" i="330"/>
  <c r="O83" i="330" a="1"/>
  <c r="O83" i="330"/>
  <c r="S83" i="330" s="1"/>
  <c r="N83" i="330" a="1"/>
  <c r="N83" i="330" s="1"/>
  <c r="P83" i="330" s="1"/>
  <c r="L83" i="330"/>
  <c r="O82" i="330" a="1"/>
  <c r="O82" i="330" s="1"/>
  <c r="S82" i="330" s="1"/>
  <c r="N82" i="330" a="1"/>
  <c r="N82" i="330" s="1"/>
  <c r="P82" i="330" s="1"/>
  <c r="L82" i="330"/>
  <c r="E82" i="330"/>
  <c r="O81" i="330" a="1"/>
  <c r="O81" i="330"/>
  <c r="S81" i="330"/>
  <c r="N81" i="330" a="1"/>
  <c r="N81" i="330"/>
  <c r="P81" i="330" s="1"/>
  <c r="L81" i="330"/>
  <c r="E81" i="330"/>
  <c r="O80" i="330" a="1"/>
  <c r="O80" i="330" s="1"/>
  <c r="S80" i="330" s="1"/>
  <c r="N80" i="330" a="1"/>
  <c r="N80" i="330" s="1"/>
  <c r="P80" i="330" s="1"/>
  <c r="L80" i="330"/>
  <c r="E80" i="330"/>
  <c r="O79" i="330" a="1"/>
  <c r="O79" i="330"/>
  <c r="S79" i="330"/>
  <c r="N79" i="330" a="1"/>
  <c r="N79" i="330"/>
  <c r="P79" i="330" s="1"/>
  <c r="L79" i="330"/>
  <c r="E79" i="330"/>
  <c r="O78" i="330" a="1"/>
  <c r="O78" i="330" s="1"/>
  <c r="S78" i="330" s="1"/>
  <c r="N78" i="330" a="1"/>
  <c r="N78" i="330"/>
  <c r="P78" i="330"/>
  <c r="L78" i="330"/>
  <c r="E78" i="330"/>
  <c r="O77" i="330" a="1"/>
  <c r="O77" i="330"/>
  <c r="S77" i="330"/>
  <c r="N77" i="330" a="1"/>
  <c r="N77" i="330"/>
  <c r="P77" i="330"/>
  <c r="L77" i="330"/>
  <c r="E77" i="330"/>
  <c r="O76" i="330" a="1"/>
  <c r="O76" i="330" s="1"/>
  <c r="S76" i="330" s="1"/>
  <c r="N76" i="330" a="1"/>
  <c r="N76" i="330"/>
  <c r="P76" i="330" s="1"/>
  <c r="L76" i="330"/>
  <c r="E76" i="330"/>
  <c r="O75" i="330" a="1"/>
  <c r="O75" i="330"/>
  <c r="S75" i="330"/>
  <c r="N75" i="330" a="1"/>
  <c r="N75" i="330"/>
  <c r="P75" i="330" s="1"/>
  <c r="L75" i="330"/>
  <c r="E75" i="330"/>
  <c r="O74" i="330" a="1"/>
  <c r="O74" i="330" s="1"/>
  <c r="S74" i="330" s="1"/>
  <c r="N74" i="330" a="1"/>
  <c r="N74" i="330" s="1"/>
  <c r="P74" i="330" s="1"/>
  <c r="L74" i="330"/>
  <c r="E74" i="330"/>
  <c r="O73" i="330" a="1"/>
  <c r="O73" i="330"/>
  <c r="S73" i="330"/>
  <c r="N73" i="330" a="1"/>
  <c r="N73" i="330"/>
  <c r="P73" i="330" s="1"/>
  <c r="L73" i="330"/>
  <c r="E73" i="330"/>
  <c r="O72" i="330" a="1"/>
  <c r="O72" i="330" s="1"/>
  <c r="S72" i="330" s="1"/>
  <c r="N72" i="330" a="1"/>
  <c r="N72" i="330"/>
  <c r="P72" i="330" s="1"/>
  <c r="L72" i="330"/>
  <c r="E72" i="330"/>
  <c r="O71" i="330" a="1"/>
  <c r="O71" i="330"/>
  <c r="S71" i="330"/>
  <c r="N71" i="330" a="1"/>
  <c r="N71" i="330"/>
  <c r="P71" i="330"/>
  <c r="L71" i="330"/>
  <c r="E71" i="330"/>
  <c r="O70" i="330" a="1"/>
  <c r="O70" i="330" s="1"/>
  <c r="S70" i="330" s="1"/>
  <c r="N70" i="330" a="1"/>
  <c r="N70" i="330"/>
  <c r="P70" i="330"/>
  <c r="L70" i="330"/>
  <c r="E70" i="330"/>
  <c r="O69" i="330" a="1"/>
  <c r="O69" i="330"/>
  <c r="S69" i="330"/>
  <c r="N69" i="330" a="1"/>
  <c r="N69" i="330"/>
  <c r="P69" i="330"/>
  <c r="L69" i="330"/>
  <c r="E69" i="330"/>
  <c r="O68" i="330" a="1"/>
  <c r="O68" i="330" s="1"/>
  <c r="S68" i="330" s="1"/>
  <c r="N68" i="330" a="1"/>
  <c r="N68" i="330" s="1"/>
  <c r="P68" i="330" s="1"/>
  <c r="L68" i="330"/>
  <c r="E68" i="330"/>
  <c r="O67" i="330" a="1"/>
  <c r="O67" i="330"/>
  <c r="S67" i="330"/>
  <c r="N67" i="330" a="1"/>
  <c r="N67" i="330"/>
  <c r="P67" i="330" s="1"/>
  <c r="L67" i="330"/>
  <c r="E67" i="330"/>
  <c r="O66" i="330" a="1"/>
  <c r="O66" i="330" s="1"/>
  <c r="S66" i="330" s="1"/>
  <c r="N66" i="330" a="1"/>
  <c r="N66" i="330" s="1"/>
  <c r="P66" i="330" s="1"/>
  <c r="L66" i="330"/>
  <c r="E66" i="330"/>
  <c r="O65" i="330" a="1"/>
  <c r="O65" i="330"/>
  <c r="S65" i="330"/>
  <c r="N65" i="330" a="1"/>
  <c r="N65" i="330"/>
  <c r="P65" i="330" s="1"/>
  <c r="L65" i="330"/>
  <c r="E65" i="330"/>
  <c r="O64" i="330" a="1"/>
  <c r="O64" i="330" s="1"/>
  <c r="S64" i="330" s="1"/>
  <c r="N64" i="330" a="1"/>
  <c r="N64" i="330" s="1"/>
  <c r="P64" i="330" s="1"/>
  <c r="L64" i="330"/>
  <c r="E64" i="330"/>
  <c r="O63" i="330" a="1"/>
  <c r="O63" i="330"/>
  <c r="S63" i="330"/>
  <c r="N63" i="330" a="1"/>
  <c r="N63" i="330"/>
  <c r="P63" i="330" s="1"/>
  <c r="L63" i="330"/>
  <c r="E63" i="330"/>
  <c r="O62" i="330" a="1"/>
  <c r="O62" i="330" s="1"/>
  <c r="S62" i="330" s="1"/>
  <c r="N62" i="330" a="1"/>
  <c r="N62" i="330"/>
  <c r="P62" i="330"/>
  <c r="L62" i="330"/>
  <c r="E62" i="330"/>
  <c r="O61" i="330" a="1"/>
  <c r="O61" i="330"/>
  <c r="S61" i="330"/>
  <c r="N61" i="330" a="1"/>
  <c r="N61" i="330"/>
  <c r="P61" i="330"/>
  <c r="L61" i="330"/>
  <c r="E61" i="330"/>
  <c r="O60" i="330" a="1"/>
  <c r="O60" i="330" s="1"/>
  <c r="S60" i="330" s="1"/>
  <c r="N60" i="330" a="1"/>
  <c r="N60" i="330"/>
  <c r="P60" i="330" s="1"/>
  <c r="L60" i="330"/>
  <c r="E60" i="330"/>
  <c r="E58" i="330"/>
  <c r="T50" i="330"/>
  <c r="I84" i="330"/>
  <c r="O40" i="330" a="1"/>
  <c r="O40" i="330"/>
  <c r="S40" i="330" s="1"/>
  <c r="N40" i="330" a="1"/>
  <c r="N40" i="330"/>
  <c r="P40" i="330" s="1"/>
  <c r="L40" i="330" a="1"/>
  <c r="L40" i="330"/>
  <c r="E40" i="330"/>
  <c r="O39" i="330" a="1"/>
  <c r="O39" i="330"/>
  <c r="S39" i="330" s="1"/>
  <c r="N39" i="330" a="1"/>
  <c r="N39" i="330" s="1"/>
  <c r="P39" i="330"/>
  <c r="L39" i="330" a="1"/>
  <c r="L39" i="330"/>
  <c r="O38" i="330" a="1"/>
  <c r="O38" i="330"/>
  <c r="S38" i="330" s="1"/>
  <c r="N38" i="330" a="1"/>
  <c r="N38" i="330" s="1"/>
  <c r="P38" i="330" s="1"/>
  <c r="L38" i="330" a="1"/>
  <c r="L38" i="330"/>
  <c r="I38" i="330"/>
  <c r="O37" i="330" a="1"/>
  <c r="O37" i="330" s="1"/>
  <c r="S37" i="330" s="1"/>
  <c r="N37" i="330" a="1"/>
  <c r="N37" i="330"/>
  <c r="P37" i="330" s="1"/>
  <c r="L37" i="330" a="1"/>
  <c r="L37" i="330" s="1"/>
  <c r="O36" i="330" a="1"/>
  <c r="O36" i="330" s="1"/>
  <c r="S36" i="330" s="1"/>
  <c r="N36" i="330" a="1"/>
  <c r="N36" i="330" s="1"/>
  <c r="P36" i="330" s="1"/>
  <c r="L36" i="330" a="1"/>
  <c r="L36" i="330"/>
  <c r="O35" i="330" a="1"/>
  <c r="O35" i="330"/>
  <c r="S35" i="330"/>
  <c r="N35" i="330" a="1"/>
  <c r="N35" i="330"/>
  <c r="P35" i="330" s="1"/>
  <c r="L35" i="330" a="1"/>
  <c r="L35" i="330" s="1"/>
  <c r="E35" i="330"/>
  <c r="O34" i="330" a="1"/>
  <c r="O34" i="330" s="1"/>
  <c r="S34" i="330"/>
  <c r="N34" i="330" a="1"/>
  <c r="N34" i="330" s="1"/>
  <c r="P34" i="330" s="1"/>
  <c r="L34" i="330" a="1"/>
  <c r="L34" i="330"/>
  <c r="E34" i="330"/>
  <c r="O33" i="330" a="1"/>
  <c r="O33" i="330" s="1"/>
  <c r="S33" i="330" s="1"/>
  <c r="N33" i="330" a="1"/>
  <c r="N33" i="330" s="1"/>
  <c r="P33" i="330" s="1"/>
  <c r="L33" i="330" a="1"/>
  <c r="L33" i="330"/>
  <c r="E33" i="330"/>
  <c r="O32" i="330" a="1"/>
  <c r="O32" i="330" s="1"/>
  <c r="S32" i="330" s="1"/>
  <c r="N32" i="330" a="1"/>
  <c r="N32" i="330"/>
  <c r="P32" i="330"/>
  <c r="L32" i="330" a="1"/>
  <c r="L32" i="330" s="1"/>
  <c r="E32" i="330"/>
  <c r="O31" i="330" a="1"/>
  <c r="O31" i="330" s="1"/>
  <c r="S31" i="330" s="1"/>
  <c r="N31" i="330" a="1"/>
  <c r="N31" i="330" s="1"/>
  <c r="P31" i="330" s="1"/>
  <c r="L31" i="330" a="1"/>
  <c r="L31" i="330"/>
  <c r="E31" i="330"/>
  <c r="O30" i="330" a="1"/>
  <c r="O30" i="330" s="1"/>
  <c r="S30" i="330" s="1"/>
  <c r="N30" i="330" a="1"/>
  <c r="N30" i="330" s="1"/>
  <c r="P30" i="330" s="1"/>
  <c r="L30" i="330" a="1"/>
  <c r="L30" i="330"/>
  <c r="E30" i="330"/>
  <c r="O29" i="330" a="1"/>
  <c r="O29" i="330"/>
  <c r="S29" i="330" s="1"/>
  <c r="N29" i="330" a="1"/>
  <c r="N29" i="330" s="1"/>
  <c r="P29" i="330" s="1"/>
  <c r="L29" i="330" a="1"/>
  <c r="L29" i="330" s="1"/>
  <c r="E29" i="330"/>
  <c r="O28" i="330" a="1"/>
  <c r="O28" i="330"/>
  <c r="S28" i="330"/>
  <c r="N28" i="330" a="1"/>
  <c r="N28" i="330" s="1"/>
  <c r="P28" i="330" s="1"/>
  <c r="L28" i="330" a="1"/>
  <c r="L28" i="330"/>
  <c r="E28" i="330"/>
  <c r="O27" i="330" a="1"/>
  <c r="O27" i="330" s="1"/>
  <c r="S27" i="330" s="1"/>
  <c r="N27" i="330" a="1"/>
  <c r="N27" i="330"/>
  <c r="P27" i="330" s="1"/>
  <c r="L27" i="330" a="1"/>
  <c r="L27" i="330" s="1"/>
  <c r="E27" i="330"/>
  <c r="O26" i="330" a="1"/>
  <c r="O26" i="330"/>
  <c r="S26" i="330" s="1"/>
  <c r="N26" i="330" a="1"/>
  <c r="N26" i="330"/>
  <c r="P26" i="330" s="1"/>
  <c r="L26" i="330" a="1"/>
  <c r="L26" i="330" s="1"/>
  <c r="E26" i="330"/>
  <c r="O25" i="330" a="1"/>
  <c r="O25" i="330"/>
  <c r="S25" i="330"/>
  <c r="N25" i="330" a="1"/>
  <c r="N25" i="330" s="1"/>
  <c r="P25" i="330" s="1"/>
  <c r="L25" i="330" a="1"/>
  <c r="L25" i="330"/>
  <c r="E25" i="330"/>
  <c r="O24" i="330" a="1"/>
  <c r="O24" i="330"/>
  <c r="S24" i="330"/>
  <c r="N24" i="330" a="1"/>
  <c r="N24" i="330"/>
  <c r="P24" i="330" s="1"/>
  <c r="L24" i="330" a="1"/>
  <c r="L24" i="330" s="1"/>
  <c r="E24" i="330"/>
  <c r="O23" i="330" a="1"/>
  <c r="O23" i="330"/>
  <c r="S23" i="330" s="1"/>
  <c r="N23" i="330" a="1"/>
  <c r="N23" i="330" s="1"/>
  <c r="P23" i="330" s="1"/>
  <c r="L23" i="330" a="1"/>
  <c r="L23" i="330" s="1"/>
  <c r="E23" i="330"/>
  <c r="O22" i="330" a="1"/>
  <c r="O22" i="330" s="1"/>
  <c r="S22" i="330" s="1"/>
  <c r="N22" i="330" a="1"/>
  <c r="N22" i="330" s="1"/>
  <c r="P22" i="330" s="1"/>
  <c r="L22" i="330" a="1"/>
  <c r="L22" i="330"/>
  <c r="E22" i="330"/>
  <c r="O21" i="330" a="1"/>
  <c r="O21" i="330" s="1"/>
  <c r="S21" i="330" s="1"/>
  <c r="N21" i="330" a="1"/>
  <c r="N21" i="330"/>
  <c r="P21" i="330" s="1"/>
  <c r="L21" i="330" a="1"/>
  <c r="L21" i="330" s="1"/>
  <c r="E21" i="330"/>
  <c r="O20" i="330" a="1"/>
  <c r="O20" i="330" s="1"/>
  <c r="S20" i="330"/>
  <c r="N20" i="330" a="1"/>
  <c r="N20" i="330"/>
  <c r="P20" i="330" s="1"/>
  <c r="L20" i="330" a="1"/>
  <c r="L20" i="330" s="1"/>
  <c r="E20" i="330"/>
  <c r="O19" i="330" a="1"/>
  <c r="O19" i="330" s="1"/>
  <c r="S19" i="330" s="1"/>
  <c r="N19" i="330" a="1"/>
  <c r="N19" i="330"/>
  <c r="P19" i="330" s="1"/>
  <c r="L19" i="330" a="1"/>
  <c r="L19" i="330"/>
  <c r="E19" i="330"/>
  <c r="O18" i="330" a="1"/>
  <c r="O18" i="330" s="1"/>
  <c r="S18" i="330" s="1"/>
  <c r="N18" i="330" a="1"/>
  <c r="N18" i="330"/>
  <c r="P18" i="330"/>
  <c r="L18" i="330" a="1"/>
  <c r="L18" i="330" s="1"/>
  <c r="E18" i="330"/>
  <c r="O17" i="330" a="1"/>
  <c r="O17" i="330" s="1"/>
  <c r="S17" i="330"/>
  <c r="N17" i="330" a="1"/>
  <c r="N17" i="330"/>
  <c r="P17" i="330" s="1"/>
  <c r="L17" i="330" a="1"/>
  <c r="L17" i="330" s="1"/>
  <c r="E17" i="330"/>
  <c r="O16" i="330" a="1"/>
  <c r="O16" i="330"/>
  <c r="S16" i="330" s="1"/>
  <c r="N16" i="330" a="1"/>
  <c r="N16" i="330" s="1"/>
  <c r="P16" i="330" s="1"/>
  <c r="L16" i="330" a="1"/>
  <c r="L16" i="330" s="1"/>
  <c r="E16" i="330"/>
  <c r="O15" i="330" a="1"/>
  <c r="O15" i="330"/>
  <c r="S15" i="330"/>
  <c r="N15" i="330" a="1"/>
  <c r="N15" i="330"/>
  <c r="P15" i="330" s="1"/>
  <c r="L15" i="330" a="1"/>
  <c r="L15" i="330" s="1"/>
  <c r="E15" i="330"/>
  <c r="O14" i="330" a="1"/>
  <c r="O14" i="330"/>
  <c r="S14" i="330"/>
  <c r="N14" i="330" a="1"/>
  <c r="N14" i="330" s="1"/>
  <c r="P14" i="330" s="1"/>
  <c r="L14" i="330" a="1"/>
  <c r="L14" i="330"/>
  <c r="E14" i="330"/>
  <c r="O13" i="330" a="1"/>
  <c r="O13" i="330" s="1"/>
  <c r="S13" i="330" s="1"/>
  <c r="N13" i="330" a="1"/>
  <c r="N13" i="330"/>
  <c r="P13" i="330" s="1"/>
  <c r="L13" i="330" a="1"/>
  <c r="L13" i="330" s="1"/>
  <c r="E13" i="330"/>
  <c r="E11" i="330"/>
  <c r="T3" i="330"/>
  <c r="I37" i="330" s="1"/>
  <c r="H6" i="317"/>
  <c r="H5" i="317"/>
  <c r="L4" i="317"/>
  <c r="L5" i="317"/>
  <c r="L6" i="317" s="1"/>
  <c r="L7" i="317" s="1"/>
  <c r="L8" i="317" s="1"/>
  <c r="L9" i="317" s="1"/>
  <c r="L10" i="317" s="1"/>
  <c r="L11" i="317" s="1"/>
  <c r="L12" i="317" s="1"/>
  <c r="L13" i="317" s="1"/>
  <c r="L14" i="317" s="1"/>
  <c r="L15" i="317" s="1"/>
  <c r="H4" i="317"/>
  <c r="I5" i="319"/>
  <c r="F5" i="319"/>
  <c r="A5" i="319"/>
  <c r="I4" i="319"/>
  <c r="F4" i="319"/>
  <c r="A4" i="319"/>
  <c r="A5" i="338"/>
  <c r="A3" i="338"/>
  <c r="A144" i="325" a="1"/>
  <c r="A144" i="325" s="1"/>
  <c r="A143" i="325" a="1"/>
  <c r="A143" i="325"/>
  <c r="A138" i="325" a="1"/>
  <c r="A138" i="325"/>
  <c r="A137" i="325" a="1"/>
  <c r="A137" i="325" s="1"/>
  <c r="A136" i="325" a="1"/>
  <c r="A136" i="325" s="1"/>
  <c r="A131" i="325" a="1"/>
  <c r="A131" i="325"/>
  <c r="A130" i="325" a="1"/>
  <c r="A130" i="325"/>
  <c r="A129" i="325" a="1"/>
  <c r="A129" i="325" s="1"/>
  <c r="A128" i="325" a="1"/>
  <c r="A128" i="325" s="1"/>
  <c r="A127" i="325" a="1"/>
  <c r="A127" i="325"/>
  <c r="A125" i="325" a="1"/>
  <c r="A125" i="325"/>
  <c r="A124" i="325" a="1"/>
  <c r="A124" i="325"/>
  <c r="A121" i="325" a="1"/>
  <c r="A121" i="325" s="1"/>
  <c r="A119" i="325" a="1"/>
  <c r="A119" i="325"/>
  <c r="A114" i="325" a="1"/>
  <c r="A114" i="325" s="1"/>
  <c r="A113" i="325" a="1"/>
  <c r="A113" i="325" s="1"/>
  <c r="A112" i="325" a="1"/>
  <c r="A112" i="325"/>
  <c r="A104" i="325" a="1"/>
  <c r="A104" i="325"/>
  <c r="A103" i="325" a="1"/>
  <c r="A103" i="325"/>
  <c r="A101" i="325" a="1"/>
  <c r="A101" i="325"/>
  <c r="A100" i="325" a="1"/>
  <c r="A100" i="325" s="1"/>
  <c r="A99" i="325" a="1"/>
  <c r="A99" i="325"/>
  <c r="A98" i="325" a="1"/>
  <c r="A98" i="325"/>
  <c r="A97" i="325" a="1"/>
  <c r="A97" i="325"/>
  <c r="A96" i="325" a="1"/>
  <c r="A96" i="325" s="1"/>
  <c r="A95" i="325" a="1"/>
  <c r="A95" i="325"/>
  <c r="A94" i="325" a="1"/>
  <c r="A94" i="325"/>
  <c r="A93" i="325" a="1"/>
  <c r="A93" i="325"/>
  <c r="A92" i="325" a="1"/>
  <c r="A92" i="325" s="1"/>
  <c r="A91" i="325" a="1"/>
  <c r="A91" i="325"/>
  <c r="A90" i="325" a="1"/>
  <c r="A90" i="325" s="1"/>
  <c r="A89" i="325" a="1"/>
  <c r="A89" i="325" s="1"/>
  <c r="A88" i="325" a="1"/>
  <c r="A88" i="325" s="1"/>
  <c r="A87" i="325" a="1"/>
  <c r="A87" i="325"/>
  <c r="A86" i="325" a="1"/>
  <c r="A86" i="325"/>
  <c r="A85" i="325" a="1"/>
  <c r="A85" i="325" s="1"/>
  <c r="A84" i="325" a="1"/>
  <c r="A84" i="325" s="1"/>
  <c r="A83" i="325" a="1"/>
  <c r="A83" i="325"/>
  <c r="A82" i="325" a="1"/>
  <c r="A82" i="325" s="1"/>
  <c r="A81" i="325" a="1"/>
  <c r="A81" i="325"/>
  <c r="A80" i="325" a="1"/>
  <c r="A80" i="325"/>
  <c r="A79" i="325" a="1"/>
  <c r="A79" i="325"/>
  <c r="A78" i="325" a="1"/>
  <c r="A78" i="325"/>
  <c r="A77" i="325" a="1"/>
  <c r="A77" i="325" s="1"/>
  <c r="A76" i="325" a="1"/>
  <c r="A76" i="325" s="1"/>
  <c r="A74" i="325" a="1"/>
  <c r="A74" i="325"/>
  <c r="A73" i="325" a="1"/>
  <c r="A73" i="325" s="1"/>
  <c r="A72" i="325" a="1"/>
  <c r="A72" i="325" s="1"/>
  <c r="A71" i="325" a="1"/>
  <c r="A71" i="325" s="1"/>
  <c r="A70" i="325" a="1"/>
  <c r="A70" i="325"/>
  <c r="A69" i="325" a="1"/>
  <c r="A69" i="325"/>
  <c r="A68" i="325" a="1"/>
  <c r="A68" i="325" s="1"/>
  <c r="A67" i="325" a="1"/>
  <c r="A67" i="325" s="1"/>
  <c r="A66" i="325" a="1"/>
  <c r="A66" i="325"/>
  <c r="A59" i="325" a="1"/>
  <c r="A59" i="325"/>
  <c r="A58" i="325" a="1"/>
  <c r="A58" i="325" s="1"/>
  <c r="A57" i="325" a="1"/>
  <c r="A57" i="325"/>
  <c r="A50" i="325" a="1"/>
  <c r="A50" i="325"/>
  <c r="A49" i="325" a="1"/>
  <c r="A49" i="325"/>
  <c r="A48" i="325" a="1"/>
  <c r="A48" i="325" s="1"/>
  <c r="A44" i="325" a="1"/>
  <c r="A44" i="325" s="1"/>
  <c r="A43" i="325" a="1"/>
  <c r="A43" i="325"/>
  <c r="A42" i="325" a="1"/>
  <c r="A42" i="325"/>
  <c r="A41" i="325" a="1"/>
  <c r="A41" i="325" s="1"/>
  <c r="A40" i="325" a="1"/>
  <c r="A40" i="325" s="1"/>
  <c r="A39" i="325" a="1"/>
  <c r="A39" i="325" s="1"/>
  <c r="A38" i="325" a="1"/>
  <c r="A38" i="325"/>
  <c r="A37" i="325" a="1"/>
  <c r="A37" i="325" s="1"/>
  <c r="A36" i="325" a="1"/>
  <c r="A36" i="325" s="1"/>
  <c r="A35" i="325" a="1"/>
  <c r="A35" i="325"/>
  <c r="A31" i="325" a="1"/>
  <c r="A31" i="325" s="1"/>
  <c r="A18" i="325" a="1"/>
  <c r="A18" i="325"/>
  <c r="A17" i="325" a="1"/>
  <c r="A17" i="325" s="1"/>
  <c r="A16" i="325" a="1"/>
  <c r="A16" i="325" s="1"/>
  <c r="A15" i="325" a="1"/>
  <c r="A15" i="325"/>
  <c r="A8" i="325"/>
  <c r="A151" i="337" a="1"/>
  <c r="A151" i="337"/>
  <c r="A144" i="337" a="1"/>
  <c r="A144" i="337" s="1"/>
  <c r="A142" i="337" a="1"/>
  <c r="A142" i="337"/>
  <c r="A141" i="337" a="1"/>
  <c r="A141" i="337" s="1"/>
  <c r="A140" i="337" a="1"/>
  <c r="A140" i="337"/>
  <c r="A139" i="337" a="1"/>
  <c r="A139" i="337"/>
  <c r="A138" i="337" a="1"/>
  <c r="A138" i="337" s="1"/>
  <c r="A134" i="337" a="1"/>
  <c r="A134" i="337"/>
  <c r="A133" i="337" a="1"/>
  <c r="A133" i="337" s="1"/>
  <c r="A132" i="337" a="1"/>
  <c r="A132" i="337" s="1"/>
  <c r="A131" i="337" a="1"/>
  <c r="A131" i="337" s="1"/>
  <c r="A130" i="337" a="1"/>
  <c r="A130" i="337"/>
  <c r="A129" i="337" a="1"/>
  <c r="A129" i="337" s="1"/>
  <c r="A107" i="337" a="1"/>
  <c r="A107" i="337" s="1"/>
  <c r="A106" i="337" a="1"/>
  <c r="A106" i="337" s="1"/>
  <c r="A105" i="337" a="1"/>
  <c r="A105" i="337"/>
  <c r="A103" i="337" a="1"/>
  <c r="A103" i="337" s="1"/>
  <c r="A102" i="337" a="1"/>
  <c r="A102" i="337" s="1"/>
  <c r="A101" i="337" a="1"/>
  <c r="A101" i="337" s="1"/>
  <c r="A99" i="337" a="1"/>
  <c r="A99" i="337"/>
  <c r="A97" i="337" a="1"/>
  <c r="A97" i="337" s="1"/>
  <c r="A96" i="337" a="1"/>
  <c r="A96" i="337" s="1"/>
  <c r="A95" i="337" a="1"/>
  <c r="A95" i="337" s="1"/>
  <c r="A93" i="337" a="1"/>
  <c r="A93" i="337" s="1"/>
  <c r="A92" i="337" a="1"/>
  <c r="A92" i="337"/>
  <c r="A91" i="337" a="1"/>
  <c r="A91" i="337" s="1"/>
  <c r="A90" i="337" a="1"/>
  <c r="A90" i="337" s="1"/>
  <c r="A89" i="337" a="1"/>
  <c r="A89" i="337" s="1"/>
  <c r="A86" i="337" a="1"/>
  <c r="A86" i="337"/>
  <c r="A85" i="337" a="1"/>
  <c r="A85" i="337"/>
  <c r="A81" i="337" a="1"/>
  <c r="A81" i="337"/>
  <c r="A80" i="337" a="1"/>
  <c r="A80" i="337" s="1"/>
  <c r="A79" i="337" a="1"/>
  <c r="A79" i="337"/>
  <c r="A78" i="337" a="1"/>
  <c r="A78" i="337" s="1"/>
  <c r="A77" i="337" a="1"/>
  <c r="A77" i="337"/>
  <c r="A76" i="337" a="1"/>
  <c r="A76" i="337" s="1"/>
  <c r="A75" i="337" a="1"/>
  <c r="A75" i="337"/>
  <c r="A73" i="337" a="1"/>
  <c r="A73" i="337"/>
  <c r="A71" i="337" a="1"/>
  <c r="A71" i="337"/>
  <c r="A70" i="337" a="1"/>
  <c r="A70" i="337" s="1"/>
  <c r="A65" i="337" a="1"/>
  <c r="A65" i="337" s="1"/>
  <c r="A64" i="337" a="1"/>
  <c r="A64" i="337" s="1"/>
  <c r="A63" i="337" a="1"/>
  <c r="A63" i="337" s="1"/>
  <c r="A61" i="337" a="1"/>
  <c r="A61" i="337"/>
  <c r="A60" i="337" a="1"/>
  <c r="A60" i="337" s="1"/>
  <c r="A59" i="337" a="1"/>
  <c r="A59" i="337"/>
  <c r="A58" i="337" a="1"/>
  <c r="A58" i="337" s="1"/>
  <c r="A56" i="337" a="1"/>
  <c r="A56" i="337" s="1"/>
  <c r="A55" i="337" a="1"/>
  <c r="A55" i="337" s="1"/>
  <c r="A54" i="337" a="1"/>
  <c r="A54" i="337" s="1"/>
  <c r="A53" i="337" a="1"/>
  <c r="A53" i="337"/>
  <c r="A52" i="337" a="1"/>
  <c r="A52" i="337" s="1"/>
  <c r="A50" i="337" a="1"/>
  <c r="A50" i="337" s="1"/>
  <c r="A49" i="337" a="1"/>
  <c r="A49" i="337"/>
  <c r="A48" i="337" a="1"/>
  <c r="A48" i="337"/>
  <c r="A47" i="337" a="1"/>
  <c r="A47" i="337" s="1"/>
  <c r="A46" i="337" a="1"/>
  <c r="A46" i="337"/>
  <c r="A45" i="337" a="1"/>
  <c r="A45" i="337" s="1"/>
  <c r="A44" i="337" a="1"/>
  <c r="A44" i="337"/>
  <c r="A43" i="337" a="1"/>
  <c r="A43" i="337"/>
  <c r="A42" i="337" a="1"/>
  <c r="A42" i="337" s="1"/>
  <c r="A41" i="337" a="1"/>
  <c r="A41" i="337" s="1"/>
  <c r="A40" i="337" a="1"/>
  <c r="A40" i="337"/>
  <c r="A39" i="337" a="1"/>
  <c r="A39" i="337"/>
  <c r="A37" i="337" a="1"/>
  <c r="A37" i="337" s="1"/>
  <c r="A36" i="337" a="1"/>
  <c r="A36" i="337" s="1"/>
  <c r="A30" i="337" a="1"/>
  <c r="A30" i="337" s="1"/>
  <c r="A29" i="337" a="1"/>
  <c r="A29" i="337"/>
  <c r="A27" i="337" a="1"/>
  <c r="A27" i="337" s="1"/>
  <c r="A26" i="337" a="1"/>
  <c r="A26" i="337" s="1"/>
  <c r="A25" i="337" a="1"/>
  <c r="A25" i="337"/>
  <c r="A24" i="337" a="1"/>
  <c r="A24" i="337" s="1"/>
  <c r="A23" i="337" a="1"/>
  <c r="A23" i="337"/>
  <c r="A22" i="337" a="1"/>
  <c r="A22" i="337" s="1"/>
  <c r="A20" i="337" a="1"/>
  <c r="A20" i="337" s="1"/>
  <c r="A19" i="337" a="1"/>
  <c r="A19" i="337" s="1"/>
  <c r="A18" i="337" a="1"/>
  <c r="A18" i="337"/>
  <c r="A17" i="337" a="1"/>
  <c r="A17" i="337"/>
  <c r="A16" i="337" a="1"/>
  <c r="A16" i="337" s="1"/>
  <c r="A15" i="337" a="1"/>
  <c r="A15" i="337"/>
  <c r="A14" i="337" a="1"/>
  <c r="A14" i="337" s="1"/>
  <c r="A13" i="337" a="1"/>
  <c r="A13" i="337" s="1"/>
  <c r="A12" i="337" a="1"/>
  <c r="A12" i="337"/>
  <c r="A7" i="337"/>
  <c r="F324" i="387" a="1"/>
  <c r="F324" i="387" s="1"/>
  <c r="E324" i="387" a="1"/>
  <c r="E324" i="387" s="1"/>
  <c r="C324" i="387" a="1"/>
  <c r="C324" i="387" s="1"/>
  <c r="G324" i="387" s="1"/>
  <c r="A324" i="387" a="1"/>
  <c r="A324" i="387" s="1"/>
  <c r="F323" i="387" a="1"/>
  <c r="F323" i="387" s="1"/>
  <c r="E323" i="387" a="1"/>
  <c r="E323" i="387" s="1"/>
  <c r="C323" i="387" a="1"/>
  <c r="C323" i="387"/>
  <c r="G323" i="387" s="1"/>
  <c r="A323" i="387" a="1"/>
  <c r="A323" i="387"/>
  <c r="F322" i="387" a="1"/>
  <c r="F322" i="387" s="1"/>
  <c r="E322" i="387" a="1"/>
  <c r="E322" i="387" s="1"/>
  <c r="C322" i="387" a="1"/>
  <c r="C322" i="387"/>
  <c r="G322" i="387"/>
  <c r="A322" i="387" a="1"/>
  <c r="A322" i="387" s="1"/>
  <c r="F321" i="387" a="1"/>
  <c r="F321" i="387" s="1"/>
  <c r="E321" i="387" a="1"/>
  <c r="E321" i="387" s="1"/>
  <c r="C321" i="387" a="1"/>
  <c r="C321" i="387"/>
  <c r="G321" i="387"/>
  <c r="A321" i="387" a="1"/>
  <c r="A321" i="387" s="1"/>
  <c r="F320" i="387" a="1"/>
  <c r="F320" i="387" s="1"/>
  <c r="E320" i="387" a="1"/>
  <c r="E320" i="387" s="1"/>
  <c r="C320" i="387" a="1"/>
  <c r="C320" i="387" s="1"/>
  <c r="G320" i="387" s="1"/>
  <c r="A320" i="387" a="1"/>
  <c r="A320" i="387"/>
  <c r="F319" i="387" a="1"/>
  <c r="F319" i="387" s="1"/>
  <c r="E319" i="387" a="1"/>
  <c r="E319" i="387" s="1"/>
  <c r="C319" i="387" a="1"/>
  <c r="C319" i="387" s="1"/>
  <c r="G319" i="387" s="1"/>
  <c r="A319" i="387" a="1"/>
  <c r="A319" i="387"/>
  <c r="F318" i="387" a="1"/>
  <c r="F318" i="387" s="1"/>
  <c r="E318" i="387" a="1"/>
  <c r="E318" i="387" s="1"/>
  <c r="C318" i="387" a="1"/>
  <c r="C318" i="387"/>
  <c r="G318" i="387" s="1"/>
  <c r="A318" i="387" a="1"/>
  <c r="A318" i="387" s="1"/>
  <c r="F317" i="387" a="1"/>
  <c r="F317" i="387" s="1"/>
  <c r="E317" i="387" a="1"/>
  <c r="E317" i="387" s="1"/>
  <c r="C317" i="387" a="1"/>
  <c r="C317" i="387"/>
  <c r="G317" i="387"/>
  <c r="A317" i="387" a="1"/>
  <c r="A317" i="387" s="1"/>
  <c r="F316" i="387" a="1"/>
  <c r="F316" i="387" s="1"/>
  <c r="E316" i="387" a="1"/>
  <c r="E316" i="387" s="1"/>
  <c r="C316" i="387" a="1"/>
  <c r="C316" i="387" s="1"/>
  <c r="G316" i="387" s="1"/>
  <c r="A316" i="387" a="1"/>
  <c r="A316" i="387" s="1"/>
  <c r="F315" i="387" a="1"/>
  <c r="F315" i="387" s="1"/>
  <c r="E315" i="387" a="1"/>
  <c r="E315" i="387" s="1"/>
  <c r="C315" i="387" a="1"/>
  <c r="C315" i="387"/>
  <c r="G315" i="387" s="1"/>
  <c r="A315" i="387" a="1"/>
  <c r="A315" i="387"/>
  <c r="F314" i="387" a="1"/>
  <c r="F314" i="387" s="1"/>
  <c r="E314" i="387" a="1"/>
  <c r="E314" i="387" s="1"/>
  <c r="C314" i="387" a="1"/>
  <c r="C314" i="387"/>
  <c r="G314" i="387"/>
  <c r="A314" i="387" a="1"/>
  <c r="A314" i="387"/>
  <c r="F313" i="387" a="1"/>
  <c r="F313" i="387" s="1"/>
  <c r="E313" i="387" a="1"/>
  <c r="E313" i="387" s="1"/>
  <c r="C313" i="387" a="1"/>
  <c r="C313" i="387" s="1"/>
  <c r="G313" i="387" s="1"/>
  <c r="A313" i="387" a="1"/>
  <c r="A313" i="387" s="1"/>
  <c r="F312" i="387" a="1"/>
  <c r="F312" i="387" s="1"/>
  <c r="E312" i="387" a="1"/>
  <c r="E312" i="387" s="1"/>
  <c r="C312" i="387" a="1"/>
  <c r="C312" i="387" s="1"/>
  <c r="G312" i="387" s="1"/>
  <c r="A312" i="387" a="1"/>
  <c r="A312" i="387"/>
  <c r="F311" i="387" a="1"/>
  <c r="F311" i="387" s="1"/>
  <c r="E311" i="387" a="1"/>
  <c r="E311" i="387" s="1"/>
  <c r="C311" i="387" a="1"/>
  <c r="C311" i="387"/>
  <c r="G311" i="387" s="1"/>
  <c r="A311" i="387" a="1"/>
  <c r="A311" i="387"/>
  <c r="F310" i="387" a="1"/>
  <c r="F310" i="387" s="1"/>
  <c r="E310" i="387" a="1"/>
  <c r="E310" i="387" s="1"/>
  <c r="C310" i="387" a="1"/>
  <c r="C310" i="387" s="1"/>
  <c r="G310" i="387" s="1"/>
  <c r="A310" i="387" a="1"/>
  <c r="A310" i="387"/>
  <c r="F309" i="387" a="1"/>
  <c r="F309" i="387" s="1"/>
  <c r="E309" i="387" a="1"/>
  <c r="E309" i="387" s="1"/>
  <c r="C309" i="387" a="1"/>
  <c r="C309" i="387" s="1"/>
  <c r="G309" i="387" s="1"/>
  <c r="A309" i="387" a="1"/>
  <c r="A309" i="387" s="1"/>
  <c r="F308" i="387" a="1"/>
  <c r="F308" i="387" s="1"/>
  <c r="E308" i="387" a="1"/>
  <c r="E308" i="387" s="1"/>
  <c r="C308" i="387" a="1"/>
  <c r="C308" i="387" s="1"/>
  <c r="G308" i="387" s="1"/>
  <c r="A308" i="387" a="1"/>
  <c r="A308" i="387" s="1"/>
  <c r="F307" i="387" a="1"/>
  <c r="F307" i="387" s="1"/>
  <c r="E307" i="387" a="1"/>
  <c r="E307" i="387" s="1"/>
  <c r="C307" i="387" a="1"/>
  <c r="C307" i="387"/>
  <c r="G307" i="387"/>
  <c r="A307" i="387" a="1"/>
  <c r="A307" i="387" s="1"/>
  <c r="F306" i="387" a="1"/>
  <c r="F306" i="387" s="1"/>
  <c r="E306" i="387" a="1"/>
  <c r="E306" i="387" s="1"/>
  <c r="C306" i="387" a="1"/>
  <c r="C306" i="387"/>
  <c r="G306" i="387"/>
  <c r="A306" i="387" a="1"/>
  <c r="A306" i="387" s="1"/>
  <c r="F305" i="387" a="1"/>
  <c r="F305" i="387" s="1"/>
  <c r="E305" i="387" a="1"/>
  <c r="E305" i="387" s="1"/>
  <c r="C305" i="387" a="1"/>
  <c r="C305" i="387"/>
  <c r="G305" i="387"/>
  <c r="A305" i="387" a="1"/>
  <c r="A305" i="387"/>
  <c r="F304" i="387" a="1"/>
  <c r="F304" i="387" s="1"/>
  <c r="E304" i="387" a="1"/>
  <c r="E304" i="387" s="1"/>
  <c r="C304" i="387" a="1"/>
  <c r="C304" i="387" s="1"/>
  <c r="G304" i="387" s="1"/>
  <c r="A304" i="387" a="1"/>
  <c r="A304" i="387" s="1"/>
  <c r="F303" i="387" a="1"/>
  <c r="F303" i="387" s="1"/>
  <c r="E303" i="387" a="1"/>
  <c r="E303" i="387" s="1"/>
  <c r="C303" i="387" a="1"/>
  <c r="C303" i="387" s="1"/>
  <c r="G303" i="387" s="1"/>
  <c r="A303" i="387" a="1"/>
  <c r="A303" i="387" s="1"/>
  <c r="F302" i="387" a="1"/>
  <c r="F302" i="387" s="1"/>
  <c r="E302" i="387" a="1"/>
  <c r="E302" i="387" s="1"/>
  <c r="C302" i="387" a="1"/>
  <c r="C302" i="387"/>
  <c r="G302" i="387" s="1"/>
  <c r="A302" i="387" a="1"/>
  <c r="A302" i="387"/>
  <c r="F301" i="387" a="1"/>
  <c r="F301" i="387" s="1"/>
  <c r="E301" i="387" a="1"/>
  <c r="E301" i="387" s="1"/>
  <c r="C301" i="387" a="1"/>
  <c r="C301" i="387"/>
  <c r="G301" i="387" s="1"/>
  <c r="A301" i="387" a="1"/>
  <c r="A301" i="387"/>
  <c r="F300" i="387" a="1"/>
  <c r="F300" i="387" s="1"/>
  <c r="E300" i="387" a="1"/>
  <c r="E300" i="387" s="1"/>
  <c r="C300" i="387" a="1"/>
  <c r="C300" i="387" s="1"/>
  <c r="G300" i="387" s="1"/>
  <c r="A300" i="387" a="1"/>
  <c r="A300" i="387" s="1"/>
  <c r="F299" i="387" a="1"/>
  <c r="F299" i="387" s="1"/>
  <c r="E299" i="387" a="1"/>
  <c r="E299" i="387" s="1"/>
  <c r="C299" i="387" a="1"/>
  <c r="C299" i="387" s="1"/>
  <c r="G299" i="387" s="1"/>
  <c r="A299" i="387" a="1"/>
  <c r="A299" i="387"/>
  <c r="F298" i="387" a="1"/>
  <c r="F298" i="387" s="1"/>
  <c r="E298" i="387" a="1"/>
  <c r="E298" i="387" s="1"/>
  <c r="C298" i="387" a="1"/>
  <c r="C298" i="387" s="1"/>
  <c r="G298" i="387"/>
  <c r="A298" i="387" a="1"/>
  <c r="A298" i="387" s="1"/>
  <c r="F297" i="387" a="1"/>
  <c r="F297" i="387" s="1"/>
  <c r="E297" i="387" a="1"/>
  <c r="E297" i="387" s="1"/>
  <c r="C297" i="387" a="1"/>
  <c r="C297" i="387"/>
  <c r="G297" i="387"/>
  <c r="A297" i="387" a="1"/>
  <c r="A297" i="387" s="1"/>
  <c r="F296" i="387" a="1"/>
  <c r="F296" i="387" s="1"/>
  <c r="E296" i="387" a="1"/>
  <c r="E296" i="387" s="1"/>
  <c r="C296" i="387" a="1"/>
  <c r="C296" i="387"/>
  <c r="G296" i="387"/>
  <c r="A296" i="387" a="1"/>
  <c r="A296" i="387"/>
  <c r="F295" i="387" a="1"/>
  <c r="F295" i="387" s="1"/>
  <c r="E295" i="387" a="1"/>
  <c r="E295" i="387" s="1"/>
  <c r="C295" i="387" a="1"/>
  <c r="C295" i="387" s="1"/>
  <c r="G295" i="387" s="1"/>
  <c r="A295" i="387" a="1"/>
  <c r="A295" i="387"/>
  <c r="F294" i="387" a="1"/>
  <c r="F294" i="387" s="1"/>
  <c r="E294" i="387" a="1"/>
  <c r="E294" i="387" s="1"/>
  <c r="C294" i="387" a="1"/>
  <c r="C294" i="387" s="1"/>
  <c r="G294" i="387" s="1"/>
  <c r="A294" i="387" a="1"/>
  <c r="A294" i="387"/>
  <c r="F293" i="387" a="1"/>
  <c r="F293" i="387" s="1"/>
  <c r="E293" i="387" a="1"/>
  <c r="E293" i="387" s="1"/>
  <c r="C293" i="387" a="1"/>
  <c r="C293" i="387" s="1"/>
  <c r="G293" i="387" s="1"/>
  <c r="A293" i="387" a="1"/>
  <c r="A293" i="387" s="1"/>
  <c r="F292" i="387" a="1"/>
  <c r="F292" i="387" s="1"/>
  <c r="E292" i="387" a="1"/>
  <c r="E292" i="387" s="1"/>
  <c r="C292" i="387" a="1"/>
  <c r="C292" i="387"/>
  <c r="G292" i="387"/>
  <c r="A292" i="387" a="1"/>
  <c r="A292" i="387" s="1"/>
  <c r="F291" i="387" a="1"/>
  <c r="F291" i="387" s="1"/>
  <c r="E291" i="387" a="1"/>
  <c r="E291" i="387" s="1"/>
  <c r="C291" i="387" a="1"/>
  <c r="C291" i="387"/>
  <c r="G291" i="387" s="1"/>
  <c r="A291" i="387" a="1"/>
  <c r="A291" i="387"/>
  <c r="F290" i="387" a="1"/>
  <c r="F290" i="387" s="1"/>
  <c r="E290" i="387" a="1"/>
  <c r="E290" i="387" s="1"/>
  <c r="C290" i="387" a="1"/>
  <c r="C290" i="387" s="1"/>
  <c r="G290" i="387" s="1"/>
  <c r="A290" i="387" a="1"/>
  <c r="A290" i="387"/>
  <c r="F289" i="387" a="1"/>
  <c r="F289" i="387" s="1"/>
  <c r="E289" i="387" a="1"/>
  <c r="E289" i="387" s="1"/>
  <c r="C289" i="387" a="1"/>
  <c r="C289" i="387"/>
  <c r="G289" i="387" s="1"/>
  <c r="A289" i="387" a="1"/>
  <c r="A289" i="387" s="1"/>
  <c r="F288" i="387" a="1"/>
  <c r="F288" i="387" s="1"/>
  <c r="E288" i="387" a="1"/>
  <c r="E288" i="387" s="1"/>
  <c r="C288" i="387" a="1"/>
  <c r="C288" i="387"/>
  <c r="G288" i="387" s="1"/>
  <c r="A288" i="387" a="1"/>
  <c r="A288" i="387"/>
  <c r="F287" i="387" a="1"/>
  <c r="F287" i="387" s="1"/>
  <c r="E287" i="387" a="1"/>
  <c r="E287" i="387" s="1"/>
  <c r="C287" i="387" a="1"/>
  <c r="C287" i="387"/>
  <c r="G287" i="387" s="1"/>
  <c r="A287" i="387" a="1"/>
  <c r="A287" i="387" s="1"/>
  <c r="F286" i="387" a="1"/>
  <c r="F286" i="387" s="1"/>
  <c r="E286" i="387" a="1"/>
  <c r="E286" i="387" s="1"/>
  <c r="C286" i="387" a="1"/>
  <c r="C286" i="387"/>
  <c r="G286" i="387" s="1"/>
  <c r="A286" i="387" a="1"/>
  <c r="A286" i="387" s="1"/>
  <c r="F285" i="387" a="1"/>
  <c r="F285" i="387" s="1"/>
  <c r="E285" i="387" a="1"/>
  <c r="E285" i="387" s="1"/>
  <c r="C285" i="387" a="1"/>
  <c r="C285" i="387"/>
  <c r="G285" i="387" s="1"/>
  <c r="A285" i="387" a="1"/>
  <c r="A285" i="387"/>
  <c r="F284" i="387" a="1"/>
  <c r="F284" i="387" s="1"/>
  <c r="E284" i="387" a="1"/>
  <c r="E284" i="387" s="1"/>
  <c r="C284" i="387" a="1"/>
  <c r="C284" i="387"/>
  <c r="G284" i="387" s="1"/>
  <c r="A284" i="387" a="1"/>
  <c r="A284" i="387"/>
  <c r="F283" i="387" a="1"/>
  <c r="F283" i="387" s="1"/>
  <c r="E283" i="387" a="1"/>
  <c r="E283" i="387" s="1"/>
  <c r="C283" i="387" a="1"/>
  <c r="C283" i="387" s="1"/>
  <c r="G283" i="387" s="1"/>
  <c r="A283" i="387" a="1"/>
  <c r="A283" i="387" s="1"/>
  <c r="F282" i="387" a="1"/>
  <c r="F282" i="387" s="1"/>
  <c r="E282" i="387" a="1"/>
  <c r="E282" i="387" s="1"/>
  <c r="C282" i="387" a="1"/>
  <c r="C282" i="387" s="1"/>
  <c r="G282" i="387" s="1"/>
  <c r="A282" i="387" a="1"/>
  <c r="A282" i="387"/>
  <c r="F281" i="387" a="1"/>
  <c r="F281" i="387" s="1"/>
  <c r="E281" i="387" a="1"/>
  <c r="E281" i="387" s="1"/>
  <c r="C281" i="387" a="1"/>
  <c r="C281" i="387" s="1"/>
  <c r="G281" i="387" s="1"/>
  <c r="A281" i="387" a="1"/>
  <c r="A281" i="387" s="1"/>
  <c r="F280" i="387" a="1"/>
  <c r="F280" i="387" s="1"/>
  <c r="E280" i="387" a="1"/>
  <c r="E280" i="387" s="1"/>
  <c r="C280" i="387" a="1"/>
  <c r="C280" i="387"/>
  <c r="G280" i="387"/>
  <c r="A280" i="387" a="1"/>
  <c r="A280" i="387"/>
  <c r="F279" i="387" a="1"/>
  <c r="F279" i="387" s="1"/>
  <c r="E279" i="387" a="1"/>
  <c r="E279" i="387" s="1"/>
  <c r="C279" i="387" a="1"/>
  <c r="C279" i="387"/>
  <c r="G279" i="387"/>
  <c r="A279" i="387" a="1"/>
  <c r="A279" i="387"/>
  <c r="F278" i="387" a="1"/>
  <c r="F278" i="387" s="1"/>
  <c r="E278" i="387" a="1"/>
  <c r="E278" i="387" s="1"/>
  <c r="C278" i="387" a="1"/>
  <c r="C278" i="387" s="1"/>
  <c r="G278" i="387" s="1"/>
  <c r="A278" i="387" a="1"/>
  <c r="A278" i="387"/>
  <c r="F277" i="387" a="1"/>
  <c r="F277" i="387" s="1"/>
  <c r="E277" i="387" a="1"/>
  <c r="E277" i="387" s="1"/>
  <c r="C277" i="387" a="1"/>
  <c r="C277" i="387" s="1"/>
  <c r="G277" i="387" s="1"/>
  <c r="A277" i="387" a="1"/>
  <c r="A277" i="387"/>
  <c r="F276" i="387" a="1"/>
  <c r="F276" i="387" s="1"/>
  <c r="E276" i="387" a="1"/>
  <c r="E276" i="387" s="1"/>
  <c r="C276" i="387" a="1"/>
  <c r="C276" i="387" s="1"/>
  <c r="G276" i="387" s="1"/>
  <c r="A276" i="387" a="1"/>
  <c r="A276" i="387"/>
  <c r="F275" i="387" a="1"/>
  <c r="F275" i="387" s="1"/>
  <c r="E275" i="387" a="1"/>
  <c r="E275" i="387" s="1"/>
  <c r="C275" i="387" a="1"/>
  <c r="C275" i="387" s="1"/>
  <c r="G275" i="387" s="1"/>
  <c r="A275" i="387" a="1"/>
  <c r="A275" i="387"/>
  <c r="F274" i="387" a="1"/>
  <c r="F274" i="387" s="1"/>
  <c r="E274" i="387" a="1"/>
  <c r="E274" i="387" s="1"/>
  <c r="C274" i="387" a="1"/>
  <c r="C274" i="387" s="1"/>
  <c r="G274" i="387"/>
  <c r="A274" i="387" a="1"/>
  <c r="A274" i="387" s="1"/>
  <c r="F273" i="387" a="1"/>
  <c r="F273" i="387" s="1"/>
  <c r="E273" i="387" a="1"/>
  <c r="E273" i="387" s="1"/>
  <c r="C273" i="387" a="1"/>
  <c r="C273" i="387"/>
  <c r="G273" i="387"/>
  <c r="A273" i="387" a="1"/>
  <c r="A273" i="387" s="1"/>
  <c r="F272" i="387" a="1"/>
  <c r="F272" i="387" s="1"/>
  <c r="E272" i="387" a="1"/>
  <c r="E272" i="387" s="1"/>
  <c r="C272" i="387" a="1"/>
  <c r="C272" i="387"/>
  <c r="G272" i="387"/>
  <c r="A272" i="387" a="1"/>
  <c r="A272" i="387"/>
  <c r="F271" i="387" a="1"/>
  <c r="F271" i="387" s="1"/>
  <c r="E271" i="387" a="1"/>
  <c r="E271" i="387" s="1"/>
  <c r="C271" i="387" a="1"/>
  <c r="C271" i="387" s="1"/>
  <c r="G271" i="387" s="1"/>
  <c r="A271" i="387" a="1"/>
  <c r="A271" i="387"/>
  <c r="F270" i="387" a="1"/>
  <c r="F270" i="387" s="1"/>
  <c r="E270" i="387" a="1"/>
  <c r="E270" i="387" s="1"/>
  <c r="C270" i="387" a="1"/>
  <c r="C270" i="387"/>
  <c r="G270" i="387" s="1"/>
  <c r="A270" i="387" a="1"/>
  <c r="A270" i="387" s="1"/>
  <c r="F269" i="387" a="1"/>
  <c r="F269" i="387" s="1"/>
  <c r="E269" i="387" a="1"/>
  <c r="E269" i="387" s="1"/>
  <c r="C269" i="387" a="1"/>
  <c r="C269" i="387" s="1"/>
  <c r="G269" i="387" s="1"/>
  <c r="A269" i="387" a="1"/>
  <c r="A269" i="387"/>
  <c r="F268" i="387" a="1"/>
  <c r="F268" i="387" s="1"/>
  <c r="E268" i="387" a="1"/>
  <c r="E268" i="387" s="1"/>
  <c r="C268" i="387" a="1"/>
  <c r="C268" i="387" s="1"/>
  <c r="G268" i="387" s="1"/>
  <c r="A268" i="387" a="1"/>
  <c r="A268" i="387" s="1"/>
  <c r="F267" i="387" a="1"/>
  <c r="F267" i="387" s="1"/>
  <c r="E267" i="387" a="1"/>
  <c r="E267" i="387" s="1"/>
  <c r="C267" i="387" a="1"/>
  <c r="C267" i="387"/>
  <c r="G267" i="387" s="1"/>
  <c r="A267" i="387" a="1"/>
  <c r="A267" i="387"/>
  <c r="F266" i="387" a="1"/>
  <c r="F266" i="387" s="1"/>
  <c r="E266" i="387" a="1"/>
  <c r="E266" i="387" s="1"/>
  <c r="C266" i="387" a="1"/>
  <c r="C266" i="387"/>
  <c r="G266" i="387" s="1"/>
  <c r="A266" i="387" a="1"/>
  <c r="A266" i="387" s="1"/>
  <c r="F265" i="387" a="1"/>
  <c r="F265" i="387" s="1"/>
  <c r="E265" i="387" a="1"/>
  <c r="E265" i="387" s="1"/>
  <c r="C265" i="387" a="1"/>
  <c r="C265" i="387"/>
  <c r="G265" i="387" s="1"/>
  <c r="A265" i="387" a="1"/>
  <c r="A265" i="387" s="1"/>
  <c r="F264" i="387" a="1"/>
  <c r="F264" i="387" s="1"/>
  <c r="E264" i="387" a="1"/>
  <c r="E264" i="387" s="1"/>
  <c r="C264" i="387" a="1"/>
  <c r="C264" i="387"/>
  <c r="G264" i="387"/>
  <c r="A264" i="387" a="1"/>
  <c r="A264" i="387" s="1"/>
  <c r="F263" i="387" a="1"/>
  <c r="F263" i="387" s="1"/>
  <c r="E263" i="387" a="1"/>
  <c r="E263" i="387" s="1"/>
  <c r="C263" i="387" a="1"/>
  <c r="C263" i="387" s="1"/>
  <c r="G263" i="387" s="1"/>
  <c r="A263" i="387" a="1"/>
  <c r="A263" i="387" s="1"/>
  <c r="F262" i="387" a="1"/>
  <c r="F262" i="387" s="1"/>
  <c r="E262" i="387" a="1"/>
  <c r="E262" i="387" s="1"/>
  <c r="C262" i="387" a="1"/>
  <c r="C262" i="387"/>
  <c r="G262" i="387" s="1"/>
  <c r="A262" i="387" a="1"/>
  <c r="A262" i="387"/>
  <c r="F261" i="387" a="1"/>
  <c r="F261" i="387" s="1"/>
  <c r="E261" i="387" a="1"/>
  <c r="E261" i="387" s="1"/>
  <c r="C261" i="387" a="1"/>
  <c r="C261" i="387" s="1"/>
  <c r="G261" i="387" s="1"/>
  <c r="A261" i="387" a="1"/>
  <c r="A261" i="387"/>
  <c r="F260" i="387" a="1"/>
  <c r="F260" i="387" s="1"/>
  <c r="E260" i="387" a="1"/>
  <c r="E260" i="387" s="1"/>
  <c r="C260" i="387" a="1"/>
  <c r="C260" i="387" s="1"/>
  <c r="G260" i="387" s="1"/>
  <c r="A260" i="387" a="1"/>
  <c r="A260" i="387" s="1"/>
  <c r="F259" i="387" a="1"/>
  <c r="F259" i="387" s="1"/>
  <c r="E259" i="387" a="1"/>
  <c r="E259" i="387" s="1"/>
  <c r="C259" i="387" a="1"/>
  <c r="C259" i="387" s="1"/>
  <c r="G259" i="387" s="1"/>
  <c r="A259" i="387" a="1"/>
  <c r="A259" i="387"/>
  <c r="F258" i="387" a="1"/>
  <c r="F258" i="387" s="1"/>
  <c r="E258" i="387" a="1"/>
  <c r="E258" i="387" s="1"/>
  <c r="C258" i="387" a="1"/>
  <c r="C258" i="387" s="1"/>
  <c r="G258" i="387" s="1"/>
  <c r="A258" i="387" a="1"/>
  <c r="A258" i="387" s="1"/>
  <c r="F257" i="387" a="1"/>
  <c r="F257" i="387" s="1"/>
  <c r="E257" i="387" a="1"/>
  <c r="E257" i="387" s="1"/>
  <c r="C257" i="387" a="1"/>
  <c r="C257" i="387"/>
  <c r="G257" i="387"/>
  <c r="A257" i="387" a="1"/>
  <c r="A257" i="387" s="1"/>
  <c r="F256" i="387" a="1"/>
  <c r="F256" i="387" s="1"/>
  <c r="E256" i="387" a="1"/>
  <c r="E256" i="387" s="1"/>
  <c r="C256" i="387" a="1"/>
  <c r="C256" i="387"/>
  <c r="G256" i="387"/>
  <c r="A256" i="387" a="1"/>
  <c r="A256" i="387"/>
  <c r="F255" i="387" a="1"/>
  <c r="F255" i="387" s="1"/>
  <c r="E255" i="387" a="1"/>
  <c r="E255" i="387" s="1"/>
  <c r="C255" i="387" a="1"/>
  <c r="C255" i="387" s="1"/>
  <c r="G255" i="387" s="1"/>
  <c r="A255" i="387" a="1"/>
  <c r="A255" i="387" s="1"/>
  <c r="F254" i="387" a="1"/>
  <c r="F254" i="387" s="1"/>
  <c r="E254" i="387" a="1"/>
  <c r="E254" i="387" s="1"/>
  <c r="C254" i="387" a="1"/>
  <c r="C254" i="387"/>
  <c r="G254" i="387" s="1"/>
  <c r="A254" i="387" a="1"/>
  <c r="A254" i="387"/>
  <c r="F253" i="387" a="1"/>
  <c r="F253" i="387" s="1"/>
  <c r="E253" i="387" a="1"/>
  <c r="E253" i="387" s="1"/>
  <c r="C253" i="387" a="1"/>
  <c r="C253" i="387" s="1"/>
  <c r="G253" i="387" s="1"/>
  <c r="A253" i="387" a="1"/>
  <c r="A253" i="387"/>
  <c r="F252" i="387" a="1"/>
  <c r="F252" i="387" s="1"/>
  <c r="E252" i="387" a="1"/>
  <c r="E252" i="387" s="1"/>
  <c r="C252" i="387" a="1"/>
  <c r="C252" i="387" s="1"/>
  <c r="G252" i="387" s="1"/>
  <c r="A252" i="387" a="1"/>
  <c r="A252" i="387" s="1"/>
  <c r="F251" i="387" a="1"/>
  <c r="F251" i="387" s="1"/>
  <c r="E251" i="387" a="1"/>
  <c r="E251" i="387" s="1"/>
  <c r="C251" i="387" a="1"/>
  <c r="C251" i="387"/>
  <c r="G251" i="387" s="1"/>
  <c r="A251" i="387" a="1"/>
  <c r="A251" i="387"/>
  <c r="F250" i="387" a="1"/>
  <c r="F250" i="387" s="1"/>
  <c r="E250" i="387" a="1"/>
  <c r="E250" i="387" s="1"/>
  <c r="C250" i="387" a="1"/>
  <c r="C250" i="387"/>
  <c r="G250" i="387" s="1"/>
  <c r="A250" i="387" a="1"/>
  <c r="A250" i="387" s="1"/>
  <c r="F249" i="387" a="1"/>
  <c r="F249" i="387" s="1"/>
  <c r="E249" i="387" a="1"/>
  <c r="E249" i="387" s="1"/>
  <c r="C249" i="387" a="1"/>
  <c r="C249" i="387"/>
  <c r="G249" i="387" s="1"/>
  <c r="A249" i="387" a="1"/>
  <c r="A249" i="387" s="1"/>
  <c r="F248" i="387" a="1"/>
  <c r="F248" i="387" s="1"/>
  <c r="E248" i="387" a="1"/>
  <c r="E248" i="387" s="1"/>
  <c r="C248" i="387" a="1"/>
  <c r="C248" i="387"/>
  <c r="G248" i="387"/>
  <c r="A248" i="387" a="1"/>
  <c r="A248" i="387" s="1"/>
  <c r="F247" i="387" a="1"/>
  <c r="F247" i="387" s="1"/>
  <c r="E247" i="387" a="1"/>
  <c r="E247" i="387" s="1"/>
  <c r="C247" i="387" a="1"/>
  <c r="C247" i="387" s="1"/>
  <c r="G247" i="387"/>
  <c r="A247" i="387" a="1"/>
  <c r="A247" i="387" s="1"/>
  <c r="F246" i="387" a="1"/>
  <c r="F246" i="387" s="1"/>
  <c r="E246" i="387" a="1"/>
  <c r="E246" i="387" s="1"/>
  <c r="C246" i="387" a="1"/>
  <c r="C246" i="387"/>
  <c r="G246" i="387" s="1"/>
  <c r="A246" i="387" a="1"/>
  <c r="A246" i="387"/>
  <c r="F245" i="387" a="1"/>
  <c r="F245" i="387" s="1"/>
  <c r="E245" i="387" a="1"/>
  <c r="E245" i="387" s="1"/>
  <c r="C245" i="387" a="1"/>
  <c r="C245" i="387" s="1"/>
  <c r="G245" i="387" s="1"/>
  <c r="A245" i="387" a="1"/>
  <c r="A245" i="387"/>
  <c r="F244" i="387" a="1"/>
  <c r="F244" i="387" s="1"/>
  <c r="E244" i="387" a="1"/>
  <c r="E244" i="387" s="1"/>
  <c r="C244" i="387" a="1"/>
  <c r="C244" i="387" s="1"/>
  <c r="G244" i="387" s="1"/>
  <c r="A244" i="387" a="1"/>
  <c r="A244" i="387" s="1"/>
  <c r="F243" i="387" a="1"/>
  <c r="F243" i="387" s="1"/>
  <c r="E243" i="387" a="1"/>
  <c r="E243" i="387" s="1"/>
  <c r="C243" i="387" a="1"/>
  <c r="C243" i="387" s="1"/>
  <c r="G243" i="387" s="1"/>
  <c r="A243" i="387" a="1"/>
  <c r="A243" i="387"/>
  <c r="F242" i="387" a="1"/>
  <c r="F242" i="387" s="1"/>
  <c r="E242" i="387" a="1"/>
  <c r="E242" i="387" s="1"/>
  <c r="C242" i="387" a="1"/>
  <c r="C242" i="387" s="1"/>
  <c r="G242" i="387" s="1"/>
  <c r="A242" i="387" a="1"/>
  <c r="A242" i="387" s="1"/>
  <c r="F241" i="387" a="1"/>
  <c r="F241" i="387" s="1"/>
  <c r="E241" i="387" a="1"/>
  <c r="E241" i="387" s="1"/>
  <c r="C241" i="387" a="1"/>
  <c r="C241" i="387"/>
  <c r="G241" i="387"/>
  <c r="A241" i="387" a="1"/>
  <c r="A241" i="387" s="1"/>
  <c r="F240" i="387" a="1"/>
  <c r="F240" i="387" s="1"/>
  <c r="E240" i="387" a="1"/>
  <c r="E240" i="387" s="1"/>
  <c r="C240" i="387" a="1"/>
  <c r="C240" i="387"/>
  <c r="G240" i="387"/>
  <c r="A240" i="387" a="1"/>
  <c r="A240" i="387"/>
  <c r="F239" i="387" a="1"/>
  <c r="F239" i="387" s="1"/>
  <c r="E239" i="387" a="1"/>
  <c r="E239" i="387" s="1"/>
  <c r="C239" i="387" a="1"/>
  <c r="C239" i="387" s="1"/>
  <c r="G239" i="387" s="1"/>
  <c r="A239" i="387" a="1"/>
  <c r="A239" i="387"/>
  <c r="F238" i="387" a="1"/>
  <c r="F238" i="387" s="1"/>
  <c r="E238" i="387" a="1"/>
  <c r="E238" i="387" s="1"/>
  <c r="C238" i="387" a="1"/>
  <c r="C238" i="387"/>
  <c r="G238" i="387" s="1"/>
  <c r="A238" i="387" a="1"/>
  <c r="A238" i="387"/>
  <c r="F237" i="387" a="1"/>
  <c r="F237" i="387" s="1"/>
  <c r="E237" i="387" a="1"/>
  <c r="E237" i="387" s="1"/>
  <c r="C237" i="387" a="1"/>
  <c r="C237" i="387" s="1"/>
  <c r="G237" i="387" s="1"/>
  <c r="A237" i="387" a="1"/>
  <c r="A237" i="387"/>
  <c r="F236" i="387" a="1"/>
  <c r="F236" i="387" s="1"/>
  <c r="E236" i="387" a="1"/>
  <c r="E236" i="387" s="1"/>
  <c r="C236" i="387" a="1"/>
  <c r="C236" i="387" s="1"/>
  <c r="G236" i="387" s="1"/>
  <c r="A236" i="387" a="1"/>
  <c r="A236" i="387" s="1"/>
  <c r="F235" i="387" a="1"/>
  <c r="F235" i="387" s="1"/>
  <c r="E235" i="387" a="1"/>
  <c r="E235" i="387" s="1"/>
  <c r="C235" i="387" a="1"/>
  <c r="C235" i="387"/>
  <c r="G235" i="387" s="1"/>
  <c r="A235" i="387" a="1"/>
  <c r="A235" i="387"/>
  <c r="F234" i="387" a="1"/>
  <c r="F234" i="387" s="1"/>
  <c r="E234" i="387" a="1"/>
  <c r="E234" i="387" s="1"/>
  <c r="C234" i="387" a="1"/>
  <c r="C234" i="387"/>
  <c r="G234" i="387" s="1"/>
  <c r="A234" i="387" a="1"/>
  <c r="A234" i="387" s="1"/>
  <c r="F233" i="387" a="1"/>
  <c r="F233" i="387" s="1"/>
  <c r="E233" i="387" a="1"/>
  <c r="E233" i="387" s="1"/>
  <c r="C233" i="387" a="1"/>
  <c r="C233" i="387"/>
  <c r="G233" i="387" s="1"/>
  <c r="A233" i="387" a="1"/>
  <c r="A233" i="387" s="1"/>
  <c r="F232" i="387" a="1"/>
  <c r="F232" i="387" s="1"/>
  <c r="E232" i="387" a="1"/>
  <c r="E232" i="387" s="1"/>
  <c r="C232" i="387" a="1"/>
  <c r="C232" i="387"/>
  <c r="G232" i="387"/>
  <c r="A232" i="387" a="1"/>
  <c r="A232" i="387" s="1"/>
  <c r="F231" i="387" a="1"/>
  <c r="F231" i="387" s="1"/>
  <c r="E231" i="387" a="1"/>
  <c r="E231" i="387" s="1"/>
  <c r="C231" i="387" a="1"/>
  <c r="C231" i="387"/>
  <c r="G231" i="387" s="1"/>
  <c r="A231" i="387" a="1"/>
  <c r="A231" i="387"/>
  <c r="F230" i="387" a="1"/>
  <c r="F230" i="387" s="1"/>
  <c r="E230" i="387" a="1"/>
  <c r="E230" i="387" s="1"/>
  <c r="C230" i="387" a="1"/>
  <c r="C230" i="387" s="1"/>
  <c r="G230" i="387" s="1"/>
  <c r="A230" i="387" a="1"/>
  <c r="A230" i="387"/>
  <c r="F229" i="387" a="1"/>
  <c r="F229" i="387" s="1"/>
  <c r="E229" i="387" a="1"/>
  <c r="E229" i="387" s="1"/>
  <c r="C229" i="387" a="1"/>
  <c r="C229" i="387"/>
  <c r="G229" i="387" s="1"/>
  <c r="A229" i="387" a="1"/>
  <c r="A229" i="387" s="1"/>
  <c r="F228" i="387" a="1"/>
  <c r="F228" i="387" s="1"/>
  <c r="E228" i="387" a="1"/>
  <c r="E228" i="387" s="1"/>
  <c r="C228" i="387" a="1"/>
  <c r="C228" i="387" s="1"/>
  <c r="G228" i="387" s="1"/>
  <c r="A228" i="387" a="1"/>
  <c r="A228" i="387"/>
  <c r="F227" i="387" a="1"/>
  <c r="F227" i="387" s="1"/>
  <c r="E227" i="387" a="1"/>
  <c r="E227" i="387" s="1"/>
  <c r="C227" i="387" a="1"/>
  <c r="C227" i="387"/>
  <c r="G227" i="387" s="1"/>
  <c r="A227" i="387" a="1"/>
  <c r="A227" i="387" s="1"/>
  <c r="F226" i="387" a="1"/>
  <c r="F226" i="387" s="1"/>
  <c r="E226" i="387" a="1"/>
  <c r="E226" i="387" s="1"/>
  <c r="C226" i="387" a="1"/>
  <c r="C226" i="387"/>
  <c r="G226" i="387" s="1"/>
  <c r="A226" i="387" a="1"/>
  <c r="A226" i="387"/>
  <c r="F225" i="387" a="1"/>
  <c r="F225" i="387" s="1"/>
  <c r="E225" i="387" a="1"/>
  <c r="E225" i="387" s="1"/>
  <c r="C225" i="387" a="1"/>
  <c r="C225" i="387" s="1"/>
  <c r="G225" i="387" s="1"/>
  <c r="A225" i="387" a="1"/>
  <c r="A225" i="387" s="1"/>
  <c r="F224" i="387" a="1"/>
  <c r="F224" i="387" s="1"/>
  <c r="E224" i="387" a="1"/>
  <c r="E224" i="387" s="1"/>
  <c r="C224" i="387" a="1"/>
  <c r="C224" i="387"/>
  <c r="G224" i="387" s="1"/>
  <c r="A224" i="387" a="1"/>
  <c r="A224" i="387" s="1"/>
  <c r="F223" i="387" a="1"/>
  <c r="F223" i="387" s="1"/>
  <c r="E223" i="387" a="1"/>
  <c r="E223" i="387" s="1"/>
  <c r="C223" i="387" a="1"/>
  <c r="C223" i="387"/>
  <c r="G223" i="387"/>
  <c r="A223" i="387" a="1"/>
  <c r="A223" i="387" s="1"/>
  <c r="F222" i="387" a="1"/>
  <c r="F222" i="387" s="1"/>
  <c r="E222" i="387" a="1"/>
  <c r="E222" i="387" s="1"/>
  <c r="C222" i="387" a="1"/>
  <c r="C222" i="387" s="1"/>
  <c r="G222" i="387" s="1"/>
  <c r="A222" i="387" a="1"/>
  <c r="A222" i="387" s="1"/>
  <c r="F221" i="387" a="1"/>
  <c r="F221" i="387" s="1"/>
  <c r="E221" i="387" a="1"/>
  <c r="E221" i="387" s="1"/>
  <c r="C221" i="387" a="1"/>
  <c r="C221" i="387"/>
  <c r="G221" i="387" s="1"/>
  <c r="A221" i="387" a="1"/>
  <c r="A221" i="387"/>
  <c r="F220" i="387" a="1"/>
  <c r="F220" i="387" s="1"/>
  <c r="E220" i="387" a="1"/>
  <c r="E220" i="387" s="1"/>
  <c r="C220" i="387" a="1"/>
  <c r="C220" i="387" s="1"/>
  <c r="G220" i="387" s="1"/>
  <c r="A220" i="387" a="1"/>
  <c r="A220" i="387"/>
  <c r="F219" i="387" a="1"/>
  <c r="F219" i="387" s="1"/>
  <c r="E219" i="387" a="1"/>
  <c r="E219" i="387" s="1"/>
  <c r="C219" i="387" a="1"/>
  <c r="C219" i="387" s="1"/>
  <c r="G219" i="387" s="1"/>
  <c r="A219" i="387" a="1"/>
  <c r="A219" i="387" s="1"/>
  <c r="F218" i="387" a="1"/>
  <c r="F218" i="387" s="1"/>
  <c r="E218" i="387" a="1"/>
  <c r="E218" i="387" s="1"/>
  <c r="C218" i="387" a="1"/>
  <c r="C218" i="387" s="1"/>
  <c r="G218" i="387" s="1"/>
  <c r="A218" i="387" a="1"/>
  <c r="A218" i="387"/>
  <c r="F217" i="387" a="1"/>
  <c r="F217" i="387" s="1"/>
  <c r="E217" i="387" a="1"/>
  <c r="E217" i="387" s="1"/>
  <c r="C217" i="387" a="1"/>
  <c r="C217" i="387" s="1"/>
  <c r="G217" i="387" s="1"/>
  <c r="A217" i="387" a="1"/>
  <c r="A217" i="387" s="1"/>
  <c r="F216" i="387" a="1"/>
  <c r="F216" i="387" s="1"/>
  <c r="E216" i="387" a="1"/>
  <c r="E216" i="387" s="1"/>
  <c r="C216" i="387" a="1"/>
  <c r="C216" i="387"/>
  <c r="G216" i="387" s="1"/>
  <c r="A216" i="387" a="1"/>
  <c r="A216" i="387"/>
  <c r="F215" i="387" a="1"/>
  <c r="F215" i="387" s="1"/>
  <c r="E215" i="387" a="1"/>
  <c r="E215" i="387" s="1"/>
  <c r="C215" i="387" a="1"/>
  <c r="C215" i="387"/>
  <c r="G215" i="387"/>
  <c r="A215" i="387" a="1"/>
  <c r="A215" i="387"/>
  <c r="F214" i="387" a="1"/>
  <c r="F214" i="387" s="1"/>
  <c r="E214" i="387" a="1"/>
  <c r="E214" i="387" s="1"/>
  <c r="C214" i="387" a="1"/>
  <c r="C214" i="387" s="1"/>
  <c r="G214" i="387" s="1"/>
  <c r="A214" i="387" a="1"/>
  <c r="A214" i="387"/>
  <c r="F213" i="387" a="1"/>
  <c r="F213" i="387" s="1"/>
  <c r="E213" i="387" a="1"/>
  <c r="E213" i="387" s="1"/>
  <c r="C213" i="387" a="1"/>
  <c r="C213" i="387"/>
  <c r="G213" i="387" s="1"/>
  <c r="A213" i="387" a="1"/>
  <c r="A213" i="387" s="1"/>
  <c r="F212" i="387" a="1"/>
  <c r="F212" i="387" s="1"/>
  <c r="E212" i="387" a="1"/>
  <c r="E212" i="387" s="1"/>
  <c r="C212" i="387" a="1"/>
  <c r="C212" i="387" s="1"/>
  <c r="G212" i="387" s="1"/>
  <c r="A212" i="387" a="1"/>
  <c r="A212" i="387"/>
  <c r="F211" i="387" a="1"/>
  <c r="F211" i="387" s="1"/>
  <c r="E211" i="387" a="1"/>
  <c r="E211" i="387" s="1"/>
  <c r="C211" i="387" a="1"/>
  <c r="C211" i="387"/>
  <c r="G211" i="387" s="1"/>
  <c r="A211" i="387" a="1"/>
  <c r="A211" i="387" s="1"/>
  <c r="F210" i="387" a="1"/>
  <c r="F210" i="387" s="1"/>
  <c r="E210" i="387" a="1"/>
  <c r="E210" i="387" s="1"/>
  <c r="C210" i="387" a="1"/>
  <c r="C210" i="387"/>
  <c r="G210" i="387" s="1"/>
  <c r="A210" i="387" a="1"/>
  <c r="A210" i="387"/>
  <c r="F209" i="387" a="1"/>
  <c r="F209" i="387" s="1"/>
  <c r="E209" i="387" a="1"/>
  <c r="E209" i="387" s="1"/>
  <c r="C209" i="387" a="1"/>
  <c r="C209" i="387" s="1"/>
  <c r="G209" i="387" s="1"/>
  <c r="A209" i="387" a="1"/>
  <c r="A209" i="387"/>
  <c r="F208" i="387" a="1"/>
  <c r="F208" i="387" s="1"/>
  <c r="E208" i="387" a="1"/>
  <c r="E208" i="387" s="1"/>
  <c r="C208" i="387" a="1"/>
  <c r="C208" i="387" s="1"/>
  <c r="G208" i="387"/>
  <c r="A208" i="387" a="1"/>
  <c r="A208" i="387" s="1"/>
  <c r="F207" i="387" a="1"/>
  <c r="F207" i="387" s="1"/>
  <c r="E207" i="387" a="1"/>
  <c r="E207" i="387" s="1"/>
  <c r="C207" i="387" a="1"/>
  <c r="C207" i="387"/>
  <c r="G207" i="387" s="1"/>
  <c r="A207" i="387" a="1"/>
  <c r="A207" i="387"/>
  <c r="F206" i="387" a="1"/>
  <c r="F206" i="387" s="1"/>
  <c r="E206" i="387" a="1"/>
  <c r="E206" i="387" s="1"/>
  <c r="C206" i="387" a="1"/>
  <c r="C206" i="387"/>
  <c r="D206" i="387"/>
  <c r="A206" i="387" a="1"/>
  <c r="A206" i="387"/>
  <c r="F205" i="387" a="1"/>
  <c r="F205" i="387" s="1"/>
  <c r="E205" i="387" a="1"/>
  <c r="E205" i="387" s="1"/>
  <c r="C205" i="387" a="1"/>
  <c r="C205" i="387" s="1"/>
  <c r="D205" i="387" s="1"/>
  <c r="A205" i="387" a="1"/>
  <c r="A205" i="387"/>
  <c r="F203" i="387" a="1"/>
  <c r="F203" i="387" s="1"/>
  <c r="E203" i="387" a="1"/>
  <c r="E203" i="387" s="1"/>
  <c r="C203" i="387" a="1"/>
  <c r="C203" i="387"/>
  <c r="D203" i="387" s="1"/>
  <c r="A203" i="387" a="1"/>
  <c r="A203" i="387" s="1"/>
  <c r="F202" i="387" a="1"/>
  <c r="F202" i="387" s="1"/>
  <c r="E202" i="387" a="1"/>
  <c r="E202" i="387" s="1"/>
  <c r="C202" i="387" a="1"/>
  <c r="C202" i="387"/>
  <c r="D202" i="387" s="1"/>
  <c r="A202" i="387" a="1"/>
  <c r="A202" i="387"/>
  <c r="F201" i="387" a="1"/>
  <c r="F201" i="387" s="1"/>
  <c r="E201" i="387" a="1"/>
  <c r="E201" i="387" s="1"/>
  <c r="C201" i="387" a="1"/>
  <c r="C201" i="387" s="1"/>
  <c r="D201" i="387" s="1"/>
  <c r="A201" i="387" a="1"/>
  <c r="A201" i="387"/>
  <c r="F200" i="387" a="1"/>
  <c r="F200" i="387" s="1"/>
  <c r="E200" i="387" a="1"/>
  <c r="E200" i="387" s="1"/>
  <c r="C200" i="387" a="1"/>
  <c r="C200" i="387" s="1"/>
  <c r="D200" i="387" s="1"/>
  <c r="A200" i="387" a="1"/>
  <c r="A200" i="387" s="1"/>
  <c r="F199" i="387" a="1"/>
  <c r="F199" i="387" s="1"/>
  <c r="E199" i="387" a="1"/>
  <c r="E199" i="387" s="1"/>
  <c r="C199" i="387" a="1"/>
  <c r="C199" i="387" s="1"/>
  <c r="D199" i="387" s="1"/>
  <c r="A199" i="387" a="1"/>
  <c r="A199" i="387"/>
  <c r="F198" i="387" a="1"/>
  <c r="F198" i="387" s="1"/>
  <c r="E198" i="387" a="1"/>
  <c r="E198" i="387" s="1"/>
  <c r="C198" i="387" a="1"/>
  <c r="C198" i="387"/>
  <c r="D198" i="387" s="1"/>
  <c r="A198" i="387" a="1"/>
  <c r="A198" i="387"/>
  <c r="F197" i="387" a="1"/>
  <c r="F197" i="387" s="1"/>
  <c r="E197" i="387" a="1"/>
  <c r="E197" i="387" s="1"/>
  <c r="C197" i="387" a="1"/>
  <c r="C197" i="387" s="1"/>
  <c r="D197" i="387" s="1"/>
  <c r="A197" i="387" a="1"/>
  <c r="A197" i="387" s="1"/>
  <c r="F196" i="387" a="1"/>
  <c r="F196" i="387" s="1"/>
  <c r="E196" i="387" a="1"/>
  <c r="E196" i="387" s="1"/>
  <c r="C196" i="387" a="1"/>
  <c r="C196" i="387"/>
  <c r="D196" i="387" s="1"/>
  <c r="A196" i="387" a="1"/>
  <c r="A196" i="387" s="1"/>
  <c r="F195" i="387" a="1"/>
  <c r="F195" i="387" s="1"/>
  <c r="E195" i="387" a="1"/>
  <c r="E195" i="387" s="1"/>
  <c r="C195" i="387" a="1"/>
  <c r="C195" i="387"/>
  <c r="D195" i="387"/>
  <c r="A195" i="387" a="1"/>
  <c r="A195" i="387" s="1"/>
  <c r="F194" i="387" a="1"/>
  <c r="F194" i="387" s="1"/>
  <c r="E194" i="387" a="1"/>
  <c r="E194" i="387" s="1"/>
  <c r="C194" i="387" a="1"/>
  <c r="C194" i="387" s="1"/>
  <c r="D194" i="387"/>
  <c r="A194" i="387" a="1"/>
  <c r="A194" i="387" s="1"/>
  <c r="F193" i="387" a="1"/>
  <c r="F193" i="387" s="1"/>
  <c r="E193" i="387" a="1"/>
  <c r="E193" i="387" s="1"/>
  <c r="C193" i="387" a="1"/>
  <c r="C193" i="387"/>
  <c r="D193" i="387" s="1"/>
  <c r="A193" i="387" a="1"/>
  <c r="A193" i="387"/>
  <c r="F192" i="387" a="1"/>
  <c r="F192" i="387" s="1"/>
  <c r="E192" i="387" a="1"/>
  <c r="E192" i="387" s="1"/>
  <c r="C192" i="387" a="1"/>
  <c r="C192" i="387"/>
  <c r="D192" i="387" s="1"/>
  <c r="A192" i="387" a="1"/>
  <c r="A192" i="387" s="1"/>
  <c r="F191" i="387" a="1"/>
  <c r="F191" i="387" s="1"/>
  <c r="E191" i="387" a="1"/>
  <c r="E191" i="387" s="1"/>
  <c r="C191" i="387" a="1"/>
  <c r="C191" i="387" s="1"/>
  <c r="D191" i="387" s="1"/>
  <c r="A191" i="387" a="1"/>
  <c r="A191" i="387"/>
  <c r="F190" i="387" a="1"/>
  <c r="F190" i="387" s="1"/>
  <c r="E190" i="387" a="1"/>
  <c r="E190" i="387" s="1"/>
  <c r="C190" i="387" a="1"/>
  <c r="C190" i="387"/>
  <c r="D190" i="387" s="1"/>
  <c r="A190" i="387" a="1"/>
  <c r="A190" i="387" s="1"/>
  <c r="F188" i="387" a="1"/>
  <c r="F188" i="387" s="1"/>
  <c r="E188" i="387" a="1"/>
  <c r="E188" i="387" s="1"/>
  <c r="C188" i="387" a="1"/>
  <c r="C188" i="387"/>
  <c r="D188" i="387"/>
  <c r="A188" i="387" a="1"/>
  <c r="A188" i="387"/>
  <c r="F187" i="387" a="1"/>
  <c r="F187" i="387" s="1"/>
  <c r="E187" i="387" a="1"/>
  <c r="E187" i="387" s="1"/>
  <c r="C187" i="387" a="1"/>
  <c r="C187" i="387" s="1"/>
  <c r="D187" i="387" s="1"/>
  <c r="A187" i="387" a="1"/>
  <c r="A187" i="387" s="1"/>
  <c r="F186" i="387" a="1"/>
  <c r="F186" i="387" s="1"/>
  <c r="E186" i="387" a="1"/>
  <c r="E186" i="387" s="1"/>
  <c r="C186" i="387" a="1"/>
  <c r="C186" i="387"/>
  <c r="D186" i="387" s="1"/>
  <c r="A186" i="387" a="1"/>
  <c r="A186" i="387" s="1"/>
  <c r="F185" i="387" a="1"/>
  <c r="F185" i="387" s="1"/>
  <c r="E185" i="387" a="1"/>
  <c r="E185" i="387" s="1"/>
  <c r="C185" i="387" a="1"/>
  <c r="C185" i="387"/>
  <c r="D185" i="387"/>
  <c r="A185" i="387" a="1"/>
  <c r="A185" i="387" s="1"/>
  <c r="F184" i="387" a="1"/>
  <c r="F184" i="387" s="1"/>
  <c r="E184" i="387" a="1"/>
  <c r="E184" i="387" s="1"/>
  <c r="C184" i="387" a="1"/>
  <c r="C184" i="387" s="1"/>
  <c r="D184" i="387"/>
  <c r="A184" i="387" a="1"/>
  <c r="A184" i="387" s="1"/>
  <c r="F183" i="387" a="1"/>
  <c r="F183" i="387" s="1"/>
  <c r="E183" i="387" a="1"/>
  <c r="E183" i="387" s="1"/>
  <c r="C183" i="387" a="1"/>
  <c r="C183" i="387"/>
  <c r="D183" i="387" s="1"/>
  <c r="A183" i="387" a="1"/>
  <c r="A183" i="387" s="1"/>
  <c r="F182" i="387" a="1"/>
  <c r="F182" i="387" s="1"/>
  <c r="E182" i="387" a="1"/>
  <c r="E182" i="387" s="1"/>
  <c r="C182" i="387" a="1"/>
  <c r="C182" i="387" s="1"/>
  <c r="D182" i="387" s="1"/>
  <c r="A182" i="387" a="1"/>
  <c r="A182" i="387"/>
  <c r="F181" i="387" a="1"/>
  <c r="F181" i="387" s="1"/>
  <c r="E181" i="387" a="1"/>
  <c r="E181" i="387" s="1"/>
  <c r="C181" i="387" a="1"/>
  <c r="C181" i="387" s="1"/>
  <c r="D181" i="387" s="1"/>
  <c r="A181" i="387" a="1"/>
  <c r="A181" i="387"/>
  <c r="F180" i="387" a="1"/>
  <c r="F180" i="387" s="1"/>
  <c r="E180" i="387" a="1"/>
  <c r="E180" i="387" s="1"/>
  <c r="C180" i="387" a="1"/>
  <c r="C180" i="387"/>
  <c r="D180" i="387" s="1"/>
  <c r="A180" i="387" a="1"/>
  <c r="A180" i="387" s="1"/>
  <c r="F179" i="387" a="1"/>
  <c r="F179" i="387" s="1"/>
  <c r="E179" i="387" a="1"/>
  <c r="E179" i="387" s="1"/>
  <c r="C179" i="387" a="1"/>
  <c r="C179" i="387"/>
  <c r="D179" i="387"/>
  <c r="A179" i="387" a="1"/>
  <c r="A179" i="387"/>
  <c r="F178" i="387" a="1"/>
  <c r="F178" i="387" s="1"/>
  <c r="E178" i="387" a="1"/>
  <c r="E178" i="387" s="1"/>
  <c r="C178" i="387" a="1"/>
  <c r="C178" i="387"/>
  <c r="D178" i="387" s="1"/>
  <c r="A178" i="387" a="1"/>
  <c r="A178" i="387" s="1"/>
  <c r="F177" i="387" a="1"/>
  <c r="F177" i="387" s="1"/>
  <c r="E177" i="387" a="1"/>
  <c r="E177" i="387" s="1"/>
  <c r="C177" i="387" a="1"/>
  <c r="C177" i="387" s="1"/>
  <c r="D177" i="387" s="1"/>
  <c r="A177" i="387" a="1"/>
  <c r="A177" i="387"/>
  <c r="F176" i="387" a="1"/>
  <c r="F176" i="387" s="1"/>
  <c r="E176" i="387" a="1"/>
  <c r="E176" i="387" s="1"/>
  <c r="C176" i="387" a="1"/>
  <c r="C176" i="387"/>
  <c r="D176" i="387"/>
  <c r="A176" i="387" a="1"/>
  <c r="A176" i="387" s="1"/>
  <c r="F175" i="387" a="1"/>
  <c r="F175" i="387" s="1"/>
  <c r="E175" i="387" a="1"/>
  <c r="E175" i="387" s="1"/>
  <c r="C175" i="387" a="1"/>
  <c r="C175" i="387" s="1"/>
  <c r="D175" i="387"/>
  <c r="A175" i="387" a="1"/>
  <c r="A175" i="387" s="1"/>
  <c r="F174" i="387" a="1"/>
  <c r="F174" i="387" s="1"/>
  <c r="E174" i="387" a="1"/>
  <c r="E174" i="387" s="1"/>
  <c r="C174" i="387" a="1"/>
  <c r="C174" i="387"/>
  <c r="D174" i="387" s="1"/>
  <c r="A174" i="387" a="1"/>
  <c r="A174" i="387"/>
  <c r="F173" i="387" a="1"/>
  <c r="F173" i="387" s="1"/>
  <c r="E173" i="387" a="1"/>
  <c r="E173" i="387" s="1"/>
  <c r="C173" i="387" a="1"/>
  <c r="C173" i="387" s="1"/>
  <c r="D173" i="387" s="1"/>
  <c r="A173" i="387" a="1"/>
  <c r="A173" i="387"/>
  <c r="F172" i="387" a="1"/>
  <c r="F172" i="387" s="1"/>
  <c r="E172" i="387" a="1"/>
  <c r="E172" i="387" s="1"/>
  <c r="C172" i="387" a="1"/>
  <c r="C172" i="387"/>
  <c r="D172" i="387" s="1"/>
  <c r="A172" i="387" a="1"/>
  <c r="A172" i="387" s="1"/>
  <c r="F171" i="387" a="1"/>
  <c r="F171" i="387" s="1"/>
  <c r="E171" i="387" a="1"/>
  <c r="E171" i="387" s="1"/>
  <c r="C171" i="387" a="1"/>
  <c r="C171" i="387" s="1"/>
  <c r="D171" i="387" s="1"/>
  <c r="A171" i="387" a="1"/>
  <c r="A171" i="387"/>
  <c r="F170" i="387" a="1"/>
  <c r="F170" i="387" s="1"/>
  <c r="E170" i="387" a="1"/>
  <c r="E170" i="387" s="1"/>
  <c r="C170" i="387" a="1"/>
  <c r="C170" i="387" s="1"/>
  <c r="D170" i="387"/>
  <c r="A170" i="387" a="1"/>
  <c r="A170" i="387" s="1"/>
  <c r="F169" i="387" a="1"/>
  <c r="F169" i="387" s="1"/>
  <c r="E169" i="387" a="1"/>
  <c r="E169" i="387" s="1"/>
  <c r="C169" i="387" a="1"/>
  <c r="C169" i="387"/>
  <c r="D169" i="387"/>
  <c r="A169" i="387" a="1"/>
  <c r="A169" i="387"/>
  <c r="F168" i="387" a="1"/>
  <c r="F168" i="387" s="1"/>
  <c r="E168" i="387" a="1"/>
  <c r="E168" i="387" s="1"/>
  <c r="C168" i="387" a="1"/>
  <c r="C168" i="387"/>
  <c r="D168" i="387"/>
  <c r="A168" i="387" a="1"/>
  <c r="A168" i="387"/>
  <c r="F167" i="387" a="1"/>
  <c r="F167" i="387" s="1"/>
  <c r="E167" i="387" a="1"/>
  <c r="E167" i="387" s="1"/>
  <c r="C167" i="387" a="1"/>
  <c r="C167" i="387" s="1"/>
  <c r="D167" i="387" s="1"/>
  <c r="A167" i="387" a="1"/>
  <c r="A167" i="387"/>
  <c r="F166" i="387" a="1"/>
  <c r="F166" i="387" s="1"/>
  <c r="E166" i="387" a="1"/>
  <c r="E166" i="387" s="1"/>
  <c r="C166" i="387" a="1"/>
  <c r="C166" i="387"/>
  <c r="D166" i="387" s="1"/>
  <c r="A166" i="387" a="1"/>
  <c r="A166" i="387" s="1"/>
  <c r="F165" i="387" a="1"/>
  <c r="F165" i="387" s="1"/>
  <c r="E165" i="387" a="1"/>
  <c r="E165" i="387" s="1"/>
  <c r="C165" i="387" a="1"/>
  <c r="C165" i="387" s="1"/>
  <c r="D165" i="387" s="1"/>
  <c r="A165" i="387" a="1"/>
  <c r="A165" i="387"/>
  <c r="F164" i="387" a="1"/>
  <c r="F164" i="387" s="1"/>
  <c r="E164" i="387" a="1"/>
  <c r="E164" i="387" s="1"/>
  <c r="C164" i="387" a="1"/>
  <c r="C164" i="387"/>
  <c r="D164" i="387" s="1"/>
  <c r="A164" i="387" a="1"/>
  <c r="A164" i="387" s="1"/>
  <c r="F163" i="387" a="1"/>
  <c r="F163" i="387" s="1"/>
  <c r="E163" i="387" a="1"/>
  <c r="E163" i="387" s="1"/>
  <c r="C163" i="387" a="1"/>
  <c r="C163" i="387"/>
  <c r="D163" i="387" s="1"/>
  <c r="A163" i="387" a="1"/>
  <c r="A163" i="387"/>
  <c r="F162" i="387" a="1"/>
  <c r="F162" i="387" s="1"/>
  <c r="E162" i="387" a="1"/>
  <c r="E162" i="387" s="1"/>
  <c r="C162" i="387" a="1"/>
  <c r="C162" i="387"/>
  <c r="D162" i="387" s="1"/>
  <c r="A162" i="387" a="1"/>
  <c r="A162" i="387" s="1"/>
  <c r="F161" i="387" a="1"/>
  <c r="F161" i="387" s="1"/>
  <c r="E161" i="387" a="1"/>
  <c r="E161" i="387" s="1"/>
  <c r="C161" i="387" a="1"/>
  <c r="C161" i="387"/>
  <c r="D161" i="387" s="1"/>
  <c r="A161" i="387" a="1"/>
  <c r="A161" i="387" s="1"/>
  <c r="F160" i="387" a="1"/>
  <c r="F160" i="387" s="1"/>
  <c r="E160" i="387" a="1"/>
  <c r="E160" i="387" s="1"/>
  <c r="C160" i="387" a="1"/>
  <c r="C160" i="387"/>
  <c r="D160" i="387"/>
  <c r="A160" i="387" a="1"/>
  <c r="A160" i="387" s="1"/>
  <c r="F159" i="387" a="1"/>
  <c r="F159" i="387" s="1"/>
  <c r="E159" i="387" a="1"/>
  <c r="E159" i="387" s="1"/>
  <c r="C159" i="387" a="1"/>
  <c r="C159" i="387" s="1"/>
  <c r="D159" i="387"/>
  <c r="A159" i="387" a="1"/>
  <c r="A159" i="387" s="1"/>
  <c r="F158" i="387" a="1"/>
  <c r="F158" i="387" s="1"/>
  <c r="E158" i="387" a="1"/>
  <c r="E158" i="387" s="1"/>
  <c r="C158" i="387" a="1"/>
  <c r="C158" i="387"/>
  <c r="D158" i="387" s="1"/>
  <c r="A158" i="387" a="1"/>
  <c r="A158" i="387" s="1"/>
  <c r="F157" i="387" a="1"/>
  <c r="F157" i="387" s="1"/>
  <c r="E157" i="387" a="1"/>
  <c r="E157" i="387" s="1"/>
  <c r="C157" i="387" a="1"/>
  <c r="C157" i="387" s="1"/>
  <c r="D157" i="387" s="1"/>
  <c r="A157" i="387" a="1"/>
  <c r="A157" i="387"/>
  <c r="F156" i="387" a="1"/>
  <c r="F156" i="387" s="1"/>
  <c r="E156" i="387" a="1"/>
  <c r="E156" i="387" s="1"/>
  <c r="C156" i="387" a="1"/>
  <c r="C156" i="387"/>
  <c r="D156" i="387" s="1"/>
  <c r="A156" i="387" a="1"/>
  <c r="A156" i="387" s="1"/>
  <c r="F155" i="387" a="1"/>
  <c r="F155" i="387" s="1"/>
  <c r="E155" i="387" a="1"/>
  <c r="E155" i="387" s="1"/>
  <c r="C155" i="387" a="1"/>
  <c r="C155" i="387" s="1"/>
  <c r="D155" i="387" s="1"/>
  <c r="A155" i="387" a="1"/>
  <c r="A155" i="387"/>
  <c r="F154" i="387" a="1"/>
  <c r="F154" i="387" s="1"/>
  <c r="E154" i="387" a="1"/>
  <c r="E154" i="387" s="1"/>
  <c r="C154" i="387" a="1"/>
  <c r="C154" i="387" s="1"/>
  <c r="D154" i="387" s="1"/>
  <c r="A154" i="387" a="1"/>
  <c r="A154" i="387" s="1"/>
  <c r="F153" i="387" a="1"/>
  <c r="F153" i="387" s="1"/>
  <c r="E153" i="387" a="1"/>
  <c r="E153" i="387" s="1"/>
  <c r="C153" i="387" a="1"/>
  <c r="C153" i="387"/>
  <c r="D153" i="387"/>
  <c r="A153" i="387" a="1"/>
  <c r="A153" i="387"/>
  <c r="F152" i="387" a="1"/>
  <c r="F152" i="387" s="1"/>
  <c r="E152" i="387" a="1"/>
  <c r="E152" i="387" s="1"/>
  <c r="C152" i="387" a="1"/>
  <c r="C152" i="387"/>
  <c r="D152" i="387" s="1"/>
  <c r="A152" i="387" a="1"/>
  <c r="A152" i="387"/>
  <c r="F151" i="387" a="1"/>
  <c r="F151" i="387" s="1"/>
  <c r="E151" i="387" a="1"/>
  <c r="E151" i="387" s="1"/>
  <c r="C151" i="387" a="1"/>
  <c r="C151" i="387" s="1"/>
  <c r="D151" i="387" s="1"/>
  <c r="A151" i="387" a="1"/>
  <c r="A151" i="387"/>
  <c r="F145" i="387" a="1"/>
  <c r="F145" i="387" s="1"/>
  <c r="E145" i="387" a="1"/>
  <c r="E145" i="387" s="1"/>
  <c r="C145" i="387" a="1"/>
  <c r="C145" i="387"/>
  <c r="D145" i="387" s="1"/>
  <c r="A145" i="387" a="1"/>
  <c r="A145" i="387"/>
  <c r="F144" i="387" a="1"/>
  <c r="F144" i="387" s="1"/>
  <c r="E144" i="387" a="1"/>
  <c r="E144" i="387" s="1"/>
  <c r="C144" i="387" a="1"/>
  <c r="C144" i="387" s="1"/>
  <c r="D144" i="387" s="1"/>
  <c r="A144" i="387" a="1"/>
  <c r="A144" i="387"/>
  <c r="F143" i="387" a="1"/>
  <c r="F143" i="387" s="1"/>
  <c r="E143" i="387" a="1"/>
  <c r="E143" i="387" s="1"/>
  <c r="C143" i="387" a="1"/>
  <c r="C143" i="387"/>
  <c r="D143" i="387" s="1"/>
  <c r="A143" i="387" a="1"/>
  <c r="A143" i="387" s="1"/>
  <c r="F142" i="387" a="1"/>
  <c r="F142" i="387" s="1"/>
  <c r="E142" i="387" a="1"/>
  <c r="E142" i="387" s="1"/>
  <c r="C142" i="387" a="1"/>
  <c r="C142" i="387"/>
  <c r="D142" i="387"/>
  <c r="A142" i="387" a="1"/>
  <c r="A142" i="387"/>
  <c r="F141" i="387" a="1"/>
  <c r="F141" i="387" s="1"/>
  <c r="E141" i="387" a="1"/>
  <c r="E141" i="387" s="1"/>
  <c r="C141" i="387" a="1"/>
  <c r="C141" i="387"/>
  <c r="D141" i="387" s="1"/>
  <c r="A141" i="387" a="1"/>
  <c r="A141" i="387" s="1"/>
  <c r="F140" i="387" a="1"/>
  <c r="F140" i="387" s="1"/>
  <c r="E140" i="387" a="1"/>
  <c r="E140" i="387" s="1"/>
  <c r="C140" i="387" a="1"/>
  <c r="C140" i="387"/>
  <c r="D140" i="387" s="1"/>
  <c r="A140" i="387" a="1"/>
  <c r="A140" i="387" s="1"/>
  <c r="F139" i="387" a="1"/>
  <c r="F139" i="387" s="1"/>
  <c r="E139" i="387" a="1"/>
  <c r="E139" i="387" s="1"/>
  <c r="C139" i="387" a="1"/>
  <c r="C139" i="387"/>
  <c r="D139" i="387" s="1"/>
  <c r="A139" i="387" a="1"/>
  <c r="A139" i="387" s="1"/>
  <c r="F138" i="387" a="1"/>
  <c r="F138" i="387" s="1"/>
  <c r="E138" i="387" a="1"/>
  <c r="E138" i="387" s="1"/>
  <c r="C138" i="387" a="1"/>
  <c r="C138" i="387" s="1"/>
  <c r="D138" i="387"/>
  <c r="A138" i="387" a="1"/>
  <c r="A138" i="387" s="1"/>
  <c r="F137" i="387" a="1"/>
  <c r="F137" i="387" s="1"/>
  <c r="E137" i="387" a="1"/>
  <c r="E137" i="387" s="1"/>
  <c r="C137" i="387" a="1"/>
  <c r="C137" i="387"/>
  <c r="G137" i="387" s="1"/>
  <c r="A137" i="387" a="1"/>
  <c r="A137" i="387" s="1"/>
  <c r="F136" i="387" a="1"/>
  <c r="F136" i="387" s="1"/>
  <c r="E136" i="387" a="1"/>
  <c r="E136" i="387" s="1"/>
  <c r="C136" i="387" a="1"/>
  <c r="C136" i="387"/>
  <c r="G136" i="387" s="1"/>
  <c r="A136" i="387" a="1"/>
  <c r="A136" i="387"/>
  <c r="F135" i="387" a="1"/>
  <c r="F135" i="387" s="1"/>
  <c r="E135" i="387" a="1"/>
  <c r="E135" i="387" s="1"/>
  <c r="C135" i="387" a="1"/>
  <c r="C135" i="387"/>
  <c r="G135" i="387" s="1"/>
  <c r="A135" i="387" a="1"/>
  <c r="A135" i="387" s="1"/>
  <c r="F134" i="387" a="1"/>
  <c r="F134" i="387" s="1"/>
  <c r="E134" i="387" a="1"/>
  <c r="E134" i="387" s="1"/>
  <c r="C134" i="387" a="1"/>
  <c r="C134" i="387"/>
  <c r="G134" i="387" s="1"/>
  <c r="A134" i="387" a="1"/>
  <c r="A134" i="387"/>
  <c r="F133" i="387" a="1"/>
  <c r="F133" i="387" s="1"/>
  <c r="E133" i="387" a="1"/>
  <c r="E133" i="387" s="1"/>
  <c r="C133" i="387" a="1"/>
  <c r="C133" i="387" s="1"/>
  <c r="G133" i="387" s="1"/>
  <c r="A133" i="387" a="1"/>
  <c r="A133" i="387"/>
  <c r="F132" i="387" a="1"/>
  <c r="F132" i="387" s="1"/>
  <c r="E132" i="387" a="1"/>
  <c r="E132" i="387" s="1"/>
  <c r="C132" i="387" a="1"/>
  <c r="C132" i="387"/>
  <c r="G132" i="387" s="1"/>
  <c r="A132" i="387" a="1"/>
  <c r="A132" i="387" s="1"/>
  <c r="F131" i="387" a="1"/>
  <c r="F131" i="387" s="1"/>
  <c r="E131" i="387" a="1"/>
  <c r="E131" i="387" s="1"/>
  <c r="C131" i="387" a="1"/>
  <c r="C131" i="387"/>
  <c r="G131" i="387"/>
  <c r="A131" i="387" a="1"/>
  <c r="A131" i="387"/>
  <c r="F130" i="387" a="1"/>
  <c r="F130" i="387" s="1"/>
  <c r="E130" i="387" a="1"/>
  <c r="E130" i="387" s="1"/>
  <c r="C130" i="387" a="1"/>
  <c r="C130" i="387"/>
  <c r="G130" i="387" s="1"/>
  <c r="A130" i="387" a="1"/>
  <c r="A130" i="387" s="1"/>
  <c r="F129" i="387" a="1"/>
  <c r="F129" i="387" s="1"/>
  <c r="E129" i="387" a="1"/>
  <c r="E129" i="387" s="1"/>
  <c r="C129" i="387" a="1"/>
  <c r="C129" i="387" s="1"/>
  <c r="G129" i="387" s="1"/>
  <c r="A129" i="387" a="1"/>
  <c r="A129" i="387" s="1"/>
  <c r="F128" i="387" a="1"/>
  <c r="F128" i="387" s="1"/>
  <c r="E128" i="387" a="1"/>
  <c r="E128" i="387" s="1"/>
  <c r="C128" i="387" a="1"/>
  <c r="C128" i="387"/>
  <c r="G128" i="387" s="1"/>
  <c r="A128" i="387" a="1"/>
  <c r="A128" i="387"/>
  <c r="F127" i="387" a="1"/>
  <c r="F127" i="387" s="1"/>
  <c r="E127" i="387" a="1"/>
  <c r="E127" i="387" s="1"/>
  <c r="C127" i="387" a="1"/>
  <c r="C127" i="387"/>
  <c r="G127" i="387" s="1"/>
  <c r="A127" i="387" a="1"/>
  <c r="A127" i="387"/>
  <c r="F126" i="387" a="1"/>
  <c r="F126" i="387" s="1"/>
  <c r="E126" i="387" a="1"/>
  <c r="E126" i="387" s="1"/>
  <c r="C126" i="387" a="1"/>
  <c r="C126" i="387" s="1"/>
  <c r="G126" i="387"/>
  <c r="A126" i="387" a="1"/>
  <c r="A126" i="387"/>
  <c r="F125" i="387" a="1"/>
  <c r="F125" i="387" s="1"/>
  <c r="E125" i="387" a="1"/>
  <c r="E125" i="387" s="1"/>
  <c r="C125" i="387" a="1"/>
  <c r="C125" i="387"/>
  <c r="G125" i="387" s="1"/>
  <c r="A125" i="387" a="1"/>
  <c r="A125" i="387"/>
  <c r="F124" i="387" a="1"/>
  <c r="F124" i="387" s="1"/>
  <c r="E124" i="387" a="1"/>
  <c r="E124" i="387" s="1"/>
  <c r="C124" i="387" a="1"/>
  <c r="C124" i="387" s="1"/>
  <c r="D124" i="387" s="1"/>
  <c r="A124" i="387" a="1"/>
  <c r="A124" i="387" s="1"/>
  <c r="F123" i="387" a="1"/>
  <c r="F123" i="387" s="1"/>
  <c r="E123" i="387" a="1"/>
  <c r="E123" i="387" s="1"/>
  <c r="C123" i="387" a="1"/>
  <c r="C123" i="387" s="1"/>
  <c r="G123" i="387"/>
  <c r="A123" i="387" a="1"/>
  <c r="A123" i="387"/>
  <c r="F122" i="387" a="1"/>
  <c r="F122" i="387" s="1"/>
  <c r="E122" i="387" a="1"/>
  <c r="E122" i="387" s="1"/>
  <c r="C122" i="387" a="1"/>
  <c r="C122" i="387" s="1"/>
  <c r="D122" i="387" s="1"/>
  <c r="A122" i="387" a="1"/>
  <c r="A122" i="387"/>
  <c r="F121" i="387" a="1"/>
  <c r="F121" i="387" s="1"/>
  <c r="E121" i="387" a="1"/>
  <c r="E121" i="387" s="1"/>
  <c r="C121" i="387" a="1"/>
  <c r="C121" i="387" s="1"/>
  <c r="G121" i="387" s="1"/>
  <c r="A121" i="387" a="1"/>
  <c r="A121" i="387"/>
  <c r="F120" i="387" a="1"/>
  <c r="F120" i="387" s="1"/>
  <c r="E120" i="387" a="1"/>
  <c r="E120" i="387" s="1"/>
  <c r="C120" i="387" a="1"/>
  <c r="C120" i="387"/>
  <c r="D120" i="387" s="1"/>
  <c r="A120" i="387" a="1"/>
  <c r="A120" i="387" s="1"/>
  <c r="F119" i="387" a="1"/>
  <c r="F119" i="387" s="1"/>
  <c r="E119" i="387" a="1"/>
  <c r="E119" i="387" s="1"/>
  <c r="C119" i="387" a="1"/>
  <c r="C119" i="387" s="1"/>
  <c r="G119" i="387"/>
  <c r="A119" i="387" a="1"/>
  <c r="A119" i="387"/>
  <c r="F118" i="387" a="1"/>
  <c r="F118" i="387" s="1"/>
  <c r="E118" i="387" a="1"/>
  <c r="E118" i="387" s="1"/>
  <c r="C118" i="387" a="1"/>
  <c r="C118" i="387" s="1"/>
  <c r="D118" i="387" s="1"/>
  <c r="A118" i="387" a="1"/>
  <c r="A118" i="387" s="1"/>
  <c r="F117" i="387" a="1"/>
  <c r="F117" i="387" s="1"/>
  <c r="E117" i="387" a="1"/>
  <c r="E117" i="387" s="1"/>
  <c r="C117" i="387" a="1"/>
  <c r="C117" i="387"/>
  <c r="G117" i="387"/>
  <c r="A117" i="387" a="1"/>
  <c r="A117" i="387"/>
  <c r="F116" i="387" a="1"/>
  <c r="F116" i="387" s="1"/>
  <c r="E116" i="387" a="1"/>
  <c r="E116" i="387" s="1"/>
  <c r="C116" i="387" a="1"/>
  <c r="C116" i="387"/>
  <c r="D116" i="387" s="1"/>
  <c r="A116" i="387" a="1"/>
  <c r="A116" i="387"/>
  <c r="F115" i="387" a="1"/>
  <c r="F115" i="387" s="1"/>
  <c r="E115" i="387" a="1"/>
  <c r="E115" i="387" s="1"/>
  <c r="C115" i="387" a="1"/>
  <c r="C115" i="387" s="1"/>
  <c r="G115" i="387"/>
  <c r="A115" i="387" a="1"/>
  <c r="A115" i="387"/>
  <c r="F114" i="387" a="1"/>
  <c r="F114" i="387" s="1"/>
  <c r="E114" i="387" a="1"/>
  <c r="E114" i="387" s="1"/>
  <c r="C114" i="387" a="1"/>
  <c r="C114" i="387"/>
  <c r="D114" i="387" s="1"/>
  <c r="A114" i="387" a="1"/>
  <c r="A114" i="387" s="1"/>
  <c r="F113" i="387" a="1"/>
  <c r="F113" i="387" s="1"/>
  <c r="E113" i="387" a="1"/>
  <c r="E113" i="387" s="1"/>
  <c r="C113" i="387" a="1"/>
  <c r="C113" i="387" s="1"/>
  <c r="G113" i="387" s="1"/>
  <c r="A113" i="387" a="1"/>
  <c r="A113" i="387"/>
  <c r="F112" i="387" a="1"/>
  <c r="F112" i="387" s="1"/>
  <c r="E112" i="387" a="1"/>
  <c r="E112" i="387" s="1"/>
  <c r="C112" i="387" a="1"/>
  <c r="C112" i="387"/>
  <c r="D112" i="387" s="1"/>
  <c r="A112" i="387" a="1"/>
  <c r="A112" i="387" s="1"/>
  <c r="F111" i="387" a="1"/>
  <c r="F111" i="387" s="1"/>
  <c r="E111" i="387" a="1"/>
  <c r="E111" i="387" s="1"/>
  <c r="C111" i="387" a="1"/>
  <c r="C111" i="387"/>
  <c r="G111" i="387"/>
  <c r="A111" i="387" a="1"/>
  <c r="A111" i="387" s="1"/>
  <c r="F110" i="387" a="1"/>
  <c r="F110" i="387" s="1"/>
  <c r="E110" i="387" a="1"/>
  <c r="E110" i="387" s="1"/>
  <c r="C110" i="387" a="1"/>
  <c r="C110" i="387" s="1"/>
  <c r="D110" i="387" s="1"/>
  <c r="A110" i="387" a="1"/>
  <c r="A110" i="387" s="1"/>
  <c r="F109" i="387" a="1"/>
  <c r="F109" i="387" s="1"/>
  <c r="E109" i="387" a="1"/>
  <c r="E109" i="387" s="1"/>
  <c r="C109" i="387" a="1"/>
  <c r="C109" i="387" s="1"/>
  <c r="G109" i="387" s="1"/>
  <c r="A109" i="387" a="1"/>
  <c r="A109" i="387" s="1"/>
  <c r="F108" i="387" a="1"/>
  <c r="F108" i="387" s="1"/>
  <c r="E108" i="387" a="1"/>
  <c r="E108" i="387" s="1"/>
  <c r="C108" i="387" a="1"/>
  <c r="C108" i="387" s="1"/>
  <c r="D108" i="387" s="1"/>
  <c r="A108" i="387" a="1"/>
  <c r="A108" i="387"/>
  <c r="F107" i="387" a="1"/>
  <c r="F107" i="387" s="1"/>
  <c r="E107" i="387" a="1"/>
  <c r="E107" i="387" s="1"/>
  <c r="C107" i="387" a="1"/>
  <c r="C107" i="387"/>
  <c r="G107" i="387" s="1"/>
  <c r="A107" i="387" a="1"/>
  <c r="A107" i="387"/>
  <c r="F106" i="387" a="1"/>
  <c r="F106" i="387" s="1"/>
  <c r="E106" i="387" a="1"/>
  <c r="E106" i="387" s="1"/>
  <c r="C106" i="387" a="1"/>
  <c r="C106" i="387" s="1"/>
  <c r="D106" i="387"/>
  <c r="A106" i="387" a="1"/>
  <c r="A106" i="387" s="1"/>
  <c r="F105" i="387" a="1"/>
  <c r="F105" i="387" s="1"/>
  <c r="E105" i="387" a="1"/>
  <c r="E105" i="387" s="1"/>
  <c r="C105" i="387" a="1"/>
  <c r="C105" i="387"/>
  <c r="G105" i="387" s="1"/>
  <c r="A105" i="387" a="1"/>
  <c r="A105" i="387" s="1"/>
  <c r="F104" i="387" a="1"/>
  <c r="F104" i="387" s="1"/>
  <c r="E104" i="387" a="1"/>
  <c r="E104" i="387" s="1"/>
  <c r="C104" i="387" a="1"/>
  <c r="C104" i="387"/>
  <c r="D104" i="387" s="1"/>
  <c r="A104" i="387" a="1"/>
  <c r="A104" i="387"/>
  <c r="F103" i="387" a="1"/>
  <c r="F103" i="387" s="1"/>
  <c r="E103" i="387" a="1"/>
  <c r="E103" i="387" s="1"/>
  <c r="C103" i="387" a="1"/>
  <c r="C103" i="387" s="1"/>
  <c r="G103" i="387" s="1"/>
  <c r="A103" i="387" a="1"/>
  <c r="A103" i="387" s="1"/>
  <c r="F102" i="387" a="1"/>
  <c r="F102" i="387" s="1"/>
  <c r="E102" i="387" a="1"/>
  <c r="E102" i="387" s="1"/>
  <c r="C102" i="387" a="1"/>
  <c r="C102" i="387" s="1"/>
  <c r="D102" i="387" s="1"/>
  <c r="A102" i="387" a="1"/>
  <c r="A102" i="387" s="1"/>
  <c r="F101" i="387" a="1"/>
  <c r="F101" i="387" s="1"/>
  <c r="E101" i="387" a="1"/>
  <c r="E101" i="387" s="1"/>
  <c r="C101" i="387" a="1"/>
  <c r="C101" i="387" s="1"/>
  <c r="G101" i="387" s="1"/>
  <c r="A101" i="387" a="1"/>
  <c r="A101" i="387"/>
  <c r="F100" i="387" a="1"/>
  <c r="F100" i="387" s="1"/>
  <c r="E100" i="387" a="1"/>
  <c r="E100" i="387" s="1"/>
  <c r="C100" i="387" a="1"/>
  <c r="C100" i="387"/>
  <c r="D100" i="387" s="1"/>
  <c r="A100" i="387" a="1"/>
  <c r="A100" i="387" s="1"/>
  <c r="F99" i="387" a="1"/>
  <c r="F99" i="387" s="1"/>
  <c r="E99" i="387" a="1"/>
  <c r="E99" i="387" s="1"/>
  <c r="C99" i="387" a="1"/>
  <c r="C99" i="387"/>
  <c r="G99" i="387"/>
  <c r="A99" i="387" a="1"/>
  <c r="A99" i="387" s="1"/>
  <c r="F98" i="387" a="1"/>
  <c r="F98" i="387" s="1"/>
  <c r="E98" i="387" a="1"/>
  <c r="E98" i="387" s="1"/>
  <c r="C98" i="387" a="1"/>
  <c r="C98" i="387"/>
  <c r="D98" i="387"/>
  <c r="A98" i="387" a="1"/>
  <c r="A98" i="387" s="1"/>
  <c r="F97" i="387" a="1"/>
  <c r="F97" i="387" s="1"/>
  <c r="E97" i="387" a="1"/>
  <c r="E97" i="387" s="1"/>
  <c r="C97" i="387" a="1"/>
  <c r="C97" i="387" s="1"/>
  <c r="G97" i="387" s="1"/>
  <c r="A97" i="387" a="1"/>
  <c r="A97" i="387"/>
  <c r="F96" i="387" a="1"/>
  <c r="F96" i="387" s="1"/>
  <c r="E96" i="387" a="1"/>
  <c r="E96" i="387" s="1"/>
  <c r="C96" i="387" a="1"/>
  <c r="C96" i="387"/>
  <c r="D96" i="387" s="1"/>
  <c r="A96" i="387" a="1"/>
  <c r="A96" i="387" s="1"/>
  <c r="F95" i="387" a="1"/>
  <c r="F95" i="387" s="1"/>
  <c r="E95" i="387" a="1"/>
  <c r="E95" i="387" s="1"/>
  <c r="C95" i="387" a="1"/>
  <c r="C95" i="387" s="1"/>
  <c r="G95" i="387" s="1"/>
  <c r="A95" i="387" a="1"/>
  <c r="A95" i="387"/>
  <c r="F94" i="387" a="1"/>
  <c r="F94" i="387" s="1"/>
  <c r="E94" i="387" a="1"/>
  <c r="E94" i="387" s="1"/>
  <c r="C94" i="387" a="1"/>
  <c r="C94" i="387"/>
  <c r="D94" i="387" s="1"/>
  <c r="A94" i="387" a="1"/>
  <c r="A94" i="387" s="1"/>
  <c r="F93" i="387" a="1"/>
  <c r="F93" i="387" s="1"/>
  <c r="E93" i="387" a="1"/>
  <c r="E93" i="387" s="1"/>
  <c r="C93" i="387" a="1"/>
  <c r="C93" i="387" s="1"/>
  <c r="A93" i="387" a="1"/>
  <c r="A93" i="387"/>
  <c r="F92" i="387" a="1"/>
  <c r="F92" i="387" s="1"/>
  <c r="E92" i="387" a="1"/>
  <c r="E92" i="387" s="1"/>
  <c r="C92" i="387" a="1"/>
  <c r="C92" i="387"/>
  <c r="D92" i="387"/>
  <c r="A92" i="387" a="1"/>
  <c r="A92" i="387" s="1"/>
  <c r="F91" i="387" a="1"/>
  <c r="F91" i="387" s="1"/>
  <c r="E91" i="387" a="1"/>
  <c r="E91" i="387" s="1"/>
  <c r="C91" i="387" a="1"/>
  <c r="C91" i="387" s="1"/>
  <c r="G91" i="387" s="1"/>
  <c r="A91" i="387" a="1"/>
  <c r="A91" i="387" s="1"/>
  <c r="F90" i="387" a="1"/>
  <c r="F90" i="387" s="1"/>
  <c r="E90" i="387" a="1"/>
  <c r="E90" i="387" s="1"/>
  <c r="C90" i="387" a="1"/>
  <c r="C90" i="387"/>
  <c r="D90" i="387"/>
  <c r="A90" i="387" a="1"/>
  <c r="A90" i="387"/>
  <c r="F89" i="387" a="1"/>
  <c r="F89" i="387" s="1"/>
  <c r="E89" i="387" a="1"/>
  <c r="E89" i="387" s="1"/>
  <c r="C89" i="387" a="1"/>
  <c r="C89" i="387" s="1"/>
  <c r="G89" i="387"/>
  <c r="A89" i="387" a="1"/>
  <c r="A89" i="387" s="1"/>
  <c r="F88" i="387" a="1"/>
  <c r="F88" i="387" s="1"/>
  <c r="E88" i="387" a="1"/>
  <c r="E88" i="387" s="1"/>
  <c r="C88" i="387" a="1"/>
  <c r="C88" i="387"/>
  <c r="D88" i="387"/>
  <c r="A88" i="387" a="1"/>
  <c r="A88" i="387"/>
  <c r="F87" i="387" a="1"/>
  <c r="F87" i="387" s="1"/>
  <c r="E87" i="387" a="1"/>
  <c r="E87" i="387" s="1"/>
  <c r="C87" i="387" a="1"/>
  <c r="C87" i="387" s="1"/>
  <c r="G87" i="387" s="1"/>
  <c r="A87" i="387" a="1"/>
  <c r="A87" i="387"/>
  <c r="F86" i="387" a="1"/>
  <c r="F86" i="387" s="1"/>
  <c r="E86" i="387" a="1"/>
  <c r="E86" i="387" s="1"/>
  <c r="C86" i="387" a="1"/>
  <c r="C86" i="387" s="1"/>
  <c r="D86" i="387" s="1"/>
  <c r="A86" i="387" a="1"/>
  <c r="A86" i="387"/>
  <c r="F85" i="387" a="1"/>
  <c r="F85" i="387" s="1"/>
  <c r="E85" i="387" a="1"/>
  <c r="E85" i="387" s="1"/>
  <c r="C85" i="387" a="1"/>
  <c r="C85" i="387"/>
  <c r="G85" i="387" s="1"/>
  <c r="A85" i="387" a="1"/>
  <c r="A85" i="387" s="1"/>
  <c r="F84" i="387" a="1"/>
  <c r="F84" i="387" s="1"/>
  <c r="E84" i="387" a="1"/>
  <c r="E84" i="387" s="1"/>
  <c r="C84" i="387" a="1"/>
  <c r="C84" i="387" s="1"/>
  <c r="D84" i="387" s="1"/>
  <c r="A84" i="387" a="1"/>
  <c r="A84" i="387" s="1"/>
  <c r="F83" i="387" a="1"/>
  <c r="F83" i="387" s="1"/>
  <c r="E83" i="387" a="1"/>
  <c r="E83" i="387" s="1"/>
  <c r="C83" i="387" a="1"/>
  <c r="C83" i="387" s="1"/>
  <c r="G83" i="387" s="1"/>
  <c r="A83" i="387" a="1"/>
  <c r="A83" i="387" s="1"/>
  <c r="F82" i="387" a="1"/>
  <c r="F82" i="387" s="1"/>
  <c r="E82" i="387" a="1"/>
  <c r="E82" i="387" s="1"/>
  <c r="C82" i="387" a="1"/>
  <c r="C82" i="387"/>
  <c r="D82" i="387" s="1"/>
  <c r="A82" i="387" a="1"/>
  <c r="A82" i="387"/>
  <c r="F81" i="387" a="1"/>
  <c r="F81" i="387" s="1"/>
  <c r="E81" i="387" a="1"/>
  <c r="E81" i="387" s="1"/>
  <c r="C81" i="387" a="1"/>
  <c r="C81" i="387"/>
  <c r="G81" i="387" s="1"/>
  <c r="A81" i="387" a="1"/>
  <c r="A81" i="387"/>
  <c r="F80" i="387" a="1"/>
  <c r="F80" i="387" s="1"/>
  <c r="E80" i="387" a="1"/>
  <c r="E80" i="387" s="1"/>
  <c r="C80" i="387" a="1"/>
  <c r="C80" i="387"/>
  <c r="D80" i="387"/>
  <c r="A80" i="387" a="1"/>
  <c r="A80" i="387" s="1"/>
  <c r="F79" i="387" a="1"/>
  <c r="F79" i="387" s="1"/>
  <c r="E79" i="387" a="1"/>
  <c r="E79" i="387" s="1"/>
  <c r="C79" i="387" a="1"/>
  <c r="C79" i="387"/>
  <c r="G79" i="387"/>
  <c r="A79" i="387" a="1"/>
  <c r="A79" i="387"/>
  <c r="F78" i="387" a="1"/>
  <c r="F78" i="387" s="1"/>
  <c r="E78" i="387" a="1"/>
  <c r="E78" i="387" s="1"/>
  <c r="C78" i="387" a="1"/>
  <c r="C78" i="387"/>
  <c r="D78" i="387" s="1"/>
  <c r="A78" i="387" a="1"/>
  <c r="A78" i="387"/>
  <c r="F77" i="387" a="1"/>
  <c r="F77" i="387" s="1"/>
  <c r="E77" i="387" a="1"/>
  <c r="E77" i="387" s="1"/>
  <c r="C77" i="387" a="1"/>
  <c r="C77" i="387"/>
  <c r="G77" i="387" s="1"/>
  <c r="A77" i="387" a="1"/>
  <c r="A77" i="387"/>
  <c r="F76" i="387" a="1"/>
  <c r="F76" i="387" s="1"/>
  <c r="E76" i="387" a="1"/>
  <c r="E76" i="387" s="1"/>
  <c r="C76" i="387" a="1"/>
  <c r="C76" i="387" s="1"/>
  <c r="D76" i="387" s="1"/>
  <c r="A76" i="387" a="1"/>
  <c r="A76" i="387" s="1"/>
  <c r="F75" i="387" a="1"/>
  <c r="F75" i="387" s="1"/>
  <c r="E75" i="387" a="1"/>
  <c r="E75" i="387" s="1"/>
  <c r="C75" i="387" a="1"/>
  <c r="C75" i="387" s="1"/>
  <c r="G75" i="387" s="1"/>
  <c r="A75" i="387" a="1"/>
  <c r="A75" i="387" s="1"/>
  <c r="F74" i="387" a="1"/>
  <c r="F74" i="387" s="1"/>
  <c r="E74" i="387" a="1"/>
  <c r="E74" i="387" s="1"/>
  <c r="C74" i="387" a="1"/>
  <c r="C74" i="387"/>
  <c r="D74" i="387"/>
  <c r="A74" i="387" a="1"/>
  <c r="A74" i="387"/>
  <c r="F73" i="387" a="1"/>
  <c r="F73" i="387" s="1"/>
  <c r="E73" i="387" a="1"/>
  <c r="E73" i="387" s="1"/>
  <c r="C73" i="387" a="1"/>
  <c r="C73" i="387"/>
  <c r="G73" i="387" s="1"/>
  <c r="A73" i="387" a="1"/>
  <c r="A73" i="387"/>
  <c r="F72" i="387" a="1"/>
  <c r="F72" i="387" s="1"/>
  <c r="E72" i="387" a="1"/>
  <c r="E72" i="387" s="1"/>
  <c r="C72" i="387" a="1"/>
  <c r="C72" i="387"/>
  <c r="G72" i="387" s="1"/>
  <c r="A72" i="387" a="1"/>
  <c r="A72" i="387" s="1"/>
  <c r="F71" i="387" a="1"/>
  <c r="F71" i="387" s="1"/>
  <c r="E71" i="387" a="1"/>
  <c r="E71" i="387" s="1"/>
  <c r="C71" i="387" a="1"/>
  <c r="C71" i="387"/>
  <c r="G71" i="387" s="1"/>
  <c r="A71" i="387" a="1"/>
  <c r="A71" i="387"/>
  <c r="F70" i="387" a="1"/>
  <c r="F70" i="387" s="1"/>
  <c r="E70" i="387" a="1"/>
  <c r="E70" i="387" s="1"/>
  <c r="C70" i="387" a="1"/>
  <c r="C70" i="387"/>
  <c r="G70" i="387" s="1"/>
  <c r="A70" i="387" a="1"/>
  <c r="A70" i="387" s="1"/>
  <c r="F69" i="387" a="1"/>
  <c r="F69" i="387" s="1"/>
  <c r="E69" i="387" a="1"/>
  <c r="E69" i="387" s="1"/>
  <c r="C69" i="387" a="1"/>
  <c r="C69" i="387"/>
  <c r="G69" i="387" s="1"/>
  <c r="A69" i="387" a="1"/>
  <c r="A69" i="387"/>
  <c r="F68" i="387" a="1"/>
  <c r="F68" i="387" s="1"/>
  <c r="E68" i="387" a="1"/>
  <c r="E68" i="387" s="1"/>
  <c r="C68" i="387" a="1"/>
  <c r="C68" i="387" s="1"/>
  <c r="G68" i="387" s="1"/>
  <c r="A68" i="387" a="1"/>
  <c r="A68" i="387"/>
  <c r="F67" i="387" a="1"/>
  <c r="F67" i="387" s="1"/>
  <c r="E67" i="387" a="1"/>
  <c r="E67" i="387" s="1"/>
  <c r="C67" i="387" a="1"/>
  <c r="C67" i="387"/>
  <c r="G67" i="387" s="1"/>
  <c r="A67" i="387" a="1"/>
  <c r="A67" i="387" s="1"/>
  <c r="F66" i="387" a="1"/>
  <c r="F66" i="387" s="1"/>
  <c r="E66" i="387" a="1"/>
  <c r="E66" i="387" s="1"/>
  <c r="C66" i="387" a="1"/>
  <c r="C66" i="387"/>
  <c r="G66" i="387"/>
  <c r="A66" i="387" a="1"/>
  <c r="A66" i="387" s="1"/>
  <c r="F65" i="387" a="1"/>
  <c r="F65" i="387" s="1"/>
  <c r="E65" i="387" a="1"/>
  <c r="E65" i="387" s="1"/>
  <c r="C65" i="387" a="1"/>
  <c r="C65" i="387" s="1"/>
  <c r="G65" i="387"/>
  <c r="A65" i="387" a="1"/>
  <c r="A65" i="387"/>
  <c r="F64" i="387" a="1"/>
  <c r="F64" i="387" s="1"/>
  <c r="E64" i="387" a="1"/>
  <c r="E64" i="387" s="1"/>
  <c r="C64" i="387" a="1"/>
  <c r="C64" i="387"/>
  <c r="G64" i="387"/>
  <c r="A64" i="387" a="1"/>
  <c r="A64" i="387"/>
  <c r="F63" i="387" a="1"/>
  <c r="F63" i="387" s="1"/>
  <c r="E63" i="387" a="1"/>
  <c r="E63" i="387" s="1"/>
  <c r="C63" i="387" a="1"/>
  <c r="C63" i="387"/>
  <c r="G63" i="387"/>
  <c r="A63" i="387" a="1"/>
  <c r="A63" i="387"/>
  <c r="F62" i="387" a="1"/>
  <c r="F62" i="387" s="1"/>
  <c r="E62" i="387" a="1"/>
  <c r="E62" i="387" s="1"/>
  <c r="C62" i="387" a="1"/>
  <c r="C62" i="387"/>
  <c r="G62" i="387" s="1"/>
  <c r="A62" i="387" a="1"/>
  <c r="A62" i="387"/>
  <c r="F61" i="387" a="1"/>
  <c r="F61" i="387" s="1"/>
  <c r="E61" i="387" a="1"/>
  <c r="E61" i="387" s="1"/>
  <c r="C61" i="387" a="1"/>
  <c r="C61" i="387" s="1"/>
  <c r="G61" i="387" s="1"/>
  <c r="A61" i="387" a="1"/>
  <c r="A61" i="387"/>
  <c r="F60" i="387" a="1"/>
  <c r="F60" i="387" s="1"/>
  <c r="E60" i="387" a="1"/>
  <c r="E60" i="387" s="1"/>
  <c r="C60" i="387" a="1"/>
  <c r="C60" i="387"/>
  <c r="G60" i="387" s="1"/>
  <c r="A60" i="387" a="1"/>
  <c r="A60" i="387" s="1"/>
  <c r="F59" i="387" a="1"/>
  <c r="F59" i="387" s="1"/>
  <c r="E59" i="387" a="1"/>
  <c r="E59" i="387" s="1"/>
  <c r="C59" i="387" a="1"/>
  <c r="C59" i="387"/>
  <c r="G59" i="387"/>
  <c r="A59" i="387" a="1"/>
  <c r="A59" i="387" s="1"/>
  <c r="F58" i="387" a="1"/>
  <c r="F58" i="387" s="1"/>
  <c r="E58" i="387" a="1"/>
  <c r="E58" i="387" s="1"/>
  <c r="C58" i="387" a="1"/>
  <c r="C58" i="387"/>
  <c r="G58" i="387"/>
  <c r="A58" i="387" a="1"/>
  <c r="A58" i="387" s="1"/>
  <c r="F57" i="387" a="1"/>
  <c r="F57" i="387" s="1"/>
  <c r="E57" i="387" a="1"/>
  <c r="E57" i="387" s="1"/>
  <c r="C57" i="387" a="1"/>
  <c r="C57" i="387"/>
  <c r="G57" i="387" s="1"/>
  <c r="A57" i="387" a="1"/>
  <c r="A57" i="387"/>
  <c r="F56" i="387" a="1"/>
  <c r="F56" i="387" s="1"/>
  <c r="E56" i="387" a="1"/>
  <c r="E56" i="387" s="1"/>
  <c r="C56" i="387" a="1"/>
  <c r="C56" i="387"/>
  <c r="G56" i="387" s="1"/>
  <c r="A56" i="387" a="1"/>
  <c r="A56" i="387"/>
  <c r="F55" i="387" a="1"/>
  <c r="F55" i="387" s="1"/>
  <c r="E55" i="387" a="1"/>
  <c r="E55" i="387" s="1"/>
  <c r="C55" i="387" a="1"/>
  <c r="C55" i="387"/>
  <c r="G55" i="387" s="1"/>
  <c r="A55" i="387" a="1"/>
  <c r="A55" i="387"/>
  <c r="F54" i="387" a="1"/>
  <c r="F54" i="387" s="1"/>
  <c r="E54" i="387" a="1"/>
  <c r="E54" i="387" s="1"/>
  <c r="C54" i="387" a="1"/>
  <c r="C54" i="387" s="1"/>
  <c r="G54" i="387" s="1"/>
  <c r="A54" i="387" a="1"/>
  <c r="A54" i="387" s="1"/>
  <c r="F53" i="387" a="1"/>
  <c r="F53" i="387" s="1"/>
  <c r="E53" i="387" a="1"/>
  <c r="E53" i="387" s="1"/>
  <c r="C53" i="387" a="1"/>
  <c r="C53" i="387"/>
  <c r="G53" i="387"/>
  <c r="A53" i="387" a="1"/>
  <c r="A53" i="387"/>
  <c r="F52" i="387" a="1"/>
  <c r="F52" i="387" s="1"/>
  <c r="E52" i="387" a="1"/>
  <c r="E52" i="387" s="1"/>
  <c r="C52" i="387" a="1"/>
  <c r="C52" i="387" s="1"/>
  <c r="G52" i="387" s="1"/>
  <c r="A52" i="387" a="1"/>
  <c r="A52" i="387" s="1"/>
  <c r="F51" i="387" a="1"/>
  <c r="F51" i="387" s="1"/>
  <c r="E51" i="387" a="1"/>
  <c r="E51" i="387" s="1"/>
  <c r="C51" i="387" a="1"/>
  <c r="C51" i="387" s="1"/>
  <c r="G51" i="387" s="1"/>
  <c r="A51" i="387" a="1"/>
  <c r="A51" i="387"/>
  <c r="F50" i="387" a="1"/>
  <c r="F50" i="387" s="1"/>
  <c r="E50" i="387" a="1"/>
  <c r="E50" i="387" s="1"/>
  <c r="C50" i="387" a="1"/>
  <c r="C50" i="387"/>
  <c r="G50" i="387"/>
  <c r="A50" i="387" a="1"/>
  <c r="A50" i="387"/>
  <c r="F49" i="387" a="1"/>
  <c r="F49" i="387" s="1"/>
  <c r="E49" i="387" a="1"/>
  <c r="E49" i="387" s="1"/>
  <c r="C49" i="387" a="1"/>
  <c r="C49" i="387"/>
  <c r="G49" i="387"/>
  <c r="A49" i="387" a="1"/>
  <c r="A49" i="387"/>
  <c r="F48" i="387" a="1"/>
  <c r="F48" i="387" s="1"/>
  <c r="E48" i="387" a="1"/>
  <c r="E48" i="387" s="1"/>
  <c r="C48" i="387" a="1"/>
  <c r="C48" i="387"/>
  <c r="G48" i="387" s="1"/>
  <c r="A48" i="387" a="1"/>
  <c r="A48" i="387"/>
  <c r="F47" i="387" a="1"/>
  <c r="F47" i="387" s="1"/>
  <c r="E47" i="387" a="1"/>
  <c r="E47" i="387" s="1"/>
  <c r="C47" i="387" a="1"/>
  <c r="C47" i="387" s="1"/>
  <c r="G47" i="387" s="1"/>
  <c r="A47" i="387" a="1"/>
  <c r="A47" i="387"/>
  <c r="F46" i="387" a="1"/>
  <c r="F46" i="387" s="1"/>
  <c r="E46" i="387" a="1"/>
  <c r="E46" i="387" s="1"/>
  <c r="C46" i="387" a="1"/>
  <c r="C46" i="387"/>
  <c r="G46" i="387" s="1"/>
  <c r="A46" i="387" a="1"/>
  <c r="A46" i="387" s="1"/>
  <c r="F45" i="387" a="1"/>
  <c r="F45" i="387" s="1"/>
  <c r="E45" i="387" a="1"/>
  <c r="E45" i="387" s="1"/>
  <c r="C45" i="387" a="1"/>
  <c r="C45" i="387"/>
  <c r="G45" i="387"/>
  <c r="A45" i="387" a="1"/>
  <c r="A45" i="387" s="1"/>
  <c r="F44" i="387" a="1"/>
  <c r="F44" i="387" s="1"/>
  <c r="E44" i="387" a="1"/>
  <c r="E44" i="387" s="1"/>
  <c r="C44" i="387" a="1"/>
  <c r="C44" i="387"/>
  <c r="G44" i="387"/>
  <c r="A44" i="387" a="1"/>
  <c r="A44" i="387" s="1"/>
  <c r="F43" i="387" a="1"/>
  <c r="F43" i="387" s="1"/>
  <c r="E43" i="387" a="1"/>
  <c r="E43" i="387" s="1"/>
  <c r="C43" i="387" a="1"/>
  <c r="C43" i="387"/>
  <c r="G43" i="387" s="1"/>
  <c r="A43" i="387" a="1"/>
  <c r="A43" i="387"/>
  <c r="F42" i="387" a="1"/>
  <c r="F42" i="387" s="1"/>
  <c r="E42" i="387" a="1"/>
  <c r="E42" i="387" s="1"/>
  <c r="C42" i="387" a="1"/>
  <c r="C42" i="387"/>
  <c r="G42" i="387" s="1"/>
  <c r="A42" i="387" a="1"/>
  <c r="A42" i="387"/>
  <c r="F41" i="387" a="1"/>
  <c r="F41" i="387" s="1"/>
  <c r="E41" i="387" a="1"/>
  <c r="E41" i="387" s="1"/>
  <c r="C41" i="387" a="1"/>
  <c r="C41" i="387" s="1"/>
  <c r="G41" i="387" s="1"/>
  <c r="A41" i="387" a="1"/>
  <c r="A41" i="387" s="1"/>
  <c r="F40" i="387" a="1"/>
  <c r="F40" i="387" s="1"/>
  <c r="E40" i="387" a="1"/>
  <c r="E40" i="387" s="1"/>
  <c r="C40" i="387" a="1"/>
  <c r="C40" i="387" s="1"/>
  <c r="G40" i="387" s="1"/>
  <c r="A40" i="387" a="1"/>
  <c r="A40" i="387" s="1"/>
  <c r="F39" i="387" a="1"/>
  <c r="F39" i="387" s="1"/>
  <c r="E39" i="387" a="1"/>
  <c r="E39" i="387" s="1"/>
  <c r="C39" i="387" a="1"/>
  <c r="C39" i="387" s="1"/>
  <c r="G39" i="387" s="1"/>
  <c r="A39" i="387" a="1"/>
  <c r="A39" i="387"/>
  <c r="F38" i="387" a="1"/>
  <c r="F38" i="387" s="1"/>
  <c r="E38" i="387" a="1"/>
  <c r="E38" i="387" s="1"/>
  <c r="C38" i="387" a="1"/>
  <c r="C38" i="387"/>
  <c r="D38" i="387" s="1"/>
  <c r="A38" i="387" a="1"/>
  <c r="A38" i="387"/>
  <c r="F37" i="387" a="1"/>
  <c r="F37" i="387" s="1"/>
  <c r="E37" i="387" a="1"/>
  <c r="E37" i="387" s="1"/>
  <c r="C37" i="387" a="1"/>
  <c r="C37" i="387"/>
  <c r="G37" i="387"/>
  <c r="A37" i="387" a="1"/>
  <c r="A37" i="387"/>
  <c r="F36" i="387" a="1"/>
  <c r="F36" i="387" s="1"/>
  <c r="E36" i="387" a="1"/>
  <c r="E36" i="387" s="1"/>
  <c r="C36" i="387" a="1"/>
  <c r="C36" i="387" s="1"/>
  <c r="G36" i="387" s="1"/>
  <c r="A36" i="387" a="1"/>
  <c r="A36" i="387" s="1"/>
  <c r="F35" i="387" a="1"/>
  <c r="F35" i="387" s="1"/>
  <c r="E35" i="387" a="1"/>
  <c r="E35" i="387" s="1"/>
  <c r="C35" i="387" a="1"/>
  <c r="C35" i="387" s="1"/>
  <c r="G35" i="387" s="1"/>
  <c r="A35" i="387" a="1"/>
  <c r="A35" i="387"/>
  <c r="F34" i="387" a="1"/>
  <c r="F34" i="387" s="1"/>
  <c r="E34" i="387" a="1"/>
  <c r="E34" i="387" s="1"/>
  <c r="C34" i="387" a="1"/>
  <c r="C34" i="387"/>
  <c r="G34" i="387"/>
  <c r="A34" i="387" a="1"/>
  <c r="A34" i="387"/>
  <c r="F33" i="387" a="1"/>
  <c r="F33" i="387" s="1"/>
  <c r="E33" i="387" a="1"/>
  <c r="E33" i="387" s="1"/>
  <c r="C33" i="387" a="1"/>
  <c r="C33" i="387"/>
  <c r="G33" i="387"/>
  <c r="A33" i="387" a="1"/>
  <c r="A33" i="387"/>
  <c r="F32" i="387" a="1"/>
  <c r="F32" i="387" s="1"/>
  <c r="E32" i="387" a="1"/>
  <c r="E32" i="387" s="1"/>
  <c r="C32" i="387" a="1"/>
  <c r="C32" i="387"/>
  <c r="G32" i="387" s="1"/>
  <c r="A32" i="387" a="1"/>
  <c r="A32" i="387"/>
  <c r="F31" i="387" a="1"/>
  <c r="F31" i="387" s="1"/>
  <c r="E31" i="387" a="1"/>
  <c r="E31" i="387" s="1"/>
  <c r="C31" i="387" a="1"/>
  <c r="C31" i="387" s="1"/>
  <c r="G31" i="387" s="1"/>
  <c r="A31" i="387" a="1"/>
  <c r="A31" i="387"/>
  <c r="F30" i="387" a="1"/>
  <c r="F30" i="387" s="1"/>
  <c r="E30" i="387" a="1"/>
  <c r="E30" i="387" s="1"/>
  <c r="C30" i="387" a="1"/>
  <c r="C30" i="387"/>
  <c r="G30" i="387" s="1"/>
  <c r="A30" i="387" a="1"/>
  <c r="A30" i="387" s="1"/>
  <c r="F29" i="387" a="1"/>
  <c r="F29" i="387" s="1"/>
  <c r="E29" i="387" a="1"/>
  <c r="E29" i="387" s="1"/>
  <c r="C29" i="387" a="1"/>
  <c r="C29" i="387"/>
  <c r="G29" i="387"/>
  <c r="A29" i="387" a="1"/>
  <c r="A29" i="387" s="1"/>
  <c r="F28" i="387" a="1"/>
  <c r="F28" i="387" s="1"/>
  <c r="E28" i="387" a="1"/>
  <c r="E28" i="387" s="1"/>
  <c r="C28" i="387" a="1"/>
  <c r="C28" i="387"/>
  <c r="G28" i="387"/>
  <c r="A28" i="387" a="1"/>
  <c r="A28" i="387" s="1"/>
  <c r="F27" i="387" a="1"/>
  <c r="F27" i="387" s="1"/>
  <c r="E27" i="387" a="1"/>
  <c r="E27" i="387" s="1"/>
  <c r="C27" i="387" a="1"/>
  <c r="C27" i="387"/>
  <c r="G27" i="387" s="1"/>
  <c r="A27" i="387" a="1"/>
  <c r="A27" i="387"/>
  <c r="F26" i="387" a="1"/>
  <c r="F26" i="387" s="1"/>
  <c r="E26" i="387" a="1"/>
  <c r="E26" i="387" s="1"/>
  <c r="C26" i="387" a="1"/>
  <c r="C26" i="387"/>
  <c r="G26" i="387" s="1"/>
  <c r="A26" i="387" a="1"/>
  <c r="A26" i="387"/>
  <c r="F25" i="387" a="1"/>
  <c r="F25" i="387" s="1"/>
  <c r="E25" i="387" a="1"/>
  <c r="E25" i="387" s="1"/>
  <c r="C25" i="387" a="1"/>
  <c r="C25" i="387" s="1"/>
  <c r="G25" i="387" s="1"/>
  <c r="A25" i="387" a="1"/>
  <c r="A25" i="387" s="1"/>
  <c r="F24" i="387" a="1"/>
  <c r="F24" i="387" s="1"/>
  <c r="E24" i="387" a="1"/>
  <c r="E24" i="387" s="1"/>
  <c r="C24" i="387" a="1"/>
  <c r="C24" i="387" s="1"/>
  <c r="G24" i="387" s="1"/>
  <c r="A24" i="387" a="1"/>
  <c r="A24" i="387" s="1"/>
  <c r="F23" i="387" a="1"/>
  <c r="F23" i="387" s="1"/>
  <c r="E23" i="387" a="1"/>
  <c r="E23" i="387" s="1"/>
  <c r="C23" i="387" a="1"/>
  <c r="C23" i="387" s="1"/>
  <c r="G23" i="387" s="1"/>
  <c r="A23" i="387" a="1"/>
  <c r="A23" i="387"/>
  <c r="F22" i="387" a="1"/>
  <c r="F22" i="387" s="1"/>
  <c r="E22" i="387" a="1"/>
  <c r="E22" i="387" s="1"/>
  <c r="C22" i="387" a="1"/>
  <c r="C22" i="387"/>
  <c r="G22" i="387" s="1"/>
  <c r="A22" i="387" a="1"/>
  <c r="A22" i="387"/>
  <c r="F21" i="387" a="1"/>
  <c r="F21" i="387" s="1"/>
  <c r="E21" i="387" a="1"/>
  <c r="E21" i="387" s="1"/>
  <c r="C21" i="387" a="1"/>
  <c r="C21" i="387"/>
  <c r="G21" i="387"/>
  <c r="A21" i="387" a="1"/>
  <c r="A21" i="387"/>
  <c r="F20" i="387" a="1"/>
  <c r="F20" i="387" s="1"/>
  <c r="E20" i="387" a="1"/>
  <c r="E20" i="387" s="1"/>
  <c r="C20" i="387" a="1"/>
  <c r="C20" i="387" s="1"/>
  <c r="G20" i="387" s="1"/>
  <c r="A20" i="387" a="1"/>
  <c r="A20" i="387" s="1"/>
  <c r="F19" i="387" a="1"/>
  <c r="F19" i="387" s="1"/>
  <c r="E19" i="387" a="1"/>
  <c r="E19" i="387" s="1"/>
  <c r="C19" i="387" a="1"/>
  <c r="C19" i="387" s="1"/>
  <c r="G19" i="387" s="1"/>
  <c r="A19" i="387" a="1"/>
  <c r="A19" i="387"/>
  <c r="F18" i="387" a="1"/>
  <c r="F18" i="387" s="1"/>
  <c r="E18" i="387" a="1"/>
  <c r="E18" i="387" s="1"/>
  <c r="C18" i="387" a="1"/>
  <c r="C18" i="387"/>
  <c r="G18" i="387"/>
  <c r="A18" i="387" a="1"/>
  <c r="A18" i="387"/>
  <c r="F17" i="387" a="1"/>
  <c r="F17" i="387" s="1"/>
  <c r="E17" i="387" a="1"/>
  <c r="E17" i="387" s="1"/>
  <c r="C17" i="387" a="1"/>
  <c r="C17" i="387"/>
  <c r="G17" i="387"/>
  <c r="A17" i="387" a="1"/>
  <c r="A17" i="387"/>
  <c r="F16" i="387" a="1"/>
  <c r="F16" i="387" s="1"/>
  <c r="E16" i="387" a="1"/>
  <c r="E16" i="387" s="1"/>
  <c r="C16" i="387" a="1"/>
  <c r="C16" i="387"/>
  <c r="G16" i="387" s="1"/>
  <c r="A16" i="387" a="1"/>
  <c r="A16" i="387"/>
  <c r="F15" i="387" a="1"/>
  <c r="F15" i="387" s="1"/>
  <c r="E15" i="387" a="1"/>
  <c r="E15" i="387" s="1"/>
  <c r="C15" i="387" a="1"/>
  <c r="C15" i="387" s="1"/>
  <c r="G15" i="387" s="1"/>
  <c r="A15" i="387" a="1"/>
  <c r="A15" i="387"/>
  <c r="F14" i="387" a="1"/>
  <c r="F14" i="387" s="1"/>
  <c r="E14" i="387" a="1"/>
  <c r="E14" i="387" s="1"/>
  <c r="C14" i="387" a="1"/>
  <c r="C14" i="387"/>
  <c r="G14" i="387" s="1"/>
  <c r="A14" i="387" a="1"/>
  <c r="A14" i="387" s="1"/>
  <c r="F13" i="387" a="1"/>
  <c r="F13" i="387" s="1"/>
  <c r="E13" i="387" a="1"/>
  <c r="E13" i="387" s="1"/>
  <c r="C13" i="387" a="1"/>
  <c r="C13" i="387"/>
  <c r="G13" i="387"/>
  <c r="A13" i="387" a="1"/>
  <c r="A13" i="387" s="1"/>
  <c r="F12" i="387" a="1"/>
  <c r="F12" i="387" s="1"/>
  <c r="E12" i="387" a="1"/>
  <c r="E12" i="387" s="1"/>
  <c r="C12" i="387" a="1"/>
  <c r="C12" i="387"/>
  <c r="G12" i="387"/>
  <c r="A12" i="387" a="1"/>
  <c r="A12" i="387" s="1"/>
  <c r="F11" i="387" a="1"/>
  <c r="F11" i="387" s="1"/>
  <c r="E11" i="387" a="1"/>
  <c r="E11" i="387" s="1"/>
  <c r="C11" i="387" a="1"/>
  <c r="C11" i="387"/>
  <c r="G11" i="387" s="1"/>
  <c r="A11" i="387" a="1"/>
  <c r="A11" i="387"/>
  <c r="F10" i="387" a="1"/>
  <c r="F10" i="387" s="1"/>
  <c r="E10" i="387" a="1"/>
  <c r="E10" i="387" s="1"/>
  <c r="C10" i="387" a="1"/>
  <c r="C10" i="387"/>
  <c r="G10" i="387" s="1"/>
  <c r="A10" i="387" a="1"/>
  <c r="A10" i="387"/>
  <c r="A6" i="387"/>
  <c r="F321" i="335"/>
  <c r="E321" i="335"/>
  <c r="C321" i="335" a="1"/>
  <c r="C321" i="335"/>
  <c r="G321" i="335"/>
  <c r="A321" i="335" a="1"/>
  <c r="A321" i="335"/>
  <c r="F320" i="335"/>
  <c r="E320" i="335"/>
  <c r="C320" i="335" a="1"/>
  <c r="C320" i="335"/>
  <c r="G320" i="335"/>
  <c r="A320" i="335" a="1"/>
  <c r="A320" i="335"/>
  <c r="F319" i="335"/>
  <c r="E319" i="335"/>
  <c r="C319" i="335" a="1"/>
  <c r="C319" i="335"/>
  <c r="G319" i="335" s="1"/>
  <c r="A319" i="335" a="1"/>
  <c r="A319" i="335"/>
  <c r="F318" i="335"/>
  <c r="E318" i="335"/>
  <c r="C318" i="335" a="1"/>
  <c r="C318" i="335" s="1"/>
  <c r="G318" i="335" s="1"/>
  <c r="A318" i="335" a="1"/>
  <c r="A318" i="335"/>
  <c r="F317" i="335"/>
  <c r="E317" i="335"/>
  <c r="C317" i="335" a="1"/>
  <c r="C317" i="335"/>
  <c r="G317" i="335" s="1"/>
  <c r="A317" i="335" a="1"/>
  <c r="A317" i="335" s="1"/>
  <c r="F316" i="335"/>
  <c r="E316" i="335"/>
  <c r="C316" i="335" a="1"/>
  <c r="C316" i="335"/>
  <c r="G316" i="335"/>
  <c r="A316" i="335" a="1"/>
  <c r="A316" i="335" s="1"/>
  <c r="F315" i="335"/>
  <c r="E315" i="335"/>
  <c r="C315" i="335" a="1"/>
  <c r="C315" i="335"/>
  <c r="G315" i="335"/>
  <c r="A315" i="335" a="1"/>
  <c r="A315" i="335" s="1"/>
  <c r="F314" i="335"/>
  <c r="E314" i="335"/>
  <c r="C314" i="335" a="1"/>
  <c r="C314" i="335"/>
  <c r="G314" i="335" s="1"/>
  <c r="A314" i="335" a="1"/>
  <c r="A314" i="335"/>
  <c r="F313" i="335"/>
  <c r="E313" i="335"/>
  <c r="C313" i="335" a="1"/>
  <c r="C313" i="335"/>
  <c r="G313" i="335" s="1"/>
  <c r="A313" i="335" a="1"/>
  <c r="A313" i="335"/>
  <c r="F312" i="335"/>
  <c r="E312" i="335"/>
  <c r="C312" i="335" a="1"/>
  <c r="C312" i="335" s="1"/>
  <c r="G312" i="335" s="1"/>
  <c r="A312" i="335" a="1"/>
  <c r="A312" i="335" s="1"/>
  <c r="F311" i="335"/>
  <c r="E311" i="335"/>
  <c r="C311" i="335" a="1"/>
  <c r="C311" i="335" s="1"/>
  <c r="G311" i="335" s="1"/>
  <c r="A311" i="335" a="1"/>
  <c r="A311" i="335" s="1"/>
  <c r="F310" i="335"/>
  <c r="E310" i="335"/>
  <c r="C310" i="335" a="1"/>
  <c r="C310" i="335" s="1"/>
  <c r="G310" i="335" s="1"/>
  <c r="A310" i="335" a="1"/>
  <c r="A310" i="335"/>
  <c r="F309" i="335"/>
  <c r="E309" i="335"/>
  <c r="C309" i="335" a="1"/>
  <c r="C309" i="335"/>
  <c r="G309" i="335" s="1"/>
  <c r="A309" i="335" a="1"/>
  <c r="A309" i="335"/>
  <c r="F308" i="335"/>
  <c r="E308" i="335"/>
  <c r="C308" i="335" a="1"/>
  <c r="C308" i="335"/>
  <c r="G308" i="335"/>
  <c r="A308" i="335" a="1"/>
  <c r="A308" i="335"/>
  <c r="F307" i="335"/>
  <c r="E307" i="335"/>
  <c r="C307" i="335" a="1"/>
  <c r="C307" i="335" s="1"/>
  <c r="G307" i="335" s="1"/>
  <c r="A307" i="335" a="1"/>
  <c r="A307" i="335" s="1"/>
  <c r="F306" i="335"/>
  <c r="E306" i="335"/>
  <c r="C306" i="335" a="1"/>
  <c r="C306" i="335" s="1"/>
  <c r="G306" i="335" s="1"/>
  <c r="A306" i="335" a="1"/>
  <c r="A306" i="335"/>
  <c r="F305" i="335"/>
  <c r="E305" i="335"/>
  <c r="C305" i="335" a="1"/>
  <c r="C305" i="335"/>
  <c r="G305" i="335"/>
  <c r="A305" i="335" a="1"/>
  <c r="A305" i="335"/>
  <c r="F304" i="335"/>
  <c r="E304" i="335"/>
  <c r="C304" i="335" a="1"/>
  <c r="C304" i="335"/>
  <c r="G304" i="335"/>
  <c r="A304" i="335" a="1"/>
  <c r="A304" i="335"/>
  <c r="F303" i="335"/>
  <c r="E303" i="335"/>
  <c r="C303" i="335" a="1"/>
  <c r="C303" i="335"/>
  <c r="G303" i="335" s="1"/>
  <c r="A303" i="335" a="1"/>
  <c r="A303" i="335"/>
  <c r="F302" i="335"/>
  <c r="E302" i="335"/>
  <c r="C302" i="335" a="1"/>
  <c r="C302" i="335" s="1"/>
  <c r="G302" i="335" s="1"/>
  <c r="A302" i="335" a="1"/>
  <c r="A302" i="335"/>
  <c r="F301" i="335"/>
  <c r="E301" i="335"/>
  <c r="C301" i="335" a="1"/>
  <c r="C301" i="335"/>
  <c r="G301" i="335" s="1"/>
  <c r="A301" i="335" a="1"/>
  <c r="A301" i="335" s="1"/>
  <c r="F300" i="335"/>
  <c r="E300" i="335"/>
  <c r="C300" i="335" a="1"/>
  <c r="C300" i="335"/>
  <c r="G300" i="335"/>
  <c r="A300" i="335" a="1"/>
  <c r="A300" i="335" s="1"/>
  <c r="F299" i="335"/>
  <c r="E299" i="335"/>
  <c r="C299" i="335" a="1"/>
  <c r="C299" i="335"/>
  <c r="G299" i="335"/>
  <c r="A299" i="335" a="1"/>
  <c r="A299" i="335" s="1"/>
  <c r="F298" i="335"/>
  <c r="E298" i="335"/>
  <c r="C298" i="335" a="1"/>
  <c r="C298" i="335"/>
  <c r="G298" i="335" s="1"/>
  <c r="A298" i="335" a="1"/>
  <c r="A298" i="335"/>
  <c r="F297" i="335"/>
  <c r="E297" i="335"/>
  <c r="C297" i="335" a="1"/>
  <c r="C297" i="335"/>
  <c r="G297" i="335" s="1"/>
  <c r="A297" i="335" a="1"/>
  <c r="A297" i="335"/>
  <c r="F296" i="335"/>
  <c r="E296" i="335"/>
  <c r="C296" i="335" a="1"/>
  <c r="C296" i="335" s="1"/>
  <c r="G296" i="335" s="1"/>
  <c r="A296" i="335" a="1"/>
  <c r="A296" i="335" s="1"/>
  <c r="F295" i="335"/>
  <c r="E295" i="335"/>
  <c r="C295" i="335" a="1"/>
  <c r="C295" i="335" s="1"/>
  <c r="G295" i="335" s="1"/>
  <c r="A295" i="335" a="1"/>
  <c r="A295" i="335" s="1"/>
  <c r="F294" i="335"/>
  <c r="E294" i="335"/>
  <c r="C294" i="335" a="1"/>
  <c r="C294" i="335" s="1"/>
  <c r="G294" i="335" s="1"/>
  <c r="A294" i="335" a="1"/>
  <c r="A294" i="335"/>
  <c r="F293" i="335"/>
  <c r="E293" i="335"/>
  <c r="C293" i="335" a="1"/>
  <c r="C293" i="335"/>
  <c r="G293" i="335" s="1"/>
  <c r="A293" i="335" a="1"/>
  <c r="A293" i="335"/>
  <c r="F292" i="335"/>
  <c r="E292" i="335"/>
  <c r="C292" i="335" a="1"/>
  <c r="C292" i="335"/>
  <c r="G292" i="335"/>
  <c r="A292" i="335" a="1"/>
  <c r="A292" i="335"/>
  <c r="F291" i="335"/>
  <c r="E291" i="335"/>
  <c r="C291" i="335" a="1"/>
  <c r="C291" i="335" s="1"/>
  <c r="G291" i="335" s="1"/>
  <c r="A291" i="335" a="1"/>
  <c r="A291" i="335" s="1"/>
  <c r="F290" i="335"/>
  <c r="E290" i="335"/>
  <c r="C290" i="335" a="1"/>
  <c r="C290" i="335" s="1"/>
  <c r="G290" i="335" s="1"/>
  <c r="A290" i="335" a="1"/>
  <c r="A290" i="335"/>
  <c r="F289" i="335"/>
  <c r="E289" i="335"/>
  <c r="C289" i="335" a="1"/>
  <c r="C289" i="335"/>
  <c r="G289" i="335"/>
  <c r="A289" i="335" a="1"/>
  <c r="A289" i="335"/>
  <c r="F288" i="335"/>
  <c r="E288" i="335"/>
  <c r="C288" i="335" a="1"/>
  <c r="C288" i="335"/>
  <c r="G288" i="335"/>
  <c r="A288" i="335" a="1"/>
  <c r="A288" i="335"/>
  <c r="F287" i="335"/>
  <c r="E287" i="335"/>
  <c r="C287" i="335" a="1"/>
  <c r="C287" i="335"/>
  <c r="G287" i="335" s="1"/>
  <c r="A287" i="335" a="1"/>
  <c r="A287" i="335"/>
  <c r="F286" i="335"/>
  <c r="E286" i="335"/>
  <c r="C286" i="335" a="1"/>
  <c r="C286" i="335" s="1"/>
  <c r="G286" i="335" s="1"/>
  <c r="A286" i="335" a="1"/>
  <c r="A286" i="335"/>
  <c r="F285" i="335"/>
  <c r="E285" i="335"/>
  <c r="C285" i="335" a="1"/>
  <c r="C285" i="335"/>
  <c r="A285" i="335" a="1"/>
  <c r="A285" i="335" s="1"/>
  <c r="F284" i="335"/>
  <c r="E284" i="335"/>
  <c r="C284" i="335" a="1"/>
  <c r="C284" i="335"/>
  <c r="G284" i="335"/>
  <c r="A284" i="335" a="1"/>
  <c r="A284" i="335" s="1"/>
  <c r="F283" i="335"/>
  <c r="E283" i="335"/>
  <c r="C283" i="335" a="1"/>
  <c r="C283" i="335"/>
  <c r="G283" i="335"/>
  <c r="A283" i="335" a="1"/>
  <c r="A283" i="335" s="1"/>
  <c r="F282" i="335"/>
  <c r="E282" i="335"/>
  <c r="C282" i="335" a="1"/>
  <c r="C282" i="335"/>
  <c r="G282" i="335" s="1"/>
  <c r="A282" i="335" a="1"/>
  <c r="A282" i="335"/>
  <c r="F281" i="335"/>
  <c r="E281" i="335"/>
  <c r="C281" i="335" a="1"/>
  <c r="C281" i="335"/>
  <c r="G281" i="335" s="1"/>
  <c r="A281" i="335" a="1"/>
  <c r="A281" i="335"/>
  <c r="F280" i="335"/>
  <c r="E280" i="335"/>
  <c r="C280" i="335" a="1"/>
  <c r="C280" i="335" s="1"/>
  <c r="G280" i="335" s="1"/>
  <c r="A280" i="335" a="1"/>
  <c r="A280" i="335" s="1"/>
  <c r="F279" i="335"/>
  <c r="E279" i="335"/>
  <c r="C279" i="335" a="1"/>
  <c r="C279" i="335" s="1"/>
  <c r="G279" i="335" s="1"/>
  <c r="A279" i="335" a="1"/>
  <c r="A279" i="335" s="1"/>
  <c r="F278" i="335"/>
  <c r="E278" i="335"/>
  <c r="C278" i="335" a="1"/>
  <c r="C278" i="335" s="1"/>
  <c r="G278" i="335" s="1"/>
  <c r="A278" i="335" a="1"/>
  <c r="A278" i="335"/>
  <c r="F277" i="335"/>
  <c r="E277" i="335"/>
  <c r="C277" i="335" a="1"/>
  <c r="C277" i="335"/>
  <c r="G277" i="335" s="1"/>
  <c r="A277" i="335" a="1"/>
  <c r="A277" i="335"/>
  <c r="F276" i="335"/>
  <c r="E276" i="335"/>
  <c r="C276" i="335" a="1"/>
  <c r="C276" i="335"/>
  <c r="G276" i="335"/>
  <c r="A276" i="335" a="1"/>
  <c r="A276" i="335"/>
  <c r="F275" i="335"/>
  <c r="E275" i="335"/>
  <c r="C275" i="335" a="1"/>
  <c r="C275" i="335" s="1"/>
  <c r="G275" i="335" s="1"/>
  <c r="A275" i="335" a="1"/>
  <c r="A275" i="335" s="1"/>
  <c r="F274" i="335"/>
  <c r="E274" i="335"/>
  <c r="C274" i="335" a="1"/>
  <c r="C274" i="335" s="1"/>
  <c r="G274" i="335" s="1"/>
  <c r="A274" i="335" a="1"/>
  <c r="A274" i="335"/>
  <c r="F273" i="335"/>
  <c r="E273" i="335"/>
  <c r="C273" i="335" a="1"/>
  <c r="C273" i="335"/>
  <c r="G273" i="335"/>
  <c r="A273" i="335" a="1"/>
  <c r="A273" i="335"/>
  <c r="F272" i="335"/>
  <c r="E272" i="335"/>
  <c r="C272" i="335" a="1"/>
  <c r="C272" i="335"/>
  <c r="G272" i="335"/>
  <c r="A272" i="335" a="1"/>
  <c r="A272" i="335"/>
  <c r="F271" i="335"/>
  <c r="E271" i="335"/>
  <c r="D271" i="335" s="1"/>
  <c r="H271" i="335" s="1"/>
  <c r="C271" i="335" a="1"/>
  <c r="C271" i="335"/>
  <c r="G271" i="335" s="1"/>
  <c r="A271" i="335" a="1"/>
  <c r="A271" i="335"/>
  <c r="F270" i="335"/>
  <c r="E270" i="335"/>
  <c r="C270" i="335" a="1"/>
  <c r="C270" i="335" s="1"/>
  <c r="G270" i="335" s="1"/>
  <c r="A270" i="335" a="1"/>
  <c r="A270" i="335"/>
  <c r="F269" i="335"/>
  <c r="E269" i="335"/>
  <c r="C269" i="335" a="1"/>
  <c r="C269" i="335"/>
  <c r="A269" i="335" a="1"/>
  <c r="A269" i="335" s="1"/>
  <c r="F268" i="335"/>
  <c r="E268" i="335"/>
  <c r="C268" i="335" a="1"/>
  <c r="C268" i="335"/>
  <c r="G268" i="335"/>
  <c r="A268" i="335" a="1"/>
  <c r="A268" i="335" s="1"/>
  <c r="F267" i="335"/>
  <c r="E267" i="335"/>
  <c r="C267" i="335" a="1"/>
  <c r="C267" i="335"/>
  <c r="G267" i="335"/>
  <c r="A267" i="335" a="1"/>
  <c r="A267" i="335" s="1"/>
  <c r="F266" i="335"/>
  <c r="E266" i="335"/>
  <c r="C266" i="335" a="1"/>
  <c r="C266" i="335"/>
  <c r="G266" i="335" s="1"/>
  <c r="A266" i="335" a="1"/>
  <c r="A266" i="335"/>
  <c r="F265" i="335"/>
  <c r="E265" i="335"/>
  <c r="C265" i="335" a="1"/>
  <c r="C265" i="335"/>
  <c r="G265" i="335" s="1"/>
  <c r="A265" i="335" a="1"/>
  <c r="A265" i="335"/>
  <c r="F264" i="335"/>
  <c r="E264" i="335"/>
  <c r="C264" i="335" a="1"/>
  <c r="C264" i="335" s="1"/>
  <c r="G264" i="335" s="1"/>
  <c r="A264" i="335" a="1"/>
  <c r="A264" i="335" s="1"/>
  <c r="F263" i="335"/>
  <c r="E263" i="335"/>
  <c r="C263" i="335" a="1"/>
  <c r="C263" i="335" s="1"/>
  <c r="G263" i="335" s="1"/>
  <c r="A263" i="335" a="1"/>
  <c r="A263" i="335" s="1"/>
  <c r="F262" i="335"/>
  <c r="E262" i="335"/>
  <c r="C262" i="335" a="1"/>
  <c r="C262" i="335" s="1"/>
  <c r="G262" i="335" s="1"/>
  <c r="A262" i="335" a="1"/>
  <c r="A262" i="335"/>
  <c r="F261" i="335"/>
  <c r="E261" i="335"/>
  <c r="C261" i="335" a="1"/>
  <c r="C261" i="335"/>
  <c r="G261" i="335" s="1"/>
  <c r="A261" i="335" a="1"/>
  <c r="A261" i="335"/>
  <c r="F260" i="335"/>
  <c r="E260" i="335"/>
  <c r="C260" i="335" a="1"/>
  <c r="C260" i="335"/>
  <c r="G260" i="335"/>
  <c r="A260" i="335" a="1"/>
  <c r="A260" i="335"/>
  <c r="F259" i="335"/>
  <c r="E259" i="335"/>
  <c r="C259" i="335" a="1"/>
  <c r="C259" i="335" s="1"/>
  <c r="G259" i="335" s="1"/>
  <c r="A259" i="335" a="1"/>
  <c r="A259" i="335" s="1"/>
  <c r="F258" i="335"/>
  <c r="E258" i="335"/>
  <c r="C258" i="335" a="1"/>
  <c r="C258" i="335" s="1"/>
  <c r="G258" i="335" s="1"/>
  <c r="A258" i="335" a="1"/>
  <c r="A258" i="335"/>
  <c r="F257" i="335"/>
  <c r="E257" i="335"/>
  <c r="C257" i="335" a="1"/>
  <c r="C257" i="335"/>
  <c r="G257" i="335"/>
  <c r="A257" i="335" a="1"/>
  <c r="A257" i="335"/>
  <c r="F256" i="335"/>
  <c r="E256" i="335"/>
  <c r="C256" i="335" a="1"/>
  <c r="C256" i="335"/>
  <c r="G256" i="335"/>
  <c r="A256" i="335" a="1"/>
  <c r="A256" i="335"/>
  <c r="F255" i="335"/>
  <c r="E255" i="335"/>
  <c r="C255" i="335" a="1"/>
  <c r="C255" i="335"/>
  <c r="G255" i="335" s="1"/>
  <c r="A255" i="335" a="1"/>
  <c r="A255" i="335"/>
  <c r="F254" i="335"/>
  <c r="E254" i="335"/>
  <c r="C254" i="335" a="1"/>
  <c r="C254" i="335" s="1"/>
  <c r="G254" i="335" s="1"/>
  <c r="A254" i="335" a="1"/>
  <c r="A254" i="335"/>
  <c r="F253" i="335"/>
  <c r="E253" i="335"/>
  <c r="C253" i="335" a="1"/>
  <c r="C253" i="335"/>
  <c r="A253" i="335" a="1"/>
  <c r="A253" i="335" s="1"/>
  <c r="F252" i="335"/>
  <c r="E252" i="335"/>
  <c r="C252" i="335" a="1"/>
  <c r="C252" i="335"/>
  <c r="G252" i="335"/>
  <c r="A252" i="335" a="1"/>
  <c r="A252" i="335" s="1"/>
  <c r="F251" i="335"/>
  <c r="E251" i="335"/>
  <c r="C251" i="335" a="1"/>
  <c r="C251" i="335"/>
  <c r="G251" i="335"/>
  <c r="A251" i="335" a="1"/>
  <c r="A251" i="335" s="1"/>
  <c r="F250" i="335"/>
  <c r="E250" i="335"/>
  <c r="C250" i="335" a="1"/>
  <c r="C250" i="335"/>
  <c r="G250" i="335" s="1"/>
  <c r="A250" i="335" a="1"/>
  <c r="A250" i="335"/>
  <c r="F249" i="335"/>
  <c r="E249" i="335"/>
  <c r="C249" i="335" a="1"/>
  <c r="C249" i="335"/>
  <c r="G249" i="335" s="1"/>
  <c r="A249" i="335" a="1"/>
  <c r="A249" i="335"/>
  <c r="F248" i="335"/>
  <c r="E248" i="335"/>
  <c r="C248" i="335" a="1"/>
  <c r="C248" i="335" s="1"/>
  <c r="G248" i="335" s="1"/>
  <c r="A248" i="335" a="1"/>
  <c r="A248" i="335" s="1"/>
  <c r="F247" i="335"/>
  <c r="E247" i="335"/>
  <c r="C247" i="335" a="1"/>
  <c r="C247" i="335" s="1"/>
  <c r="G247" i="335" s="1"/>
  <c r="A247" i="335" a="1"/>
  <c r="A247" i="335" s="1"/>
  <c r="F246" i="335"/>
  <c r="E246" i="335"/>
  <c r="D246" i="335" s="1"/>
  <c r="C246" i="335" a="1"/>
  <c r="C246" i="335" s="1"/>
  <c r="G246" i="335" s="1"/>
  <c r="A246" i="335" a="1"/>
  <c r="A246" i="335"/>
  <c r="F245" i="335"/>
  <c r="E245" i="335"/>
  <c r="C245" i="335" a="1"/>
  <c r="C245" i="335"/>
  <c r="G245" i="335" s="1"/>
  <c r="A245" i="335" a="1"/>
  <c r="A245" i="335"/>
  <c r="F244" i="335"/>
  <c r="E244" i="335"/>
  <c r="C244" i="335" a="1"/>
  <c r="C244" i="335"/>
  <c r="G244" i="335"/>
  <c r="A244" i="335" a="1"/>
  <c r="A244" i="335"/>
  <c r="F243" i="335"/>
  <c r="E243" i="335"/>
  <c r="C243" i="335" a="1"/>
  <c r="C243" i="335" s="1"/>
  <c r="G243" i="335" s="1"/>
  <c r="A243" i="335" a="1"/>
  <c r="A243" i="335" s="1"/>
  <c r="F242" i="335"/>
  <c r="E242" i="335"/>
  <c r="C242" i="335" a="1"/>
  <c r="C242" i="335" s="1"/>
  <c r="G242" i="335" s="1"/>
  <c r="A242" i="335" a="1"/>
  <c r="A242" i="335"/>
  <c r="F241" i="335"/>
  <c r="E241" i="335"/>
  <c r="C241" i="335" a="1"/>
  <c r="C241" i="335"/>
  <c r="G241" i="335"/>
  <c r="A241" i="335" a="1"/>
  <c r="A241" i="335"/>
  <c r="F240" i="335"/>
  <c r="E240" i="335"/>
  <c r="C240" i="335" a="1"/>
  <c r="C240" i="335"/>
  <c r="G240" i="335"/>
  <c r="A240" i="335" a="1"/>
  <c r="A240" i="335"/>
  <c r="F239" i="335"/>
  <c r="E239" i="335"/>
  <c r="C239" i="335" a="1"/>
  <c r="C239" i="335"/>
  <c r="G239" i="335" s="1"/>
  <c r="A239" i="335" a="1"/>
  <c r="A239" i="335"/>
  <c r="F238" i="335"/>
  <c r="E238" i="335"/>
  <c r="C238" i="335" a="1"/>
  <c r="C238" i="335" s="1"/>
  <c r="G238" i="335" s="1"/>
  <c r="A238" i="335" a="1"/>
  <c r="A238" i="335"/>
  <c r="F237" i="335"/>
  <c r="E237" i="335"/>
  <c r="C237" i="335" a="1"/>
  <c r="C237" i="335"/>
  <c r="G237" i="335" s="1"/>
  <c r="A237" i="335" a="1"/>
  <c r="A237" i="335" s="1"/>
  <c r="F236" i="335"/>
  <c r="E236" i="335"/>
  <c r="C236" i="335" a="1"/>
  <c r="C236" i="335"/>
  <c r="G236" i="335"/>
  <c r="A236" i="335" a="1"/>
  <c r="A236" i="335" s="1"/>
  <c r="F235" i="335"/>
  <c r="E235" i="335"/>
  <c r="C235" i="335" a="1"/>
  <c r="C235" i="335"/>
  <c r="G235" i="335"/>
  <c r="A235" i="335" a="1"/>
  <c r="A235" i="335" s="1"/>
  <c r="F234" i="335"/>
  <c r="E234" i="335"/>
  <c r="C234" i="335" a="1"/>
  <c r="C234" i="335"/>
  <c r="G234" i="335" s="1"/>
  <c r="A234" i="335" a="1"/>
  <c r="A234" i="335"/>
  <c r="F233" i="335"/>
  <c r="E233" i="335"/>
  <c r="C233" i="335" a="1"/>
  <c r="C233" i="335"/>
  <c r="G233" i="335" s="1"/>
  <c r="A233" i="335" a="1"/>
  <c r="A233" i="335"/>
  <c r="F232" i="335"/>
  <c r="E232" i="335"/>
  <c r="C232" i="335" a="1"/>
  <c r="C232" i="335" s="1"/>
  <c r="G232" i="335" s="1"/>
  <c r="A232" i="335" a="1"/>
  <c r="A232" i="335" s="1"/>
  <c r="F231" i="335"/>
  <c r="E231" i="335"/>
  <c r="C231" i="335" a="1"/>
  <c r="C231" i="335" s="1"/>
  <c r="G231" i="335" s="1"/>
  <c r="A231" i="335" a="1"/>
  <c r="A231" i="335" s="1"/>
  <c r="F230" i="335"/>
  <c r="E230" i="335"/>
  <c r="C230" i="335" a="1"/>
  <c r="C230" i="335" s="1"/>
  <c r="G230" i="335" s="1"/>
  <c r="A230" i="335" a="1"/>
  <c r="A230" i="335"/>
  <c r="F229" i="335"/>
  <c r="E229" i="335"/>
  <c r="C229" i="335" a="1"/>
  <c r="C229" i="335"/>
  <c r="G229" i="335" s="1"/>
  <c r="A229" i="335" a="1"/>
  <c r="A229" i="335"/>
  <c r="F228" i="335"/>
  <c r="E228" i="335"/>
  <c r="C228" i="335" a="1"/>
  <c r="C228" i="335"/>
  <c r="G228" i="335"/>
  <c r="A228" i="335" a="1"/>
  <c r="A228" i="335"/>
  <c r="F227" i="335"/>
  <c r="E227" i="335"/>
  <c r="C227" i="335" a="1"/>
  <c r="C227" i="335" s="1"/>
  <c r="G227" i="335" s="1"/>
  <c r="A227" i="335" a="1"/>
  <c r="A227" i="335" s="1"/>
  <c r="F226" i="335"/>
  <c r="E226" i="335"/>
  <c r="C226" i="335" a="1"/>
  <c r="C226" i="335" s="1"/>
  <c r="G226" i="335" s="1"/>
  <c r="A226" i="335" a="1"/>
  <c r="A226" i="335"/>
  <c r="F225" i="335"/>
  <c r="E225" i="335"/>
  <c r="D225" i="335" s="1"/>
  <c r="C225" i="335" a="1"/>
  <c r="C225" i="335"/>
  <c r="G225" i="335"/>
  <c r="A225" i="335" a="1"/>
  <c r="A225" i="335"/>
  <c r="F224" i="335"/>
  <c r="E224" i="335"/>
  <c r="C224" i="335" a="1"/>
  <c r="C224" i="335"/>
  <c r="G224" i="335"/>
  <c r="A224" i="335" a="1"/>
  <c r="A224" i="335"/>
  <c r="F223" i="335"/>
  <c r="E223" i="335"/>
  <c r="C223" i="335" a="1"/>
  <c r="C223" i="335"/>
  <c r="G223" i="335" s="1"/>
  <c r="A223" i="335" a="1"/>
  <c r="A223" i="335"/>
  <c r="F222" i="335"/>
  <c r="E222" i="335"/>
  <c r="C222" i="335" a="1"/>
  <c r="C222" i="335" s="1"/>
  <c r="G222" i="335" s="1"/>
  <c r="A222" i="335" a="1"/>
  <c r="A222" i="335"/>
  <c r="F221" i="335"/>
  <c r="E221" i="335"/>
  <c r="C221" i="335" a="1"/>
  <c r="C221" i="335"/>
  <c r="G221" i="335" s="1"/>
  <c r="A221" i="335" a="1"/>
  <c r="A221" i="335" s="1"/>
  <c r="F220" i="335"/>
  <c r="E220" i="335"/>
  <c r="C220" i="335" a="1"/>
  <c r="C220" i="335"/>
  <c r="G220" i="335"/>
  <c r="A220" i="335" a="1"/>
  <c r="A220" i="335" s="1"/>
  <c r="F219" i="335"/>
  <c r="E219" i="335"/>
  <c r="C219" i="335" a="1"/>
  <c r="C219" i="335"/>
  <c r="G219" i="335"/>
  <c r="A219" i="335" a="1"/>
  <c r="A219" i="335" s="1"/>
  <c r="F218" i="335"/>
  <c r="E218" i="335"/>
  <c r="C218" i="335" a="1"/>
  <c r="C218" i="335"/>
  <c r="G218" i="335" s="1"/>
  <c r="A218" i="335" a="1"/>
  <c r="A218" i="335"/>
  <c r="F217" i="335"/>
  <c r="E217" i="335"/>
  <c r="C217" i="335" a="1"/>
  <c r="C217" i="335"/>
  <c r="G217" i="335" s="1"/>
  <c r="A217" i="335" a="1"/>
  <c r="A217" i="335"/>
  <c r="F216" i="335"/>
  <c r="E216" i="335"/>
  <c r="C216" i="335" a="1"/>
  <c r="C216" i="335" s="1"/>
  <c r="G216" i="335" s="1"/>
  <c r="A216" i="335" a="1"/>
  <c r="A216" i="335" s="1"/>
  <c r="F215" i="335"/>
  <c r="E215" i="335"/>
  <c r="C215" i="335" a="1"/>
  <c r="C215" i="335" s="1"/>
  <c r="G215" i="335" s="1"/>
  <c r="A215" i="335" a="1"/>
  <c r="A215" i="335" s="1"/>
  <c r="F214" i="335"/>
  <c r="E214" i="335"/>
  <c r="C214" i="335" a="1"/>
  <c r="C214" i="335" s="1"/>
  <c r="G214" i="335" s="1"/>
  <c r="A214" i="335" a="1"/>
  <c r="A214" i="335"/>
  <c r="F213" i="335"/>
  <c r="E213" i="335"/>
  <c r="C213" i="335" a="1"/>
  <c r="C213" i="335"/>
  <c r="G213" i="335" s="1"/>
  <c r="A213" i="335" a="1"/>
  <c r="A213" i="335"/>
  <c r="F212" i="335"/>
  <c r="E212" i="335"/>
  <c r="C212" i="335" a="1"/>
  <c r="C212" i="335"/>
  <c r="G212" i="335"/>
  <c r="A212" i="335" a="1"/>
  <c r="A212" i="335"/>
  <c r="F211" i="335"/>
  <c r="E211" i="335"/>
  <c r="C211" i="335" a="1"/>
  <c r="C211" i="335" s="1"/>
  <c r="G211" i="335" s="1"/>
  <c r="A211" i="335" a="1"/>
  <c r="A211" i="335" s="1"/>
  <c r="F210" i="335"/>
  <c r="E210" i="335"/>
  <c r="C210" i="335" a="1"/>
  <c r="C210" i="335" s="1"/>
  <c r="G210" i="335" s="1"/>
  <c r="A210" i="335" a="1"/>
  <c r="A210" i="335"/>
  <c r="F209" i="335"/>
  <c r="E209" i="335"/>
  <c r="C209" i="335" a="1"/>
  <c r="C209" i="335"/>
  <c r="G209" i="335"/>
  <c r="A209" i="335" a="1"/>
  <c r="A209" i="335"/>
  <c r="F208" i="335"/>
  <c r="E208" i="335"/>
  <c r="C208" i="335" a="1"/>
  <c r="C208" i="335"/>
  <c r="G208" i="335"/>
  <c r="A208" i="335" a="1"/>
  <c r="A208" i="335"/>
  <c r="F207" i="335"/>
  <c r="E207" i="335"/>
  <c r="C207" i="335" a="1"/>
  <c r="C207" i="335"/>
  <c r="G207" i="335" s="1"/>
  <c r="A207" i="335" a="1"/>
  <c r="A207" i="335"/>
  <c r="F206" i="335"/>
  <c r="E206" i="335"/>
  <c r="C206" i="335" a="1"/>
  <c r="C206" i="335" s="1"/>
  <c r="A206" i="335" a="1"/>
  <c r="A206" i="335"/>
  <c r="F205" i="335"/>
  <c r="E205" i="335"/>
  <c r="C205" i="335" a="1"/>
  <c r="C205" i="335"/>
  <c r="D205" i="335" s="1"/>
  <c r="A205" i="335" a="1"/>
  <c r="A205" i="335" s="1"/>
  <c r="F204" i="335"/>
  <c r="E204" i="335"/>
  <c r="C204" i="335" a="1"/>
  <c r="C204" i="335"/>
  <c r="D204" i="335"/>
  <c r="A204" i="335" a="1"/>
  <c r="A204" i="335" s="1"/>
  <c r="F202" i="335"/>
  <c r="E202" i="335"/>
  <c r="C202" i="335" a="1"/>
  <c r="C202" i="335"/>
  <c r="D202" i="335"/>
  <c r="A202" i="335" a="1"/>
  <c r="A202" i="335" s="1"/>
  <c r="F201" i="335"/>
  <c r="E201" i="335"/>
  <c r="C201" i="335" a="1"/>
  <c r="C201" i="335"/>
  <c r="D201" i="335" s="1"/>
  <c r="A201" i="335" a="1"/>
  <c r="A201" i="335"/>
  <c r="F200" i="335"/>
  <c r="E200" i="335"/>
  <c r="G200" i="335" s="1"/>
  <c r="H200" i="335" s="1"/>
  <c r="C200" i="335" a="1"/>
  <c r="C200" i="335"/>
  <c r="D200" i="335" s="1"/>
  <c r="A200" i="335" a="1"/>
  <c r="A200" i="335"/>
  <c r="F199" i="335"/>
  <c r="E199" i="335"/>
  <c r="C199" i="335" a="1"/>
  <c r="C199" i="335" s="1"/>
  <c r="D199" i="335" s="1"/>
  <c r="A199" i="335" a="1"/>
  <c r="A199" i="335" s="1"/>
  <c r="F198" i="335"/>
  <c r="E198" i="335"/>
  <c r="C198" i="335" a="1"/>
  <c r="C198" i="335" s="1"/>
  <c r="D198" i="335" s="1"/>
  <c r="A198" i="335" a="1"/>
  <c r="A198" i="335" s="1"/>
  <c r="F197" i="335"/>
  <c r="E197" i="335"/>
  <c r="C197" i="335" a="1"/>
  <c r="C197" i="335" s="1"/>
  <c r="D197" i="335" s="1"/>
  <c r="A197" i="335" a="1"/>
  <c r="A197" i="335"/>
  <c r="F196" i="335"/>
  <c r="E196" i="335"/>
  <c r="C196" i="335" a="1"/>
  <c r="C196" i="335"/>
  <c r="D196" i="335" s="1"/>
  <c r="A196" i="335" a="1"/>
  <c r="A196" i="335"/>
  <c r="F195" i="335"/>
  <c r="E195" i="335"/>
  <c r="C195" i="335" a="1"/>
  <c r="C195" i="335"/>
  <c r="D195" i="335"/>
  <c r="A195" i="335" a="1"/>
  <c r="A195" i="335"/>
  <c r="F194" i="335"/>
  <c r="E194" i="335"/>
  <c r="C194" i="335" a="1"/>
  <c r="C194" i="335" s="1"/>
  <c r="D194" i="335" s="1"/>
  <c r="A194" i="335" a="1"/>
  <c r="A194" i="335" s="1"/>
  <c r="F193" i="335"/>
  <c r="E193" i="335"/>
  <c r="C193" i="335" a="1"/>
  <c r="C193" i="335" s="1"/>
  <c r="D193" i="335" s="1"/>
  <c r="A193" i="335" a="1"/>
  <c r="A193" i="335"/>
  <c r="F192" i="335"/>
  <c r="E192" i="335"/>
  <c r="C192" i="335" a="1"/>
  <c r="C192" i="335"/>
  <c r="D192" i="335"/>
  <c r="A192" i="335" a="1"/>
  <c r="A192" i="335"/>
  <c r="F191" i="335"/>
  <c r="E191" i="335"/>
  <c r="C191" i="335" a="1"/>
  <c r="C191" i="335"/>
  <c r="D191" i="335"/>
  <c r="A191" i="335" a="1"/>
  <c r="A191" i="335"/>
  <c r="F190" i="335"/>
  <c r="E190" i="335"/>
  <c r="C190" i="335" a="1"/>
  <c r="C190" i="335"/>
  <c r="D190" i="335" s="1"/>
  <c r="A190" i="335" a="1"/>
  <c r="A190" i="335"/>
  <c r="F189" i="335"/>
  <c r="E189" i="335"/>
  <c r="C189" i="335" a="1"/>
  <c r="C189" i="335" s="1"/>
  <c r="D189" i="335" s="1"/>
  <c r="A189" i="335" a="1"/>
  <c r="A189" i="335"/>
  <c r="F187" i="335"/>
  <c r="E187" i="335"/>
  <c r="C187" i="335" a="1"/>
  <c r="C187" i="335"/>
  <c r="D187" i="335" s="1"/>
  <c r="A187" i="335" a="1"/>
  <c r="A187" i="335" s="1"/>
  <c r="F186" i="335"/>
  <c r="E186" i="335"/>
  <c r="C186" i="335" a="1"/>
  <c r="C186" i="335"/>
  <c r="D186" i="335"/>
  <c r="A186" i="335" a="1"/>
  <c r="A186" i="335" s="1"/>
  <c r="F185" i="335"/>
  <c r="E185" i="335"/>
  <c r="C185" i="335" a="1"/>
  <c r="C185" i="335"/>
  <c r="D185" i="335"/>
  <c r="A185" i="335" a="1"/>
  <c r="A185" i="335" s="1"/>
  <c r="F184" i="335"/>
  <c r="E184" i="335"/>
  <c r="C184" i="335" a="1"/>
  <c r="C184" i="335"/>
  <c r="D184" i="335" s="1"/>
  <c r="A184" i="335" a="1"/>
  <c r="A184" i="335"/>
  <c r="F183" i="335"/>
  <c r="E183" i="335"/>
  <c r="C183" i="335" a="1"/>
  <c r="C183" i="335"/>
  <c r="D183" i="335" s="1"/>
  <c r="A183" i="335" a="1"/>
  <c r="A183" i="335"/>
  <c r="F182" i="335"/>
  <c r="E182" i="335"/>
  <c r="C182" i="335" a="1"/>
  <c r="C182" i="335" s="1"/>
  <c r="D182" i="335" s="1"/>
  <c r="A182" i="335" a="1"/>
  <c r="A182" i="335" s="1"/>
  <c r="F181" i="335"/>
  <c r="E181" i="335"/>
  <c r="C181" i="335" a="1"/>
  <c r="C181" i="335" s="1"/>
  <c r="A181" i="335" a="1"/>
  <c r="A181" i="335" s="1"/>
  <c r="F180" i="335"/>
  <c r="E180" i="335"/>
  <c r="G180" i="335" s="1"/>
  <c r="C180" i="335" a="1"/>
  <c r="C180" i="335" s="1"/>
  <c r="D180" i="335" s="1"/>
  <c r="A180" i="335" a="1"/>
  <c r="A180" i="335"/>
  <c r="F179" i="335"/>
  <c r="E179" i="335"/>
  <c r="C179" i="335" a="1"/>
  <c r="C179" i="335"/>
  <c r="D179" i="335" s="1"/>
  <c r="A179" i="335" a="1"/>
  <c r="A179" i="335"/>
  <c r="F178" i="335"/>
  <c r="E178" i="335"/>
  <c r="C178" i="335" a="1"/>
  <c r="C178" i="335"/>
  <c r="D178" i="335"/>
  <c r="A178" i="335" a="1"/>
  <c r="A178" i="335"/>
  <c r="F177" i="335"/>
  <c r="E177" i="335"/>
  <c r="C177" i="335" a="1"/>
  <c r="C177" i="335" s="1"/>
  <c r="D177" i="335" s="1"/>
  <c r="A177" i="335" a="1"/>
  <c r="A177" i="335" s="1"/>
  <c r="F176" i="335"/>
  <c r="E176" i="335"/>
  <c r="C176" i="335" a="1"/>
  <c r="C176" i="335" s="1"/>
  <c r="D176" i="335" s="1"/>
  <c r="A176" i="335" a="1"/>
  <c r="A176" i="335"/>
  <c r="F175" i="335"/>
  <c r="E175" i="335"/>
  <c r="C175" i="335" a="1"/>
  <c r="C175" i="335"/>
  <c r="D175" i="335"/>
  <c r="A175" i="335" a="1"/>
  <c r="A175" i="335"/>
  <c r="F174" i="335"/>
  <c r="E174" i="335"/>
  <c r="C174" i="335" a="1"/>
  <c r="C174" i="335"/>
  <c r="D174" i="335"/>
  <c r="A174" i="335" a="1"/>
  <c r="A174" i="335"/>
  <c r="F173" i="335"/>
  <c r="E173" i="335"/>
  <c r="C173" i="335" a="1"/>
  <c r="C173" i="335"/>
  <c r="D173" i="335" s="1"/>
  <c r="A173" i="335" a="1"/>
  <c r="A173" i="335"/>
  <c r="F172" i="335"/>
  <c r="E172" i="335"/>
  <c r="C172" i="335" a="1"/>
  <c r="C172" i="335" s="1"/>
  <c r="D172" i="335" s="1"/>
  <c r="A172" i="335" a="1"/>
  <c r="A172" i="335"/>
  <c r="F171" i="335"/>
  <c r="E171" i="335"/>
  <c r="C171" i="335" a="1"/>
  <c r="C171" i="335"/>
  <c r="D171" i="335" s="1"/>
  <c r="A171" i="335" a="1"/>
  <c r="A171" i="335" s="1"/>
  <c r="F170" i="335"/>
  <c r="E170" i="335"/>
  <c r="C170" i="335" a="1"/>
  <c r="C170" i="335"/>
  <c r="D170" i="335"/>
  <c r="A170" i="335" a="1"/>
  <c r="A170" i="335" s="1"/>
  <c r="F169" i="335"/>
  <c r="E169" i="335"/>
  <c r="C169" i="335" a="1"/>
  <c r="C169" i="335"/>
  <c r="D169" i="335"/>
  <c r="A169" i="335" a="1"/>
  <c r="A169" i="335" s="1"/>
  <c r="F168" i="335"/>
  <c r="E168" i="335"/>
  <c r="C168" i="335" a="1"/>
  <c r="C168" i="335"/>
  <c r="D168" i="335" s="1"/>
  <c r="A168" i="335" a="1"/>
  <c r="A168" i="335"/>
  <c r="F167" i="335"/>
  <c r="E167" i="335"/>
  <c r="C167" i="335" a="1"/>
  <c r="C167" i="335"/>
  <c r="D167" i="335" s="1"/>
  <c r="A167" i="335" a="1"/>
  <c r="A167" i="335"/>
  <c r="F166" i="335"/>
  <c r="E166" i="335"/>
  <c r="C166" i="335" a="1"/>
  <c r="C166" i="335" s="1"/>
  <c r="D166" i="335" s="1"/>
  <c r="A166" i="335" a="1"/>
  <c r="A166" i="335" s="1"/>
  <c r="F165" i="335"/>
  <c r="E165" i="335"/>
  <c r="C165" i="335" a="1"/>
  <c r="C165" i="335" s="1"/>
  <c r="D165" i="335" s="1"/>
  <c r="A165" i="335" a="1"/>
  <c r="A165" i="335" s="1"/>
  <c r="F164" i="335"/>
  <c r="E164" i="335"/>
  <c r="C164" i="335" a="1"/>
  <c r="C164" i="335" s="1"/>
  <c r="D164" i="335" s="1"/>
  <c r="A164" i="335" a="1"/>
  <c r="A164" i="335"/>
  <c r="F163" i="335"/>
  <c r="E163" i="335"/>
  <c r="C163" i="335" a="1"/>
  <c r="C163" i="335"/>
  <c r="D163" i="335" s="1"/>
  <c r="A163" i="335" a="1"/>
  <c r="A163" i="335"/>
  <c r="F162" i="335"/>
  <c r="E162" i="335"/>
  <c r="C162" i="335" a="1"/>
  <c r="C162" i="335"/>
  <c r="D162" i="335"/>
  <c r="A162" i="335" a="1"/>
  <c r="A162" i="335"/>
  <c r="F161" i="335"/>
  <c r="E161" i="335"/>
  <c r="C161" i="335" a="1"/>
  <c r="C161" i="335" s="1"/>
  <c r="D161" i="335" s="1"/>
  <c r="A161" i="335" a="1"/>
  <c r="A161" i="335" s="1"/>
  <c r="F160" i="335"/>
  <c r="G160" i="335" s="1"/>
  <c r="E160" i="335"/>
  <c r="C160" i="335" a="1"/>
  <c r="C160" i="335" s="1"/>
  <c r="D160" i="335" s="1"/>
  <c r="A160" i="335" a="1"/>
  <c r="A160" i="335"/>
  <c r="F159" i="335"/>
  <c r="E159" i="335"/>
  <c r="C159" i="335" a="1"/>
  <c r="C159" i="335"/>
  <c r="D159" i="335"/>
  <c r="A159" i="335" a="1"/>
  <c r="A159" i="335"/>
  <c r="F158" i="335"/>
  <c r="E158" i="335"/>
  <c r="C158" i="335" a="1"/>
  <c r="C158" i="335"/>
  <c r="D158" i="335"/>
  <c r="A158" i="335" a="1"/>
  <c r="A158" i="335"/>
  <c r="F157" i="335"/>
  <c r="E157" i="335"/>
  <c r="C157" i="335" a="1"/>
  <c r="C157" i="335"/>
  <c r="D157" i="335" s="1"/>
  <c r="A157" i="335" a="1"/>
  <c r="A157" i="335"/>
  <c r="F156" i="335"/>
  <c r="E156" i="335"/>
  <c r="C156" i="335" a="1"/>
  <c r="C156" i="335" s="1"/>
  <c r="D156" i="335" s="1"/>
  <c r="A156" i="335" a="1"/>
  <c r="A156" i="335"/>
  <c r="F155" i="335"/>
  <c r="E155" i="335"/>
  <c r="C155" i="335" a="1"/>
  <c r="C155" i="335"/>
  <c r="D155" i="335" s="1"/>
  <c r="A155" i="335" a="1"/>
  <c r="A155" i="335" s="1"/>
  <c r="F154" i="335"/>
  <c r="E154" i="335"/>
  <c r="C154" i="335" a="1"/>
  <c r="C154" i="335"/>
  <c r="D154" i="335"/>
  <c r="A154" i="335" a="1"/>
  <c r="A154" i="335" s="1"/>
  <c r="F153" i="335"/>
  <c r="E153" i="335"/>
  <c r="C153" i="335" a="1"/>
  <c r="C153" i="335"/>
  <c r="D153" i="335"/>
  <c r="A153" i="335" a="1"/>
  <c r="A153" i="335" s="1"/>
  <c r="F152" i="335"/>
  <c r="E152" i="335"/>
  <c r="C152" i="335" a="1"/>
  <c r="C152" i="335"/>
  <c r="D152" i="335" s="1"/>
  <c r="A152" i="335" a="1"/>
  <c r="A152" i="335"/>
  <c r="F151" i="335"/>
  <c r="E151" i="335"/>
  <c r="C151" i="335" a="1"/>
  <c r="C151" i="335"/>
  <c r="D151" i="335" s="1"/>
  <c r="A151" i="335" a="1"/>
  <c r="A151" i="335"/>
  <c r="F150" i="335"/>
  <c r="E150" i="335"/>
  <c r="C150" i="335" a="1"/>
  <c r="C150" i="335" s="1"/>
  <c r="D150" i="335" s="1"/>
  <c r="A150" i="335" a="1"/>
  <c r="A150" i="335" s="1"/>
  <c r="F144" i="335"/>
  <c r="E144" i="335"/>
  <c r="C144" i="335" a="1"/>
  <c r="C144" i="335" s="1"/>
  <c r="D144" i="335" s="1"/>
  <c r="A144" i="335" a="1"/>
  <c r="A144" i="335" s="1"/>
  <c r="F143" i="335"/>
  <c r="E143" i="335"/>
  <c r="C143" i="335" a="1"/>
  <c r="C143" i="335" s="1"/>
  <c r="D143" i="335" s="1"/>
  <c r="A143" i="335" a="1"/>
  <c r="A143" i="335"/>
  <c r="F142" i="335"/>
  <c r="E142" i="335"/>
  <c r="C142" i="335" a="1"/>
  <c r="C142" i="335"/>
  <c r="D142" i="335" s="1"/>
  <c r="A142" i="335" a="1"/>
  <c r="A142" i="335"/>
  <c r="F141" i="335"/>
  <c r="E141" i="335"/>
  <c r="C141" i="335" a="1"/>
  <c r="C141" i="335"/>
  <c r="D141" i="335"/>
  <c r="A141" i="335" a="1"/>
  <c r="A141" i="335"/>
  <c r="F140" i="335"/>
  <c r="E140" i="335"/>
  <c r="C140" i="335" a="1"/>
  <c r="C140" i="335" s="1"/>
  <c r="D140" i="335" s="1"/>
  <c r="A140" i="335" a="1"/>
  <c r="A140" i="335" s="1"/>
  <c r="F139" i="335"/>
  <c r="E139" i="335"/>
  <c r="C139" i="335" a="1"/>
  <c r="C139" i="335" s="1"/>
  <c r="A139" i="335" a="1"/>
  <c r="A139" i="335"/>
  <c r="F138" i="335"/>
  <c r="E138" i="335"/>
  <c r="C138" i="335" a="1"/>
  <c r="C138" i="335"/>
  <c r="D138" i="335"/>
  <c r="A138" i="335" a="1"/>
  <c r="A138" i="335"/>
  <c r="F137" i="335"/>
  <c r="E137" i="335"/>
  <c r="C137" i="335" a="1"/>
  <c r="C137" i="335"/>
  <c r="D137" i="335"/>
  <c r="A137" i="335" a="1"/>
  <c r="A137" i="335"/>
  <c r="F136" i="335"/>
  <c r="E136" i="335"/>
  <c r="C136" i="335" a="1"/>
  <c r="C136" i="335"/>
  <c r="G136" i="335" s="1"/>
  <c r="A136" i="335" a="1"/>
  <c r="A136" i="335"/>
  <c r="F135" i="335"/>
  <c r="E135" i="335"/>
  <c r="C135" i="335" a="1"/>
  <c r="C135" i="335" s="1"/>
  <c r="G135" i="335" s="1"/>
  <c r="A135" i="335" a="1"/>
  <c r="A135" i="335"/>
  <c r="F134" i="335"/>
  <c r="E134" i="335"/>
  <c r="C134" i="335" a="1"/>
  <c r="C134" i="335"/>
  <c r="G134" i="335" s="1"/>
  <c r="A134" i="335" a="1"/>
  <c r="A134" i="335" s="1"/>
  <c r="F133" i="335"/>
  <c r="E133" i="335"/>
  <c r="C133" i="335" a="1"/>
  <c r="C133" i="335"/>
  <c r="G133" i="335"/>
  <c r="A133" i="335" a="1"/>
  <c r="A133" i="335" s="1"/>
  <c r="F132" i="335"/>
  <c r="E132" i="335"/>
  <c r="C132" i="335" a="1"/>
  <c r="C132" i="335"/>
  <c r="G132" i="335"/>
  <c r="A132" i="335" a="1"/>
  <c r="A132" i="335" s="1"/>
  <c r="F131" i="335"/>
  <c r="E131" i="335"/>
  <c r="C131" i="335" a="1"/>
  <c r="C131" i="335"/>
  <c r="G131" i="335" s="1"/>
  <c r="A131" i="335" a="1"/>
  <c r="A131" i="335"/>
  <c r="F130" i="335"/>
  <c r="E130" i="335"/>
  <c r="C130" i="335" a="1"/>
  <c r="C130" i="335"/>
  <c r="G130" i="335" s="1"/>
  <c r="A130" i="335" a="1"/>
  <c r="A130" i="335"/>
  <c r="F129" i="335"/>
  <c r="E129" i="335"/>
  <c r="C129" i="335" a="1"/>
  <c r="C129" i="335" s="1"/>
  <c r="G129" i="335" s="1"/>
  <c r="A129" i="335" a="1"/>
  <c r="A129" i="335" s="1"/>
  <c r="F128" i="335"/>
  <c r="E128" i="335"/>
  <c r="C128" i="335" a="1"/>
  <c r="C128" i="335" s="1"/>
  <c r="G128" i="335" s="1"/>
  <c r="A128" i="335" a="1"/>
  <c r="A128" i="335" s="1"/>
  <c r="F127" i="335"/>
  <c r="E127" i="335"/>
  <c r="C127" i="335" a="1"/>
  <c r="C127" i="335" s="1"/>
  <c r="G127" i="335" s="1"/>
  <c r="A127" i="335" a="1"/>
  <c r="A127" i="335"/>
  <c r="F126" i="335"/>
  <c r="E126" i="335"/>
  <c r="C126" i="335" a="1"/>
  <c r="C126" i="335"/>
  <c r="G126" i="335" s="1"/>
  <c r="A126" i="335" a="1"/>
  <c r="A126" i="335"/>
  <c r="F125" i="335"/>
  <c r="E125" i="335"/>
  <c r="C125" i="335" a="1"/>
  <c r="C125" i="335"/>
  <c r="G125" i="335"/>
  <c r="A125" i="335" a="1"/>
  <c r="A125" i="335"/>
  <c r="F124" i="335"/>
  <c r="E124" i="335"/>
  <c r="C124" i="335" a="1"/>
  <c r="C124" i="335" s="1"/>
  <c r="D124" i="335" s="1"/>
  <c r="A124" i="335" a="1"/>
  <c r="A124" i="335" s="1"/>
  <c r="F123" i="335"/>
  <c r="E123" i="335"/>
  <c r="C123" i="335" a="1"/>
  <c r="C123" i="335" s="1"/>
  <c r="G123" i="335" s="1"/>
  <c r="A123" i="335" a="1"/>
  <c r="A123" i="335"/>
  <c r="F122" i="335"/>
  <c r="E122" i="335"/>
  <c r="G122" i="335" s="1"/>
  <c r="C122" i="335" a="1"/>
  <c r="C122" i="335"/>
  <c r="D122" i="335"/>
  <c r="A122" i="335" a="1"/>
  <c r="A122" i="335"/>
  <c r="F121" i="335"/>
  <c r="E121" i="335"/>
  <c r="C121" i="335" a="1"/>
  <c r="C121" i="335"/>
  <c r="G121" i="335"/>
  <c r="A121" i="335" a="1"/>
  <c r="A121" i="335"/>
  <c r="F120" i="335"/>
  <c r="E120" i="335"/>
  <c r="C120" i="335" a="1"/>
  <c r="C120" i="335"/>
  <c r="D120" i="335" s="1"/>
  <c r="A120" i="335" a="1"/>
  <c r="A120" i="335"/>
  <c r="F119" i="335"/>
  <c r="D119" i="335" s="1"/>
  <c r="E119" i="335"/>
  <c r="C119" i="335" a="1"/>
  <c r="C119" i="335" s="1"/>
  <c r="G119" i="335" s="1"/>
  <c r="A119" i="335" a="1"/>
  <c r="A119" i="335"/>
  <c r="F118" i="335"/>
  <c r="E118" i="335"/>
  <c r="C118" i="335" a="1"/>
  <c r="C118" i="335"/>
  <c r="D118" i="335" s="1"/>
  <c r="A118" i="335" a="1"/>
  <c r="A118" i="335" s="1"/>
  <c r="F117" i="335"/>
  <c r="E117" i="335"/>
  <c r="C117" i="335" a="1"/>
  <c r="C117" i="335"/>
  <c r="G117" i="335"/>
  <c r="A117" i="335" a="1"/>
  <c r="A117" i="335" s="1"/>
  <c r="F116" i="335"/>
  <c r="E116" i="335"/>
  <c r="C116" i="335" a="1"/>
  <c r="C116" i="335"/>
  <c r="D116" i="335"/>
  <c r="A116" i="335" a="1"/>
  <c r="A116" i="335" s="1"/>
  <c r="F115" i="335"/>
  <c r="E115" i="335"/>
  <c r="D115" i="335" s="1"/>
  <c r="C115" i="335" a="1"/>
  <c r="C115" i="335"/>
  <c r="G115" i="335" s="1"/>
  <c r="A115" i="335" a="1"/>
  <c r="A115" i="335"/>
  <c r="F114" i="335"/>
  <c r="E114" i="335"/>
  <c r="C114" i="335" a="1"/>
  <c r="C114" i="335"/>
  <c r="D114" i="335" s="1"/>
  <c r="A114" i="335" a="1"/>
  <c r="A114" i="335"/>
  <c r="F113" i="335"/>
  <c r="E113" i="335"/>
  <c r="C113" i="335" a="1"/>
  <c r="C113" i="335" s="1"/>
  <c r="G113" i="335" s="1"/>
  <c r="A113" i="335" a="1"/>
  <c r="A113" i="335" s="1"/>
  <c r="F112" i="335"/>
  <c r="E112" i="335"/>
  <c r="C112" i="335" a="1"/>
  <c r="C112" i="335" s="1"/>
  <c r="D112" i="335" s="1"/>
  <c r="A112" i="335" a="1"/>
  <c r="A112" i="335" s="1"/>
  <c r="F111" i="335"/>
  <c r="E111" i="335"/>
  <c r="C111" i="335" a="1"/>
  <c r="C111" i="335" s="1"/>
  <c r="G111" i="335" s="1"/>
  <c r="A111" i="335" a="1"/>
  <c r="A111" i="335"/>
  <c r="F110" i="335"/>
  <c r="E110" i="335"/>
  <c r="C110" i="335" a="1"/>
  <c r="C110" i="335"/>
  <c r="D110" i="335" s="1"/>
  <c r="A110" i="335" a="1"/>
  <c r="A110" i="335"/>
  <c r="F109" i="335"/>
  <c r="E109" i="335"/>
  <c r="C109" i="335" a="1"/>
  <c r="C109" i="335"/>
  <c r="G109" i="335"/>
  <c r="A109" i="335" a="1"/>
  <c r="A109" i="335"/>
  <c r="F108" i="335"/>
  <c r="E108" i="335"/>
  <c r="C108" i="335" a="1"/>
  <c r="C108" i="335" s="1"/>
  <c r="D108" i="335" s="1"/>
  <c r="A108" i="335" a="1"/>
  <c r="A108" i="335" s="1"/>
  <c r="F107" i="335"/>
  <c r="E107" i="335"/>
  <c r="C107" i="335" a="1"/>
  <c r="C107" i="335" s="1"/>
  <c r="G107" i="335" s="1"/>
  <c r="A107" i="335" a="1"/>
  <c r="A107" i="335"/>
  <c r="F106" i="335"/>
  <c r="E106" i="335"/>
  <c r="C106" i="335" a="1"/>
  <c r="C106" i="335"/>
  <c r="D106" i="335"/>
  <c r="A106" i="335" a="1"/>
  <c r="A106" i="335"/>
  <c r="F105" i="335"/>
  <c r="E105" i="335"/>
  <c r="C105" i="335" a="1"/>
  <c r="C105" i="335"/>
  <c r="G105" i="335"/>
  <c r="A105" i="335" a="1"/>
  <c r="A105" i="335"/>
  <c r="F104" i="335"/>
  <c r="E104" i="335"/>
  <c r="C104" i="335" a="1"/>
  <c r="C104" i="335"/>
  <c r="D104" i="335" s="1"/>
  <c r="A104" i="335" a="1"/>
  <c r="A104" i="335"/>
  <c r="F103" i="335"/>
  <c r="E103" i="335"/>
  <c r="C103" i="335" a="1"/>
  <c r="C103" i="335" s="1"/>
  <c r="G103" i="335" s="1"/>
  <c r="A103" i="335" a="1"/>
  <c r="A103" i="335"/>
  <c r="F102" i="335"/>
  <c r="E102" i="335"/>
  <c r="C102" i="335" a="1"/>
  <c r="C102" i="335"/>
  <c r="D102" i="335" s="1"/>
  <c r="A102" i="335" a="1"/>
  <c r="A102" i="335" s="1"/>
  <c r="F101" i="335"/>
  <c r="E101" i="335"/>
  <c r="C101" i="335" a="1"/>
  <c r="C101" i="335"/>
  <c r="G101" i="335"/>
  <c r="A101" i="335" a="1"/>
  <c r="A101" i="335" s="1"/>
  <c r="F100" i="335"/>
  <c r="E100" i="335"/>
  <c r="C100" i="335" a="1"/>
  <c r="C100" i="335"/>
  <c r="D100" i="335"/>
  <c r="A100" i="335" a="1"/>
  <c r="A100" i="335" s="1"/>
  <c r="F99" i="335"/>
  <c r="E99" i="335"/>
  <c r="C99" i="335" a="1"/>
  <c r="C99" i="335"/>
  <c r="G99" i="335" s="1"/>
  <c r="A99" i="335" a="1"/>
  <c r="A99" i="335"/>
  <c r="F98" i="335"/>
  <c r="E98" i="335"/>
  <c r="C98" i="335" a="1"/>
  <c r="C98" i="335"/>
  <c r="D98" i="335" s="1"/>
  <c r="A98" i="335" a="1"/>
  <c r="A98" i="335"/>
  <c r="F97" i="335"/>
  <c r="E97" i="335"/>
  <c r="C97" i="335" a="1"/>
  <c r="C97" i="335" s="1"/>
  <c r="G97" i="335" s="1"/>
  <c r="A97" i="335" a="1"/>
  <c r="A97" i="335" s="1"/>
  <c r="F96" i="335"/>
  <c r="E96" i="335"/>
  <c r="C96" i="335" a="1"/>
  <c r="C96" i="335" s="1"/>
  <c r="D96" i="335" s="1"/>
  <c r="A96" i="335" a="1"/>
  <c r="A96" i="335" s="1"/>
  <c r="F95" i="335"/>
  <c r="E95" i="335"/>
  <c r="C95" i="335" a="1"/>
  <c r="C95" i="335" s="1"/>
  <c r="G95" i="335" s="1"/>
  <c r="A95" i="335" a="1"/>
  <c r="A95" i="335"/>
  <c r="F94" i="335"/>
  <c r="E94" i="335"/>
  <c r="C94" i="335" a="1"/>
  <c r="C94" i="335"/>
  <c r="D94" i="335" s="1"/>
  <c r="A94" i="335" a="1"/>
  <c r="A94" i="335"/>
  <c r="F93" i="335"/>
  <c r="E93" i="335"/>
  <c r="C93" i="335" a="1"/>
  <c r="C93" i="335"/>
  <c r="G93" i="335"/>
  <c r="A93" i="335" a="1"/>
  <c r="A93" i="335"/>
  <c r="F92" i="335"/>
  <c r="E92" i="335"/>
  <c r="C92" i="335" a="1"/>
  <c r="C92" i="335" s="1"/>
  <c r="D92" i="335" s="1"/>
  <c r="A92" i="335" a="1"/>
  <c r="A92" i="335" s="1"/>
  <c r="F91" i="335"/>
  <c r="E91" i="335"/>
  <c r="C91" i="335" a="1"/>
  <c r="C91" i="335" s="1"/>
  <c r="G91" i="335" s="1"/>
  <c r="A91" i="335" a="1"/>
  <c r="A91" i="335"/>
  <c r="F90" i="335"/>
  <c r="E90" i="335"/>
  <c r="C90" i="335" a="1"/>
  <c r="C90" i="335"/>
  <c r="D90" i="335"/>
  <c r="A90" i="335" a="1"/>
  <c r="A90" i="335"/>
  <c r="F89" i="335"/>
  <c r="E89" i="335"/>
  <c r="C89" i="335" a="1"/>
  <c r="C89" i="335"/>
  <c r="G89" i="335"/>
  <c r="A89" i="335" a="1"/>
  <c r="A89" i="335"/>
  <c r="F88" i="335"/>
  <c r="E88" i="335"/>
  <c r="C88" i="335" a="1"/>
  <c r="C88" i="335"/>
  <c r="D88" i="335" s="1"/>
  <c r="A88" i="335" a="1"/>
  <c r="A88" i="335"/>
  <c r="F87" i="335"/>
  <c r="E87" i="335"/>
  <c r="C87" i="335" a="1"/>
  <c r="C87" i="335" s="1"/>
  <c r="G87" i="335" s="1"/>
  <c r="A87" i="335" a="1"/>
  <c r="A87" i="335"/>
  <c r="F86" i="335"/>
  <c r="E86" i="335"/>
  <c r="C86" i="335" a="1"/>
  <c r="C86" i="335"/>
  <c r="D86" i="335" s="1"/>
  <c r="A86" i="335" a="1"/>
  <c r="A86" i="335" s="1"/>
  <c r="F85" i="335"/>
  <c r="E85" i="335"/>
  <c r="C85" i="335" a="1"/>
  <c r="C85" i="335"/>
  <c r="G85" i="335"/>
  <c r="A85" i="335" a="1"/>
  <c r="A85" i="335" s="1"/>
  <c r="F84" i="335"/>
  <c r="E84" i="335"/>
  <c r="C84" i="335" a="1"/>
  <c r="C84" i="335"/>
  <c r="D84" i="335"/>
  <c r="A84" i="335" a="1"/>
  <c r="A84" i="335" s="1"/>
  <c r="F83" i="335"/>
  <c r="E83" i="335"/>
  <c r="C83" i="335" a="1"/>
  <c r="C83" i="335"/>
  <c r="G83" i="335" s="1"/>
  <c r="A83" i="335" a="1"/>
  <c r="A83" i="335"/>
  <c r="F82" i="335"/>
  <c r="E82" i="335"/>
  <c r="C82" i="335" a="1"/>
  <c r="C82" i="335"/>
  <c r="D82" i="335" s="1"/>
  <c r="A82" i="335" a="1"/>
  <c r="A82" i="335"/>
  <c r="F81" i="335"/>
  <c r="E81" i="335"/>
  <c r="C81" i="335" a="1"/>
  <c r="C81" i="335" s="1"/>
  <c r="G81" i="335"/>
  <c r="A81" i="335" a="1"/>
  <c r="A81" i="335" s="1"/>
  <c r="F80" i="335"/>
  <c r="E80" i="335"/>
  <c r="C80" i="335" a="1"/>
  <c r="C80" i="335" s="1"/>
  <c r="D80" i="335" s="1"/>
  <c r="A80" i="335" a="1"/>
  <c r="A80" i="335" s="1"/>
  <c r="F79" i="335"/>
  <c r="E79" i="335"/>
  <c r="C79" i="335" a="1"/>
  <c r="C79" i="335" s="1"/>
  <c r="G79" i="335"/>
  <c r="A79" i="335" a="1"/>
  <c r="A79" i="335"/>
  <c r="F78" i="335"/>
  <c r="E78" i="335"/>
  <c r="C78" i="335" a="1"/>
  <c r="C78" i="335"/>
  <c r="D78" i="335" s="1"/>
  <c r="A78" i="335" a="1"/>
  <c r="A78" i="335"/>
  <c r="F77" i="335"/>
  <c r="E77" i="335"/>
  <c r="C77" i="335" a="1"/>
  <c r="C77" i="335"/>
  <c r="G77" i="335"/>
  <c r="A77" i="335" a="1"/>
  <c r="A77" i="335"/>
  <c r="F76" i="335"/>
  <c r="E76" i="335"/>
  <c r="C76" i="335" a="1"/>
  <c r="C76" i="335" s="1"/>
  <c r="D76" i="335" s="1"/>
  <c r="A76" i="335" a="1"/>
  <c r="A76" i="335" s="1"/>
  <c r="F75" i="335"/>
  <c r="E75" i="335"/>
  <c r="C75" i="335" a="1"/>
  <c r="C75" i="335" s="1"/>
  <c r="G75" i="335" s="1"/>
  <c r="A75" i="335" a="1"/>
  <c r="A75" i="335"/>
  <c r="F74" i="335"/>
  <c r="E74" i="335"/>
  <c r="C74" i="335" a="1"/>
  <c r="C74" i="335"/>
  <c r="D74" i="335" s="1"/>
  <c r="A74" i="335" a="1"/>
  <c r="A74" i="335"/>
  <c r="F73" i="335"/>
  <c r="E73" i="335"/>
  <c r="C73" i="335" a="1"/>
  <c r="C73" i="335"/>
  <c r="G73" i="335"/>
  <c r="A73" i="335" a="1"/>
  <c r="A73" i="335"/>
  <c r="F72" i="335"/>
  <c r="E72" i="335"/>
  <c r="C72" i="335" a="1"/>
  <c r="C72" i="335"/>
  <c r="G72" i="335" s="1"/>
  <c r="A72" i="335" a="1"/>
  <c r="A72" i="335"/>
  <c r="F71" i="335"/>
  <c r="E71" i="335"/>
  <c r="C71" i="335" a="1"/>
  <c r="C71" i="335" s="1"/>
  <c r="G71" i="335" s="1"/>
  <c r="A71" i="335" a="1"/>
  <c r="A71" i="335"/>
  <c r="F70" i="335"/>
  <c r="E70" i="335"/>
  <c r="C70" i="335" a="1"/>
  <c r="C70" i="335"/>
  <c r="G70" i="335" s="1"/>
  <c r="A70" i="335" a="1"/>
  <c r="A70" i="335" s="1"/>
  <c r="F69" i="335"/>
  <c r="E69" i="335"/>
  <c r="C69" i="335" a="1"/>
  <c r="C69" i="335"/>
  <c r="G69" i="335"/>
  <c r="A69" i="335" a="1"/>
  <c r="A69" i="335" s="1"/>
  <c r="F68" i="335"/>
  <c r="E68" i="335"/>
  <c r="C68" i="335" a="1"/>
  <c r="C68" i="335"/>
  <c r="G68" i="335"/>
  <c r="A68" i="335" a="1"/>
  <c r="A68" i="335" s="1"/>
  <c r="F67" i="335"/>
  <c r="E67" i="335"/>
  <c r="C67" i="335" a="1"/>
  <c r="C67" i="335" s="1"/>
  <c r="A67" i="335" a="1"/>
  <c r="A67" i="335"/>
  <c r="F66" i="335"/>
  <c r="E66" i="335"/>
  <c r="C66" i="335" a="1"/>
  <c r="C66" i="335"/>
  <c r="G66" i="335" s="1"/>
  <c r="A66" i="335" a="1"/>
  <c r="A66" i="335"/>
  <c r="F65" i="335"/>
  <c r="E65" i="335"/>
  <c r="C65" i="335" a="1"/>
  <c r="C65" i="335" s="1"/>
  <c r="G65" i="335" s="1"/>
  <c r="A65" i="335" a="1"/>
  <c r="A65" i="335" s="1"/>
  <c r="F64" i="335"/>
  <c r="E64" i="335"/>
  <c r="C64" i="335" a="1"/>
  <c r="C64" i="335" s="1"/>
  <c r="G64" i="335" s="1"/>
  <c r="A64" i="335" a="1"/>
  <c r="A64" i="335" s="1"/>
  <c r="F63" i="335"/>
  <c r="E63" i="335"/>
  <c r="C63" i="335" a="1"/>
  <c r="C63" i="335" s="1"/>
  <c r="G63" i="335" s="1"/>
  <c r="A63" i="335" a="1"/>
  <c r="A63" i="335"/>
  <c r="F62" i="335"/>
  <c r="E62" i="335"/>
  <c r="C62" i="335" a="1"/>
  <c r="C62" i="335"/>
  <c r="G62" i="335" s="1"/>
  <c r="A62" i="335" a="1"/>
  <c r="A62" i="335"/>
  <c r="F61" i="335"/>
  <c r="E61" i="335"/>
  <c r="C61" i="335" a="1"/>
  <c r="C61" i="335"/>
  <c r="G61" i="335"/>
  <c r="A61" i="335" a="1"/>
  <c r="A61" i="335"/>
  <c r="F60" i="335"/>
  <c r="E60" i="335"/>
  <c r="C60" i="335" a="1"/>
  <c r="C60" i="335" s="1"/>
  <c r="G60" i="335" s="1"/>
  <c r="A60" i="335" a="1"/>
  <c r="A60" i="335" s="1"/>
  <c r="F59" i="335"/>
  <c r="E59" i="335"/>
  <c r="C59" i="335" a="1"/>
  <c r="C59" i="335" s="1"/>
  <c r="G59" i="335" s="1"/>
  <c r="A59" i="335" a="1"/>
  <c r="A59" i="335"/>
  <c r="F58" i="335"/>
  <c r="E58" i="335"/>
  <c r="C58" i="335" a="1"/>
  <c r="C58" i="335"/>
  <c r="G58" i="335"/>
  <c r="A58" i="335" a="1"/>
  <c r="A58" i="335"/>
  <c r="F57" i="335"/>
  <c r="E57" i="335"/>
  <c r="C57" i="335" a="1"/>
  <c r="C57" i="335"/>
  <c r="G57" i="335"/>
  <c r="A57" i="335" a="1"/>
  <c r="A57" i="335"/>
  <c r="F56" i="335"/>
  <c r="E56" i="335"/>
  <c r="C56" i="335" a="1"/>
  <c r="C56" i="335"/>
  <c r="G56" i="335" s="1"/>
  <c r="A56" i="335" a="1"/>
  <c r="A56" i="335"/>
  <c r="F55" i="335"/>
  <c r="E55" i="335"/>
  <c r="C55" i="335" a="1"/>
  <c r="C55" i="335" s="1"/>
  <c r="G55" i="335" s="1"/>
  <c r="A55" i="335" a="1"/>
  <c r="A55" i="335"/>
  <c r="F54" i="335"/>
  <c r="E54" i="335"/>
  <c r="C54" i="335" a="1"/>
  <c r="C54" i="335"/>
  <c r="G54" i="335" s="1"/>
  <c r="A54" i="335" a="1"/>
  <c r="A54" i="335" s="1"/>
  <c r="F53" i="335"/>
  <c r="E53" i="335"/>
  <c r="C53" i="335" a="1"/>
  <c r="C53" i="335"/>
  <c r="G53" i="335" s="1"/>
  <c r="A53" i="335" a="1"/>
  <c r="A53" i="335" s="1"/>
  <c r="F52" i="335"/>
  <c r="E52" i="335"/>
  <c r="C52" i="335" a="1"/>
  <c r="C52" i="335"/>
  <c r="G52" i="335"/>
  <c r="A52" i="335" a="1"/>
  <c r="A52" i="335" s="1"/>
  <c r="F51" i="335"/>
  <c r="E51" i="335"/>
  <c r="C51" i="335" a="1"/>
  <c r="C51" i="335"/>
  <c r="G51" i="335" s="1"/>
  <c r="A51" i="335" a="1"/>
  <c r="A51" i="335"/>
  <c r="F50" i="335"/>
  <c r="E50" i="335"/>
  <c r="C50" i="335" a="1"/>
  <c r="C50" i="335"/>
  <c r="G50" i="335" s="1"/>
  <c r="A50" i="335" a="1"/>
  <c r="A50" i="335"/>
  <c r="F49" i="335"/>
  <c r="E49" i="335"/>
  <c r="C49" i="335" a="1"/>
  <c r="C49" i="335" s="1"/>
  <c r="G49" i="335" s="1"/>
  <c r="A49" i="335" a="1"/>
  <c r="A49" i="335" s="1"/>
  <c r="F48" i="335"/>
  <c r="E48" i="335"/>
  <c r="C48" i="335" a="1"/>
  <c r="C48" i="335" s="1"/>
  <c r="G48" i="335" s="1"/>
  <c r="A48" i="335" a="1"/>
  <c r="A48" i="335" s="1"/>
  <c r="F47" i="335"/>
  <c r="E47" i="335"/>
  <c r="C47" i="335" a="1"/>
  <c r="C47" i="335"/>
  <c r="G47" i="335"/>
  <c r="A47" i="335" a="1"/>
  <c r="A47" i="335" s="1"/>
  <c r="F46" i="335"/>
  <c r="E46" i="335"/>
  <c r="C46" i="335" a="1"/>
  <c r="C46" i="335"/>
  <c r="G46" i="335" s="1"/>
  <c r="A46" i="335" a="1"/>
  <c r="A46" i="335"/>
  <c r="F45" i="335"/>
  <c r="E45" i="335"/>
  <c r="C45" i="335" a="1"/>
  <c r="C45" i="335" s="1"/>
  <c r="A45" i="335" a="1"/>
  <c r="A45" i="335"/>
  <c r="F44" i="335"/>
  <c r="E44" i="335"/>
  <c r="C44" i="335" a="1"/>
  <c r="C44" i="335" s="1"/>
  <c r="G44" i="335" s="1"/>
  <c r="A44" i="335" a="1"/>
  <c r="A44" i="335" s="1"/>
  <c r="F43" i="335"/>
  <c r="E43" i="335"/>
  <c r="C43" i="335" a="1"/>
  <c r="C43" i="335" s="1"/>
  <c r="G43" i="335"/>
  <c r="A43" i="335" a="1"/>
  <c r="A43" i="335" s="1"/>
  <c r="F42" i="335"/>
  <c r="E42" i="335"/>
  <c r="C42" i="335" a="1"/>
  <c r="C42" i="335" s="1"/>
  <c r="G42" i="335" s="1"/>
  <c r="A42" i="335" a="1"/>
  <c r="A42" i="335"/>
  <c r="F41" i="335"/>
  <c r="E41" i="335"/>
  <c r="C41" i="335" a="1"/>
  <c r="C41" i="335"/>
  <c r="G41" i="335"/>
  <c r="A41" i="335" a="1"/>
  <c r="A41" i="335"/>
  <c r="F40" i="335"/>
  <c r="E40" i="335"/>
  <c r="C40" i="335" a="1"/>
  <c r="C40" i="335" s="1"/>
  <c r="G40" i="335" s="1"/>
  <c r="A40" i="335" a="1"/>
  <c r="A40" i="335"/>
  <c r="F39" i="335"/>
  <c r="E39" i="335"/>
  <c r="C39" i="335" a="1"/>
  <c r="C39" i="335" s="1"/>
  <c r="G39" i="335" s="1"/>
  <c r="A39" i="335" a="1"/>
  <c r="A39" i="335"/>
  <c r="F38" i="335"/>
  <c r="E38" i="335"/>
  <c r="C38" i="335" a="1"/>
  <c r="C38" i="335"/>
  <c r="D38" i="335"/>
  <c r="A38" i="335" a="1"/>
  <c r="A38" i="335"/>
  <c r="F37" i="335"/>
  <c r="E37" i="335"/>
  <c r="C37" i="335" a="1"/>
  <c r="C37" i="335"/>
  <c r="G37" i="335"/>
  <c r="A37" i="335" a="1"/>
  <c r="A37" i="335" s="1"/>
  <c r="F36" i="335"/>
  <c r="E36" i="335"/>
  <c r="C36" i="335" a="1"/>
  <c r="C36" i="335"/>
  <c r="G36" i="335"/>
  <c r="A36" i="335" a="1"/>
  <c r="A36" i="335"/>
  <c r="F35" i="335"/>
  <c r="E35" i="335"/>
  <c r="C35" i="335" a="1"/>
  <c r="C35" i="335" s="1"/>
  <c r="G35" i="335" s="1"/>
  <c r="A35" i="335" a="1"/>
  <c r="A35" i="335" s="1"/>
  <c r="F34" i="335"/>
  <c r="E34" i="335"/>
  <c r="C34" i="335" a="1"/>
  <c r="C34" i="335"/>
  <c r="G34" i="335" s="1"/>
  <c r="A34" i="335" a="1"/>
  <c r="A34" i="335" s="1"/>
  <c r="F33" i="335"/>
  <c r="E33" i="335"/>
  <c r="C33" i="335" a="1"/>
  <c r="C33" i="335"/>
  <c r="G33" i="335"/>
  <c r="A33" i="335" a="1"/>
  <c r="A33" i="335" s="1"/>
  <c r="F32" i="335"/>
  <c r="E32" i="335"/>
  <c r="C32" i="335" a="1"/>
  <c r="C32" i="335" s="1"/>
  <c r="G32" i="335" s="1"/>
  <c r="A32" i="335" a="1"/>
  <c r="A32" i="335" s="1"/>
  <c r="F31" i="335"/>
  <c r="E31" i="335"/>
  <c r="C31" i="335" a="1"/>
  <c r="C31" i="335" s="1"/>
  <c r="G31" i="335" s="1"/>
  <c r="A31" i="335" a="1"/>
  <c r="A31" i="335"/>
  <c r="F30" i="335"/>
  <c r="E30" i="335"/>
  <c r="C30" i="335" a="1"/>
  <c r="C30" i="335"/>
  <c r="G30" i="335" s="1"/>
  <c r="A30" i="335" a="1"/>
  <c r="A30" i="335"/>
  <c r="F29" i="335"/>
  <c r="E29" i="335"/>
  <c r="C29" i="335" a="1"/>
  <c r="C29" i="335"/>
  <c r="G29" i="335"/>
  <c r="A29" i="335" a="1"/>
  <c r="A29" i="335" s="1"/>
  <c r="F28" i="335"/>
  <c r="E28" i="335"/>
  <c r="C28" i="335" a="1"/>
  <c r="C28" i="335" s="1"/>
  <c r="G28" i="335" s="1"/>
  <c r="A28" i="335" a="1"/>
  <c r="A28" i="335" s="1"/>
  <c r="F27" i="335"/>
  <c r="E27" i="335"/>
  <c r="C27" i="335" a="1"/>
  <c r="C27" i="335" s="1"/>
  <c r="G27" i="335" s="1"/>
  <c r="A27" i="335" a="1"/>
  <c r="A27" i="335"/>
  <c r="F26" i="335"/>
  <c r="E26" i="335"/>
  <c r="C26" i="335" a="1"/>
  <c r="C26" i="335"/>
  <c r="G26" i="335"/>
  <c r="A26" i="335" a="1"/>
  <c r="A26" i="335" s="1"/>
  <c r="F25" i="335"/>
  <c r="E25" i="335"/>
  <c r="C25" i="335" a="1"/>
  <c r="C25" i="335"/>
  <c r="G25" i="335" s="1"/>
  <c r="A25" i="335" a="1"/>
  <c r="A25" i="335"/>
  <c r="F24" i="335"/>
  <c r="E24" i="335"/>
  <c r="C24" i="335" a="1"/>
  <c r="C24" i="335" s="1"/>
  <c r="G24" i="335" s="1"/>
  <c r="A24" i="335" a="1"/>
  <c r="A24" i="335"/>
  <c r="F23" i="335"/>
  <c r="E23" i="335"/>
  <c r="C23" i="335" a="1"/>
  <c r="C23" i="335"/>
  <c r="G23" i="335" s="1"/>
  <c r="A23" i="335" a="1"/>
  <c r="A23" i="335"/>
  <c r="F22" i="335"/>
  <c r="E22" i="335"/>
  <c r="C22" i="335" a="1"/>
  <c r="C22" i="335"/>
  <c r="G22" i="335"/>
  <c r="A22" i="335" a="1"/>
  <c r="A22" i="335" s="1"/>
  <c r="F21" i="335"/>
  <c r="E21" i="335"/>
  <c r="C21" i="335" a="1"/>
  <c r="C21" i="335"/>
  <c r="G21" i="335" s="1"/>
  <c r="A21" i="335" a="1"/>
  <c r="A21" i="335" s="1"/>
  <c r="F20" i="335"/>
  <c r="E20" i="335"/>
  <c r="C20" i="335" a="1"/>
  <c r="C20" i="335"/>
  <c r="G20" i="335" s="1"/>
  <c r="A20" i="335" a="1"/>
  <c r="A20" i="335"/>
  <c r="F19" i="335"/>
  <c r="E19" i="335"/>
  <c r="C19" i="335" a="1"/>
  <c r="C19" i="335" s="1"/>
  <c r="A19" i="335" a="1"/>
  <c r="A19" i="335"/>
  <c r="F18" i="335"/>
  <c r="E18" i="335"/>
  <c r="C18" i="335" a="1"/>
  <c r="C18" i="335" s="1"/>
  <c r="G18" i="335" s="1"/>
  <c r="A18" i="335" a="1"/>
  <c r="A18" i="335" s="1"/>
  <c r="F17" i="335"/>
  <c r="E17" i="335"/>
  <c r="C17" i="335" a="1"/>
  <c r="C17" i="335"/>
  <c r="G17" i="335"/>
  <c r="A17" i="335" a="1"/>
  <c r="A17" i="335" s="1"/>
  <c r="F16" i="335"/>
  <c r="E16" i="335"/>
  <c r="C16" i="335" a="1"/>
  <c r="C16" i="335" s="1"/>
  <c r="G16" i="335" s="1"/>
  <c r="A16" i="335" a="1"/>
  <c r="A16" i="335" s="1"/>
  <c r="F15" i="335"/>
  <c r="E15" i="335"/>
  <c r="C15" i="335" a="1"/>
  <c r="C15" i="335" s="1"/>
  <c r="G15" i="335" s="1"/>
  <c r="A15" i="335" a="1"/>
  <c r="A15" i="335"/>
  <c r="F14" i="335"/>
  <c r="E14" i="335"/>
  <c r="C14" i="335" a="1"/>
  <c r="C14" i="335"/>
  <c r="G14" i="335"/>
  <c r="A14" i="335" a="1"/>
  <c r="A14" i="335" s="1"/>
  <c r="F13" i="335"/>
  <c r="E13" i="335"/>
  <c r="C13" i="335" a="1"/>
  <c r="C13" i="335"/>
  <c r="G13" i="335" s="1"/>
  <c r="A13" i="335" a="1"/>
  <c r="A13" i="335" s="1"/>
  <c r="F12" i="335"/>
  <c r="E12" i="335"/>
  <c r="C12" i="335" a="1"/>
  <c r="C12" i="335" s="1"/>
  <c r="G12" i="335" s="1"/>
  <c r="A12" i="335" a="1"/>
  <c r="A12" i="335"/>
  <c r="F11" i="335"/>
  <c r="E11" i="335"/>
  <c r="C11" i="335" a="1"/>
  <c r="C11" i="335" s="1"/>
  <c r="G11" i="335"/>
  <c r="A11" i="335" a="1"/>
  <c r="A11" i="335"/>
  <c r="F10" i="335"/>
  <c r="E10" i="335"/>
  <c r="C10" i="335" a="1"/>
  <c r="C10" i="335"/>
  <c r="G10" i="335"/>
  <c r="A10" i="335" a="1"/>
  <c r="A10" i="335" s="1"/>
  <c r="A7" i="335"/>
  <c r="A6" i="335"/>
  <c r="L13" i="318"/>
  <c r="L14" i="318"/>
  <c r="L15" i="318" s="1"/>
  <c r="L16" i="318" s="1"/>
  <c r="L17" i="318" s="1"/>
  <c r="L18" i="318" s="1"/>
  <c r="L19" i="318" s="1"/>
  <c r="L20" i="318" s="1"/>
  <c r="L21" i="318" s="1"/>
  <c r="C21" i="394"/>
  <c r="C11" i="412" a="1"/>
  <c r="C11" i="412" s="1"/>
  <c r="C81" i="412" a="1"/>
  <c r="C81" i="412" s="1"/>
  <c r="U35" i="391"/>
  <c r="P19" i="310"/>
  <c r="P20" i="310" s="1"/>
  <c r="P21" i="310" s="1"/>
  <c r="P22" i="310" s="1"/>
  <c r="P23" i="310" s="1"/>
  <c r="P24" i="310" s="1"/>
  <c r="P25" i="310" s="1"/>
  <c r="P26" i="310" s="1"/>
  <c r="P27" i="310" s="1"/>
  <c r="P28" i="310" s="1"/>
  <c r="P29" i="310" s="1"/>
  <c r="P30" i="310" s="1"/>
  <c r="P31" i="310" s="1"/>
  <c r="P32" i="310" s="1"/>
  <c r="P33" i="310" s="1"/>
  <c r="P34" i="310" s="1"/>
  <c r="P35" i="310" s="1"/>
  <c r="P36" i="310" s="1"/>
  <c r="P37" i="310" s="1"/>
  <c r="P38" i="310" s="1"/>
  <c r="P39" i="310" s="1"/>
  <c r="P40" i="310" s="1"/>
  <c r="P41" i="310" s="1"/>
  <c r="P42" i="310" s="1"/>
  <c r="P43" i="310" s="1"/>
  <c r="P44" i="310" s="1"/>
  <c r="E35" i="391"/>
  <c r="E37" i="391" s="1"/>
  <c r="C13" i="417" a="1"/>
  <c r="C13" i="417" s="1"/>
  <c r="E20" i="391"/>
  <c r="L53" i="391"/>
  <c r="C53" i="417" a="1"/>
  <c r="C53" i="417" s="1"/>
  <c r="G105" i="346"/>
  <c r="G73" i="346"/>
  <c r="G41" i="346"/>
  <c r="H9" i="346"/>
  <c r="H17" i="346"/>
  <c r="H25" i="346" s="1"/>
  <c r="H33" i="346" s="1"/>
  <c r="H41" i="346" s="1"/>
  <c r="G89" i="346"/>
  <c r="G65" i="346"/>
  <c r="G33" i="346"/>
  <c r="G9" i="346"/>
  <c r="G57" i="346"/>
  <c r="G25" i="346"/>
  <c r="G17" i="346"/>
  <c r="C29" i="392"/>
  <c r="E58" i="391"/>
  <c r="C11" i="403"/>
  <c r="A12" i="421" a="1"/>
  <c r="A12" i="421" s="1"/>
  <c r="G12" i="421" a="1"/>
  <c r="G12" i="421" s="1"/>
  <c r="E22" i="392" a="1"/>
  <c r="E22" i="392" s="1"/>
  <c r="C66" i="416" a="1"/>
  <c r="C66" i="416" s="1"/>
  <c r="E14" i="392" a="1"/>
  <c r="E14" i="392" s="1"/>
  <c r="E18" i="392" a="1"/>
  <c r="E18" i="392" s="1"/>
  <c r="E10" i="395" a="1"/>
  <c r="E10" i="395" s="1"/>
  <c r="E14" i="395" a="1"/>
  <c r="E14" i="395" s="1"/>
  <c r="E18" i="395" a="1"/>
  <c r="E18" i="395" s="1"/>
  <c r="E14" i="397" a="1"/>
  <c r="E14" i="397" s="1"/>
  <c r="E54" i="391"/>
  <c r="C11" i="416" a="1"/>
  <c r="C11" i="416" s="1"/>
  <c r="C96" i="416" a="1"/>
  <c r="C96" i="416" s="1"/>
  <c r="E57" i="397" a="1"/>
  <c r="E57" i="397" s="1"/>
  <c r="C11" i="398"/>
  <c r="T59" i="391"/>
  <c r="E36" i="391"/>
  <c r="C19" i="416" a="1"/>
  <c r="C19" i="416" s="1"/>
  <c r="C106" i="416" a="1"/>
  <c r="C106" i="416" s="1"/>
  <c r="E16" i="397" a="1"/>
  <c r="E16" i="397" s="1"/>
  <c r="C55" i="416" a="1"/>
  <c r="C55" i="416" s="1"/>
  <c r="C136" i="416" a="1"/>
  <c r="C136" i="416" s="1"/>
  <c r="O12" i="365" a="1"/>
  <c r="O12" i="365" s="1"/>
  <c r="E13" i="399" a="1"/>
  <c r="E13" i="399" s="1"/>
  <c r="E23" i="399" a="1"/>
  <c r="E23" i="399" s="1"/>
  <c r="V20" i="391"/>
  <c r="C116" i="413" a="1"/>
  <c r="C116" i="413" s="1"/>
  <c r="C65" i="412" a="1"/>
  <c r="C65" i="412" s="1"/>
  <c r="E35" i="395" a="1"/>
  <c r="E35" i="395" s="1"/>
  <c r="C21" i="396"/>
  <c r="C19" i="396"/>
  <c r="E39" i="397" a="1"/>
  <c r="E39" i="397" s="1"/>
  <c r="E41" i="397" a="1"/>
  <c r="E41" i="397" s="1"/>
  <c r="E31" i="399" a="1"/>
  <c r="E31" i="399" s="1"/>
  <c r="C139" i="396"/>
  <c r="E14" i="399" a="1"/>
  <c r="E14" i="399" s="1"/>
  <c r="E17" i="399" a="1"/>
  <c r="E17" i="399" s="1"/>
  <c r="E18" i="401" a="1"/>
  <c r="E18" i="401" s="1"/>
  <c r="E23" i="401" a="1"/>
  <c r="E23" i="401" s="1"/>
  <c r="E35" i="401" a="1"/>
  <c r="E35" i="401" s="1"/>
  <c r="E84" i="401" a="1"/>
  <c r="E84" i="401" s="1"/>
  <c r="E21" i="391"/>
  <c r="E60" i="391"/>
  <c r="D37" i="391"/>
  <c r="U53" i="391"/>
  <c r="C30" i="413" a="1"/>
  <c r="C30" i="413" s="1"/>
  <c r="C34" i="416" a="1"/>
  <c r="C34" i="416" s="1"/>
  <c r="C78" i="416" a="1"/>
  <c r="C78" i="416" s="1"/>
  <c r="C114" i="416" a="1"/>
  <c r="C114" i="416" s="1"/>
  <c r="C97" i="417" a="1"/>
  <c r="C97" i="417" s="1"/>
  <c r="C33" i="412" a="1"/>
  <c r="C33" i="412" s="1"/>
  <c r="C109" i="412" a="1"/>
  <c r="C109" i="412" s="1"/>
  <c r="E22" i="395" a="1"/>
  <c r="E22" i="395" s="1"/>
  <c r="C29" i="395"/>
  <c r="E40" i="397" a="1"/>
  <c r="E40" i="397" s="1"/>
  <c r="D59" i="391"/>
  <c r="C71" i="413" a="1"/>
  <c r="C71" i="413" s="1"/>
  <c r="C48" i="416" a="1"/>
  <c r="C48" i="416" s="1"/>
  <c r="C85" i="416" a="1"/>
  <c r="C85" i="416" s="1"/>
  <c r="C125" i="416" a="1"/>
  <c r="C125" i="416" s="1"/>
  <c r="C50" i="412" a="1"/>
  <c r="C50" i="412" s="1"/>
  <c r="C137" i="412" a="1"/>
  <c r="C137" i="412" s="1"/>
  <c r="P9" i="316"/>
  <c r="P10" i="316" s="1"/>
  <c r="P11" i="316" s="1"/>
  <c r="P12" i="316" s="1"/>
  <c r="P13" i="316" s="1"/>
  <c r="D298" i="387"/>
  <c r="D14" i="387"/>
  <c r="D15" i="387"/>
  <c r="D17" i="387"/>
  <c r="D22" i="387"/>
  <c r="H22" i="387" s="1"/>
  <c r="D26" i="387"/>
  <c r="H26" i="387" s="1"/>
  <c r="D34" i="387"/>
  <c r="D35" i="387"/>
  <c r="H35" i="387" s="1"/>
  <c r="D40" i="387"/>
  <c r="D44" i="387"/>
  <c r="D48" i="387"/>
  <c r="D54" i="387"/>
  <c r="H54" i="387" s="1"/>
  <c r="D55" i="387"/>
  <c r="H55" i="387" s="1"/>
  <c r="D57" i="387"/>
  <c r="D58" i="387"/>
  <c r="D67" i="387"/>
  <c r="D68" i="387"/>
  <c r="H68" i="387" s="1"/>
  <c r="D69" i="387"/>
  <c r="D77" i="387"/>
  <c r="H77" i="387" s="1"/>
  <c r="D83" i="387"/>
  <c r="D91" i="387"/>
  <c r="D99" i="387"/>
  <c r="D103" i="387"/>
  <c r="D109" i="387"/>
  <c r="H109" i="387" s="1"/>
  <c r="D111" i="387"/>
  <c r="H111" i="387" s="1"/>
  <c r="D115" i="387"/>
  <c r="H115" i="387" s="1"/>
  <c r="D119" i="387"/>
  <c r="H119" i="387" s="1"/>
  <c r="D121" i="387"/>
  <c r="D125" i="387"/>
  <c r="H125" i="387" s="1"/>
  <c r="D130" i="387"/>
  <c r="H130" i="387" s="1"/>
  <c r="D132" i="387"/>
  <c r="H132" i="387" s="1"/>
  <c r="D136" i="387"/>
  <c r="H136" i="387" s="1"/>
  <c r="D137" i="387"/>
  <c r="H137" i="387" s="1"/>
  <c r="D208" i="387"/>
  <c r="H208" i="387" s="1"/>
  <c r="D212" i="387"/>
  <c r="H212" i="387" s="1"/>
  <c r="D214" i="387"/>
  <c r="H214" i="387" s="1"/>
  <c r="D216" i="387"/>
  <c r="D218" i="387"/>
  <c r="H218" i="387" s="1"/>
  <c r="D220" i="387"/>
  <c r="H220" i="387" s="1"/>
  <c r="D221" i="387"/>
  <c r="H221" i="387" s="1"/>
  <c r="D222" i="387"/>
  <c r="D224" i="387"/>
  <c r="H224" i="387" s="1"/>
  <c r="D226" i="387"/>
  <c r="D232" i="387"/>
  <c r="H232" i="387" s="1"/>
  <c r="D233" i="387"/>
  <c r="H233" i="387" s="1"/>
  <c r="D238" i="387"/>
  <c r="H238" i="387" s="1"/>
  <c r="D239" i="387"/>
  <c r="H239" i="387" s="1"/>
  <c r="D241" i="387"/>
  <c r="D242" i="387"/>
  <c r="H242" i="387" s="1"/>
  <c r="D244" i="387"/>
  <c r="H244" i="387" s="1"/>
  <c r="D245" i="387"/>
  <c r="H245" i="387" s="1"/>
  <c r="D252" i="387"/>
  <c r="H252" i="387" s="1"/>
  <c r="D254" i="387"/>
  <c r="H254" i="387" s="1"/>
  <c r="I87" i="337" s="1"/>
  <c r="D258" i="387"/>
  <c r="H258" i="387" s="1"/>
  <c r="D260" i="387"/>
  <c r="H260" i="387" s="1"/>
  <c r="D261" i="387"/>
  <c r="D264" i="387"/>
  <c r="H264" i="387" s="1"/>
  <c r="D266" i="387"/>
  <c r="H266" i="387" s="1"/>
  <c r="D267" i="387"/>
  <c r="H267" i="387" s="1"/>
  <c r="D269" i="387"/>
  <c r="D272" i="387"/>
  <c r="H272" i="387" s="1"/>
  <c r="D276" i="387"/>
  <c r="H276" i="387" s="1"/>
  <c r="D278" i="387"/>
  <c r="D281" i="387"/>
  <c r="H281" i="387" s="1"/>
  <c r="D282" i="387"/>
  <c r="H282" i="387" s="1"/>
  <c r="D284" i="387"/>
  <c r="D285" i="387"/>
  <c r="H285" i="387" s="1"/>
  <c r="I110" i="337" s="1"/>
  <c r="D288" i="387"/>
  <c r="H288" i="387" s="1"/>
  <c r="D289" i="387"/>
  <c r="H289" i="387" s="1"/>
  <c r="D290" i="387"/>
  <c r="H290" i="387" s="1"/>
  <c r="I112" i="337" s="1"/>
  <c r="D293" i="387"/>
  <c r="H293" i="387" s="1"/>
  <c r="D294" i="387"/>
  <c r="H294" i="387" s="1"/>
  <c r="D296" i="387"/>
  <c r="D297" i="387"/>
  <c r="H297" i="387" s="1"/>
  <c r="D300" i="387"/>
  <c r="D302" i="387"/>
  <c r="H302" i="387" s="1"/>
  <c r="D305" i="387"/>
  <c r="H305" i="387" s="1"/>
  <c r="D306" i="387"/>
  <c r="H306" i="387" s="1"/>
  <c r="D308" i="387"/>
  <c r="H308" i="387" s="1"/>
  <c r="D309" i="387"/>
  <c r="H309" i="387" s="1"/>
  <c r="D313" i="387"/>
  <c r="H313" i="387" s="1"/>
  <c r="D314" i="387"/>
  <c r="D315" i="387"/>
  <c r="H315" i="387" s="1"/>
  <c r="D317" i="387"/>
  <c r="D318" i="387"/>
  <c r="H318" i="387" s="1"/>
  <c r="D324" i="387"/>
  <c r="H324" i="387" s="1"/>
  <c r="G167" i="335"/>
  <c r="G197" i="335"/>
  <c r="H197" i="335" s="1"/>
  <c r="G112" i="335"/>
  <c r="G118" i="335"/>
  <c r="G169" i="335"/>
  <c r="H169" i="335" s="1"/>
  <c r="G186" i="335"/>
  <c r="G190" i="335"/>
  <c r="G144" i="335"/>
  <c r="H144" i="335" s="1"/>
  <c r="G172" i="335"/>
  <c r="H172" i="335" s="1"/>
  <c r="G176" i="335"/>
  <c r="H176" i="335" s="1"/>
  <c r="D87" i="335"/>
  <c r="H87" i="335" s="1"/>
  <c r="D207" i="335"/>
  <c r="D211" i="335"/>
  <c r="H211" i="335" s="1"/>
  <c r="D213" i="335"/>
  <c r="H213" i="335" s="1"/>
  <c r="D215" i="335"/>
  <c r="H215" i="335" s="1"/>
  <c r="D216" i="335"/>
  <c r="H216" i="335" s="1"/>
  <c r="D217" i="335"/>
  <c r="D218" i="335"/>
  <c r="H218" i="335" s="1"/>
  <c r="D220" i="335"/>
  <c r="H220" i="335" s="1"/>
  <c r="D224" i="335"/>
  <c r="H224" i="335" s="1"/>
  <c r="D226" i="335"/>
  <c r="H226" i="335" s="1"/>
  <c r="D227" i="335"/>
  <c r="D228" i="335"/>
  <c r="D229" i="335"/>
  <c r="H229" i="335" s="1"/>
  <c r="D233" i="335"/>
  <c r="D235" i="335"/>
  <c r="G145" i="387"/>
  <c r="H145" i="387" s="1"/>
  <c r="G152" i="387"/>
  <c r="G156" i="387"/>
  <c r="H156" i="387" s="1"/>
  <c r="G158" i="387"/>
  <c r="H158" i="387" s="1"/>
  <c r="G160" i="387"/>
  <c r="H160" i="387" s="1"/>
  <c r="G164" i="387"/>
  <c r="H164" i="387" s="1"/>
  <c r="I123" i="325" s="1"/>
  <c r="G168" i="387"/>
  <c r="H168" i="387" s="1"/>
  <c r="G170" i="387"/>
  <c r="H170" i="387" s="1"/>
  <c r="G174" i="387"/>
  <c r="G176" i="387"/>
  <c r="G180" i="387"/>
  <c r="H180" i="387" s="1"/>
  <c r="G182" i="387"/>
  <c r="G186" i="387"/>
  <c r="G188" i="387"/>
  <c r="G191" i="387"/>
  <c r="G193" i="387"/>
  <c r="G195" i="387"/>
  <c r="G197" i="387"/>
  <c r="G199" i="387"/>
  <c r="G201" i="387"/>
  <c r="G206" i="387"/>
  <c r="H206" i="387" s="1"/>
  <c r="G76" i="387"/>
  <c r="G82" i="387"/>
  <c r="G100" i="387"/>
  <c r="H100" i="387" s="1"/>
  <c r="G106" i="387"/>
  <c r="H106" i="387" s="1"/>
  <c r="G110" i="387"/>
  <c r="G112" i="387"/>
  <c r="H112" i="387" s="1"/>
  <c r="G114" i="387"/>
  <c r="G116" i="387"/>
  <c r="G138" i="387"/>
  <c r="G151" i="387"/>
  <c r="H151" i="387" s="1"/>
  <c r="G161" i="387"/>
  <c r="H161" i="387" s="1"/>
  <c r="G171" i="387"/>
  <c r="H171" i="387" s="1"/>
  <c r="G177" i="387"/>
  <c r="H177" i="387" s="1"/>
  <c r="G183" i="387"/>
  <c r="H183" i="387" s="1"/>
  <c r="G192" i="387"/>
  <c r="G200" i="387"/>
  <c r="G205" i="387"/>
  <c r="H205" i="387" s="1"/>
  <c r="D238" i="335"/>
  <c r="H238" i="335" s="1"/>
  <c r="D241" i="335"/>
  <c r="H241" i="335" s="1"/>
  <c r="D244" i="335"/>
  <c r="H244" i="335" s="1"/>
  <c r="D247" i="335"/>
  <c r="H247" i="335" s="1"/>
  <c r="D255" i="335"/>
  <c r="D264" i="335"/>
  <c r="H264" i="335" s="1"/>
  <c r="D266" i="335"/>
  <c r="D268" i="335"/>
  <c r="H268" i="335" s="1"/>
  <c r="D270" i="335"/>
  <c r="H270" i="335" s="1"/>
  <c r="D272" i="335"/>
  <c r="H272" i="335" s="1"/>
  <c r="D274" i="335"/>
  <c r="D275" i="335"/>
  <c r="H275" i="335" s="1"/>
  <c r="D277" i="335"/>
  <c r="D281" i="335"/>
  <c r="H281" i="335" s="1"/>
  <c r="D282" i="335"/>
  <c r="D283" i="335"/>
  <c r="D284" i="335"/>
  <c r="D286" i="335"/>
  <c r="H286" i="335" s="1"/>
  <c r="D288" i="335"/>
  <c r="H288" i="335" s="1"/>
  <c r="D289" i="335"/>
  <c r="H289" i="335" s="1"/>
  <c r="D290" i="335"/>
  <c r="H290" i="335" s="1"/>
  <c r="D292" i="335"/>
  <c r="H292" i="335" s="1"/>
  <c r="D293" i="335"/>
  <c r="D298" i="335"/>
  <c r="H298" i="335" s="1"/>
  <c r="D299" i="335"/>
  <c r="H299" i="335" s="1"/>
  <c r="D301" i="335"/>
  <c r="D302" i="335"/>
  <c r="D303" i="335"/>
  <c r="H303" i="335" s="1"/>
  <c r="D304" i="335"/>
  <c r="D305" i="335"/>
  <c r="H305" i="335" s="1"/>
  <c r="D306" i="335"/>
  <c r="H306" i="335" s="1"/>
  <c r="D312" i="335"/>
  <c r="D313" i="335"/>
  <c r="H313" i="335" s="1"/>
  <c r="D318" i="335"/>
  <c r="H318" i="335" s="1"/>
  <c r="D321" i="335"/>
  <c r="E13" i="392" a="1"/>
  <c r="E13" i="392" s="1"/>
  <c r="E23" i="392" a="1"/>
  <c r="E23" i="392" s="1"/>
  <c r="E53" i="392" a="1"/>
  <c r="E53" i="392" s="1"/>
  <c r="E59" i="392" a="1"/>
  <c r="E59" i="392" s="1"/>
  <c r="C21" i="389"/>
  <c r="E10" i="392" a="1"/>
  <c r="E10" i="392" s="1"/>
  <c r="C21" i="392"/>
  <c r="E31" i="392" a="1"/>
  <c r="E31" i="392" s="1"/>
  <c r="E34" i="392" a="1"/>
  <c r="E34" i="392" s="1"/>
  <c r="E44" i="392" a="1"/>
  <c r="E44" i="392" s="1"/>
  <c r="E160" i="392" a="1"/>
  <c r="E160" i="392" s="1"/>
  <c r="E66" i="392" a="1"/>
  <c r="E66" i="392" s="1"/>
  <c r="E52" i="392" a="1"/>
  <c r="E52" i="392" s="1"/>
  <c r="E45" i="392" a="1"/>
  <c r="E45" i="392" s="1"/>
  <c r="E43" i="392" a="1"/>
  <c r="E43" i="392" s="1"/>
  <c r="E41" i="392" a="1"/>
  <c r="E41" i="392" s="1"/>
  <c r="E38" i="392" a="1"/>
  <c r="E38" i="392" s="1"/>
  <c r="E35" i="392" a="1"/>
  <c r="E35" i="392" s="1"/>
  <c r="E55" i="392" a="1"/>
  <c r="E55" i="392" s="1"/>
  <c r="E71" i="392" a="1"/>
  <c r="E71" i="392" s="1"/>
  <c r="E12" i="397" a="1"/>
  <c r="E12" i="397" s="1"/>
  <c r="E18" i="397" a="1"/>
  <c r="E18" i="397" s="1"/>
  <c r="E30" i="397" a="1"/>
  <c r="E30" i="397" s="1"/>
  <c r="E45" i="397" a="1"/>
  <c r="E45" i="397" s="1"/>
  <c r="C21" i="398"/>
  <c r="C21" i="399"/>
  <c r="E28" i="399" a="1"/>
  <c r="E28" i="399" s="1"/>
  <c r="C29" i="401"/>
  <c r="E91" i="394" a="1"/>
  <c r="E91" i="394" s="1"/>
  <c r="E94" i="394" a="1"/>
  <c r="E94" i="394" s="1"/>
  <c r="E18" i="404" a="1"/>
  <c r="E18" i="404" s="1"/>
  <c r="E34" i="404" a="1"/>
  <c r="E34" i="404" s="1"/>
  <c r="E44" i="404" a="1"/>
  <c r="E44" i="404" s="1"/>
  <c r="E55" i="404" a="1"/>
  <c r="E55" i="404" s="1"/>
  <c r="E57" i="404" a="1"/>
  <c r="E57" i="404" s="1"/>
  <c r="E66" i="404" a="1"/>
  <c r="E66" i="404" s="1"/>
  <c r="E68" i="404" a="1"/>
  <c r="E68" i="404" s="1"/>
  <c r="D60" i="391"/>
  <c r="D61" i="391"/>
  <c r="D55" i="391"/>
  <c r="C15" i="416" a="1"/>
  <c r="C15" i="416" s="1"/>
  <c r="C37" i="416" a="1"/>
  <c r="C37" i="416" s="1"/>
  <c r="C62" i="416" a="1"/>
  <c r="C62" i="416" s="1"/>
  <c r="C82" i="416" a="1"/>
  <c r="C82" i="416" s="1"/>
  <c r="C100" i="416" a="1"/>
  <c r="C100" i="416" s="1"/>
  <c r="C121" i="416" a="1"/>
  <c r="C121" i="416" s="1"/>
  <c r="C34" i="417" a="1"/>
  <c r="C34" i="417" s="1"/>
  <c r="C111" i="417" a="1"/>
  <c r="C111" i="417" s="1"/>
  <c r="C21" i="412" a="1"/>
  <c r="C21" i="412" s="1"/>
  <c r="C58" i="412" a="1"/>
  <c r="C58" i="412" s="1"/>
  <c r="C88" i="412" a="1"/>
  <c r="C88" i="412" s="1"/>
  <c r="C116" i="412" a="1"/>
  <c r="C116" i="412" s="1"/>
  <c r="C9" i="398"/>
  <c r="E137" i="401" a="1"/>
  <c r="E137" i="401" s="1"/>
  <c r="E63" i="394" a="1"/>
  <c r="E63" i="394" s="1"/>
  <c r="E70" i="394" a="1"/>
  <c r="E70" i="394" s="1"/>
  <c r="E16" i="404" a="1"/>
  <c r="E16" i="404" s="1"/>
  <c r="E60" i="404" a="1"/>
  <c r="E60" i="404" s="1"/>
  <c r="E62" i="404" a="1"/>
  <c r="E62" i="404" s="1"/>
  <c r="C95" i="412" a="1"/>
  <c r="C95" i="412" s="1"/>
  <c r="C124" i="412" a="1"/>
  <c r="C124" i="412" s="1"/>
  <c r="G12" i="365" a="1"/>
  <c r="G12" i="365" s="1"/>
  <c r="E12" i="395" a="1"/>
  <c r="E12" i="395" s="1"/>
  <c r="E23" i="395" a="1"/>
  <c r="E23" i="395" s="1"/>
  <c r="E34" i="395" a="1"/>
  <c r="E34" i="395" s="1"/>
  <c r="E39" i="395" a="1"/>
  <c r="E39" i="395" s="1"/>
  <c r="E10" i="397" a="1"/>
  <c r="E10" i="397" s="1"/>
  <c r="E20" i="397" a="1"/>
  <c r="E20" i="397" s="1"/>
  <c r="E44" i="397" a="1"/>
  <c r="E44" i="397" s="1"/>
  <c r="E59" i="397" a="1"/>
  <c r="E59" i="397" s="1"/>
  <c r="E10" i="399" a="1"/>
  <c r="E10" i="399" s="1"/>
  <c r="E12" i="401" a="1"/>
  <c r="E12" i="401" s="1"/>
  <c r="E40" i="401" a="1"/>
  <c r="E40" i="401" s="1"/>
  <c r="E26" i="404" a="1"/>
  <c r="E26" i="404" s="1"/>
  <c r="E56" i="404" a="1"/>
  <c r="E56" i="404" s="1"/>
  <c r="E65" i="404" a="1"/>
  <c r="E65" i="404" s="1"/>
  <c r="E69" i="404" a="1"/>
  <c r="E69" i="404" s="1"/>
  <c r="E72" i="404" a="1"/>
  <c r="E72" i="404" s="1"/>
  <c r="E19" i="391"/>
  <c r="V53" i="391"/>
  <c r="C29" i="416" a="1"/>
  <c r="C29" i="416" s="1"/>
  <c r="C51" i="416" a="1"/>
  <c r="C51" i="416" s="1"/>
  <c r="C70" i="416" a="1"/>
  <c r="C70" i="416" s="1"/>
  <c r="C93" i="416" a="1"/>
  <c r="C93" i="416" s="1"/>
  <c r="C110" i="416" a="1"/>
  <c r="C110" i="416" s="1"/>
  <c r="C128" i="416" a="1"/>
  <c r="C128" i="416" s="1"/>
  <c r="C83" i="417" a="1"/>
  <c r="C83" i="417" s="1"/>
  <c r="C40" i="412" a="1"/>
  <c r="C40" i="412" s="1"/>
  <c r="C71" i="412" a="1"/>
  <c r="C71" i="412" s="1"/>
  <c r="C103" i="412" a="1"/>
  <c r="C103" i="412" s="1"/>
  <c r="C131" i="412" a="1"/>
  <c r="C131" i="412" s="1"/>
  <c r="E10" i="404" a="1"/>
  <c r="E10" i="404" s="1"/>
  <c r="E22" i="404" a="1"/>
  <c r="E22" i="404" s="1"/>
  <c r="E37" i="404" a="1"/>
  <c r="E37" i="404" s="1"/>
  <c r="E59" i="404" a="1"/>
  <c r="E59" i="404" s="1"/>
  <c r="E63" i="404" a="1"/>
  <c r="E63" i="404" s="1"/>
  <c r="K12" i="365" a="1"/>
  <c r="K12" i="365"/>
  <c r="K31" i="365" a="1"/>
  <c r="K31" i="365"/>
  <c r="I57" i="341"/>
  <c r="I14" i="422" a="1"/>
  <c r="I14" i="422"/>
  <c r="E18" i="389" a="1"/>
  <c r="E18" i="389" s="1"/>
  <c r="C19" i="389"/>
  <c r="E35" i="389" a="1"/>
  <c r="E35" i="389" s="1"/>
  <c r="E42" i="389" a="1"/>
  <c r="E42" i="389" s="1"/>
  <c r="E65" i="389" a="1"/>
  <c r="E65" i="389" s="1"/>
  <c r="E83" i="389" a="1"/>
  <c r="E83" i="389" s="1"/>
  <c r="E96" i="389" a="1"/>
  <c r="E96" i="389" s="1"/>
  <c r="E102" i="389" a="1"/>
  <c r="E102" i="389" s="1"/>
  <c r="E107" i="389" a="1"/>
  <c r="E107" i="389" s="1"/>
  <c r="E115" i="389" a="1"/>
  <c r="E115" i="389" s="1"/>
  <c r="E123" i="389" a="1"/>
  <c r="E123" i="389" s="1"/>
  <c r="C21" i="407"/>
  <c r="C19" i="392"/>
  <c r="C32" i="392"/>
  <c r="E64" i="392" a="1"/>
  <c r="E64" i="392" s="1"/>
  <c r="E69" i="392" a="1"/>
  <c r="E69" i="392" s="1"/>
  <c r="E84" i="392" a="1"/>
  <c r="E84" i="392" s="1"/>
  <c r="E86" i="392" a="1"/>
  <c r="E86" i="392" s="1"/>
  <c r="E94" i="392" a="1"/>
  <c r="E94" i="392" s="1"/>
  <c r="E96" i="392" a="1"/>
  <c r="E96" i="392" s="1"/>
  <c r="E107" i="392" a="1"/>
  <c r="E107" i="392" s="1"/>
  <c r="E122" i="392" a="1"/>
  <c r="E122" i="392" s="1"/>
  <c r="E133" i="392" a="1"/>
  <c r="E133" i="392" s="1"/>
  <c r="E142" i="392" a="1"/>
  <c r="E142" i="392" s="1"/>
  <c r="E145" i="392" a="1"/>
  <c r="E145" i="392" s="1"/>
  <c r="E155" i="392" a="1"/>
  <c r="E155" i="392" s="1"/>
  <c r="E161" i="392" a="1"/>
  <c r="E161" i="392" s="1"/>
  <c r="E42" i="395" a="1"/>
  <c r="E42" i="395" s="1"/>
  <c r="E58" i="395" a="1"/>
  <c r="E58" i="395" s="1"/>
  <c r="E65" i="395" a="1"/>
  <c r="E65" i="395" s="1"/>
  <c r="E101" i="395" a="1"/>
  <c r="E101" i="395" s="1"/>
  <c r="E103" i="395" a="1"/>
  <c r="E103" i="395" s="1"/>
  <c r="E16" i="389" a="1"/>
  <c r="E16" i="389" s="1"/>
  <c r="E30" i="389" a="1"/>
  <c r="E30" i="389" s="1"/>
  <c r="E33" i="389" a="1"/>
  <c r="E33" i="389" s="1"/>
  <c r="E55" i="389" a="1"/>
  <c r="E55" i="389" s="1"/>
  <c r="E63" i="389" a="1"/>
  <c r="E63" i="389" s="1"/>
  <c r="E68" i="389" a="1"/>
  <c r="E68" i="389" s="1"/>
  <c r="E74" i="389" a="1"/>
  <c r="E74" i="389" s="1"/>
  <c r="E91" i="389" a="1"/>
  <c r="E91" i="389" s="1"/>
  <c r="E110" i="389" a="1"/>
  <c r="E110" i="389" s="1"/>
  <c r="E157" i="389" a="1"/>
  <c r="E157" i="389" s="1"/>
  <c r="C29" i="407"/>
  <c r="E12" i="392" a="1"/>
  <c r="E12" i="392" s="1"/>
  <c r="E17" i="392" a="1"/>
  <c r="E17" i="392" s="1"/>
  <c r="E20" i="392" a="1"/>
  <c r="E20" i="392" s="1"/>
  <c r="E26" i="392" a="1"/>
  <c r="E26" i="392" s="1"/>
  <c r="E30" i="392" a="1"/>
  <c r="E30" i="392" s="1"/>
  <c r="E33" i="392" a="1"/>
  <c r="E33" i="392" s="1"/>
  <c r="E40" i="392" a="1"/>
  <c r="E40" i="392" s="1"/>
  <c r="E42" i="392" a="1"/>
  <c r="E42" i="392" s="1"/>
  <c r="E54" i="392" a="1"/>
  <c r="E54" i="392" s="1"/>
  <c r="E58" i="392" a="1"/>
  <c r="E58" i="392" s="1"/>
  <c r="E63" i="392" a="1"/>
  <c r="E63" i="392" s="1"/>
  <c r="E83" i="392" a="1"/>
  <c r="E83" i="392" s="1"/>
  <c r="E93" i="392" a="1"/>
  <c r="E93" i="392" s="1"/>
  <c r="E101" i="392" a="1"/>
  <c r="E101" i="392" s="1"/>
  <c r="E104" i="392" a="1"/>
  <c r="E104" i="392" s="1"/>
  <c r="E106" i="392" a="1"/>
  <c r="E106" i="392" s="1"/>
  <c r="E120" i="392" a="1"/>
  <c r="E120" i="392" s="1"/>
  <c r="E131" i="392" a="1"/>
  <c r="E131" i="392" s="1"/>
  <c r="E136" i="392" a="1"/>
  <c r="E136" i="392" s="1"/>
  <c r="E159" i="392" a="1"/>
  <c r="E159" i="392" s="1"/>
  <c r="E160" i="395" a="1"/>
  <c r="E160" i="395" s="1"/>
  <c r="E175" i="395" a="1"/>
  <c r="E175" i="395" s="1"/>
  <c r="E177" i="395" s="1"/>
  <c r="E162" i="395" a="1"/>
  <c r="E162" i="395" s="1"/>
  <c r="E135" i="395" a="1"/>
  <c r="E135" i="395" s="1"/>
  <c r="E133" i="395" a="1"/>
  <c r="E133" i="395" s="1"/>
  <c r="E129" i="395" a="1"/>
  <c r="E129" i="395" s="1"/>
  <c r="E127" i="395" a="1"/>
  <c r="E127" i="395" s="1"/>
  <c r="E121" i="395" a="1"/>
  <c r="E121" i="395" s="1"/>
  <c r="E115" i="395" a="1"/>
  <c r="E115" i="395" s="1"/>
  <c r="E113" i="395" a="1"/>
  <c r="E113" i="395" s="1"/>
  <c r="E107" i="395" a="1"/>
  <c r="E107" i="395" s="1"/>
  <c r="E100" i="395" a="1"/>
  <c r="E100" i="395" s="1"/>
  <c r="E95" i="395" a="1"/>
  <c r="E95" i="395" s="1"/>
  <c r="E89" i="395" a="1"/>
  <c r="E89" i="395" s="1"/>
  <c r="E72" i="395" a="1"/>
  <c r="E72" i="395" s="1"/>
  <c r="E67" i="395" a="1"/>
  <c r="E67" i="395" s="1"/>
  <c r="E61" i="395" a="1"/>
  <c r="E61" i="395" s="1"/>
  <c r="E159" i="395" a="1"/>
  <c r="E159" i="395" s="1"/>
  <c r="E145" i="395" a="1"/>
  <c r="E145" i="395" s="1"/>
  <c r="E142" i="395" a="1"/>
  <c r="E142" i="395" s="1"/>
  <c r="E122" i="395" a="1"/>
  <c r="E122" i="395" s="1"/>
  <c r="E136" i="395" a="1"/>
  <c r="E136" i="395" s="1"/>
  <c r="E132" i="395" a="1"/>
  <c r="E132" i="395" s="1"/>
  <c r="E124" i="395" a="1"/>
  <c r="E124" i="395" s="1"/>
  <c r="E118" i="395" a="1"/>
  <c r="E118" i="395" s="1"/>
  <c r="E156" i="395" a="1"/>
  <c r="E156" i="395" s="1"/>
  <c r="E17" i="395" a="1"/>
  <c r="E17" i="395" s="1"/>
  <c r="E28" i="395" a="1"/>
  <c r="E28" i="395" s="1"/>
  <c r="E31" i="395" a="1"/>
  <c r="E31" i="395" s="1"/>
  <c r="E41" i="395" a="1"/>
  <c r="E41" i="395" s="1"/>
  <c r="E68" i="395" a="1"/>
  <c r="E68" i="395" s="1"/>
  <c r="E87" i="395" a="1"/>
  <c r="E87" i="395" s="1"/>
  <c r="E110" i="395" a="1"/>
  <c r="E110" i="395" s="1"/>
  <c r="E126" i="395" a="1"/>
  <c r="E126" i="395" s="1"/>
  <c r="E14" i="389" a="1"/>
  <c r="E14" i="389" s="1"/>
  <c r="E23" i="389" a="1"/>
  <c r="E23" i="389" s="1"/>
  <c r="E28" i="389" a="1"/>
  <c r="E28" i="389" s="1"/>
  <c r="C29" i="389"/>
  <c r="C27" i="389" s="1"/>
  <c r="E39" i="389" a="1"/>
  <c r="E39" i="389" s="1"/>
  <c r="E45" i="389" a="1"/>
  <c r="E45" i="389" s="1"/>
  <c r="E86" i="389" a="1"/>
  <c r="E86" i="389" s="1"/>
  <c r="E99" i="389" a="1"/>
  <c r="E99" i="389" s="1"/>
  <c r="E133" i="389" a="1"/>
  <c r="E133" i="389" s="1"/>
  <c r="E142" i="389" a="1"/>
  <c r="E142" i="389" s="1"/>
  <c r="E155" i="389" a="1"/>
  <c r="E155" i="389" s="1"/>
  <c r="E56" i="392" a="1"/>
  <c r="E56" i="392" s="1"/>
  <c r="E61" i="392" a="1"/>
  <c r="E61" i="392" s="1"/>
  <c r="E72" i="392" a="1"/>
  <c r="E72" i="392" s="1"/>
  <c r="E74" i="392" a="1"/>
  <c r="E74" i="392" s="1"/>
  <c r="E81" i="392" a="1"/>
  <c r="E81" i="392" s="1"/>
  <c r="E89" i="392" a="1"/>
  <c r="E89" i="392" s="1"/>
  <c r="E91" i="392" a="1"/>
  <c r="E91" i="392" s="1"/>
  <c r="E99" i="392" a="1"/>
  <c r="E99" i="392" s="1"/>
  <c r="E114" i="392" a="1"/>
  <c r="E114" i="392" s="1"/>
  <c r="E125" i="392" a="1"/>
  <c r="E125" i="392" s="1"/>
  <c r="E130" i="392" a="1"/>
  <c r="E130" i="392" s="1"/>
  <c r="E158" i="392" a="1"/>
  <c r="E158" i="392" s="1"/>
  <c r="E175" i="392" a="1"/>
  <c r="E175" i="392" s="1"/>
  <c r="C21" i="395"/>
  <c r="E45" i="395" a="1"/>
  <c r="E45" i="395" s="1"/>
  <c r="E52" i="395" a="1"/>
  <c r="E52" i="395" s="1"/>
  <c r="E64" i="395" a="1"/>
  <c r="E64" i="395" s="1"/>
  <c r="E71" i="395" a="1"/>
  <c r="E71" i="395" s="1"/>
  <c r="E79" i="395" a="1"/>
  <c r="E79" i="395" s="1"/>
  <c r="E85" i="395" a="1"/>
  <c r="E85" i="395" s="1"/>
  <c r="E90" i="395" a="1"/>
  <c r="E90" i="395" s="1"/>
  <c r="E92" i="395" a="1"/>
  <c r="E92" i="395" s="1"/>
  <c r="E106" i="395" a="1"/>
  <c r="E106" i="395" s="1"/>
  <c r="E12" i="389" a="1"/>
  <c r="E12" i="389" s="1"/>
  <c r="E20" i="389" a="1"/>
  <c r="E20" i="389" s="1"/>
  <c r="E44" i="389" a="1"/>
  <c r="E44" i="389" s="1"/>
  <c r="E52" i="389" a="1"/>
  <c r="E52" i="389" s="1"/>
  <c r="E71" i="389" a="1"/>
  <c r="E71" i="389" s="1"/>
  <c r="E104" i="389" a="1"/>
  <c r="E104" i="389" s="1"/>
  <c r="E120" i="389" a="1"/>
  <c r="E120" i="389" s="1"/>
  <c r="E125" i="389" a="1"/>
  <c r="E125" i="389" s="1"/>
  <c r="E98" i="392" a="1"/>
  <c r="E98" i="392" s="1"/>
  <c r="E109" i="392" a="1"/>
  <c r="E109" i="392" s="1"/>
  <c r="E112" i="392" a="1"/>
  <c r="E112" i="392" s="1"/>
  <c r="E117" i="392" a="1"/>
  <c r="E117" i="392" s="1"/>
  <c r="E123" i="392" a="1"/>
  <c r="E123" i="392" s="1"/>
  <c r="E128" i="392" a="1"/>
  <c r="E128" i="392" s="1"/>
  <c r="E156" i="392" a="1"/>
  <c r="E156" i="392" s="1"/>
  <c r="E162" i="392" a="1"/>
  <c r="E162" i="392" s="1"/>
  <c r="C11" i="395"/>
  <c r="E38" i="395" a="1"/>
  <c r="E38" i="395" s="1"/>
  <c r="E44" i="395" a="1"/>
  <c r="E44" i="395" s="1"/>
  <c r="E55" i="395" a="1"/>
  <c r="E55" i="395" s="1"/>
  <c r="E74" i="395" a="1"/>
  <c r="E74" i="395" s="1"/>
  <c r="C78" i="395"/>
  <c r="C77" i="395" s="1"/>
  <c r="C76" i="395" s="1"/>
  <c r="E82" i="395" a="1"/>
  <c r="E82" i="395" s="1"/>
  <c r="E84" i="395" a="1"/>
  <c r="E84" i="395" s="1"/>
  <c r="E98" i="395" a="1"/>
  <c r="E98" i="395" s="1"/>
  <c r="E104" i="395" a="1"/>
  <c r="E104" i="395" s="1"/>
  <c r="E70" i="397" a="1"/>
  <c r="E70" i="397" s="1"/>
  <c r="E85" i="397" a="1"/>
  <c r="E85" i="397" s="1"/>
  <c r="E90" i="397" a="1"/>
  <c r="E90" i="397" s="1"/>
  <c r="E99" i="397" a="1"/>
  <c r="E99" i="397" s="1"/>
  <c r="E112" i="397" a="1"/>
  <c r="E112" i="397" s="1"/>
  <c r="E116" i="397" a="1"/>
  <c r="E116" i="397" s="1"/>
  <c r="E121" i="397" a="1"/>
  <c r="E121" i="397" s="1"/>
  <c r="E126" i="397" a="1"/>
  <c r="E126" i="397" s="1"/>
  <c r="E10" i="393" a="1"/>
  <c r="E10" i="393" s="1"/>
  <c r="E13" i="393" a="1"/>
  <c r="E13" i="393" s="1"/>
  <c r="E18" i="393" a="1"/>
  <c r="E18" i="393" s="1"/>
  <c r="E53" i="393" a="1"/>
  <c r="E53" i="393" s="1"/>
  <c r="E61" i="393" a="1"/>
  <c r="E61" i="393" s="1"/>
  <c r="E67" i="393" a="1"/>
  <c r="E67" i="393" s="1"/>
  <c r="E72" i="393" a="1"/>
  <c r="E72" i="393" s="1"/>
  <c r="E74" i="393" a="1"/>
  <c r="E74" i="393" s="1"/>
  <c r="E98" i="393" a="1"/>
  <c r="E98" i="393" s="1"/>
  <c r="E13" i="398" a="1"/>
  <c r="E13" i="398" s="1"/>
  <c r="E41" i="398" a="1"/>
  <c r="E41" i="398" s="1"/>
  <c r="E44" i="398" a="1"/>
  <c r="E44" i="398" s="1"/>
  <c r="E23" i="397" a="1"/>
  <c r="E23" i="397" s="1"/>
  <c r="E28" i="397" a="1"/>
  <c r="E28" i="397" s="1"/>
  <c r="E37" i="397" a="1"/>
  <c r="E37" i="397" s="1"/>
  <c r="E52" i="397" a="1"/>
  <c r="E52" i="397" s="1"/>
  <c r="E54" i="397" a="1"/>
  <c r="E54" i="397" s="1"/>
  <c r="E56" i="397" a="1"/>
  <c r="E56" i="397" s="1"/>
  <c r="E68" i="397" a="1"/>
  <c r="E68" i="397" s="1"/>
  <c r="E79" i="397" a="1"/>
  <c r="E79" i="397" s="1"/>
  <c r="E88" i="397" a="1"/>
  <c r="E88" i="397" s="1"/>
  <c r="E93" i="397" a="1"/>
  <c r="E93" i="397" s="1"/>
  <c r="E95" i="397" a="1"/>
  <c r="E95" i="397" s="1"/>
  <c r="E102" i="397" a="1"/>
  <c r="E102" i="397" s="1"/>
  <c r="E104" i="397" a="1"/>
  <c r="E104" i="397" s="1"/>
  <c r="E124" i="397" a="1"/>
  <c r="E124" i="397" s="1"/>
  <c r="E129" i="397" a="1"/>
  <c r="E129" i="397" s="1"/>
  <c r="E159" i="397" a="1"/>
  <c r="E159" i="397" s="1"/>
  <c r="E16" i="393" a="1"/>
  <c r="E16" i="393" s="1"/>
  <c r="E23" i="393" a="1"/>
  <c r="E23" i="393" s="1"/>
  <c r="E31" i="393" a="1"/>
  <c r="E31" i="393" s="1"/>
  <c r="E34" i="393" a="1"/>
  <c r="E34" i="393" s="1"/>
  <c r="E40" i="393" a="1"/>
  <c r="E40" i="393" s="1"/>
  <c r="E44" i="393" a="1"/>
  <c r="E44" i="393" s="1"/>
  <c r="E57" i="393" a="1"/>
  <c r="E57" i="393" s="1"/>
  <c r="E63" i="393" a="1"/>
  <c r="E63" i="393" s="1"/>
  <c r="E70" i="393" a="1"/>
  <c r="E70" i="393" s="1"/>
  <c r="E81" i="393" a="1"/>
  <c r="E81" i="393" s="1"/>
  <c r="E89" i="393" a="1"/>
  <c r="E89" i="393" s="1"/>
  <c r="E112" i="393" a="1"/>
  <c r="E112" i="393" s="1"/>
  <c r="C29" i="398"/>
  <c r="E39" i="398" a="1"/>
  <c r="E39" i="398" s="1"/>
  <c r="E12" i="396" a="1"/>
  <c r="E12" i="396" s="1"/>
  <c r="E62" i="397" a="1"/>
  <c r="E62" i="397" s="1"/>
  <c r="E82" i="397" a="1"/>
  <c r="E82" i="397" s="1"/>
  <c r="E98" i="397" a="1"/>
  <c r="E98" i="397" s="1"/>
  <c r="E107" i="397" a="1"/>
  <c r="E107" i="397" s="1"/>
  <c r="E109" i="397" a="1"/>
  <c r="E109" i="397" s="1"/>
  <c r="E113" i="397" a="1"/>
  <c r="E113" i="397" s="1"/>
  <c r="E115" i="397" a="1"/>
  <c r="E115" i="397" s="1"/>
  <c r="E127" i="397" a="1"/>
  <c r="E127" i="397" s="1"/>
  <c r="E134" i="397" a="1"/>
  <c r="E134" i="397" s="1"/>
  <c r="E142" i="397" a="1"/>
  <c r="E142" i="397" s="1"/>
  <c r="E157" i="397" a="1"/>
  <c r="E157" i="397" s="1"/>
  <c r="E28" i="393" a="1"/>
  <c r="E28" i="393" s="1"/>
  <c r="E38" i="393" a="1"/>
  <c r="E38" i="393" s="1"/>
  <c r="E54" i="393" a="1"/>
  <c r="E54" i="393" s="1"/>
  <c r="E56" i="393" a="1"/>
  <c r="E56" i="393" s="1"/>
  <c r="E60" i="393" a="1"/>
  <c r="E60" i="393" s="1"/>
  <c r="E62" i="393" a="1"/>
  <c r="E62" i="393" s="1"/>
  <c r="E66" i="393" a="1"/>
  <c r="E66" i="393" s="1"/>
  <c r="E84" i="393" a="1"/>
  <c r="E84" i="393" s="1"/>
  <c r="E92" i="393" a="1"/>
  <c r="E92" i="393" s="1"/>
  <c r="E110" i="393" a="1"/>
  <c r="E110" i="393" s="1"/>
  <c r="E12" i="398" a="1"/>
  <c r="E12" i="398" s="1"/>
  <c r="C15" i="398"/>
  <c r="E26" i="397" a="1"/>
  <c r="E26" i="397" s="1"/>
  <c r="E33" i="397" a="1"/>
  <c r="E33" i="397" s="1"/>
  <c r="E35" i="397" a="1"/>
  <c r="E35" i="397" s="1"/>
  <c r="E42" i="397" a="1"/>
  <c r="E42" i="397" s="1"/>
  <c r="E55" i="397" a="1"/>
  <c r="E55" i="397" s="1"/>
  <c r="E60" i="397" a="1"/>
  <c r="E60" i="397" s="1"/>
  <c r="E65" i="397" a="1"/>
  <c r="E65" i="397" s="1"/>
  <c r="E67" i="397" a="1"/>
  <c r="E67" i="397" s="1"/>
  <c r="E72" i="397" a="1"/>
  <c r="E72" i="397" s="1"/>
  <c r="E74" i="397" a="1"/>
  <c r="E74" i="397" s="1"/>
  <c r="E87" i="397" a="1"/>
  <c r="E87" i="397" s="1"/>
  <c r="E92" i="397" a="1"/>
  <c r="E92" i="397" s="1"/>
  <c r="E96" i="397" a="1"/>
  <c r="E96" i="397" s="1"/>
  <c r="E105" i="397" a="1"/>
  <c r="E105" i="397" s="1"/>
  <c r="E118" i="397" a="1"/>
  <c r="E118" i="397" s="1"/>
  <c r="E123" i="397" a="1"/>
  <c r="E123" i="397" s="1"/>
  <c r="E132" i="397" a="1"/>
  <c r="E132" i="397" s="1"/>
  <c r="E137" i="397" a="1"/>
  <c r="E137" i="397" s="1"/>
  <c r="E140" i="397" a="1"/>
  <c r="E140" i="397" s="1"/>
  <c r="E155" i="397" a="1"/>
  <c r="E155" i="397" s="1"/>
  <c r="E14" i="393" a="1"/>
  <c r="E14" i="393" s="1"/>
  <c r="E22" i="393" a="1"/>
  <c r="E22" i="393" s="1"/>
  <c r="E26" i="393" a="1"/>
  <c r="E26" i="393" s="1"/>
  <c r="E33" i="393" a="1"/>
  <c r="E33" i="393" s="1"/>
  <c r="E35" i="393" a="1"/>
  <c r="E35" i="393" s="1"/>
  <c r="E41" i="393" a="1"/>
  <c r="E41" i="393" s="1"/>
  <c r="E43" i="393" a="1"/>
  <c r="E43" i="393" s="1"/>
  <c r="E45" i="393" a="1"/>
  <c r="E45" i="393" s="1"/>
  <c r="E58" i="393" a="1"/>
  <c r="E58" i="393" s="1"/>
  <c r="E64" i="393" a="1"/>
  <c r="E64" i="393" s="1"/>
  <c r="E69" i="393" a="1"/>
  <c r="E69" i="393" s="1"/>
  <c r="E80" i="393" a="1"/>
  <c r="E80" i="393" s="1"/>
  <c r="E95" i="393" a="1"/>
  <c r="E95" i="393" s="1"/>
  <c r="E103" i="393" a="1"/>
  <c r="E103" i="393" s="1"/>
  <c r="E10" i="398" a="1"/>
  <c r="E10" i="398" s="1"/>
  <c r="E34" i="398" a="1"/>
  <c r="E34" i="398" s="1"/>
  <c r="E163" i="401" a="1"/>
  <c r="E163" i="401" s="1"/>
  <c r="E156" i="401" a="1"/>
  <c r="E156" i="401" s="1"/>
  <c r="E135" i="401" a="1"/>
  <c r="E135" i="401" s="1"/>
  <c r="E130" i="401" a="1"/>
  <c r="E130" i="401" s="1"/>
  <c r="E104" i="401" a="1"/>
  <c r="E104" i="401" s="1"/>
  <c r="E85" i="401" a="1"/>
  <c r="E85" i="401" s="1"/>
  <c r="E81" i="401" a="1"/>
  <c r="E81" i="401" s="1"/>
  <c r="E70" i="401" a="1"/>
  <c r="E70" i="401" s="1"/>
  <c r="E68" i="401" a="1"/>
  <c r="E68" i="401" s="1"/>
  <c r="E61" i="401" a="1"/>
  <c r="E61" i="401" s="1"/>
  <c r="E59" i="401" a="1"/>
  <c r="E59" i="401" s="1"/>
  <c r="E57" i="401" a="1"/>
  <c r="E57" i="401" s="1"/>
  <c r="E55" i="401" a="1"/>
  <c r="E55" i="401" s="1"/>
  <c r="E53" i="401" a="1"/>
  <c r="E53" i="401" s="1"/>
  <c r="E43" i="401" a="1"/>
  <c r="E43" i="401" s="1"/>
  <c r="E41" i="401" a="1"/>
  <c r="E41" i="401" s="1"/>
  <c r="E37" i="401" a="1"/>
  <c r="E37" i="401" s="1"/>
  <c r="E34" i="401" a="1"/>
  <c r="E34" i="401" s="1"/>
  <c r="E26" i="401" a="1"/>
  <c r="E26" i="401" s="1"/>
  <c r="E22" i="401" a="1"/>
  <c r="E22" i="401" s="1"/>
  <c r="E16" i="401" a="1"/>
  <c r="E16" i="401" s="1"/>
  <c r="E10" i="401" a="1"/>
  <c r="E10" i="401" s="1"/>
  <c r="E38" i="401" a="1"/>
  <c r="E38" i="401" s="1"/>
  <c r="E54" i="401" a="1"/>
  <c r="E54" i="401" s="1"/>
  <c r="E62" i="401" a="1"/>
  <c r="E62" i="401" s="1"/>
  <c r="E65" i="401" a="1"/>
  <c r="E65" i="401" s="1"/>
  <c r="E73" i="401" a="1"/>
  <c r="E73" i="401" s="1"/>
  <c r="E82" i="401" a="1"/>
  <c r="E82" i="401" s="1"/>
  <c r="E91" i="401" a="1"/>
  <c r="E91" i="401" s="1"/>
  <c r="E109" i="401" a="1"/>
  <c r="E109" i="401" s="1"/>
  <c r="E118" i="401" a="1"/>
  <c r="E118" i="401" s="1"/>
  <c r="E132" i="401" a="1"/>
  <c r="E132" i="401" s="1"/>
  <c r="E160" i="394" a="1"/>
  <c r="E160" i="394" s="1"/>
  <c r="E156" i="394" a="1"/>
  <c r="E156" i="394" s="1"/>
  <c r="E128" i="394" a="1"/>
  <c r="E128" i="394" s="1"/>
  <c r="E120" i="394" a="1"/>
  <c r="E120" i="394" s="1"/>
  <c r="E115" i="394" a="1"/>
  <c r="E115" i="394" s="1"/>
  <c r="E110" i="394" a="1"/>
  <c r="E110" i="394" s="1"/>
  <c r="E105" i="394" a="1"/>
  <c r="E105" i="394" s="1"/>
  <c r="E73" i="394" a="1"/>
  <c r="E73" i="394" s="1"/>
  <c r="E68" i="394" a="1"/>
  <c r="E68" i="394" s="1"/>
  <c r="E44" i="394" a="1"/>
  <c r="E44" i="394" s="1"/>
  <c r="E31" i="394" a="1"/>
  <c r="E31" i="394" s="1"/>
  <c r="E10" i="394" a="1"/>
  <c r="E10" i="394" s="1"/>
  <c r="E22" i="394" a="1"/>
  <c r="E22" i="394" s="1"/>
  <c r="E26" i="394" a="1"/>
  <c r="E26" i="394" s="1"/>
  <c r="E39" i="394" a="1"/>
  <c r="E39" i="394" s="1"/>
  <c r="E45" i="394" a="1"/>
  <c r="E45" i="394" s="1"/>
  <c r="E61" i="394" a="1"/>
  <c r="E61" i="394" s="1"/>
  <c r="E80" i="394" a="1"/>
  <c r="E80" i="394" s="1"/>
  <c r="E83" i="394" a="1"/>
  <c r="E83" i="394" s="1"/>
  <c r="E112" i="394" a="1"/>
  <c r="E112" i="394" s="1"/>
  <c r="E161" i="394" a="1"/>
  <c r="E161" i="394" s="1"/>
  <c r="E14" i="402" a="1"/>
  <c r="E14" i="402" s="1"/>
  <c r="E39" i="402" a="1"/>
  <c r="E39" i="402" s="1"/>
  <c r="E41" i="402" a="1"/>
  <c r="E41" i="402" s="1"/>
  <c r="E43" i="402" a="1"/>
  <c r="E43" i="402" s="1"/>
  <c r="E45" i="402" a="1"/>
  <c r="E45" i="402" s="1"/>
  <c r="E52" i="402" a="1"/>
  <c r="E52" i="402" s="1"/>
  <c r="E68" i="402" a="1"/>
  <c r="E68" i="402" s="1"/>
  <c r="E12" i="403" a="1"/>
  <c r="E12" i="403" s="1"/>
  <c r="E14" i="403" a="1"/>
  <c r="E14" i="403" s="1"/>
  <c r="E17" i="403" a="1"/>
  <c r="E17" i="403" s="1"/>
  <c r="E20" i="403" a="1"/>
  <c r="E20" i="403" s="1"/>
  <c r="E28" i="403" a="1"/>
  <c r="E28" i="403" s="1"/>
  <c r="E52" i="403" a="1"/>
  <c r="E52" i="403" s="1"/>
  <c r="E65" i="403" a="1"/>
  <c r="E65" i="403" s="1"/>
  <c r="E68" i="403" a="1"/>
  <c r="E68" i="403" s="1"/>
  <c r="E26" i="405" a="1"/>
  <c r="E26" i="405" s="1"/>
  <c r="E34" i="405" a="1"/>
  <c r="E34" i="405" s="1"/>
  <c r="E42" i="405" a="1"/>
  <c r="E42" i="405" s="1"/>
  <c r="E57" i="405" a="1"/>
  <c r="E57" i="405" s="1"/>
  <c r="E65" i="405" a="1"/>
  <c r="E65" i="405" s="1"/>
  <c r="E81" i="405" a="1"/>
  <c r="E81" i="405" s="1"/>
  <c r="E86" i="405" a="1"/>
  <c r="E86" i="405" s="1"/>
  <c r="E107" i="405" a="1"/>
  <c r="E107" i="405" s="1"/>
  <c r="C164" i="405"/>
  <c r="C32" i="388"/>
  <c r="C32" i="399"/>
  <c r="E98" i="401" a="1"/>
  <c r="E98" i="401" s="1"/>
  <c r="E101" i="401" a="1"/>
  <c r="E101" i="401" s="1"/>
  <c r="E116" i="401" a="1"/>
  <c r="E116" i="401" s="1"/>
  <c r="E121" i="401" a="1"/>
  <c r="E121" i="401" s="1"/>
  <c r="E124" i="401" a="1"/>
  <c r="E124" i="401" s="1"/>
  <c r="E141" i="401" a="1"/>
  <c r="E141" i="401" s="1"/>
  <c r="E56" i="394" a="1"/>
  <c r="E56" i="394" s="1"/>
  <c r="E107" i="394" a="1"/>
  <c r="E107" i="394" s="1"/>
  <c r="E118" i="394" a="1"/>
  <c r="E118" i="394" s="1"/>
  <c r="E142" i="394" a="1"/>
  <c r="E142" i="394" s="1"/>
  <c r="E55" i="402" a="1"/>
  <c r="E55" i="402" s="1"/>
  <c r="E63" i="402" a="1"/>
  <c r="E63" i="402" s="1"/>
  <c r="E71" i="402" a="1"/>
  <c r="E71" i="402" s="1"/>
  <c r="E74" i="402" a="1"/>
  <c r="E74" i="402" s="1"/>
  <c r="E10" i="403" a="1"/>
  <c r="E10" i="403" s="1"/>
  <c r="E37" i="403" a="1"/>
  <c r="E37" i="403" s="1"/>
  <c r="E39" i="403" a="1"/>
  <c r="E39" i="403" s="1"/>
  <c r="E55" i="403" a="1"/>
  <c r="E55" i="403" s="1"/>
  <c r="E60" i="403" a="1"/>
  <c r="E60" i="403" s="1"/>
  <c r="E63" i="403" a="1"/>
  <c r="E63" i="403" s="1"/>
  <c r="E74" i="403" a="1"/>
  <c r="E74" i="403" s="1"/>
  <c r="E97" i="403" a="1"/>
  <c r="E97" i="403" s="1"/>
  <c r="E102" i="403" a="1"/>
  <c r="E102" i="403" s="1"/>
  <c r="E105" i="403" a="1"/>
  <c r="E105" i="403" s="1"/>
  <c r="E14" i="405" a="1"/>
  <c r="E14" i="405" s="1"/>
  <c r="E17" i="405" a="1"/>
  <c r="E17" i="405" s="1"/>
  <c r="E20" i="405" a="1"/>
  <c r="E20" i="405" s="1"/>
  <c r="E23" i="405" a="1"/>
  <c r="E23" i="405" s="1"/>
  <c r="E40" i="405" a="1"/>
  <c r="E40" i="405" s="1"/>
  <c r="E53" i="405" a="1"/>
  <c r="E53" i="405" s="1"/>
  <c r="E63" i="405" a="1"/>
  <c r="E63" i="405" s="1"/>
  <c r="E71" i="405" a="1"/>
  <c r="E71" i="405" s="1"/>
  <c r="E73" i="405" a="1"/>
  <c r="E73" i="405" s="1"/>
  <c r="E92" i="405" a="1"/>
  <c r="E92" i="405" s="1"/>
  <c r="E113" i="405" a="1"/>
  <c r="E113" i="405" s="1"/>
  <c r="E18" i="388" a="1"/>
  <c r="E18" i="388" s="1"/>
  <c r="E52" i="388" a="1"/>
  <c r="E52" i="388" s="1"/>
  <c r="E52" i="391"/>
  <c r="E14" i="401" a="1"/>
  <c r="E14" i="401" s="1"/>
  <c r="E33" i="401" a="1"/>
  <c r="E33" i="401" s="1"/>
  <c r="E42" i="401" a="1"/>
  <c r="E42" i="401" s="1"/>
  <c r="E58" i="401" a="1"/>
  <c r="E58" i="401" s="1"/>
  <c r="E74" i="401" a="1"/>
  <c r="E74" i="401" s="1"/>
  <c r="E86" i="401" a="1"/>
  <c r="E86" i="401" s="1"/>
  <c r="E145" i="401" a="1"/>
  <c r="E145" i="401" s="1"/>
  <c r="E14" i="394" a="1"/>
  <c r="E14" i="394" s="1"/>
  <c r="E17" i="394" a="1"/>
  <c r="E17" i="394" s="1"/>
  <c r="E20" i="394" a="1"/>
  <c r="E20" i="394" s="1"/>
  <c r="E23" i="394" a="1"/>
  <c r="E23" i="394" s="1"/>
  <c r="E33" i="394" a="1"/>
  <c r="E33" i="394" s="1"/>
  <c r="E88" i="394" a="1"/>
  <c r="E88" i="394" s="1"/>
  <c r="E96" i="394" a="1"/>
  <c r="E96" i="394" s="1"/>
  <c r="E99" i="394" a="1"/>
  <c r="E99" i="394" s="1"/>
  <c r="E125" i="394" a="1"/>
  <c r="E125" i="394" s="1"/>
  <c r="E16" i="402" a="1"/>
  <c r="E16" i="402" s="1"/>
  <c r="E42" i="402" a="1"/>
  <c r="E42" i="402" s="1"/>
  <c r="E13" i="403" a="1"/>
  <c r="E13" i="403" s="1"/>
  <c r="E16" i="403" a="1"/>
  <c r="E16" i="403" s="1"/>
  <c r="E22" i="403" a="1"/>
  <c r="E22" i="403" s="1"/>
  <c r="E26" i="403" a="1"/>
  <c r="E26" i="403" s="1"/>
  <c r="E30" i="403" a="1"/>
  <c r="E30" i="403" s="1"/>
  <c r="E58" i="403" a="1"/>
  <c r="E58" i="403" s="1"/>
  <c r="E81" i="403" a="1"/>
  <c r="E81" i="403" s="1"/>
  <c r="E86" i="403" a="1"/>
  <c r="E86" i="403" s="1"/>
  <c r="E92" i="403" a="1"/>
  <c r="E92" i="403" s="1"/>
  <c r="E12" i="405" a="1"/>
  <c r="E12" i="405" s="1"/>
  <c r="E66" i="405" a="1"/>
  <c r="E66" i="405" s="1"/>
  <c r="E69" i="405" a="1"/>
  <c r="E69" i="405" s="1"/>
  <c r="E82" i="405" a="1"/>
  <c r="E82" i="405" s="1"/>
  <c r="E41" i="388" a="1"/>
  <c r="E41" i="388" s="1"/>
  <c r="E35" i="402" a="1"/>
  <c r="E35" i="402" s="1"/>
  <c r="E22" i="402" a="1"/>
  <c r="E22" i="402" s="1"/>
  <c r="E20" i="402" a="1"/>
  <c r="E20" i="402" s="1"/>
  <c r="E31" i="402" a="1"/>
  <c r="E31" i="402" s="1"/>
  <c r="E163" i="403" a="1"/>
  <c r="E163" i="403" s="1"/>
  <c r="E71" i="403" a="1"/>
  <c r="E71" i="403" s="1"/>
  <c r="E45" i="403" a="1"/>
  <c r="E45" i="403" s="1"/>
  <c r="E42" i="403" a="1"/>
  <c r="E42" i="403" s="1"/>
  <c r="E35" i="403" a="1"/>
  <c r="E35" i="403" s="1"/>
  <c r="E33" i="403" a="1"/>
  <c r="E33" i="403" s="1"/>
  <c r="E40" i="403" a="1"/>
  <c r="E40" i="403" s="1"/>
  <c r="E84" i="403" a="1"/>
  <c r="E84" i="403" s="1"/>
  <c r="E163" i="405" a="1"/>
  <c r="E163" i="405" s="1"/>
  <c r="E110" i="405" a="1"/>
  <c r="E110" i="405" s="1"/>
  <c r="E101" i="405" a="1"/>
  <c r="E101" i="405" s="1"/>
  <c r="E89" i="405" a="1"/>
  <c r="E89" i="405" s="1"/>
  <c r="E79" i="405" a="1"/>
  <c r="E79" i="405" s="1"/>
  <c r="E68" i="405" a="1"/>
  <c r="E68" i="405" s="1"/>
  <c r="E62" i="405" a="1"/>
  <c r="E62" i="405" s="1"/>
  <c r="E60" i="405" a="1"/>
  <c r="E60" i="405" s="1"/>
  <c r="E56" i="405" a="1"/>
  <c r="E56" i="405" s="1"/>
  <c r="E54" i="405" a="1"/>
  <c r="E54" i="405" s="1"/>
  <c r="E45" i="405" a="1"/>
  <c r="E45" i="405" s="1"/>
  <c r="E43" i="405" a="1"/>
  <c r="E43" i="405" s="1"/>
  <c r="E39" i="405" a="1"/>
  <c r="E39" i="405" s="1"/>
  <c r="E37" i="405" a="1"/>
  <c r="E37" i="405" s="1"/>
  <c r="E31" i="405" a="1"/>
  <c r="E31" i="405" s="1"/>
  <c r="E10" i="405" a="1"/>
  <c r="E10" i="405" s="1"/>
  <c r="E16" i="405" a="1"/>
  <c r="E16" i="405" s="1"/>
  <c r="E22" i="405" a="1"/>
  <c r="E22" i="405" s="1"/>
  <c r="E30" i="405" a="1"/>
  <c r="E30" i="405" s="1"/>
  <c r="E35" i="405" a="1"/>
  <c r="E35" i="405" s="1"/>
  <c r="E59" i="405" a="1"/>
  <c r="E59" i="405" s="1"/>
  <c r="E72" i="405" a="1"/>
  <c r="E72" i="405" s="1"/>
  <c r="E74" i="405" a="1"/>
  <c r="E74" i="405" s="1"/>
  <c r="C40" i="413" a="1"/>
  <c r="C40" i="413" s="1"/>
  <c r="C84" i="413" a="1"/>
  <c r="C84" i="413" s="1"/>
  <c r="C127" i="413" a="1"/>
  <c r="C127" i="413" s="1"/>
  <c r="C23" i="416" a="1"/>
  <c r="C23" i="416" s="1"/>
  <c r="C41" i="416" a="1"/>
  <c r="C41" i="416" s="1"/>
  <c r="C59" i="416" a="1"/>
  <c r="C59" i="416" s="1"/>
  <c r="C72" i="416" a="1"/>
  <c r="C72" i="416" s="1"/>
  <c r="C89" i="416" a="1"/>
  <c r="C89" i="416" s="1"/>
  <c r="C104" i="416" a="1"/>
  <c r="C104" i="416" s="1"/>
  <c r="C117" i="416" a="1"/>
  <c r="C117" i="416" s="1"/>
  <c r="C66" i="417" a="1"/>
  <c r="C66" i="417" s="1"/>
  <c r="C125" i="417" a="1"/>
  <c r="C125" i="417" s="1"/>
  <c r="C17" i="412" a="1"/>
  <c r="C17" i="412" s="1"/>
  <c r="C36" i="412" a="1"/>
  <c r="C36" i="412" s="1"/>
  <c r="C54" i="412" a="1"/>
  <c r="C54" i="412" s="1"/>
  <c r="C69" i="412" a="1"/>
  <c r="C69" i="412" s="1"/>
  <c r="C84" i="412" a="1"/>
  <c r="C84" i="412" s="1"/>
  <c r="C99" i="412" a="1"/>
  <c r="C99" i="412" s="1"/>
  <c r="C113" i="412" a="1"/>
  <c r="C113" i="412" s="1"/>
  <c r="C127" i="412" a="1"/>
  <c r="C127" i="412" s="1"/>
  <c r="E26" i="399" a="1"/>
  <c r="E26" i="399" s="1"/>
  <c r="E33" i="399" a="1"/>
  <c r="E33" i="399" s="1"/>
  <c r="C19" i="394"/>
  <c r="C15" i="403"/>
  <c r="C29" i="403"/>
  <c r="C27" i="403" s="1"/>
  <c r="E12" i="404" a="1"/>
  <c r="E12" i="404" s="1"/>
  <c r="E14" i="404" a="1"/>
  <c r="E14" i="404" s="1"/>
  <c r="E20" i="404" a="1"/>
  <c r="E20" i="404" s="1"/>
  <c r="E23" i="404" a="1"/>
  <c r="E23" i="404" s="1"/>
  <c r="E33" i="404" a="1"/>
  <c r="E33" i="404" s="1"/>
  <c r="E38" i="404" a="1"/>
  <c r="E38" i="404" s="1"/>
  <c r="E40" i="404" a="1"/>
  <c r="E40" i="404" s="1"/>
  <c r="E52" i="404" a="1"/>
  <c r="E52" i="404" s="1"/>
  <c r="E73" i="404" a="1"/>
  <c r="E73" i="404" s="1"/>
  <c r="C29" i="405"/>
  <c r="C36" i="388"/>
  <c r="U20" i="391"/>
  <c r="U59" i="391"/>
  <c r="E13" i="391"/>
  <c r="E16" i="391"/>
  <c r="S59" i="391"/>
  <c r="V59" i="391"/>
  <c r="E28" i="391"/>
  <c r="E31" i="391"/>
  <c r="E34" i="391"/>
  <c r="V35" i="391"/>
  <c r="E40" i="391"/>
  <c r="E43" i="391"/>
  <c r="E46" i="391"/>
  <c r="E49" i="391"/>
  <c r="C51" i="413" a="1"/>
  <c r="C51" i="413" s="1"/>
  <c r="C95" i="413" a="1"/>
  <c r="C95" i="413" s="1"/>
  <c r="C137" i="413" a="1"/>
  <c r="C137" i="413" s="1"/>
  <c r="C18" i="413" a="1"/>
  <c r="C18" i="413" s="1"/>
  <c r="C61" i="413" a="1"/>
  <c r="C61" i="413" s="1"/>
  <c r="C27" i="412" a="1"/>
  <c r="C27" i="412" s="1"/>
  <c r="C44" i="412" a="1"/>
  <c r="C44" i="412" s="1"/>
  <c r="C61" i="412" a="1"/>
  <c r="C61" i="412" s="1"/>
  <c r="C77" i="412" a="1"/>
  <c r="C77" i="412" s="1"/>
  <c r="C92" i="412" a="1"/>
  <c r="C92" i="412" s="1"/>
  <c r="C105" i="412" a="1"/>
  <c r="C105" i="412" s="1"/>
  <c r="C120" i="412" a="1"/>
  <c r="C120" i="412" s="1"/>
  <c r="C13" i="421"/>
  <c r="Q12" i="421" a="1"/>
  <c r="Q12" i="421" s="1"/>
  <c r="F7" i="345" a="1"/>
  <c r="F7" i="345" s="1"/>
  <c r="F9" i="345" a="1"/>
  <c r="F9" i="345" s="1"/>
  <c r="F11" i="345" a="1"/>
  <c r="F11" i="345" s="1"/>
  <c r="F13" i="345" a="1"/>
  <c r="F13" i="345" s="1"/>
  <c r="F15" i="345" a="1"/>
  <c r="F15" i="345" s="1"/>
  <c r="N14" i="422" a="1"/>
  <c r="N14" i="422"/>
  <c r="G8" i="345" a="1"/>
  <c r="G8" i="345" s="1"/>
  <c r="G10" i="345" a="1"/>
  <c r="G10" i="345" s="1"/>
  <c r="G12" i="345" a="1"/>
  <c r="G12" i="345" s="1"/>
  <c r="G14" i="345" a="1"/>
  <c r="G14" i="345" s="1"/>
  <c r="G16" i="345" a="1"/>
  <c r="G16" i="345" s="1"/>
  <c r="F17" i="345" a="1"/>
  <c r="F17" i="345" s="1"/>
  <c r="G18" i="345" a="1"/>
  <c r="G18" i="345" s="1"/>
  <c r="A14" i="422" a="1"/>
  <c r="A14" i="422"/>
  <c r="C139" i="360"/>
  <c r="C139" i="389"/>
  <c r="E13" i="407" a="1"/>
  <c r="E13" i="407" s="1"/>
  <c r="E20" i="407" a="1"/>
  <c r="E20" i="407" s="1"/>
  <c r="E22" i="407" a="1"/>
  <c r="E22" i="407" s="1"/>
  <c r="E28" i="407" a="1"/>
  <c r="E28" i="407" s="1"/>
  <c r="E30" i="407" a="1"/>
  <c r="E30" i="407" s="1"/>
  <c r="C32" i="407"/>
  <c r="E34" i="407" a="1"/>
  <c r="E34" i="407" s="1"/>
  <c r="E41" i="407" a="1"/>
  <c r="E41" i="407" s="1"/>
  <c r="E54" i="407" a="1"/>
  <c r="E54" i="407" s="1"/>
  <c r="E57" i="407" a="1"/>
  <c r="E57" i="407" s="1"/>
  <c r="E60" i="407" a="1"/>
  <c r="E60" i="407" s="1"/>
  <c r="E71" i="407" a="1"/>
  <c r="E71" i="407" s="1"/>
  <c r="E74" i="407" a="1"/>
  <c r="E74" i="407" s="1"/>
  <c r="E83" i="407" a="1"/>
  <c r="E83" i="407" s="1"/>
  <c r="E86" i="407" a="1"/>
  <c r="E86" i="407" s="1"/>
  <c r="E91" i="407" a="1"/>
  <c r="E91" i="407" s="1"/>
  <c r="E94" i="407" a="1"/>
  <c r="E94" i="407" s="1"/>
  <c r="E99" i="407" a="1"/>
  <c r="E99" i="407" s="1"/>
  <c r="E107" i="407" a="1"/>
  <c r="E107" i="407" s="1"/>
  <c r="E118" i="407" a="1"/>
  <c r="E118" i="407" s="1"/>
  <c r="E120" i="407" a="1"/>
  <c r="E120" i="407" s="1"/>
  <c r="E131" i="407" a="1"/>
  <c r="E131" i="407" s="1"/>
  <c r="E142" i="407" a="1"/>
  <c r="E142" i="407" s="1"/>
  <c r="E155" i="407" a="1"/>
  <c r="E155" i="407" s="1"/>
  <c r="E157" i="407" a="1"/>
  <c r="E157" i="407" s="1"/>
  <c r="E162" i="407" a="1"/>
  <c r="E162" i="407" s="1"/>
  <c r="E162" i="408" a="1"/>
  <c r="E162" i="408" s="1"/>
  <c r="E159" i="408" a="1"/>
  <c r="E159" i="408" s="1"/>
  <c r="E157" i="408" a="1"/>
  <c r="E157" i="408" s="1"/>
  <c r="E142" i="408" a="1"/>
  <c r="E142" i="408" s="1"/>
  <c r="E133" i="408" a="1"/>
  <c r="E133" i="408" s="1"/>
  <c r="E125" i="408" a="1"/>
  <c r="E125" i="408" s="1"/>
  <c r="E123" i="408" a="1"/>
  <c r="E123" i="408" s="1"/>
  <c r="E120" i="408" a="1"/>
  <c r="E120" i="408" s="1"/>
  <c r="E117" i="408" a="1"/>
  <c r="E117" i="408" s="1"/>
  <c r="E115" i="408" a="1"/>
  <c r="E115" i="408" s="1"/>
  <c r="E112" i="408" a="1"/>
  <c r="E112" i="408" s="1"/>
  <c r="E109" i="408" a="1"/>
  <c r="E109" i="408" s="1"/>
  <c r="E107" i="408" a="1"/>
  <c r="E107" i="408" s="1"/>
  <c r="E104" i="408" a="1"/>
  <c r="E104" i="408" s="1"/>
  <c r="E101" i="408" a="1"/>
  <c r="E101" i="408" s="1"/>
  <c r="E99" i="408" a="1"/>
  <c r="E99" i="408" s="1"/>
  <c r="E96" i="408" a="1"/>
  <c r="E96" i="408" s="1"/>
  <c r="E93" i="408" a="1"/>
  <c r="E93" i="408" s="1"/>
  <c r="E90" i="408" a="1"/>
  <c r="E90" i="408" s="1"/>
  <c r="E85" i="408" a="1"/>
  <c r="E85" i="408" s="1"/>
  <c r="E83" i="408" a="1"/>
  <c r="E83" i="408" s="1"/>
  <c r="E80" i="408" a="1"/>
  <c r="E80" i="408" s="1"/>
  <c r="E71" i="408" a="1"/>
  <c r="E71" i="408" s="1"/>
  <c r="E68" i="408" a="1"/>
  <c r="E68" i="408" s="1"/>
  <c r="E66" i="408" a="1"/>
  <c r="E66" i="408" s="1"/>
  <c r="E18" i="408" a="1"/>
  <c r="E18" i="408" s="1"/>
  <c r="E28" i="408" a="1"/>
  <c r="E28" i="408" s="1"/>
  <c r="C29" i="408"/>
  <c r="C27" i="408"/>
  <c r="E33" i="408" a="1"/>
  <c r="E33" i="408" s="1"/>
  <c r="C32" i="408"/>
  <c r="E37" i="408" a="1"/>
  <c r="E37" i="408" s="1"/>
  <c r="E39" i="408" a="1"/>
  <c r="E39" i="408" s="1"/>
  <c r="E42" i="408" a="1"/>
  <c r="E42" i="408" s="1"/>
  <c r="E52" i="408" a="1"/>
  <c r="E52" i="408" s="1"/>
  <c r="E57" i="408" a="1"/>
  <c r="E57" i="408" s="1"/>
  <c r="E60" i="408" a="1"/>
  <c r="E60" i="408" s="1"/>
  <c r="E65" i="408" a="1"/>
  <c r="E65" i="408" s="1"/>
  <c r="E67" i="408" a="1"/>
  <c r="E67" i="408" s="1"/>
  <c r="E69" i="408" a="1"/>
  <c r="E69" i="408" s="1"/>
  <c r="E73" i="408" a="1"/>
  <c r="E73" i="408" s="1"/>
  <c r="E81" i="408" a="1"/>
  <c r="E81" i="408" s="1"/>
  <c r="E87" i="408" a="1"/>
  <c r="E87" i="408" s="1"/>
  <c r="E92" i="408" a="1"/>
  <c r="E92" i="408" s="1"/>
  <c r="E130" i="408" a="1"/>
  <c r="E130" i="408" s="1"/>
  <c r="E132" i="408" a="1"/>
  <c r="E132" i="408" s="1"/>
  <c r="E137" i="408" a="1"/>
  <c r="E137" i="408" s="1"/>
  <c r="E143" i="408" a="1"/>
  <c r="E143" i="408" s="1"/>
  <c r="E161" i="408" a="1"/>
  <c r="E161" i="408" s="1"/>
  <c r="E163" i="408" a="1"/>
  <c r="E163" i="408" s="1"/>
  <c r="E175" i="408" a="1"/>
  <c r="E175" i="408" s="1"/>
  <c r="C11" i="360"/>
  <c r="C9" i="360" s="1"/>
  <c r="C24" i="360" s="1"/>
  <c r="E10" i="389" a="1"/>
  <c r="E10" i="389" s="1"/>
  <c r="E22" i="389" a="1"/>
  <c r="E22" i="389" s="1"/>
  <c r="E26" i="389" a="1"/>
  <c r="E26" i="389" s="1"/>
  <c r="E31" i="389" a="1"/>
  <c r="E31" i="389" s="1"/>
  <c r="E38" i="389" a="1"/>
  <c r="E38" i="389" s="1"/>
  <c r="E41" i="389" a="1"/>
  <c r="E41" i="389" s="1"/>
  <c r="E54" i="389" a="1"/>
  <c r="E54" i="389" s="1"/>
  <c r="E57" i="389" a="1"/>
  <c r="E57" i="389" s="1"/>
  <c r="E60" i="389" a="1"/>
  <c r="E60" i="389" s="1"/>
  <c r="E62" i="389" a="1"/>
  <c r="E62" i="389" s="1"/>
  <c r="E70" i="389" a="1"/>
  <c r="E70" i="389" s="1"/>
  <c r="E73" i="389" a="1"/>
  <c r="E73" i="389" s="1"/>
  <c r="E80" i="389" a="1"/>
  <c r="E80" i="389" s="1"/>
  <c r="E85" i="389" a="1"/>
  <c r="E85" i="389" s="1"/>
  <c r="E88" i="389" a="1"/>
  <c r="E88" i="389" s="1"/>
  <c r="E93" i="389" a="1"/>
  <c r="E93" i="389" s="1"/>
  <c r="E98" i="389" a="1"/>
  <c r="E98" i="389" s="1"/>
  <c r="E101" i="389" a="1"/>
  <c r="E101" i="389" s="1"/>
  <c r="E109" i="389" a="1"/>
  <c r="E109" i="389" s="1"/>
  <c r="E112" i="389" a="1"/>
  <c r="E112" i="389" s="1"/>
  <c r="E114" i="389" a="1"/>
  <c r="E114" i="389" s="1"/>
  <c r="E117" i="389" a="1"/>
  <c r="E117" i="389" s="1"/>
  <c r="E122" i="389" a="1"/>
  <c r="E122" i="389" s="1"/>
  <c r="E127" i="389" a="1"/>
  <c r="E127" i="389" s="1"/>
  <c r="E130" i="389" a="1"/>
  <c r="E130" i="389" s="1"/>
  <c r="E132" i="389" a="1"/>
  <c r="E132" i="389" s="1"/>
  <c r="E135" i="389" a="1"/>
  <c r="E135" i="389" s="1"/>
  <c r="E141" i="389" a="1"/>
  <c r="E141" i="389" s="1"/>
  <c r="E159" i="389" a="1"/>
  <c r="E159" i="389" s="1"/>
  <c r="E162" i="389" a="1"/>
  <c r="E162" i="389" s="1"/>
  <c r="G162" i="389" s="1"/>
  <c r="E12" i="407" a="1"/>
  <c r="E12" i="407" s="1"/>
  <c r="C11" i="407"/>
  <c r="E16" i="407" a="1"/>
  <c r="E16" i="407" s="1"/>
  <c r="E33" i="407" a="1"/>
  <c r="E33" i="407" s="1"/>
  <c r="E38" i="407" a="1"/>
  <c r="E38" i="407" s="1"/>
  <c r="E40" i="407" a="1"/>
  <c r="E40" i="407" s="1"/>
  <c r="E43" i="407" a="1"/>
  <c r="E43" i="407" s="1"/>
  <c r="E53" i="407" a="1"/>
  <c r="E53" i="407" s="1"/>
  <c r="E56" i="407" a="1"/>
  <c r="E56" i="407" s="1"/>
  <c r="E59" i="407" a="1"/>
  <c r="E59" i="407" s="1"/>
  <c r="E62" i="407" a="1"/>
  <c r="E62" i="407" s="1"/>
  <c r="E65" i="407" a="1"/>
  <c r="E65" i="407" s="1"/>
  <c r="E68" i="407" a="1"/>
  <c r="E68" i="407" s="1"/>
  <c r="E73" i="407" a="1"/>
  <c r="E73" i="407" s="1"/>
  <c r="C78" i="407"/>
  <c r="C77" i="407"/>
  <c r="E80" i="407" a="1"/>
  <c r="E80" i="407" s="1"/>
  <c r="E85" i="407" a="1"/>
  <c r="E85" i="407" s="1"/>
  <c r="E88" i="407" a="1"/>
  <c r="E88" i="407" s="1"/>
  <c r="E93" i="407" a="1"/>
  <c r="E93" i="407" s="1"/>
  <c r="E96" i="407" a="1"/>
  <c r="E96" i="407" s="1"/>
  <c r="E98" i="407" a="1"/>
  <c r="E98" i="407" s="1"/>
  <c r="E101" i="407" a="1"/>
  <c r="E101" i="407" s="1"/>
  <c r="E104" i="407" a="1"/>
  <c r="E104" i="407" s="1"/>
  <c r="E106" i="407" a="1"/>
  <c r="E106" i="407" s="1"/>
  <c r="E109" i="407" a="1"/>
  <c r="E109" i="407" s="1"/>
  <c r="E112" i="407" a="1"/>
  <c r="E112" i="407" s="1"/>
  <c r="E115" i="407" a="1"/>
  <c r="E115" i="407" s="1"/>
  <c r="E117" i="407" a="1"/>
  <c r="E117" i="407" s="1"/>
  <c r="E122" i="407" a="1"/>
  <c r="E122" i="407" s="1"/>
  <c r="E125" i="407" a="1"/>
  <c r="E125" i="407" s="1"/>
  <c r="E128" i="407" a="1"/>
  <c r="E128" i="407" s="1"/>
  <c r="E130" i="407" a="1"/>
  <c r="E130" i="407" s="1"/>
  <c r="E133" i="407" a="1"/>
  <c r="E133" i="407" s="1"/>
  <c r="E136" i="407" a="1"/>
  <c r="E136" i="407" s="1"/>
  <c r="E159" i="407" a="1"/>
  <c r="E159" i="407" s="1"/>
  <c r="E12" i="408" a="1"/>
  <c r="E12" i="408" s="1"/>
  <c r="E14" i="408" a="1"/>
  <c r="E14" i="408" s="1"/>
  <c r="E17" i="408" a="1"/>
  <c r="E17" i="408" s="1"/>
  <c r="E22" i="408" a="1"/>
  <c r="E22" i="408" s="1"/>
  <c r="E31" i="408" a="1"/>
  <c r="E31" i="408" s="1"/>
  <c r="E35" i="408" a="1"/>
  <c r="E35" i="408" s="1"/>
  <c r="E44" i="408" a="1"/>
  <c r="E44" i="408" s="1"/>
  <c r="E54" i="408" a="1"/>
  <c r="E54" i="408" s="1"/>
  <c r="E59" i="408" a="1"/>
  <c r="E59" i="408" s="1"/>
  <c r="E62" i="408" a="1"/>
  <c r="E62" i="408" s="1"/>
  <c r="E79" i="408" a="1"/>
  <c r="E79" i="408" s="1"/>
  <c r="E89" i="408" a="1"/>
  <c r="E89" i="408" s="1"/>
  <c r="E91" i="408" a="1"/>
  <c r="E91" i="408" s="1"/>
  <c r="E95" i="408" a="1"/>
  <c r="E95" i="408" s="1"/>
  <c r="E97" i="408" a="1"/>
  <c r="E97" i="408" s="1"/>
  <c r="E105" i="408" a="1"/>
  <c r="E105" i="408" s="1"/>
  <c r="E113" i="408" a="1"/>
  <c r="E113" i="408" s="1"/>
  <c r="E121" i="408" a="1"/>
  <c r="E121" i="408" s="1"/>
  <c r="E127" i="408" a="1"/>
  <c r="E127" i="408" s="1"/>
  <c r="E134" i="408" a="1"/>
  <c r="E134" i="408" s="1"/>
  <c r="E136" i="408" a="1"/>
  <c r="E136" i="408" s="1"/>
  <c r="E140" i="408" a="1"/>
  <c r="E140" i="408" s="1"/>
  <c r="E156" i="408" a="1"/>
  <c r="E156" i="408" s="1"/>
  <c r="E158" i="408" a="1"/>
  <c r="E158" i="408" s="1"/>
  <c r="E160" i="408" a="1"/>
  <c r="E160" i="408" s="1"/>
  <c r="C78" i="396"/>
  <c r="C77" i="396" s="1"/>
  <c r="C76" i="396" s="1"/>
  <c r="C147" i="396" s="1"/>
  <c r="C19" i="398"/>
  <c r="C21" i="360"/>
  <c r="C19" i="360"/>
  <c r="C32" i="360"/>
  <c r="C36" i="360"/>
  <c r="E13" i="389" a="1"/>
  <c r="E13" i="389" s="1"/>
  <c r="E17" i="389" a="1"/>
  <c r="E17" i="389" s="1"/>
  <c r="E34" i="389" a="1"/>
  <c r="E34" i="389" s="1"/>
  <c r="E37" i="389" a="1"/>
  <c r="E37" i="389" s="1"/>
  <c r="E40" i="389" a="1"/>
  <c r="E40" i="389" s="1"/>
  <c r="E43" i="389" a="1"/>
  <c r="E43" i="389" s="1"/>
  <c r="E53" i="389" a="1"/>
  <c r="E53" i="389" s="1"/>
  <c r="E56" i="389" a="1"/>
  <c r="E56" i="389" s="1"/>
  <c r="E59" i="389" a="1"/>
  <c r="E59" i="389" s="1"/>
  <c r="E64" i="389" a="1"/>
  <c r="E64" i="389" s="1"/>
  <c r="E67" i="389" a="1"/>
  <c r="E67" i="389" s="1"/>
  <c r="E72" i="389" a="1"/>
  <c r="E72" i="389" s="1"/>
  <c r="E82" i="389" a="1"/>
  <c r="E82" i="389" s="1"/>
  <c r="E87" i="389" a="1"/>
  <c r="E87" i="389" s="1"/>
  <c r="E90" i="389" a="1"/>
  <c r="E90" i="389" s="1"/>
  <c r="E92" i="389" a="1"/>
  <c r="E92" i="389" s="1"/>
  <c r="E95" i="389" a="1"/>
  <c r="E95" i="389" s="1"/>
  <c r="E97" i="389" a="1"/>
  <c r="E97" i="389" s="1"/>
  <c r="E100" i="389" a="1"/>
  <c r="E100" i="389" s="1"/>
  <c r="E103" i="389" a="1"/>
  <c r="E103" i="389" s="1"/>
  <c r="E106" i="389" a="1"/>
  <c r="E106" i="389" s="1"/>
  <c r="E108" i="389" a="1"/>
  <c r="E108" i="389" s="1"/>
  <c r="E111" i="389" a="1"/>
  <c r="E111" i="389" s="1"/>
  <c r="E119" i="389" a="1"/>
  <c r="E119" i="389" s="1"/>
  <c r="E121" i="389" a="1"/>
  <c r="E121" i="389" s="1"/>
  <c r="E124" i="389" a="1"/>
  <c r="E124" i="389" s="1"/>
  <c r="E129" i="389" a="1"/>
  <c r="E129" i="389" s="1"/>
  <c r="E137" i="389" a="1"/>
  <c r="E137" i="389" s="1"/>
  <c r="E145" i="389" a="1"/>
  <c r="E145" i="389" s="1"/>
  <c r="E156" i="389" a="1"/>
  <c r="E156" i="389" s="1"/>
  <c r="E161" i="389" a="1"/>
  <c r="E161" i="389" s="1"/>
  <c r="E10" i="407" a="1"/>
  <c r="E10" i="407" s="1"/>
  <c r="E14" i="407" a="1"/>
  <c r="E14" i="407" s="1"/>
  <c r="C15" i="407"/>
  <c r="E18" i="407" a="1"/>
  <c r="E18" i="407" s="1"/>
  <c r="E26" i="407" a="1"/>
  <c r="E26" i="407" s="1"/>
  <c r="E37" i="407" a="1"/>
  <c r="E37" i="407" s="1"/>
  <c r="E45" i="407" a="1"/>
  <c r="E45" i="407" s="1"/>
  <c r="E58" i="407" a="1"/>
  <c r="E58" i="407" s="1"/>
  <c r="E61" i="407" a="1"/>
  <c r="E61" i="407" s="1"/>
  <c r="E64" i="407" a="1"/>
  <c r="E64" i="407" s="1"/>
  <c r="E67" i="407" a="1"/>
  <c r="E67" i="407" s="1"/>
  <c r="E70" i="407" a="1"/>
  <c r="E70" i="407" s="1"/>
  <c r="E79" i="407" a="1"/>
  <c r="E79" i="407" s="1"/>
  <c r="E82" i="407" a="1"/>
  <c r="E82" i="407" s="1"/>
  <c r="E84" i="407" a="1"/>
  <c r="E84" i="407" s="1"/>
  <c r="E87" i="407" a="1"/>
  <c r="E87" i="407" s="1"/>
  <c r="E90" i="407" a="1"/>
  <c r="E90" i="407" s="1"/>
  <c r="E92" i="407" a="1"/>
  <c r="E92" i="407" s="1"/>
  <c r="E95" i="407" a="1"/>
  <c r="E95" i="407" s="1"/>
  <c r="E103" i="407" a="1"/>
  <c r="E103" i="407" s="1"/>
  <c r="E111" i="407" a="1"/>
  <c r="E111" i="407" s="1"/>
  <c r="E114" i="407" a="1"/>
  <c r="E114" i="407" s="1"/>
  <c r="E119" i="407" a="1"/>
  <c r="E119" i="407" s="1"/>
  <c r="E124" i="407" a="1"/>
  <c r="E124" i="407" s="1"/>
  <c r="E127" i="407" a="1"/>
  <c r="E127" i="407" s="1"/>
  <c r="E135" i="407" a="1"/>
  <c r="E135" i="407" s="1"/>
  <c r="E141" i="407" a="1"/>
  <c r="E141" i="407" s="1"/>
  <c r="E143" i="407" a="1"/>
  <c r="E143" i="407" s="1"/>
  <c r="E145" i="407" a="1"/>
  <c r="E145" i="407" s="1"/>
  <c r="E156" i="407" a="1"/>
  <c r="E156" i="407" s="1"/>
  <c r="E161" i="407" a="1"/>
  <c r="E161" i="407" s="1"/>
  <c r="E10" i="408" a="1"/>
  <c r="E10" i="408" s="1"/>
  <c r="C11" i="408"/>
  <c r="C15" i="408"/>
  <c r="E20" i="408" a="1"/>
  <c r="E20" i="408" s="1"/>
  <c r="C21" i="408"/>
  <c r="E26" i="408" a="1"/>
  <c r="E26" i="408" s="1"/>
  <c r="E38" i="408" a="1"/>
  <c r="E38" i="408" s="1"/>
  <c r="E41" i="408" a="1"/>
  <c r="E41" i="408" s="1"/>
  <c r="E43" i="408" a="1"/>
  <c r="E43" i="408" s="1"/>
  <c r="E53" i="408" a="1"/>
  <c r="E53" i="408" s="1"/>
  <c r="E56" i="408" a="1"/>
  <c r="E56" i="408" s="1"/>
  <c r="E58" i="408" a="1"/>
  <c r="E58" i="408" s="1"/>
  <c r="E61" i="408" a="1"/>
  <c r="E61" i="408" s="1"/>
  <c r="E64" i="408" a="1"/>
  <c r="E64" i="408" s="1"/>
  <c r="E70" i="408" a="1"/>
  <c r="E70" i="408" s="1"/>
  <c r="E72" i="408" a="1"/>
  <c r="E72" i="408" s="1"/>
  <c r="E74" i="408" a="1"/>
  <c r="E74" i="408" s="1"/>
  <c r="E82" i="408" a="1"/>
  <c r="E82" i="408" s="1"/>
  <c r="E84" i="408" a="1"/>
  <c r="E84" i="408" s="1"/>
  <c r="E86" i="408" a="1"/>
  <c r="E86" i="408" s="1"/>
  <c r="E88" i="408" a="1"/>
  <c r="E88" i="408" s="1"/>
  <c r="E103" i="408" a="1"/>
  <c r="E103" i="408" s="1"/>
  <c r="E111" i="408" a="1"/>
  <c r="E111" i="408" s="1"/>
  <c r="E119" i="408" a="1"/>
  <c r="E119" i="408" s="1"/>
  <c r="E129" i="408" a="1"/>
  <c r="E129" i="408" s="1"/>
  <c r="E131" i="408" a="1"/>
  <c r="E131" i="408" s="1"/>
  <c r="E145" i="408" a="1"/>
  <c r="E145" i="408" s="1"/>
  <c r="E144" i="408" s="1"/>
  <c r="C164" i="408"/>
  <c r="C11" i="392"/>
  <c r="C9" i="392"/>
  <c r="C15" i="389"/>
  <c r="E58" i="389" a="1"/>
  <c r="E58" i="389" s="1"/>
  <c r="E61" i="389" a="1"/>
  <c r="E61" i="389" s="1"/>
  <c r="E66" i="389" a="1"/>
  <c r="E66" i="389" s="1"/>
  <c r="E69" i="389" a="1"/>
  <c r="E69" i="389" s="1"/>
  <c r="E79" i="389" a="1"/>
  <c r="E79" i="389" s="1"/>
  <c r="E81" i="389" a="1"/>
  <c r="E81" i="389" s="1"/>
  <c r="E84" i="389" a="1"/>
  <c r="E84" i="389" s="1"/>
  <c r="E89" i="389" a="1"/>
  <c r="E89" i="389" s="1"/>
  <c r="E94" i="389" a="1"/>
  <c r="E94" i="389" s="1"/>
  <c r="E105" i="389" a="1"/>
  <c r="E105" i="389" s="1"/>
  <c r="E113" i="389" a="1"/>
  <c r="E113" i="389" s="1"/>
  <c r="E116" i="389" a="1"/>
  <c r="E116" i="389" s="1"/>
  <c r="E118" i="389" a="1"/>
  <c r="E118" i="389" s="1"/>
  <c r="E126" i="389" a="1"/>
  <c r="E126" i="389" s="1"/>
  <c r="E128" i="389" a="1"/>
  <c r="E128" i="389" s="1"/>
  <c r="E131" i="389" a="1"/>
  <c r="E131" i="389" s="1"/>
  <c r="E134" i="389" a="1"/>
  <c r="E134" i="389" s="1"/>
  <c r="E136" i="389" a="1"/>
  <c r="E136" i="389" s="1"/>
  <c r="E140" i="389" a="1"/>
  <c r="E140" i="389" s="1"/>
  <c r="E143" i="389" a="1"/>
  <c r="E143" i="389" s="1"/>
  <c r="E158" i="389" a="1"/>
  <c r="E158" i="389" s="1"/>
  <c r="E160" i="389" a="1"/>
  <c r="E160" i="389" s="1"/>
  <c r="E163" i="389" a="1"/>
  <c r="E163" i="389" s="1"/>
  <c r="E17" i="407" a="1"/>
  <c r="E17" i="407" s="1"/>
  <c r="C19" i="407"/>
  <c r="E23" i="407" a="1"/>
  <c r="E23" i="407" s="1"/>
  <c r="C27" i="407"/>
  <c r="E31" i="407" a="1"/>
  <c r="E31" i="407" s="1"/>
  <c r="E35" i="407" a="1"/>
  <c r="E35" i="407" s="1"/>
  <c r="E39" i="407" a="1"/>
  <c r="E39" i="407" s="1"/>
  <c r="E42" i="407" a="1"/>
  <c r="E42" i="407" s="1"/>
  <c r="E44" i="407" a="1"/>
  <c r="E44" i="407" s="1"/>
  <c r="E52" i="407" a="1"/>
  <c r="E52" i="407" s="1"/>
  <c r="E55" i="407" a="1"/>
  <c r="E55" i="407" s="1"/>
  <c r="E63" i="407" a="1"/>
  <c r="E63" i="407" s="1"/>
  <c r="E66" i="407" a="1"/>
  <c r="E66" i="407" s="1"/>
  <c r="E69" i="407" a="1"/>
  <c r="E69" i="407" s="1"/>
  <c r="E72" i="407" a="1"/>
  <c r="E72" i="407" s="1"/>
  <c r="E81" i="407" a="1"/>
  <c r="E81" i="407" s="1"/>
  <c r="E89" i="407" a="1"/>
  <c r="E89" i="407" s="1"/>
  <c r="E97" i="407" a="1"/>
  <c r="E97" i="407" s="1"/>
  <c r="E100" i="407" a="1"/>
  <c r="E100" i="407" s="1"/>
  <c r="E102" i="407" a="1"/>
  <c r="E102" i="407" s="1"/>
  <c r="E105" i="407" a="1"/>
  <c r="E105" i="407" s="1"/>
  <c r="E108" i="407" a="1"/>
  <c r="E108" i="407" s="1"/>
  <c r="E110" i="407" a="1"/>
  <c r="E110" i="407" s="1"/>
  <c r="E113" i="407" a="1"/>
  <c r="E113" i="407" s="1"/>
  <c r="E116" i="407" a="1"/>
  <c r="E116" i="407" s="1"/>
  <c r="E121" i="407" a="1"/>
  <c r="E121" i="407" s="1"/>
  <c r="E123" i="407" a="1"/>
  <c r="E123" i="407" s="1"/>
  <c r="E126" i="407" a="1"/>
  <c r="E126" i="407" s="1"/>
  <c r="E129" i="407" a="1"/>
  <c r="E129" i="407" s="1"/>
  <c r="E132" i="407" a="1"/>
  <c r="E132" i="407" s="1"/>
  <c r="E134" i="407" a="1"/>
  <c r="E134" i="407" s="1"/>
  <c r="E137" i="407" a="1"/>
  <c r="E137" i="407" s="1"/>
  <c r="E140" i="407" a="1"/>
  <c r="E140" i="407" s="1"/>
  <c r="E158" i="407" a="1"/>
  <c r="E158" i="407" s="1"/>
  <c r="E160" i="407" a="1"/>
  <c r="E160" i="407" s="1"/>
  <c r="E163" i="407" a="1"/>
  <c r="E163" i="407" s="1"/>
  <c r="E13" i="408" a="1"/>
  <c r="E13" i="408" s="1"/>
  <c r="E16" i="408" a="1"/>
  <c r="E16" i="408" s="1"/>
  <c r="E23" i="408" a="1"/>
  <c r="E23" i="408" s="1"/>
  <c r="E30" i="408" a="1"/>
  <c r="E30" i="408" s="1"/>
  <c r="E34" i="408" a="1"/>
  <c r="E34" i="408" s="1"/>
  <c r="E40" i="408" a="1"/>
  <c r="E40" i="408" s="1"/>
  <c r="E45" i="408" a="1"/>
  <c r="E45" i="408" s="1"/>
  <c r="E55" i="408" a="1"/>
  <c r="E55" i="408" s="1"/>
  <c r="E63" i="408" a="1"/>
  <c r="E63" i="408" s="1"/>
  <c r="E94" i="408" a="1"/>
  <c r="E94" i="408" s="1"/>
  <c r="E98" i="408" a="1"/>
  <c r="E98" i="408" s="1"/>
  <c r="E100" i="408" a="1"/>
  <c r="E100" i="408" s="1"/>
  <c r="E102" i="408" a="1"/>
  <c r="E102" i="408" s="1"/>
  <c r="E106" i="408" a="1"/>
  <c r="E106" i="408" s="1"/>
  <c r="E108" i="408" a="1"/>
  <c r="E108" i="408" s="1"/>
  <c r="E110" i="408" a="1"/>
  <c r="E110" i="408" s="1"/>
  <c r="E114" i="408" a="1"/>
  <c r="E114" i="408" s="1"/>
  <c r="E116" i="408" a="1"/>
  <c r="E116" i="408" s="1"/>
  <c r="E118" i="408" a="1"/>
  <c r="E118" i="408" s="1"/>
  <c r="E122" i="408" a="1"/>
  <c r="E122" i="408" s="1"/>
  <c r="E124" i="408" a="1"/>
  <c r="E124" i="408" s="1"/>
  <c r="E126" i="408" a="1"/>
  <c r="E126" i="408" s="1"/>
  <c r="E128" i="408" a="1"/>
  <c r="E128" i="408" s="1"/>
  <c r="E135" i="408" a="1"/>
  <c r="E135" i="408" s="1"/>
  <c r="E141" i="408" a="1"/>
  <c r="E141" i="408" s="1"/>
  <c r="E155" i="408" a="1"/>
  <c r="E155" i="408" s="1"/>
  <c r="C15" i="392"/>
  <c r="C27" i="392"/>
  <c r="C164" i="392"/>
  <c r="C32" i="398"/>
  <c r="C9" i="395"/>
  <c r="C19" i="395"/>
  <c r="E16" i="396" a="1"/>
  <c r="E16" i="396" s="1"/>
  <c r="E20" i="396" a="1"/>
  <c r="E20" i="396" s="1"/>
  <c r="E22" i="396" a="1"/>
  <c r="E22" i="396" s="1"/>
  <c r="E33" i="396" a="1"/>
  <c r="E33" i="396" s="1"/>
  <c r="E39" i="396" a="1"/>
  <c r="E39" i="396" s="1"/>
  <c r="E42" i="396" a="1"/>
  <c r="E42" i="396" s="1"/>
  <c r="E52" i="396" a="1"/>
  <c r="E52" i="396" s="1"/>
  <c r="E55" i="396" a="1"/>
  <c r="E55" i="396" s="1"/>
  <c r="E57" i="396" a="1"/>
  <c r="E57" i="396" s="1"/>
  <c r="E60" i="396" a="1"/>
  <c r="E60" i="396" s="1"/>
  <c r="E65" i="396" a="1"/>
  <c r="E65" i="396" s="1"/>
  <c r="E68" i="396" a="1"/>
  <c r="E68" i="396" s="1"/>
  <c r="E70" i="396" a="1"/>
  <c r="E70" i="396" s="1"/>
  <c r="E79" i="396" a="1"/>
  <c r="E79" i="396" s="1"/>
  <c r="E82" i="396" a="1"/>
  <c r="E82" i="396" s="1"/>
  <c r="E92" i="396" a="1"/>
  <c r="E92" i="396" s="1"/>
  <c r="E97" i="396" a="1"/>
  <c r="E97" i="396" s="1"/>
  <c r="E102" i="396" a="1"/>
  <c r="E102" i="396" s="1"/>
  <c r="E105" i="396" a="1"/>
  <c r="E105" i="396" s="1"/>
  <c r="E108" i="396" a="1"/>
  <c r="E108" i="396" s="1"/>
  <c r="E111" i="396" a="1"/>
  <c r="E111" i="396" s="1"/>
  <c r="E114" i="396" a="1"/>
  <c r="E114" i="396" s="1"/>
  <c r="E117" i="396" a="1"/>
  <c r="E117" i="396" s="1"/>
  <c r="E122" i="396" a="1"/>
  <c r="E122" i="396" s="1"/>
  <c r="E127" i="396" a="1"/>
  <c r="E127" i="396" s="1"/>
  <c r="E130" i="396" a="1"/>
  <c r="E130" i="396" s="1"/>
  <c r="E132" i="396" a="1"/>
  <c r="E132" i="396" s="1"/>
  <c r="E135" i="396" a="1"/>
  <c r="E135" i="396" s="1"/>
  <c r="E157" i="396" a="1"/>
  <c r="E157" i="396" s="1"/>
  <c r="E163" i="396" a="1"/>
  <c r="E163" i="396" s="1"/>
  <c r="C21" i="397"/>
  <c r="C32" i="397"/>
  <c r="C51" i="397"/>
  <c r="C50" i="397"/>
  <c r="E160" i="397" a="1"/>
  <c r="E160" i="397" s="1"/>
  <c r="E163" i="397" a="1"/>
  <c r="E163" i="397" s="1"/>
  <c r="C21" i="393"/>
  <c r="E115" i="393" a="1"/>
  <c r="E115" i="393" s="1"/>
  <c r="E118" i="393" a="1"/>
  <c r="E118" i="393" s="1"/>
  <c r="E121" i="393" a="1"/>
  <c r="E121" i="393" s="1"/>
  <c r="E124" i="393" a="1"/>
  <c r="E124" i="393" s="1"/>
  <c r="E132" i="393" a="1"/>
  <c r="E132" i="393" s="1"/>
  <c r="E135" i="393" a="1"/>
  <c r="E135" i="393" s="1"/>
  <c r="E141" i="393" a="1"/>
  <c r="E141" i="393" s="1"/>
  <c r="C164" i="393"/>
  <c r="E160" i="393" a="1"/>
  <c r="E160" i="393" s="1"/>
  <c r="E163" i="393" a="1"/>
  <c r="E163" i="393" s="1"/>
  <c r="E58" i="398" a="1"/>
  <c r="E58" i="398" s="1"/>
  <c r="E61" i="398" a="1"/>
  <c r="E61" i="398" s="1"/>
  <c r="E63" i="398" a="1"/>
  <c r="E63" i="398" s="1"/>
  <c r="E66" i="398" a="1"/>
  <c r="E66" i="398" s="1"/>
  <c r="E70" i="398" a="1"/>
  <c r="E70" i="398" s="1"/>
  <c r="E73" i="398" a="1"/>
  <c r="E73" i="398" s="1"/>
  <c r="E82" i="398" a="1"/>
  <c r="E82" i="398" s="1"/>
  <c r="E85" i="398" a="1"/>
  <c r="E85" i="398" s="1"/>
  <c r="E90" i="398" a="1"/>
  <c r="E90" i="398" s="1"/>
  <c r="E92" i="398" a="1"/>
  <c r="E92" i="398" s="1"/>
  <c r="E97" i="398" a="1"/>
  <c r="E97" i="398" s="1"/>
  <c r="E102" i="398" a="1"/>
  <c r="E102" i="398" s="1"/>
  <c r="E108" i="398" a="1"/>
  <c r="E108" i="398" s="1"/>
  <c r="E113" i="398" a="1"/>
  <c r="E113" i="398" s="1"/>
  <c r="E118" i="398" a="1"/>
  <c r="E118" i="398" s="1"/>
  <c r="E124" i="398" a="1"/>
  <c r="E124" i="398" s="1"/>
  <c r="E128" i="398" a="1"/>
  <c r="E128" i="398" s="1"/>
  <c r="E130" i="398" a="1"/>
  <c r="E130" i="398" s="1"/>
  <c r="E133" i="398" a="1"/>
  <c r="E133" i="398" s="1"/>
  <c r="E135" i="398" a="1"/>
  <c r="E135" i="398" s="1"/>
  <c r="E155" i="398" a="1"/>
  <c r="E155" i="398" s="1"/>
  <c r="E158" i="398" a="1"/>
  <c r="E158" i="398" s="1"/>
  <c r="E161" i="398" a="1"/>
  <c r="E161" i="398" s="1"/>
  <c r="E163" i="398" a="1"/>
  <c r="E163" i="398" s="1"/>
  <c r="C29" i="399"/>
  <c r="E40" i="399" a="1"/>
  <c r="E40" i="399" s="1"/>
  <c r="E42" i="399" a="1"/>
  <c r="E42" i="399" s="1"/>
  <c r="E45" i="399" a="1"/>
  <c r="E45" i="399" s="1"/>
  <c r="E53" i="399" a="1"/>
  <c r="E53" i="399" s="1"/>
  <c r="E58" i="399" a="1"/>
  <c r="E58" i="399" s="1"/>
  <c r="E60" i="399" a="1"/>
  <c r="E60" i="399" s="1"/>
  <c r="E67" i="399" a="1"/>
  <c r="E67" i="399" s="1"/>
  <c r="E70" i="399" a="1"/>
  <c r="E70" i="399" s="1"/>
  <c r="E72" i="399" a="1"/>
  <c r="E72" i="399" s="1"/>
  <c r="E100" i="399" a="1"/>
  <c r="E100" i="399" s="1"/>
  <c r="E117" i="399" a="1"/>
  <c r="E117" i="399" s="1"/>
  <c r="E119" i="399" a="1"/>
  <c r="E119" i="399" s="1"/>
  <c r="E123" i="399" a="1"/>
  <c r="E123" i="399" s="1"/>
  <c r="E125" i="399" a="1"/>
  <c r="E125" i="399" s="1"/>
  <c r="E127" i="399" a="1"/>
  <c r="E127" i="399" s="1"/>
  <c r="E141" i="399" a="1"/>
  <c r="E141" i="399" s="1"/>
  <c r="E156" i="399" a="1"/>
  <c r="E156" i="399" s="1"/>
  <c r="E160" i="399" a="1"/>
  <c r="E160" i="399" s="1"/>
  <c r="E14" i="396" a="1"/>
  <c r="E14" i="396" s="1"/>
  <c r="C15" i="396"/>
  <c r="E18" i="396" a="1"/>
  <c r="E18" i="396" s="1"/>
  <c r="E28" i="396" a="1"/>
  <c r="E28" i="396" s="1"/>
  <c r="E35" i="396" a="1"/>
  <c r="E35" i="396" s="1"/>
  <c r="E41" i="396" a="1"/>
  <c r="E41" i="396" s="1"/>
  <c r="E44" i="396" a="1"/>
  <c r="E44" i="396" s="1"/>
  <c r="C51" i="396"/>
  <c r="C50" i="396"/>
  <c r="E54" i="396" a="1"/>
  <c r="E54" i="396" s="1"/>
  <c r="E59" i="396" a="1"/>
  <c r="E59" i="396" s="1"/>
  <c r="E62" i="396" a="1"/>
  <c r="E62" i="396" s="1"/>
  <c r="E64" i="396" a="1"/>
  <c r="E64" i="396" s="1"/>
  <c r="E67" i="396" a="1"/>
  <c r="E67" i="396" s="1"/>
  <c r="E72" i="396" a="1"/>
  <c r="E72" i="396" s="1"/>
  <c r="E84" i="396" a="1"/>
  <c r="E84" i="396" s="1"/>
  <c r="E86" i="396" a="1"/>
  <c r="E86" i="396" s="1"/>
  <c r="E89" i="396" a="1"/>
  <c r="E89" i="396" s="1"/>
  <c r="E94" i="396" a="1"/>
  <c r="E94" i="396" s="1"/>
  <c r="E96" i="396" a="1"/>
  <c r="E96" i="396" s="1"/>
  <c r="E99" i="396" a="1"/>
  <c r="E99" i="396" s="1"/>
  <c r="E101" i="396" a="1"/>
  <c r="E101" i="396" s="1"/>
  <c r="E104" i="396" a="1"/>
  <c r="E104" i="396" s="1"/>
  <c r="E107" i="396" a="1"/>
  <c r="E107" i="396" s="1"/>
  <c r="E113" i="396" a="1"/>
  <c r="E113" i="396" s="1"/>
  <c r="E119" i="396" a="1"/>
  <c r="E119" i="396" s="1"/>
  <c r="E124" i="396" a="1"/>
  <c r="E124" i="396" s="1"/>
  <c r="E129" i="396" a="1"/>
  <c r="E129" i="396" s="1"/>
  <c r="E137" i="396" a="1"/>
  <c r="E137" i="396" s="1"/>
  <c r="E141" i="396" a="1"/>
  <c r="E141" i="396" s="1"/>
  <c r="E145" i="396" a="1"/>
  <c r="E145" i="396" s="1"/>
  <c r="E144" i="396" s="1"/>
  <c r="E156" i="396" a="1"/>
  <c r="E156" i="396" s="1"/>
  <c r="C164" i="396"/>
  <c r="E159" i="396" a="1"/>
  <c r="E159" i="396" s="1"/>
  <c r="E162" i="396" a="1"/>
  <c r="E162" i="396" s="1"/>
  <c r="C32" i="393"/>
  <c r="E83" i="393" a="1"/>
  <c r="E83" i="393" s="1"/>
  <c r="E86" i="393" a="1"/>
  <c r="E86" i="393" s="1"/>
  <c r="E94" i="393" a="1"/>
  <c r="E94" i="393" s="1"/>
  <c r="E97" i="393" a="1"/>
  <c r="E97" i="393" s="1"/>
  <c r="E100" i="393" a="1"/>
  <c r="E100" i="393" s="1"/>
  <c r="E106" i="393" a="1"/>
  <c r="E106" i="393" s="1"/>
  <c r="E109" i="393" a="1"/>
  <c r="E109" i="393" s="1"/>
  <c r="E117" i="393" a="1"/>
  <c r="E117" i="393" s="1"/>
  <c r="E120" i="393" a="1"/>
  <c r="E120" i="393" s="1"/>
  <c r="E123" i="393" a="1"/>
  <c r="E123" i="393" s="1"/>
  <c r="E126" i="393" a="1"/>
  <c r="E126" i="393" s="1"/>
  <c r="E129" i="393" a="1"/>
  <c r="E129" i="393" s="1"/>
  <c r="E134" i="393" a="1"/>
  <c r="E134" i="393" s="1"/>
  <c r="C139" i="393"/>
  <c r="E145" i="393" a="1"/>
  <c r="E145" i="393" s="1"/>
  <c r="E144" i="393" s="1"/>
  <c r="E157" i="393" a="1"/>
  <c r="E157" i="393" s="1"/>
  <c r="E159" i="393" a="1"/>
  <c r="E159" i="393" s="1"/>
  <c r="E162" i="393" a="1"/>
  <c r="E162" i="393" s="1"/>
  <c r="E18" i="398" a="1"/>
  <c r="E18" i="398" s="1"/>
  <c r="E20" i="398" a="1"/>
  <c r="E20" i="398" s="1"/>
  <c r="E22" i="398" a="1"/>
  <c r="E22" i="398" s="1"/>
  <c r="E26" i="398" a="1"/>
  <c r="E26" i="398" s="1"/>
  <c r="E31" i="398" a="1"/>
  <c r="E31" i="398" s="1"/>
  <c r="E33" i="398" a="1"/>
  <c r="E33" i="398" s="1"/>
  <c r="E38" i="398" a="1"/>
  <c r="E38" i="398" s="1"/>
  <c r="E53" i="398" a="1"/>
  <c r="E53" i="398" s="1"/>
  <c r="E55" i="398" a="1"/>
  <c r="E55" i="398" s="1"/>
  <c r="E60" i="398" a="1"/>
  <c r="E60" i="398" s="1"/>
  <c r="E65" i="398" a="1"/>
  <c r="E65" i="398" s="1"/>
  <c r="E69" i="398" a="1"/>
  <c r="E69" i="398" s="1"/>
  <c r="E79" i="398" a="1"/>
  <c r="E79" i="398" s="1"/>
  <c r="E87" i="398" a="1"/>
  <c r="E87" i="398" s="1"/>
  <c r="E89" i="398" a="1"/>
  <c r="E89" i="398" s="1"/>
  <c r="E94" i="398" a="1"/>
  <c r="E94" i="398" s="1"/>
  <c r="E96" i="398" a="1"/>
  <c r="E96" i="398" s="1"/>
  <c r="E99" i="398" a="1"/>
  <c r="E99" i="398" s="1"/>
  <c r="E105" i="398" a="1"/>
  <c r="E105" i="398" s="1"/>
  <c r="E107" i="398" a="1"/>
  <c r="E107" i="398" s="1"/>
  <c r="E110" i="398" a="1"/>
  <c r="E110" i="398" s="1"/>
  <c r="E112" i="398" a="1"/>
  <c r="E112" i="398" s="1"/>
  <c r="E115" i="398" a="1"/>
  <c r="E115" i="398" s="1"/>
  <c r="E121" i="398" a="1"/>
  <c r="E121" i="398" s="1"/>
  <c r="E123" i="398" a="1"/>
  <c r="E123" i="398" s="1"/>
  <c r="E127" i="398" a="1"/>
  <c r="E127" i="398" s="1"/>
  <c r="E137" i="398" a="1"/>
  <c r="E137" i="398" s="1"/>
  <c r="E141" i="398" a="1"/>
  <c r="E141" i="398" s="1"/>
  <c r="E160" i="398" a="1"/>
  <c r="E160" i="398" s="1"/>
  <c r="E18" i="399" a="1"/>
  <c r="E18" i="399" s="1"/>
  <c r="E30" i="399" a="1"/>
  <c r="E30" i="399" s="1"/>
  <c r="E37" i="399" a="1"/>
  <c r="E37" i="399" s="1"/>
  <c r="C36" i="399"/>
  <c r="E44" i="399" a="1"/>
  <c r="E44" i="399" s="1"/>
  <c r="E52" i="399" a="1"/>
  <c r="E52" i="399" s="1"/>
  <c r="E55" i="399" a="1"/>
  <c r="E55" i="399" s="1"/>
  <c r="E57" i="399" a="1"/>
  <c r="E57" i="399" s="1"/>
  <c r="E64" i="399" a="1"/>
  <c r="E64" i="399" s="1"/>
  <c r="E69" i="399" a="1"/>
  <c r="E69" i="399" s="1"/>
  <c r="E80" i="399" a="1"/>
  <c r="E80" i="399" s="1"/>
  <c r="E83" i="399" a="1"/>
  <c r="E83" i="399" s="1"/>
  <c r="E89" i="399" a="1"/>
  <c r="E89" i="399" s="1"/>
  <c r="E91" i="399" a="1"/>
  <c r="E91" i="399" s="1"/>
  <c r="E95" i="399" a="1"/>
  <c r="E95" i="399" s="1"/>
  <c r="E105" i="399" a="1"/>
  <c r="E105" i="399" s="1"/>
  <c r="E109" i="399" a="1"/>
  <c r="E109" i="399" s="1"/>
  <c r="E111" i="399" a="1"/>
  <c r="E111" i="399" s="1"/>
  <c r="E134" i="399" a="1"/>
  <c r="E134" i="399" s="1"/>
  <c r="E163" i="399" a="1"/>
  <c r="E163" i="399" s="1"/>
  <c r="E60" i="392" a="1"/>
  <c r="E60" i="392" s="1"/>
  <c r="E65" i="392" a="1"/>
  <c r="E65" i="392" s="1"/>
  <c r="E68" i="392" a="1"/>
  <c r="E68" i="392" s="1"/>
  <c r="E73" i="392" a="1"/>
  <c r="E73" i="392" s="1"/>
  <c r="E80" i="392" a="1"/>
  <c r="E80" i="392" s="1"/>
  <c r="E85" i="392" a="1"/>
  <c r="E85" i="392" s="1"/>
  <c r="E90" i="392" a="1"/>
  <c r="E90" i="392" s="1"/>
  <c r="E95" i="392" a="1"/>
  <c r="E95" i="392" s="1"/>
  <c r="E100" i="392" a="1"/>
  <c r="E100" i="392" s="1"/>
  <c r="E103" i="392" a="1"/>
  <c r="E103" i="392" s="1"/>
  <c r="E105" i="392" a="1"/>
  <c r="E105" i="392" s="1"/>
  <c r="E108" i="392" a="1"/>
  <c r="E108" i="392" s="1"/>
  <c r="E111" i="392" a="1"/>
  <c r="E111" i="392" s="1"/>
  <c r="E116" i="392" a="1"/>
  <c r="E116" i="392" s="1"/>
  <c r="E119" i="392" a="1"/>
  <c r="E119" i="392" s="1"/>
  <c r="E127" i="392" a="1"/>
  <c r="E127" i="392" s="1"/>
  <c r="E135" i="392" a="1"/>
  <c r="E135" i="392" s="1"/>
  <c r="E141" i="392" a="1"/>
  <c r="E141" i="392" s="1"/>
  <c r="E163" i="392" a="1"/>
  <c r="E163" i="392" s="1"/>
  <c r="E13" i="395" a="1"/>
  <c r="E13" i="395" s="1"/>
  <c r="C15" i="395"/>
  <c r="E26" i="395" a="1"/>
  <c r="E26" i="395" s="1"/>
  <c r="E30" i="395" a="1"/>
  <c r="E30" i="395" s="1"/>
  <c r="C32" i="395"/>
  <c r="E37" i="395" a="1"/>
  <c r="E37" i="395" s="1"/>
  <c r="E54" i="395" a="1"/>
  <c r="E54" i="395" s="1"/>
  <c r="E57" i="395" a="1"/>
  <c r="E57" i="395" s="1"/>
  <c r="E60" i="395" a="1"/>
  <c r="E60" i="395" s="1"/>
  <c r="E63" i="395" a="1"/>
  <c r="E63" i="395" s="1"/>
  <c r="E70" i="395" a="1"/>
  <c r="E70" i="395" s="1"/>
  <c r="E81" i="395" a="1"/>
  <c r="E81" i="395" s="1"/>
  <c r="E83" i="395" a="1"/>
  <c r="E83" i="395" s="1"/>
  <c r="E86" i="395" a="1"/>
  <c r="E86" i="395" s="1"/>
  <c r="E91" i="395" a="1"/>
  <c r="E91" i="395" s="1"/>
  <c r="E94" i="395" a="1"/>
  <c r="E94" i="395" s="1"/>
  <c r="E97" i="395" a="1"/>
  <c r="E97" i="395" s="1"/>
  <c r="E102" i="395" a="1"/>
  <c r="E102" i="395" s="1"/>
  <c r="E109" i="395" a="1"/>
  <c r="E109" i="395" s="1"/>
  <c r="E111" i="395" a="1"/>
  <c r="E111" i="395" s="1"/>
  <c r="E114" i="395" a="1"/>
  <c r="E114" i="395" s="1"/>
  <c r="E117" i="395" a="1"/>
  <c r="E117" i="395" s="1"/>
  <c r="E120" i="395" a="1"/>
  <c r="E120" i="395" s="1"/>
  <c r="E123" i="395" a="1"/>
  <c r="E123" i="395" s="1"/>
  <c r="E128" i="395" a="1"/>
  <c r="E128" i="395" s="1"/>
  <c r="E131" i="395" a="1"/>
  <c r="E131" i="395" s="1"/>
  <c r="E134" i="395" a="1"/>
  <c r="E134" i="395" s="1"/>
  <c r="C139" i="395"/>
  <c r="E141" i="395" a="1"/>
  <c r="E141" i="395" s="1"/>
  <c r="E155" i="395" a="1"/>
  <c r="E155" i="395" s="1"/>
  <c r="E158" i="395" a="1"/>
  <c r="E158" i="395" s="1"/>
  <c r="E161" i="395" a="1"/>
  <c r="E161" i="395" s="1"/>
  <c r="E163" i="395" a="1"/>
  <c r="E163" i="395" s="1"/>
  <c r="E10" i="396" a="1"/>
  <c r="E10" i="396" s="1"/>
  <c r="C11" i="396"/>
  <c r="C9" i="396" s="1"/>
  <c r="E17" i="396" a="1"/>
  <c r="E17" i="396" s="1"/>
  <c r="E26" i="396" a="1"/>
  <c r="E26" i="396" s="1"/>
  <c r="C29" i="396"/>
  <c r="C27" i="396"/>
  <c r="E31" i="396" a="1"/>
  <c r="E31" i="396" s="1"/>
  <c r="E34" i="396" a="1"/>
  <c r="E34" i="396" s="1"/>
  <c r="E38" i="396" a="1"/>
  <c r="E38" i="396" s="1"/>
  <c r="E43" i="396" a="1"/>
  <c r="E43" i="396" s="1"/>
  <c r="E53" i="396" a="1"/>
  <c r="E53" i="396" s="1"/>
  <c r="E56" i="396" a="1"/>
  <c r="E56" i="396" s="1"/>
  <c r="E66" i="396" a="1"/>
  <c r="E66" i="396" s="1"/>
  <c r="E69" i="396" a="1"/>
  <c r="E69" i="396" s="1"/>
  <c r="E71" i="396" a="1"/>
  <c r="E71" i="396" s="1"/>
  <c r="E74" i="396" a="1"/>
  <c r="E74" i="396" s="1"/>
  <c r="E81" i="396" a="1"/>
  <c r="E81" i="396" s="1"/>
  <c r="E83" i="396" a="1"/>
  <c r="E83" i="396" s="1"/>
  <c r="E88" i="396" a="1"/>
  <c r="E88" i="396" s="1"/>
  <c r="E91" i="396" a="1"/>
  <c r="E91" i="396" s="1"/>
  <c r="E103" i="396" a="1"/>
  <c r="E103" i="396" s="1"/>
  <c r="E110" i="396" a="1"/>
  <c r="E110" i="396" s="1"/>
  <c r="E116" i="396" a="1"/>
  <c r="E116" i="396" s="1"/>
  <c r="E118" i="396" a="1"/>
  <c r="E118" i="396" s="1"/>
  <c r="E121" i="396" a="1"/>
  <c r="E121" i="396" s="1"/>
  <c r="E126" i="396" a="1"/>
  <c r="E126" i="396" s="1"/>
  <c r="E131" i="396" a="1"/>
  <c r="E131" i="396" s="1"/>
  <c r="E134" i="396" a="1"/>
  <c r="E134" i="396" s="1"/>
  <c r="E140" i="396" a="1"/>
  <c r="E140" i="396" s="1"/>
  <c r="E158" i="396" a="1"/>
  <c r="E158" i="396" s="1"/>
  <c r="E161" i="396" a="1"/>
  <c r="E161" i="396" s="1"/>
  <c r="C29" i="397"/>
  <c r="E64" i="397" a="1"/>
  <c r="E64" i="397" s="1"/>
  <c r="E66" i="397" a="1"/>
  <c r="E66" i="397" s="1"/>
  <c r="E69" i="397" a="1"/>
  <c r="E69" i="397" s="1"/>
  <c r="E71" i="397" a="1"/>
  <c r="E71" i="397" s="1"/>
  <c r="E73" i="397" a="1"/>
  <c r="E73" i="397" s="1"/>
  <c r="E81" i="397" a="1"/>
  <c r="E81" i="397" s="1"/>
  <c r="E84" i="397" a="1"/>
  <c r="E84" i="397" s="1"/>
  <c r="E94" i="397" a="1"/>
  <c r="E94" i="397" s="1"/>
  <c r="E101" i="397" a="1"/>
  <c r="E101" i="397" s="1"/>
  <c r="E103" i="397" a="1"/>
  <c r="E103" i="397" s="1"/>
  <c r="E106" i="397" a="1"/>
  <c r="E106" i="397" s="1"/>
  <c r="E108" i="397" a="1"/>
  <c r="E108" i="397" s="1"/>
  <c r="E111" i="397" a="1"/>
  <c r="E111" i="397" s="1"/>
  <c r="E114" i="397" a="1"/>
  <c r="E114" i="397" s="1"/>
  <c r="E120" i="397" a="1"/>
  <c r="E120" i="397" s="1"/>
  <c r="E131" i="397" a="1"/>
  <c r="E131" i="397" s="1"/>
  <c r="E136" i="397" a="1"/>
  <c r="E136" i="397" s="1"/>
  <c r="E141" i="397" a="1"/>
  <c r="E141" i="397" s="1"/>
  <c r="E162" i="397" a="1"/>
  <c r="E162" i="397" s="1"/>
  <c r="C11" i="393"/>
  <c r="C9" i="393" s="1"/>
  <c r="C19" i="393"/>
  <c r="C29" i="393"/>
  <c r="C27" i="393" s="1"/>
  <c r="E71" i="393" a="1"/>
  <c r="E71" i="393" s="1"/>
  <c r="E73" i="393" a="1"/>
  <c r="E73" i="393" s="1"/>
  <c r="E82" i="393" a="1"/>
  <c r="E82" i="393" s="1"/>
  <c r="E85" i="393" a="1"/>
  <c r="E85" i="393" s="1"/>
  <c r="E88" i="393" a="1"/>
  <c r="E88" i="393" s="1"/>
  <c r="E91" i="393" a="1"/>
  <c r="E91" i="393" s="1"/>
  <c r="E96" i="393" a="1"/>
  <c r="E96" i="393" s="1"/>
  <c r="E99" i="393" a="1"/>
  <c r="E99" i="393" s="1"/>
  <c r="E102" i="393" a="1"/>
  <c r="E102" i="393" s="1"/>
  <c r="E105" i="393" a="1"/>
  <c r="E105" i="393" s="1"/>
  <c r="E108" i="393" a="1"/>
  <c r="E108" i="393" s="1"/>
  <c r="E111" i="393" a="1"/>
  <c r="E111" i="393" s="1"/>
  <c r="E114" i="393" a="1"/>
  <c r="E114" i="393" s="1"/>
  <c r="E119" i="393" a="1"/>
  <c r="E119" i="393" s="1"/>
  <c r="E128" i="393" a="1"/>
  <c r="E128" i="393" s="1"/>
  <c r="E131" i="393" a="1"/>
  <c r="E131" i="393" s="1"/>
  <c r="E137" i="393" a="1"/>
  <c r="E137" i="393" s="1"/>
  <c r="E140" i="393" a="1"/>
  <c r="E140" i="393" s="1"/>
  <c r="E156" i="393" a="1"/>
  <c r="E156" i="393" s="1"/>
  <c r="E17" i="398" a="1"/>
  <c r="E17" i="398" s="1"/>
  <c r="E30" i="398" a="1"/>
  <c r="E30" i="398" s="1"/>
  <c r="E37" i="398" a="1"/>
  <c r="E37" i="398" s="1"/>
  <c r="E40" i="398" a="1"/>
  <c r="E40" i="398" s="1"/>
  <c r="E43" i="398" a="1"/>
  <c r="E43" i="398" s="1"/>
  <c r="E45" i="398" a="1"/>
  <c r="E45" i="398" s="1"/>
  <c r="E57" i="398" a="1"/>
  <c r="E57" i="398" s="1"/>
  <c r="E59" i="398" a="1"/>
  <c r="E59" i="398" s="1"/>
  <c r="E62" i="398" a="1"/>
  <c r="E62" i="398" s="1"/>
  <c r="E68" i="398" a="1"/>
  <c r="E68" i="398" s="1"/>
  <c r="E72" i="398" a="1"/>
  <c r="E72" i="398" s="1"/>
  <c r="E81" i="398" a="1"/>
  <c r="E81" i="398" s="1"/>
  <c r="E84" i="398" a="1"/>
  <c r="E84" i="398" s="1"/>
  <c r="E86" i="398" a="1"/>
  <c r="E86" i="398" s="1"/>
  <c r="E91" i="398" a="1"/>
  <c r="E91" i="398" s="1"/>
  <c r="E98" i="398" a="1"/>
  <c r="E98" i="398" s="1"/>
  <c r="E101" i="398" a="1"/>
  <c r="E101" i="398" s="1"/>
  <c r="E104" i="398" a="1"/>
  <c r="E104" i="398" s="1"/>
  <c r="E114" i="398" a="1"/>
  <c r="E114" i="398" s="1"/>
  <c r="E117" i="398" a="1"/>
  <c r="E117" i="398" s="1"/>
  <c r="E120" i="398" a="1"/>
  <c r="E120" i="398" s="1"/>
  <c r="E126" i="398" a="1"/>
  <c r="E126" i="398" s="1"/>
  <c r="E129" i="398" a="1"/>
  <c r="E129" i="398" s="1"/>
  <c r="E132" i="398" a="1"/>
  <c r="E132" i="398" s="1"/>
  <c r="E134" i="398" a="1"/>
  <c r="E134" i="398" s="1"/>
  <c r="E140" i="398" a="1"/>
  <c r="E140" i="398" s="1"/>
  <c r="E145" i="398" a="1"/>
  <c r="E145" i="398" s="1"/>
  <c r="E144" i="398" s="1"/>
  <c r="E157" i="398" a="1"/>
  <c r="E157" i="398" s="1"/>
  <c r="E159" i="398" a="1"/>
  <c r="E159" i="398" s="1"/>
  <c r="E162" i="398" a="1"/>
  <c r="E162" i="398" s="1"/>
  <c r="C11" i="399"/>
  <c r="C15" i="399"/>
  <c r="E35" i="399" a="1"/>
  <c r="E35" i="399" s="1"/>
  <c r="E39" i="399" a="1"/>
  <c r="E39" i="399" s="1"/>
  <c r="E41" i="399" a="1"/>
  <c r="E41" i="399" s="1"/>
  <c r="E54" i="399" a="1"/>
  <c r="E54" i="399" s="1"/>
  <c r="E59" i="399" a="1"/>
  <c r="E59" i="399" s="1"/>
  <c r="E66" i="399" a="1"/>
  <c r="E66" i="399" s="1"/>
  <c r="E71" i="399" a="1"/>
  <c r="E71" i="399" s="1"/>
  <c r="E82" i="399" a="1"/>
  <c r="E82" i="399" s="1"/>
  <c r="E101" i="399" a="1"/>
  <c r="E101" i="399" s="1"/>
  <c r="E114" i="399" a="1"/>
  <c r="E114" i="399" s="1"/>
  <c r="E116" i="399" a="1"/>
  <c r="E116" i="399" s="1"/>
  <c r="E120" i="399" a="1"/>
  <c r="E120" i="399" s="1"/>
  <c r="E122" i="399" a="1"/>
  <c r="E122" i="399" s="1"/>
  <c r="E124" i="399" a="1"/>
  <c r="E124" i="399" s="1"/>
  <c r="E126" i="399" a="1"/>
  <c r="E126" i="399" s="1"/>
  <c r="E128" i="399" a="1"/>
  <c r="E128" i="399" s="1"/>
  <c r="C139" i="399"/>
  <c r="E145" i="399" a="1"/>
  <c r="E145" i="399" s="1"/>
  <c r="C164" i="399"/>
  <c r="E157" i="399" a="1"/>
  <c r="E157" i="399" s="1"/>
  <c r="C139" i="408"/>
  <c r="E16" i="392" a="1"/>
  <c r="E16" i="392" s="1"/>
  <c r="E28" i="392" a="1"/>
  <c r="E28" i="392" s="1"/>
  <c r="E37" i="392" a="1"/>
  <c r="E37" i="392" s="1"/>
  <c r="E39" i="392" a="1"/>
  <c r="E39" i="392" s="1"/>
  <c r="E57" i="392" a="1"/>
  <c r="E57" i="392" s="1"/>
  <c r="E62" i="392" a="1"/>
  <c r="E62" i="392" s="1"/>
  <c r="E67" i="392" a="1"/>
  <c r="E67" i="392" s="1"/>
  <c r="E70" i="392" a="1"/>
  <c r="E70" i="392" s="1"/>
  <c r="E79" i="392" a="1"/>
  <c r="E79" i="392" s="1"/>
  <c r="E82" i="392" a="1"/>
  <c r="E82" i="392" s="1"/>
  <c r="E87" i="392" a="1"/>
  <c r="E87" i="392" s="1"/>
  <c r="E92" i="392" a="1"/>
  <c r="E92" i="392" s="1"/>
  <c r="E97" i="392" a="1"/>
  <c r="E97" i="392" s="1"/>
  <c r="E102" i="392" a="1"/>
  <c r="E102" i="392" s="1"/>
  <c r="E110" i="392" a="1"/>
  <c r="E110" i="392" s="1"/>
  <c r="E113" i="392" a="1"/>
  <c r="E113" i="392" s="1"/>
  <c r="E115" i="392" a="1"/>
  <c r="E115" i="392" s="1"/>
  <c r="E118" i="392" a="1"/>
  <c r="E118" i="392" s="1"/>
  <c r="E121" i="392" a="1"/>
  <c r="E121" i="392" s="1"/>
  <c r="E124" i="392" a="1"/>
  <c r="E124" i="392" s="1"/>
  <c r="E126" i="392" a="1"/>
  <c r="E126" i="392" s="1"/>
  <c r="E129" i="392" a="1"/>
  <c r="E129" i="392" s="1"/>
  <c r="E132" i="392" a="1"/>
  <c r="E132" i="392" s="1"/>
  <c r="E134" i="392" a="1"/>
  <c r="E134" i="392" s="1"/>
  <c r="E137" i="392" a="1"/>
  <c r="E137" i="392" s="1"/>
  <c r="E140" i="392" a="1"/>
  <c r="E140" i="392" s="1"/>
  <c r="E157" i="392" a="1"/>
  <c r="E157" i="392" s="1"/>
  <c r="E16" i="395" a="1"/>
  <c r="E16" i="395" s="1"/>
  <c r="E20" i="395" a="1"/>
  <c r="E20" i="395" s="1"/>
  <c r="C27" i="395"/>
  <c r="E33" i="395" a="1"/>
  <c r="E33" i="395" s="1"/>
  <c r="E40" i="395" a="1"/>
  <c r="E40" i="395" s="1"/>
  <c r="E43" i="395" a="1"/>
  <c r="E43" i="395" s="1"/>
  <c r="E53" i="395" a="1"/>
  <c r="E53" i="395" s="1"/>
  <c r="E56" i="395" a="1"/>
  <c r="E56" i="395" s="1"/>
  <c r="E59" i="395" a="1"/>
  <c r="E59" i="395" s="1"/>
  <c r="E62" i="395" a="1"/>
  <c r="E62" i="395" s="1"/>
  <c r="E66" i="395" a="1"/>
  <c r="E66" i="395" s="1"/>
  <c r="E69" i="395" a="1"/>
  <c r="E69" i="395" s="1"/>
  <c r="E73" i="395" a="1"/>
  <c r="E73" i="395" s="1"/>
  <c r="E80" i="395" a="1"/>
  <c r="E80" i="395" s="1"/>
  <c r="E88" i="395" a="1"/>
  <c r="E88" i="395" s="1"/>
  <c r="E93" i="395" a="1"/>
  <c r="E93" i="395" s="1"/>
  <c r="E96" i="395" a="1"/>
  <c r="E96" i="395" s="1"/>
  <c r="E99" i="395" a="1"/>
  <c r="E99" i="395" s="1"/>
  <c r="E105" i="395" a="1"/>
  <c r="E105" i="395" s="1"/>
  <c r="E108" i="395" a="1"/>
  <c r="E108" i="395" s="1"/>
  <c r="E116" i="395" a="1"/>
  <c r="E116" i="395" s="1"/>
  <c r="E119" i="395" a="1"/>
  <c r="E119" i="395" s="1"/>
  <c r="E125" i="395" a="1"/>
  <c r="E125" i="395" s="1"/>
  <c r="E130" i="395" a="1"/>
  <c r="E130" i="395" s="1"/>
  <c r="E137" i="395" a="1"/>
  <c r="E137" i="395" s="1"/>
  <c r="E140" i="395" a="1"/>
  <c r="E140" i="395" s="1"/>
  <c r="E157" i="395" a="1"/>
  <c r="E157" i="395" s="1"/>
  <c r="E13" i="396" a="1"/>
  <c r="E13" i="396" s="1"/>
  <c r="E23" i="396" a="1"/>
  <c r="E23" i="396" s="1"/>
  <c r="E30" i="396" a="1"/>
  <c r="E30" i="396" s="1"/>
  <c r="C32" i="396"/>
  <c r="E37" i="396" a="1"/>
  <c r="E37" i="396" s="1"/>
  <c r="E40" i="396" a="1"/>
  <c r="E40" i="396" s="1"/>
  <c r="E45" i="396" a="1"/>
  <c r="E45" i="396" s="1"/>
  <c r="E58" i="396" a="1"/>
  <c r="E58" i="396" s="1"/>
  <c r="E61" i="396" a="1"/>
  <c r="E61" i="396" s="1"/>
  <c r="E63" i="396" a="1"/>
  <c r="E63" i="396" s="1"/>
  <c r="E73" i="396" a="1"/>
  <c r="E73" i="396" s="1"/>
  <c r="E80" i="396" a="1"/>
  <c r="E80" i="396" s="1"/>
  <c r="E85" i="396" a="1"/>
  <c r="E85" i="396" s="1"/>
  <c r="E87" i="396" a="1"/>
  <c r="E87" i="396" s="1"/>
  <c r="E90" i="396" a="1"/>
  <c r="E90" i="396" s="1"/>
  <c r="E93" i="396" a="1"/>
  <c r="E93" i="396" s="1"/>
  <c r="E95" i="396" a="1"/>
  <c r="E95" i="396" s="1"/>
  <c r="E98" i="396" a="1"/>
  <c r="E98" i="396" s="1"/>
  <c r="E100" i="396" a="1"/>
  <c r="E100" i="396" s="1"/>
  <c r="E106" i="396" a="1"/>
  <c r="E106" i="396" s="1"/>
  <c r="E109" i="396" a="1"/>
  <c r="E109" i="396" s="1"/>
  <c r="E112" i="396" a="1"/>
  <c r="E112" i="396" s="1"/>
  <c r="E115" i="396" a="1"/>
  <c r="E115" i="396" s="1"/>
  <c r="E120" i="396" a="1"/>
  <c r="E120" i="396" s="1"/>
  <c r="E123" i="396" a="1"/>
  <c r="E123" i="396" s="1"/>
  <c r="E125" i="396" a="1"/>
  <c r="E125" i="396" s="1"/>
  <c r="E128" i="396" a="1"/>
  <c r="E128" i="396" s="1"/>
  <c r="E133" i="396" a="1"/>
  <c r="E133" i="396" s="1"/>
  <c r="E136" i="396" a="1"/>
  <c r="E136" i="396" s="1"/>
  <c r="E142" i="396" a="1"/>
  <c r="E142" i="396" s="1"/>
  <c r="E155" i="396" a="1"/>
  <c r="E155" i="396" s="1"/>
  <c r="E160" i="396" a="1"/>
  <c r="E160" i="396" s="1"/>
  <c r="E13" i="397" a="1"/>
  <c r="E13" i="397" s="1"/>
  <c r="E17" i="397" a="1"/>
  <c r="E17" i="397" s="1"/>
  <c r="C19" i="397"/>
  <c r="E22" i="397" a="1"/>
  <c r="E22" i="397" s="1"/>
  <c r="E31" i="397" a="1"/>
  <c r="E31" i="397" s="1"/>
  <c r="E34" i="397" a="1"/>
  <c r="E34" i="397" s="1"/>
  <c r="E38" i="397" a="1"/>
  <c r="E38" i="397" s="1"/>
  <c r="E43" i="397" a="1"/>
  <c r="E43" i="397" s="1"/>
  <c r="E53" i="397" a="1"/>
  <c r="E53" i="397" s="1"/>
  <c r="E58" i="397" a="1"/>
  <c r="E58" i="397" s="1"/>
  <c r="E61" i="397" a="1"/>
  <c r="E61" i="397" s="1"/>
  <c r="E63" i="397" a="1"/>
  <c r="E63" i="397" s="1"/>
  <c r="E80" i="397" a="1"/>
  <c r="E80" i="397" s="1"/>
  <c r="E83" i="397" a="1"/>
  <c r="E83" i="397" s="1"/>
  <c r="E86" i="397" a="1"/>
  <c r="E86" i="397" s="1"/>
  <c r="E89" i="397" a="1"/>
  <c r="E89" i="397" s="1"/>
  <c r="E91" i="397" a="1"/>
  <c r="E91" i="397" s="1"/>
  <c r="E97" i="397" a="1"/>
  <c r="E97" i="397" s="1"/>
  <c r="E100" i="397" a="1"/>
  <c r="E100" i="397" s="1"/>
  <c r="E110" i="397" a="1"/>
  <c r="E110" i="397" s="1"/>
  <c r="E117" i="397" a="1"/>
  <c r="E117" i="397" s="1"/>
  <c r="E119" i="397" a="1"/>
  <c r="E119" i="397" s="1"/>
  <c r="E122" i="397" a="1"/>
  <c r="E122" i="397" s="1"/>
  <c r="E125" i="397" a="1"/>
  <c r="E125" i="397" s="1"/>
  <c r="E128" i="397" a="1"/>
  <c r="E128" i="397" s="1"/>
  <c r="E130" i="397" a="1"/>
  <c r="E130" i="397" s="1"/>
  <c r="E133" i="397" a="1"/>
  <c r="E133" i="397" s="1"/>
  <c r="E135" i="397" a="1"/>
  <c r="E135" i="397" s="1"/>
  <c r="E145" i="397" a="1"/>
  <c r="E145" i="397" s="1"/>
  <c r="E156" i="397" a="1"/>
  <c r="E156" i="397" s="1"/>
  <c r="E158" i="397" a="1"/>
  <c r="E158" i="397" s="1"/>
  <c r="E161" i="397" a="1"/>
  <c r="E161" i="397" s="1"/>
  <c r="E12" i="393" a="1"/>
  <c r="E12" i="393" s="1"/>
  <c r="E17" i="393" a="1"/>
  <c r="E17" i="393" s="1"/>
  <c r="E20" i="393" a="1"/>
  <c r="E20" i="393" s="1"/>
  <c r="E30" i="393" a="1"/>
  <c r="E30" i="393" s="1"/>
  <c r="E37" i="393" a="1"/>
  <c r="E37" i="393" s="1"/>
  <c r="E39" i="393" a="1"/>
  <c r="E39" i="393" s="1"/>
  <c r="E42" i="393" a="1"/>
  <c r="E42" i="393" s="1"/>
  <c r="E52" i="393" a="1"/>
  <c r="E52" i="393" s="1"/>
  <c r="E55" i="393" a="1"/>
  <c r="E55" i="393" s="1"/>
  <c r="E59" i="393" a="1"/>
  <c r="E59" i="393" s="1"/>
  <c r="E65" i="393" a="1"/>
  <c r="E65" i="393" s="1"/>
  <c r="E68" i="393" a="1"/>
  <c r="E68" i="393" s="1"/>
  <c r="E79" i="393" a="1"/>
  <c r="E79" i="393" s="1"/>
  <c r="E87" i="393" a="1"/>
  <c r="E87" i="393" s="1"/>
  <c r="E90" i="393" a="1"/>
  <c r="E90" i="393" s="1"/>
  <c r="E93" i="393" a="1"/>
  <c r="E93" i="393" s="1"/>
  <c r="E101" i="393" a="1"/>
  <c r="E101" i="393" s="1"/>
  <c r="E104" i="393" a="1"/>
  <c r="E104" i="393" s="1"/>
  <c r="E107" i="393" a="1"/>
  <c r="E107" i="393" s="1"/>
  <c r="E113" i="393" a="1"/>
  <c r="E113" i="393" s="1"/>
  <c r="E116" i="393" a="1"/>
  <c r="E116" i="393" s="1"/>
  <c r="E122" i="393" a="1"/>
  <c r="E122" i="393" s="1"/>
  <c r="E125" i="393" a="1"/>
  <c r="E125" i="393" s="1"/>
  <c r="E127" i="393" a="1"/>
  <c r="E127" i="393" s="1"/>
  <c r="E130" i="393" a="1"/>
  <c r="E130" i="393" s="1"/>
  <c r="E133" i="393" a="1"/>
  <c r="E133" i="393" s="1"/>
  <c r="E136" i="393" a="1"/>
  <c r="E136" i="393" s="1"/>
  <c r="E142" i="393" a="1"/>
  <c r="E142" i="393" s="1"/>
  <c r="E155" i="393" a="1"/>
  <c r="E155" i="393" s="1"/>
  <c r="E158" i="393" a="1"/>
  <c r="E158" i="393" s="1"/>
  <c r="E161" i="393" a="1"/>
  <c r="E161" i="393" s="1"/>
  <c r="E14" i="398" a="1"/>
  <c r="E14" i="398" s="1"/>
  <c r="E16" i="398" a="1"/>
  <c r="E16" i="398" s="1"/>
  <c r="E23" i="398" a="1"/>
  <c r="E23" i="398" s="1"/>
  <c r="E28" i="398" a="1"/>
  <c r="E28" i="398" s="1"/>
  <c r="E35" i="398" a="1"/>
  <c r="E35" i="398" s="1"/>
  <c r="C36" i="398"/>
  <c r="E42" i="398" a="1"/>
  <c r="E42" i="398" s="1"/>
  <c r="E52" i="398" a="1"/>
  <c r="E52" i="398" s="1"/>
  <c r="E54" i="398" a="1"/>
  <c r="E54" i="398" s="1"/>
  <c r="E56" i="398" a="1"/>
  <c r="E56" i="398" s="1"/>
  <c r="E64" i="398" a="1"/>
  <c r="E64" i="398" s="1"/>
  <c r="E67" i="398" a="1"/>
  <c r="E67" i="398" s="1"/>
  <c r="E71" i="398" a="1"/>
  <c r="E71" i="398" s="1"/>
  <c r="E74" i="398" a="1"/>
  <c r="E74" i="398" s="1"/>
  <c r="E80" i="398" a="1"/>
  <c r="E80" i="398" s="1"/>
  <c r="E83" i="398" a="1"/>
  <c r="E83" i="398" s="1"/>
  <c r="E88" i="398" a="1"/>
  <c r="E88" i="398" s="1"/>
  <c r="E93" i="398" a="1"/>
  <c r="E93" i="398" s="1"/>
  <c r="E95" i="398" a="1"/>
  <c r="E95" i="398" s="1"/>
  <c r="E100" i="398" a="1"/>
  <c r="E100" i="398" s="1"/>
  <c r="E103" i="398" a="1"/>
  <c r="E103" i="398" s="1"/>
  <c r="E106" i="398" a="1"/>
  <c r="E106" i="398" s="1"/>
  <c r="E109" i="398" a="1"/>
  <c r="E109" i="398" s="1"/>
  <c r="E111" i="398" a="1"/>
  <c r="E111" i="398" s="1"/>
  <c r="E116" i="398" a="1"/>
  <c r="E116" i="398" s="1"/>
  <c r="E119" i="398" a="1"/>
  <c r="E119" i="398" s="1"/>
  <c r="E122" i="398" a="1"/>
  <c r="E122" i="398" s="1"/>
  <c r="E125" i="398" a="1"/>
  <c r="E125" i="398" s="1"/>
  <c r="E131" i="398" a="1"/>
  <c r="E131" i="398" s="1"/>
  <c r="E136" i="398" a="1"/>
  <c r="E136" i="398" s="1"/>
  <c r="E142" i="398" a="1"/>
  <c r="E142" i="398" s="1"/>
  <c r="E156" i="398" a="1"/>
  <c r="E156" i="398" s="1"/>
  <c r="E162" i="399" a="1"/>
  <c r="E162" i="399" s="1"/>
  <c r="G162" i="399" s="1"/>
  <c r="E142" i="399" a="1"/>
  <c r="E142" i="399" s="1"/>
  <c r="E132" i="399" a="1"/>
  <c r="E132" i="399" s="1"/>
  <c r="E129" i="399" a="1"/>
  <c r="E129" i="399" s="1"/>
  <c r="E113" i="399" a="1"/>
  <c r="E113" i="399" s="1"/>
  <c r="E103" i="399" a="1"/>
  <c r="E103" i="399" s="1"/>
  <c r="E98" i="399" a="1"/>
  <c r="E98" i="399" s="1"/>
  <c r="E96" i="399" a="1"/>
  <c r="E96" i="399" s="1"/>
  <c r="E93" i="399" a="1"/>
  <c r="E93" i="399" s="1"/>
  <c r="E90" i="399" a="1"/>
  <c r="E90" i="399" s="1"/>
  <c r="E87" i="399" a="1"/>
  <c r="E87" i="399" s="1"/>
  <c r="E85" i="399" a="1"/>
  <c r="E85" i="399" s="1"/>
  <c r="E81" i="399" a="1"/>
  <c r="E81" i="399" s="1"/>
  <c r="E74" i="399" a="1"/>
  <c r="E74" i="399" s="1"/>
  <c r="E68" i="399" a="1"/>
  <c r="E68" i="399" s="1"/>
  <c r="E65" i="399" a="1"/>
  <c r="E65" i="399" s="1"/>
  <c r="E62" i="399" a="1"/>
  <c r="E62" i="399" s="1"/>
  <c r="E161" i="399" a="1"/>
  <c r="E161" i="399" s="1"/>
  <c r="E158" i="399" a="1"/>
  <c r="E158" i="399" s="1"/>
  <c r="E155" i="399" a="1"/>
  <c r="E155" i="399" s="1"/>
  <c r="E140" i="399" a="1"/>
  <c r="E140" i="399" s="1"/>
  <c r="E136" i="399" a="1"/>
  <c r="E136" i="399" s="1"/>
  <c r="E130" i="399" a="1"/>
  <c r="E130" i="399" s="1"/>
  <c r="E121" i="399" a="1"/>
  <c r="E121" i="399" s="1"/>
  <c r="E118" i="399" a="1"/>
  <c r="E118" i="399" s="1"/>
  <c r="E115" i="399" a="1"/>
  <c r="E115" i="399" s="1"/>
  <c r="E112" i="399" a="1"/>
  <c r="E112" i="399" s="1"/>
  <c r="E107" i="399" a="1"/>
  <c r="E107" i="399" s="1"/>
  <c r="E102" i="399" a="1"/>
  <c r="E102" i="399" s="1"/>
  <c r="E99" i="399" a="1"/>
  <c r="E99" i="399" s="1"/>
  <c r="E97" i="399" a="1"/>
  <c r="E97" i="399" s="1"/>
  <c r="E12" i="399" a="1"/>
  <c r="E12" i="399" s="1"/>
  <c r="E16" i="399" a="1"/>
  <c r="E16" i="399" s="1"/>
  <c r="E20" i="399" a="1"/>
  <c r="E20" i="399" s="1"/>
  <c r="E22" i="399" a="1"/>
  <c r="E22" i="399" s="1"/>
  <c r="E34" i="399" a="1"/>
  <c r="E34" i="399" s="1"/>
  <c r="E38" i="399" a="1"/>
  <c r="E38" i="399" s="1"/>
  <c r="E43" i="399" a="1"/>
  <c r="E43" i="399" s="1"/>
  <c r="E56" i="399" a="1"/>
  <c r="E56" i="399" s="1"/>
  <c r="E61" i="399" a="1"/>
  <c r="E61" i="399" s="1"/>
  <c r="E63" i="399" a="1"/>
  <c r="E63" i="399" s="1"/>
  <c r="E73" i="399" a="1"/>
  <c r="E73" i="399" s="1"/>
  <c r="E79" i="399" a="1"/>
  <c r="E79" i="399" s="1"/>
  <c r="E84" i="399" a="1"/>
  <c r="E84" i="399" s="1"/>
  <c r="E86" i="399" a="1"/>
  <c r="E86" i="399" s="1"/>
  <c r="E88" i="399" a="1"/>
  <c r="E88" i="399" s="1"/>
  <c r="E92" i="399" a="1"/>
  <c r="E92" i="399" s="1"/>
  <c r="E94" i="399" a="1"/>
  <c r="E94" i="399" s="1"/>
  <c r="E104" i="399" a="1"/>
  <c r="E104" i="399" s="1"/>
  <c r="E106" i="399" a="1"/>
  <c r="E106" i="399" s="1"/>
  <c r="E108" i="399" a="1"/>
  <c r="E108" i="399" s="1"/>
  <c r="E110" i="399" a="1"/>
  <c r="E110" i="399" s="1"/>
  <c r="E131" i="399" a="1"/>
  <c r="E131" i="399" s="1"/>
  <c r="E133" i="399" a="1"/>
  <c r="E133" i="399" s="1"/>
  <c r="E135" i="399" a="1"/>
  <c r="E135" i="399" s="1"/>
  <c r="E137" i="399" a="1"/>
  <c r="E137" i="399" s="1"/>
  <c r="E175" i="399" a="1"/>
  <c r="E175" i="399" s="1"/>
  <c r="E177" i="399" s="1"/>
  <c r="E28" i="401" a="1"/>
  <c r="E28" i="401" s="1"/>
  <c r="E31" i="401" a="1"/>
  <c r="E31" i="401" s="1"/>
  <c r="C32" i="401"/>
  <c r="E45" i="401" a="1"/>
  <c r="E45" i="401" s="1"/>
  <c r="E52" i="401" a="1"/>
  <c r="E52" i="401" s="1"/>
  <c r="E60" i="401" a="1"/>
  <c r="E60" i="401" s="1"/>
  <c r="E63" i="401" a="1"/>
  <c r="E63" i="401" s="1"/>
  <c r="E66" i="401" a="1"/>
  <c r="E66" i="401" s="1"/>
  <c r="E69" i="401" a="1"/>
  <c r="E69" i="401" s="1"/>
  <c r="E72" i="401" a="1"/>
  <c r="E72" i="401" s="1"/>
  <c r="E79" i="401" a="1"/>
  <c r="E79" i="401" s="1"/>
  <c r="E87" i="401" a="1"/>
  <c r="E87" i="401" s="1"/>
  <c r="E89" i="401" a="1"/>
  <c r="E89" i="401" s="1"/>
  <c r="E92" i="401" a="1"/>
  <c r="E92" i="401" s="1"/>
  <c r="E94" i="401" a="1"/>
  <c r="E94" i="401" s="1"/>
  <c r="E96" i="401" a="1"/>
  <c r="E96" i="401" s="1"/>
  <c r="E99" i="401" a="1"/>
  <c r="E99" i="401" s="1"/>
  <c r="E107" i="401" a="1"/>
  <c r="E107" i="401" s="1"/>
  <c r="E110" i="401" a="1"/>
  <c r="E110" i="401" s="1"/>
  <c r="E113" i="401" a="1"/>
  <c r="E113" i="401" s="1"/>
  <c r="E119" i="401" a="1"/>
  <c r="E119" i="401" s="1"/>
  <c r="E122" i="401" a="1"/>
  <c r="E122" i="401" s="1"/>
  <c r="E127" i="401" a="1"/>
  <c r="E127" i="401" s="1"/>
  <c r="E133" i="401" a="1"/>
  <c r="E133" i="401" s="1"/>
  <c r="E157" i="401" a="1"/>
  <c r="E157" i="401" s="1"/>
  <c r="E159" i="401" a="1"/>
  <c r="E159" i="401" s="1"/>
  <c r="E162" i="401" a="1"/>
  <c r="E162" i="401" s="1"/>
  <c r="E12" i="394" a="1"/>
  <c r="E12" i="394" s="1"/>
  <c r="E16" i="394" a="1"/>
  <c r="E16" i="394" s="1"/>
  <c r="E30" i="394" a="1"/>
  <c r="E30" i="394" s="1"/>
  <c r="E34" i="394" a="1"/>
  <c r="E34" i="394" s="1"/>
  <c r="E37" i="394" a="1"/>
  <c r="E37" i="394" s="1"/>
  <c r="E40" i="394" a="1"/>
  <c r="E40" i="394" s="1"/>
  <c r="E42" i="394" a="1"/>
  <c r="E42" i="394" s="1"/>
  <c r="E52" i="394" a="1"/>
  <c r="E52" i="394" s="1"/>
  <c r="E54" i="394" a="1"/>
  <c r="E54" i="394" s="1"/>
  <c r="E59" i="394" a="1"/>
  <c r="E59" i="394" s="1"/>
  <c r="E66" i="394" a="1"/>
  <c r="E66" i="394" s="1"/>
  <c r="E71" i="394" a="1"/>
  <c r="E71" i="394" s="1"/>
  <c r="E74" i="394" a="1"/>
  <c r="E74" i="394" s="1"/>
  <c r="E84" i="394" a="1"/>
  <c r="E84" i="394" s="1"/>
  <c r="E86" i="394" a="1"/>
  <c r="E86" i="394" s="1"/>
  <c r="E89" i="394" a="1"/>
  <c r="E89" i="394" s="1"/>
  <c r="E92" i="394" a="1"/>
  <c r="E92" i="394" s="1"/>
  <c r="E97" i="394" a="1"/>
  <c r="E97" i="394" s="1"/>
  <c r="E102" i="394" a="1"/>
  <c r="E102" i="394" s="1"/>
  <c r="E108" i="394" a="1"/>
  <c r="E108" i="394" s="1"/>
  <c r="E113" i="394" a="1"/>
  <c r="E113" i="394" s="1"/>
  <c r="E123" i="394" a="1"/>
  <c r="E123" i="394" s="1"/>
  <c r="E126" i="394" a="1"/>
  <c r="E126" i="394" s="1"/>
  <c r="E129" i="394" a="1"/>
  <c r="E129" i="394" s="1"/>
  <c r="E132" i="394" a="1"/>
  <c r="E132" i="394" s="1"/>
  <c r="E135" i="394" a="1"/>
  <c r="E135" i="394" s="1"/>
  <c r="E137" i="394" a="1"/>
  <c r="E137" i="394" s="1"/>
  <c r="E140" i="394" a="1"/>
  <c r="E140" i="394" s="1"/>
  <c r="C164" i="394"/>
  <c r="E159" i="394" a="1"/>
  <c r="E159" i="394" s="1"/>
  <c r="E162" i="394" a="1"/>
  <c r="E162" i="394" s="1"/>
  <c r="E162" i="402" a="1"/>
  <c r="E162" i="402" s="1"/>
  <c r="E160" i="402" a="1"/>
  <c r="E160" i="402" s="1"/>
  <c r="E145" i="402" a="1"/>
  <c r="E145" i="402" s="1"/>
  <c r="E144" i="402" s="1"/>
  <c r="E140" i="402" a="1"/>
  <c r="E140" i="402" s="1"/>
  <c r="E137" i="402" a="1"/>
  <c r="E137" i="402" s="1"/>
  <c r="E134" i="402" a="1"/>
  <c r="E134" i="402" s="1"/>
  <c r="E132" i="402" a="1"/>
  <c r="E132" i="402" s="1"/>
  <c r="E12" i="402" a="1"/>
  <c r="E12" i="402" s="1"/>
  <c r="E18" i="402" a="1"/>
  <c r="E18" i="402" s="1"/>
  <c r="E23" i="402" a="1"/>
  <c r="E23" i="402" s="1"/>
  <c r="E28" i="402" a="1"/>
  <c r="E28" i="402" s="1"/>
  <c r="E33" i="402" a="1"/>
  <c r="E33" i="402" s="1"/>
  <c r="E37" i="402" a="1"/>
  <c r="E37" i="402" s="1"/>
  <c r="E40" i="402" a="1"/>
  <c r="E40" i="402" s="1"/>
  <c r="E53" i="402" a="1"/>
  <c r="E53" i="402" s="1"/>
  <c r="E59" i="402" a="1"/>
  <c r="E59" i="402" s="1"/>
  <c r="E61" i="402" a="1"/>
  <c r="E61" i="402" s="1"/>
  <c r="E66" i="402" a="1"/>
  <c r="E66" i="402" s="1"/>
  <c r="E69" i="402" a="1"/>
  <c r="E69" i="402" s="1"/>
  <c r="E72" i="402" a="1"/>
  <c r="E72" i="402" s="1"/>
  <c r="E79" i="402" a="1"/>
  <c r="E79" i="402" s="1"/>
  <c r="E81" i="402" a="1"/>
  <c r="E81" i="402" s="1"/>
  <c r="G81" i="402" s="1"/>
  <c r="E84" i="402" a="1"/>
  <c r="E84" i="402" s="1"/>
  <c r="E86" i="402" a="1"/>
  <c r="E86" i="402" s="1"/>
  <c r="E89" i="402" a="1"/>
  <c r="E89" i="402" s="1"/>
  <c r="E93" i="402" a="1"/>
  <c r="E93" i="402" s="1"/>
  <c r="E96" i="402" a="1"/>
  <c r="E96" i="402" s="1"/>
  <c r="E99" i="402" a="1"/>
  <c r="E99" i="402" s="1"/>
  <c r="E107" i="402" a="1"/>
  <c r="E107" i="402" s="1"/>
  <c r="E110" i="402" a="1"/>
  <c r="E110" i="402" s="1"/>
  <c r="E113" i="402" a="1"/>
  <c r="E113" i="402" s="1"/>
  <c r="E119" i="402" a="1"/>
  <c r="E119" i="402" s="1"/>
  <c r="E130" i="402" a="1"/>
  <c r="E130" i="402" s="1"/>
  <c r="C139" i="402"/>
  <c r="E158" i="402" a="1"/>
  <c r="E158" i="402" s="1"/>
  <c r="C139" i="405"/>
  <c r="C139" i="401"/>
  <c r="E175" i="394" a="1"/>
  <c r="E175" i="394" s="1"/>
  <c r="E177" i="394" s="1"/>
  <c r="C29" i="402"/>
  <c r="C27" i="402"/>
  <c r="C32" i="402"/>
  <c r="E88" i="402" a="1"/>
  <c r="E88" i="402" s="1"/>
  <c r="E92" i="402" a="1"/>
  <c r="E92" i="402" s="1"/>
  <c r="E95" i="402" a="1"/>
  <c r="E95" i="402" s="1"/>
  <c r="E98" i="402" a="1"/>
  <c r="E98" i="402" s="1"/>
  <c r="E101" i="402" a="1"/>
  <c r="E101" i="402" s="1"/>
  <c r="E104" i="402" a="1"/>
  <c r="E104" i="402" s="1"/>
  <c r="E106" i="402" a="1"/>
  <c r="E106" i="402" s="1"/>
  <c r="E109" i="402" a="1"/>
  <c r="E109" i="402" s="1"/>
  <c r="E116" i="402" a="1"/>
  <c r="E116" i="402" s="1"/>
  <c r="E118" i="402" a="1"/>
  <c r="E118" i="402" s="1"/>
  <c r="E121" i="402" a="1"/>
  <c r="E121" i="402" s="1"/>
  <c r="E124" i="402" a="1"/>
  <c r="E124" i="402" s="1"/>
  <c r="E127" i="402" a="1"/>
  <c r="E127" i="402" s="1"/>
  <c r="E129" i="402" a="1"/>
  <c r="E129" i="402" s="1"/>
  <c r="E135" i="402" a="1"/>
  <c r="E135" i="402" s="1"/>
  <c r="E155" i="402" a="1"/>
  <c r="E155" i="402" s="1"/>
  <c r="E157" i="402" a="1"/>
  <c r="E157" i="402" s="1"/>
  <c r="E163" i="402" a="1"/>
  <c r="E163" i="402" s="1"/>
  <c r="E13" i="401" a="1"/>
  <c r="E13" i="401" s="1"/>
  <c r="C15" i="401"/>
  <c r="E20" i="401" a="1"/>
  <c r="E20" i="401" s="1"/>
  <c r="E30" i="401" a="1"/>
  <c r="E30" i="401" s="1"/>
  <c r="E39" i="401" a="1"/>
  <c r="E39" i="401" s="1"/>
  <c r="E44" i="401" a="1"/>
  <c r="E44" i="401" s="1"/>
  <c r="C51" i="401"/>
  <c r="C50" i="401"/>
  <c r="E56" i="401" a="1"/>
  <c r="E56" i="401" s="1"/>
  <c r="E64" i="401" a="1"/>
  <c r="E64" i="401" s="1"/>
  <c r="E67" i="401" a="1"/>
  <c r="E67" i="401" s="1"/>
  <c r="E71" i="401" a="1"/>
  <c r="E71" i="401" s="1"/>
  <c r="E80" i="401" a="1"/>
  <c r="E80" i="401" s="1"/>
  <c r="E83" i="401" a="1"/>
  <c r="E83" i="401" s="1"/>
  <c r="E88" i="401" a="1"/>
  <c r="E88" i="401" s="1"/>
  <c r="E90" i="401" a="1"/>
  <c r="E90" i="401" s="1"/>
  <c r="E93" i="401" a="1"/>
  <c r="E93" i="401" s="1"/>
  <c r="E95" i="401" a="1"/>
  <c r="E95" i="401" s="1"/>
  <c r="E97" i="401" a="1"/>
  <c r="E97" i="401" s="1"/>
  <c r="E103" i="401" a="1"/>
  <c r="E103" i="401" s="1"/>
  <c r="E106" i="401" a="1"/>
  <c r="E106" i="401" s="1"/>
  <c r="E112" i="401" a="1"/>
  <c r="E112" i="401" s="1"/>
  <c r="E115" i="401" a="1"/>
  <c r="E115" i="401" s="1"/>
  <c r="E120" i="401" a="1"/>
  <c r="E120" i="401" s="1"/>
  <c r="E126" i="401" a="1"/>
  <c r="E126" i="401" s="1"/>
  <c r="E129" i="401" a="1"/>
  <c r="E129" i="401" s="1"/>
  <c r="E140" i="401" a="1"/>
  <c r="E140" i="401" s="1"/>
  <c r="E158" i="401" a="1"/>
  <c r="E158" i="401" s="1"/>
  <c r="E161" i="401" a="1"/>
  <c r="E161" i="401" s="1"/>
  <c r="E175" i="401" a="1"/>
  <c r="E175" i="401" s="1"/>
  <c r="E177" i="401" s="1"/>
  <c r="E13" i="394" a="1"/>
  <c r="E13" i="394" s="1"/>
  <c r="E18" i="394" a="1"/>
  <c r="E18" i="394" s="1"/>
  <c r="E28" i="394" a="1"/>
  <c r="E28" i="394" s="1"/>
  <c r="E35" i="394" a="1"/>
  <c r="E35" i="394" s="1"/>
  <c r="E38" i="394" a="1"/>
  <c r="E38" i="394" s="1"/>
  <c r="E41" i="394" a="1"/>
  <c r="E41" i="394" s="1"/>
  <c r="E43" i="394" a="1"/>
  <c r="E43" i="394" s="1"/>
  <c r="E53" i="394" a="1"/>
  <c r="E53" i="394" s="1"/>
  <c r="E58" i="394" a="1"/>
  <c r="E58" i="394" s="1"/>
  <c r="E65" i="394" a="1"/>
  <c r="E65" i="394" s="1"/>
  <c r="E72" i="394" a="1"/>
  <c r="E72" i="394" s="1"/>
  <c r="E79" i="394" a="1"/>
  <c r="E79" i="394" s="1"/>
  <c r="E82" i="394" a="1"/>
  <c r="E82" i="394" s="1"/>
  <c r="E85" i="394" a="1"/>
  <c r="E85" i="394" s="1"/>
  <c r="E98" i="394" a="1"/>
  <c r="E98" i="394" s="1"/>
  <c r="E101" i="394" a="1"/>
  <c r="E101" i="394" s="1"/>
  <c r="E104" i="394" a="1"/>
  <c r="E104" i="394" s="1"/>
  <c r="E117" i="394" a="1"/>
  <c r="E117" i="394" s="1"/>
  <c r="E122" i="394" a="1"/>
  <c r="E122" i="394" s="1"/>
  <c r="E127" i="394" a="1"/>
  <c r="E127" i="394" s="1"/>
  <c r="E131" i="394" a="1"/>
  <c r="E131" i="394" s="1"/>
  <c r="E133" i="394" a="1"/>
  <c r="E133" i="394" s="1"/>
  <c r="E136" i="394" a="1"/>
  <c r="E136" i="394" s="1"/>
  <c r="E141" i="394" a="1"/>
  <c r="E141" i="394" s="1"/>
  <c r="E145" i="394" a="1"/>
  <c r="E145" i="394" s="1"/>
  <c r="E144" i="394" s="1"/>
  <c r="E158" i="394" a="1"/>
  <c r="E158" i="394" s="1"/>
  <c r="E163" i="394" a="1"/>
  <c r="E163" i="394" s="1"/>
  <c r="E10" i="402" a="1"/>
  <c r="E10" i="402" s="1"/>
  <c r="E13" i="402" a="1"/>
  <c r="E13" i="402" s="1"/>
  <c r="C15" i="402"/>
  <c r="E17" i="402" a="1"/>
  <c r="E17" i="402" s="1"/>
  <c r="E26" i="402" a="1"/>
  <c r="E26" i="402" s="1"/>
  <c r="E30" i="402" a="1"/>
  <c r="E30" i="402" s="1"/>
  <c r="E34" i="402" a="1"/>
  <c r="E34" i="402" s="1"/>
  <c r="E38" i="402" a="1"/>
  <c r="E38" i="402" s="1"/>
  <c r="E44" i="402" a="1"/>
  <c r="E44" i="402" s="1"/>
  <c r="E57" i="402" a="1"/>
  <c r="E57" i="402" s="1"/>
  <c r="E60" i="402" a="1"/>
  <c r="E60" i="402" s="1"/>
  <c r="E65" i="402" a="1"/>
  <c r="E65" i="402" s="1"/>
  <c r="E70" i="402" a="1"/>
  <c r="E70" i="402" s="1"/>
  <c r="E80" i="402" a="1"/>
  <c r="E80" i="402" s="1"/>
  <c r="E83" i="402" a="1"/>
  <c r="E83" i="402" s="1"/>
  <c r="E85" i="402" a="1"/>
  <c r="E85" i="402" s="1"/>
  <c r="E87" i="402" a="1"/>
  <c r="E87" i="402" s="1"/>
  <c r="E91" i="402" a="1"/>
  <c r="E91" i="402" s="1"/>
  <c r="E94" i="402" a="1"/>
  <c r="E94" i="402" s="1"/>
  <c r="E97" i="402" a="1"/>
  <c r="E97" i="402" s="1"/>
  <c r="E103" i="402" a="1"/>
  <c r="E103" i="402" s="1"/>
  <c r="E112" i="402" a="1"/>
  <c r="E112" i="402" s="1"/>
  <c r="E115" i="402" a="1"/>
  <c r="E115" i="402" s="1"/>
  <c r="E123" i="402" a="1"/>
  <c r="E123" i="402" s="1"/>
  <c r="E126" i="402" a="1"/>
  <c r="E126" i="402" s="1"/>
  <c r="E131" i="402" a="1"/>
  <c r="E131" i="402" s="1"/>
  <c r="E133" i="402" a="1"/>
  <c r="E133" i="402" s="1"/>
  <c r="E142" i="402" a="1"/>
  <c r="E142" i="402" s="1"/>
  <c r="E159" i="402" a="1"/>
  <c r="E159" i="402" s="1"/>
  <c r="E161" i="402" a="1"/>
  <c r="E161" i="402" s="1"/>
  <c r="C21" i="403"/>
  <c r="C51" i="403"/>
  <c r="C50" i="403"/>
  <c r="C21" i="401"/>
  <c r="C27" i="401"/>
  <c r="E100" i="401" a="1"/>
  <c r="E100" i="401" s="1"/>
  <c r="E102" i="401" a="1"/>
  <c r="E102" i="401" s="1"/>
  <c r="E105" i="401" a="1"/>
  <c r="E105" i="401" s="1"/>
  <c r="E108" i="401" a="1"/>
  <c r="E108" i="401" s="1"/>
  <c r="E111" i="401" a="1"/>
  <c r="E111" i="401" s="1"/>
  <c r="E114" i="401" a="1"/>
  <c r="E114" i="401" s="1"/>
  <c r="E117" i="401" a="1"/>
  <c r="E117" i="401" s="1"/>
  <c r="E123" i="401" a="1"/>
  <c r="E123" i="401" s="1"/>
  <c r="E125" i="401" a="1"/>
  <c r="E125" i="401" s="1"/>
  <c r="E128" i="401" a="1"/>
  <c r="E128" i="401" s="1"/>
  <c r="E131" i="401" a="1"/>
  <c r="E131" i="401" s="1"/>
  <c r="E134" i="401" a="1"/>
  <c r="E134" i="401" s="1"/>
  <c r="E136" i="401" a="1"/>
  <c r="E136" i="401" s="1"/>
  <c r="E142" i="401" a="1"/>
  <c r="E142" i="401" s="1"/>
  <c r="E155" i="401" a="1"/>
  <c r="E155" i="401" s="1"/>
  <c r="E160" i="401" a="1"/>
  <c r="E160" i="401" s="1"/>
  <c r="C11" i="394"/>
  <c r="C9" i="394"/>
  <c r="C15" i="394"/>
  <c r="C29" i="394"/>
  <c r="C27" i="394" s="1"/>
  <c r="C36" i="394"/>
  <c r="E55" i="394" a="1"/>
  <c r="E55" i="394" s="1"/>
  <c r="E57" i="394" a="1"/>
  <c r="E57" i="394" s="1"/>
  <c r="E60" i="394" a="1"/>
  <c r="E60" i="394" s="1"/>
  <c r="E62" i="394" a="1"/>
  <c r="E62" i="394" s="1"/>
  <c r="E64" i="394" a="1"/>
  <c r="E64" i="394" s="1"/>
  <c r="E67" i="394" a="1"/>
  <c r="E67" i="394" s="1"/>
  <c r="E69" i="394" a="1"/>
  <c r="E69" i="394" s="1"/>
  <c r="E81" i="394" a="1"/>
  <c r="E81" i="394" s="1"/>
  <c r="E87" i="394" a="1"/>
  <c r="E87" i="394" s="1"/>
  <c r="E90" i="394" a="1"/>
  <c r="E90" i="394" s="1"/>
  <c r="E93" i="394" a="1"/>
  <c r="E93" i="394" s="1"/>
  <c r="E95" i="394" a="1"/>
  <c r="E95" i="394" s="1"/>
  <c r="E100" i="394" a="1"/>
  <c r="E100" i="394" s="1"/>
  <c r="E103" i="394" a="1"/>
  <c r="E103" i="394" s="1"/>
  <c r="E106" i="394" a="1"/>
  <c r="E106" i="394" s="1"/>
  <c r="E109" i="394" a="1"/>
  <c r="E109" i="394" s="1"/>
  <c r="E111" i="394" a="1"/>
  <c r="E111" i="394" s="1"/>
  <c r="E114" i="394" a="1"/>
  <c r="E114" i="394" s="1"/>
  <c r="E116" i="394" a="1"/>
  <c r="E116" i="394" s="1"/>
  <c r="E119" i="394" a="1"/>
  <c r="E119" i="394" s="1"/>
  <c r="E121" i="394" a="1"/>
  <c r="E121" i="394" s="1"/>
  <c r="E124" i="394" a="1"/>
  <c r="E124" i="394" s="1"/>
  <c r="E130" i="394" a="1"/>
  <c r="E130" i="394" s="1"/>
  <c r="C139" i="394"/>
  <c r="E155" i="394" a="1"/>
  <c r="E155" i="394" s="1"/>
  <c r="E157" i="394" a="1"/>
  <c r="E157" i="394" s="1"/>
  <c r="E54" i="402" a="1"/>
  <c r="E54" i="402" s="1"/>
  <c r="E56" i="402" a="1"/>
  <c r="E56" i="402" s="1"/>
  <c r="E62" i="402" a="1"/>
  <c r="E62" i="402" s="1"/>
  <c r="E64" i="402" a="1"/>
  <c r="E64" i="402" s="1"/>
  <c r="E67" i="402" a="1"/>
  <c r="E67" i="402" s="1"/>
  <c r="E73" i="402" a="1"/>
  <c r="E73" i="402" s="1"/>
  <c r="E82" i="402" a="1"/>
  <c r="E82" i="402" s="1"/>
  <c r="E90" i="402" a="1"/>
  <c r="E90" i="402" s="1"/>
  <c r="E100" i="402" a="1"/>
  <c r="E100" i="402" s="1"/>
  <c r="E102" i="402" a="1"/>
  <c r="E102" i="402" s="1"/>
  <c r="E105" i="402" a="1"/>
  <c r="E105" i="402" s="1"/>
  <c r="E108" i="402" a="1"/>
  <c r="E108" i="402" s="1"/>
  <c r="E111" i="402" a="1"/>
  <c r="E111" i="402" s="1"/>
  <c r="E114" i="402" a="1"/>
  <c r="E114" i="402" s="1"/>
  <c r="E117" i="402" a="1"/>
  <c r="E117" i="402" s="1"/>
  <c r="E120" i="402" a="1"/>
  <c r="E120" i="402" s="1"/>
  <c r="E122" i="402" a="1"/>
  <c r="E122" i="402" s="1"/>
  <c r="E125" i="402" a="1"/>
  <c r="E125" i="402" s="1"/>
  <c r="E128" i="402" a="1"/>
  <c r="E128" i="402" s="1"/>
  <c r="E136" i="402" a="1"/>
  <c r="E136" i="402" s="1"/>
  <c r="E141" i="402" a="1"/>
  <c r="E141" i="402" s="1"/>
  <c r="E156" i="402" a="1"/>
  <c r="E156" i="402" s="1"/>
  <c r="E175" i="402" a="1"/>
  <c r="E175" i="402" s="1"/>
  <c r="E177" i="402" s="1"/>
  <c r="C36" i="405"/>
  <c r="E43" i="403" a="1"/>
  <c r="E43" i="403" s="1"/>
  <c r="E53" i="403" a="1"/>
  <c r="E53" i="403" s="1"/>
  <c r="E56" i="403" a="1"/>
  <c r="E56" i="403" s="1"/>
  <c r="E59" i="403" a="1"/>
  <c r="E59" i="403" s="1"/>
  <c r="E64" i="403" a="1"/>
  <c r="E64" i="403" s="1"/>
  <c r="E67" i="403" a="1"/>
  <c r="E67" i="403" s="1"/>
  <c r="E72" i="403" a="1"/>
  <c r="E72" i="403" s="1"/>
  <c r="C78" i="403"/>
  <c r="C77" i="403" s="1"/>
  <c r="E80" i="403" a="1"/>
  <c r="E80" i="403" s="1"/>
  <c r="E82" i="403" a="1"/>
  <c r="E82" i="403" s="1"/>
  <c r="E85" i="403" a="1"/>
  <c r="E85" i="403" s="1"/>
  <c r="E90" i="403" a="1"/>
  <c r="E90" i="403" s="1"/>
  <c r="E96" i="403" a="1"/>
  <c r="E96" i="403" s="1"/>
  <c r="E98" i="403" a="1"/>
  <c r="E98" i="403" s="1"/>
  <c r="E101" i="403" a="1"/>
  <c r="E101" i="403" s="1"/>
  <c r="E104" i="403" a="1"/>
  <c r="E104" i="403" s="1"/>
  <c r="E107" i="403" a="1"/>
  <c r="E107" i="403" s="1"/>
  <c r="E110" i="403" a="1"/>
  <c r="E110" i="403" s="1"/>
  <c r="E113" i="403" a="1"/>
  <c r="E113" i="403" s="1"/>
  <c r="E116" i="403" a="1"/>
  <c r="E116" i="403" s="1"/>
  <c r="E118" i="403" a="1"/>
  <c r="E118" i="403" s="1"/>
  <c r="E121" i="403" a="1"/>
  <c r="E121" i="403" s="1"/>
  <c r="E128" i="403" a="1"/>
  <c r="E128" i="403" s="1"/>
  <c r="E130" i="403" a="1"/>
  <c r="E130" i="403" s="1"/>
  <c r="E133" i="403" a="1"/>
  <c r="E133" i="403" s="1"/>
  <c r="E136" i="403" a="1"/>
  <c r="E136" i="403" s="1"/>
  <c r="E155" i="403" a="1"/>
  <c r="E155" i="403" s="1"/>
  <c r="E157" i="403" a="1"/>
  <c r="E157" i="403" s="1"/>
  <c r="E160" i="403" a="1"/>
  <c r="E160" i="403" s="1"/>
  <c r="E162" i="403" a="1"/>
  <c r="E162" i="403" s="1"/>
  <c r="E81" i="404" a="1"/>
  <c r="E81" i="404" s="1"/>
  <c r="E90" i="404" a="1"/>
  <c r="E90" i="404" s="1"/>
  <c r="E96" i="404" a="1"/>
  <c r="E96" i="404" s="1"/>
  <c r="E98" i="404" a="1"/>
  <c r="E98" i="404" s="1"/>
  <c r="E101" i="404" a="1"/>
  <c r="E101" i="404" s="1"/>
  <c r="E104" i="404" a="1"/>
  <c r="E104" i="404" s="1"/>
  <c r="E107" i="404" a="1"/>
  <c r="E107" i="404" s="1"/>
  <c r="E110" i="404" a="1"/>
  <c r="E110" i="404" s="1"/>
  <c r="E113" i="404" a="1"/>
  <c r="E113" i="404" s="1"/>
  <c r="E116" i="404" a="1"/>
  <c r="E116" i="404" s="1"/>
  <c r="E118" i="404" a="1"/>
  <c r="E118" i="404" s="1"/>
  <c r="E121" i="404" a="1"/>
  <c r="E121" i="404" s="1"/>
  <c r="E128" i="404" a="1"/>
  <c r="E128" i="404" s="1"/>
  <c r="E130" i="404" a="1"/>
  <c r="E130" i="404" s="1"/>
  <c r="E133" i="404" a="1"/>
  <c r="E133" i="404" s="1"/>
  <c r="E136" i="404" a="1"/>
  <c r="E136" i="404" s="1"/>
  <c r="E155" i="404" a="1"/>
  <c r="E155" i="404" s="1"/>
  <c r="E157" i="404" a="1"/>
  <c r="E157" i="404" s="1"/>
  <c r="E160" i="404" a="1"/>
  <c r="E160" i="404" s="1"/>
  <c r="E163" i="404" a="1"/>
  <c r="E163" i="404" s="1"/>
  <c r="C15" i="405"/>
  <c r="E91" i="405" a="1"/>
  <c r="E91" i="405" s="1"/>
  <c r="E94" i="405" a="1"/>
  <c r="E94" i="405" s="1"/>
  <c r="E103" i="405" a="1"/>
  <c r="E103" i="405" s="1"/>
  <c r="E112" i="405" a="1"/>
  <c r="E112" i="405" s="1"/>
  <c r="E115" i="405" a="1"/>
  <c r="E115" i="405" s="1"/>
  <c r="E118" i="405" a="1"/>
  <c r="E118" i="405" s="1"/>
  <c r="E121" i="405" a="1"/>
  <c r="E121" i="405" s="1"/>
  <c r="E124" i="405" a="1"/>
  <c r="E124" i="405" s="1"/>
  <c r="E127" i="405" a="1"/>
  <c r="E127" i="405" s="1"/>
  <c r="E130" i="405" a="1"/>
  <c r="E130" i="405" s="1"/>
  <c r="E133" i="405" a="1"/>
  <c r="E133" i="405" s="1"/>
  <c r="E136" i="405" a="1"/>
  <c r="E136" i="405" s="1"/>
  <c r="E141" i="405" a="1"/>
  <c r="E141" i="405" s="1"/>
  <c r="E156" i="405" a="1"/>
  <c r="E156" i="405" s="1"/>
  <c r="E160" i="405" a="1"/>
  <c r="E160" i="405" s="1"/>
  <c r="E162" i="405" a="1"/>
  <c r="E162" i="405" s="1"/>
  <c r="C21" i="388"/>
  <c r="C19" i="388" s="1"/>
  <c r="E22" i="391"/>
  <c r="E61" i="403" a="1"/>
  <c r="E61" i="403" s="1"/>
  <c r="E66" i="403" a="1"/>
  <c r="E66" i="403" s="1"/>
  <c r="E69" i="403" a="1"/>
  <c r="E69" i="403" s="1"/>
  <c r="E79" i="403" a="1"/>
  <c r="E79" i="403" s="1"/>
  <c r="E87" i="403" a="1"/>
  <c r="E87" i="403" s="1"/>
  <c r="E89" i="403" a="1"/>
  <c r="E89" i="403" s="1"/>
  <c r="E93" i="403" a="1"/>
  <c r="E93" i="403" s="1"/>
  <c r="E95" i="403" a="1"/>
  <c r="E95" i="403" s="1"/>
  <c r="E103" i="403" a="1"/>
  <c r="E103" i="403" s="1"/>
  <c r="E106" i="403" a="1"/>
  <c r="E106" i="403" s="1"/>
  <c r="E109" i="403" a="1"/>
  <c r="E109" i="403" s="1"/>
  <c r="E115" i="403" a="1"/>
  <c r="E115" i="403" s="1"/>
  <c r="E124" i="403" a="1"/>
  <c r="E124" i="403" s="1"/>
  <c r="E127" i="403" a="1"/>
  <c r="E127" i="403" s="1"/>
  <c r="E135" i="403" a="1"/>
  <c r="E135" i="403" s="1"/>
  <c r="C139" i="403"/>
  <c r="E141" i="403" a="1"/>
  <c r="E141" i="403" s="1"/>
  <c r="E159" i="403" a="1"/>
  <c r="E159" i="403" s="1"/>
  <c r="C11" i="404"/>
  <c r="C9" i="404"/>
  <c r="E13" i="404" a="1"/>
  <c r="E13" i="404" s="1"/>
  <c r="C15" i="404"/>
  <c r="E17" i="404" a="1"/>
  <c r="E17" i="404" s="1"/>
  <c r="E30" i="404" a="1"/>
  <c r="E30" i="404" s="1"/>
  <c r="E41" i="404" a="1"/>
  <c r="E41" i="404" s="1"/>
  <c r="E43" i="404" a="1"/>
  <c r="E43" i="404" s="1"/>
  <c r="E54" i="404" a="1"/>
  <c r="E54" i="404" s="1"/>
  <c r="E71" i="404" a="1"/>
  <c r="E71" i="404" s="1"/>
  <c r="E74" i="404" a="1"/>
  <c r="E74" i="404" s="1"/>
  <c r="E80" i="404" a="1"/>
  <c r="E80" i="404" s="1"/>
  <c r="E83" i="404" a="1"/>
  <c r="E83" i="404" s="1"/>
  <c r="E86" i="404" a="1"/>
  <c r="E86" i="404" s="1"/>
  <c r="E89" i="404" a="1"/>
  <c r="E89" i="404" s="1"/>
  <c r="E93" i="404" a="1"/>
  <c r="E93" i="404" s="1"/>
  <c r="E95" i="404" a="1"/>
  <c r="E95" i="404" s="1"/>
  <c r="E103" i="404" a="1"/>
  <c r="E103" i="404" s="1"/>
  <c r="E106" i="404" a="1"/>
  <c r="E106" i="404" s="1"/>
  <c r="E109" i="404" a="1"/>
  <c r="E109" i="404" s="1"/>
  <c r="E115" i="404" a="1"/>
  <c r="E115" i="404" s="1"/>
  <c r="E124" i="404" a="1"/>
  <c r="E124" i="404" s="1"/>
  <c r="E127" i="404" a="1"/>
  <c r="E127" i="404" s="1"/>
  <c r="E135" i="404" a="1"/>
  <c r="E135" i="404" s="1"/>
  <c r="C139" i="404"/>
  <c r="E141" i="404" a="1"/>
  <c r="E141" i="404" s="1"/>
  <c r="E162" i="404" a="1"/>
  <c r="E162" i="404" s="1"/>
  <c r="C21" i="405"/>
  <c r="C19" i="405" s="1"/>
  <c r="E84" i="405" a="1"/>
  <c r="E84" i="405" s="1"/>
  <c r="E87" i="405" a="1"/>
  <c r="E87" i="405" s="1"/>
  <c r="E90" i="405" a="1"/>
  <c r="E90" i="405" s="1"/>
  <c r="E93" i="405" a="1"/>
  <c r="E93" i="405" s="1"/>
  <c r="E96" i="405" a="1"/>
  <c r="E96" i="405" s="1"/>
  <c r="E99" i="405" a="1"/>
  <c r="E99" i="405" s="1"/>
  <c r="E102" i="405" a="1"/>
  <c r="E102" i="405" s="1"/>
  <c r="E105" i="405" a="1"/>
  <c r="E105" i="405" s="1"/>
  <c r="E108" i="405" a="1"/>
  <c r="E108" i="405" s="1"/>
  <c r="E111" i="405" a="1"/>
  <c r="E111" i="405" s="1"/>
  <c r="E114" i="405" a="1"/>
  <c r="E114" i="405" s="1"/>
  <c r="E117" i="405" a="1"/>
  <c r="E117" i="405" s="1"/>
  <c r="E123" i="405" a="1"/>
  <c r="E123" i="405" s="1"/>
  <c r="E126" i="405" a="1"/>
  <c r="E126" i="405" s="1"/>
  <c r="E129" i="405" a="1"/>
  <c r="E129" i="405" s="1"/>
  <c r="E132" i="405" a="1"/>
  <c r="E132" i="405" s="1"/>
  <c r="E140" i="405" a="1"/>
  <c r="E140" i="405" s="1"/>
  <c r="E145" i="405" a="1"/>
  <c r="E145" i="405" s="1"/>
  <c r="E144" i="405" s="1"/>
  <c r="E162" i="388" a="1"/>
  <c r="E162" i="388" s="1"/>
  <c r="E158" i="388" a="1"/>
  <c r="E158" i="388" s="1"/>
  <c r="E140" i="388" a="1"/>
  <c r="E140" i="388" s="1"/>
  <c r="E136" i="388" a="1"/>
  <c r="E136" i="388" s="1"/>
  <c r="E133" i="388" a="1"/>
  <c r="E133" i="388" s="1"/>
  <c r="E130" i="388" a="1"/>
  <c r="E130" i="388" s="1"/>
  <c r="E122" i="388" a="1"/>
  <c r="E122" i="388" s="1"/>
  <c r="E119" i="388" a="1"/>
  <c r="E119" i="388" s="1"/>
  <c r="E115" i="388" a="1"/>
  <c r="E115" i="388" s="1"/>
  <c r="E110" i="388" a="1"/>
  <c r="E110" i="388" s="1"/>
  <c r="E107" i="388" a="1"/>
  <c r="E107" i="388" s="1"/>
  <c r="E101" i="388" a="1"/>
  <c r="E101" i="388" s="1"/>
  <c r="E97" i="388" a="1"/>
  <c r="E97" i="388" s="1"/>
  <c r="E92" i="388" a="1"/>
  <c r="E92" i="388" s="1"/>
  <c r="E89" i="388" a="1"/>
  <c r="E89" i="388" s="1"/>
  <c r="E86" i="388" a="1"/>
  <c r="E86" i="388" s="1"/>
  <c r="E82" i="388" a="1"/>
  <c r="E82" i="388" s="1"/>
  <c r="E72" i="388" a="1"/>
  <c r="E72" i="388" s="1"/>
  <c r="E69" i="388" a="1"/>
  <c r="E69" i="388" s="1"/>
  <c r="E66" i="388" a="1"/>
  <c r="E66" i="388" s="1"/>
  <c r="E63" i="388" a="1"/>
  <c r="E63" i="388" s="1"/>
  <c r="E60" i="388" a="1"/>
  <c r="E60" i="388" s="1"/>
  <c r="E57" i="388" a="1"/>
  <c r="E57" i="388" s="1"/>
  <c r="E53" i="388" a="1"/>
  <c r="E53" i="388" s="1"/>
  <c r="E44" i="388" a="1"/>
  <c r="E44" i="388" s="1"/>
  <c r="E31" i="388" a="1"/>
  <c r="E31" i="388" s="1"/>
  <c r="E23" i="388" a="1"/>
  <c r="E23" i="388" s="1"/>
  <c r="E17" i="388" a="1"/>
  <c r="E17" i="388" s="1"/>
  <c r="E12" i="388" a="1"/>
  <c r="E12" i="388" s="1"/>
  <c r="E159" i="388" a="1"/>
  <c r="E159" i="388" s="1"/>
  <c r="E156" i="388" a="1"/>
  <c r="E156" i="388" s="1"/>
  <c r="E137" i="388" a="1"/>
  <c r="E137" i="388" s="1"/>
  <c r="E134" i="388" a="1"/>
  <c r="E134" i="388" s="1"/>
  <c r="E131" i="388" a="1"/>
  <c r="E131" i="388" s="1"/>
  <c r="E128" i="388" a="1"/>
  <c r="E128" i="388" s="1"/>
  <c r="E125" i="388" a="1"/>
  <c r="E125" i="388" s="1"/>
  <c r="E123" i="388" a="1"/>
  <c r="E123" i="388" s="1"/>
  <c r="E120" i="388" a="1"/>
  <c r="E120" i="388" s="1"/>
  <c r="E116" i="388" a="1"/>
  <c r="E116" i="388" s="1"/>
  <c r="E113" i="388" a="1"/>
  <c r="E113" i="388" s="1"/>
  <c r="E104" i="388" a="1"/>
  <c r="E104" i="388" s="1"/>
  <c r="E98" i="388" a="1"/>
  <c r="E98" i="388" s="1"/>
  <c r="E95" i="388" a="1"/>
  <c r="E95" i="388" s="1"/>
  <c r="E87" i="388" a="1"/>
  <c r="E87" i="388" s="1"/>
  <c r="E83" i="388" a="1"/>
  <c r="E83" i="388" s="1"/>
  <c r="E79" i="388" a="1"/>
  <c r="E79" i="388" s="1"/>
  <c r="E70" i="388" a="1"/>
  <c r="E70" i="388" s="1"/>
  <c r="E67" i="388" a="1"/>
  <c r="E67" i="388" s="1"/>
  <c r="E64" i="388" a="1"/>
  <c r="E64" i="388" s="1"/>
  <c r="E54" i="388" a="1"/>
  <c r="E54" i="388" s="1"/>
  <c r="E163" i="388" a="1"/>
  <c r="E163" i="388" s="1"/>
  <c r="E160" i="388" a="1"/>
  <c r="E160" i="388" s="1"/>
  <c r="E157" i="388" a="1"/>
  <c r="E157" i="388" s="1"/>
  <c r="E145" i="388" a="1"/>
  <c r="E145" i="388" s="1"/>
  <c r="E141" i="388" a="1"/>
  <c r="E141" i="388" s="1"/>
  <c r="E135" i="388" a="1"/>
  <c r="E135" i="388" s="1"/>
  <c r="E129" i="388" a="1"/>
  <c r="E129" i="388" s="1"/>
  <c r="E126" i="388" a="1"/>
  <c r="E126" i="388" s="1"/>
  <c r="E117" i="388" a="1"/>
  <c r="E117" i="388" s="1"/>
  <c r="E114" i="388" a="1"/>
  <c r="E114" i="388" s="1"/>
  <c r="E111" i="388" a="1"/>
  <c r="E111" i="388" s="1"/>
  <c r="E175" i="388" a="1"/>
  <c r="E175" i="388" s="1"/>
  <c r="E177" i="388" s="1"/>
  <c r="E161" i="388" a="1"/>
  <c r="E161" i="388" s="1"/>
  <c r="E155" i="388" a="1"/>
  <c r="E155" i="388" s="1"/>
  <c r="E142" i="388" a="1"/>
  <c r="E142" i="388" s="1"/>
  <c r="E132" i="388" a="1"/>
  <c r="E132" i="388" s="1"/>
  <c r="E127" i="388" a="1"/>
  <c r="E127" i="388" s="1"/>
  <c r="E124" i="388" a="1"/>
  <c r="E124" i="388" s="1"/>
  <c r="E121" i="388" a="1"/>
  <c r="E121" i="388" s="1"/>
  <c r="E118" i="388" a="1"/>
  <c r="E118" i="388" s="1"/>
  <c r="E112" i="388" a="1"/>
  <c r="E112" i="388" s="1"/>
  <c r="E109" i="388" a="1"/>
  <c r="E109" i="388" s="1"/>
  <c r="E106" i="388" a="1"/>
  <c r="E106" i="388" s="1"/>
  <c r="E103" i="388" a="1"/>
  <c r="E103" i="388" s="1"/>
  <c r="E100" i="388" a="1"/>
  <c r="E100" i="388" s="1"/>
  <c r="E94" i="388" a="1"/>
  <c r="E94" i="388" s="1"/>
  <c r="E91" i="388" a="1"/>
  <c r="E91" i="388" s="1"/>
  <c r="E88" i="388" a="1"/>
  <c r="E88" i="388" s="1"/>
  <c r="E85" i="388" a="1"/>
  <c r="E85" i="388" s="1"/>
  <c r="E81" i="388" a="1"/>
  <c r="E81" i="388" s="1"/>
  <c r="E74" i="388" a="1"/>
  <c r="E74" i="388" s="1"/>
  <c r="E71" i="388" a="1"/>
  <c r="E71" i="388" s="1"/>
  <c r="E62" i="388" a="1"/>
  <c r="E62" i="388" s="1"/>
  <c r="E59" i="388" a="1"/>
  <c r="E59" i="388" s="1"/>
  <c r="E56" i="388" a="1"/>
  <c r="E56" i="388" s="1"/>
  <c r="E43" i="388" a="1"/>
  <c r="E43" i="388" s="1"/>
  <c r="E40" i="388" a="1"/>
  <c r="E40" i="388" s="1"/>
  <c r="E37" i="388" a="1"/>
  <c r="E37" i="388" s="1"/>
  <c r="E35" i="388" a="1"/>
  <c r="E35" i="388" s="1"/>
  <c r="E30" i="388" a="1"/>
  <c r="E30" i="388" s="1"/>
  <c r="E22" i="388" a="1"/>
  <c r="E22" i="388" s="1"/>
  <c r="E16" i="388" a="1"/>
  <c r="E16" i="388" s="1"/>
  <c r="E10" i="388" a="1"/>
  <c r="E10" i="388" s="1"/>
  <c r="E26" i="388" a="1"/>
  <c r="E26" i="388" s="1"/>
  <c r="C29" i="388"/>
  <c r="C27" i="388"/>
  <c r="C47" i="388"/>
  <c r="E34" i="388" a="1"/>
  <c r="E34" i="388" s="1"/>
  <c r="E39" i="388" a="1"/>
  <c r="E39" i="388" s="1"/>
  <c r="E45" i="388" a="1"/>
  <c r="E45" i="388" s="1"/>
  <c r="C51" i="388"/>
  <c r="C50" i="388" s="1"/>
  <c r="E65" i="388" a="1"/>
  <c r="E65" i="388" s="1"/>
  <c r="E112" i="403" a="1"/>
  <c r="E112" i="403" s="1"/>
  <c r="E114" i="403" a="1"/>
  <c r="E114" i="403" s="1"/>
  <c r="E117" i="403" a="1"/>
  <c r="E117" i="403" s="1"/>
  <c r="E120" i="403" a="1"/>
  <c r="E120" i="403" s="1"/>
  <c r="E123" i="403" a="1"/>
  <c r="E123" i="403" s="1"/>
  <c r="E126" i="403" a="1"/>
  <c r="E126" i="403" s="1"/>
  <c r="E129" i="403" a="1"/>
  <c r="E129" i="403" s="1"/>
  <c r="E132" i="403" a="1"/>
  <c r="E132" i="403" s="1"/>
  <c r="E134" i="403" a="1"/>
  <c r="E134" i="403" s="1"/>
  <c r="E137" i="403" a="1"/>
  <c r="E137" i="403" s="1"/>
  <c r="E140" i="403" a="1"/>
  <c r="E140" i="403" s="1"/>
  <c r="E145" i="403" a="1"/>
  <c r="E145" i="403" s="1"/>
  <c r="E144" i="403" s="1"/>
  <c r="E156" i="403" a="1"/>
  <c r="E156" i="403" s="1"/>
  <c r="E158" i="403" a="1"/>
  <c r="E158" i="403" s="1"/>
  <c r="E161" i="403" a="1"/>
  <c r="E161" i="403" s="1"/>
  <c r="E175" i="403" a="1"/>
  <c r="E175" i="403" s="1"/>
  <c r="E177" i="403" s="1"/>
  <c r="E85" i="404" a="1"/>
  <c r="E85" i="404" s="1"/>
  <c r="E88" i="404" a="1"/>
  <c r="E88" i="404" s="1"/>
  <c r="E92" i="404" a="1"/>
  <c r="E92" i="404" s="1"/>
  <c r="E97" i="404" a="1"/>
  <c r="E97" i="404" s="1"/>
  <c r="E100" i="404" a="1"/>
  <c r="E100" i="404" s="1"/>
  <c r="E102" i="404" a="1"/>
  <c r="E102" i="404" s="1"/>
  <c r="E105" i="404" a="1"/>
  <c r="E105" i="404" s="1"/>
  <c r="E112" i="404" a="1"/>
  <c r="E112" i="404" s="1"/>
  <c r="E114" i="404" a="1"/>
  <c r="E114" i="404" s="1"/>
  <c r="E117" i="404" a="1"/>
  <c r="E117" i="404" s="1"/>
  <c r="E120" i="404" a="1"/>
  <c r="E120" i="404" s="1"/>
  <c r="E123" i="404" a="1"/>
  <c r="E123" i="404" s="1"/>
  <c r="E126" i="404" a="1"/>
  <c r="E126" i="404" s="1"/>
  <c r="E129" i="404" a="1"/>
  <c r="E129" i="404" s="1"/>
  <c r="E132" i="404" a="1"/>
  <c r="E132" i="404" s="1"/>
  <c r="E134" i="404" a="1"/>
  <c r="E134" i="404" s="1"/>
  <c r="E137" i="404" a="1"/>
  <c r="E137" i="404" s="1"/>
  <c r="E140" i="404" a="1"/>
  <c r="E140" i="404" s="1"/>
  <c r="E145" i="404" a="1"/>
  <c r="E145" i="404" s="1"/>
  <c r="E144" i="404" s="1"/>
  <c r="E156" i="404" a="1"/>
  <c r="E156" i="404" s="1"/>
  <c r="E159" i="404" a="1"/>
  <c r="E159" i="404" s="1"/>
  <c r="E161" i="404" a="1"/>
  <c r="E161" i="404" s="1"/>
  <c r="C32" i="405"/>
  <c r="E120" i="405" a="1"/>
  <c r="E120" i="405" s="1"/>
  <c r="E122" i="405" a="1"/>
  <c r="E122" i="405" s="1"/>
  <c r="E125" i="405" a="1"/>
  <c r="E125" i="405" s="1"/>
  <c r="E128" i="405" a="1"/>
  <c r="E128" i="405" s="1"/>
  <c r="E135" i="405" a="1"/>
  <c r="E135" i="405" s="1"/>
  <c r="E159" i="405" a="1"/>
  <c r="E159" i="405" s="1"/>
  <c r="C11" i="388"/>
  <c r="E14" i="388" a="1"/>
  <c r="E14" i="388" s="1"/>
  <c r="E33" i="388" a="1"/>
  <c r="E33" i="388" s="1"/>
  <c r="E38" i="388" a="1"/>
  <c r="E38" i="388" s="1"/>
  <c r="E55" i="388" a="1"/>
  <c r="E55" i="388" s="1"/>
  <c r="E58" i="388" a="1"/>
  <c r="E58" i="388" s="1"/>
  <c r="E61" i="388" a="1"/>
  <c r="E61" i="388" s="1"/>
  <c r="E73" i="388" a="1"/>
  <c r="E73" i="388" s="1"/>
  <c r="E84" i="388" a="1"/>
  <c r="E84" i="388" s="1"/>
  <c r="E90" i="388" a="1"/>
  <c r="E90" i="388" s="1"/>
  <c r="E93" i="388" a="1"/>
  <c r="E93" i="388" s="1"/>
  <c r="E96" i="388" a="1"/>
  <c r="E96" i="388" s="1"/>
  <c r="E18" i="403" a="1"/>
  <c r="E18" i="403" s="1"/>
  <c r="E23" i="403" a="1"/>
  <c r="E23" i="403" s="1"/>
  <c r="E31" i="403" a="1"/>
  <c r="E31" i="403" s="1"/>
  <c r="E29" i="403" s="1"/>
  <c r="E34" i="403" a="1"/>
  <c r="E34" i="403" s="1"/>
  <c r="E38" i="403" a="1"/>
  <c r="E38" i="403" s="1"/>
  <c r="E41" i="403" a="1"/>
  <c r="E41" i="403" s="1"/>
  <c r="E44" i="403" a="1"/>
  <c r="E44" i="403" s="1"/>
  <c r="E54" i="403" a="1"/>
  <c r="E54" i="403" s="1"/>
  <c r="E57" i="403" a="1"/>
  <c r="E57" i="403" s="1"/>
  <c r="E62" i="403" a="1"/>
  <c r="E62" i="403" s="1"/>
  <c r="E70" i="403" a="1"/>
  <c r="E70" i="403" s="1"/>
  <c r="E73" i="403" a="1"/>
  <c r="E73" i="403" s="1"/>
  <c r="E83" i="403" a="1"/>
  <c r="E83" i="403" s="1"/>
  <c r="E88" i="403" a="1"/>
  <c r="E88" i="403" s="1"/>
  <c r="E91" i="403" a="1"/>
  <c r="E91" i="403" s="1"/>
  <c r="E94" i="403" a="1"/>
  <c r="E94" i="403" s="1"/>
  <c r="E99" i="403" a="1"/>
  <c r="E99" i="403" s="1"/>
  <c r="E108" i="403" a="1"/>
  <c r="E108" i="403" s="1"/>
  <c r="E111" i="403" a="1"/>
  <c r="E111" i="403" s="1"/>
  <c r="E119" i="403" a="1"/>
  <c r="E119" i="403" s="1"/>
  <c r="E122" i="403" a="1"/>
  <c r="E122" i="403" s="1"/>
  <c r="E125" i="403" a="1"/>
  <c r="E125" i="403" s="1"/>
  <c r="E131" i="403" a="1"/>
  <c r="E131" i="403" s="1"/>
  <c r="E142" i="403" a="1"/>
  <c r="E142" i="403" s="1"/>
  <c r="E28" i="404" a="1"/>
  <c r="E28" i="404" s="1"/>
  <c r="E31" i="404" a="1"/>
  <c r="E31" i="404" s="1"/>
  <c r="C32" i="404"/>
  <c r="E35" i="404" a="1"/>
  <c r="E35" i="404" s="1"/>
  <c r="E39" i="404" a="1"/>
  <c r="E39" i="404" s="1"/>
  <c r="E42" i="404" a="1"/>
  <c r="E42" i="404" s="1"/>
  <c r="E45" i="404" a="1"/>
  <c r="E45" i="404" s="1"/>
  <c r="E53" i="404" a="1"/>
  <c r="E53" i="404" s="1"/>
  <c r="E58" i="404" a="1"/>
  <c r="E58" i="404" s="1"/>
  <c r="E61" i="404" a="1"/>
  <c r="E61" i="404" s="1"/>
  <c r="G61" i="404" s="1"/>
  <c r="E64" i="404" a="1"/>
  <c r="E64" i="404" s="1"/>
  <c r="E67" i="404" a="1"/>
  <c r="E67" i="404" s="1"/>
  <c r="E70" i="404" a="1"/>
  <c r="E70" i="404" s="1"/>
  <c r="E79" i="404" a="1"/>
  <c r="E79" i="404" s="1"/>
  <c r="E82" i="404" a="1"/>
  <c r="E82" i="404" s="1"/>
  <c r="E84" i="404" a="1"/>
  <c r="E84" i="404" s="1"/>
  <c r="E87" i="404" a="1"/>
  <c r="E87" i="404" s="1"/>
  <c r="E91" i="404" a="1"/>
  <c r="E91" i="404" s="1"/>
  <c r="E94" i="404" a="1"/>
  <c r="E94" i="404" s="1"/>
  <c r="E99" i="404" a="1"/>
  <c r="E99" i="404" s="1"/>
  <c r="E108" i="404" a="1"/>
  <c r="E108" i="404" s="1"/>
  <c r="E111" i="404" a="1"/>
  <c r="E111" i="404" s="1"/>
  <c r="E119" i="404" a="1"/>
  <c r="E119" i="404" s="1"/>
  <c r="E122" i="404" a="1"/>
  <c r="E122" i="404" s="1"/>
  <c r="E125" i="404" a="1"/>
  <c r="E125" i="404" s="1"/>
  <c r="E131" i="404" a="1"/>
  <c r="E131" i="404" s="1"/>
  <c r="E142" i="404" a="1"/>
  <c r="E142" i="404" s="1"/>
  <c r="C164" i="404"/>
  <c r="E158" i="404" a="1"/>
  <c r="E158" i="404" s="1"/>
  <c r="E161" i="405" a="1"/>
  <c r="E161" i="405" s="1"/>
  <c r="E158" i="405" a="1"/>
  <c r="E158" i="405" s="1"/>
  <c r="E155" i="405" a="1"/>
  <c r="E155" i="405" s="1"/>
  <c r="E175" i="405" a="1"/>
  <c r="E175" i="405" s="1"/>
  <c r="E157" i="405" a="1"/>
  <c r="E157" i="405" s="1"/>
  <c r="C11" i="405"/>
  <c r="C9" i="405" s="1"/>
  <c r="E13" i="405" a="1"/>
  <c r="E13" i="405" s="1"/>
  <c r="E18" i="405" a="1"/>
  <c r="E18" i="405" s="1"/>
  <c r="E28" i="405" a="1"/>
  <c r="E28" i="405" s="1"/>
  <c r="E33" i="405" a="1"/>
  <c r="E33" i="405" s="1"/>
  <c r="E38" i="405" a="1"/>
  <c r="E38" i="405" s="1"/>
  <c r="E41" i="405" a="1"/>
  <c r="E41" i="405" s="1"/>
  <c r="E44" i="405" a="1"/>
  <c r="E44" i="405" s="1"/>
  <c r="E52" i="405" a="1"/>
  <c r="E52" i="405" s="1"/>
  <c r="E55" i="405" a="1"/>
  <c r="E55" i="405" s="1"/>
  <c r="E58" i="405" a="1"/>
  <c r="E58" i="405" s="1"/>
  <c r="E61" i="405" a="1"/>
  <c r="E61" i="405" s="1"/>
  <c r="E64" i="405" a="1"/>
  <c r="E64" i="405" s="1"/>
  <c r="E67" i="405" a="1"/>
  <c r="E67" i="405" s="1"/>
  <c r="E70" i="405" a="1"/>
  <c r="E70" i="405" s="1"/>
  <c r="E80" i="405" a="1"/>
  <c r="E80" i="405" s="1"/>
  <c r="E83" i="405" a="1"/>
  <c r="E83" i="405" s="1"/>
  <c r="E85" i="405" a="1"/>
  <c r="E85" i="405" s="1"/>
  <c r="E88" i="405" a="1"/>
  <c r="E88" i="405" s="1"/>
  <c r="E95" i="405" a="1"/>
  <c r="E95" i="405" s="1"/>
  <c r="E97" i="405" a="1"/>
  <c r="E97" i="405" s="1"/>
  <c r="E100" i="405" a="1"/>
  <c r="E100" i="405" s="1"/>
  <c r="E104" i="405" a="1"/>
  <c r="E104" i="405" s="1"/>
  <c r="E106" i="405" a="1"/>
  <c r="E106" i="405" s="1"/>
  <c r="E109" i="405" a="1"/>
  <c r="E109" i="405" s="1"/>
  <c r="E116" i="405" a="1"/>
  <c r="E116" i="405" s="1"/>
  <c r="E119" i="405" a="1"/>
  <c r="E119" i="405" s="1"/>
  <c r="E131" i="405" a="1"/>
  <c r="E131" i="405" s="1"/>
  <c r="E134" i="405" a="1"/>
  <c r="E134" i="405" s="1"/>
  <c r="E137" i="405" a="1"/>
  <c r="E137" i="405" s="1"/>
  <c r="E142" i="405" a="1"/>
  <c r="E142" i="405" s="1"/>
  <c r="E13" i="388" a="1"/>
  <c r="E13" i="388" s="1"/>
  <c r="C15" i="388"/>
  <c r="E20" i="388" a="1"/>
  <c r="E20" i="388" s="1"/>
  <c r="E42" i="388" a="1"/>
  <c r="E42" i="388" s="1"/>
  <c r="E68" i="388" a="1"/>
  <c r="E68" i="388" s="1"/>
  <c r="E80" i="388" a="1"/>
  <c r="E80" i="388" s="1"/>
  <c r="E99" i="388" a="1"/>
  <c r="E99" i="388" s="1"/>
  <c r="E102" i="388" a="1"/>
  <c r="E102" i="388" s="1"/>
  <c r="E105" i="388" a="1"/>
  <c r="E105" i="388" s="1"/>
  <c r="E108" i="388" a="1"/>
  <c r="E108" i="388" s="1"/>
  <c r="M20" i="391"/>
  <c r="D22" i="391"/>
  <c r="E53" i="391"/>
  <c r="E55" i="391" s="1"/>
  <c r="C135" i="418" a="1"/>
  <c r="C135" i="418" s="1"/>
  <c r="C131" i="418" a="1"/>
  <c r="C131" i="418" s="1"/>
  <c r="C127" i="418" a="1"/>
  <c r="C127" i="418" s="1"/>
  <c r="C123" i="418" a="1"/>
  <c r="C123" i="418" s="1"/>
  <c r="C119" i="418" a="1"/>
  <c r="C119" i="418" s="1"/>
  <c r="C115" i="418" a="1"/>
  <c r="C115" i="418" s="1"/>
  <c r="C111" i="418" a="1"/>
  <c r="C111" i="418" s="1"/>
  <c r="C107" i="418" a="1"/>
  <c r="C107" i="418" s="1"/>
  <c r="C103" i="418" a="1"/>
  <c r="C103" i="418" s="1"/>
  <c r="C99" i="418" a="1"/>
  <c r="C99" i="418" s="1"/>
  <c r="C95" i="418" a="1"/>
  <c r="C95" i="418" s="1"/>
  <c r="C91" i="418" a="1"/>
  <c r="C91" i="418" s="1"/>
  <c r="C15" i="418" a="1"/>
  <c r="C15" i="418" s="1"/>
  <c r="C21" i="418" a="1"/>
  <c r="C21" i="418" s="1"/>
  <c r="C27" i="418" a="1"/>
  <c r="C27" i="418" s="1"/>
  <c r="C33" i="418" a="1"/>
  <c r="C33" i="418" s="1"/>
  <c r="C38" i="418" a="1"/>
  <c r="C38" i="418" s="1"/>
  <c r="C42" i="418" a="1"/>
  <c r="C42" i="418" s="1"/>
  <c r="C49" i="418" a="1"/>
  <c r="C49" i="418" s="1"/>
  <c r="C53" i="418" a="1"/>
  <c r="C53" i="418" s="1"/>
  <c r="C57" i="418" a="1"/>
  <c r="C57" i="418" s="1"/>
  <c r="C61" i="418" a="1"/>
  <c r="C61" i="418" s="1"/>
  <c r="C65" i="418" a="1"/>
  <c r="C65" i="418" s="1"/>
  <c r="C69" i="418" a="1"/>
  <c r="C69" i="418" s="1"/>
  <c r="C75" i="418" a="1"/>
  <c r="C75" i="418" s="1"/>
  <c r="C79" i="418" a="1"/>
  <c r="C79" i="418" s="1"/>
  <c r="C83" i="418" a="1"/>
  <c r="C83" i="418" s="1"/>
  <c r="C87" i="418" a="1"/>
  <c r="C87" i="418" s="1"/>
  <c r="C92" i="418" a="1"/>
  <c r="C92" i="418" s="1"/>
  <c r="C97" i="418" a="1"/>
  <c r="C97" i="418" s="1"/>
  <c r="C102" i="418" a="1"/>
  <c r="C102" i="418" s="1"/>
  <c r="C108" i="418" a="1"/>
  <c r="C108" i="418" s="1"/>
  <c r="C113" i="418" a="1"/>
  <c r="C113" i="418" s="1"/>
  <c r="C118" i="418" a="1"/>
  <c r="C118" i="418" s="1"/>
  <c r="C124" i="418" a="1"/>
  <c r="C124" i="418" s="1"/>
  <c r="C129" i="418" a="1"/>
  <c r="C129" i="418" s="1"/>
  <c r="C134" i="418" a="1"/>
  <c r="C134" i="418" s="1"/>
  <c r="C139" i="388"/>
  <c r="E10" i="391"/>
  <c r="C11" i="418" a="1"/>
  <c r="C11" i="418" s="1"/>
  <c r="C17" i="418" a="1"/>
  <c r="C17" i="418" s="1"/>
  <c r="C23" i="418" a="1"/>
  <c r="C23" i="418" s="1"/>
  <c r="C29" i="418" a="1"/>
  <c r="C29" i="418" s="1"/>
  <c r="C34" i="418" a="1"/>
  <c r="C34" i="418" s="1"/>
  <c r="C39" i="418" a="1"/>
  <c r="C39" i="418" s="1"/>
  <c r="C43" i="418" a="1"/>
  <c r="C43" i="418" s="1"/>
  <c r="C50" i="418" a="1"/>
  <c r="C50" i="418" s="1"/>
  <c r="C54" i="418" a="1"/>
  <c r="C54" i="418" s="1"/>
  <c r="C58" i="418" a="1"/>
  <c r="C58" i="418" s="1"/>
  <c r="C62" i="418" a="1"/>
  <c r="C62" i="418" s="1"/>
  <c r="C66" i="418" a="1"/>
  <c r="C66" i="418" s="1"/>
  <c r="C70" i="418" a="1"/>
  <c r="C70" i="418" s="1"/>
  <c r="C76" i="418" a="1"/>
  <c r="C76" i="418" s="1"/>
  <c r="C80" i="418" a="1"/>
  <c r="C80" i="418" s="1"/>
  <c r="C84" i="418" a="1"/>
  <c r="C84" i="418" s="1"/>
  <c r="C88" i="418" a="1"/>
  <c r="C88" i="418" s="1"/>
  <c r="C93" i="418" a="1"/>
  <c r="C93" i="418" s="1"/>
  <c r="C98" i="418" a="1"/>
  <c r="C98" i="418" s="1"/>
  <c r="C104" i="418" a="1"/>
  <c r="C104" i="418" s="1"/>
  <c r="C109" i="418" a="1"/>
  <c r="C109" i="418" s="1"/>
  <c r="C114" i="418" a="1"/>
  <c r="C114" i="418" s="1"/>
  <c r="C120" i="418" a="1"/>
  <c r="C120" i="418" s="1"/>
  <c r="C125" i="418" a="1"/>
  <c r="C125" i="418" s="1"/>
  <c r="C130" i="418" a="1"/>
  <c r="C130" i="418" s="1"/>
  <c r="C136" i="418" a="1"/>
  <c r="C136" i="418" s="1"/>
  <c r="C134" i="413" a="1"/>
  <c r="C134" i="413" s="1"/>
  <c r="C130" i="413" a="1"/>
  <c r="C130" i="413" s="1"/>
  <c r="C126" i="413" a="1"/>
  <c r="C126" i="413" s="1"/>
  <c r="C122" i="413" a="1"/>
  <c r="C122" i="413" s="1"/>
  <c r="C118" i="413" a="1"/>
  <c r="C118" i="413" s="1"/>
  <c r="C114" i="413" a="1"/>
  <c r="C114" i="413" s="1"/>
  <c r="C110" i="413" a="1"/>
  <c r="C110" i="413" s="1"/>
  <c r="C106" i="413" a="1"/>
  <c r="C106" i="413" s="1"/>
  <c r="C102" i="413" a="1"/>
  <c r="C102" i="413" s="1"/>
  <c r="C98" i="413" a="1"/>
  <c r="C98" i="413" s="1"/>
  <c r="C94" i="413" a="1"/>
  <c r="C94" i="413" s="1"/>
  <c r="C90" i="413" a="1"/>
  <c r="C90" i="413" s="1"/>
  <c r="C86" i="413" a="1"/>
  <c r="C86" i="413" s="1"/>
  <c r="C82" i="413" a="1"/>
  <c r="C82" i="413" s="1"/>
  <c r="C78" i="413" a="1"/>
  <c r="C78" i="413" s="1"/>
  <c r="C72" i="413" a="1"/>
  <c r="C72" i="413" s="1"/>
  <c r="C68" i="413" a="1"/>
  <c r="C68" i="413" s="1"/>
  <c r="C64" i="413" a="1"/>
  <c r="C64" i="413" s="1"/>
  <c r="C60" i="413" a="1"/>
  <c r="C60" i="413" s="1"/>
  <c r="C56" i="413" a="1"/>
  <c r="C56" i="413" s="1"/>
  <c r="C133" i="413" a="1"/>
  <c r="C133" i="413" s="1"/>
  <c r="C128" i="413" a="1"/>
  <c r="C128" i="413" s="1"/>
  <c r="C123" i="413" a="1"/>
  <c r="C123" i="413" s="1"/>
  <c r="C117" i="413" a="1"/>
  <c r="C117" i="413" s="1"/>
  <c r="C112" i="413" a="1"/>
  <c r="C112" i="413" s="1"/>
  <c r="C107" i="413" a="1"/>
  <c r="C107" i="413" s="1"/>
  <c r="C101" i="413" a="1"/>
  <c r="C101" i="413" s="1"/>
  <c r="C96" i="413" a="1"/>
  <c r="C96" i="413" s="1"/>
  <c r="C91" i="413" a="1"/>
  <c r="C91" i="413" s="1"/>
  <c r="C85" i="413" a="1"/>
  <c r="C85" i="413" s="1"/>
  <c r="C80" i="413" a="1"/>
  <c r="C80" i="413" s="1"/>
  <c r="C75" i="413" a="1"/>
  <c r="C75" i="413" s="1"/>
  <c r="C67" i="413" a="1"/>
  <c r="C67" i="413" s="1"/>
  <c r="C62" i="413" a="1"/>
  <c r="C62" i="413" s="1"/>
  <c r="C57" i="413" a="1"/>
  <c r="C57" i="413" s="1"/>
  <c r="C52" i="413" a="1"/>
  <c r="C52" i="413" s="1"/>
  <c r="C48" i="413" a="1"/>
  <c r="C48" i="413" s="1"/>
  <c r="C41" i="413" a="1"/>
  <c r="C41" i="413" s="1"/>
  <c r="C37" i="413" a="1"/>
  <c r="C37" i="413" s="1"/>
  <c r="C32" i="413" a="1"/>
  <c r="C32" i="413" s="1"/>
  <c r="C25" i="413" a="1"/>
  <c r="C25" i="413" s="1"/>
  <c r="C19" i="413" a="1"/>
  <c r="C19" i="413" s="1"/>
  <c r="C14" i="413" a="1"/>
  <c r="C14" i="413" s="1"/>
  <c r="C136" i="413" a="1"/>
  <c r="C136" i="413" s="1"/>
  <c r="C131" i="413" a="1"/>
  <c r="C131" i="413" s="1"/>
  <c r="C125" i="413" a="1"/>
  <c r="C125" i="413" s="1"/>
  <c r="C120" i="413" a="1"/>
  <c r="C120" i="413" s="1"/>
  <c r="C115" i="413" a="1"/>
  <c r="C115" i="413" s="1"/>
  <c r="C109" i="413" a="1"/>
  <c r="C109" i="413" s="1"/>
  <c r="C104" i="413" a="1"/>
  <c r="C104" i="413" s="1"/>
  <c r="C99" i="413" a="1"/>
  <c r="C99" i="413" s="1"/>
  <c r="C93" i="413" a="1"/>
  <c r="C93" i="413" s="1"/>
  <c r="C88" i="413" a="1"/>
  <c r="C88" i="413" s="1"/>
  <c r="C83" i="413" a="1"/>
  <c r="C83" i="413" s="1"/>
  <c r="C77" i="413" a="1"/>
  <c r="C77" i="413" s="1"/>
  <c r="C70" i="413" a="1"/>
  <c r="C70" i="413" s="1"/>
  <c r="E70" i="413" s="1"/>
  <c r="C65" i="413" a="1"/>
  <c r="C65" i="413" s="1"/>
  <c r="C59" i="413" a="1"/>
  <c r="C59" i="413" s="1"/>
  <c r="C54" i="413" a="1"/>
  <c r="C54" i="413" s="1"/>
  <c r="C50" i="413" a="1"/>
  <c r="C50" i="413" s="1"/>
  <c r="C43" i="413" a="1"/>
  <c r="C43" i="413" s="1"/>
  <c r="C39" i="413" a="1"/>
  <c r="C39" i="413" s="1"/>
  <c r="C34" i="413" a="1"/>
  <c r="C34" i="413" s="1"/>
  <c r="C29" i="413" a="1"/>
  <c r="C29" i="413" s="1"/>
  <c r="C23" i="413" a="1"/>
  <c r="C23" i="413" s="1"/>
  <c r="C17" i="413" a="1"/>
  <c r="C17" i="413" s="1"/>
  <c r="C11" i="413" a="1"/>
  <c r="C11" i="413" s="1"/>
  <c r="C21" i="413" a="1"/>
  <c r="C21" i="413" s="1"/>
  <c r="C33" i="413" a="1"/>
  <c r="C33" i="413" s="1"/>
  <c r="C42" i="413" a="1"/>
  <c r="C42" i="413" s="1"/>
  <c r="C53" i="413" a="1"/>
  <c r="C53" i="413" s="1"/>
  <c r="C63" i="413" a="1"/>
  <c r="C63" i="413" s="1"/>
  <c r="C76" i="413" a="1"/>
  <c r="C76" i="413" s="1"/>
  <c r="C87" i="413" a="1"/>
  <c r="C87" i="413" s="1"/>
  <c r="C97" i="413" a="1"/>
  <c r="C97" i="413" s="1"/>
  <c r="C108" i="413" a="1"/>
  <c r="C108" i="413" s="1"/>
  <c r="C119" i="413" a="1"/>
  <c r="C119" i="413" s="1"/>
  <c r="C129" i="413" a="1"/>
  <c r="C129" i="413" s="1"/>
  <c r="C18" i="417" a="1"/>
  <c r="C18" i="417" s="1"/>
  <c r="C39" i="417" a="1"/>
  <c r="C39" i="417" s="1"/>
  <c r="C55" i="417" a="1"/>
  <c r="C55" i="417" s="1"/>
  <c r="C70" i="417" a="1"/>
  <c r="C70" i="417" s="1"/>
  <c r="C87" i="417" a="1"/>
  <c r="C87" i="417" s="1"/>
  <c r="C100" i="417" a="1"/>
  <c r="C100" i="417" s="1"/>
  <c r="C115" i="417" a="1"/>
  <c r="C115" i="417" s="1"/>
  <c r="C129" i="417" a="1"/>
  <c r="C129" i="417" s="1"/>
  <c r="K20" i="391"/>
  <c r="E25" i="391"/>
  <c r="C13" i="418" a="1"/>
  <c r="C13" i="418" s="1"/>
  <c r="C18" i="418" a="1"/>
  <c r="C18" i="418" s="1"/>
  <c r="C24" i="418" a="1"/>
  <c r="C24" i="418" s="1"/>
  <c r="C30" i="418" a="1"/>
  <c r="C30" i="418" s="1"/>
  <c r="C36" i="418" a="1"/>
  <c r="C36" i="418" s="1"/>
  <c r="C40" i="418" a="1"/>
  <c r="C40" i="418" s="1"/>
  <c r="C44" i="418" a="1"/>
  <c r="C44" i="418" s="1"/>
  <c r="C51" i="418" a="1"/>
  <c r="C51" i="418" s="1"/>
  <c r="C55" i="418" a="1"/>
  <c r="C55" i="418" s="1"/>
  <c r="C59" i="418" a="1"/>
  <c r="C59" i="418" s="1"/>
  <c r="C63" i="418" a="1"/>
  <c r="C63" i="418" s="1"/>
  <c r="C67" i="418" a="1"/>
  <c r="C67" i="418" s="1"/>
  <c r="C71" i="418" a="1"/>
  <c r="C71" i="418" s="1"/>
  <c r="C77" i="418" a="1"/>
  <c r="C77" i="418" s="1"/>
  <c r="C81" i="418" a="1"/>
  <c r="C81" i="418" s="1"/>
  <c r="C85" i="418" a="1"/>
  <c r="C85" i="418" s="1"/>
  <c r="C89" i="418" a="1"/>
  <c r="C89" i="418" s="1"/>
  <c r="C94" i="418" a="1"/>
  <c r="C94" i="418" s="1"/>
  <c r="C100" i="418" a="1"/>
  <c r="C100" i="418" s="1"/>
  <c r="C105" i="418" a="1"/>
  <c r="C105" i="418" s="1"/>
  <c r="C110" i="418" a="1"/>
  <c r="C110" i="418" s="1"/>
  <c r="C116" i="418" a="1"/>
  <c r="C116" i="418" s="1"/>
  <c r="C121" i="418" a="1"/>
  <c r="C121" i="418" s="1"/>
  <c r="C126" i="418" a="1"/>
  <c r="C126" i="418" s="1"/>
  <c r="C132" i="418" a="1"/>
  <c r="C132" i="418" s="1"/>
  <c r="C137" i="418" a="1"/>
  <c r="C137" i="418" s="1"/>
  <c r="C13" i="413" a="1"/>
  <c r="C13" i="413" s="1"/>
  <c r="C24" i="413" a="1"/>
  <c r="C24" i="413" s="1"/>
  <c r="C36" i="413" a="1"/>
  <c r="C36" i="413" s="1"/>
  <c r="C44" i="413" a="1"/>
  <c r="C44" i="413" s="1"/>
  <c r="C55" i="413" a="1"/>
  <c r="C55" i="413" s="1"/>
  <c r="C66" i="413" a="1"/>
  <c r="C66" i="413" s="1"/>
  <c r="C79" i="413" a="1"/>
  <c r="C79" i="413" s="1"/>
  <c r="C89" i="413" a="1"/>
  <c r="C89" i="413" s="1"/>
  <c r="C100" i="413" a="1"/>
  <c r="C100" i="413" s="1"/>
  <c r="C111" i="413" a="1"/>
  <c r="C111" i="413" s="1"/>
  <c r="C121" i="413" a="1"/>
  <c r="C121" i="413" s="1"/>
  <c r="C132" i="413" a="1"/>
  <c r="C132" i="413" s="1"/>
  <c r="C24" i="417" a="1"/>
  <c r="C24" i="417" s="1"/>
  <c r="C42" i="417" a="1"/>
  <c r="C42" i="417" s="1"/>
  <c r="C59" i="417" a="1"/>
  <c r="C59" i="417" s="1"/>
  <c r="C76" i="417" a="1"/>
  <c r="C76" i="417" s="1"/>
  <c r="C89" i="417" a="1"/>
  <c r="C89" i="417" s="1"/>
  <c r="C104" i="417" a="1"/>
  <c r="C104" i="417" s="1"/>
  <c r="C119" i="417" a="1"/>
  <c r="C119" i="417" s="1"/>
  <c r="C9" i="388"/>
  <c r="K35" i="391"/>
  <c r="C14" i="418" a="1"/>
  <c r="C14" i="418" s="1"/>
  <c r="C19" i="418" a="1"/>
  <c r="C19" i="418" s="1"/>
  <c r="C25" i="418" a="1"/>
  <c r="C25" i="418" s="1"/>
  <c r="C32" i="418" a="1"/>
  <c r="C32" i="418" s="1"/>
  <c r="C37" i="418" a="1"/>
  <c r="C37" i="418" s="1"/>
  <c r="C41" i="418" a="1"/>
  <c r="C41" i="418" s="1"/>
  <c r="C48" i="418" a="1"/>
  <c r="C48" i="418" s="1"/>
  <c r="C52" i="418" a="1"/>
  <c r="C52" i="418" s="1"/>
  <c r="C56" i="418" a="1"/>
  <c r="C56" i="418" s="1"/>
  <c r="C60" i="418" a="1"/>
  <c r="C60" i="418" s="1"/>
  <c r="C64" i="418" a="1"/>
  <c r="C64" i="418" s="1"/>
  <c r="C68" i="418" a="1"/>
  <c r="C68" i="418" s="1"/>
  <c r="C72" i="418" a="1"/>
  <c r="C72" i="418" s="1"/>
  <c r="C78" i="418" a="1"/>
  <c r="C78" i="418" s="1"/>
  <c r="C82" i="418" a="1"/>
  <c r="C82" i="418" s="1"/>
  <c r="C86" i="418" a="1"/>
  <c r="C86" i="418" s="1"/>
  <c r="C90" i="418" a="1"/>
  <c r="C90" i="418" s="1"/>
  <c r="C96" i="418" a="1"/>
  <c r="C96" i="418" s="1"/>
  <c r="C101" i="418" a="1"/>
  <c r="C101" i="418" s="1"/>
  <c r="C106" i="418" a="1"/>
  <c r="C106" i="418" s="1"/>
  <c r="C112" i="418" a="1"/>
  <c r="C112" i="418" s="1"/>
  <c r="C117" i="418" a="1"/>
  <c r="C117" i="418" s="1"/>
  <c r="C122" i="418" a="1"/>
  <c r="C122" i="418" s="1"/>
  <c r="C128" i="418" a="1"/>
  <c r="C128" i="418" s="1"/>
  <c r="C133" i="418" a="1"/>
  <c r="C133" i="418" s="1"/>
  <c r="C15" i="413" a="1"/>
  <c r="C15" i="413" s="1"/>
  <c r="C27" i="413" a="1"/>
  <c r="C27" i="413" s="1"/>
  <c r="C38" i="413" a="1"/>
  <c r="C38" i="413" s="1"/>
  <c r="C49" i="413" a="1"/>
  <c r="C49" i="413" s="1"/>
  <c r="C58" i="413" a="1"/>
  <c r="C58" i="413" s="1"/>
  <c r="C69" i="413" a="1"/>
  <c r="C69" i="413" s="1"/>
  <c r="C81" i="413" a="1"/>
  <c r="C81" i="413" s="1"/>
  <c r="C92" i="413" a="1"/>
  <c r="C92" i="413" s="1"/>
  <c r="C103" i="413" a="1"/>
  <c r="C103" i="413" s="1"/>
  <c r="C113" i="413" a="1"/>
  <c r="C113" i="413" s="1"/>
  <c r="C124" i="413" a="1"/>
  <c r="C124" i="413" s="1"/>
  <c r="C135" i="413" a="1"/>
  <c r="C135" i="413" s="1"/>
  <c r="C134" i="417" a="1"/>
  <c r="C134" i="417" s="1"/>
  <c r="C130" i="417" a="1"/>
  <c r="C130" i="417" s="1"/>
  <c r="C126" i="417" a="1"/>
  <c r="C126" i="417" s="1"/>
  <c r="C122" i="417" a="1"/>
  <c r="C122" i="417" s="1"/>
  <c r="C118" i="417" a="1"/>
  <c r="C118" i="417" s="1"/>
  <c r="C114" i="417" a="1"/>
  <c r="C114" i="417" s="1"/>
  <c r="C110" i="417" a="1"/>
  <c r="C110" i="417" s="1"/>
  <c r="C106" i="417" a="1"/>
  <c r="C106" i="417" s="1"/>
  <c r="C102" i="417" a="1"/>
  <c r="C102" i="417" s="1"/>
  <c r="C98" i="417" a="1"/>
  <c r="C98" i="417" s="1"/>
  <c r="C94" i="417" a="1"/>
  <c r="C94" i="417" s="1"/>
  <c r="C90" i="417" a="1"/>
  <c r="C90" i="417" s="1"/>
  <c r="C86" i="417" a="1"/>
  <c r="C86" i="417" s="1"/>
  <c r="C82" i="417" a="1"/>
  <c r="C82" i="417" s="1"/>
  <c r="C78" i="417" a="1"/>
  <c r="C78" i="417" s="1"/>
  <c r="C72" i="417" a="1"/>
  <c r="C72" i="417" s="1"/>
  <c r="C68" i="417" a="1"/>
  <c r="C68" i="417" s="1"/>
  <c r="C64" i="417" a="1"/>
  <c r="C64" i="417" s="1"/>
  <c r="C60" i="417" a="1"/>
  <c r="C60" i="417" s="1"/>
  <c r="C56" i="417" a="1"/>
  <c r="C56" i="417" s="1"/>
  <c r="C52" i="417" a="1"/>
  <c r="C52" i="417" s="1"/>
  <c r="C48" i="417" a="1"/>
  <c r="C48" i="417" s="1"/>
  <c r="C41" i="417" a="1"/>
  <c r="C41" i="417" s="1"/>
  <c r="C37" i="417" a="1"/>
  <c r="C37" i="417" s="1"/>
  <c r="C32" i="417" a="1"/>
  <c r="C32" i="417" s="1"/>
  <c r="C25" i="417" a="1"/>
  <c r="C25" i="417" s="1"/>
  <c r="C19" i="417" a="1"/>
  <c r="C19" i="417" s="1"/>
  <c r="C14" i="417" a="1"/>
  <c r="C14" i="417" s="1"/>
  <c r="C133" i="417" a="1"/>
  <c r="C133" i="417" s="1"/>
  <c r="C128" i="417" a="1"/>
  <c r="C128" i="417" s="1"/>
  <c r="C123" i="417" a="1"/>
  <c r="C123" i="417" s="1"/>
  <c r="C117" i="417" a="1"/>
  <c r="C117" i="417" s="1"/>
  <c r="C112" i="417" a="1"/>
  <c r="C112" i="417" s="1"/>
  <c r="C107" i="417" a="1"/>
  <c r="C107" i="417" s="1"/>
  <c r="C101" i="417" a="1"/>
  <c r="C101" i="417" s="1"/>
  <c r="C96" i="417" a="1"/>
  <c r="C96" i="417" s="1"/>
  <c r="C91" i="417" a="1"/>
  <c r="C91" i="417" s="1"/>
  <c r="C85" i="417" a="1"/>
  <c r="C85" i="417" s="1"/>
  <c r="C80" i="417" a="1"/>
  <c r="C80" i="417" s="1"/>
  <c r="C75" i="417" a="1"/>
  <c r="C75" i="417" s="1"/>
  <c r="C67" i="417" a="1"/>
  <c r="C67" i="417" s="1"/>
  <c r="C62" i="417" a="1"/>
  <c r="C62" i="417" s="1"/>
  <c r="C57" i="417" a="1"/>
  <c r="C57" i="417" s="1"/>
  <c r="C51" i="417" a="1"/>
  <c r="C51" i="417" s="1"/>
  <c r="C43" i="417" a="1"/>
  <c r="C43" i="417" s="1"/>
  <c r="C38" i="417" a="1"/>
  <c r="C38" i="417" s="1"/>
  <c r="C30" i="417" a="1"/>
  <c r="C30" i="417" s="1"/>
  <c r="C23" i="417" a="1"/>
  <c r="C23" i="417" s="1"/>
  <c r="C15" i="417" a="1"/>
  <c r="C15" i="417" s="1"/>
  <c r="C137" i="417" a="1"/>
  <c r="C137" i="417" s="1"/>
  <c r="E137" i="417" s="1"/>
  <c r="C131" i="417" a="1"/>
  <c r="C131" i="417" s="1"/>
  <c r="C124" i="417" a="1"/>
  <c r="C124" i="417" s="1"/>
  <c r="C116" i="417" a="1"/>
  <c r="C116" i="417" s="1"/>
  <c r="C109" i="417" a="1"/>
  <c r="C109" i="417" s="1"/>
  <c r="C103" i="417" a="1"/>
  <c r="C103" i="417" s="1"/>
  <c r="C95" i="417" a="1"/>
  <c r="C95" i="417" s="1"/>
  <c r="C88" i="417" a="1"/>
  <c r="C88" i="417" s="1"/>
  <c r="C81" i="417" a="1"/>
  <c r="C81" i="417" s="1"/>
  <c r="C71" i="417" a="1"/>
  <c r="C71" i="417" s="1"/>
  <c r="C65" i="417" a="1"/>
  <c r="C65" i="417" s="1"/>
  <c r="C58" i="417" a="1"/>
  <c r="C58" i="417" s="1"/>
  <c r="C50" i="417" a="1"/>
  <c r="C50" i="417" s="1"/>
  <c r="C40" i="417" a="1"/>
  <c r="C40" i="417" s="1"/>
  <c r="C33" i="417" a="1"/>
  <c r="C33" i="417" s="1"/>
  <c r="C21" i="417" a="1"/>
  <c r="C21" i="417" s="1"/>
  <c r="C11" i="417" a="1"/>
  <c r="C11" i="417" s="1"/>
  <c r="C135" i="417" a="1"/>
  <c r="C135" i="417" s="1"/>
  <c r="C127" i="417" a="1"/>
  <c r="C127" i="417" s="1"/>
  <c r="C120" i="417" a="1"/>
  <c r="C120" i="417" s="1"/>
  <c r="C113" i="417" a="1"/>
  <c r="C113" i="417" s="1"/>
  <c r="C105" i="417" a="1"/>
  <c r="C105" i="417" s="1"/>
  <c r="C99" i="417" a="1"/>
  <c r="C99" i="417" s="1"/>
  <c r="C92" i="417" a="1"/>
  <c r="C92" i="417" s="1"/>
  <c r="C84" i="417" a="1"/>
  <c r="C84" i="417" s="1"/>
  <c r="C77" i="417" a="1"/>
  <c r="C77" i="417" s="1"/>
  <c r="C69" i="417" a="1"/>
  <c r="C69" i="417" s="1"/>
  <c r="C61" i="417" a="1"/>
  <c r="C61" i="417" s="1"/>
  <c r="C54" i="417" a="1"/>
  <c r="C54" i="417" s="1"/>
  <c r="C44" i="417" a="1"/>
  <c r="C44" i="417" s="1"/>
  <c r="C36" i="417" a="1"/>
  <c r="C36" i="417" s="1"/>
  <c r="C27" i="417" a="1"/>
  <c r="C27" i="417" s="1"/>
  <c r="C17" i="417" a="1"/>
  <c r="C17" i="417" s="1"/>
  <c r="C29" i="417" a="1"/>
  <c r="C29" i="417" s="1"/>
  <c r="C49" i="417" a="1"/>
  <c r="C49" i="417" s="1"/>
  <c r="C63" i="417" a="1"/>
  <c r="C63" i="417" s="1"/>
  <c r="C79" i="417" a="1"/>
  <c r="C79" i="417" s="1"/>
  <c r="C93" i="417" a="1"/>
  <c r="C93" i="417" s="1"/>
  <c r="C108" i="417" a="1"/>
  <c r="C108" i="417" s="1"/>
  <c r="C121" i="417" a="1"/>
  <c r="C121" i="417" s="1"/>
  <c r="C136" i="417" a="1"/>
  <c r="C136" i="417" s="1"/>
  <c r="C135" i="416" a="1"/>
  <c r="C135" i="416" s="1"/>
  <c r="C131" i="416" a="1"/>
  <c r="C131" i="416" s="1"/>
  <c r="C127" i="416" a="1"/>
  <c r="C127" i="416" s="1"/>
  <c r="C123" i="416" a="1"/>
  <c r="C123" i="416" s="1"/>
  <c r="C119" i="416" a="1"/>
  <c r="C119" i="416" s="1"/>
  <c r="C115" i="416" a="1"/>
  <c r="C115" i="416" s="1"/>
  <c r="C111" i="416" a="1"/>
  <c r="C111" i="416" s="1"/>
  <c r="C107" i="416" a="1"/>
  <c r="C107" i="416" s="1"/>
  <c r="C103" i="416" a="1"/>
  <c r="C103" i="416" s="1"/>
  <c r="C99" i="416" a="1"/>
  <c r="C99" i="416" s="1"/>
  <c r="C95" i="416" a="1"/>
  <c r="C95" i="416" s="1"/>
  <c r="C91" i="416" a="1"/>
  <c r="C91" i="416" s="1"/>
  <c r="C87" i="416" a="1"/>
  <c r="C87" i="416" s="1"/>
  <c r="C83" i="416" a="1"/>
  <c r="C83" i="416" s="1"/>
  <c r="C79" i="416" a="1"/>
  <c r="C79" i="416" s="1"/>
  <c r="C75" i="416" a="1"/>
  <c r="C75" i="416" s="1"/>
  <c r="C69" i="416" a="1"/>
  <c r="C69" i="416" s="1"/>
  <c r="C65" i="416" a="1"/>
  <c r="C65" i="416" s="1"/>
  <c r="C61" i="416" a="1"/>
  <c r="C61" i="416" s="1"/>
  <c r="C57" i="416" a="1"/>
  <c r="C57" i="416" s="1"/>
  <c r="C53" i="416" a="1"/>
  <c r="C53" i="416" s="1"/>
  <c r="C49" i="416" a="1"/>
  <c r="C49" i="416" s="1"/>
  <c r="C42" i="416" a="1"/>
  <c r="C42" i="416" s="1"/>
  <c r="C38" i="416" a="1"/>
  <c r="C38" i="416" s="1"/>
  <c r="C33" i="416" a="1"/>
  <c r="C33" i="416" s="1"/>
  <c r="C27" i="416" a="1"/>
  <c r="C27" i="416" s="1"/>
  <c r="C134" i="416" a="1"/>
  <c r="C134" i="416" s="1"/>
  <c r="C129" i="416" a="1"/>
  <c r="C129" i="416" s="1"/>
  <c r="C124" i="416" a="1"/>
  <c r="C124" i="416" s="1"/>
  <c r="C118" i="416" a="1"/>
  <c r="C118" i="416" s="1"/>
  <c r="C113" i="416" a="1"/>
  <c r="C113" i="416" s="1"/>
  <c r="C108" i="416" a="1"/>
  <c r="C108" i="416" s="1"/>
  <c r="C102" i="416" a="1"/>
  <c r="C102" i="416" s="1"/>
  <c r="C97" i="416" a="1"/>
  <c r="C97" i="416" s="1"/>
  <c r="C92" i="416" a="1"/>
  <c r="C92" i="416" s="1"/>
  <c r="C86" i="416" a="1"/>
  <c r="C86" i="416" s="1"/>
  <c r="C81" i="416" a="1"/>
  <c r="C81" i="416" s="1"/>
  <c r="C76" i="416" a="1"/>
  <c r="C76" i="416" s="1"/>
  <c r="C68" i="416" a="1"/>
  <c r="C68" i="416" s="1"/>
  <c r="C63" i="416" a="1"/>
  <c r="C63" i="416" s="1"/>
  <c r="C58" i="416" a="1"/>
  <c r="C58" i="416" s="1"/>
  <c r="C52" i="416" a="1"/>
  <c r="C52" i="416" s="1"/>
  <c r="C44" i="416" a="1"/>
  <c r="C44" i="416" s="1"/>
  <c r="C39" i="416" a="1"/>
  <c r="C39" i="416" s="1"/>
  <c r="C32" i="416" a="1"/>
  <c r="C32" i="416" s="1"/>
  <c r="C24" i="416" a="1"/>
  <c r="C24" i="416" s="1"/>
  <c r="C22" i="416" s="1"/>
  <c r="C18" i="416" a="1"/>
  <c r="C18" i="416" s="1"/>
  <c r="C13" i="416" a="1"/>
  <c r="C13" i="416" s="1"/>
  <c r="C17" i="416" a="1"/>
  <c r="C17" i="416" s="1"/>
  <c r="C25" i="416" a="1"/>
  <c r="C25" i="416" s="1"/>
  <c r="C36" i="416" a="1"/>
  <c r="C36" i="416" s="1"/>
  <c r="C43" i="416" a="1"/>
  <c r="C43" i="416" s="1"/>
  <c r="C54" i="416" a="1"/>
  <c r="C54" i="416" s="1"/>
  <c r="C60" i="416" a="1"/>
  <c r="C60" i="416" s="1"/>
  <c r="C67" i="416" a="1"/>
  <c r="C67" i="416" s="1"/>
  <c r="C77" i="416" a="1"/>
  <c r="C77" i="416" s="1"/>
  <c r="C84" i="416" a="1"/>
  <c r="C84" i="416" s="1"/>
  <c r="C90" i="416" a="1"/>
  <c r="C90" i="416" s="1"/>
  <c r="C98" i="416" a="1"/>
  <c r="C98" i="416" s="1"/>
  <c r="C105" i="416" a="1"/>
  <c r="C105" i="416" s="1"/>
  <c r="C112" i="416" a="1"/>
  <c r="C112" i="416" s="1"/>
  <c r="C120" i="416" a="1"/>
  <c r="C120" i="416" s="1"/>
  <c r="C126" i="416" a="1"/>
  <c r="C126" i="416" s="1"/>
  <c r="C133" i="416" a="1"/>
  <c r="C133" i="416" s="1"/>
  <c r="C134" i="412" a="1"/>
  <c r="C134" i="412" s="1"/>
  <c r="C130" i="412" a="1"/>
  <c r="C130" i="412" s="1"/>
  <c r="C126" i="412" a="1"/>
  <c r="C126" i="412" s="1"/>
  <c r="C122" i="412" a="1"/>
  <c r="C122" i="412" s="1"/>
  <c r="C118" i="412" a="1"/>
  <c r="C118" i="412" s="1"/>
  <c r="C114" i="412" a="1"/>
  <c r="C114" i="412" s="1"/>
  <c r="C110" i="412" a="1"/>
  <c r="C110" i="412" s="1"/>
  <c r="C106" i="412" a="1"/>
  <c r="C106" i="412" s="1"/>
  <c r="C102" i="412" a="1"/>
  <c r="C102" i="412" s="1"/>
  <c r="C98" i="412" a="1"/>
  <c r="C98" i="412" s="1"/>
  <c r="C94" i="412" a="1"/>
  <c r="C94" i="412" s="1"/>
  <c r="C90" i="412" a="1"/>
  <c r="C90" i="412" s="1"/>
  <c r="C86" i="412" a="1"/>
  <c r="C86" i="412" s="1"/>
  <c r="C82" i="412" a="1"/>
  <c r="C82" i="412" s="1"/>
  <c r="C78" i="412" a="1"/>
  <c r="C78" i="412" s="1"/>
  <c r="C72" i="412" a="1"/>
  <c r="C72" i="412" s="1"/>
  <c r="C68" i="412" a="1"/>
  <c r="C68" i="412" s="1"/>
  <c r="C64" i="412" a="1"/>
  <c r="C64" i="412" s="1"/>
  <c r="C60" i="412" a="1"/>
  <c r="C60" i="412" s="1"/>
  <c r="C56" i="412" a="1"/>
  <c r="C56" i="412" s="1"/>
  <c r="C52" i="412" a="1"/>
  <c r="C52" i="412" s="1"/>
  <c r="C48" i="412" a="1"/>
  <c r="C48" i="412" s="1"/>
  <c r="C41" i="412" a="1"/>
  <c r="C41" i="412" s="1"/>
  <c r="C37" i="412" a="1"/>
  <c r="C37" i="412" s="1"/>
  <c r="C32" i="412" a="1"/>
  <c r="C32" i="412" s="1"/>
  <c r="C25" i="412" a="1"/>
  <c r="C25" i="412" s="1"/>
  <c r="C19" i="412" a="1"/>
  <c r="C19" i="412" s="1"/>
  <c r="C14" i="412" a="1"/>
  <c r="C14" i="412" s="1"/>
  <c r="C133" i="412" a="1"/>
  <c r="C133" i="412" s="1"/>
  <c r="C128" i="412" a="1"/>
  <c r="C128" i="412" s="1"/>
  <c r="C123" i="412" a="1"/>
  <c r="C123" i="412" s="1"/>
  <c r="C117" i="412" a="1"/>
  <c r="C117" i="412" s="1"/>
  <c r="C112" i="412" a="1"/>
  <c r="C112" i="412" s="1"/>
  <c r="C107" i="412" a="1"/>
  <c r="C107" i="412" s="1"/>
  <c r="C101" i="412" a="1"/>
  <c r="C101" i="412" s="1"/>
  <c r="C96" i="412" a="1"/>
  <c r="C96" i="412" s="1"/>
  <c r="C91" i="412" a="1"/>
  <c r="C91" i="412" s="1"/>
  <c r="C85" i="412" a="1"/>
  <c r="C85" i="412" s="1"/>
  <c r="C80" i="412" a="1"/>
  <c r="C80" i="412" s="1"/>
  <c r="C75" i="412" a="1"/>
  <c r="C75" i="412" s="1"/>
  <c r="C67" i="412" a="1"/>
  <c r="C67" i="412" s="1"/>
  <c r="C62" i="412" a="1"/>
  <c r="C62" i="412" s="1"/>
  <c r="C57" i="412" a="1"/>
  <c r="C57" i="412" s="1"/>
  <c r="C51" i="412" a="1"/>
  <c r="C51" i="412" s="1"/>
  <c r="C43" i="412" a="1"/>
  <c r="C43" i="412" s="1"/>
  <c r="C38" i="412" a="1"/>
  <c r="C38" i="412" s="1"/>
  <c r="C30" i="412" a="1"/>
  <c r="C30" i="412" s="1"/>
  <c r="C23" i="412" a="1"/>
  <c r="C23" i="412" s="1"/>
  <c r="C15" i="412" a="1"/>
  <c r="C15" i="412" s="1"/>
  <c r="C18" i="412" a="1"/>
  <c r="C18" i="412" s="1"/>
  <c r="C29" i="412" a="1"/>
  <c r="C29" i="412" s="1"/>
  <c r="C39" i="412" a="1"/>
  <c r="C39" i="412" s="1"/>
  <c r="C49" i="412" a="1"/>
  <c r="C49" i="412" s="1"/>
  <c r="C55" i="412" a="1"/>
  <c r="C55" i="412" s="1"/>
  <c r="C63" i="412" a="1"/>
  <c r="C63" i="412" s="1"/>
  <c r="C70" i="412" a="1"/>
  <c r="C70" i="412" s="1"/>
  <c r="C79" i="412" a="1"/>
  <c r="C79" i="412" s="1"/>
  <c r="C87" i="412" a="1"/>
  <c r="C87" i="412" s="1"/>
  <c r="C93" i="412" a="1"/>
  <c r="C93" i="412" s="1"/>
  <c r="C100" i="412" a="1"/>
  <c r="C100" i="412" s="1"/>
  <c r="C108" i="412" a="1"/>
  <c r="C108" i="412" s="1"/>
  <c r="C115" i="412" a="1"/>
  <c r="C115" i="412" s="1"/>
  <c r="C121" i="412" a="1"/>
  <c r="C121" i="412" s="1"/>
  <c r="C129" i="412" a="1"/>
  <c r="C129" i="412" s="1"/>
  <c r="C136" i="412" a="1"/>
  <c r="C136" i="412" s="1"/>
  <c r="E136" i="412" s="1"/>
  <c r="C14" i="416" a="1"/>
  <c r="C14" i="416" s="1"/>
  <c r="C21" i="416" a="1"/>
  <c r="C21" i="416" s="1"/>
  <c r="C30" i="416" a="1"/>
  <c r="C30" i="416" s="1"/>
  <c r="C40" i="416" a="1"/>
  <c r="C40" i="416" s="1"/>
  <c r="C50" i="416" a="1"/>
  <c r="C50" i="416" s="1"/>
  <c r="C56" i="416" a="1"/>
  <c r="C56" i="416" s="1"/>
  <c r="C64" i="416" a="1"/>
  <c r="C64" i="416" s="1"/>
  <c r="C71" i="416" a="1"/>
  <c r="C71" i="416" s="1"/>
  <c r="C80" i="416" a="1"/>
  <c r="C80" i="416" s="1"/>
  <c r="C88" i="416" a="1"/>
  <c r="C88" i="416" s="1"/>
  <c r="C94" i="416" a="1"/>
  <c r="C94" i="416" s="1"/>
  <c r="C101" i="416" a="1"/>
  <c r="C101" i="416" s="1"/>
  <c r="C109" i="416" a="1"/>
  <c r="C109" i="416" s="1"/>
  <c r="C116" i="416" a="1"/>
  <c r="C116" i="416" s="1"/>
  <c r="C122" i="416" a="1"/>
  <c r="C122" i="416" s="1"/>
  <c r="C130" i="416" a="1"/>
  <c r="C130" i="416" s="1"/>
  <c r="C137" i="416" a="1"/>
  <c r="C137" i="416" s="1"/>
  <c r="C13" i="412" a="1"/>
  <c r="C13" i="412" s="1"/>
  <c r="C24" i="412" a="1"/>
  <c r="C24" i="412" s="1"/>
  <c r="C34" i="412" a="1"/>
  <c r="C34" i="412" s="1"/>
  <c r="C42" i="412" a="1"/>
  <c r="C42" i="412" s="1"/>
  <c r="C53" i="412" a="1"/>
  <c r="C53" i="412" s="1"/>
  <c r="C59" i="412" a="1"/>
  <c r="C59" i="412" s="1"/>
  <c r="C66" i="412" a="1"/>
  <c r="C66" i="412" s="1"/>
  <c r="C76" i="412" a="1"/>
  <c r="C76" i="412" s="1"/>
  <c r="C83" i="412" a="1"/>
  <c r="C83" i="412" s="1"/>
  <c r="C89" i="412" a="1"/>
  <c r="C89" i="412" s="1"/>
  <c r="C97" i="412" a="1"/>
  <c r="C97" i="412" s="1"/>
  <c r="C104" i="412" a="1"/>
  <c r="C104" i="412" s="1"/>
  <c r="C111" i="412" a="1"/>
  <c r="C111" i="412" s="1"/>
  <c r="C119" i="412" a="1"/>
  <c r="C119" i="412" s="1"/>
  <c r="C125" i="412" a="1"/>
  <c r="C125" i="412" s="1"/>
  <c r="C132" i="412" a="1"/>
  <c r="C132" i="412" s="1"/>
  <c r="H15" i="387"/>
  <c r="I22" i="325" s="1"/>
  <c r="H40" i="387"/>
  <c r="J14" i="422" a="1"/>
  <c r="J14" i="422" s="1"/>
  <c r="O14" i="422" a="1"/>
  <c r="O14" i="422" s="1"/>
  <c r="C15" i="422"/>
  <c r="G14" i="422" a="1"/>
  <c r="G14" i="422"/>
  <c r="L14" i="422" a="1"/>
  <c r="L14" i="422"/>
  <c r="P14" i="422" a="1"/>
  <c r="P14" i="422" s="1"/>
  <c r="H14" i="422" a="1"/>
  <c r="H14" i="422"/>
  <c r="F332" i="335"/>
  <c r="F8" i="353" a="1"/>
  <c r="F8" i="353" s="1"/>
  <c r="P478" i="328"/>
  <c r="S384" i="328"/>
  <c r="D66" i="324" a="1"/>
  <c r="D66" i="324"/>
  <c r="E6" i="324"/>
  <c r="K53" i="391"/>
  <c r="M53" i="391"/>
  <c r="L35" i="391"/>
  <c r="D15" i="324" a="1"/>
  <c r="D15" i="324" s="1"/>
  <c r="D18" i="324" a="1"/>
  <c r="D18" i="324" s="1"/>
  <c r="D7" i="397"/>
  <c r="D52" i="397" s="1" a="1"/>
  <c r="D52" i="397" s="1"/>
  <c r="E11" i="353" a="1"/>
  <c r="E11" i="353" s="1"/>
  <c r="F16" i="353" a="1"/>
  <c r="F16" i="353" s="1"/>
  <c r="E7" i="353" a="1"/>
  <c r="E7" i="353" s="1"/>
  <c r="E15" i="353" a="1"/>
  <c r="E15" i="353" s="1"/>
  <c r="F12" i="353" a="1"/>
  <c r="F12" i="353" s="1"/>
  <c r="F10" i="353" a="1"/>
  <c r="F10" i="353" s="1"/>
  <c r="F14" i="353" a="1"/>
  <c r="F14" i="353" s="1"/>
  <c r="F18" i="353" a="1"/>
  <c r="F18" i="353" s="1"/>
  <c r="F9" i="353" a="1"/>
  <c r="F9" i="353" s="1"/>
  <c r="F13" i="353" a="1"/>
  <c r="F13" i="353" s="1"/>
  <c r="F17" i="353" a="1"/>
  <c r="F17" i="353" s="1"/>
  <c r="C60" i="339" a="1"/>
  <c r="C60" i="339"/>
  <c r="C61" i="339"/>
  <c r="D58" i="339" a="1"/>
  <c r="D58" i="339"/>
  <c r="D60" i="339" a="1"/>
  <c r="D60" i="339" s="1"/>
  <c r="E63" i="346" a="1"/>
  <c r="E63" i="346" s="1"/>
  <c r="G63" i="346" s="1"/>
  <c r="C16" i="354" a="1"/>
  <c r="C16" i="354" s="1"/>
  <c r="C9" i="339" a="1"/>
  <c r="C9" i="339"/>
  <c r="C15" i="339" a="1"/>
  <c r="C15" i="339" s="1"/>
  <c r="C19" i="339" s="1"/>
  <c r="E48" i="346" a="1"/>
  <c r="E48" i="346" s="1"/>
  <c r="F44" i="405" a="1"/>
  <c r="F44" i="405" s="1"/>
  <c r="F45" i="405" a="1"/>
  <c r="F45" i="405" s="1"/>
  <c r="F28" i="393" a="1"/>
  <c r="F28" i="393" s="1"/>
  <c r="G28" i="393" s="1"/>
  <c r="F111" i="399" a="1"/>
  <c r="F111" i="399" s="1"/>
  <c r="F112" i="399" a="1"/>
  <c r="F112" i="399" s="1"/>
  <c r="D10" i="324" a="1"/>
  <c r="D10" i="324"/>
  <c r="D12" i="324" s="1"/>
  <c r="D13" i="324" s="1"/>
  <c r="C32" i="339" a="1"/>
  <c r="C32" i="339" s="1"/>
  <c r="C66" i="339" a="1"/>
  <c r="C66" i="339" s="1"/>
  <c r="E15" i="346" a="1"/>
  <c r="E15" i="346" s="1"/>
  <c r="G15" i="346" s="1"/>
  <c r="A19" i="354"/>
  <c r="A20" i="354"/>
  <c r="C72" i="354" a="1"/>
  <c r="C72" i="354"/>
  <c r="D29" i="324" a="1"/>
  <c r="D29" i="324" s="1"/>
  <c r="C45" i="324" a="1"/>
  <c r="C45" i="324"/>
  <c r="C51" i="324" a="1"/>
  <c r="C51" i="324" s="1"/>
  <c r="C64" i="339" a="1"/>
  <c r="C64" i="339" s="1"/>
  <c r="F102" i="392" a="1"/>
  <c r="F102" i="392" s="1"/>
  <c r="D70" i="416" a="1"/>
  <c r="D70" i="416" s="1"/>
  <c r="F72" i="395" a="1"/>
  <c r="F72" i="395" s="1"/>
  <c r="F80" i="395" a="1"/>
  <c r="F80" i="395" s="1"/>
  <c r="F116" i="399" a="1"/>
  <c r="F116" i="399" s="1"/>
  <c r="C44" i="354" a="1"/>
  <c r="C44" i="354" s="1"/>
  <c r="D29" i="339" a="1"/>
  <c r="D29" i="339" s="1"/>
  <c r="F23" i="392" a="1"/>
  <c r="F23" i="392" s="1"/>
  <c r="G23" i="392" s="1"/>
  <c r="F26" i="392" a="1"/>
  <c r="F26" i="392" s="1"/>
  <c r="F28" i="392" a="1"/>
  <c r="F28" i="392" s="1"/>
  <c r="F10" i="398" a="1"/>
  <c r="F10" i="398" s="1"/>
  <c r="F92" i="398" a="1"/>
  <c r="F92" i="398" s="1"/>
  <c r="F93" i="398" a="1"/>
  <c r="F93" i="398" s="1"/>
  <c r="F145" i="398" a="1"/>
  <c r="F145" i="398" s="1"/>
  <c r="F144" i="398" s="1"/>
  <c r="A47" i="354"/>
  <c r="A48" i="354" s="1"/>
  <c r="C10" i="254" a="1"/>
  <c r="C10" i="254" s="1"/>
  <c r="C30" i="254" a="1"/>
  <c r="C30" i="254" s="1"/>
  <c r="D85" i="254" a="1"/>
  <c r="D85" i="254" s="1"/>
  <c r="D88" i="254" a="1"/>
  <c r="D88" i="254" s="1"/>
  <c r="C11" i="324" a="1"/>
  <c r="C11" i="324"/>
  <c r="D16" i="339" a="1"/>
  <c r="D16" i="339"/>
  <c r="C25" i="339" a="1"/>
  <c r="C25" i="339" s="1"/>
  <c r="D57" i="339" a="1"/>
  <c r="D57" i="339" s="1"/>
  <c r="D59" i="339" a="1"/>
  <c r="D59" i="339" s="1"/>
  <c r="C65" i="339" a="1"/>
  <c r="C65" i="339" s="1"/>
  <c r="E31" i="346" a="1"/>
  <c r="E31" i="346" s="1"/>
  <c r="G31" i="346" s="1"/>
  <c r="E95" i="346" a="1"/>
  <c r="E95" i="346" s="1"/>
  <c r="G95" i="346" s="1"/>
  <c r="F35" i="392" a="1"/>
  <c r="F35" i="392" s="1"/>
  <c r="F37" i="392" a="1"/>
  <c r="F37" i="392" s="1"/>
  <c r="F86" i="392" a="1"/>
  <c r="F86" i="392" s="1"/>
  <c r="G86" i="392" s="1"/>
  <c r="F57" i="395" a="1"/>
  <c r="F57" i="395" s="1"/>
  <c r="F132" i="393" a="1"/>
  <c r="F132" i="393" s="1"/>
  <c r="F133" i="393" a="1"/>
  <c r="F133" i="393" s="1"/>
  <c r="F26" i="398" a="1"/>
  <c r="F26" i="398" s="1"/>
  <c r="F73" i="398" a="1"/>
  <c r="F73" i="398" s="1"/>
  <c r="F74" i="398" a="1"/>
  <c r="F74" i="398" s="1"/>
  <c r="F99" i="399" a="1"/>
  <c r="F99" i="399" s="1"/>
  <c r="F155" i="399" a="1"/>
  <c r="F155" i="399" s="1"/>
  <c r="F159" i="399" a="1"/>
  <c r="F159" i="399" s="1"/>
  <c r="G159" i="399" s="1"/>
  <c r="D43" i="416" a="1"/>
  <c r="D43" i="416" s="1"/>
  <c r="A12" i="324"/>
  <c r="A13" i="324" s="1"/>
  <c r="E16" i="346" a="1"/>
  <c r="E16" i="346" s="1"/>
  <c r="G16" i="346" s="1"/>
  <c r="E80" i="346" a="1"/>
  <c r="E80" i="346" s="1"/>
  <c r="G80" i="346" s="1"/>
  <c r="F82" i="392" a="1"/>
  <c r="F82" i="392" s="1"/>
  <c r="F107" i="392" a="1"/>
  <c r="F107" i="392" s="1"/>
  <c r="F105" i="393" a="1"/>
  <c r="F105" i="393" s="1"/>
  <c r="F64" i="405" a="1"/>
  <c r="F64" i="405" s="1"/>
  <c r="F65" i="405" a="1"/>
  <c r="F65" i="405" s="1"/>
  <c r="F68" i="405" a="1"/>
  <c r="F68" i="405" s="1"/>
  <c r="G68" i="405" s="1"/>
  <c r="F12" i="405" a="1"/>
  <c r="F12" i="405" s="1"/>
  <c r="G12" i="405" s="1"/>
  <c r="F13" i="405" a="1"/>
  <c r="F13" i="405" s="1"/>
  <c r="F14" i="405" a="1"/>
  <c r="F14" i="405" s="1"/>
  <c r="G14" i="405" s="1"/>
  <c r="F16" i="405" a="1"/>
  <c r="F16" i="405" s="1"/>
  <c r="F17" i="405" a="1"/>
  <c r="F17" i="405" s="1"/>
  <c r="G17" i="405" s="1"/>
  <c r="F18" i="405" a="1"/>
  <c r="F18" i="405" s="1"/>
  <c r="E332" i="335"/>
  <c r="E47" i="346" a="1"/>
  <c r="E47" i="346" s="1"/>
  <c r="G47" i="346" s="1"/>
  <c r="E79" i="346" a="1"/>
  <c r="E79" i="346" s="1"/>
  <c r="G79" i="346" s="1"/>
  <c r="F10" i="389" a="1"/>
  <c r="F10" i="389" s="1"/>
  <c r="G10" i="389" s="1"/>
  <c r="F116" i="393" a="1"/>
  <c r="F116" i="393" s="1"/>
  <c r="F143" i="393" a="1"/>
  <c r="F143" i="393" s="1"/>
  <c r="E143" i="393" s="1"/>
  <c r="F161" i="393" a="1"/>
  <c r="F161" i="393" s="1"/>
  <c r="F42" i="401" a="1"/>
  <c r="F42" i="401" s="1"/>
  <c r="F6" i="404"/>
  <c r="F31" i="404" a="1"/>
  <c r="F31" i="404" s="1"/>
  <c r="F54" i="388" a="1"/>
  <c r="F54" i="388" s="1"/>
  <c r="F67" i="388" a="1"/>
  <c r="F67" i="388" s="1"/>
  <c r="F68" i="388" a="1"/>
  <c r="F68" i="388" s="1"/>
  <c r="F72" i="388" a="1"/>
  <c r="F72" i="388" s="1"/>
  <c r="F80" i="388" a="1"/>
  <c r="F80" i="388" s="1"/>
  <c r="D59" i="254" a="1"/>
  <c r="D59" i="254"/>
  <c r="C24" i="324" a="1"/>
  <c r="C24" i="324" s="1"/>
  <c r="C64" i="324" a="1"/>
  <c r="C64" i="324" s="1"/>
  <c r="D73" i="324" a="1"/>
  <c r="D73" i="324" s="1"/>
  <c r="D78" i="324" a="1"/>
  <c r="D78" i="324" s="1"/>
  <c r="D81" i="324" a="1"/>
  <c r="D81" i="324" s="1"/>
  <c r="C52" i="339" a="1"/>
  <c r="C52" i="339"/>
  <c r="C81" i="339" a="1"/>
  <c r="C81" i="339" s="1"/>
  <c r="E32" i="346" a="1"/>
  <c r="E32" i="346" s="1"/>
  <c r="G32" i="346" s="1"/>
  <c r="E64" i="346" a="1"/>
  <c r="E64" i="346" s="1"/>
  <c r="G64" i="346" s="1"/>
  <c r="E96" i="346" a="1"/>
  <c r="E96" i="346" s="1"/>
  <c r="G96" i="346" s="1"/>
  <c r="F70" i="392" a="1"/>
  <c r="F70" i="392" s="1"/>
  <c r="F80" i="392" a="1"/>
  <c r="F80" i="392" s="1"/>
  <c r="F84" i="392" a="1"/>
  <c r="F84" i="392" s="1"/>
  <c r="G84" i="392" s="1"/>
  <c r="F59" i="395" a="1"/>
  <c r="F59" i="395" s="1"/>
  <c r="F82" i="395" a="1"/>
  <c r="F82" i="395" s="1"/>
  <c r="G82" i="395" s="1"/>
  <c r="F23" i="396" a="1"/>
  <c r="F23" i="396" s="1"/>
  <c r="F43" i="396" a="1"/>
  <c r="F43" i="396" s="1"/>
  <c r="F53" i="397" a="1"/>
  <c r="F53" i="397" s="1"/>
  <c r="F81" i="397" a="1"/>
  <c r="F81" i="397" s="1"/>
  <c r="F55" i="393" a="1"/>
  <c r="F55" i="393" s="1"/>
  <c r="F62" i="393" a="1"/>
  <c r="F62" i="393" s="1"/>
  <c r="D7" i="405"/>
  <c r="D134" i="405" s="1" a="1"/>
  <c r="D134" i="405" s="1"/>
  <c r="I134" i="405" s="1"/>
  <c r="F33" i="405" a="1"/>
  <c r="F33" i="405" s="1"/>
  <c r="F34" i="405" a="1"/>
  <c r="F34" i="405" s="1"/>
  <c r="F35" i="405" a="1"/>
  <c r="F35" i="405" s="1"/>
  <c r="G35" i="405" s="1"/>
  <c r="F37" i="405" a="1"/>
  <c r="F37" i="405" s="1"/>
  <c r="G37" i="405" s="1"/>
  <c r="F38" i="405" a="1"/>
  <c r="F38" i="405" s="1"/>
  <c r="F54" i="405" a="1"/>
  <c r="F54" i="405" s="1"/>
  <c r="F55" i="405" a="1"/>
  <c r="F55" i="405" s="1"/>
  <c r="F56" i="405" a="1"/>
  <c r="F56" i="405" s="1"/>
  <c r="F57" i="405" a="1"/>
  <c r="F57" i="405" s="1"/>
  <c r="F72" i="405" a="1"/>
  <c r="F72" i="405" s="1"/>
  <c r="F140" i="405" a="1"/>
  <c r="F140" i="405" s="1"/>
  <c r="F141" i="405" a="1"/>
  <c r="F141" i="405" s="1"/>
  <c r="F155" i="405" a="1"/>
  <c r="F155" i="405" s="1"/>
  <c r="F162" i="405" a="1"/>
  <c r="F162" i="405" s="1"/>
  <c r="F163" i="405" a="1"/>
  <c r="F163" i="405" s="1"/>
  <c r="F175" i="405" a="1"/>
  <c r="F175" i="405" s="1"/>
  <c r="F177" i="405" s="1"/>
  <c r="F18" i="388" a="1"/>
  <c r="F18" i="388" s="1"/>
  <c r="G18" i="388" s="1"/>
  <c r="H18" i="388" s="1"/>
  <c r="F91" i="388" a="1"/>
  <c r="F91" i="388" s="1"/>
  <c r="D58" i="416" a="1"/>
  <c r="D58" i="416" s="1"/>
  <c r="F80" i="404" a="1"/>
  <c r="F80" i="404" s="1"/>
  <c r="F81" i="404" a="1"/>
  <c r="F81" i="404" s="1"/>
  <c r="F84" i="404" a="1"/>
  <c r="F84" i="404" s="1"/>
  <c r="F85" i="404" a="1"/>
  <c r="F85" i="404" s="1"/>
  <c r="F106" i="404" a="1"/>
  <c r="F106" i="404" s="1"/>
  <c r="F107" i="404" a="1"/>
  <c r="F107" i="404" s="1"/>
  <c r="F45" i="388" a="1"/>
  <c r="F45" i="388" s="1"/>
  <c r="F52" i="388" a="1"/>
  <c r="F52" i="388" s="1"/>
  <c r="G52" i="388" s="1"/>
  <c r="F64" i="388" a="1"/>
  <c r="F64" i="388" s="1"/>
  <c r="F65" i="388" a="1"/>
  <c r="F65" i="388" s="1"/>
  <c r="F70" i="388" a="1"/>
  <c r="F70" i="388" s="1"/>
  <c r="F74" i="388" a="1"/>
  <c r="F74" i="388" s="1"/>
  <c r="F100" i="388" a="1"/>
  <c r="F100" i="388" s="1"/>
  <c r="D30" i="354" a="1"/>
  <c r="D30" i="354" s="1"/>
  <c r="D58" i="354" a="1"/>
  <c r="D58" i="354"/>
  <c r="A75" i="354"/>
  <c r="A76" i="354" s="1"/>
  <c r="D58" i="254" a="1"/>
  <c r="D58" i="254" s="1"/>
  <c r="D60" i="254" a="1"/>
  <c r="D60" i="254" s="1"/>
  <c r="C66" i="254" a="1"/>
  <c r="C66" i="254" s="1"/>
  <c r="C74" i="324" a="1"/>
  <c r="C74" i="324"/>
  <c r="C85" i="324" a="1"/>
  <c r="C85" i="324" s="1"/>
  <c r="C37" i="339" a="1"/>
  <c r="C37" i="339"/>
  <c r="C80" i="339" a="1"/>
  <c r="C80" i="339" s="1"/>
  <c r="F17" i="393" a="1"/>
  <c r="F17" i="393" s="1"/>
  <c r="F55" i="401" a="1"/>
  <c r="F55" i="401" s="1"/>
  <c r="G55" i="401" s="1"/>
  <c r="F54" i="404" a="1"/>
  <c r="F54" i="404" s="1"/>
  <c r="F55" i="404" a="1"/>
  <c r="F55" i="404" s="1"/>
  <c r="G55" i="404" s="1"/>
  <c r="F101" i="405" a="1"/>
  <c r="F101" i="405" s="1"/>
  <c r="G101" i="405" s="1"/>
  <c r="F102" i="405" a="1"/>
  <c r="F102" i="405" s="1"/>
  <c r="F103" i="405" a="1"/>
  <c r="F103" i="405" s="1"/>
  <c r="F106" i="405" a="1"/>
  <c r="F106" i="405" s="1"/>
  <c r="F107" i="405" a="1"/>
  <c r="F107" i="405" s="1"/>
  <c r="F114" i="405" a="1"/>
  <c r="F114" i="405" s="1"/>
  <c r="F115" i="405" a="1"/>
  <c r="F115" i="405" s="1"/>
  <c r="F6" i="388"/>
  <c r="F59" i="388" a="1"/>
  <c r="F59" i="388" s="1"/>
  <c r="F89" i="388" a="1"/>
  <c r="F89" i="388" s="1"/>
  <c r="F124" i="388" a="1"/>
  <c r="F124" i="388" s="1"/>
  <c r="D34" i="416" a="1"/>
  <c r="D34" i="416" s="1"/>
  <c r="E34" i="416" s="1"/>
  <c r="C74" i="254" a="1"/>
  <c r="C74" i="254" s="1"/>
  <c r="D74" i="254" a="1"/>
  <c r="D74" i="254" s="1"/>
  <c r="A54" i="324"/>
  <c r="A55" i="324" s="1"/>
  <c r="C53" i="324" a="1"/>
  <c r="C53" i="324" s="1"/>
  <c r="D78" i="339" a="1"/>
  <c r="D78" i="339" s="1"/>
  <c r="C78" i="339" a="1"/>
  <c r="C78" i="339" s="1"/>
  <c r="D88" i="354" a="1"/>
  <c r="D88" i="354" s="1"/>
  <c r="A89" i="354"/>
  <c r="A90" i="354" s="1"/>
  <c r="D18" i="254" a="1"/>
  <c r="D18" i="254"/>
  <c r="A19" i="254"/>
  <c r="A20" i="254" s="1"/>
  <c r="C25" i="254" a="1"/>
  <c r="C25" i="254" s="1"/>
  <c r="D25" i="254" a="1"/>
  <c r="D25" i="254" s="1"/>
  <c r="C31" i="254" a="1"/>
  <c r="C31" i="254" s="1"/>
  <c r="D31" i="254" a="1"/>
  <c r="D31" i="254"/>
  <c r="C38" i="254" a="1"/>
  <c r="C38" i="254" s="1"/>
  <c r="D38" i="254" a="1"/>
  <c r="D38" i="254" s="1"/>
  <c r="C51" i="254" a="1"/>
  <c r="C51" i="254"/>
  <c r="D51" i="254" a="1"/>
  <c r="D51" i="254" s="1"/>
  <c r="D57" i="254" a="1"/>
  <c r="D57" i="254" s="1"/>
  <c r="C71" i="254" a="1"/>
  <c r="C71" i="254" s="1"/>
  <c r="D71" i="254" a="1"/>
  <c r="D71" i="254" s="1"/>
  <c r="C43" i="324" a="1"/>
  <c r="C43" i="324" s="1"/>
  <c r="D43" i="324" a="1"/>
  <c r="D43" i="324" s="1"/>
  <c r="D47" i="324" s="1"/>
  <c r="C86" i="324" a="1"/>
  <c r="C86" i="324" s="1"/>
  <c r="D86" i="324" a="1"/>
  <c r="D86" i="324" s="1"/>
  <c r="D43" i="339" a="1"/>
  <c r="D43" i="339" s="1"/>
  <c r="C43" i="339" a="1"/>
  <c r="C43" i="339" s="1"/>
  <c r="A19" i="346"/>
  <c r="A20" i="346"/>
  <c r="F18" i="346" a="1"/>
  <c r="F18" i="346" s="1"/>
  <c r="F19" i="346" s="1"/>
  <c r="A35" i="346"/>
  <c r="A36" i="346"/>
  <c r="F34" i="346" a="1"/>
  <c r="F34" i="346" s="1"/>
  <c r="F35" i="346" s="1"/>
  <c r="A51" i="346"/>
  <c r="A52" i="346" s="1"/>
  <c r="F50" i="346" a="1"/>
  <c r="F50" i="346" s="1"/>
  <c r="A67" i="346"/>
  <c r="A68" i="346" s="1"/>
  <c r="F66" i="346" a="1"/>
  <c r="F66" i="346" s="1"/>
  <c r="F67" i="346" s="1"/>
  <c r="A83" i="346"/>
  <c r="A84" i="346" s="1"/>
  <c r="F82" i="346" a="1"/>
  <c r="F82" i="346" s="1"/>
  <c r="A99" i="346"/>
  <c r="A100" i="346" s="1"/>
  <c r="F98" i="346" a="1"/>
  <c r="F98" i="346" s="1"/>
  <c r="D13" i="397" a="1"/>
  <c r="D13" i="397" s="1"/>
  <c r="I13" i="397" s="1"/>
  <c r="F158" i="402" a="1"/>
  <c r="F158" i="402" s="1"/>
  <c r="F111" i="402" a="1"/>
  <c r="F111" i="402" s="1"/>
  <c r="F107" i="402" a="1"/>
  <c r="F107" i="402" s="1"/>
  <c r="F106" i="402" a="1"/>
  <c r="F106" i="402" s="1"/>
  <c r="F103" i="402" a="1"/>
  <c r="F103" i="402" s="1"/>
  <c r="F102" i="402" a="1"/>
  <c r="F102" i="402" s="1"/>
  <c r="G102" i="402" s="1"/>
  <c r="F73" i="402" a="1"/>
  <c r="F73" i="402" s="1"/>
  <c r="F72" i="402" a="1"/>
  <c r="F72" i="402" s="1"/>
  <c r="F52" i="402" a="1"/>
  <c r="F52" i="402" s="1"/>
  <c r="G52" i="402" s="1"/>
  <c r="F33" i="402" a="1"/>
  <c r="F33" i="402" s="1"/>
  <c r="F55" i="402" a="1"/>
  <c r="F55" i="402" s="1"/>
  <c r="F23" i="402" a="1"/>
  <c r="F23" i="402" s="1"/>
  <c r="F13" i="402" a="1"/>
  <c r="F13" i="402" s="1"/>
  <c r="F163" i="402" a="1"/>
  <c r="F163" i="402" s="1"/>
  <c r="F95" i="402" a="1"/>
  <c r="F95" i="402" s="1"/>
  <c r="F85" i="402" a="1"/>
  <c r="F85" i="402" s="1"/>
  <c r="F69" i="402" a="1"/>
  <c r="F69" i="402" s="1"/>
  <c r="F68" i="402" a="1"/>
  <c r="F68" i="402" s="1"/>
  <c r="F16" i="402" a="1"/>
  <c r="F16" i="402" s="1"/>
  <c r="F63" i="402" a="1"/>
  <c r="F63" i="402" s="1"/>
  <c r="G63" i="402" s="1"/>
  <c r="F43" i="402" a="1"/>
  <c r="F43" i="402" s="1"/>
  <c r="F40" i="402" a="1"/>
  <c r="F40" i="402" s="1"/>
  <c r="C24" i="254" a="1"/>
  <c r="C24" i="254" s="1"/>
  <c r="D24" i="254" a="1"/>
  <c r="D24" i="254"/>
  <c r="A89" i="324"/>
  <c r="A90" i="324" s="1"/>
  <c r="C88" i="324" a="1"/>
  <c r="C88" i="324"/>
  <c r="D32" i="354" a="1"/>
  <c r="D32" i="354"/>
  <c r="A33" i="354"/>
  <c r="A34" i="354" s="1"/>
  <c r="D60" i="354" a="1"/>
  <c r="D60" i="354"/>
  <c r="A61" i="354"/>
  <c r="A62" i="354" s="1"/>
  <c r="C15" i="254" a="1"/>
  <c r="C15" i="254" s="1"/>
  <c r="D15" i="254" a="1"/>
  <c r="D15" i="254" s="1"/>
  <c r="C22" i="254" a="1"/>
  <c r="C22" i="254" s="1"/>
  <c r="D22" i="254" a="1"/>
  <c r="D22" i="254" s="1"/>
  <c r="A33" i="254"/>
  <c r="A34" i="254" s="1"/>
  <c r="C32" i="254" a="1"/>
  <c r="C32" i="254"/>
  <c r="A40" i="254"/>
  <c r="A41" i="254"/>
  <c r="C39" i="254" a="1"/>
  <c r="C39" i="254" s="1"/>
  <c r="C52" i="254" a="1"/>
  <c r="C52" i="254"/>
  <c r="D52" i="254" a="1"/>
  <c r="D52" i="254" s="1"/>
  <c r="C72" i="254" a="1"/>
  <c r="C72" i="254" s="1"/>
  <c r="D72" i="254" a="1"/>
  <c r="D72" i="254"/>
  <c r="C31" i="324" a="1"/>
  <c r="C31" i="324" s="1"/>
  <c r="D31" i="324" a="1"/>
  <c r="D31" i="324"/>
  <c r="C38" i="324" a="1"/>
  <c r="C38" i="324"/>
  <c r="D38" i="324" a="1"/>
  <c r="D38" i="324" s="1"/>
  <c r="C52" i="324" a="1"/>
  <c r="C52" i="324"/>
  <c r="D52" i="324" a="1"/>
  <c r="D52" i="324" s="1"/>
  <c r="D23" i="339" a="1"/>
  <c r="D23" i="339" s="1"/>
  <c r="C23" i="339" a="1"/>
  <c r="C23" i="339"/>
  <c r="D44" i="339" a="1"/>
  <c r="D44" i="339" s="1"/>
  <c r="C44" i="339" a="1"/>
  <c r="C44" i="339"/>
  <c r="E14" i="346" a="1"/>
  <c r="E14" i="346" s="1"/>
  <c r="E30" i="346" a="1"/>
  <c r="E30" i="346" s="1"/>
  <c r="G30" i="346" s="1"/>
  <c r="E46" i="346" a="1"/>
  <c r="E46" i="346" s="1"/>
  <c r="G46" i="346" s="1"/>
  <c r="E62" i="346" a="1"/>
  <c r="E62" i="346" s="1"/>
  <c r="E78" i="346" a="1"/>
  <c r="E78" i="346" s="1"/>
  <c r="E94" i="346" a="1"/>
  <c r="E94" i="346" s="1"/>
  <c r="G94" i="346" s="1"/>
  <c r="F118" i="402" a="1"/>
  <c r="F118" i="402" s="1"/>
  <c r="F119" i="402" a="1"/>
  <c r="F119" i="402" s="1"/>
  <c r="F134" i="402" a="1"/>
  <c r="F134" i="402" s="1"/>
  <c r="D86" i="354" a="1"/>
  <c r="D86" i="354" s="1"/>
  <c r="C23" i="254" a="1"/>
  <c r="C23" i="254" s="1"/>
  <c r="D23" i="254" a="1"/>
  <c r="D23" i="254"/>
  <c r="D39" i="254" a="1"/>
  <c r="D39" i="254" s="1"/>
  <c r="C53" i="254" a="1"/>
  <c r="C53" i="254" s="1"/>
  <c r="D53" i="254" a="1"/>
  <c r="D53" i="254" s="1"/>
  <c r="C73" i="254" a="1"/>
  <c r="C73" i="254" s="1"/>
  <c r="D73" i="254" a="1"/>
  <c r="D73" i="254"/>
  <c r="D80" i="254" a="1"/>
  <c r="D80" i="254" s="1"/>
  <c r="C80" i="254" a="1"/>
  <c r="C80" i="254" s="1"/>
  <c r="A33" i="324"/>
  <c r="A34" i="324"/>
  <c r="C32" i="324" a="1"/>
  <c r="C32" i="324" s="1"/>
  <c r="A40" i="324"/>
  <c r="A41" i="324" s="1"/>
  <c r="C39" i="324" a="1"/>
  <c r="C39" i="324" s="1"/>
  <c r="D59" i="324" a="1"/>
  <c r="D59" i="324" s="1"/>
  <c r="D61" i="324" s="1"/>
  <c r="C59" i="324" a="1"/>
  <c r="C59" i="324" s="1"/>
  <c r="E6" i="339"/>
  <c r="A19" i="339"/>
  <c r="A20" i="339" s="1"/>
  <c r="C18" i="339" a="1"/>
  <c r="C18" i="339"/>
  <c r="A68" i="339"/>
  <c r="A69" i="339" s="1"/>
  <c r="C67" i="339" a="1"/>
  <c r="C67" i="339" s="1"/>
  <c r="D86" i="339" a="1"/>
  <c r="D86" i="339" s="1"/>
  <c r="D89" i="339" s="1"/>
  <c r="C86" i="339" a="1"/>
  <c r="C86" i="339" s="1"/>
  <c r="E18" i="346" a="1"/>
  <c r="E18" i="346" s="1"/>
  <c r="E34" i="346" a="1"/>
  <c r="E34" i="346" s="1"/>
  <c r="E50" i="346" a="1"/>
  <c r="E50" i="346" s="1"/>
  <c r="E66" i="346" a="1"/>
  <c r="E66" i="346" s="1"/>
  <c r="E82" i="346" a="1"/>
  <c r="E82" i="346" s="1"/>
  <c r="E98" i="346" a="1"/>
  <c r="E98" i="346" s="1"/>
  <c r="F140" i="396" a="1"/>
  <c r="F140" i="396" s="1"/>
  <c r="F125" i="396" a="1"/>
  <c r="F125" i="396" s="1"/>
  <c r="F102" i="396" a="1"/>
  <c r="F102" i="396" s="1"/>
  <c r="F96" i="396" a="1"/>
  <c r="F96" i="396" s="1"/>
  <c r="F90" i="396" a="1"/>
  <c r="F90" i="396" s="1"/>
  <c r="F54" i="396" a="1"/>
  <c r="F54" i="396" s="1"/>
  <c r="F53" i="396" a="1"/>
  <c r="F53" i="396" s="1"/>
  <c r="F58" i="396" a="1"/>
  <c r="F58" i="396" s="1"/>
  <c r="F129" i="396" a="1"/>
  <c r="F129" i="396" s="1"/>
  <c r="F143" i="396" a="1"/>
  <c r="F143" i="396" s="1"/>
  <c r="F155" i="396" a="1"/>
  <c r="F155" i="396" s="1"/>
  <c r="F158" i="396" a="1"/>
  <c r="F158" i="396" s="1"/>
  <c r="C39" i="339" a="1"/>
  <c r="C39" i="339" s="1"/>
  <c r="D39" i="339" a="1"/>
  <c r="D39" i="339"/>
  <c r="D40" i="339"/>
  <c r="D45" i="339" a="1"/>
  <c r="D45" i="339"/>
  <c r="C45" i="339" a="1"/>
  <c r="C45" i="339" s="1"/>
  <c r="D92" i="394" a="1"/>
  <c r="D92" i="394"/>
  <c r="I92" i="394" s="1"/>
  <c r="D58" i="394" a="1"/>
  <c r="D58" i="394"/>
  <c r="I58" i="394" s="1"/>
  <c r="D57" i="394" a="1"/>
  <c r="D57" i="394"/>
  <c r="I57" i="394" s="1"/>
  <c r="D44" i="394" a="1"/>
  <c r="D44" i="394"/>
  <c r="I44" i="394"/>
  <c r="F73" i="394" a="1"/>
  <c r="F73" i="394" s="1"/>
  <c r="F43" i="394" a="1"/>
  <c r="F43" i="394" s="1"/>
  <c r="F34" i="394" a="1"/>
  <c r="F34" i="394" s="1"/>
  <c r="F20" i="394" a="1"/>
  <c r="F20" i="394" s="1"/>
  <c r="G20" i="394" s="1"/>
  <c r="F18" i="394" a="1"/>
  <c r="F18" i="394" s="1"/>
  <c r="F17" i="394" a="1"/>
  <c r="F17" i="394" s="1"/>
  <c r="F35" i="394" a="1"/>
  <c r="F35" i="394" s="1"/>
  <c r="F175" i="404" a="1"/>
  <c r="F175" i="404" s="1"/>
  <c r="F177" i="404" s="1"/>
  <c r="F162" i="404" a="1"/>
  <c r="F162" i="404" s="1"/>
  <c r="F161" i="404" a="1"/>
  <c r="F161" i="404" s="1"/>
  <c r="F158" i="404" a="1"/>
  <c r="F158" i="404" s="1"/>
  <c r="F157" i="404" a="1"/>
  <c r="F157" i="404" s="1"/>
  <c r="F143" i="404" a="1"/>
  <c r="F143" i="404" s="1"/>
  <c r="E143" i="404" s="1"/>
  <c r="F140" i="404" a="1"/>
  <c r="F140" i="404" s="1"/>
  <c r="F74" i="404" a="1"/>
  <c r="F74" i="404" s="1"/>
  <c r="F64" i="404" a="1"/>
  <c r="F64" i="404" s="1"/>
  <c r="F63" i="404" a="1"/>
  <c r="F63" i="404" s="1"/>
  <c r="G63" i="404" s="1"/>
  <c r="F52" i="404" a="1"/>
  <c r="F52" i="404" s="1"/>
  <c r="F28" i="404" a="1"/>
  <c r="F28" i="404" s="1"/>
  <c r="F10" i="404" a="1"/>
  <c r="F10" i="404" s="1"/>
  <c r="G10" i="404" s="1"/>
  <c r="F13" i="404" a="1"/>
  <c r="F13" i="404" s="1"/>
  <c r="F14" i="404" a="1"/>
  <c r="F14" i="404" s="1"/>
  <c r="F23" i="404" a="1"/>
  <c r="F23" i="404" s="1"/>
  <c r="F91" i="404" a="1"/>
  <c r="F91" i="404" s="1"/>
  <c r="F92" i="404" a="1"/>
  <c r="F92" i="404" s="1"/>
  <c r="F95" i="404" a="1"/>
  <c r="F95" i="404" s="1"/>
  <c r="F96" i="404" a="1"/>
  <c r="F96" i="404" s="1"/>
  <c r="G96" i="404" s="1"/>
  <c r="F122" i="404" a="1"/>
  <c r="F122" i="404" s="1"/>
  <c r="F123" i="404" a="1"/>
  <c r="F123" i="404" s="1"/>
  <c r="F12" i="395" a="1"/>
  <c r="F12" i="395" s="1"/>
  <c r="F16" i="397" a="1"/>
  <c r="F16" i="397" s="1"/>
  <c r="G16" i="397" s="1"/>
  <c r="F30" i="397" a="1"/>
  <c r="F30" i="397" s="1"/>
  <c r="G30" i="397" s="1"/>
  <c r="F70" i="397" a="1"/>
  <c r="F70" i="397" s="1"/>
  <c r="G70" i="397" s="1"/>
  <c r="F6" i="393"/>
  <c r="F10" i="393" a="1"/>
  <c r="F10" i="393" s="1"/>
  <c r="G10" i="393" s="1"/>
  <c r="F20" i="393" a="1"/>
  <c r="F20" i="393" s="1"/>
  <c r="F40" i="393" a="1"/>
  <c r="F40" i="393" s="1"/>
  <c r="F52" i="393" a="1"/>
  <c r="F52" i="393" s="1"/>
  <c r="F128" i="399" a="1"/>
  <c r="F128" i="399" s="1"/>
  <c r="F43" i="399" a="1"/>
  <c r="F43" i="399" s="1"/>
  <c r="D13" i="416" a="1"/>
  <c r="D13" i="416" s="1"/>
  <c r="D15" i="416" a="1"/>
  <c r="D15" i="416" s="1"/>
  <c r="E15" i="416" s="1"/>
  <c r="D18" i="416" a="1"/>
  <c r="D18" i="416" s="1"/>
  <c r="D21" i="416" a="1"/>
  <c r="D21" i="416" s="1"/>
  <c r="D39" i="416" a="1"/>
  <c r="D39" i="416" s="1"/>
  <c r="D32" i="339" a="1"/>
  <c r="D32" i="339"/>
  <c r="F12" i="392" a="1"/>
  <c r="F12" i="392" s="1"/>
  <c r="F31" i="392" a="1"/>
  <c r="F31" i="392" s="1"/>
  <c r="G31" i="392" s="1"/>
  <c r="F53" i="392" a="1"/>
  <c r="F53" i="392" s="1"/>
  <c r="F59" i="392" a="1"/>
  <c r="F59" i="392" s="1"/>
  <c r="G59" i="392" s="1"/>
  <c r="F67" i="392" a="1"/>
  <c r="F67" i="392" s="1"/>
  <c r="F96" i="392" a="1"/>
  <c r="F96" i="392" s="1"/>
  <c r="F6" i="397"/>
  <c r="F12" i="397" a="1"/>
  <c r="F12" i="397" s="1"/>
  <c r="F20" i="397" a="1"/>
  <c r="F20" i="397" s="1"/>
  <c r="G20" i="397" s="1"/>
  <c r="F22" i="397" a="1"/>
  <c r="F22" i="397" s="1"/>
  <c r="F35" i="397" a="1"/>
  <c r="F35" i="397" s="1"/>
  <c r="G35" i="397" s="1"/>
  <c r="F39" i="397" a="1"/>
  <c r="F39" i="397" s="1"/>
  <c r="G39" i="397" s="1"/>
  <c r="F57" i="397" a="1"/>
  <c r="F57" i="397" s="1"/>
  <c r="F163" i="393" a="1"/>
  <c r="F163" i="393" s="1"/>
  <c r="F136" i="393" a="1"/>
  <c r="F136" i="393" s="1"/>
  <c r="F131" i="393" a="1"/>
  <c r="F131" i="393" s="1"/>
  <c r="F127" i="393" a="1"/>
  <c r="F127" i="393" s="1"/>
  <c r="F121" i="393" a="1"/>
  <c r="F121" i="393" s="1"/>
  <c r="F114" i="393" a="1"/>
  <c r="F114" i="393" s="1"/>
  <c r="F98" i="393" a="1"/>
  <c r="F98" i="393" s="1"/>
  <c r="G98" i="393" s="1"/>
  <c r="F93" i="393" a="1"/>
  <c r="F93" i="393" s="1"/>
  <c r="F81" i="393" a="1"/>
  <c r="F81" i="393" s="1"/>
  <c r="G81" i="393" s="1"/>
  <c r="F80" i="393" a="1"/>
  <c r="F80" i="393" s="1"/>
  <c r="G80" i="393" s="1"/>
  <c r="F53" i="393" a="1"/>
  <c r="F53" i="393" s="1"/>
  <c r="F38" i="393" a="1"/>
  <c r="F38" i="393" s="1"/>
  <c r="G38" i="393" s="1"/>
  <c r="F45" i="393" a="1"/>
  <c r="F45" i="393" s="1"/>
  <c r="F94" i="393" a="1"/>
  <c r="F94" i="393" s="1"/>
  <c r="F95" i="393" a="1"/>
  <c r="F95" i="393" s="1"/>
  <c r="F55" i="394" a="1"/>
  <c r="F55" i="394" s="1"/>
  <c r="F66" i="394" a="1"/>
  <c r="F66" i="394" s="1"/>
  <c r="F67" i="394" a="1"/>
  <c r="F67" i="394" s="1"/>
  <c r="F20" i="404" a="1"/>
  <c r="F20" i="404" s="1"/>
  <c r="G20" i="404" s="1"/>
  <c r="F35" i="404" a="1"/>
  <c r="F35" i="404" s="1"/>
  <c r="F70" i="404" a="1"/>
  <c r="F70" i="404" s="1"/>
  <c r="F110" i="404" a="1"/>
  <c r="F110" i="404" s="1"/>
  <c r="F111" i="404" a="1"/>
  <c r="F111" i="404" s="1"/>
  <c r="F114" i="404" a="1"/>
  <c r="F114" i="404" s="1"/>
  <c r="F115" i="404" a="1"/>
  <c r="F115" i="404" s="1"/>
  <c r="F118" i="404" a="1"/>
  <c r="F118" i="404" s="1"/>
  <c r="F119" i="404" a="1"/>
  <c r="F119" i="404" s="1"/>
  <c r="D137" i="416" a="1"/>
  <c r="D137" i="416" s="1"/>
  <c r="D66" i="416" a="1"/>
  <c r="D66" i="416" s="1"/>
  <c r="D50" i="416" a="1"/>
  <c r="D50" i="416" s="1"/>
  <c r="D29" i="416" a="1"/>
  <c r="D29" i="416" s="1"/>
  <c r="E29" i="416" s="1"/>
  <c r="D11" i="416" a="1"/>
  <c r="D11" i="416" s="1"/>
  <c r="D14" i="416" a="1"/>
  <c r="D14" i="416" s="1"/>
  <c r="D17" i="416" a="1"/>
  <c r="D17" i="416" s="1"/>
  <c r="D19" i="416" a="1"/>
  <c r="D19" i="416" s="1"/>
  <c r="D23" i="416" a="1"/>
  <c r="D23" i="416" s="1"/>
  <c r="E23" i="416" s="1"/>
  <c r="D54" i="416" a="1"/>
  <c r="D54" i="416" s="1"/>
  <c r="E32" i="365" a="1"/>
  <c r="E32" i="365" s="1"/>
  <c r="E30" i="365" s="1"/>
  <c r="E36" i="365" a="1"/>
  <c r="E36" i="365" s="1"/>
  <c r="E33" i="365" a="1"/>
  <c r="E33" i="365" s="1"/>
  <c r="E35" i="365" a="1"/>
  <c r="E35" i="365" s="1"/>
  <c r="I36" i="365" a="1"/>
  <c r="I36" i="365" s="1"/>
  <c r="I33" i="365" a="1"/>
  <c r="I33" i="365"/>
  <c r="I31" i="365" a="1"/>
  <c r="I31" i="365" s="1"/>
  <c r="I30" i="365" s="1"/>
  <c r="M31" i="365" a="1"/>
  <c r="M31" i="365" s="1"/>
  <c r="M32" i="365" a="1"/>
  <c r="M32" i="365"/>
  <c r="M33" i="365" a="1"/>
  <c r="M33" i="365"/>
  <c r="F96" i="398" a="1"/>
  <c r="F96" i="398" s="1"/>
  <c r="F97" i="398" a="1"/>
  <c r="F97" i="398" s="1"/>
  <c r="F159" i="398" a="1"/>
  <c r="F159" i="398" s="1"/>
  <c r="F160" i="398" a="1"/>
  <c r="F160" i="398" s="1"/>
  <c r="F40" i="405" a="1"/>
  <c r="F40" i="405" s="1"/>
  <c r="F41" i="405" a="1"/>
  <c r="F41" i="405" s="1"/>
  <c r="F42" i="405" a="1"/>
  <c r="F42" i="405" s="1"/>
  <c r="F52" i="405" a="1"/>
  <c r="F52" i="405" s="1"/>
  <c r="F89" i="405" a="1"/>
  <c r="F89" i="405" s="1"/>
  <c r="F90" i="405" a="1"/>
  <c r="F90" i="405" s="1"/>
  <c r="F126" i="405" a="1"/>
  <c r="F126" i="405" s="1"/>
  <c r="F133" i="405" a="1"/>
  <c r="F133" i="405" s="1"/>
  <c r="F134" i="405" a="1"/>
  <c r="F134" i="405" s="1"/>
  <c r="F33" i="388" a="1"/>
  <c r="F33" i="388" s="1"/>
  <c r="F84" i="388" a="1"/>
  <c r="F84" i="388" s="1"/>
  <c r="F105" i="388" a="1"/>
  <c r="F105" i="388" s="1"/>
  <c r="F109" i="388" a="1"/>
  <c r="F109" i="388" s="1"/>
  <c r="F122" i="388" a="1"/>
  <c r="F122" i="388" s="1"/>
  <c r="E15" i="386" a="1"/>
  <c r="E15" i="386"/>
  <c r="I31" i="386" a="1"/>
  <c r="I31" i="386" s="1"/>
  <c r="A12" i="354"/>
  <c r="A13" i="354"/>
  <c r="A26" i="354"/>
  <c r="A27" i="354"/>
  <c r="A40" i="354"/>
  <c r="A41" i="354" s="1"/>
  <c r="A54" i="354"/>
  <c r="A55" i="354"/>
  <c r="A68" i="354"/>
  <c r="A69" i="354"/>
  <c r="A82" i="354"/>
  <c r="A83" i="354" s="1"/>
  <c r="E8" i="353" a="1"/>
  <c r="E8" i="353" s="1"/>
  <c r="E9" i="353" a="1"/>
  <c r="E9" i="353" s="1"/>
  <c r="G11" i="345" a="1"/>
  <c r="G11" i="345" s="1"/>
  <c r="D7" i="407"/>
  <c r="D162" i="407" a="1"/>
  <c r="D162" i="407"/>
  <c r="F145" i="407" a="1"/>
  <c r="F145" i="407" s="1"/>
  <c r="F144" i="407" s="1"/>
  <c r="F13" i="392" a="1"/>
  <c r="F13" i="392" s="1"/>
  <c r="G13" i="392" s="1"/>
  <c r="F14" i="392" a="1"/>
  <c r="F14" i="392" s="1"/>
  <c r="G14" i="392" s="1"/>
  <c r="F22" i="392" a="1"/>
  <c r="F22" i="392" s="1"/>
  <c r="F30" i="392" a="1"/>
  <c r="F30" i="392" s="1"/>
  <c r="F33" i="392" a="1"/>
  <c r="F33" i="392" s="1"/>
  <c r="F34" i="392" a="1"/>
  <c r="F34" i="392" s="1"/>
  <c r="F39" i="392" a="1"/>
  <c r="F39" i="392" s="1"/>
  <c r="F40" i="392" a="1"/>
  <c r="F40" i="392" s="1"/>
  <c r="G40" i="392" s="1"/>
  <c r="F44" i="392" a="1"/>
  <c r="F44" i="392" s="1"/>
  <c r="G44" i="392" s="1"/>
  <c r="F62" i="392" a="1"/>
  <c r="F62" i="392" s="1"/>
  <c r="F72" i="392" a="1"/>
  <c r="F72" i="392" s="1"/>
  <c r="F89" i="392" a="1"/>
  <c r="F89" i="392" s="1"/>
  <c r="F106" i="392" a="1"/>
  <c r="F106" i="392" s="1"/>
  <c r="G106" i="392" s="1"/>
  <c r="F111" i="392" a="1"/>
  <c r="F111" i="392" s="1"/>
  <c r="F127" i="392" a="1"/>
  <c r="F127" i="392" s="1"/>
  <c r="F132" i="392" a="1"/>
  <c r="F132" i="392" s="1"/>
  <c r="F141" i="392" a="1"/>
  <c r="F141" i="392" s="1"/>
  <c r="F13" i="395" a="1"/>
  <c r="F13" i="395" s="1"/>
  <c r="F14" i="395" a="1"/>
  <c r="F14" i="395" s="1"/>
  <c r="G14" i="395" s="1"/>
  <c r="F23" i="395" a="1"/>
  <c r="F23" i="395" s="1"/>
  <c r="F35" i="395" a="1"/>
  <c r="F35" i="395" s="1"/>
  <c r="G35" i="395" s="1"/>
  <c r="F54" i="395" a="1"/>
  <c r="F54" i="395" s="1"/>
  <c r="F56" i="395" a="1"/>
  <c r="F56" i="395" s="1"/>
  <c r="F65" i="395" a="1"/>
  <c r="F65" i="395" s="1"/>
  <c r="F70" i="395" a="1"/>
  <c r="F70" i="395" s="1"/>
  <c r="F88" i="395" a="1"/>
  <c r="F88" i="395" s="1"/>
  <c r="F118" i="395" a="1"/>
  <c r="F118" i="395" s="1"/>
  <c r="F143" i="395" a="1"/>
  <c r="F143" i="395" s="1"/>
  <c r="E143" i="395" s="1"/>
  <c r="F145" i="395" a="1"/>
  <c r="F145" i="395" s="1"/>
  <c r="F144" i="395" s="1"/>
  <c r="F159" i="395" a="1"/>
  <c r="F159" i="395" s="1"/>
  <c r="G159" i="395" s="1"/>
  <c r="F161" i="395" a="1"/>
  <c r="F161" i="395" s="1"/>
  <c r="F44" i="397" a="1"/>
  <c r="F44" i="397" s="1"/>
  <c r="G44" i="397" s="1"/>
  <c r="D54" i="397" a="1"/>
  <c r="D54" i="397" s="1"/>
  <c r="I54" i="397" s="1"/>
  <c r="F59" i="397" a="1"/>
  <c r="F59" i="397" s="1"/>
  <c r="F60" i="397" a="1"/>
  <c r="F60" i="397" s="1"/>
  <c r="D97" i="397" a="1"/>
  <c r="D97" i="397" s="1"/>
  <c r="I97" i="397" s="1"/>
  <c r="F122" i="397" a="1"/>
  <c r="F122" i="397" s="1"/>
  <c r="F116" i="392" a="1"/>
  <c r="F116" i="392" s="1"/>
  <c r="F123" i="392" a="1"/>
  <c r="F123" i="392" s="1"/>
  <c r="G123" i="392" s="1"/>
  <c r="H123" i="392" s="1"/>
  <c r="F128" i="392" a="1"/>
  <c r="F128" i="392" s="1"/>
  <c r="G128" i="392" s="1"/>
  <c r="F156" i="392" a="1"/>
  <c r="F156" i="392" s="1"/>
  <c r="F162" i="392" a="1"/>
  <c r="F162" i="392" s="1"/>
  <c r="G162" i="392" s="1"/>
  <c r="F100" i="395" a="1"/>
  <c r="F100" i="395" s="1"/>
  <c r="G100" i="395" s="1"/>
  <c r="H100" i="395" s="1"/>
  <c r="F128" i="395" a="1"/>
  <c r="F128" i="395" s="1"/>
  <c r="F141" i="395" a="1"/>
  <c r="F141" i="395" s="1"/>
  <c r="F175" i="395" a="1"/>
  <c r="F175" i="395" s="1"/>
  <c r="F177" i="395" s="1"/>
  <c r="F108" i="397" a="1"/>
  <c r="F108" i="397" s="1"/>
  <c r="G108" i="397" s="1"/>
  <c r="H108" i="397" s="1"/>
  <c r="G13" i="345" a="1"/>
  <c r="G13" i="345" s="1"/>
  <c r="F16" i="407" a="1"/>
  <c r="F16" i="407" s="1"/>
  <c r="F30" i="407" a="1"/>
  <c r="F30" i="407" s="1"/>
  <c r="F31" i="407" a="1"/>
  <c r="F31" i="407" s="1"/>
  <c r="G31" i="407" s="1"/>
  <c r="F52" i="407" a="1"/>
  <c r="F52" i="407" s="1"/>
  <c r="F57" i="407" a="1"/>
  <c r="F57" i="407" s="1"/>
  <c r="G57" i="407" s="1"/>
  <c r="F62" i="407" a="1"/>
  <c r="F62" i="407" s="1"/>
  <c r="F67" i="407" a="1"/>
  <c r="F67" i="407" s="1"/>
  <c r="F68" i="407" a="1"/>
  <c r="F68" i="407" s="1"/>
  <c r="F72" i="407" a="1"/>
  <c r="F72" i="407" s="1"/>
  <c r="F80" i="407" a="1"/>
  <c r="F80" i="407" s="1"/>
  <c r="F88" i="407" a="1"/>
  <c r="F88" i="407" s="1"/>
  <c r="F96" i="407" a="1"/>
  <c r="F96" i="407" s="1"/>
  <c r="F99" i="407" a="1"/>
  <c r="F99" i="407" s="1"/>
  <c r="G99" i="407" s="1"/>
  <c r="F100" i="407" a="1"/>
  <c r="F100" i="407" s="1"/>
  <c r="G100" i="407" s="1"/>
  <c r="F103" i="407" a="1"/>
  <c r="F103" i="407" s="1"/>
  <c r="G103" i="407" s="1"/>
  <c r="F104" i="407" a="1"/>
  <c r="F104" i="407" s="1"/>
  <c r="G104" i="407" s="1"/>
  <c r="F107" i="407" a="1"/>
  <c r="F107" i="407" s="1"/>
  <c r="F108" i="407" a="1"/>
  <c r="F108" i="407" s="1"/>
  <c r="F111" i="407" a="1"/>
  <c r="F111" i="407" s="1"/>
  <c r="F112" i="407" a="1"/>
  <c r="F112" i="407" s="1"/>
  <c r="F127" i="407" a="1"/>
  <c r="F127" i="407" s="1"/>
  <c r="G127" i="407" s="1"/>
  <c r="F128" i="407" a="1"/>
  <c r="F128" i="407" s="1"/>
  <c r="G128" i="407" s="1"/>
  <c r="F131" i="407" a="1"/>
  <c r="F131" i="407" s="1"/>
  <c r="F132" i="407" a="1"/>
  <c r="F132" i="407" s="1"/>
  <c r="F135" i="407" a="1"/>
  <c r="F135" i="407" s="1"/>
  <c r="F136" i="407" a="1"/>
  <c r="F136" i="407" s="1"/>
  <c r="F163" i="407" a="1"/>
  <c r="F163" i="407" s="1"/>
  <c r="D8" i="354" a="1"/>
  <c r="D8" i="354" s="1"/>
  <c r="D12" i="354" s="1"/>
  <c r="D13" i="354" s="1"/>
  <c r="C11" i="354" a="1"/>
  <c r="C11" i="354"/>
  <c r="D17" i="354" a="1"/>
  <c r="D17" i="354" s="1"/>
  <c r="D19" i="354" s="1"/>
  <c r="D22" i="354" a="1"/>
  <c r="D22" i="354" s="1"/>
  <c r="D26" i="354" s="1"/>
  <c r="C25" i="354" a="1"/>
  <c r="C25" i="354" s="1"/>
  <c r="D31" i="354" a="1"/>
  <c r="D31" i="354" s="1"/>
  <c r="D36" i="354" a="1"/>
  <c r="D36" i="354" s="1"/>
  <c r="D40" i="354" s="1"/>
  <c r="C39" i="354" a="1"/>
  <c r="C39" i="354"/>
  <c r="D45" i="354" a="1"/>
  <c r="D45" i="354"/>
  <c r="D47" i="354" s="1"/>
  <c r="D50" i="354" a="1"/>
  <c r="D50" i="354" s="1"/>
  <c r="D54" i="354" s="1"/>
  <c r="C53" i="354" a="1"/>
  <c r="C53" i="354"/>
  <c r="D59" i="354" a="1"/>
  <c r="D59" i="354" s="1"/>
  <c r="D64" i="354" a="1"/>
  <c r="D64" i="354" s="1"/>
  <c r="C67" i="354" a="1"/>
  <c r="C67" i="354" s="1"/>
  <c r="D73" i="354" a="1"/>
  <c r="D73" i="354" s="1"/>
  <c r="D78" i="354" a="1"/>
  <c r="D78" i="354" s="1"/>
  <c r="D82" i="354" s="1"/>
  <c r="C81" i="354" a="1"/>
  <c r="C81" i="354"/>
  <c r="D87" i="354" a="1"/>
  <c r="D87" i="354"/>
  <c r="C9" i="254" a="1"/>
  <c r="C9" i="254" s="1"/>
  <c r="D32" i="254" a="1"/>
  <c r="D32" i="254"/>
  <c r="C37" i="254" a="1"/>
  <c r="C37" i="254" s="1"/>
  <c r="C50" i="254" a="1"/>
  <c r="C50" i="254" s="1"/>
  <c r="A54" i="254"/>
  <c r="A55" i="254" s="1"/>
  <c r="C65" i="254" a="1"/>
  <c r="C65" i="254" s="1"/>
  <c r="C79" i="254" a="1"/>
  <c r="C79" i="254"/>
  <c r="C9" i="324" a="1"/>
  <c r="C9" i="324" s="1"/>
  <c r="D17" i="324" a="1"/>
  <c r="D17" i="324" s="1"/>
  <c r="D32" i="324" a="1"/>
  <c r="D32" i="324"/>
  <c r="D36" i="324" a="1"/>
  <c r="D36" i="324" s="1"/>
  <c r="C50" i="324" a="1"/>
  <c r="C50" i="324" s="1"/>
  <c r="C58" i="324" a="1"/>
  <c r="C58" i="324"/>
  <c r="D65" i="324" a="1"/>
  <c r="D65" i="324" s="1"/>
  <c r="C67" i="324" a="1"/>
  <c r="C67" i="324" s="1"/>
  <c r="C72" i="324" a="1"/>
  <c r="C72" i="324"/>
  <c r="A82" i="324"/>
  <c r="A83" i="324" s="1"/>
  <c r="D87" i="324" a="1"/>
  <c r="D87" i="324" s="1"/>
  <c r="D88" i="324" a="1"/>
  <c r="D88" i="324"/>
  <c r="C10" i="339" a="1"/>
  <c r="C10" i="339" s="1"/>
  <c r="D17" i="339" a="1"/>
  <c r="D17" i="339"/>
  <c r="C24" i="339" a="1"/>
  <c r="C24" i="339" s="1"/>
  <c r="D31" i="339" a="1"/>
  <c r="D31" i="339" s="1"/>
  <c r="D50" i="339" a="1"/>
  <c r="D50" i="339" s="1"/>
  <c r="D54" i="339" s="1"/>
  <c r="D71" i="339" a="1"/>
  <c r="D71" i="339" s="1"/>
  <c r="D74" i="339" a="1"/>
  <c r="D74" i="339" s="1"/>
  <c r="C79" i="339" a="1"/>
  <c r="C79" i="339" s="1"/>
  <c r="C87" i="339" a="1"/>
  <c r="C87" i="339"/>
  <c r="F15" i="353" a="1"/>
  <c r="F15" i="353" s="1"/>
  <c r="E16" i="353" a="1"/>
  <c r="E16" i="353" s="1"/>
  <c r="E17" i="353" a="1"/>
  <c r="E17" i="353" s="1"/>
  <c r="G7" i="345" a="1"/>
  <c r="G7" i="345" s="1"/>
  <c r="G15" i="345" a="1"/>
  <c r="G15" i="345" s="1"/>
  <c r="F22" i="407" a="1"/>
  <c r="F22" i="407" s="1"/>
  <c r="F23" i="407" a="1"/>
  <c r="F23" i="407" s="1"/>
  <c r="F26" i="407" a="1"/>
  <c r="F26" i="407" s="1"/>
  <c r="F6" i="392"/>
  <c r="F54" i="392" a="1"/>
  <c r="F54" i="392" s="1"/>
  <c r="G54" i="392" s="1"/>
  <c r="F56" i="392" a="1"/>
  <c r="F56" i="392" s="1"/>
  <c r="G56" i="392" s="1"/>
  <c r="F68" i="392" a="1"/>
  <c r="F68" i="392" s="1"/>
  <c r="F74" i="392" a="1"/>
  <c r="F74" i="392" s="1"/>
  <c r="G74" i="392" s="1"/>
  <c r="F94" i="392" a="1"/>
  <c r="F94" i="392" s="1"/>
  <c r="G94" i="392" s="1"/>
  <c r="F103" i="392" a="1"/>
  <c r="F103" i="392" s="1"/>
  <c r="F117" i="392" a="1"/>
  <c r="F117" i="392" s="1"/>
  <c r="G117" i="392" s="1"/>
  <c r="F119" i="392" a="1"/>
  <c r="F119" i="392" s="1"/>
  <c r="F124" i="392" a="1"/>
  <c r="F124" i="392" s="1"/>
  <c r="F135" i="392" a="1"/>
  <c r="F135" i="392" s="1"/>
  <c r="F143" i="392" a="1"/>
  <c r="F143" i="392" s="1"/>
  <c r="E143" i="392" s="1"/>
  <c r="F157" i="392" a="1"/>
  <c r="F157" i="392" s="1"/>
  <c r="F159" i="392" a="1"/>
  <c r="F159" i="392" s="1"/>
  <c r="F6" i="395"/>
  <c r="F20" i="395" a="1"/>
  <c r="F20" i="395" s="1"/>
  <c r="F31" i="395" a="1"/>
  <c r="F31" i="395" s="1"/>
  <c r="G31" i="395" s="1"/>
  <c r="F38" i="395" a="1"/>
  <c r="F38" i="395" s="1"/>
  <c r="G38" i="395" s="1"/>
  <c r="F42" i="395" a="1"/>
  <c r="F42" i="395" s="1"/>
  <c r="G42" i="395" s="1"/>
  <c r="F60" i="395" a="1"/>
  <c r="F60" i="395" s="1"/>
  <c r="F62" i="395" a="1"/>
  <c r="F62" i="395" s="1"/>
  <c r="F81" i="395" a="1"/>
  <c r="F81" i="395" s="1"/>
  <c r="F85" i="395" a="1"/>
  <c r="F85" i="395" s="1"/>
  <c r="F93" i="395" a="1"/>
  <c r="F93" i="395" s="1"/>
  <c r="F95" i="395" a="1"/>
  <c r="F95" i="395" s="1"/>
  <c r="G95" i="395" s="1"/>
  <c r="F97" i="395" a="1"/>
  <c r="F97" i="395" s="1"/>
  <c r="F99" i="395" a="1"/>
  <c r="F99" i="395" s="1"/>
  <c r="F101" i="395" a="1"/>
  <c r="F101" i="395" s="1"/>
  <c r="G101" i="395" s="1"/>
  <c r="F111" i="395" a="1"/>
  <c r="F111" i="395" s="1"/>
  <c r="F114" i="395" a="1"/>
  <c r="F114" i="395" s="1"/>
  <c r="G114" i="395" s="1"/>
  <c r="F124" i="395" a="1"/>
  <c r="F124" i="395" s="1"/>
  <c r="F127" i="395" a="1"/>
  <c r="F127" i="395" s="1"/>
  <c r="G127" i="395" s="1"/>
  <c r="F129" i="395" a="1"/>
  <c r="F129" i="395" s="1"/>
  <c r="G129" i="395" s="1"/>
  <c r="F155" i="395" a="1"/>
  <c r="F155" i="395" s="1"/>
  <c r="F81" i="396" a="1"/>
  <c r="F81" i="396" s="1"/>
  <c r="F89" i="396" a="1"/>
  <c r="F89" i="396" s="1"/>
  <c r="D143" i="397" a="1"/>
  <c r="D143" i="397" s="1"/>
  <c r="I143" i="397" s="1"/>
  <c r="D118" i="397" a="1"/>
  <c r="D118" i="397"/>
  <c r="I118" i="397" s="1"/>
  <c r="D113" i="397" a="1"/>
  <c r="D113" i="397" s="1"/>
  <c r="I113" i="397" s="1"/>
  <c r="D100" i="397" a="1"/>
  <c r="D100" i="397"/>
  <c r="I100" i="397"/>
  <c r="D133" i="397" a="1"/>
  <c r="D133" i="397"/>
  <c r="I133" i="397"/>
  <c r="D131" i="397" a="1"/>
  <c r="D131" i="397"/>
  <c r="I131" i="397" s="1"/>
  <c r="D122" i="397" a="1"/>
  <c r="D122" i="397"/>
  <c r="I122" i="397"/>
  <c r="D116" i="397" a="1"/>
  <c r="D116" i="397" s="1"/>
  <c r="I116" i="397" s="1"/>
  <c r="D81" i="397" a="1"/>
  <c r="D81" i="397" s="1"/>
  <c r="I81" i="397" s="1"/>
  <c r="D59" i="397" a="1"/>
  <c r="D59" i="397" s="1"/>
  <c r="I59" i="397" s="1"/>
  <c r="D57" i="397" a="1"/>
  <c r="D57" i="397" s="1"/>
  <c r="I57" i="397" s="1"/>
  <c r="D33" i="397" a="1"/>
  <c r="D33" i="397" s="1"/>
  <c r="I33" i="397" s="1"/>
  <c r="D140" i="397" a="1"/>
  <c r="D140" i="397" s="1"/>
  <c r="I140" i="397" s="1"/>
  <c r="D136" i="397" a="1"/>
  <c r="D136" i="397" s="1"/>
  <c r="I136" i="397" s="1"/>
  <c r="D127" i="397" a="1"/>
  <c r="D127" i="397" s="1"/>
  <c r="I127" i="397" s="1"/>
  <c r="D125" i="397" a="1"/>
  <c r="D125" i="397"/>
  <c r="I125" i="397"/>
  <c r="D90" i="397" a="1"/>
  <c r="D90" i="397"/>
  <c r="I90" i="397" s="1"/>
  <c r="D88" i="397" a="1"/>
  <c r="D88" i="397" s="1"/>
  <c r="I88" i="397" s="1"/>
  <c r="D86" i="397" a="1"/>
  <c r="D86" i="397" s="1"/>
  <c r="I86" i="397" s="1"/>
  <c r="D30" i="397" a="1"/>
  <c r="D30" i="397" s="1"/>
  <c r="I30" i="397" s="1"/>
  <c r="D35" i="397" a="1"/>
  <c r="D35" i="397" s="1"/>
  <c r="I35" i="397" s="1"/>
  <c r="F38" i="397" a="1"/>
  <c r="F38" i="397" s="1"/>
  <c r="F40" i="397" a="1"/>
  <c r="F40" i="397" s="1"/>
  <c r="G40" i="397" s="1"/>
  <c r="D68" i="397" a="1"/>
  <c r="D68" i="397" s="1"/>
  <c r="F72" i="397" a="1"/>
  <c r="F72" i="397" s="1"/>
  <c r="F111" i="397" a="1"/>
  <c r="F111" i="397" s="1"/>
  <c r="F112" i="397" a="1"/>
  <c r="F112" i="397" s="1"/>
  <c r="F116" i="397" a="1"/>
  <c r="F116" i="397" s="1"/>
  <c r="G116" i="397" s="1"/>
  <c r="F119" i="397" a="1"/>
  <c r="F119" i="397" s="1"/>
  <c r="F120" i="397" a="1"/>
  <c r="F120" i="397" s="1"/>
  <c r="F128" i="397" a="1"/>
  <c r="F128" i="397" s="1"/>
  <c r="F157" i="397" a="1"/>
  <c r="F157" i="397" s="1"/>
  <c r="D67" i="324" a="1"/>
  <c r="D67" i="324"/>
  <c r="F11" i="353" a="1"/>
  <c r="F11" i="353" s="1"/>
  <c r="E12" i="353" a="1"/>
  <c r="E12" i="353" s="1"/>
  <c r="E13" i="353" a="1"/>
  <c r="E13" i="353" s="1"/>
  <c r="G9" i="345" a="1"/>
  <c r="G9" i="345" s="1"/>
  <c r="G17" i="345" a="1"/>
  <c r="G17" i="345" s="1"/>
  <c r="F6" i="407"/>
  <c r="F12" i="407" a="1"/>
  <c r="F12" i="407" s="1"/>
  <c r="G12" i="407" s="1"/>
  <c r="F13" i="407" a="1"/>
  <c r="F13" i="407" s="1"/>
  <c r="G13" i="407" s="1"/>
  <c r="F18" i="407" a="1"/>
  <c r="F18" i="407" s="1"/>
  <c r="F34" i="407" a="1"/>
  <c r="F34" i="407" s="1"/>
  <c r="G34" i="407" s="1"/>
  <c r="F35" i="407" a="1"/>
  <c r="F35" i="407" s="1"/>
  <c r="F37" i="407" a="1"/>
  <c r="F37" i="407" s="1"/>
  <c r="F38" i="407" a="1"/>
  <c r="F38" i="407" s="1"/>
  <c r="F41" i="407" a="1"/>
  <c r="F41" i="407" s="1"/>
  <c r="F42" i="407" a="1"/>
  <c r="F42" i="407" s="1"/>
  <c r="F45" i="407" a="1"/>
  <c r="F45" i="407" s="1"/>
  <c r="G45" i="407" s="1"/>
  <c r="F54" i="407" a="1"/>
  <c r="F54" i="407" s="1"/>
  <c r="F55" i="407" a="1"/>
  <c r="F55" i="407" s="1"/>
  <c r="F59" i="407" a="1"/>
  <c r="F59" i="407" s="1"/>
  <c r="F60" i="407" a="1"/>
  <c r="F60" i="407" s="1"/>
  <c r="F64" i="407" a="1"/>
  <c r="F64" i="407" s="1"/>
  <c r="F65" i="407" a="1"/>
  <c r="F65" i="407" s="1"/>
  <c r="F70" i="407" a="1"/>
  <c r="F70" i="407" s="1"/>
  <c r="F74" i="407" a="1"/>
  <c r="F74" i="407" s="1"/>
  <c r="G74" i="407" s="1"/>
  <c r="F82" i="407" a="1"/>
  <c r="F82" i="407" s="1"/>
  <c r="G82" i="407" s="1"/>
  <c r="F85" i="407" a="1"/>
  <c r="F85" i="407" s="1"/>
  <c r="G85" i="407" s="1"/>
  <c r="F86" i="407" a="1"/>
  <c r="F86" i="407" s="1"/>
  <c r="F90" i="407" a="1"/>
  <c r="F90" i="407" s="1"/>
  <c r="G90" i="407" s="1"/>
  <c r="F93" i="407" a="1"/>
  <c r="F93" i="407" s="1"/>
  <c r="G93" i="407" s="1"/>
  <c r="F94" i="407" a="1"/>
  <c r="F94" i="407" s="1"/>
  <c r="F114" i="407" a="1"/>
  <c r="F114" i="407" s="1"/>
  <c r="G114" i="407" s="1"/>
  <c r="H114" i="407" s="1"/>
  <c r="F115" i="407" a="1"/>
  <c r="F115" i="407" s="1"/>
  <c r="F118" i="407" a="1"/>
  <c r="F118" i="407" s="1"/>
  <c r="F121" i="407" a="1"/>
  <c r="F121" i="407" s="1"/>
  <c r="G121" i="407" s="1"/>
  <c r="F124" i="407" a="1"/>
  <c r="F124" i="407" s="1"/>
  <c r="F125" i="407" a="1"/>
  <c r="F125" i="407" s="1"/>
  <c r="F141" i="407" a="1"/>
  <c r="F141" i="407" s="1"/>
  <c r="F155" i="407" a="1"/>
  <c r="F155" i="407" s="1"/>
  <c r="F158" i="407" a="1"/>
  <c r="F158" i="407" s="1"/>
  <c r="F161" i="407" a="1"/>
  <c r="F161" i="407" s="1"/>
  <c r="G161" i="407" s="1"/>
  <c r="D7" i="392"/>
  <c r="D28" i="392" s="1" a="1"/>
  <c r="D28" i="392" s="1"/>
  <c r="F17" i="392" a="1"/>
  <c r="F17" i="392" s="1"/>
  <c r="F18" i="392" a="1"/>
  <c r="F18" i="392" s="1"/>
  <c r="F42" i="392" a="1"/>
  <c r="F42" i="392" s="1"/>
  <c r="F43" i="392" a="1"/>
  <c r="F43" i="392" s="1"/>
  <c r="G43" i="392" s="1"/>
  <c r="F45" i="392" a="1"/>
  <c r="F45" i="392" s="1"/>
  <c r="G45" i="392" s="1"/>
  <c r="F64" i="392" a="1"/>
  <c r="F64" i="392" s="1"/>
  <c r="F91" i="392" a="1"/>
  <c r="F91" i="392" s="1"/>
  <c r="G91" i="392" s="1"/>
  <c r="F99" i="392" a="1"/>
  <c r="F99" i="392" s="1"/>
  <c r="F110" i="392" a="1"/>
  <c r="F110" i="392" s="1"/>
  <c r="F113" i="392" a="1"/>
  <c r="F113" i="392" s="1"/>
  <c r="G113" i="392" s="1"/>
  <c r="F120" i="392" a="1"/>
  <c r="F120" i="392" s="1"/>
  <c r="F131" i="392" a="1"/>
  <c r="F131" i="392" s="1"/>
  <c r="G131" i="392" s="1"/>
  <c r="F136" i="392" a="1"/>
  <c r="F136" i="392" s="1"/>
  <c r="F160" i="392" a="1"/>
  <c r="F160" i="392" s="1"/>
  <c r="G160" i="392" s="1"/>
  <c r="D7" i="395"/>
  <c r="F39" i="395" a="1"/>
  <c r="F39" i="395" s="1"/>
  <c r="G39" i="395" s="1"/>
  <c r="F43" i="395" a="1"/>
  <c r="F43" i="395" s="1"/>
  <c r="F45" i="395" a="1"/>
  <c r="F45" i="395" s="1"/>
  <c r="F53" i="395" a="1"/>
  <c r="F53" i="395" s="1"/>
  <c r="F64" i="395" a="1"/>
  <c r="F64" i="395" s="1"/>
  <c r="G64" i="395" s="1"/>
  <c r="F68" i="395" a="1"/>
  <c r="F68" i="395" s="1"/>
  <c r="G68" i="395" s="1"/>
  <c r="F87" i="395" a="1"/>
  <c r="F87" i="395" s="1"/>
  <c r="G87" i="395" s="1"/>
  <c r="F89" i="395" a="1"/>
  <c r="F89" i="395" s="1"/>
  <c r="G89" i="395" s="1"/>
  <c r="F92" i="395" a="1"/>
  <c r="F92" i="395" s="1"/>
  <c r="F94" i="395" a="1"/>
  <c r="F94" i="395" s="1"/>
  <c r="F104" i="395" a="1"/>
  <c r="F104" i="395" s="1"/>
  <c r="G104" i="395" s="1"/>
  <c r="F113" i="395" a="1"/>
  <c r="F113" i="395" s="1"/>
  <c r="G113" i="395" s="1"/>
  <c r="F115" i="395" a="1"/>
  <c r="F115" i="395" s="1"/>
  <c r="F132" i="395" a="1"/>
  <c r="F132" i="395" s="1"/>
  <c r="G132" i="395" s="1"/>
  <c r="F156" i="395" a="1"/>
  <c r="F156" i="395" s="1"/>
  <c r="G156" i="395" s="1"/>
  <c r="F162" i="395" a="1"/>
  <c r="F162" i="395" s="1"/>
  <c r="F59" i="396" a="1"/>
  <c r="F59" i="396" s="1"/>
  <c r="F65" i="396" a="1"/>
  <c r="F65" i="396" s="1"/>
  <c r="G65" i="396" s="1"/>
  <c r="F163" i="397" a="1"/>
  <c r="F163" i="397" s="1"/>
  <c r="G163" i="397" s="1"/>
  <c r="F158" i="397" a="1"/>
  <c r="F158" i="397" s="1"/>
  <c r="F136" i="397" a="1"/>
  <c r="F136" i="397" s="1"/>
  <c r="F134" i="397" a="1"/>
  <c r="F134" i="397" s="1"/>
  <c r="F130" i="397" a="1"/>
  <c r="F130" i="397" s="1"/>
  <c r="F127" i="397" a="1"/>
  <c r="F127" i="397" s="1"/>
  <c r="F125" i="397" a="1"/>
  <c r="F125" i="397" s="1"/>
  <c r="F121" i="397" a="1"/>
  <c r="F121" i="397" s="1"/>
  <c r="G121" i="397" s="1"/>
  <c r="F115" i="397" a="1"/>
  <c r="F115" i="397" s="1"/>
  <c r="G115" i="397" s="1"/>
  <c r="F89" i="397" a="1"/>
  <c r="F89" i="397" s="1"/>
  <c r="F88" i="397" a="1"/>
  <c r="F88" i="397" s="1"/>
  <c r="F85" i="397" a="1"/>
  <c r="F85" i="397" s="1"/>
  <c r="F84" i="397" a="1"/>
  <c r="F84" i="397" s="1"/>
  <c r="G84" i="397" s="1"/>
  <c r="H84" i="397" s="1"/>
  <c r="F80" i="397" a="1"/>
  <c r="F80" i="397" s="1"/>
  <c r="F79" i="397" a="1"/>
  <c r="F79" i="397" s="1"/>
  <c r="G79" i="397" s="1"/>
  <c r="F74" i="397" a="1"/>
  <c r="F74" i="397" s="1"/>
  <c r="F65" i="397" a="1"/>
  <c r="F65" i="397" s="1"/>
  <c r="G65" i="397" s="1"/>
  <c r="F64" i="397" a="1"/>
  <c r="F64" i="397" s="1"/>
  <c r="F62" i="397" a="1"/>
  <c r="F62" i="397" s="1"/>
  <c r="F56" i="397" a="1"/>
  <c r="F56" i="397" s="1"/>
  <c r="F42" i="397" a="1"/>
  <c r="F42" i="397" s="1"/>
  <c r="F162" i="397" a="1"/>
  <c r="F162" i="397" s="1"/>
  <c r="F145" i="397" a="1"/>
  <c r="F145" i="397" s="1"/>
  <c r="F135" i="397" a="1"/>
  <c r="F135" i="397" s="1"/>
  <c r="F126" i="397" a="1"/>
  <c r="F126" i="397" s="1"/>
  <c r="F124" i="397" a="1"/>
  <c r="F124" i="397" s="1"/>
  <c r="G124" i="397" s="1"/>
  <c r="F105" i="397" a="1"/>
  <c r="F105" i="397" s="1"/>
  <c r="G105" i="397" s="1"/>
  <c r="F104" i="397" a="1"/>
  <c r="F104" i="397" s="1"/>
  <c r="G104" i="397" s="1"/>
  <c r="F101" i="397" a="1"/>
  <c r="F101" i="397" s="1"/>
  <c r="G101" i="397" s="1"/>
  <c r="H101" i="397" s="1"/>
  <c r="F97" i="397" a="1"/>
  <c r="F97" i="397" s="1"/>
  <c r="F93" i="397" a="1"/>
  <c r="F93" i="397" s="1"/>
  <c r="G93" i="397" s="1"/>
  <c r="F91" i="397" a="1"/>
  <c r="F91" i="397" s="1"/>
  <c r="F87" i="397" a="1"/>
  <c r="F87" i="397" s="1"/>
  <c r="F83" i="397" a="1"/>
  <c r="F83" i="397" s="1"/>
  <c r="F68" i="397" a="1"/>
  <c r="F68" i="397" s="1"/>
  <c r="G68" i="397" s="1"/>
  <c r="F63" i="397" a="1"/>
  <c r="F63" i="397" s="1"/>
  <c r="F54" i="397" a="1"/>
  <c r="F54" i="397" s="1"/>
  <c r="G54" i="397" s="1"/>
  <c r="F52" i="397" a="1"/>
  <c r="F52" i="397" s="1"/>
  <c r="G52" i="397" s="1"/>
  <c r="F45" i="397" a="1"/>
  <c r="F45" i="397" s="1"/>
  <c r="F43" i="397" a="1"/>
  <c r="F43" i="397" s="1"/>
  <c r="F34" i="397" a="1"/>
  <c r="F34" i="397" s="1"/>
  <c r="F161" i="397" a="1"/>
  <c r="F161" i="397" s="1"/>
  <c r="F160" i="397" a="1"/>
  <c r="F160" i="397" s="1"/>
  <c r="F155" i="397" a="1"/>
  <c r="F155" i="397" s="1"/>
  <c r="G155" i="397" s="1"/>
  <c r="F141" i="397" a="1"/>
  <c r="F141" i="397" s="1"/>
  <c r="G141" i="397" s="1"/>
  <c r="F117" i="397" a="1"/>
  <c r="F117" i="397" s="1"/>
  <c r="F113" i="397" a="1"/>
  <c r="F113" i="397" s="1"/>
  <c r="G113" i="397" s="1"/>
  <c r="F109" i="397" a="1"/>
  <c r="F109" i="397" s="1"/>
  <c r="F107" i="397" a="1"/>
  <c r="F107" i="397" s="1"/>
  <c r="G107" i="397" s="1"/>
  <c r="H107" i="397" s="1"/>
  <c r="F103" i="397" a="1"/>
  <c r="F103" i="397" s="1"/>
  <c r="F100" i="397" a="1"/>
  <c r="F100" i="397" s="1"/>
  <c r="F96" i="397" a="1"/>
  <c r="F96" i="397" s="1"/>
  <c r="G96" i="397" s="1"/>
  <c r="F95" i="397" a="1"/>
  <c r="F95" i="397" s="1"/>
  <c r="F92" i="397" a="1"/>
  <c r="F92" i="397" s="1"/>
  <c r="G92" i="397" s="1"/>
  <c r="H92" i="397" s="1"/>
  <c r="F10" i="397" a="1"/>
  <c r="F10" i="397" s="1"/>
  <c r="F13" i="397" a="1"/>
  <c r="F13" i="397" s="1"/>
  <c r="F14" i="397" a="1"/>
  <c r="F14" i="397" s="1"/>
  <c r="F17" i="397" a="1"/>
  <c r="F17" i="397" s="1"/>
  <c r="F18" i="397" a="1"/>
  <c r="F18" i="397" s="1"/>
  <c r="G18" i="397" s="1"/>
  <c r="F26" i="397" a="1"/>
  <c r="F26" i="397" s="1"/>
  <c r="G26" i="397" s="1"/>
  <c r="F31" i="397" a="1"/>
  <c r="F31" i="397" s="1"/>
  <c r="G31" i="397" s="1"/>
  <c r="G29" i="397" s="1"/>
  <c r="D45" i="397" a="1"/>
  <c r="D45" i="397" s="1"/>
  <c r="I45" i="397" s="1"/>
  <c r="F67" i="397" a="1"/>
  <c r="F67" i="397" s="1"/>
  <c r="G67" i="397" s="1"/>
  <c r="F99" i="397" a="1"/>
  <c r="F99" i="397" s="1"/>
  <c r="G99" i="397" s="1"/>
  <c r="D102" i="397" a="1"/>
  <c r="D102" i="397" s="1"/>
  <c r="I102" i="397" s="1"/>
  <c r="D106" i="397" a="1"/>
  <c r="D106" i="397" s="1"/>
  <c r="I106" i="397" s="1"/>
  <c r="F131" i="397" a="1"/>
  <c r="F131" i="397" s="1"/>
  <c r="F132" i="397" a="1"/>
  <c r="F132" i="397" s="1"/>
  <c r="G132" i="397" s="1"/>
  <c r="F142" i="397" a="1"/>
  <c r="F142" i="397" s="1"/>
  <c r="G142" i="397" s="1"/>
  <c r="D162" i="397" a="1"/>
  <c r="D162" i="397" s="1"/>
  <c r="I162" i="397" s="1"/>
  <c r="D59" i="394" a="1"/>
  <c r="D59" i="394" s="1"/>
  <c r="I59" i="394" s="1"/>
  <c r="D71" i="394" a="1"/>
  <c r="D71" i="394"/>
  <c r="D72" i="394" a="1"/>
  <c r="D72" i="394"/>
  <c r="D73" i="394" a="1"/>
  <c r="D73" i="394" s="1"/>
  <c r="I73" i="394" s="1"/>
  <c r="D83" i="394" a="1"/>
  <c r="D83" i="394" s="1"/>
  <c r="I83" i="394" s="1"/>
  <c r="D84" i="394" a="1"/>
  <c r="D84" i="394" s="1"/>
  <c r="I84" i="394" s="1"/>
  <c r="F162" i="398" a="1"/>
  <c r="F162" i="398" s="1"/>
  <c r="F175" i="398" a="1"/>
  <c r="F175" i="398" s="1"/>
  <c r="F163" i="398" a="1"/>
  <c r="F163" i="398" s="1"/>
  <c r="F141" i="398" a="1"/>
  <c r="F141" i="398" s="1"/>
  <c r="F140" i="398" a="1"/>
  <c r="F140" i="398" s="1"/>
  <c r="F136" i="398" a="1"/>
  <c r="F136" i="398" s="1"/>
  <c r="F135" i="398" a="1"/>
  <c r="F135" i="398" s="1"/>
  <c r="G135" i="398" s="1"/>
  <c r="H135" i="398" s="1"/>
  <c r="F132" i="398" a="1"/>
  <c r="F132" i="398" s="1"/>
  <c r="F131" i="398" a="1"/>
  <c r="F131" i="398" s="1"/>
  <c r="F130" i="398" a="1"/>
  <c r="F130" i="398" s="1"/>
  <c r="F117" i="398" a="1"/>
  <c r="F117" i="398" s="1"/>
  <c r="F116" i="398" a="1"/>
  <c r="F116" i="398" s="1"/>
  <c r="F111" i="398" a="1"/>
  <c r="F111" i="398" s="1"/>
  <c r="F101" i="398" a="1"/>
  <c r="F101" i="398" s="1"/>
  <c r="F100" i="398" a="1"/>
  <c r="F100" i="398" s="1"/>
  <c r="F95" i="398" a="1"/>
  <c r="F95" i="398" s="1"/>
  <c r="F90" i="398" a="1"/>
  <c r="F90" i="398" s="1"/>
  <c r="F89" i="398" a="1"/>
  <c r="F89" i="398" s="1"/>
  <c r="F81" i="398" a="1"/>
  <c r="F81" i="398" s="1"/>
  <c r="G81" i="398" s="1"/>
  <c r="F80" i="398" a="1"/>
  <c r="F80" i="398" s="1"/>
  <c r="F61" i="398" a="1"/>
  <c r="F61" i="398" s="1"/>
  <c r="G61" i="398" s="1"/>
  <c r="F60" i="398" a="1"/>
  <c r="F60" i="398" s="1"/>
  <c r="F31" i="398" a="1"/>
  <c r="F31" i="398" s="1"/>
  <c r="F30" i="398" a="1"/>
  <c r="F30" i="398" s="1"/>
  <c r="F20" i="398" a="1"/>
  <c r="F20" i="398" s="1"/>
  <c r="D7" i="398"/>
  <c r="D175" i="398" s="1" a="1"/>
  <c r="D175" i="398" s="1"/>
  <c r="D177" i="398" s="1"/>
  <c r="F12" i="398" a="1"/>
  <c r="F12" i="398" s="1"/>
  <c r="F13" i="398" a="1"/>
  <c r="F13" i="398" s="1"/>
  <c r="G13" i="398" s="1"/>
  <c r="F14" i="398" a="1"/>
  <c r="F14" i="398" s="1"/>
  <c r="F33" i="398" a="1"/>
  <c r="F33" i="398" s="1"/>
  <c r="F34" i="398" a="1"/>
  <c r="F34" i="398" s="1"/>
  <c r="G34" i="398" s="1"/>
  <c r="H34" i="398" s="1"/>
  <c r="F35" i="398" a="1"/>
  <c r="F35" i="398" s="1"/>
  <c r="F37" i="398" a="1"/>
  <c r="F37" i="398" s="1"/>
  <c r="F38" i="398" a="1"/>
  <c r="F38" i="398" s="1"/>
  <c r="F39" i="398" a="1"/>
  <c r="F39" i="398" s="1"/>
  <c r="G39" i="398" s="1"/>
  <c r="H39" i="398" s="1"/>
  <c r="F52" i="398" a="1"/>
  <c r="F52" i="398" s="1"/>
  <c r="F55" i="398" a="1"/>
  <c r="F55" i="398" s="1"/>
  <c r="F66" i="398" a="1"/>
  <c r="F66" i="398" s="1"/>
  <c r="F67" i="398" a="1"/>
  <c r="F67" i="398" s="1"/>
  <c r="F68" i="398" a="1"/>
  <c r="F68" i="398" s="1"/>
  <c r="G68" i="398" s="1"/>
  <c r="F69" i="398" a="1"/>
  <c r="F69" i="398" s="1"/>
  <c r="F70" i="398" a="1"/>
  <c r="F70" i="398" s="1"/>
  <c r="F71" i="398" a="1"/>
  <c r="F71" i="398" s="1"/>
  <c r="F72" i="398" a="1"/>
  <c r="F72" i="398" s="1"/>
  <c r="F91" i="398" a="1"/>
  <c r="F91" i="398" s="1"/>
  <c r="F103" i="398" a="1"/>
  <c r="F103" i="398" s="1"/>
  <c r="F104" i="398" a="1"/>
  <c r="F104" i="398" s="1"/>
  <c r="F105" i="398" a="1"/>
  <c r="F105" i="398" s="1"/>
  <c r="F112" i="398" a="1"/>
  <c r="F112" i="398" s="1"/>
  <c r="F113" i="398" a="1"/>
  <c r="F113" i="398" s="1"/>
  <c r="F137" i="399" a="1"/>
  <c r="F137" i="399" s="1"/>
  <c r="F135" i="399" a="1"/>
  <c r="F135" i="399" s="1"/>
  <c r="F125" i="399" a="1"/>
  <c r="F125" i="399" s="1"/>
  <c r="F88" i="399" a="1"/>
  <c r="F88" i="399" s="1"/>
  <c r="F82" i="399" a="1"/>
  <c r="F82" i="399" s="1"/>
  <c r="F71" i="399" a="1"/>
  <c r="F71" i="399" s="1"/>
  <c r="F62" i="399" a="1"/>
  <c r="F62" i="399" s="1"/>
  <c r="F30" i="399" a="1"/>
  <c r="F30" i="399" s="1"/>
  <c r="F87" i="399" a="1"/>
  <c r="F87" i="399" s="1"/>
  <c r="F79" i="399" a="1"/>
  <c r="F79" i="399" s="1"/>
  <c r="F69" i="399" a="1"/>
  <c r="F69" i="399" s="1"/>
  <c r="F59" i="399" a="1"/>
  <c r="F59" i="399" s="1"/>
  <c r="F57" i="399" a="1"/>
  <c r="F57" i="399" s="1"/>
  <c r="F52" i="399" a="1"/>
  <c r="F52" i="399" s="1"/>
  <c r="G52" i="399" s="1"/>
  <c r="F42" i="399" a="1"/>
  <c r="F42" i="399" s="1"/>
  <c r="F38" i="399" a="1"/>
  <c r="F38" i="399" s="1"/>
  <c r="F26" i="399" a="1"/>
  <c r="F26" i="399" s="1"/>
  <c r="G26" i="399" s="1"/>
  <c r="F13" i="399" a="1"/>
  <c r="F13" i="399" s="1"/>
  <c r="G13" i="399" s="1"/>
  <c r="F6" i="399"/>
  <c r="F12" i="399" a="1"/>
  <c r="F12" i="399" s="1"/>
  <c r="F23" i="399" a="1"/>
  <c r="F23" i="399" s="1"/>
  <c r="F41" i="399" a="1"/>
  <c r="F41" i="399" s="1"/>
  <c r="F54" i="399" a="1"/>
  <c r="F54" i="399" s="1"/>
  <c r="F66" i="399" a="1"/>
  <c r="F66" i="399" s="1"/>
  <c r="F89" i="399" a="1"/>
  <c r="F89" i="399" s="1"/>
  <c r="F98" i="399" a="1"/>
  <c r="F98" i="399" s="1"/>
  <c r="F100" i="399" a="1"/>
  <c r="F100" i="399" s="1"/>
  <c r="F103" i="399" a="1"/>
  <c r="F103" i="399" s="1"/>
  <c r="F106" i="399" a="1"/>
  <c r="F106" i="399" s="1"/>
  <c r="F110" i="399" a="1"/>
  <c r="F110" i="399" s="1"/>
  <c r="F119" i="399" a="1"/>
  <c r="F119" i="399" s="1"/>
  <c r="G119" i="399" s="1"/>
  <c r="D158" i="394" a="1"/>
  <c r="D158" i="394" s="1"/>
  <c r="I158" i="394" s="1"/>
  <c r="D155" i="394" a="1"/>
  <c r="D155" i="394" s="1"/>
  <c r="I155" i="394" s="1"/>
  <c r="D110" i="394" a="1"/>
  <c r="D110" i="394" s="1"/>
  <c r="I110" i="394" s="1"/>
  <c r="D108" i="394" a="1"/>
  <c r="D108" i="394"/>
  <c r="I108" i="394" s="1"/>
  <c r="D104" i="394" a="1"/>
  <c r="D104" i="394" s="1"/>
  <c r="I104" i="394" s="1"/>
  <c r="D96" i="394" a="1"/>
  <c r="D96" i="394" s="1"/>
  <c r="D85" i="394" a="1"/>
  <c r="D85" i="394" s="1"/>
  <c r="I85" i="394" s="1"/>
  <c r="D67" i="394" a="1"/>
  <c r="D67" i="394" s="1"/>
  <c r="D64" i="394" a="1"/>
  <c r="D64" i="394" s="1"/>
  <c r="I64" i="394" s="1"/>
  <c r="D63" i="394" a="1"/>
  <c r="D63" i="394"/>
  <c r="D53" i="394" a="1"/>
  <c r="D53" i="394" s="1"/>
  <c r="D52" i="394" a="1"/>
  <c r="D52" i="394" s="1"/>
  <c r="D43" i="394" a="1"/>
  <c r="D43" i="394" s="1"/>
  <c r="I43" i="394" s="1"/>
  <c r="D33" i="394" a="1"/>
  <c r="D33" i="394" s="1"/>
  <c r="I33" i="394" s="1"/>
  <c r="D31" i="394" a="1"/>
  <c r="D31" i="394"/>
  <c r="I31" i="394" s="1"/>
  <c r="D14" i="394" a="1"/>
  <c r="D14" i="394"/>
  <c r="I14" i="394"/>
  <c r="D145" i="394" a="1"/>
  <c r="D145" i="394" s="1"/>
  <c r="D119" i="394" a="1"/>
  <c r="D119" i="394" s="1"/>
  <c r="I119" i="394" s="1"/>
  <c r="D126" i="394" a="1"/>
  <c r="D126" i="394"/>
  <c r="I126" i="394" s="1"/>
  <c r="D94" i="394" a="1"/>
  <c r="D94" i="394"/>
  <c r="I94" i="394" s="1"/>
  <c r="D87" i="394" a="1"/>
  <c r="D87" i="394" s="1"/>
  <c r="I87" i="394" s="1"/>
  <c r="D80" i="394" a="1"/>
  <c r="D80" i="394"/>
  <c r="I80" i="394" s="1"/>
  <c r="D162" i="394" a="1"/>
  <c r="D162" i="394" s="1"/>
  <c r="D136" i="394" a="1"/>
  <c r="D136" i="394" s="1"/>
  <c r="I136" i="394" s="1"/>
  <c r="D134" i="394" a="1"/>
  <c r="D134" i="394" s="1"/>
  <c r="I134" i="394" s="1"/>
  <c r="D115" i="394" a="1"/>
  <c r="D115" i="394" s="1"/>
  <c r="I115" i="394" s="1"/>
  <c r="D113" i="394" a="1"/>
  <c r="D113" i="394" s="1"/>
  <c r="I113" i="394" s="1"/>
  <c r="D175" i="394" a="1"/>
  <c r="D175" i="394" s="1"/>
  <c r="I175" i="394" s="1"/>
  <c r="D117" i="394" a="1"/>
  <c r="D117" i="394" s="1"/>
  <c r="I117" i="394" s="1"/>
  <c r="D101" i="394" a="1"/>
  <c r="D101" i="394"/>
  <c r="I101" i="394" s="1"/>
  <c r="D106" i="394" a="1"/>
  <c r="D106" i="394"/>
  <c r="I106" i="394" s="1"/>
  <c r="D70" i="394" a="1"/>
  <c r="D70" i="394" s="1"/>
  <c r="D41" i="394" a="1"/>
  <c r="D41" i="394"/>
  <c r="I41" i="394"/>
  <c r="D20" i="394" a="1"/>
  <c r="D20" i="394" s="1"/>
  <c r="I20" i="394" s="1"/>
  <c r="D10" i="394" a="1"/>
  <c r="D10" i="394" s="1"/>
  <c r="I10" i="394" s="1"/>
  <c r="D13" i="394" a="1"/>
  <c r="D13" i="394" s="1"/>
  <c r="I13" i="394" s="1"/>
  <c r="D23" i="394" a="1"/>
  <c r="D23" i="394" s="1"/>
  <c r="I23" i="394" s="1"/>
  <c r="D69" i="394" a="1"/>
  <c r="D69" i="394" s="1"/>
  <c r="D74" i="394" a="1"/>
  <c r="D74" i="394"/>
  <c r="I74" i="394" s="1"/>
  <c r="F82" i="394" a="1"/>
  <c r="F82" i="394" s="1"/>
  <c r="F87" i="394" a="1"/>
  <c r="F87" i="394" s="1"/>
  <c r="D90" i="394" a="1"/>
  <c r="D90" i="394" s="1"/>
  <c r="F91" i="394" a="1"/>
  <c r="F91" i="394" s="1"/>
  <c r="D98" i="394" a="1"/>
  <c r="D98" i="394" s="1"/>
  <c r="I98" i="394" s="1"/>
  <c r="F100" i="394" a="1"/>
  <c r="F100" i="394" s="1"/>
  <c r="F105" i="394" a="1"/>
  <c r="F105" i="394" s="1"/>
  <c r="F159" i="393" a="1"/>
  <c r="F159" i="393" s="1"/>
  <c r="F142" i="393" a="1"/>
  <c r="F142" i="393" s="1"/>
  <c r="F141" i="393" a="1"/>
  <c r="F141" i="393" s="1"/>
  <c r="F129" i="393" a="1"/>
  <c r="F129" i="393" s="1"/>
  <c r="F118" i="393" a="1"/>
  <c r="F118" i="393" s="1"/>
  <c r="F117" i="393" a="1"/>
  <c r="F117" i="393" s="1"/>
  <c r="F112" i="393" a="1"/>
  <c r="F112" i="393" s="1"/>
  <c r="G112" i="393" s="1"/>
  <c r="F102" i="393" a="1"/>
  <c r="F102" i="393" s="1"/>
  <c r="F101" i="393" a="1"/>
  <c r="F101" i="393" s="1"/>
  <c r="F96" i="393" a="1"/>
  <c r="F96" i="393" s="1"/>
  <c r="G96" i="393" s="1"/>
  <c r="F91" i="393" a="1"/>
  <c r="F91" i="393" s="1"/>
  <c r="G91" i="393" s="1"/>
  <c r="F86" i="393" a="1"/>
  <c r="F86" i="393" s="1"/>
  <c r="F65" i="393" a="1"/>
  <c r="F65" i="393" s="1"/>
  <c r="F60" i="393" a="1"/>
  <c r="F60" i="393" s="1"/>
  <c r="G60" i="393" s="1"/>
  <c r="F35" i="393" a="1"/>
  <c r="F35" i="393" s="1"/>
  <c r="G35" i="393" s="1"/>
  <c r="F31" i="393" a="1"/>
  <c r="F31" i="393" s="1"/>
  <c r="G31" i="393" s="1"/>
  <c r="F70" i="393" a="1"/>
  <c r="F70" i="393" s="1"/>
  <c r="G70" i="393" s="1"/>
  <c r="F84" i="393" a="1"/>
  <c r="F84" i="393" s="1"/>
  <c r="G84" i="393" s="1"/>
  <c r="F87" i="393" a="1"/>
  <c r="F87" i="393" s="1"/>
  <c r="F88" i="393" a="1"/>
  <c r="F88" i="393" s="1"/>
  <c r="F100" i="393" a="1"/>
  <c r="F100" i="393" s="1"/>
  <c r="G100" i="393" s="1"/>
  <c r="F16" i="398" a="1"/>
  <c r="F16" i="398" s="1"/>
  <c r="F17" i="398" a="1"/>
  <c r="F17" i="398" s="1"/>
  <c r="F18" i="398" a="1"/>
  <c r="F18" i="398" s="1"/>
  <c r="F41" i="398" a="1"/>
  <c r="F41" i="398" s="1"/>
  <c r="G41" i="398" s="1"/>
  <c r="F42" i="398" a="1"/>
  <c r="F42" i="398" s="1"/>
  <c r="F43" i="398" a="1"/>
  <c r="F43" i="398" s="1"/>
  <c r="F54" i="398" a="1"/>
  <c r="F54" i="398" s="1"/>
  <c r="F58" i="398" a="1"/>
  <c r="F58" i="398" s="1"/>
  <c r="F83" i="398" a="1"/>
  <c r="F83" i="398" s="1"/>
  <c r="F84" i="398" a="1"/>
  <c r="F84" i="398" s="1"/>
  <c r="F99" i="398" a="1"/>
  <c r="F99" i="398" s="1"/>
  <c r="F107" i="398" a="1"/>
  <c r="F107" i="398" s="1"/>
  <c r="F108" i="398" a="1"/>
  <c r="F108" i="398" s="1"/>
  <c r="F109" i="398" a="1"/>
  <c r="F109" i="398" s="1"/>
  <c r="F119" i="398" a="1"/>
  <c r="F119" i="398" s="1"/>
  <c r="F120" i="398" a="1"/>
  <c r="F120" i="398" s="1"/>
  <c r="F121" i="398" a="1"/>
  <c r="F121" i="398" s="1"/>
  <c r="F134" i="398" a="1"/>
  <c r="F134" i="398" s="1"/>
  <c r="F143" i="398" a="1"/>
  <c r="F143" i="398" s="1"/>
  <c r="E143" i="398" s="1"/>
  <c r="F18" i="399" a="1"/>
  <c r="F18" i="399" s="1"/>
  <c r="F37" i="399" a="1"/>
  <c r="F37" i="399" s="1"/>
  <c r="F58" i="399" a="1"/>
  <c r="F58" i="399" s="1"/>
  <c r="F72" i="399" a="1"/>
  <c r="F72" i="399" s="1"/>
  <c r="G72" i="399" s="1"/>
  <c r="F80" i="399" a="1"/>
  <c r="F80" i="399" s="1"/>
  <c r="F145" i="399" a="1"/>
  <c r="F145" i="399" s="1"/>
  <c r="F144" i="399" s="1"/>
  <c r="F161" i="401" a="1"/>
  <c r="F161" i="401" s="1"/>
  <c r="F58" i="401" a="1"/>
  <c r="F58" i="401" s="1"/>
  <c r="G58" i="401" s="1"/>
  <c r="F44" i="401" a="1"/>
  <c r="F44" i="401" s="1"/>
  <c r="F89" i="401" a="1"/>
  <c r="F89" i="401" s="1"/>
  <c r="D16" i="394" a="1"/>
  <c r="D16" i="394"/>
  <c r="I16" i="394"/>
  <c r="D17" i="394" a="1"/>
  <c r="D17" i="394" s="1"/>
  <c r="D39" i="394" a="1"/>
  <c r="D39" i="394" s="1"/>
  <c r="I39" i="394" s="1"/>
  <c r="D55" i="394" a="1"/>
  <c r="D55" i="394"/>
  <c r="F58" i="394" a="1"/>
  <c r="F58" i="394" s="1"/>
  <c r="F65" i="394" a="1"/>
  <c r="F65" i="394" s="1"/>
  <c r="F71" i="394" a="1"/>
  <c r="F71" i="394" s="1"/>
  <c r="D97" i="394" a="1"/>
  <c r="D97" i="394"/>
  <c r="I97" i="394" s="1"/>
  <c r="F6" i="398"/>
  <c r="F22" i="398" a="1"/>
  <c r="F22" i="398" s="1"/>
  <c r="F45" i="398" a="1"/>
  <c r="F45" i="398" s="1"/>
  <c r="F57" i="398" a="1"/>
  <c r="F57" i="398" s="1"/>
  <c r="F63" i="398" a="1"/>
  <c r="F63" i="398" s="1"/>
  <c r="G63" i="398" s="1"/>
  <c r="H63" i="398" s="1"/>
  <c r="F64" i="398" a="1"/>
  <c r="F64" i="398" s="1"/>
  <c r="F79" i="398" a="1"/>
  <c r="F79" i="398" s="1"/>
  <c r="F86" i="398" a="1"/>
  <c r="F86" i="398" s="1"/>
  <c r="F87" i="398" a="1"/>
  <c r="F87" i="398" s="1"/>
  <c r="F94" i="398" a="1"/>
  <c r="F94" i="398" s="1"/>
  <c r="F115" i="398" a="1"/>
  <c r="F115" i="398" s="1"/>
  <c r="G115" i="398" s="1"/>
  <c r="F123" i="398" a="1"/>
  <c r="F123" i="398" s="1"/>
  <c r="F124" i="398" a="1"/>
  <c r="F124" i="398" s="1"/>
  <c r="G124" i="398" s="1"/>
  <c r="H124" i="398" s="1"/>
  <c r="F125" i="398" a="1"/>
  <c r="F125" i="398" s="1"/>
  <c r="F126" i="398" a="1"/>
  <c r="F126" i="398" s="1"/>
  <c r="F127" i="398" a="1"/>
  <c r="F127" i="398" s="1"/>
  <c r="G127" i="398" s="1"/>
  <c r="F128" i="398" a="1"/>
  <c r="F128" i="398" s="1"/>
  <c r="G128" i="398" s="1"/>
  <c r="F155" i="398" a="1"/>
  <c r="F155" i="398" s="1"/>
  <c r="F156" i="398" a="1"/>
  <c r="F156" i="398" s="1"/>
  <c r="F157" i="398" a="1"/>
  <c r="F157" i="398" s="1"/>
  <c r="D7" i="399"/>
  <c r="F16" i="399" a="1"/>
  <c r="F16" i="399" s="1"/>
  <c r="G16" i="399" s="1"/>
  <c r="F34" i="399" a="1"/>
  <c r="F34" i="399" s="1"/>
  <c r="F56" i="399" a="1"/>
  <c r="F56" i="399" s="1"/>
  <c r="F60" i="399" a="1"/>
  <c r="F60" i="399" s="1"/>
  <c r="F61" i="399" a="1"/>
  <c r="F61" i="399" s="1"/>
  <c r="F91" i="399" a="1"/>
  <c r="F91" i="399" s="1"/>
  <c r="F92" i="399" a="1"/>
  <c r="F92" i="399" s="1"/>
  <c r="F93" i="399" a="1"/>
  <c r="F93" i="399" s="1"/>
  <c r="F124" i="399" a="1"/>
  <c r="F124" i="399" s="1"/>
  <c r="F22" i="401" a="1"/>
  <c r="F22" i="401" s="1"/>
  <c r="G22" i="401" s="1"/>
  <c r="F23" i="401" a="1"/>
  <c r="F23" i="401" s="1"/>
  <c r="G23" i="401" s="1"/>
  <c r="F40" i="401" a="1"/>
  <c r="F40" i="401" s="1"/>
  <c r="F143" i="401" a="1"/>
  <c r="F143" i="401" s="1"/>
  <c r="E143" i="401" s="1"/>
  <c r="F159" i="394" a="1"/>
  <c r="F159" i="394" s="1"/>
  <c r="F163" i="394" a="1"/>
  <c r="F163" i="394" s="1"/>
  <c r="G163" i="394" s="1"/>
  <c r="H163" i="394" s="1"/>
  <c r="F161" i="394" a="1"/>
  <c r="F161" i="394" s="1"/>
  <c r="F156" i="394" a="1"/>
  <c r="F156" i="394" s="1"/>
  <c r="G156" i="394" s="1"/>
  <c r="F142" i="394" a="1"/>
  <c r="F142" i="394" s="1"/>
  <c r="F118" i="394" a="1"/>
  <c r="F118" i="394" s="1"/>
  <c r="G118" i="394" s="1"/>
  <c r="H118" i="394" s="1"/>
  <c r="F117" i="394" a="1"/>
  <c r="F117" i="394" s="1"/>
  <c r="F113" i="394" a="1"/>
  <c r="F113" i="394" s="1"/>
  <c r="F111" i="394" a="1"/>
  <c r="F111" i="394" s="1"/>
  <c r="F93" i="394" a="1"/>
  <c r="F93" i="394" s="1"/>
  <c r="F92" i="394" a="1"/>
  <c r="F92" i="394" s="1"/>
  <c r="G92" i="394" s="1"/>
  <c r="H92" i="394" s="1"/>
  <c r="F90" i="394" a="1"/>
  <c r="F90" i="394" s="1"/>
  <c r="F86" i="394" a="1"/>
  <c r="F86" i="394" s="1"/>
  <c r="F80" i="394" a="1"/>
  <c r="F80" i="394" s="1"/>
  <c r="G80" i="394" s="1"/>
  <c r="F74" i="394" a="1"/>
  <c r="F74" i="394" s="1"/>
  <c r="F69" i="394" a="1"/>
  <c r="F69" i="394" s="1"/>
  <c r="F61" i="394" a="1"/>
  <c r="F61" i="394" s="1"/>
  <c r="G61" i="394" s="1"/>
  <c r="F57" i="394" a="1"/>
  <c r="F57" i="394" s="1"/>
  <c r="G57" i="394" s="1"/>
  <c r="H57" i="394" s="1"/>
  <c r="F56" i="394" a="1"/>
  <c r="F56" i="394" s="1"/>
  <c r="F54" i="394" a="1"/>
  <c r="F54" i="394" s="1"/>
  <c r="F40" i="394" a="1"/>
  <c r="F40" i="394" s="1"/>
  <c r="F39" i="394" a="1"/>
  <c r="F39" i="394" s="1"/>
  <c r="G39" i="394" s="1"/>
  <c r="F10" i="394" a="1"/>
  <c r="F10" i="394" s="1"/>
  <c r="G10" i="394" s="1"/>
  <c r="F140" i="394" a="1"/>
  <c r="F140" i="394" s="1"/>
  <c r="F133" i="394" a="1"/>
  <c r="F133" i="394" s="1"/>
  <c r="F125" i="394" a="1"/>
  <c r="F125" i="394" s="1"/>
  <c r="G125" i="394" s="1"/>
  <c r="H125" i="394" s="1"/>
  <c r="F120" i="394" a="1"/>
  <c r="F120" i="394" s="1"/>
  <c r="G120" i="394" s="1"/>
  <c r="F175" i="394" a="1"/>
  <c r="F175" i="394" s="1"/>
  <c r="F177" i="394" s="1"/>
  <c r="F158" i="394" a="1"/>
  <c r="F158" i="394" s="1"/>
  <c r="F157" i="394" a="1"/>
  <c r="F157" i="394" s="1"/>
  <c r="F131" i="394" a="1"/>
  <c r="F131" i="394" s="1"/>
  <c r="F130" i="394" a="1"/>
  <c r="F130" i="394" s="1"/>
  <c r="F129" i="394" a="1"/>
  <c r="F129" i="394" s="1"/>
  <c r="F128" i="394" a="1"/>
  <c r="F128" i="394" s="1"/>
  <c r="G128" i="394" s="1"/>
  <c r="H128" i="394" s="1"/>
  <c r="F112" i="394" a="1"/>
  <c r="F112" i="394" s="1"/>
  <c r="F101" i="394" a="1"/>
  <c r="F101" i="394" s="1"/>
  <c r="F99" i="394" a="1"/>
  <c r="F99" i="394" s="1"/>
  <c r="F97" i="394" a="1"/>
  <c r="F97" i="394" s="1"/>
  <c r="F95" i="394" a="1"/>
  <c r="F95" i="394" s="1"/>
  <c r="F89" i="394" a="1"/>
  <c r="F89" i="394" s="1"/>
  <c r="F83" i="394" a="1"/>
  <c r="F83" i="394" s="1"/>
  <c r="F143" i="394" a="1"/>
  <c r="F143" i="394" s="1"/>
  <c r="E143" i="394" s="1"/>
  <c r="F137" i="394" a="1"/>
  <c r="F137" i="394" s="1"/>
  <c r="G137" i="394" s="1"/>
  <c r="H137" i="394" s="1"/>
  <c r="F124" i="394" a="1"/>
  <c r="F124" i="394" s="1"/>
  <c r="F116" i="394" a="1"/>
  <c r="F116" i="394" s="1"/>
  <c r="F160" i="394" a="1"/>
  <c r="F160" i="394" s="1"/>
  <c r="F126" i="394" a="1"/>
  <c r="F126" i="394" s="1"/>
  <c r="F104" i="394" a="1"/>
  <c r="F104" i="394" s="1"/>
  <c r="G104" i="394" s="1"/>
  <c r="F103" i="394" a="1"/>
  <c r="F103" i="394" s="1"/>
  <c r="F162" i="394" a="1"/>
  <c r="F162" i="394" s="1"/>
  <c r="G162" i="394" s="1"/>
  <c r="I162" i="394" s="1"/>
  <c r="F135" i="394" a="1"/>
  <c r="F135" i="394" s="1"/>
  <c r="F134" i="394" a="1"/>
  <c r="F134" i="394" s="1"/>
  <c r="G134" i="394" s="1"/>
  <c r="F122" i="394" a="1"/>
  <c r="F122" i="394" s="1"/>
  <c r="F121" i="394" a="1"/>
  <c r="F121" i="394" s="1"/>
  <c r="G121" i="394" s="1"/>
  <c r="H121" i="394" s="1"/>
  <c r="F114" i="394" a="1"/>
  <c r="F114" i="394" s="1"/>
  <c r="F109" i="394" a="1"/>
  <c r="F109" i="394" s="1"/>
  <c r="F108" i="394" a="1"/>
  <c r="F108" i="394" s="1"/>
  <c r="F107" i="394" a="1"/>
  <c r="F107" i="394" s="1"/>
  <c r="G107" i="394" s="1"/>
  <c r="H107" i="394" s="1"/>
  <c r="F84" i="394" a="1"/>
  <c r="F84" i="394" s="1"/>
  <c r="F79" i="394" a="1"/>
  <c r="F79" i="394" s="1"/>
  <c r="F60" i="394" a="1"/>
  <c r="F60" i="394" s="1"/>
  <c r="F44" i="394" a="1"/>
  <c r="F44" i="394" s="1"/>
  <c r="F42" i="394" a="1"/>
  <c r="F42" i="394" s="1"/>
  <c r="F28" i="394" a="1"/>
  <c r="F28" i="394" s="1"/>
  <c r="F26" i="394" a="1"/>
  <c r="F26" i="394" s="1"/>
  <c r="F16" i="394" a="1"/>
  <c r="F16" i="394" s="1"/>
  <c r="G16" i="394" s="1"/>
  <c r="H16" i="394" s="1"/>
  <c r="F6" i="394"/>
  <c r="F12" i="394" a="1"/>
  <c r="F12" i="394" s="1"/>
  <c r="F13" i="394" a="1"/>
  <c r="F13" i="394" s="1"/>
  <c r="F14" i="394" a="1"/>
  <c r="F14" i="394" s="1"/>
  <c r="F22" i="394" a="1"/>
  <c r="F22" i="394" s="1"/>
  <c r="F23" i="394" a="1"/>
  <c r="F23" i="394" s="1"/>
  <c r="G23" i="394" s="1"/>
  <c r="F30" i="394" a="1"/>
  <c r="F30" i="394" s="1"/>
  <c r="F31" i="394" a="1"/>
  <c r="F31" i="394" s="1"/>
  <c r="G31" i="394" s="1"/>
  <c r="H31" i="394" s="1"/>
  <c r="D37" i="394" a="1"/>
  <c r="D37" i="394" s="1"/>
  <c r="I37" i="394" s="1"/>
  <c r="F38" i="394" a="1"/>
  <c r="F38" i="394" s="1"/>
  <c r="D45" i="394" a="1"/>
  <c r="D45" i="394" s="1"/>
  <c r="I45" i="394" s="1"/>
  <c r="F52" i="394" a="1"/>
  <c r="F52" i="394" s="1"/>
  <c r="F63" i="394" a="1"/>
  <c r="F63" i="394" s="1"/>
  <c r="F96" i="394" a="1"/>
  <c r="F96" i="394" s="1"/>
  <c r="G96" i="394" s="1"/>
  <c r="D137" i="413" a="1"/>
  <c r="D137" i="413" s="1"/>
  <c r="D136" i="413" a="1"/>
  <c r="D136" i="413" s="1"/>
  <c r="D128" i="413" a="1"/>
  <c r="D128" i="413" s="1"/>
  <c r="D96" i="413" a="1"/>
  <c r="D96" i="413" s="1"/>
  <c r="D62" i="413" a="1"/>
  <c r="D62" i="413" s="1"/>
  <c r="D23" i="413" a="1"/>
  <c r="D23" i="413" s="1"/>
  <c r="D132" i="413" a="1"/>
  <c r="D132" i="413" s="1"/>
  <c r="D112" i="413" a="1"/>
  <c r="D112" i="413" s="1"/>
  <c r="D80" i="413" a="1"/>
  <c r="D80" i="413" s="1"/>
  <c r="D43" i="413" a="1"/>
  <c r="D43" i="413" s="1"/>
  <c r="D11" i="413" a="1"/>
  <c r="D11" i="413" s="1"/>
  <c r="D88" i="413" a="1"/>
  <c r="D88" i="413" s="1"/>
  <c r="D34" i="413" a="1"/>
  <c r="D34" i="413" s="1"/>
  <c r="D104" i="413" a="1"/>
  <c r="D104" i="413" s="1"/>
  <c r="D130" i="413" a="1"/>
  <c r="D130" i="413" s="1"/>
  <c r="D54" i="413" a="1"/>
  <c r="D54" i="413" s="1"/>
  <c r="D120" i="413" a="1"/>
  <c r="D120" i="413" s="1"/>
  <c r="D134" i="413" a="1"/>
  <c r="D134" i="413" s="1"/>
  <c r="E134" i="413" s="1"/>
  <c r="F28" i="402" a="1"/>
  <c r="F28" i="402" s="1"/>
  <c r="F64" i="402" a="1"/>
  <c r="F64" i="402" s="1"/>
  <c r="F65" i="402" a="1"/>
  <c r="F65" i="402" s="1"/>
  <c r="F70" i="402" a="1"/>
  <c r="F70" i="402" s="1"/>
  <c r="G70" i="402" s="1"/>
  <c r="F83" i="402" a="1"/>
  <c r="F83" i="402" s="1"/>
  <c r="F86" i="402" a="1"/>
  <c r="F86" i="402" s="1"/>
  <c r="F92" i="402" a="1"/>
  <c r="F92" i="402" s="1"/>
  <c r="F123" i="402" a="1"/>
  <c r="F123" i="402" s="1"/>
  <c r="G123" i="402" s="1"/>
  <c r="F130" i="402" a="1"/>
  <c r="F130" i="402" s="1"/>
  <c r="F10" i="405" a="1"/>
  <c r="F10" i="405" s="1"/>
  <c r="G10" i="405" s="1"/>
  <c r="F26" i="405" a="1"/>
  <c r="F26" i="405" s="1"/>
  <c r="F62" i="405" a="1"/>
  <c r="F62" i="405" s="1"/>
  <c r="F93" i="405" a="1"/>
  <c r="F93" i="405" s="1"/>
  <c r="F94" i="405" a="1"/>
  <c r="F94" i="405" s="1"/>
  <c r="F97" i="405" a="1"/>
  <c r="F97" i="405" s="1"/>
  <c r="F98" i="405" a="1"/>
  <c r="F98" i="405" s="1"/>
  <c r="G98" i="405" s="1"/>
  <c r="F118" i="405" a="1"/>
  <c r="F118" i="405" s="1"/>
  <c r="F119" i="405" a="1"/>
  <c r="F119" i="405" s="1"/>
  <c r="F122" i="405" a="1"/>
  <c r="F122" i="405" s="1"/>
  <c r="F123" i="405" a="1"/>
  <c r="F123" i="405" s="1"/>
  <c r="F137" i="405" a="1"/>
  <c r="F137" i="405" s="1"/>
  <c r="F143" i="405" a="1"/>
  <c r="F143" i="405" s="1"/>
  <c r="E143" i="405" s="1"/>
  <c r="F13" i="388" a="1"/>
  <c r="F13" i="388" s="1"/>
  <c r="F14" i="388" a="1"/>
  <c r="F14" i="388" s="1"/>
  <c r="F16" i="388" a="1"/>
  <c r="F16" i="388" s="1"/>
  <c r="F37" i="388" a="1"/>
  <c r="F37" i="388" s="1"/>
  <c r="F42" i="388" a="1"/>
  <c r="F42" i="388" s="1"/>
  <c r="F43" i="388" a="1"/>
  <c r="F43" i="388" s="1"/>
  <c r="F56" i="388" a="1"/>
  <c r="F56" i="388" s="1"/>
  <c r="F86" i="388" a="1"/>
  <c r="F86" i="388" s="1"/>
  <c r="F94" i="388" a="1"/>
  <c r="F94" i="388" s="1"/>
  <c r="F98" i="388" a="1"/>
  <c r="F98" i="388" s="1"/>
  <c r="F116" i="388" a="1"/>
  <c r="F116" i="388" s="1"/>
  <c r="D25" i="416" a="1"/>
  <c r="D25" i="416" s="1"/>
  <c r="D37" i="416" a="1"/>
  <c r="D37" i="416" s="1"/>
  <c r="E37" i="416" s="1"/>
  <c r="D48" i="416" a="1"/>
  <c r="D48" i="416" s="1"/>
  <c r="E48" i="416" s="1"/>
  <c r="D56" i="416" a="1"/>
  <c r="D56" i="416" s="1"/>
  <c r="D64" i="416" a="1"/>
  <c r="D64" i="416" s="1"/>
  <c r="J31" i="365" a="1"/>
  <c r="J31" i="365" s="1"/>
  <c r="O31" i="365" a="1"/>
  <c r="O31" i="365" s="1"/>
  <c r="K32" i="365" a="1"/>
  <c r="K32" i="365"/>
  <c r="K30" i="365"/>
  <c r="G33" i="365" a="1"/>
  <c r="G33" i="365"/>
  <c r="O33" i="365" a="1"/>
  <c r="O33" i="365" s="1"/>
  <c r="O35" i="365" a="1"/>
  <c r="O35" i="365" s="1"/>
  <c r="K36" i="365" a="1"/>
  <c r="K36" i="365"/>
  <c r="K38" i="365" a="1"/>
  <c r="K38" i="365"/>
  <c r="J12" i="385" a="1"/>
  <c r="J12" i="385"/>
  <c r="H14" i="385" a="1"/>
  <c r="H14" i="385" s="1"/>
  <c r="D31" i="385" a="1"/>
  <c r="D31" i="385"/>
  <c r="G66" i="386" a="1"/>
  <c r="G66" i="386" s="1"/>
  <c r="G63" i="386" a="1"/>
  <c r="G63" i="386" s="1"/>
  <c r="G61" i="386" a="1"/>
  <c r="G61" i="386" s="1"/>
  <c r="G59" i="386" a="1"/>
  <c r="G59" i="386" s="1"/>
  <c r="G57" i="386" a="1"/>
  <c r="G57" i="386" s="1"/>
  <c r="G55" i="386" a="1"/>
  <c r="G55" i="386"/>
  <c r="G53" i="386" a="1"/>
  <c r="G53" i="386" s="1"/>
  <c r="G51" i="386" a="1"/>
  <c r="G51" i="386"/>
  <c r="G48" i="386" a="1"/>
  <c r="G48" i="386" s="1"/>
  <c r="G42" i="386" a="1"/>
  <c r="G42" i="386" s="1"/>
  <c r="G40" i="386" a="1"/>
  <c r="G40" i="386" s="1"/>
  <c r="G64" i="386" a="1"/>
  <c r="G64" i="386" s="1"/>
  <c r="G62" i="386" a="1"/>
  <c r="G62" i="386" s="1"/>
  <c r="G60" i="386" a="1"/>
  <c r="G60" i="386"/>
  <c r="G58" i="386" a="1"/>
  <c r="G58" i="386" s="1"/>
  <c r="G56" i="386" a="1"/>
  <c r="G56" i="386" s="1"/>
  <c r="G54" i="386" a="1"/>
  <c r="G54" i="386" s="1"/>
  <c r="G52" i="386" a="1"/>
  <c r="G52" i="386" s="1"/>
  <c r="G49" i="386" a="1"/>
  <c r="G49" i="386" s="1"/>
  <c r="G41" i="386" a="1"/>
  <c r="G41" i="386" s="1"/>
  <c r="G39" i="386" a="1"/>
  <c r="G39" i="386" s="1"/>
  <c r="G68" i="386" a="1"/>
  <c r="G68" i="386"/>
  <c r="K64" i="386" a="1"/>
  <c r="K64" i="386" s="1"/>
  <c r="K62" i="386" a="1"/>
  <c r="K62" i="386" s="1"/>
  <c r="K60" i="386" a="1"/>
  <c r="K60" i="386" s="1"/>
  <c r="K58" i="386" a="1"/>
  <c r="K58" i="386" s="1"/>
  <c r="K56" i="386" a="1"/>
  <c r="K56" i="386" s="1"/>
  <c r="K54" i="386" a="1"/>
  <c r="K54" i="386" s="1"/>
  <c r="K52" i="386" a="1"/>
  <c r="K52" i="386" s="1"/>
  <c r="K49" i="386" a="1"/>
  <c r="K49" i="386"/>
  <c r="K41" i="386" a="1"/>
  <c r="K41" i="386" s="1"/>
  <c r="K39" i="386" a="1"/>
  <c r="K39" i="386" s="1"/>
  <c r="K68" i="386" a="1"/>
  <c r="K68" i="386" s="1"/>
  <c r="K66" i="386" a="1"/>
  <c r="K66" i="386" s="1"/>
  <c r="K63" i="386" a="1"/>
  <c r="K63" i="386" s="1"/>
  <c r="K61" i="386" a="1"/>
  <c r="K61" i="386" s="1"/>
  <c r="K59" i="386" a="1"/>
  <c r="K59" i="386" s="1"/>
  <c r="K57" i="386" a="1"/>
  <c r="K57" i="386" s="1"/>
  <c r="K55" i="386" a="1"/>
  <c r="K55" i="386" s="1"/>
  <c r="K53" i="386" a="1"/>
  <c r="K53" i="386" s="1"/>
  <c r="K51" i="386" a="1"/>
  <c r="K51" i="386" s="1"/>
  <c r="K48" i="386" a="1"/>
  <c r="K48" i="386" s="1"/>
  <c r="K42" i="386" a="1"/>
  <c r="K42" i="386" s="1"/>
  <c r="K40" i="386" a="1"/>
  <c r="K40" i="386" s="1"/>
  <c r="O66" i="386" a="1"/>
  <c r="O66" i="386" s="1"/>
  <c r="O63" i="386" a="1"/>
  <c r="O63" i="386" s="1"/>
  <c r="O61" i="386" a="1"/>
  <c r="O61" i="386" s="1"/>
  <c r="O59" i="386" a="1"/>
  <c r="O59" i="386" s="1"/>
  <c r="O57" i="386" a="1"/>
  <c r="O57" i="386" s="1"/>
  <c r="O55" i="386" a="1"/>
  <c r="O55" i="386" s="1"/>
  <c r="O53" i="386" a="1"/>
  <c r="O53" i="386" s="1"/>
  <c r="O51" i="386" a="1"/>
  <c r="O51" i="386" s="1"/>
  <c r="O48" i="386" a="1"/>
  <c r="O48" i="386" s="1"/>
  <c r="O42" i="386" a="1"/>
  <c r="O42" i="386" s="1"/>
  <c r="O40" i="386" a="1"/>
  <c r="O40" i="386" s="1"/>
  <c r="O38" i="386" a="1"/>
  <c r="O38" i="386" s="1"/>
  <c r="O64" i="386" a="1"/>
  <c r="O64" i="386" s="1"/>
  <c r="O62" i="386" a="1"/>
  <c r="O62" i="386" s="1"/>
  <c r="O60" i="386" a="1"/>
  <c r="O60" i="386" s="1"/>
  <c r="O58" i="386" a="1"/>
  <c r="O58" i="386" s="1"/>
  <c r="O56" i="386" a="1"/>
  <c r="O56" i="386" s="1"/>
  <c r="O54" i="386" a="1"/>
  <c r="O54" i="386" s="1"/>
  <c r="O52" i="386" a="1"/>
  <c r="O52" i="386" s="1"/>
  <c r="O49" i="386" a="1"/>
  <c r="O49" i="386" s="1"/>
  <c r="O41" i="386" a="1"/>
  <c r="O41" i="386" s="1"/>
  <c r="O39" i="386" a="1"/>
  <c r="O39" i="386" s="1"/>
  <c r="O68" i="386" a="1"/>
  <c r="O68" i="386" s="1"/>
  <c r="D32" i="386" a="1"/>
  <c r="D32" i="386" s="1"/>
  <c r="I32" i="386" a="1"/>
  <c r="I32" i="386" s="1"/>
  <c r="O32" i="386" a="1"/>
  <c r="O32" i="386" s="1"/>
  <c r="K33" i="386" a="1"/>
  <c r="K33" i="386" s="1"/>
  <c r="G35" i="386" a="1"/>
  <c r="G35" i="386" s="1"/>
  <c r="O35" i="386" a="1"/>
  <c r="O35" i="386" s="1"/>
  <c r="H36" i="386" a="1"/>
  <c r="H36" i="386" s="1"/>
  <c r="M36" i="386" a="1"/>
  <c r="M36" i="386" s="1"/>
  <c r="I37" i="386" a="1"/>
  <c r="I37" i="386" s="1"/>
  <c r="E38" i="386" a="1"/>
  <c r="E38" i="386" s="1"/>
  <c r="M38" i="386" a="1"/>
  <c r="M38" i="386" s="1"/>
  <c r="I40" i="386" a="1"/>
  <c r="I40" i="386" s="1"/>
  <c r="F31" i="365" a="1"/>
  <c r="F31" i="365" s="1"/>
  <c r="O38" i="365" a="1"/>
  <c r="O38" i="365" s="1"/>
  <c r="D12" i="385" a="1"/>
  <c r="D12" i="385" s="1"/>
  <c r="H31" i="385" a="1"/>
  <c r="H31" i="385" s="1"/>
  <c r="K31" i="386" a="1"/>
  <c r="K31" i="386" s="1"/>
  <c r="E32" i="386" a="1"/>
  <c r="E32" i="386" s="1"/>
  <c r="K32" i="386" a="1"/>
  <c r="K32" i="386" s="1"/>
  <c r="E33" i="386" a="1"/>
  <c r="E33" i="386" s="1"/>
  <c r="I35" i="386" a="1"/>
  <c r="I35" i="386" s="1"/>
  <c r="D36" i="386" a="1"/>
  <c r="D36" i="386" s="1"/>
  <c r="O36" i="386" a="1"/>
  <c r="O36" i="386" s="1"/>
  <c r="K37" i="386" a="1"/>
  <c r="K37" i="386" s="1"/>
  <c r="G38" i="386" a="1"/>
  <c r="G38" i="386" s="1"/>
  <c r="E39" i="386" a="1"/>
  <c r="E39" i="386" s="1"/>
  <c r="F6" i="402"/>
  <c r="F10" i="402" a="1"/>
  <c r="F10" i="402" s="1"/>
  <c r="F37" i="402" a="1"/>
  <c r="F37" i="402" s="1"/>
  <c r="F45" i="402" a="1"/>
  <c r="F45" i="402" s="1"/>
  <c r="F54" i="402" a="1"/>
  <c r="F54" i="402" s="1"/>
  <c r="F58" i="402" a="1"/>
  <c r="F58" i="402" s="1"/>
  <c r="G58" i="402" s="1"/>
  <c r="H58" i="402" s="1"/>
  <c r="F61" i="402" a="1"/>
  <c r="F61" i="402" s="1"/>
  <c r="F62" i="402" a="1"/>
  <c r="F62" i="402" s="1"/>
  <c r="F67" i="402" a="1"/>
  <c r="F67" i="402" s="1"/>
  <c r="F88" i="402" a="1"/>
  <c r="F88" i="402" s="1"/>
  <c r="F89" i="402" a="1"/>
  <c r="F89" i="402" s="1"/>
  <c r="F98" i="402" a="1"/>
  <c r="F98" i="402" s="1"/>
  <c r="F114" i="402" a="1"/>
  <c r="F114" i="402" s="1"/>
  <c r="F135" i="402" a="1"/>
  <c r="F135" i="402" s="1"/>
  <c r="F16" i="404" a="1"/>
  <c r="F16" i="404" s="1"/>
  <c r="G16" i="404" s="1"/>
  <c r="H16" i="404" s="1"/>
  <c r="F17" i="404" a="1"/>
  <c r="F17" i="404" s="1"/>
  <c r="F39" i="404" a="1"/>
  <c r="F39" i="404" s="1"/>
  <c r="F40" i="404" a="1"/>
  <c r="F40" i="404" s="1"/>
  <c r="F43" i="404" a="1"/>
  <c r="F43" i="404" s="1"/>
  <c r="F44" i="404" a="1"/>
  <c r="F44" i="404" s="1"/>
  <c r="F57" i="404" a="1"/>
  <c r="F57" i="404" s="1"/>
  <c r="F58" i="404" a="1"/>
  <c r="F58" i="404" s="1"/>
  <c r="G58" i="404" s="1"/>
  <c r="H58" i="404" s="1"/>
  <c r="F67" i="404" a="1"/>
  <c r="F67" i="404" s="1"/>
  <c r="F68" i="404" a="1"/>
  <c r="F68" i="404" s="1"/>
  <c r="F72" i="404" a="1"/>
  <c r="F72" i="404" s="1"/>
  <c r="F88" i="404" a="1"/>
  <c r="F88" i="404" s="1"/>
  <c r="G88" i="404" s="1"/>
  <c r="F89" i="404" a="1"/>
  <c r="F89" i="404" s="1"/>
  <c r="F98" i="404" a="1"/>
  <c r="F98" i="404" s="1"/>
  <c r="F99" i="404" a="1"/>
  <c r="F99" i="404" s="1"/>
  <c r="F102" i="404" a="1"/>
  <c r="F102" i="404" s="1"/>
  <c r="F103" i="404" a="1"/>
  <c r="F103" i="404" s="1"/>
  <c r="F126" i="404" a="1"/>
  <c r="F126" i="404" s="1"/>
  <c r="F127" i="404" a="1"/>
  <c r="F127" i="404" s="1"/>
  <c r="F130" i="404" a="1"/>
  <c r="F130" i="404" s="1"/>
  <c r="F131" i="404" a="1"/>
  <c r="F131" i="404" s="1"/>
  <c r="F134" i="404" a="1"/>
  <c r="F134" i="404" s="1"/>
  <c r="F135" i="404" a="1"/>
  <c r="F135" i="404" s="1"/>
  <c r="F6" i="405"/>
  <c r="F20" i="405" a="1"/>
  <c r="F20" i="405" s="1"/>
  <c r="F22" i="405" a="1"/>
  <c r="F22" i="405" s="1"/>
  <c r="G22" i="405" s="1"/>
  <c r="F30" i="405" a="1"/>
  <c r="F30" i="405" s="1"/>
  <c r="F31" i="405" a="1"/>
  <c r="F31" i="405" s="1"/>
  <c r="G31" i="405" s="1"/>
  <c r="H31" i="405" s="1"/>
  <c r="F59" i="405" a="1"/>
  <c r="F59" i="405" s="1"/>
  <c r="F60" i="405" a="1"/>
  <c r="F60" i="405" s="1"/>
  <c r="G60" i="405" s="1"/>
  <c r="F70" i="405" a="1"/>
  <c r="F70" i="405" s="1"/>
  <c r="F81" i="405" a="1"/>
  <c r="F81" i="405" s="1"/>
  <c r="G81" i="405" s="1"/>
  <c r="F82" i="405" a="1"/>
  <c r="F82" i="405" s="1"/>
  <c r="F85" i="405" a="1"/>
  <c r="F85" i="405" s="1"/>
  <c r="F86" i="405" a="1"/>
  <c r="F86" i="405" s="1"/>
  <c r="F110" i="405" a="1"/>
  <c r="F110" i="405" s="1"/>
  <c r="G110" i="405" s="1"/>
  <c r="F111" i="405" a="1"/>
  <c r="F111" i="405" s="1"/>
  <c r="F129" i="405" a="1"/>
  <c r="F129" i="405" s="1"/>
  <c r="F130" i="405" a="1"/>
  <c r="F130" i="405" s="1"/>
  <c r="F145" i="405" a="1"/>
  <c r="F145" i="405" s="1"/>
  <c r="F144" i="405" s="1"/>
  <c r="F158" i="405" a="1"/>
  <c r="F158" i="405" s="1"/>
  <c r="F159" i="405" a="1"/>
  <c r="F159" i="405" s="1"/>
  <c r="D7" i="388"/>
  <c r="F22" i="388" a="1"/>
  <c r="F22" i="388" s="1"/>
  <c r="G22" i="388" s="1"/>
  <c r="H22" i="388" s="1"/>
  <c r="F23" i="388" a="1"/>
  <c r="F23" i="388" s="1"/>
  <c r="F26" i="388" a="1"/>
  <c r="F26" i="388" s="1"/>
  <c r="F28" i="388" a="1"/>
  <c r="F28" i="388" s="1"/>
  <c r="G28" i="388" s="1"/>
  <c r="F30" i="388" a="1"/>
  <c r="F30" i="388" s="1"/>
  <c r="F34" i="388" a="1"/>
  <c r="F34" i="388" s="1"/>
  <c r="F39" i="388" a="1"/>
  <c r="F39" i="388" s="1"/>
  <c r="F40" i="388" a="1"/>
  <c r="F40" i="388" s="1"/>
  <c r="F62" i="388" a="1"/>
  <c r="F62" i="388" s="1"/>
  <c r="G62" i="388" s="1"/>
  <c r="F82" i="388" a="1"/>
  <c r="F82" i="388" s="1"/>
  <c r="F96" i="388" a="1"/>
  <c r="F96" i="388" s="1"/>
  <c r="F119" i="388" a="1"/>
  <c r="F119" i="388" s="1"/>
  <c r="G119" i="388" s="1"/>
  <c r="H119" i="388" s="1"/>
  <c r="F127" i="388" a="1"/>
  <c r="F127" i="388" s="1"/>
  <c r="F130" i="388" a="1"/>
  <c r="F130" i="388" s="1"/>
  <c r="F156" i="388" a="1"/>
  <c r="F156" i="388" s="1"/>
  <c r="F160" i="388" a="1"/>
  <c r="F160" i="388" s="1"/>
  <c r="D6" i="416"/>
  <c r="D32" i="416" a="1"/>
  <c r="D32" i="416" s="1"/>
  <c r="D41" i="416" a="1"/>
  <c r="D41" i="416" s="1"/>
  <c r="D52" i="416" a="1"/>
  <c r="D52" i="416" s="1"/>
  <c r="D60" i="416" a="1"/>
  <c r="D60" i="416" s="1"/>
  <c r="D68" i="416" a="1"/>
  <c r="D68" i="416" s="1"/>
  <c r="G31" i="365" a="1"/>
  <c r="G31" i="365"/>
  <c r="G32" i="365" a="1"/>
  <c r="G32" i="365"/>
  <c r="O32" i="365" a="1"/>
  <c r="O32" i="365"/>
  <c r="K33" i="365" a="1"/>
  <c r="K33" i="365"/>
  <c r="G35" i="365" a="1"/>
  <c r="G35" i="365"/>
  <c r="G36" i="365" a="1"/>
  <c r="G36" i="365"/>
  <c r="O36" i="365" a="1"/>
  <c r="O36" i="365"/>
  <c r="F12" i="385" a="1"/>
  <c r="F12" i="385"/>
  <c r="N12" i="385" a="1"/>
  <c r="N12" i="385"/>
  <c r="E107" i="386" a="1"/>
  <c r="E107" i="386"/>
  <c r="E72" i="386" a="1"/>
  <c r="E72" i="386"/>
  <c r="E68" i="386" a="1"/>
  <c r="E68" i="386"/>
  <c r="E66" i="386" a="1"/>
  <c r="E66" i="386"/>
  <c r="E63" i="386" a="1"/>
  <c r="E63" i="386"/>
  <c r="E61" i="386" a="1"/>
  <c r="E61" i="386"/>
  <c r="E59" i="386" a="1"/>
  <c r="E59" i="386"/>
  <c r="E57" i="386" a="1"/>
  <c r="E57" i="386"/>
  <c r="E55" i="386" a="1"/>
  <c r="E55" i="386"/>
  <c r="E53" i="386" a="1"/>
  <c r="E53" i="386"/>
  <c r="E51" i="386" a="1"/>
  <c r="E51" i="386"/>
  <c r="E48" i="386" a="1"/>
  <c r="E48" i="386"/>
  <c r="E42" i="386" a="1"/>
  <c r="E42" i="386"/>
  <c r="E40" i="386" a="1"/>
  <c r="E40" i="386"/>
  <c r="E67" i="386" a="1"/>
  <c r="E67" i="386"/>
  <c r="E64" i="386" a="1"/>
  <c r="E64" i="386"/>
  <c r="E62" i="386" a="1"/>
  <c r="E62" i="386"/>
  <c r="E60" i="386" a="1"/>
  <c r="E60" i="386"/>
  <c r="E58" i="386" a="1"/>
  <c r="E58" i="386"/>
  <c r="E56" i="386" a="1"/>
  <c r="E56" i="386"/>
  <c r="E54" i="386" a="1"/>
  <c r="E54" i="386"/>
  <c r="E52" i="386" a="1"/>
  <c r="E52" i="386"/>
  <c r="E49" i="386" a="1"/>
  <c r="E49" i="386"/>
  <c r="I98" i="386" a="1"/>
  <c r="I98" i="386"/>
  <c r="I64" i="386" a="1"/>
  <c r="I64" i="386"/>
  <c r="I62" i="386" a="1"/>
  <c r="I62" i="386"/>
  <c r="I60" i="386" a="1"/>
  <c r="I60" i="386"/>
  <c r="I58" i="386" a="1"/>
  <c r="I58" i="386"/>
  <c r="I56" i="386" a="1"/>
  <c r="I56" i="386"/>
  <c r="I54" i="386" a="1"/>
  <c r="I54" i="386"/>
  <c r="I52" i="386" a="1"/>
  <c r="I52" i="386"/>
  <c r="I49" i="386" a="1"/>
  <c r="I49" i="386"/>
  <c r="I41" i="386" a="1"/>
  <c r="I41" i="386"/>
  <c r="I68" i="386" a="1"/>
  <c r="I68" i="386"/>
  <c r="I67" i="386" a="1"/>
  <c r="I67" i="386"/>
  <c r="I66" i="386" a="1"/>
  <c r="I66" i="386"/>
  <c r="I63" i="386" a="1"/>
  <c r="I63" i="386" s="1"/>
  <c r="I61" i="386" a="1"/>
  <c r="I61" i="386"/>
  <c r="I59" i="386" a="1"/>
  <c r="I59" i="386"/>
  <c r="I57" i="386" a="1"/>
  <c r="I57" i="386" s="1"/>
  <c r="I55" i="386" a="1"/>
  <c r="I55" i="386"/>
  <c r="I53" i="386" a="1"/>
  <c r="I53" i="386"/>
  <c r="I51" i="386" a="1"/>
  <c r="I51" i="386" s="1"/>
  <c r="I48" i="386" a="1"/>
  <c r="I48" i="386"/>
  <c r="I42" i="386" a="1"/>
  <c r="I42" i="386" s="1"/>
  <c r="M96" i="386" a="1"/>
  <c r="M96" i="386"/>
  <c r="M68" i="386" a="1"/>
  <c r="M68" i="386"/>
  <c r="M67" i="386" a="1"/>
  <c r="M67" i="386" s="1"/>
  <c r="M66" i="386" a="1"/>
  <c r="M66" i="386"/>
  <c r="M63" i="386" a="1"/>
  <c r="M63" i="386"/>
  <c r="M61" i="386" a="1"/>
  <c r="M61" i="386" s="1"/>
  <c r="M59" i="386" a="1"/>
  <c r="M59" i="386"/>
  <c r="M57" i="386" a="1"/>
  <c r="M57" i="386" s="1"/>
  <c r="M55" i="386" a="1"/>
  <c r="M55" i="386"/>
  <c r="M53" i="386" a="1"/>
  <c r="M53" i="386"/>
  <c r="M51" i="386" a="1"/>
  <c r="M51" i="386" s="1"/>
  <c r="M48" i="386" a="1"/>
  <c r="M48" i="386"/>
  <c r="M42" i="386" a="1"/>
  <c r="M42" i="386"/>
  <c r="M40" i="386" a="1"/>
  <c r="M40" i="386" s="1"/>
  <c r="M64" i="386" a="1"/>
  <c r="M64" i="386"/>
  <c r="M62" i="386" a="1"/>
  <c r="M62" i="386" s="1"/>
  <c r="M60" i="386" a="1"/>
  <c r="M60" i="386"/>
  <c r="M58" i="386" a="1"/>
  <c r="M58" i="386"/>
  <c r="M56" i="386" a="1"/>
  <c r="M56" i="386" s="1"/>
  <c r="M54" i="386" a="1"/>
  <c r="M54" i="386"/>
  <c r="M52" i="386" a="1"/>
  <c r="M52" i="386"/>
  <c r="M49" i="386" a="1"/>
  <c r="M49" i="386" s="1"/>
  <c r="M41" i="386" a="1"/>
  <c r="M41" i="386"/>
  <c r="E31" i="386" a="1"/>
  <c r="E31" i="386" s="1"/>
  <c r="M31" i="386" a="1"/>
  <c r="M31" i="386" s="1"/>
  <c r="G32" i="386" a="1"/>
  <c r="G32" i="386"/>
  <c r="L32" i="386" a="1"/>
  <c r="L32" i="386" s="1"/>
  <c r="G33" i="386" a="1"/>
  <c r="G33" i="386"/>
  <c r="O33" i="386" a="1"/>
  <c r="O33" i="386"/>
  <c r="K35" i="386" a="1"/>
  <c r="K35" i="386" s="1"/>
  <c r="E36" i="386" a="1"/>
  <c r="E36" i="386"/>
  <c r="K36" i="386" a="1"/>
  <c r="K36" i="386" s="1"/>
  <c r="E37" i="386" a="1"/>
  <c r="E37" i="386" s="1"/>
  <c r="M37" i="386" a="1"/>
  <c r="M37" i="386"/>
  <c r="I38" i="386" a="1"/>
  <c r="I38" i="386" s="1"/>
  <c r="I39" i="386" a="1"/>
  <c r="I39" i="386"/>
  <c r="G14" i="365" a="1"/>
  <c r="G14" i="365"/>
  <c r="N31" i="365" a="1"/>
  <c r="N31" i="365" s="1"/>
  <c r="K35" i="365" a="1"/>
  <c r="K35" i="365"/>
  <c r="G38" i="365" a="1"/>
  <c r="G38" i="365" s="1"/>
  <c r="G31" i="386" a="1"/>
  <c r="G31" i="386" s="1"/>
  <c r="O31" i="386" a="1"/>
  <c r="O31" i="386"/>
  <c r="H32" i="386" a="1"/>
  <c r="H32" i="386" s="1"/>
  <c r="M32" i="386" a="1"/>
  <c r="M32" i="386"/>
  <c r="I33" i="386" a="1"/>
  <c r="I33" i="386"/>
  <c r="E35" i="386" a="1"/>
  <c r="E35" i="386" s="1"/>
  <c r="M35" i="386" a="1"/>
  <c r="M35" i="386"/>
  <c r="G36" i="386" a="1"/>
  <c r="G36" i="386" s="1"/>
  <c r="L36" i="386" a="1"/>
  <c r="L36" i="386" s="1"/>
  <c r="G37" i="386" a="1"/>
  <c r="G37" i="386"/>
  <c r="O37" i="386" a="1"/>
  <c r="O37" i="386" s="1"/>
  <c r="K38" i="386" a="1"/>
  <c r="K38" i="386"/>
  <c r="M39" i="386" a="1"/>
  <c r="M39" i="386"/>
  <c r="E6" i="254"/>
  <c r="F11" i="346"/>
  <c r="H6" i="345"/>
  <c r="S150" i="331"/>
  <c r="S32" i="348"/>
  <c r="P243" i="328"/>
  <c r="S196" i="328"/>
  <c r="S243" i="328"/>
  <c r="P525" i="328"/>
  <c r="S572" i="328"/>
  <c r="S666" i="328"/>
  <c r="P337" i="328"/>
  <c r="P384" i="328"/>
  <c r="P948" i="328"/>
  <c r="S478" i="328"/>
  <c r="A448" i="328"/>
  <c r="P901" i="328"/>
  <c r="P619" i="328"/>
  <c r="P713" i="328"/>
  <c r="P807" i="328"/>
  <c r="P1183" i="328"/>
  <c r="S1042" i="328"/>
  <c r="E29" i="360"/>
  <c r="E27" i="360" s="1"/>
  <c r="D47" i="254"/>
  <c r="S88" i="330"/>
  <c r="P88" i="330"/>
  <c r="J65" i="347"/>
  <c r="C51" i="360"/>
  <c r="C50" i="360"/>
  <c r="C51" i="389"/>
  <c r="C50" i="389" s="1"/>
  <c r="C78" i="389"/>
  <c r="C77" i="389" s="1"/>
  <c r="C76" i="389" s="1"/>
  <c r="C36" i="407"/>
  <c r="C47" i="407"/>
  <c r="C164" i="407"/>
  <c r="C78" i="408"/>
  <c r="C77" i="408"/>
  <c r="C76" i="408" s="1"/>
  <c r="C24" i="395"/>
  <c r="C29" i="360"/>
  <c r="C27" i="360" s="1"/>
  <c r="C47" i="360" s="1"/>
  <c r="C78" i="360"/>
  <c r="C77" i="360" s="1"/>
  <c r="C76" i="360" s="1"/>
  <c r="C164" i="389"/>
  <c r="C9" i="407"/>
  <c r="C24" i="407"/>
  <c r="C139" i="407"/>
  <c r="C76" i="407"/>
  <c r="C51" i="392"/>
  <c r="C50" i="392"/>
  <c r="C139" i="392"/>
  <c r="C36" i="395"/>
  <c r="C47" i="395"/>
  <c r="C164" i="395"/>
  <c r="C15" i="360"/>
  <c r="C164" i="360"/>
  <c r="C11" i="389"/>
  <c r="C9" i="389"/>
  <c r="C24" i="389" s="1"/>
  <c r="C32" i="389"/>
  <c r="C36" i="389"/>
  <c r="C51" i="407"/>
  <c r="C50" i="407"/>
  <c r="C9" i="408"/>
  <c r="C19" i="408"/>
  <c r="C36" i="408"/>
  <c r="C51" i="408"/>
  <c r="C50" i="408"/>
  <c r="C36" i="392"/>
  <c r="C47" i="392" s="1"/>
  <c r="C78" i="392"/>
  <c r="C77" i="392"/>
  <c r="C51" i="395"/>
  <c r="C50" i="395"/>
  <c r="C78" i="397"/>
  <c r="C77" i="397" s="1"/>
  <c r="C51" i="393"/>
  <c r="C50" i="393"/>
  <c r="C10" i="354" a="1"/>
  <c r="C10" i="354" s="1"/>
  <c r="C15" i="354" a="1"/>
  <c r="C15" i="354" s="1"/>
  <c r="C24" i="354" a="1"/>
  <c r="C24" i="354" s="1"/>
  <c r="C52" i="354" a="1"/>
  <c r="C52" i="354"/>
  <c r="C80" i="354" a="1"/>
  <c r="C80" i="354"/>
  <c r="C36" i="254" a="1"/>
  <c r="C36" i="254" s="1"/>
  <c r="C40" i="254" s="1"/>
  <c r="C64" i="254" a="1"/>
  <c r="C64" i="254" s="1"/>
  <c r="F10" i="360" a="1"/>
  <c r="F10" i="360" s="1"/>
  <c r="G10" i="360" s="1"/>
  <c r="F14" i="360" a="1"/>
  <c r="F14" i="360" s="1"/>
  <c r="G14" i="360" s="1"/>
  <c r="F20" i="360" a="1"/>
  <c r="F20" i="360" s="1"/>
  <c r="G20" i="360" s="1"/>
  <c r="F28" i="360" a="1"/>
  <c r="F28" i="360" s="1"/>
  <c r="G28" i="360" s="1"/>
  <c r="F63" i="360" a="1"/>
  <c r="F63" i="360" s="1"/>
  <c r="G63" i="360" s="1"/>
  <c r="F67" i="360" a="1"/>
  <c r="F67" i="360" s="1"/>
  <c r="G67" i="360" s="1"/>
  <c r="F74" i="360" a="1"/>
  <c r="F74" i="360" s="1"/>
  <c r="G74" i="360" s="1"/>
  <c r="F82" i="360" a="1"/>
  <c r="F82" i="360" s="1"/>
  <c r="G82" i="360" s="1"/>
  <c r="F94" i="360" a="1"/>
  <c r="F94" i="360" s="1"/>
  <c r="G94" i="360" s="1"/>
  <c r="F97" i="360" a="1"/>
  <c r="F97" i="360" s="1"/>
  <c r="G97" i="360" s="1"/>
  <c r="F104" i="360" a="1"/>
  <c r="F104" i="360" s="1"/>
  <c r="G104" i="360" s="1"/>
  <c r="F121" i="360" a="1"/>
  <c r="F121" i="360" s="1"/>
  <c r="G121" i="360" s="1"/>
  <c r="H121" i="360" s="1"/>
  <c r="F127" i="360" a="1"/>
  <c r="F127" i="360" s="1"/>
  <c r="G127" i="360" s="1"/>
  <c r="F135" i="360" a="1"/>
  <c r="F135" i="360" s="1"/>
  <c r="G135" i="360" s="1"/>
  <c r="F142" i="360" a="1"/>
  <c r="F142" i="360" s="1"/>
  <c r="G142" i="360" s="1"/>
  <c r="F38" i="389" a="1"/>
  <c r="F38" i="389" s="1"/>
  <c r="G38" i="389" s="1"/>
  <c r="F54" i="389" a="1"/>
  <c r="F54" i="389" s="1"/>
  <c r="G54" i="389" s="1"/>
  <c r="F73" i="389" a="1"/>
  <c r="F73" i="389" s="1"/>
  <c r="F93" i="389" a="1"/>
  <c r="F93" i="389" s="1"/>
  <c r="F98" i="389" a="1"/>
  <c r="F98" i="389" s="1"/>
  <c r="G98" i="389" s="1"/>
  <c r="H98" i="389" s="1"/>
  <c r="F101" i="389" a="1"/>
  <c r="F101" i="389" s="1"/>
  <c r="F105" i="389" a="1"/>
  <c r="F105" i="389" s="1"/>
  <c r="G105" i="389" s="1"/>
  <c r="F109" i="389" a="1"/>
  <c r="F109" i="389" s="1"/>
  <c r="G109" i="389" s="1"/>
  <c r="F112" i="389" a="1"/>
  <c r="F112" i="389" s="1"/>
  <c r="G112" i="389" s="1"/>
  <c r="F129" i="389" a="1"/>
  <c r="F129" i="389" s="1"/>
  <c r="G129" i="389" s="1"/>
  <c r="F133" i="389" a="1"/>
  <c r="F133" i="389" s="1"/>
  <c r="G133" i="389" s="1"/>
  <c r="H133" i="389" s="1"/>
  <c r="F142" i="389" a="1"/>
  <c r="F142" i="389" s="1"/>
  <c r="G142" i="389" s="1"/>
  <c r="F145" i="389" a="1"/>
  <c r="F145" i="389" s="1"/>
  <c r="F144" i="389" s="1"/>
  <c r="F158" i="389" a="1"/>
  <c r="F158" i="389" s="1"/>
  <c r="F161" i="389" a="1"/>
  <c r="F161" i="389" s="1"/>
  <c r="G161" i="389" s="1"/>
  <c r="H161" i="389" s="1"/>
  <c r="D23" i="407" a="1"/>
  <c r="D23" i="407"/>
  <c r="I23" i="407" s="1"/>
  <c r="D80" i="407" a="1"/>
  <c r="D80" i="407"/>
  <c r="I80" i="407"/>
  <c r="D86" i="407" a="1"/>
  <c r="D86" i="407" s="1"/>
  <c r="D94" i="407" a="1"/>
  <c r="D94" i="407" s="1"/>
  <c r="D100" i="407" a="1"/>
  <c r="D100" i="407"/>
  <c r="I100" i="407"/>
  <c r="D108" i="407" a="1"/>
  <c r="D108" i="407"/>
  <c r="I108" i="407"/>
  <c r="D112" i="407" a="1"/>
  <c r="D112" i="407"/>
  <c r="D115" i="407" a="1"/>
  <c r="D115" i="407" s="1"/>
  <c r="I115" i="407" s="1"/>
  <c r="D125" i="407" a="1"/>
  <c r="D125" i="407"/>
  <c r="D132" i="407" a="1"/>
  <c r="D132" i="407"/>
  <c r="I132" i="407" s="1"/>
  <c r="D136" i="407" a="1"/>
  <c r="D136" i="407" s="1"/>
  <c r="I136" i="407" s="1"/>
  <c r="D141" i="407" a="1"/>
  <c r="D141" i="407"/>
  <c r="I141" i="407"/>
  <c r="D155" i="407" a="1"/>
  <c r="D155" i="407"/>
  <c r="F33" i="408" a="1"/>
  <c r="F33" i="408" s="1"/>
  <c r="G33" i="408" s="1"/>
  <c r="F40" i="408" a="1"/>
  <c r="F40" i="408" s="1"/>
  <c r="G40" i="408" s="1"/>
  <c r="H40" i="408" s="1"/>
  <c r="F44" i="408" a="1"/>
  <c r="F44" i="408" s="1"/>
  <c r="F56" i="408" a="1"/>
  <c r="F56" i="408" s="1"/>
  <c r="F59" i="408" a="1"/>
  <c r="F59" i="408" s="1"/>
  <c r="G59" i="408" s="1"/>
  <c r="F62" i="408" a="1"/>
  <c r="F62" i="408" s="1"/>
  <c r="G62" i="408" s="1"/>
  <c r="F64" i="408" a="1"/>
  <c r="F64" i="408" s="1"/>
  <c r="F82" i="408" a="1"/>
  <c r="F82" i="408" s="1"/>
  <c r="G82" i="408" s="1"/>
  <c r="F86" i="408" a="1"/>
  <c r="F86" i="408" s="1"/>
  <c r="F89" i="408" a="1"/>
  <c r="F89" i="408" s="1"/>
  <c r="F91" i="408" a="1"/>
  <c r="F91" i="408" s="1"/>
  <c r="F95" i="408" a="1"/>
  <c r="F95" i="408" s="1"/>
  <c r="G95" i="408" s="1"/>
  <c r="F98" i="408" a="1"/>
  <c r="F98" i="408" s="1"/>
  <c r="F102" i="408" a="1"/>
  <c r="F102" i="408" s="1"/>
  <c r="G102" i="408" s="1"/>
  <c r="F106" i="408" a="1"/>
  <c r="F106" i="408" s="1"/>
  <c r="F110" i="408" a="1"/>
  <c r="F110" i="408" s="1"/>
  <c r="F114" i="408" a="1"/>
  <c r="F114" i="408" s="1"/>
  <c r="F118" i="408" a="1"/>
  <c r="F118" i="408" s="1"/>
  <c r="F122" i="408" a="1"/>
  <c r="F122" i="408" s="1"/>
  <c r="F129" i="408" a="1"/>
  <c r="F129" i="408" s="1"/>
  <c r="G129" i="408" s="1"/>
  <c r="F133" i="408" a="1"/>
  <c r="F133" i="408" s="1"/>
  <c r="G133" i="408" s="1"/>
  <c r="F137" i="408" a="1"/>
  <c r="F137" i="408" s="1"/>
  <c r="G137" i="408" s="1"/>
  <c r="F142" i="408" a="1"/>
  <c r="F142" i="408" s="1"/>
  <c r="G142" i="408" s="1"/>
  <c r="F156" i="408" a="1"/>
  <c r="F156" i="408" s="1"/>
  <c r="F160" i="408" a="1"/>
  <c r="F160" i="408" s="1"/>
  <c r="F163" i="408" a="1"/>
  <c r="F163" i="408" s="1"/>
  <c r="C78" i="393"/>
  <c r="C77" i="393"/>
  <c r="C76" i="393"/>
  <c r="C38" i="354" a="1"/>
  <c r="C38" i="354"/>
  <c r="C43" i="354" a="1"/>
  <c r="C43" i="354" s="1"/>
  <c r="C57" i="354" a="1"/>
  <c r="C57" i="354" s="1"/>
  <c r="C29" i="254" a="1"/>
  <c r="C29" i="254" s="1"/>
  <c r="C44" i="254" a="1"/>
  <c r="C44" i="254"/>
  <c r="C45" i="254" a="1"/>
  <c r="C45" i="254"/>
  <c r="A47" i="254"/>
  <c r="A48" i="254" s="1"/>
  <c r="C67" i="254" a="1"/>
  <c r="C67" i="254"/>
  <c r="C78" i="254" a="1"/>
  <c r="C78" i="254" s="1"/>
  <c r="C81" i="254" a="1"/>
  <c r="C81" i="254"/>
  <c r="C87" i="254" a="1"/>
  <c r="C87" i="254"/>
  <c r="C8" i="324" a="1"/>
  <c r="C8" i="324" s="1"/>
  <c r="C23" i="324" a="1"/>
  <c r="C23" i="324" s="1"/>
  <c r="C25" i="324" a="1"/>
  <c r="C25" i="324"/>
  <c r="A61" i="324"/>
  <c r="A62" i="324"/>
  <c r="A12" i="339"/>
  <c r="A13" i="339" s="1"/>
  <c r="A54" i="339"/>
  <c r="A55" i="339"/>
  <c r="F7" i="353" a="1"/>
  <c r="F7" i="353" s="1"/>
  <c r="F42" i="360" a="1"/>
  <c r="F42" i="360" s="1"/>
  <c r="F58" i="360" a="1"/>
  <c r="F58" i="360" s="1"/>
  <c r="G58" i="360" s="1"/>
  <c r="F86" i="360" a="1"/>
  <c r="F86" i="360" s="1"/>
  <c r="G86" i="360" s="1"/>
  <c r="F16" i="389" a="1"/>
  <c r="F16" i="389" s="1"/>
  <c r="F20" i="389" a="1"/>
  <c r="F20" i="389" s="1"/>
  <c r="F52" i="389" a="1"/>
  <c r="F52" i="389" s="1"/>
  <c r="F59" i="389" a="1"/>
  <c r="F59" i="389" s="1"/>
  <c r="G59" i="389" s="1"/>
  <c r="F71" i="389" a="1"/>
  <c r="F71" i="389" s="1"/>
  <c r="F79" i="389" a="1"/>
  <c r="F79" i="389" s="1"/>
  <c r="F90" i="389" a="1"/>
  <c r="F90" i="389" s="1"/>
  <c r="G90" i="389" s="1"/>
  <c r="F95" i="389" a="1"/>
  <c r="F95" i="389" s="1"/>
  <c r="F115" i="389" a="1"/>
  <c r="F115" i="389" s="1"/>
  <c r="G115" i="389" s="1"/>
  <c r="F122" i="389" a="1"/>
  <c r="F122" i="389" s="1"/>
  <c r="G122" i="389" s="1"/>
  <c r="H122" i="389" s="1"/>
  <c r="F137" i="389" a="1"/>
  <c r="F137" i="389" s="1"/>
  <c r="D42" i="407" a="1"/>
  <c r="D42" i="407"/>
  <c r="I42" i="407"/>
  <c r="D45" i="407" a="1"/>
  <c r="D45" i="407"/>
  <c r="I45" i="407" s="1"/>
  <c r="D60" i="407" a="1"/>
  <c r="D60" i="407" s="1"/>
  <c r="I60" i="407" s="1"/>
  <c r="C9" i="354" a="1"/>
  <c r="C9" i="354" s="1"/>
  <c r="C18" i="354" a="1"/>
  <c r="C18" i="354" s="1"/>
  <c r="C23" i="354" a="1"/>
  <c r="C23" i="354" s="1"/>
  <c r="D29" i="354" a="1"/>
  <c r="D29" i="354" s="1"/>
  <c r="C32" i="354" a="1"/>
  <c r="C32" i="354"/>
  <c r="C33" i="354"/>
  <c r="C37" i="354" a="1"/>
  <c r="C37" i="354"/>
  <c r="C46" i="354" a="1"/>
  <c r="C46" i="354" s="1"/>
  <c r="C51" i="354" a="1"/>
  <c r="C51" i="354"/>
  <c r="C60" i="354" a="1"/>
  <c r="C60" i="354" s="1"/>
  <c r="C65" i="354" a="1"/>
  <c r="C65" i="354" s="1"/>
  <c r="D66" i="354" a="1"/>
  <c r="D66" i="354" s="1"/>
  <c r="D71" i="354" a="1"/>
  <c r="D71" i="354" s="1"/>
  <c r="C74" i="354" a="1"/>
  <c r="C74" i="354"/>
  <c r="C79" i="354" a="1"/>
  <c r="C79" i="354" s="1"/>
  <c r="D85" i="354" a="1"/>
  <c r="D85" i="354" s="1"/>
  <c r="C88" i="354" a="1"/>
  <c r="C88" i="354" s="1"/>
  <c r="C89" i="354" s="1"/>
  <c r="D8" i="254" a="1"/>
  <c r="D8" i="254" s="1"/>
  <c r="D11" i="254" a="1"/>
  <c r="D11" i="254" s="1"/>
  <c r="C16" i="254" a="1"/>
  <c r="C16" i="254" s="1"/>
  <c r="C18" i="254" a="1"/>
  <c r="C18" i="254" s="1"/>
  <c r="A26" i="254"/>
  <c r="A27" i="254" s="1"/>
  <c r="C43" i="254" a="1"/>
  <c r="C43" i="254" s="1"/>
  <c r="C46" i="254" a="1"/>
  <c r="C46" i="254" s="1"/>
  <c r="A61" i="254"/>
  <c r="A62" i="254" s="1"/>
  <c r="D67" i="254" a="1"/>
  <c r="D67" i="254" s="1"/>
  <c r="D68" i="254" s="1"/>
  <c r="A75" i="254"/>
  <c r="A76" i="254" s="1"/>
  <c r="C86" i="254" a="1"/>
  <c r="C86" i="254" s="1"/>
  <c r="C88" i="254" a="1"/>
  <c r="C88" i="254" s="1"/>
  <c r="C16" i="324" a="1"/>
  <c r="C16" i="324" s="1"/>
  <c r="C22" i="324" a="1"/>
  <c r="C22" i="324" s="1"/>
  <c r="D25" i="324" a="1"/>
  <c r="D25" i="324" s="1"/>
  <c r="D26" i="324" s="1"/>
  <c r="C30" i="324" a="1"/>
  <c r="C30" i="324" s="1"/>
  <c r="C37" i="324" a="1"/>
  <c r="C37" i="324"/>
  <c r="C44" i="324" a="1"/>
  <c r="C44" i="324" s="1"/>
  <c r="C46" i="324" a="1"/>
  <c r="C46" i="324" s="1"/>
  <c r="A47" i="324"/>
  <c r="A48" i="324" s="1"/>
  <c r="D53" i="324" a="1"/>
  <c r="D53" i="324" s="1"/>
  <c r="C57" i="324" a="1"/>
  <c r="C57" i="324" s="1"/>
  <c r="C60" i="324" a="1"/>
  <c r="C60" i="324" s="1"/>
  <c r="C71" i="324" a="1"/>
  <c r="C71" i="324" s="1"/>
  <c r="D74" i="324" a="1"/>
  <c r="D74" i="324" s="1"/>
  <c r="C79" i="324" a="1"/>
  <c r="C79" i="324"/>
  <c r="C80" i="324" a="1"/>
  <c r="C80" i="324" s="1"/>
  <c r="C8" i="339" a="1"/>
  <c r="C8" i="339" s="1"/>
  <c r="C11" i="339" a="1"/>
  <c r="C11" i="339" s="1"/>
  <c r="C22" i="339" a="1"/>
  <c r="C22" i="339" s="1"/>
  <c r="C30" i="339" a="1"/>
  <c r="C30" i="339" s="1"/>
  <c r="C36" i="339" a="1"/>
  <c r="C36" i="339" s="1"/>
  <c r="C38" i="339" a="1"/>
  <c r="C38" i="339" s="1"/>
  <c r="A40" i="339"/>
  <c r="A41" i="339" s="1"/>
  <c r="C46" i="339" a="1"/>
  <c r="C46" i="339" s="1"/>
  <c r="C51" i="339" a="1"/>
  <c r="C51" i="339"/>
  <c r="C53" i="339" a="1"/>
  <c r="C53" i="339"/>
  <c r="C72" i="339" a="1"/>
  <c r="C72" i="339" s="1"/>
  <c r="C73" i="339" a="1"/>
  <c r="C73" i="339"/>
  <c r="A75" i="339"/>
  <c r="A76" i="339"/>
  <c r="D81" i="339" a="1"/>
  <c r="D81" i="339" s="1"/>
  <c r="C85" i="339" a="1"/>
  <c r="C85" i="339" s="1"/>
  <c r="C88" i="339" a="1"/>
  <c r="C88" i="339" s="1"/>
  <c r="E22" i="346" a="1"/>
  <c r="E22" i="346" s="1"/>
  <c r="G22" i="346" s="1"/>
  <c r="E23" i="346" a="1"/>
  <c r="E23" i="346" s="1"/>
  <c r="G23" i="346" s="1"/>
  <c r="E24" i="346" a="1"/>
  <c r="E24" i="346" s="1"/>
  <c r="E26" i="346" a="1"/>
  <c r="E26" i="346" s="1"/>
  <c r="E38" i="346" a="1"/>
  <c r="E38" i="346" s="1"/>
  <c r="G38" i="346" s="1"/>
  <c r="E39" i="346" a="1"/>
  <c r="E39" i="346" s="1"/>
  <c r="G39" i="346" s="1"/>
  <c r="E40" i="346" a="1"/>
  <c r="E40" i="346" s="1"/>
  <c r="E42" i="346" a="1"/>
  <c r="E42" i="346" s="1"/>
  <c r="E54" i="346" a="1"/>
  <c r="E54" i="346" s="1"/>
  <c r="G54" i="346" s="1"/>
  <c r="E55" i="346" a="1"/>
  <c r="E55" i="346" s="1"/>
  <c r="G55" i="346" s="1"/>
  <c r="E56" i="346" a="1"/>
  <c r="E56" i="346" s="1"/>
  <c r="E58" i="346" a="1"/>
  <c r="E58" i="346" s="1"/>
  <c r="E70" i="346" a="1"/>
  <c r="E70" i="346" s="1"/>
  <c r="G70" i="346" s="1"/>
  <c r="E71" i="346" a="1"/>
  <c r="E71" i="346" s="1"/>
  <c r="E72" i="346" a="1"/>
  <c r="E72" i="346" s="1"/>
  <c r="G72" i="346" s="1"/>
  <c r="E74" i="346" a="1"/>
  <c r="E74" i="346" s="1"/>
  <c r="E86" i="346" a="1"/>
  <c r="E86" i="346" s="1"/>
  <c r="G86" i="346" s="1"/>
  <c r="E87" i="346" a="1"/>
  <c r="E87" i="346" s="1"/>
  <c r="G87" i="346" s="1"/>
  <c r="E88" i="346" a="1"/>
  <c r="E88" i="346" s="1"/>
  <c r="E90" i="346" a="1"/>
  <c r="E90" i="346" s="1"/>
  <c r="E102" i="346" a="1"/>
  <c r="E102" i="346" s="1"/>
  <c r="G102" i="346" s="1"/>
  <c r="E103" i="346" a="1"/>
  <c r="E103" i="346" s="1"/>
  <c r="G103" i="346" s="1"/>
  <c r="E104" i="346" a="1"/>
  <c r="E104" i="346" s="1"/>
  <c r="E106" i="346" a="1"/>
  <c r="E106" i="346" s="1"/>
  <c r="F8" i="345" a="1"/>
  <c r="F8" i="345" s="1"/>
  <c r="F10" i="345" a="1"/>
  <c r="F10" i="345" s="1"/>
  <c r="F12" i="345" a="1"/>
  <c r="F12" i="345" s="1"/>
  <c r="F14" i="345" a="1"/>
  <c r="F14" i="345" s="1"/>
  <c r="F16" i="345" a="1"/>
  <c r="F16" i="345" s="1"/>
  <c r="F18" i="345" a="1"/>
  <c r="F18" i="345" s="1"/>
  <c r="F13" i="360" a="1"/>
  <c r="F13" i="360" s="1"/>
  <c r="G13" i="360" s="1"/>
  <c r="F16" i="360" a="1"/>
  <c r="F16" i="360" s="1"/>
  <c r="G16" i="360" s="1"/>
  <c r="F23" i="360" a="1"/>
  <c r="F23" i="360" s="1"/>
  <c r="F31" i="360" a="1"/>
  <c r="F31" i="360" s="1"/>
  <c r="G31" i="360" s="1"/>
  <c r="F35" i="360" a="1"/>
  <c r="F35" i="360" s="1"/>
  <c r="F38" i="360" a="1"/>
  <c r="F38" i="360" s="1"/>
  <c r="G38" i="360" s="1"/>
  <c r="F41" i="360" a="1"/>
  <c r="F41" i="360" s="1"/>
  <c r="G41" i="360" s="1"/>
  <c r="F45" i="360" a="1"/>
  <c r="F45" i="360" s="1"/>
  <c r="G45" i="360" s="1"/>
  <c r="F55" i="360" a="1"/>
  <c r="F55" i="360" s="1"/>
  <c r="F57" i="360" a="1"/>
  <c r="F57" i="360" s="1"/>
  <c r="G57" i="360" s="1"/>
  <c r="F60" i="360" a="1"/>
  <c r="F60" i="360" s="1"/>
  <c r="G60" i="360" s="1"/>
  <c r="F66" i="360" a="1"/>
  <c r="F66" i="360" s="1"/>
  <c r="G66" i="360" s="1"/>
  <c r="F69" i="360" a="1"/>
  <c r="F69" i="360" s="1"/>
  <c r="G69" i="360" s="1"/>
  <c r="F71" i="360" a="1"/>
  <c r="F71" i="360" s="1"/>
  <c r="G71" i="360" s="1"/>
  <c r="F73" i="360" a="1"/>
  <c r="F73" i="360" s="1"/>
  <c r="G73" i="360" s="1"/>
  <c r="F79" i="360" a="1"/>
  <c r="F79" i="360" s="1"/>
  <c r="G79" i="360" s="1"/>
  <c r="F85" i="360" a="1"/>
  <c r="F85" i="360" s="1"/>
  <c r="G85" i="360" s="1"/>
  <c r="F88" i="360" a="1"/>
  <c r="F88" i="360" s="1"/>
  <c r="G88" i="360" s="1"/>
  <c r="F90" i="360" a="1"/>
  <c r="F90" i="360" s="1"/>
  <c r="G90" i="360" s="1"/>
  <c r="F93" i="360" a="1"/>
  <c r="F93" i="360" s="1"/>
  <c r="G93" i="360" s="1"/>
  <c r="H93" i="360" s="1"/>
  <c r="F96" i="360" a="1"/>
  <c r="F96" i="360" s="1"/>
  <c r="G96" i="360" s="1"/>
  <c r="F99" i="360" a="1"/>
  <c r="F99" i="360" s="1"/>
  <c r="G99" i="360" s="1"/>
  <c r="F101" i="360" a="1"/>
  <c r="F101" i="360" s="1"/>
  <c r="G101" i="360" s="1"/>
  <c r="F107" i="360" a="1"/>
  <c r="F107" i="360" s="1"/>
  <c r="G107" i="360" s="1"/>
  <c r="F110" i="360" a="1"/>
  <c r="F110" i="360" s="1"/>
  <c r="G110" i="360" s="1"/>
  <c r="F116" i="360" a="1"/>
  <c r="F116" i="360" s="1"/>
  <c r="G116" i="360" s="1"/>
  <c r="F120" i="360" a="1"/>
  <c r="F120" i="360" s="1"/>
  <c r="G120" i="360" s="1"/>
  <c r="F124" i="360" a="1"/>
  <c r="F124" i="360" s="1"/>
  <c r="G124" i="360" s="1"/>
  <c r="F126" i="360" a="1"/>
  <c r="F126" i="360" s="1"/>
  <c r="G126" i="360" s="1"/>
  <c r="F130" i="360" a="1"/>
  <c r="F130" i="360" s="1"/>
  <c r="G130" i="360" s="1"/>
  <c r="F134" i="360" a="1"/>
  <c r="F134" i="360" s="1"/>
  <c r="G134" i="360" s="1"/>
  <c r="F141" i="360" a="1"/>
  <c r="F141" i="360" s="1"/>
  <c r="G141" i="360" s="1"/>
  <c r="F145" i="360" a="1"/>
  <c r="F145" i="360" s="1"/>
  <c r="F144" i="360" s="1"/>
  <c r="F155" i="360" a="1"/>
  <c r="F155" i="360" s="1"/>
  <c r="G155" i="360" s="1"/>
  <c r="F161" i="360" a="1"/>
  <c r="F161" i="360" s="1"/>
  <c r="G161" i="360" s="1"/>
  <c r="F175" i="360" a="1"/>
  <c r="F175" i="360" s="1"/>
  <c r="F177" i="360" s="1"/>
  <c r="F12" i="389" a="1"/>
  <c r="F12" i="389" s="1"/>
  <c r="F23" i="389" a="1"/>
  <c r="F23" i="389" s="1"/>
  <c r="F31" i="389" a="1"/>
  <c r="F31" i="389" s="1"/>
  <c r="F35" i="389" a="1"/>
  <c r="F35" i="389" s="1"/>
  <c r="F44" i="389" a="1"/>
  <c r="F44" i="389" s="1"/>
  <c r="F56" i="389" a="1"/>
  <c r="F56" i="389" s="1"/>
  <c r="G56" i="389" s="1"/>
  <c r="F62" i="389" a="1"/>
  <c r="F62" i="389" s="1"/>
  <c r="F65" i="389" a="1"/>
  <c r="F65" i="389" s="1"/>
  <c r="G65" i="389" s="1"/>
  <c r="F81" i="389" a="1"/>
  <c r="F81" i="389" s="1"/>
  <c r="G81" i="389" s="1"/>
  <c r="F83" i="389" a="1"/>
  <c r="F83" i="389" s="1"/>
  <c r="F85" i="389" a="1"/>
  <c r="F85" i="389" s="1"/>
  <c r="G85" i="389" s="1"/>
  <c r="F87" i="389" a="1"/>
  <c r="F87" i="389" s="1"/>
  <c r="G87" i="389" s="1"/>
  <c r="F92" i="389" a="1"/>
  <c r="F92" i="389" s="1"/>
  <c r="F97" i="389" a="1"/>
  <c r="F97" i="389" s="1"/>
  <c r="F100" i="389" a="1"/>
  <c r="F100" i="389" s="1"/>
  <c r="F104" i="389" a="1"/>
  <c r="F104" i="389" s="1"/>
  <c r="G104" i="389" s="1"/>
  <c r="F108" i="389" a="1"/>
  <c r="F108" i="389" s="1"/>
  <c r="F114" i="389" a="1"/>
  <c r="F114" i="389" s="1"/>
  <c r="F118" i="389" a="1"/>
  <c r="F118" i="389" s="1"/>
  <c r="F121" i="389" a="1"/>
  <c r="F121" i="389" s="1"/>
  <c r="G121" i="389" s="1"/>
  <c r="F125" i="389" a="1"/>
  <c r="F125" i="389" s="1"/>
  <c r="F128" i="389" a="1"/>
  <c r="F128" i="389" s="1"/>
  <c r="F132" i="389" a="1"/>
  <c r="F132" i="389" s="1"/>
  <c r="G132" i="389" s="1"/>
  <c r="F136" i="389" a="1"/>
  <c r="F136" i="389" s="1"/>
  <c r="G136" i="389" s="1"/>
  <c r="F141" i="389" a="1"/>
  <c r="F141" i="389" s="1"/>
  <c r="F157" i="389" a="1"/>
  <c r="F157" i="389" s="1"/>
  <c r="F160" i="389" a="1"/>
  <c r="F160" i="389" s="1"/>
  <c r="F163" i="389" a="1"/>
  <c r="F163" i="389" s="1"/>
  <c r="D12" i="407" a="1"/>
  <c r="D12" i="407" s="1"/>
  <c r="F17" i="407" a="1"/>
  <c r="F17" i="407" s="1"/>
  <c r="G17" i="407" s="1"/>
  <c r="D18" i="407" a="1"/>
  <c r="D18" i="407"/>
  <c r="I18" i="407" s="1"/>
  <c r="D22" i="407" a="1"/>
  <c r="D22" i="407"/>
  <c r="D30" i="407" a="1"/>
  <c r="D30" i="407"/>
  <c r="F33" i="407" a="1"/>
  <c r="F33" i="407" s="1"/>
  <c r="D34" i="407" a="1"/>
  <c r="D34" i="407" s="1"/>
  <c r="I34" i="407" s="1"/>
  <c r="D37" i="407" a="1"/>
  <c r="D37" i="407" s="1"/>
  <c r="F40" i="407" a="1"/>
  <c r="F40" i="407" s="1"/>
  <c r="D41" i="407" a="1"/>
  <c r="D41" i="407" s="1"/>
  <c r="I41" i="407" s="1"/>
  <c r="F44" i="407" a="1"/>
  <c r="F44" i="407" s="1"/>
  <c r="D52" i="407" a="1"/>
  <c r="D52" i="407"/>
  <c r="D54" i="407" a="1"/>
  <c r="D54" i="407" s="1"/>
  <c r="I54" i="407" s="1"/>
  <c r="F56" i="407" a="1"/>
  <c r="F56" i="407" s="1"/>
  <c r="D59" i="407" a="1"/>
  <c r="D59" i="407" s="1"/>
  <c r="I59" i="407" s="1"/>
  <c r="D62" i="407" a="1"/>
  <c r="D62" i="407" s="1"/>
  <c r="D64" i="407" a="1"/>
  <c r="D64" i="407" s="1"/>
  <c r="I64" i="407" s="1"/>
  <c r="F66" i="407" a="1"/>
  <c r="F66" i="407" s="1"/>
  <c r="G66" i="407" s="1"/>
  <c r="D67" i="407" a="1"/>
  <c r="D67" i="407" s="1"/>
  <c r="F69" i="407" a="1"/>
  <c r="F69" i="407" s="1"/>
  <c r="F71" i="407" a="1"/>
  <c r="F71" i="407" s="1"/>
  <c r="G71" i="407" s="1"/>
  <c r="F73" i="407" a="1"/>
  <c r="F73" i="407" s="1"/>
  <c r="G73" i="407" s="1"/>
  <c r="D74" i="407" a="1"/>
  <c r="D74" i="407" s="1"/>
  <c r="I74" i="407" s="1"/>
  <c r="F79" i="407" a="1"/>
  <c r="F79" i="407" s="1"/>
  <c r="G79" i="407" s="1"/>
  <c r="D82" i="407" a="1"/>
  <c r="D82" i="407"/>
  <c r="F84" i="407" a="1"/>
  <c r="F84" i="407" s="1"/>
  <c r="G84" i="407" s="1"/>
  <c r="H84" i="407" s="1"/>
  <c r="D85" i="407" a="1"/>
  <c r="D85" i="407" s="1"/>
  <c r="I85" i="407" s="1"/>
  <c r="F87" i="407" a="1"/>
  <c r="F87" i="407" s="1"/>
  <c r="D88" i="407" a="1"/>
  <c r="D88" i="407" s="1"/>
  <c r="D90" i="407" a="1"/>
  <c r="D90" i="407"/>
  <c r="F92" i="407" a="1"/>
  <c r="F92" i="407" s="1"/>
  <c r="D93" i="407" a="1"/>
  <c r="D93" i="407" s="1"/>
  <c r="I93" i="407" s="1"/>
  <c r="F95" i="407" a="1"/>
  <c r="F95" i="407" s="1"/>
  <c r="G95" i="407" s="1"/>
  <c r="F98" i="407" a="1"/>
  <c r="F98" i="407" s="1"/>
  <c r="D99" i="407" a="1"/>
  <c r="D99" i="407" s="1"/>
  <c r="I99" i="407" s="1"/>
  <c r="F102" i="407" a="1"/>
  <c r="F102" i="407" s="1"/>
  <c r="G102" i="407" s="1"/>
  <c r="D103" i="407" a="1"/>
  <c r="D103" i="407" s="1"/>
  <c r="I103" i="407" s="1"/>
  <c r="F106" i="407" a="1"/>
  <c r="F106" i="407" s="1"/>
  <c r="D107" i="407" a="1"/>
  <c r="D107" i="407"/>
  <c r="I107" i="407" s="1"/>
  <c r="F110" i="407" a="1"/>
  <c r="F110" i="407" s="1"/>
  <c r="G110" i="407" s="1"/>
  <c r="H110" i="407" s="1"/>
  <c r="D111" i="407" a="1"/>
  <c r="D111" i="407" s="1"/>
  <c r="I111" i="407" s="1"/>
  <c r="F113" i="407" a="1"/>
  <c r="F113" i="407" s="1"/>
  <c r="D114" i="407" a="1"/>
  <c r="D114" i="407" s="1"/>
  <c r="I114" i="407" s="1"/>
  <c r="F117" i="407" a="1"/>
  <c r="F117" i="407" s="1"/>
  <c r="G117" i="407" s="1"/>
  <c r="H117" i="407" s="1"/>
  <c r="D118" i="407" a="1"/>
  <c r="D118" i="407" s="1"/>
  <c r="F120" i="407" a="1"/>
  <c r="F120" i="407" s="1"/>
  <c r="F123" i="407" a="1"/>
  <c r="F123" i="407" s="1"/>
  <c r="D124" i="407" a="1"/>
  <c r="D124" i="407"/>
  <c r="I124" i="407" s="1"/>
  <c r="F126" i="407" a="1"/>
  <c r="F126" i="407" s="1"/>
  <c r="D127" i="407" a="1"/>
  <c r="D127" i="407" s="1"/>
  <c r="I127" i="407" s="1"/>
  <c r="F130" i="407" a="1"/>
  <c r="F130" i="407" s="1"/>
  <c r="G130" i="407" s="1"/>
  <c r="D131" i="407" a="1"/>
  <c r="D131" i="407" s="1"/>
  <c r="I131" i="407" s="1"/>
  <c r="F134" i="407" a="1"/>
  <c r="F134" i="407" s="1"/>
  <c r="D135" i="407" a="1"/>
  <c r="D135" i="407" s="1"/>
  <c r="I135" i="407" s="1"/>
  <c r="F140" i="407" a="1"/>
  <c r="F140" i="407" s="1"/>
  <c r="F143" i="407" a="1"/>
  <c r="F143" i="407" s="1"/>
  <c r="F157" i="407" a="1"/>
  <c r="F157" i="407" s="1"/>
  <c r="G157" i="407" s="1"/>
  <c r="D158" i="407" a="1"/>
  <c r="D158" i="407"/>
  <c r="F160" i="407" a="1"/>
  <c r="F160" i="407" s="1"/>
  <c r="D163" i="407" a="1"/>
  <c r="D163" i="407" s="1"/>
  <c r="I163" i="407" s="1"/>
  <c r="F175" i="407" a="1"/>
  <c r="F175" i="407" s="1"/>
  <c r="F177" i="407" s="1"/>
  <c r="F10" i="408" a="1"/>
  <c r="F10" i="408" s="1"/>
  <c r="G10" i="408" s="1"/>
  <c r="F14" i="408" a="1"/>
  <c r="F14" i="408" s="1"/>
  <c r="G14" i="408" s="1"/>
  <c r="F17" i="408" a="1"/>
  <c r="F17" i="408" s="1"/>
  <c r="G17" i="408" s="1"/>
  <c r="F20" i="408" a="1"/>
  <c r="F20" i="408" s="1"/>
  <c r="G20" i="408" s="1"/>
  <c r="F28" i="408" a="1"/>
  <c r="F28" i="408" s="1"/>
  <c r="F39" i="408" a="1"/>
  <c r="F39" i="408" s="1"/>
  <c r="G39" i="408" s="1"/>
  <c r="F43" i="408" a="1"/>
  <c r="F43" i="408" s="1"/>
  <c r="F53" i="408" a="1"/>
  <c r="F53" i="408" s="1"/>
  <c r="F58" i="408" a="1"/>
  <c r="F58" i="408" s="1"/>
  <c r="G58" i="408" s="1"/>
  <c r="F68" i="408" a="1"/>
  <c r="F68" i="408" s="1"/>
  <c r="F70" i="408" a="1"/>
  <c r="F70" i="408" s="1"/>
  <c r="F72" i="408" a="1"/>
  <c r="F72" i="408" s="1"/>
  <c r="G72" i="408" s="1"/>
  <c r="F81" i="408" a="1"/>
  <c r="F81" i="408" s="1"/>
  <c r="G81" i="408" s="1"/>
  <c r="F85" i="408" a="1"/>
  <c r="F85" i="408" s="1"/>
  <c r="F88" i="408" a="1"/>
  <c r="F88" i="408" s="1"/>
  <c r="F94" i="408" a="1"/>
  <c r="F94" i="408" s="1"/>
  <c r="F97" i="408" a="1"/>
  <c r="F97" i="408" s="1"/>
  <c r="G97" i="408" s="1"/>
  <c r="F101" i="408" a="1"/>
  <c r="F101" i="408" s="1"/>
  <c r="F105" i="408" a="1"/>
  <c r="F105" i="408" s="1"/>
  <c r="F109" i="408" a="1"/>
  <c r="F109" i="408" s="1"/>
  <c r="F113" i="408" a="1"/>
  <c r="F113" i="408" s="1"/>
  <c r="F117" i="408" a="1"/>
  <c r="F117" i="408" s="1"/>
  <c r="F121" i="408" a="1"/>
  <c r="F121" i="408" s="1"/>
  <c r="G121" i="408" s="1"/>
  <c r="F125" i="408" a="1"/>
  <c r="F125" i="408" s="1"/>
  <c r="F128" i="408" a="1"/>
  <c r="F128" i="408" s="1"/>
  <c r="F132" i="408" a="1"/>
  <c r="F132" i="408" s="1"/>
  <c r="F136" i="408" a="1"/>
  <c r="F136" i="408" s="1"/>
  <c r="G136" i="408" s="1"/>
  <c r="F141" i="408" a="1"/>
  <c r="F141" i="408" s="1"/>
  <c r="F145" i="408" a="1"/>
  <c r="F145" i="408" s="1"/>
  <c r="F144" i="408" s="1"/>
  <c r="F155" i="408" a="1"/>
  <c r="F155" i="408" s="1"/>
  <c r="F159" i="408" a="1"/>
  <c r="F159" i="408" s="1"/>
  <c r="F175" i="408" a="1"/>
  <c r="F175" i="408" s="1"/>
  <c r="F177" i="408" s="1"/>
  <c r="D18" i="392" a="1"/>
  <c r="D18" i="392" s="1"/>
  <c r="I18" i="392" s="1"/>
  <c r="D22" i="392" a="1"/>
  <c r="D22" i="392"/>
  <c r="D26" i="392" a="1"/>
  <c r="D26" i="392"/>
  <c r="D34" i="392" a="1"/>
  <c r="D34" i="392" s="1"/>
  <c r="I34" i="392" s="1"/>
  <c r="D40" i="392" a="1"/>
  <c r="D40" i="392" s="1"/>
  <c r="D43" i="392" a="1"/>
  <c r="D43" i="392"/>
  <c r="I43" i="392"/>
  <c r="D53" i="392" a="1"/>
  <c r="D53" i="392"/>
  <c r="F58" i="392" a="1"/>
  <c r="F58" i="392" s="1"/>
  <c r="F61" i="392" a="1"/>
  <c r="F61" i="392" s="1"/>
  <c r="F63" i="392" a="1"/>
  <c r="F63" i="392" s="1"/>
  <c r="G63" i="392" s="1"/>
  <c r="F66" i="392" a="1"/>
  <c r="F66" i="392" s="1"/>
  <c r="D67" i="392" a="1"/>
  <c r="D67" i="392"/>
  <c r="F69" i="392" a="1"/>
  <c r="F69" i="392" s="1"/>
  <c r="G69" i="392" s="1"/>
  <c r="F71" i="392" a="1"/>
  <c r="F71" i="392" s="1"/>
  <c r="G71" i="392" s="1"/>
  <c r="F73" i="392" a="1"/>
  <c r="F73" i="392" s="1"/>
  <c r="D74" i="392" a="1"/>
  <c r="D74" i="392" s="1"/>
  <c r="I74" i="392" s="1"/>
  <c r="F79" i="392" a="1"/>
  <c r="F79" i="392" s="1"/>
  <c r="G79" i="392" s="1"/>
  <c r="D82" i="392" a="1"/>
  <c r="D82" i="392" s="1"/>
  <c r="D84" i="392" a="1"/>
  <c r="D84" i="392" s="1"/>
  <c r="D86" i="392" a="1"/>
  <c r="D86" i="392" s="1"/>
  <c r="F88" i="392" a="1"/>
  <c r="F88" i="392" s="1"/>
  <c r="G88" i="392" s="1"/>
  <c r="F90" i="392" a="1"/>
  <c r="F90" i="392" s="1"/>
  <c r="F93" i="392" a="1"/>
  <c r="F93" i="392" s="1"/>
  <c r="G93" i="392" s="1"/>
  <c r="F95" i="392" a="1"/>
  <c r="F95" i="392" s="1"/>
  <c r="F98" i="392" a="1"/>
  <c r="F98" i="392" s="1"/>
  <c r="G98" i="392" s="1"/>
  <c r="D99" i="392" a="1"/>
  <c r="D99" i="392" s="1"/>
  <c r="F101" i="392" a="1"/>
  <c r="F101" i="392" s="1"/>
  <c r="D102" i="392" a="1"/>
  <c r="D102" i="392"/>
  <c r="I102" i="392"/>
  <c r="F105" i="392" a="1"/>
  <c r="F105" i="392" s="1"/>
  <c r="D106" i="392" a="1"/>
  <c r="D106" i="392" s="1"/>
  <c r="I106" i="392" s="1"/>
  <c r="F109" i="392" a="1"/>
  <c r="F109" i="392" s="1"/>
  <c r="D110" i="392" a="1"/>
  <c r="D110" i="392" s="1"/>
  <c r="I110" i="392" s="1"/>
  <c r="F112" i="392" a="1"/>
  <c r="F112" i="392" s="1"/>
  <c r="F115" i="392" a="1"/>
  <c r="F115" i="392" s="1"/>
  <c r="D116" i="392" a="1"/>
  <c r="D116" i="392" s="1"/>
  <c r="I116" i="392" s="1"/>
  <c r="D119" i="392" a="1"/>
  <c r="D119" i="392"/>
  <c r="I119" i="392"/>
  <c r="F122" i="392" a="1"/>
  <c r="F122" i="392" s="1"/>
  <c r="G122" i="392" s="1"/>
  <c r="D123" i="392" a="1"/>
  <c r="D123" i="392" s="1"/>
  <c r="I123" i="392" s="1"/>
  <c r="F126" i="392" a="1"/>
  <c r="F126" i="392" s="1"/>
  <c r="D127" i="392" a="1"/>
  <c r="D127" i="392" s="1"/>
  <c r="I127" i="392" s="1"/>
  <c r="F130" i="392" a="1"/>
  <c r="F130" i="392" s="1"/>
  <c r="G130" i="392" s="1"/>
  <c r="D131" i="392" a="1"/>
  <c r="D131" i="392"/>
  <c r="I131" i="392" s="1"/>
  <c r="F134" i="392" a="1"/>
  <c r="F134" i="392" s="1"/>
  <c r="D135" i="392" a="1"/>
  <c r="D135" i="392"/>
  <c r="I135" i="392"/>
  <c r="F140" i="392" a="1"/>
  <c r="F140" i="392" s="1"/>
  <c r="F155" i="392" a="1"/>
  <c r="F155" i="392" s="1"/>
  <c r="G155" i="392" s="1"/>
  <c r="D156" i="392" a="1"/>
  <c r="D156" i="392" s="1"/>
  <c r="D159" i="392" a="1"/>
  <c r="D159" i="392"/>
  <c r="I159" i="392" s="1"/>
  <c r="F161" i="392" a="1"/>
  <c r="F161" i="392" s="1"/>
  <c r="D162" i="392" a="1"/>
  <c r="D162" i="392" s="1"/>
  <c r="F175" i="392" a="1"/>
  <c r="F175" i="392" s="1"/>
  <c r="F177" i="392" s="1"/>
  <c r="D175" i="395" a="1"/>
  <c r="D175" i="395" s="1"/>
  <c r="D161" i="395" a="1"/>
  <c r="D161" i="395" s="1"/>
  <c r="I161" i="395" s="1"/>
  <c r="D158" i="395" a="1"/>
  <c r="D158" i="395"/>
  <c r="D135" i="395" a="1"/>
  <c r="D135" i="395" s="1"/>
  <c r="I135" i="395" s="1"/>
  <c r="D131" i="395" a="1"/>
  <c r="D131" i="395" s="1"/>
  <c r="I131" i="395" s="1"/>
  <c r="D127" i="395" a="1"/>
  <c r="D127" i="395" s="1"/>
  <c r="I127" i="395" s="1"/>
  <c r="D124" i="395" a="1"/>
  <c r="D124" i="395" s="1"/>
  <c r="I124" i="395" s="1"/>
  <c r="D120" i="395" a="1"/>
  <c r="D120" i="395"/>
  <c r="I120" i="395" s="1"/>
  <c r="D117" i="395" a="1"/>
  <c r="D117" i="395" s="1"/>
  <c r="I117" i="395" s="1"/>
  <c r="D113" i="395" a="1"/>
  <c r="D113" i="395"/>
  <c r="I113" i="395" s="1"/>
  <c r="D111" i="395" a="1"/>
  <c r="D111" i="395"/>
  <c r="D107" i="395" a="1"/>
  <c r="D107" i="395"/>
  <c r="I107" i="395" s="1"/>
  <c r="D103" i="395" a="1"/>
  <c r="D103" i="395"/>
  <c r="I103" i="395"/>
  <c r="D99" i="395" a="1"/>
  <c r="D99" i="395" s="1"/>
  <c r="I99" i="395" s="1"/>
  <c r="D95" i="395" a="1"/>
  <c r="D95" i="395" s="1"/>
  <c r="I95" i="395" s="1"/>
  <c r="D92" i="395" a="1"/>
  <c r="D92" i="395" s="1"/>
  <c r="I92" i="395" s="1"/>
  <c r="D89" i="395" a="1"/>
  <c r="D89" i="395" s="1"/>
  <c r="I89" i="395" s="1"/>
  <c r="D84" i="395" a="1"/>
  <c r="D84" i="395" s="1"/>
  <c r="I84" i="395" s="1"/>
  <c r="D14" i="395" a="1"/>
  <c r="D14" i="395"/>
  <c r="I14" i="395" s="1"/>
  <c r="F17" i="395" a="1"/>
  <c r="F17" i="395" s="1"/>
  <c r="D18" i="395" a="1"/>
  <c r="D18" i="395" s="1"/>
  <c r="I18" i="395" s="1"/>
  <c r="F18" i="395" a="1"/>
  <c r="F18" i="395" s="1"/>
  <c r="G18" i="395" s="1"/>
  <c r="F22" i="395" a="1"/>
  <c r="F22" i="395" s="1"/>
  <c r="G22" i="395" s="1"/>
  <c r="D23" i="395" a="1"/>
  <c r="D23" i="395"/>
  <c r="I23" i="395" s="1"/>
  <c r="F26" i="395" a="1"/>
  <c r="F26" i="395" s="1"/>
  <c r="G26" i="395" s="1"/>
  <c r="D31" i="395" a="1"/>
  <c r="D31" i="395" s="1"/>
  <c r="F34" i="395" a="1"/>
  <c r="F34" i="395" s="1"/>
  <c r="G34" i="395" s="1"/>
  <c r="D35" i="395" a="1"/>
  <c r="D35" i="395"/>
  <c r="I35" i="395" s="1"/>
  <c r="F37" i="395" a="1"/>
  <c r="F37" i="395" s="1"/>
  <c r="D38" i="395" a="1"/>
  <c r="D38" i="395" s="1"/>
  <c r="I38" i="395" s="1"/>
  <c r="F41" i="395" a="1"/>
  <c r="F41" i="395" s="1"/>
  <c r="D42" i="395" a="1"/>
  <c r="D42" i="395"/>
  <c r="I42" i="395"/>
  <c r="D45" i="395" a="1"/>
  <c r="D45" i="395"/>
  <c r="I45" i="395" s="1"/>
  <c r="D53" i="395" a="1"/>
  <c r="D53" i="395" s="1"/>
  <c r="D56" i="395" a="1"/>
  <c r="D56" i="395"/>
  <c r="I56" i="395" s="1"/>
  <c r="D59" i="395" a="1"/>
  <c r="D59" i="395" s="1"/>
  <c r="I59" i="395" s="1"/>
  <c r="D62" i="395" a="1"/>
  <c r="D62" i="395"/>
  <c r="D64" i="395" a="1"/>
  <c r="D64" i="395"/>
  <c r="I64" i="395"/>
  <c r="F67" i="395" a="1"/>
  <c r="F67" i="395" s="1"/>
  <c r="G67" i="395" s="1"/>
  <c r="D68" i="395" a="1"/>
  <c r="D68" i="395" s="1"/>
  <c r="D70" i="395" a="1"/>
  <c r="D70" i="395" s="1"/>
  <c r="D72" i="395" a="1"/>
  <c r="D72" i="395"/>
  <c r="F74" i="395" a="1"/>
  <c r="F74" i="395" s="1"/>
  <c r="D80" i="395" a="1"/>
  <c r="D80" i="395" s="1"/>
  <c r="D85" i="395" a="1"/>
  <c r="D85" i="395"/>
  <c r="D86" i="395" a="1"/>
  <c r="D86" i="395" s="1"/>
  <c r="F90" i="395" a="1"/>
  <c r="F90" i="395" s="1"/>
  <c r="F96" i="395" a="1"/>
  <c r="F96" i="395" s="1"/>
  <c r="D97" i="395" a="1"/>
  <c r="D97" i="395"/>
  <c r="I97" i="395" s="1"/>
  <c r="D104" i="395" a="1"/>
  <c r="D104" i="395" s="1"/>
  <c r="I104" i="395" s="1"/>
  <c r="D106" i="395" a="1"/>
  <c r="D106" i="395" s="1"/>
  <c r="I106" i="395" s="1"/>
  <c r="F107" i="395" a="1"/>
  <c r="F107" i="395" s="1"/>
  <c r="G107" i="395" s="1"/>
  <c r="F109" i="395" a="1"/>
  <c r="F109" i="395" s="1"/>
  <c r="D118" i="395" a="1"/>
  <c r="D118" i="395"/>
  <c r="D119" i="395" a="1"/>
  <c r="D119" i="395"/>
  <c r="I119" i="395"/>
  <c r="F120" i="395" a="1"/>
  <c r="F120" i="395" s="1"/>
  <c r="G120" i="395" s="1"/>
  <c r="H120" i="395" s="1"/>
  <c r="F122" i="395" a="1"/>
  <c r="F122" i="395" s="1"/>
  <c r="F125" i="395" a="1"/>
  <c r="F125" i="395" s="1"/>
  <c r="G125" i="395" s="1"/>
  <c r="I125" i="395" s="1"/>
  <c r="D132" i="395" a="1"/>
  <c r="D132" i="395" s="1"/>
  <c r="I132" i="395" s="1"/>
  <c r="D134" i="395" a="1"/>
  <c r="D134" i="395" s="1"/>
  <c r="I134" i="395" s="1"/>
  <c r="F135" i="395" a="1"/>
  <c r="F135" i="395" s="1"/>
  <c r="G135" i="395" s="1"/>
  <c r="D141" i="395" a="1"/>
  <c r="D141" i="395"/>
  <c r="I141" i="395"/>
  <c r="D143" i="395" a="1"/>
  <c r="D143" i="395"/>
  <c r="I143" i="395"/>
  <c r="D159" i="395" a="1"/>
  <c r="D159" i="395"/>
  <c r="I159" i="395" s="1"/>
  <c r="D7" i="396"/>
  <c r="F10" i="396" a="1"/>
  <c r="F10" i="396" s="1"/>
  <c r="F14" i="396" a="1"/>
  <c r="F14" i="396" s="1"/>
  <c r="F18" i="396" a="1"/>
  <c r="F18" i="396" s="1"/>
  <c r="F22" i="396" a="1"/>
  <c r="F22" i="396" s="1"/>
  <c r="F31" i="396" a="1"/>
  <c r="F31" i="396" s="1"/>
  <c r="G31" i="396" s="1"/>
  <c r="F70" i="396" a="1"/>
  <c r="F70" i="396" s="1"/>
  <c r="F83" i="396" a="1"/>
  <c r="F83" i="396" s="1"/>
  <c r="F106" i="396" a="1"/>
  <c r="F106" i="396" s="1"/>
  <c r="F112" i="396" a="1"/>
  <c r="F112" i="396" s="1"/>
  <c r="F118" i="396" a="1"/>
  <c r="F118" i="396" s="1"/>
  <c r="F122" i="396" a="1"/>
  <c r="F122" i="396" s="1"/>
  <c r="G122" i="396" s="1"/>
  <c r="F134" i="396" a="1"/>
  <c r="F134" i="396" s="1"/>
  <c r="C36" i="393"/>
  <c r="C51" i="398"/>
  <c r="C50" i="398" s="1"/>
  <c r="C78" i="398"/>
  <c r="C77" i="398" s="1"/>
  <c r="C78" i="399"/>
  <c r="C77" i="399"/>
  <c r="C76" i="399" s="1"/>
  <c r="C78" i="401"/>
  <c r="C77" i="401" s="1"/>
  <c r="C76" i="401" s="1"/>
  <c r="C147" i="401" s="1"/>
  <c r="C11" i="254" a="1"/>
  <c r="C11" i="254" s="1"/>
  <c r="C17" i="254" a="1"/>
  <c r="C17" i="254"/>
  <c r="A89" i="339"/>
  <c r="A90" i="339"/>
  <c r="F39" i="360" a="1"/>
  <c r="F39" i="360" s="1"/>
  <c r="G39" i="360" s="1"/>
  <c r="F53" i="360" a="1"/>
  <c r="F53" i="360" s="1"/>
  <c r="G53" i="360" s="1"/>
  <c r="F61" i="360" a="1"/>
  <c r="F61" i="360" s="1"/>
  <c r="G61" i="360" s="1"/>
  <c r="F102" i="360" a="1"/>
  <c r="F102" i="360" s="1"/>
  <c r="G102" i="360" s="1"/>
  <c r="H102" i="360" s="1"/>
  <c r="F108" i="360" a="1"/>
  <c r="F108" i="360" s="1"/>
  <c r="G108" i="360" s="1"/>
  <c r="F111" i="360" a="1"/>
  <c r="F111" i="360" s="1"/>
  <c r="G111" i="360" s="1"/>
  <c r="F114" i="360" a="1"/>
  <c r="F114" i="360" s="1"/>
  <c r="G114" i="360" s="1"/>
  <c r="F117" i="360" a="1"/>
  <c r="F117" i="360" s="1"/>
  <c r="G117" i="360" s="1"/>
  <c r="H117" i="360" s="1"/>
  <c r="F131" i="360" a="1"/>
  <c r="F131" i="360" s="1"/>
  <c r="G131" i="360" s="1"/>
  <c r="F156" i="360" a="1"/>
  <c r="F156" i="360" s="1"/>
  <c r="G156" i="360" s="1"/>
  <c r="F159" i="360" a="1"/>
  <c r="F159" i="360" s="1"/>
  <c r="F162" i="360" a="1"/>
  <c r="F162" i="360" s="1"/>
  <c r="G162" i="360" s="1"/>
  <c r="F41" i="389" a="1"/>
  <c r="F41" i="389" s="1"/>
  <c r="F63" i="389" a="1"/>
  <c r="F63" i="389" s="1"/>
  <c r="F66" i="389" a="1"/>
  <c r="F66" i="389" s="1"/>
  <c r="F69" i="389" a="1"/>
  <c r="F69" i="389" s="1"/>
  <c r="F88" i="389" a="1"/>
  <c r="F88" i="389" s="1"/>
  <c r="D13" i="407" a="1"/>
  <c r="D13" i="407"/>
  <c r="I13" i="407" s="1"/>
  <c r="D16" i="407" a="1"/>
  <c r="D16" i="407" s="1"/>
  <c r="D38" i="407" a="1"/>
  <c r="D38" i="407" s="1"/>
  <c r="I38" i="407" s="1"/>
  <c r="D55" i="407" a="1"/>
  <c r="D55" i="407"/>
  <c r="D57" i="407" a="1"/>
  <c r="D57" i="407" s="1"/>
  <c r="I57" i="407" s="1"/>
  <c r="D65" i="407" a="1"/>
  <c r="D65" i="407" s="1"/>
  <c r="D68" i="407" a="1"/>
  <c r="D68" i="407"/>
  <c r="D72" i="407" a="1"/>
  <c r="D72" i="407" s="1"/>
  <c r="D81" i="254" a="1"/>
  <c r="D81" i="254" s="1"/>
  <c r="C18" i="324" a="1"/>
  <c r="C18" i="324" s="1"/>
  <c r="D25" i="339" a="1"/>
  <c r="D25" i="339" s="1"/>
  <c r="D46" i="339" a="1"/>
  <c r="D46" i="339"/>
  <c r="D67" i="339" a="1"/>
  <c r="D67" i="339"/>
  <c r="D68" i="339" s="1"/>
  <c r="F26" i="346" a="1"/>
  <c r="F26" i="346" s="1"/>
  <c r="F42" i="346" a="1"/>
  <c r="F42" i="346" s="1"/>
  <c r="F43" i="346" s="1"/>
  <c r="F58" i="346" a="1"/>
  <c r="F58" i="346" s="1"/>
  <c r="F59" i="346" s="1"/>
  <c r="F74" i="346" a="1"/>
  <c r="F74" i="346" s="1"/>
  <c r="F90" i="346" a="1"/>
  <c r="F90" i="346" s="1"/>
  <c r="G90" i="346" s="1"/>
  <c r="F106" i="346" a="1"/>
  <c r="F106" i="346" s="1"/>
  <c r="F107" i="346" s="1"/>
  <c r="E10" i="353" a="1"/>
  <c r="E10" i="353" s="1"/>
  <c r="E14" i="353" a="1"/>
  <c r="E14" i="353" s="1"/>
  <c r="E18" i="353" a="1"/>
  <c r="E18" i="353" s="1"/>
  <c r="F6" i="360"/>
  <c r="F12" i="360" a="1"/>
  <c r="F12" i="360" s="1"/>
  <c r="G12" i="360" s="1"/>
  <c r="F18" i="360" a="1"/>
  <c r="F18" i="360" s="1"/>
  <c r="G18" i="360" s="1"/>
  <c r="F22" i="360" a="1"/>
  <c r="F22" i="360" s="1"/>
  <c r="G22" i="360" s="1"/>
  <c r="F26" i="360" a="1"/>
  <c r="F26" i="360" s="1"/>
  <c r="G26" i="360" s="1"/>
  <c r="F30" i="360" a="1"/>
  <c r="F30" i="360" s="1"/>
  <c r="F34" i="360" a="1"/>
  <c r="F34" i="360" s="1"/>
  <c r="G34" i="360" s="1"/>
  <c r="F37" i="360" a="1"/>
  <c r="F37" i="360" s="1"/>
  <c r="G37" i="360" s="1"/>
  <c r="F44" i="360" a="1"/>
  <c r="F44" i="360" s="1"/>
  <c r="G44" i="360" s="1"/>
  <c r="F52" i="360" a="1"/>
  <c r="F52" i="360" s="1"/>
  <c r="G52" i="360" s="1"/>
  <c r="F54" i="360" a="1"/>
  <c r="F54" i="360" s="1"/>
  <c r="G54" i="360" s="1"/>
  <c r="F59" i="360" a="1"/>
  <c r="F59" i="360" s="1"/>
  <c r="G59" i="360" s="1"/>
  <c r="F62" i="360" a="1"/>
  <c r="F62" i="360" s="1"/>
  <c r="G62" i="360" s="1"/>
  <c r="F65" i="360" a="1"/>
  <c r="F65" i="360" s="1"/>
  <c r="G65" i="360" s="1"/>
  <c r="F81" i="360" a="1"/>
  <c r="F81" i="360" s="1"/>
  <c r="G81" i="360" s="1"/>
  <c r="F84" i="360" a="1"/>
  <c r="F84" i="360" s="1"/>
  <c r="G84" i="360" s="1"/>
  <c r="F87" i="360" a="1"/>
  <c r="F87" i="360" s="1"/>
  <c r="G87" i="360" s="1"/>
  <c r="F92" i="360" a="1"/>
  <c r="F92" i="360" s="1"/>
  <c r="G92" i="360" s="1"/>
  <c r="F95" i="360" a="1"/>
  <c r="F95" i="360" s="1"/>
  <c r="G95" i="360" s="1"/>
  <c r="F103" i="360" a="1"/>
  <c r="F103" i="360" s="1"/>
  <c r="G103" i="360" s="1"/>
  <c r="F106" i="360" a="1"/>
  <c r="F106" i="360" s="1"/>
  <c r="G106" i="360" s="1"/>
  <c r="F113" i="360" a="1"/>
  <c r="F113" i="360" s="1"/>
  <c r="G113" i="360" s="1"/>
  <c r="F115" i="360" a="1"/>
  <c r="F115" i="360" s="1"/>
  <c r="G115" i="360" s="1"/>
  <c r="F119" i="360" a="1"/>
  <c r="F119" i="360" s="1"/>
  <c r="G119" i="360" s="1"/>
  <c r="F123" i="360" a="1"/>
  <c r="F123" i="360" s="1"/>
  <c r="G123" i="360" s="1"/>
  <c r="F129" i="360" a="1"/>
  <c r="F129" i="360" s="1"/>
  <c r="G129" i="360" s="1"/>
  <c r="F133" i="360" a="1"/>
  <c r="F133" i="360" s="1"/>
  <c r="G133" i="360" s="1"/>
  <c r="F137" i="360" a="1"/>
  <c r="F137" i="360" s="1"/>
  <c r="G137" i="360" s="1"/>
  <c r="F140" i="360" a="1"/>
  <c r="F140" i="360" s="1"/>
  <c r="G140" i="360" s="1"/>
  <c r="F143" i="360" a="1"/>
  <c r="F143" i="360" s="1"/>
  <c r="E143" i="360" s="1"/>
  <c r="E139" i="360" s="1"/>
  <c r="F158" i="360" a="1"/>
  <c r="F158" i="360" s="1"/>
  <c r="G158" i="360" s="1"/>
  <c r="F163" i="360" a="1"/>
  <c r="F163" i="360" s="1"/>
  <c r="G163" i="360" s="1"/>
  <c r="F6" i="389"/>
  <c r="F14" i="389" a="1"/>
  <c r="F14" i="389" s="1"/>
  <c r="G14" i="389" s="1"/>
  <c r="F18" i="389" a="1"/>
  <c r="F18" i="389" s="1"/>
  <c r="F22" i="389" a="1"/>
  <c r="F22" i="389" s="1"/>
  <c r="G22" i="389" s="1"/>
  <c r="F34" i="389" a="1"/>
  <c r="F34" i="389" s="1"/>
  <c r="G34" i="389" s="1"/>
  <c r="F37" i="389" a="1"/>
  <c r="F37" i="389" s="1"/>
  <c r="F40" i="389" a="1"/>
  <c r="F40" i="389" s="1"/>
  <c r="F43" i="389" a="1"/>
  <c r="F43" i="389" s="1"/>
  <c r="F53" i="389" a="1"/>
  <c r="F53" i="389" s="1"/>
  <c r="F58" i="389" a="1"/>
  <c r="F58" i="389" s="1"/>
  <c r="F61" i="389" a="1"/>
  <c r="F61" i="389" s="1"/>
  <c r="F64" i="389" a="1"/>
  <c r="F64" i="389" s="1"/>
  <c r="F68" i="389" a="1"/>
  <c r="F68" i="389" s="1"/>
  <c r="G68" i="389" s="1"/>
  <c r="F70" i="389" a="1"/>
  <c r="F70" i="389" s="1"/>
  <c r="G70" i="389" s="1"/>
  <c r="F72" i="389" a="1"/>
  <c r="F72" i="389" s="1"/>
  <c r="F80" i="389" a="1"/>
  <c r="F80" i="389" s="1"/>
  <c r="G80" i="389" s="1"/>
  <c r="F89" i="389" a="1"/>
  <c r="F89" i="389" s="1"/>
  <c r="F91" i="389" a="1"/>
  <c r="F91" i="389" s="1"/>
  <c r="G91" i="389" s="1"/>
  <c r="F94" i="389" a="1"/>
  <c r="F94" i="389" s="1"/>
  <c r="F96" i="389" a="1"/>
  <c r="F96" i="389" s="1"/>
  <c r="F103" i="389" a="1"/>
  <c r="F103" i="389" s="1"/>
  <c r="G103" i="389" s="1"/>
  <c r="F107" i="389" a="1"/>
  <c r="F107" i="389" s="1"/>
  <c r="F111" i="389" a="1"/>
  <c r="F111" i="389" s="1"/>
  <c r="F113" i="389" a="1"/>
  <c r="F113" i="389" s="1"/>
  <c r="F117" i="389" a="1"/>
  <c r="F117" i="389" s="1"/>
  <c r="F120" i="389" a="1"/>
  <c r="F120" i="389" s="1"/>
  <c r="F124" i="389" a="1"/>
  <c r="F124" i="389" s="1"/>
  <c r="G124" i="389" s="1"/>
  <c r="F127" i="389" a="1"/>
  <c r="F127" i="389" s="1"/>
  <c r="F131" i="389" a="1"/>
  <c r="F131" i="389" s="1"/>
  <c r="F135" i="389" a="1"/>
  <c r="F135" i="389" s="1"/>
  <c r="F156" i="389" a="1"/>
  <c r="F156" i="389" s="1"/>
  <c r="G156" i="389" s="1"/>
  <c r="F159" i="389" a="1"/>
  <c r="F159" i="389" s="1"/>
  <c r="G159" i="389" s="1"/>
  <c r="H159" i="389" s="1"/>
  <c r="F175" i="389" a="1"/>
  <c r="F175" i="389" s="1"/>
  <c r="F10" i="407" a="1"/>
  <c r="F10" i="407" s="1"/>
  <c r="G10" i="407" s="1"/>
  <c r="F14" i="407" a="1"/>
  <c r="F14" i="407" s="1"/>
  <c r="G14" i="407" s="1"/>
  <c r="D17" i="407" a="1"/>
  <c r="D17" i="407"/>
  <c r="I17" i="407" s="1"/>
  <c r="F20" i="407" a="1"/>
  <c r="F20" i="407" s="1"/>
  <c r="F28" i="407" a="1"/>
  <c r="F28" i="407" s="1"/>
  <c r="G28" i="407" s="1"/>
  <c r="H28" i="407" s="1"/>
  <c r="D33" i="407" a="1"/>
  <c r="D33" i="407"/>
  <c r="F39" i="407" a="1"/>
  <c r="F39" i="407" s="1"/>
  <c r="G39" i="407" s="1"/>
  <c r="D40" i="407" a="1"/>
  <c r="D40" i="407" s="1"/>
  <c r="I40" i="407" s="1"/>
  <c r="F43" i="407" a="1"/>
  <c r="F43" i="407" s="1"/>
  <c r="G43" i="407" s="1"/>
  <c r="D44" i="407" a="1"/>
  <c r="D44" i="407" s="1"/>
  <c r="F53" i="407" a="1"/>
  <c r="F53" i="407" s="1"/>
  <c r="G53" i="407" s="1"/>
  <c r="D56" i="407" a="1"/>
  <c r="D56" i="407" s="1"/>
  <c r="F58" i="407" a="1"/>
  <c r="F58" i="407" s="1"/>
  <c r="G58" i="407" s="1"/>
  <c r="H58" i="407" s="1"/>
  <c r="F61" i="407" a="1"/>
  <c r="F61" i="407" s="1"/>
  <c r="F63" i="407" a="1"/>
  <c r="F63" i="407" s="1"/>
  <c r="D66" i="407" a="1"/>
  <c r="D66" i="407"/>
  <c r="I66" i="407"/>
  <c r="D69" i="407" a="1"/>
  <c r="D69" i="407"/>
  <c r="D71" i="407" a="1"/>
  <c r="D71" i="407" s="1"/>
  <c r="D73" i="407" a="1"/>
  <c r="D73" i="407"/>
  <c r="I73" i="407" s="1"/>
  <c r="D79" i="407" a="1"/>
  <c r="D79" i="407"/>
  <c r="F81" i="407" a="1"/>
  <c r="F81" i="407" s="1"/>
  <c r="F83" i="407" a="1"/>
  <c r="F83" i="407" s="1"/>
  <c r="D84" i="407" a="1"/>
  <c r="D84" i="407" s="1"/>
  <c r="I84" i="407" s="1"/>
  <c r="D87" i="407" a="1"/>
  <c r="D87" i="407"/>
  <c r="I87" i="407" s="1"/>
  <c r="F89" i="407" a="1"/>
  <c r="F89" i="407" s="1"/>
  <c r="F91" i="407" a="1"/>
  <c r="F91" i="407" s="1"/>
  <c r="G91" i="407" s="1"/>
  <c r="D92" i="407" a="1"/>
  <c r="D92" i="407" s="1"/>
  <c r="I92" i="407" s="1"/>
  <c r="D95" i="407" a="1"/>
  <c r="D95" i="407"/>
  <c r="F97" i="407" a="1"/>
  <c r="F97" i="407" s="1"/>
  <c r="D98" i="407" a="1"/>
  <c r="D98" i="407"/>
  <c r="I98" i="407" s="1"/>
  <c r="F101" i="407" a="1"/>
  <c r="F101" i="407" s="1"/>
  <c r="D102" i="407" a="1"/>
  <c r="D102" i="407"/>
  <c r="I102" i="407"/>
  <c r="F105" i="407" a="1"/>
  <c r="F105" i="407" s="1"/>
  <c r="D106" i="407" a="1"/>
  <c r="D106" i="407" s="1"/>
  <c r="I106" i="407" s="1"/>
  <c r="F109" i="407" a="1"/>
  <c r="F109" i="407" s="1"/>
  <c r="G109" i="407" s="1"/>
  <c r="H109" i="407" s="1"/>
  <c r="D110" i="407" a="1"/>
  <c r="D110" i="407" s="1"/>
  <c r="I110" i="407" s="1"/>
  <c r="D113" i="407" a="1"/>
  <c r="D113" i="407" s="1"/>
  <c r="I113" i="407" s="1"/>
  <c r="F116" i="407" a="1"/>
  <c r="F116" i="407" s="1"/>
  <c r="G116" i="407" s="1"/>
  <c r="D117" i="407" a="1"/>
  <c r="D117" i="407" s="1"/>
  <c r="I117" i="407" s="1"/>
  <c r="F119" i="407" a="1"/>
  <c r="F119" i="407" s="1"/>
  <c r="G119" i="407" s="1"/>
  <c r="D120" i="407" a="1"/>
  <c r="D120" i="407"/>
  <c r="F122" i="407" a="1"/>
  <c r="F122" i="407" s="1"/>
  <c r="D123" i="407" a="1"/>
  <c r="D123" i="407" s="1"/>
  <c r="I123" i="407" s="1"/>
  <c r="D126" i="407" a="1"/>
  <c r="D126" i="407"/>
  <c r="I126" i="407"/>
  <c r="F129" i="407" a="1"/>
  <c r="F129" i="407" s="1"/>
  <c r="D130" i="407" a="1"/>
  <c r="D130" i="407" s="1"/>
  <c r="I130" i="407" s="1"/>
  <c r="F133" i="407" a="1"/>
  <c r="F133" i="407" s="1"/>
  <c r="D134" i="407" a="1"/>
  <c r="D134" i="407" s="1"/>
  <c r="I134" i="407" s="1"/>
  <c r="F137" i="407" a="1"/>
  <c r="F137" i="407" s="1"/>
  <c r="D140" i="407" a="1"/>
  <c r="D140" i="407" s="1"/>
  <c r="F142" i="407" a="1"/>
  <c r="F142" i="407" s="1"/>
  <c r="D143" i="407" a="1"/>
  <c r="D143" i="407" s="1"/>
  <c r="I143" i="407" s="1"/>
  <c r="F156" i="407" a="1"/>
  <c r="F156" i="407" s="1"/>
  <c r="D157" i="407" a="1"/>
  <c r="D157" i="407"/>
  <c r="F159" i="407" a="1"/>
  <c r="F159" i="407" s="1"/>
  <c r="D160" i="407" a="1"/>
  <c r="D160" i="407" s="1"/>
  <c r="D175" i="407" a="1"/>
  <c r="D175" i="407" s="1"/>
  <c r="D177" i="407" s="1"/>
  <c r="F6" i="408"/>
  <c r="F13" i="408" a="1"/>
  <c r="F13" i="408" s="1"/>
  <c r="G13" i="408" s="1"/>
  <c r="F16" i="408" a="1"/>
  <c r="F16" i="408" s="1"/>
  <c r="F23" i="408" a="1"/>
  <c r="F23" i="408" s="1"/>
  <c r="F31" i="408" a="1"/>
  <c r="F31" i="408" s="1"/>
  <c r="F35" i="408" a="1"/>
  <c r="F35" i="408" s="1"/>
  <c r="G35" i="408" s="1"/>
  <c r="F38" i="408" a="1"/>
  <c r="F38" i="408" s="1"/>
  <c r="G38" i="408" s="1"/>
  <c r="F42" i="408" a="1"/>
  <c r="F42" i="408" s="1"/>
  <c r="F45" i="408" a="1"/>
  <c r="F45" i="408" s="1"/>
  <c r="G45" i="408" s="1"/>
  <c r="F55" i="408" a="1"/>
  <c r="F55" i="408" s="1"/>
  <c r="G55" i="408" s="1"/>
  <c r="F57" i="408" a="1"/>
  <c r="F57" i="408" s="1"/>
  <c r="G57" i="408" s="1"/>
  <c r="H57" i="408" s="1"/>
  <c r="F61" i="408" a="1"/>
  <c r="F61" i="408" s="1"/>
  <c r="G61" i="408" s="1"/>
  <c r="F63" i="408" a="1"/>
  <c r="F63" i="408" s="1"/>
  <c r="F67" i="408" a="1"/>
  <c r="F67" i="408" s="1"/>
  <c r="G67" i="408" s="1"/>
  <c r="F74" i="408" a="1"/>
  <c r="F74" i="408" s="1"/>
  <c r="F80" i="408" a="1"/>
  <c r="F80" i="408" s="1"/>
  <c r="G80" i="408" s="1"/>
  <c r="F84" i="408" a="1"/>
  <c r="F84" i="408" s="1"/>
  <c r="G84" i="408" s="1"/>
  <c r="F87" i="408" a="1"/>
  <c r="F87" i="408" s="1"/>
  <c r="F90" i="408" a="1"/>
  <c r="F90" i="408" s="1"/>
  <c r="F93" i="408" a="1"/>
  <c r="F93" i="408" s="1"/>
  <c r="F100" i="408" a="1"/>
  <c r="F100" i="408" s="1"/>
  <c r="F104" i="408" a="1"/>
  <c r="F104" i="408" s="1"/>
  <c r="F108" i="408" a="1"/>
  <c r="F108" i="408" s="1"/>
  <c r="F112" i="408" a="1"/>
  <c r="F112" i="408" s="1"/>
  <c r="G112" i="408" s="1"/>
  <c r="F116" i="408" a="1"/>
  <c r="F116" i="408" s="1"/>
  <c r="F120" i="408" a="1"/>
  <c r="F120" i="408" s="1"/>
  <c r="F124" i="408" a="1"/>
  <c r="F124" i="408" s="1"/>
  <c r="G124" i="408" s="1"/>
  <c r="F127" i="408" a="1"/>
  <c r="F127" i="408" s="1"/>
  <c r="F131" i="408" a="1"/>
  <c r="F131" i="408" s="1"/>
  <c r="F135" i="408" a="1"/>
  <c r="F135" i="408" s="1"/>
  <c r="F158" i="408" a="1"/>
  <c r="F158" i="408" s="1"/>
  <c r="F162" i="408" a="1"/>
  <c r="F162" i="408" s="1"/>
  <c r="F10" i="392" a="1"/>
  <c r="F10" i="392" s="1"/>
  <c r="G10" i="392" s="1"/>
  <c r="D13" i="392" a="1"/>
  <c r="D13" i="392" s="1"/>
  <c r="I13" i="392" s="1"/>
  <c r="F16" i="392" a="1"/>
  <c r="F16" i="392" s="1"/>
  <c r="D17" i="392" a="1"/>
  <c r="D17" i="392" s="1"/>
  <c r="I17" i="392" s="1"/>
  <c r="F20" i="392" a="1"/>
  <c r="F20" i="392" s="1"/>
  <c r="G20" i="392" s="1"/>
  <c r="D30" i="392" a="1"/>
  <c r="D30" i="392" s="1"/>
  <c r="D33" i="392" a="1"/>
  <c r="D33" i="392" s="1"/>
  <c r="F38" i="392" a="1"/>
  <c r="F38" i="392" s="1"/>
  <c r="G38" i="392" s="1"/>
  <c r="D39" i="392" a="1"/>
  <c r="D39" i="392" s="1"/>
  <c r="I39" i="392" s="1"/>
  <c r="F41" i="392" a="1"/>
  <c r="F41" i="392" s="1"/>
  <c r="G41" i="392" s="1"/>
  <c r="D42" i="392" a="1"/>
  <c r="D42" i="392" s="1"/>
  <c r="I42" i="392" s="1"/>
  <c r="D45" i="392" a="1"/>
  <c r="D45" i="392" s="1"/>
  <c r="I45" i="392" s="1"/>
  <c r="F52" i="392" a="1"/>
  <c r="F52" i="392" s="1"/>
  <c r="G52" i="392" s="1"/>
  <c r="F55" i="392" a="1"/>
  <c r="F55" i="392" s="1"/>
  <c r="G55" i="392" s="1"/>
  <c r="F57" i="392" a="1"/>
  <c r="F57" i="392" s="1"/>
  <c r="D58" i="392" a="1"/>
  <c r="D58" i="392" s="1"/>
  <c r="F60" i="392" a="1"/>
  <c r="F60" i="392" s="1"/>
  <c r="D61" i="392" a="1"/>
  <c r="D61" i="392" s="1"/>
  <c r="D63" i="392" a="1"/>
  <c r="D63" i="392" s="1"/>
  <c r="F65" i="392" a="1"/>
  <c r="F65" i="392" s="1"/>
  <c r="D66" i="392" a="1"/>
  <c r="D66" i="392"/>
  <c r="I66" i="392" s="1"/>
  <c r="D69" i="392" a="1"/>
  <c r="D69" i="392"/>
  <c r="D71" i="392" a="1"/>
  <c r="D71" i="392"/>
  <c r="D73" i="392" a="1"/>
  <c r="D73" i="392" s="1"/>
  <c r="I73" i="392" s="1"/>
  <c r="D79" i="392" a="1"/>
  <c r="D79" i="392" s="1"/>
  <c r="F81" i="392" a="1"/>
  <c r="F81" i="392" s="1"/>
  <c r="F83" i="392" a="1"/>
  <c r="F83" i="392" s="1"/>
  <c r="G83" i="392" s="1"/>
  <c r="F85" i="392" a="1"/>
  <c r="F85" i="392" s="1"/>
  <c r="F87" i="392" a="1"/>
  <c r="F87" i="392" s="1"/>
  <c r="D88" i="392" a="1"/>
  <c r="D88" i="392"/>
  <c r="D90" i="392" a="1"/>
  <c r="D90" i="392" s="1"/>
  <c r="F92" i="392" a="1"/>
  <c r="F92" i="392" s="1"/>
  <c r="D93" i="392" a="1"/>
  <c r="D93" i="392"/>
  <c r="D95" i="392" a="1"/>
  <c r="D95" i="392" s="1"/>
  <c r="F97" i="392" a="1"/>
  <c r="F97" i="392" s="1"/>
  <c r="D98" i="392" a="1"/>
  <c r="D98" i="392" s="1"/>
  <c r="I98" i="392" s="1"/>
  <c r="F100" i="392" a="1"/>
  <c r="F100" i="392" s="1"/>
  <c r="D101" i="392" a="1"/>
  <c r="D101" i="392" s="1"/>
  <c r="I101" i="392" s="1"/>
  <c r="F104" i="392" a="1"/>
  <c r="F104" i="392" s="1"/>
  <c r="G104" i="392" s="1"/>
  <c r="D105" i="392" a="1"/>
  <c r="D105" i="392" s="1"/>
  <c r="I105" i="392" s="1"/>
  <c r="F108" i="392" a="1"/>
  <c r="F108" i="392" s="1"/>
  <c r="D109" i="392" a="1"/>
  <c r="D109" i="392" s="1"/>
  <c r="I109" i="392" s="1"/>
  <c r="D112" i="392" a="1"/>
  <c r="D112" i="392"/>
  <c r="F114" i="392" a="1"/>
  <c r="F114" i="392" s="1"/>
  <c r="D115" i="392" a="1"/>
  <c r="D115" i="392"/>
  <c r="I115" i="392" s="1"/>
  <c r="F118" i="392" a="1"/>
  <c r="F118" i="392" s="1"/>
  <c r="F121" i="392" a="1"/>
  <c r="F121" i="392" s="1"/>
  <c r="G121" i="392" s="1"/>
  <c r="D122" i="392" a="1"/>
  <c r="D122" i="392" s="1"/>
  <c r="I122" i="392" s="1"/>
  <c r="F125" i="392" a="1"/>
  <c r="F125" i="392" s="1"/>
  <c r="G125" i="392" s="1"/>
  <c r="D126" i="392" a="1"/>
  <c r="D126" i="392"/>
  <c r="I126" i="392" s="1"/>
  <c r="F129" i="392" a="1"/>
  <c r="F129" i="392" s="1"/>
  <c r="D130" i="392" a="1"/>
  <c r="D130" i="392"/>
  <c r="I130" i="392" s="1"/>
  <c r="F133" i="392" a="1"/>
  <c r="F133" i="392" s="1"/>
  <c r="G133" i="392" s="1"/>
  <c r="D134" i="392" a="1"/>
  <c r="D134" i="392" s="1"/>
  <c r="I134" i="392" s="1"/>
  <c r="F137" i="392" a="1"/>
  <c r="F137" i="392" s="1"/>
  <c r="D140" i="392" a="1"/>
  <c r="D140" i="392" s="1"/>
  <c r="F142" i="392" a="1"/>
  <c r="F142" i="392" s="1"/>
  <c r="D143" i="392" a="1"/>
  <c r="D143" i="392"/>
  <c r="I143" i="392"/>
  <c r="F145" i="392" a="1"/>
  <c r="F145" i="392" s="1"/>
  <c r="F144" i="392" s="1"/>
  <c r="D155" i="392" a="1"/>
  <c r="D155" i="392" s="1"/>
  <c r="F158" i="392" a="1"/>
  <c r="F158" i="392" s="1"/>
  <c r="D161" i="392" a="1"/>
  <c r="D161" i="392" s="1"/>
  <c r="I161" i="392" s="1"/>
  <c r="F163" i="395" a="1"/>
  <c r="F163" i="395" s="1"/>
  <c r="G163" i="395" s="1"/>
  <c r="F160" i="395" a="1"/>
  <c r="F160" i="395" s="1"/>
  <c r="G160" i="395" s="1"/>
  <c r="F157" i="395" a="1"/>
  <c r="F157" i="395" s="1"/>
  <c r="F140" i="395" a="1"/>
  <c r="F140" i="395" s="1"/>
  <c r="G140" i="395" s="1"/>
  <c r="F134" i="395" a="1"/>
  <c r="F134" i="395" s="1"/>
  <c r="F130" i="395" a="1"/>
  <c r="F130" i="395" s="1"/>
  <c r="G130" i="395" s="1"/>
  <c r="H130" i="395" s="1"/>
  <c r="F126" i="395" a="1"/>
  <c r="F126" i="395" s="1"/>
  <c r="G126" i="395" s="1"/>
  <c r="F123" i="395" a="1"/>
  <c r="F123" i="395" s="1"/>
  <c r="G123" i="395" s="1"/>
  <c r="F119" i="395" a="1"/>
  <c r="F119" i="395" s="1"/>
  <c r="F116" i="395" a="1"/>
  <c r="F116" i="395" s="1"/>
  <c r="F110" i="395" a="1"/>
  <c r="F110" i="395" s="1"/>
  <c r="F106" i="395" a="1"/>
  <c r="F106" i="395" s="1"/>
  <c r="G106" i="395" s="1"/>
  <c r="F102" i="395" a="1"/>
  <c r="F102" i="395" s="1"/>
  <c r="G102" i="395" s="1"/>
  <c r="H102" i="395" s="1"/>
  <c r="F98" i="395" a="1"/>
  <c r="F98" i="395" s="1"/>
  <c r="F91" i="395" a="1"/>
  <c r="F91" i="395" s="1"/>
  <c r="F86" i="395" a="1"/>
  <c r="F86" i="395" s="1"/>
  <c r="F83" i="395" a="1"/>
  <c r="F83" i="395" s="1"/>
  <c r="F10" i="395" a="1"/>
  <c r="F10" i="395" s="1"/>
  <c r="G10" i="395" s="1"/>
  <c r="D13" i="395" a="1"/>
  <c r="D13" i="395" s="1"/>
  <c r="I13" i="395" s="1"/>
  <c r="F16" i="395" a="1"/>
  <c r="F16" i="395" s="1"/>
  <c r="G16" i="395" s="1"/>
  <c r="H16" i="395" s="1"/>
  <c r="D17" i="395" a="1"/>
  <c r="D17" i="395" s="1"/>
  <c r="I17" i="395" s="1"/>
  <c r="D22" i="395" a="1"/>
  <c r="D22" i="395"/>
  <c r="D26" i="395" a="1"/>
  <c r="D26" i="395" s="1"/>
  <c r="F28" i="395" a="1"/>
  <c r="F28" i="395" s="1"/>
  <c r="G28" i="395" s="1"/>
  <c r="F30" i="395" a="1"/>
  <c r="F30" i="395" s="1"/>
  <c r="F33" i="395" a="1"/>
  <c r="F33" i="395" s="1"/>
  <c r="D34" i="395" a="1"/>
  <c r="D34" i="395"/>
  <c r="I34" i="395" s="1"/>
  <c r="D37" i="395" a="1"/>
  <c r="D37" i="395"/>
  <c r="F40" i="395" a="1"/>
  <c r="F40" i="395" s="1"/>
  <c r="D41" i="395" a="1"/>
  <c r="D41" i="395" s="1"/>
  <c r="I41" i="395" s="1"/>
  <c r="F44" i="395" a="1"/>
  <c r="F44" i="395" s="1"/>
  <c r="D52" i="395" a="1"/>
  <c r="D52" i="395" s="1"/>
  <c r="F52" i="395" a="1"/>
  <c r="F52" i="395" s="1"/>
  <c r="G52" i="395" s="1"/>
  <c r="H52" i="395" s="1"/>
  <c r="F55" i="395" a="1"/>
  <c r="F55" i="395" s="1"/>
  <c r="G55" i="395" s="1"/>
  <c r="F58" i="395" a="1"/>
  <c r="F58" i="395" s="1"/>
  <c r="G58" i="395" s="1"/>
  <c r="F61" i="395" a="1"/>
  <c r="F61" i="395" s="1"/>
  <c r="G61" i="395" s="1"/>
  <c r="F63" i="395" a="1"/>
  <c r="F63" i="395" s="1"/>
  <c r="F66" i="395" a="1"/>
  <c r="F66" i="395" s="1"/>
  <c r="D67" i="395" a="1"/>
  <c r="D67" i="395" s="1"/>
  <c r="F69" i="395" a="1"/>
  <c r="F69" i="395" s="1"/>
  <c r="G69" i="395" s="1"/>
  <c r="F71" i="395" a="1"/>
  <c r="F71" i="395" s="1"/>
  <c r="F73" i="395" a="1"/>
  <c r="F73" i="395" s="1"/>
  <c r="G73" i="395" s="1"/>
  <c r="D74" i="395" a="1"/>
  <c r="D74" i="395" s="1"/>
  <c r="I74" i="395" s="1"/>
  <c r="F79" i="395" a="1"/>
  <c r="F79" i="395" s="1"/>
  <c r="G79" i="395" s="1"/>
  <c r="D82" i="395" a="1"/>
  <c r="D82" i="395" s="1"/>
  <c r="D83" i="395" a="1"/>
  <c r="D83" i="395" s="1"/>
  <c r="I83" i="395" s="1"/>
  <c r="F84" i="395" a="1"/>
  <c r="F84" i="395" s="1"/>
  <c r="G84" i="395" s="1"/>
  <c r="D87" i="395" a="1"/>
  <c r="D87" i="395" s="1"/>
  <c r="I87" i="395" s="1"/>
  <c r="D93" i="395" a="1"/>
  <c r="D93" i="395"/>
  <c r="I93" i="395"/>
  <c r="D100" i="395" a="1"/>
  <c r="D100" i="395" s="1"/>
  <c r="I100" i="395" s="1"/>
  <c r="D102" i="395" a="1"/>
  <c r="D102" i="395" s="1"/>
  <c r="I102" i="395" s="1"/>
  <c r="F103" i="395" a="1"/>
  <c r="F103" i="395" s="1"/>
  <c r="G103" i="395" s="1"/>
  <c r="F105" i="395" a="1"/>
  <c r="F105" i="395" s="1"/>
  <c r="G105" i="395" s="1"/>
  <c r="F108" i="395" a="1"/>
  <c r="F108" i="395" s="1"/>
  <c r="D109" i="395" a="1"/>
  <c r="D109" i="395"/>
  <c r="I109" i="395" s="1"/>
  <c r="F112" i="395" a="1"/>
  <c r="F112" i="395" s="1"/>
  <c r="G112" i="395" s="1"/>
  <c r="D114" i="395" a="1"/>
  <c r="D114" i="395"/>
  <c r="I114" i="395"/>
  <c r="D116" i="395" a="1"/>
  <c r="D116" i="395" s="1"/>
  <c r="I116" i="395" s="1"/>
  <c r="F117" i="395" a="1"/>
  <c r="F117" i="395" s="1"/>
  <c r="F121" i="395" a="1"/>
  <c r="F121" i="395" s="1"/>
  <c r="G121" i="395" s="1"/>
  <c r="H121" i="395" s="1"/>
  <c r="D122" i="395" a="1"/>
  <c r="D122" i="395"/>
  <c r="I122" i="395" s="1"/>
  <c r="D128" i="395" a="1"/>
  <c r="D128" i="395"/>
  <c r="I128" i="395"/>
  <c r="D130" i="395" a="1"/>
  <c r="D130" i="395" s="1"/>
  <c r="I130" i="395" s="1"/>
  <c r="F131" i="395" a="1"/>
  <c r="F131" i="395" s="1"/>
  <c r="F133" i="395" a="1"/>
  <c r="F133" i="395" s="1"/>
  <c r="G133" i="395" s="1"/>
  <c r="F136" i="395" a="1"/>
  <c r="F136" i="395" s="1"/>
  <c r="G136" i="395" s="1"/>
  <c r="H136" i="395" s="1"/>
  <c r="D137" i="395" a="1"/>
  <c r="D137" i="395"/>
  <c r="I137" i="395" s="1"/>
  <c r="F142" i="395" a="1"/>
  <c r="F142" i="395" s="1"/>
  <c r="G142" i="395" s="1"/>
  <c r="D145" i="395" a="1"/>
  <c r="D145" i="395" s="1"/>
  <c r="D155" i="395" a="1"/>
  <c r="D155" i="395" s="1"/>
  <c r="D157" i="395" a="1"/>
  <c r="D157" i="395" s="1"/>
  <c r="I157" i="395" s="1"/>
  <c r="F158" i="395" a="1"/>
  <c r="F158" i="395" s="1"/>
  <c r="D162" i="395" a="1"/>
  <c r="D162" i="395"/>
  <c r="D163" i="395" a="1"/>
  <c r="D163" i="395" s="1"/>
  <c r="I163" i="395" s="1"/>
  <c r="F12" i="396" a="1"/>
  <c r="F12" i="396" s="1"/>
  <c r="G12" i="396" s="1"/>
  <c r="F16" i="396" a="1"/>
  <c r="F16" i="396" s="1"/>
  <c r="F20" i="396" a="1"/>
  <c r="F20" i="396" s="1"/>
  <c r="F40" i="396" a="1"/>
  <c r="F40" i="396" s="1"/>
  <c r="F61" i="396" a="1"/>
  <c r="F61" i="396" s="1"/>
  <c r="F67" i="396" a="1"/>
  <c r="F67" i="396" s="1"/>
  <c r="G67" i="396" s="1"/>
  <c r="H67" i="396" s="1"/>
  <c r="F68" i="396" a="1"/>
  <c r="F68" i="396" s="1"/>
  <c r="G68" i="396" s="1"/>
  <c r="F74" i="396" a="1"/>
  <c r="F74" i="396" s="1"/>
  <c r="F91" i="396" a="1"/>
  <c r="F91" i="396" s="1"/>
  <c r="F98" i="396" a="1"/>
  <c r="F98" i="396" s="1"/>
  <c r="F104" i="396" a="1"/>
  <c r="F104" i="396" s="1"/>
  <c r="F105" i="396" a="1"/>
  <c r="F105" i="396" s="1"/>
  <c r="F115" i="396" a="1"/>
  <c r="F115" i="396" s="1"/>
  <c r="F126" i="396" a="1"/>
  <c r="F126" i="396" s="1"/>
  <c r="F136" i="396" a="1"/>
  <c r="F136" i="396" s="1"/>
  <c r="F137" i="396" a="1"/>
  <c r="F137" i="396" s="1"/>
  <c r="C11" i="397"/>
  <c r="C9" i="397" s="1"/>
  <c r="C164" i="397"/>
  <c r="G10" i="346"/>
  <c r="E11" i="346"/>
  <c r="D7" i="360"/>
  <c r="F17" i="360" a="1"/>
  <c r="F17" i="360" s="1"/>
  <c r="G17" i="360" s="1"/>
  <c r="F33" i="360" a="1"/>
  <c r="F33" i="360" s="1"/>
  <c r="F40" i="360" a="1"/>
  <c r="F40" i="360" s="1"/>
  <c r="G40" i="360" s="1"/>
  <c r="F43" i="360" a="1"/>
  <c r="F43" i="360" s="1"/>
  <c r="G43" i="360" s="1"/>
  <c r="F56" i="360" a="1"/>
  <c r="F56" i="360" s="1"/>
  <c r="G56" i="360" s="1"/>
  <c r="F64" i="360" a="1"/>
  <c r="F64" i="360" s="1"/>
  <c r="G64" i="360" s="1"/>
  <c r="F68" i="360" a="1"/>
  <c r="F68" i="360" s="1"/>
  <c r="G68" i="360" s="1"/>
  <c r="F70" i="360" a="1"/>
  <c r="F70" i="360" s="1"/>
  <c r="G70" i="360" s="1"/>
  <c r="H70" i="360" s="1"/>
  <c r="F72" i="360" a="1"/>
  <c r="F72" i="360" s="1"/>
  <c r="G72" i="360" s="1"/>
  <c r="F80" i="360" a="1"/>
  <c r="F80" i="360" s="1"/>
  <c r="G80" i="360" s="1"/>
  <c r="F83" i="360" a="1"/>
  <c r="F83" i="360" s="1"/>
  <c r="G83" i="360" s="1"/>
  <c r="F89" i="360" a="1"/>
  <c r="F89" i="360" s="1"/>
  <c r="G89" i="360" s="1"/>
  <c r="F91" i="360" a="1"/>
  <c r="F91" i="360" s="1"/>
  <c r="G91" i="360" s="1"/>
  <c r="F98" i="360" a="1"/>
  <c r="F98" i="360" s="1"/>
  <c r="G98" i="360" s="1"/>
  <c r="F100" i="360" a="1"/>
  <c r="F100" i="360" s="1"/>
  <c r="G100" i="360" s="1"/>
  <c r="F105" i="360" a="1"/>
  <c r="F105" i="360" s="1"/>
  <c r="G105" i="360" s="1"/>
  <c r="F109" i="360" a="1"/>
  <c r="F109" i="360" s="1"/>
  <c r="G109" i="360" s="1"/>
  <c r="H109" i="360" s="1"/>
  <c r="F112" i="360" a="1"/>
  <c r="F112" i="360" s="1"/>
  <c r="G112" i="360" s="1"/>
  <c r="F118" i="360" a="1"/>
  <c r="F118" i="360" s="1"/>
  <c r="G118" i="360" s="1"/>
  <c r="F122" i="360" a="1"/>
  <c r="F122" i="360" s="1"/>
  <c r="G122" i="360" s="1"/>
  <c r="F125" i="360" a="1"/>
  <c r="F125" i="360" s="1"/>
  <c r="G125" i="360" s="1"/>
  <c r="F128" i="360" a="1"/>
  <c r="F128" i="360" s="1"/>
  <c r="G128" i="360" s="1"/>
  <c r="F132" i="360" a="1"/>
  <c r="F132" i="360" s="1"/>
  <c r="G132" i="360" s="1"/>
  <c r="F136" i="360" a="1"/>
  <c r="F136" i="360" s="1"/>
  <c r="G136" i="360" s="1"/>
  <c r="H136" i="360" s="1"/>
  <c r="F157" i="360" a="1"/>
  <c r="F157" i="360" s="1"/>
  <c r="G157" i="360" s="1"/>
  <c r="D7" i="389"/>
  <c r="F13" i="389" a="1"/>
  <c r="F13" i="389" s="1"/>
  <c r="F17" i="389" a="1"/>
  <c r="F17" i="389" s="1"/>
  <c r="G17" i="389" s="1"/>
  <c r="F26" i="389" a="1"/>
  <c r="F26" i="389" s="1"/>
  <c r="F28" i="389" a="1"/>
  <c r="F28" i="389" s="1"/>
  <c r="G28" i="389" s="1"/>
  <c r="F30" i="389" a="1"/>
  <c r="F30" i="389" s="1"/>
  <c r="G30" i="389" s="1"/>
  <c r="F33" i="389" a="1"/>
  <c r="F33" i="389" s="1"/>
  <c r="F39" i="389" a="1"/>
  <c r="F39" i="389" s="1"/>
  <c r="G39" i="389" s="1"/>
  <c r="H39" i="389" s="1"/>
  <c r="F42" i="389" a="1"/>
  <c r="F42" i="389" s="1"/>
  <c r="G42" i="389" s="1"/>
  <c r="F45" i="389" a="1"/>
  <c r="F45" i="389" s="1"/>
  <c r="F55" i="389" a="1"/>
  <c r="F55" i="389" s="1"/>
  <c r="G55" i="389" s="1"/>
  <c r="F57" i="389" a="1"/>
  <c r="F57" i="389" s="1"/>
  <c r="G57" i="389" s="1"/>
  <c r="F60" i="389" a="1"/>
  <c r="F60" i="389" s="1"/>
  <c r="F67" i="389" a="1"/>
  <c r="F67" i="389" s="1"/>
  <c r="G67" i="389" s="1"/>
  <c r="F74" i="389" a="1"/>
  <c r="F74" i="389" s="1"/>
  <c r="F82" i="389" a="1"/>
  <c r="F82" i="389" s="1"/>
  <c r="F84" i="389" a="1"/>
  <c r="F84" i="389" s="1"/>
  <c r="F86" i="389" a="1"/>
  <c r="F86" i="389" s="1"/>
  <c r="G86" i="389" s="1"/>
  <c r="F99" i="389" a="1"/>
  <c r="F99" i="389" s="1"/>
  <c r="F102" i="389" a="1"/>
  <c r="F102" i="389" s="1"/>
  <c r="G102" i="389" s="1"/>
  <c r="F106" i="389" a="1"/>
  <c r="F106" i="389" s="1"/>
  <c r="G106" i="389" s="1"/>
  <c r="F110" i="389" a="1"/>
  <c r="F110" i="389" s="1"/>
  <c r="G110" i="389" s="1"/>
  <c r="F116" i="389" a="1"/>
  <c r="F116" i="389" s="1"/>
  <c r="G116" i="389" s="1"/>
  <c r="F119" i="389" a="1"/>
  <c r="F119" i="389" s="1"/>
  <c r="F123" i="389" a="1"/>
  <c r="F123" i="389" s="1"/>
  <c r="G123" i="389" s="1"/>
  <c r="F126" i="389" a="1"/>
  <c r="F126" i="389" s="1"/>
  <c r="F130" i="389" a="1"/>
  <c r="F130" i="389" s="1"/>
  <c r="G130" i="389" s="1"/>
  <c r="F134" i="389" a="1"/>
  <c r="F134" i="389" s="1"/>
  <c r="F140" i="389" a="1"/>
  <c r="F140" i="389" s="1"/>
  <c r="F143" i="389" a="1"/>
  <c r="F143" i="389" s="1"/>
  <c r="F155" i="389" a="1"/>
  <c r="F155" i="389" s="1"/>
  <c r="G155" i="389" s="1"/>
  <c r="D10" i="407" a="1"/>
  <c r="D10" i="407" s="1"/>
  <c r="D14" i="407" a="1"/>
  <c r="D14" i="407" s="1"/>
  <c r="I14" i="407" s="1"/>
  <c r="D20" i="407" a="1"/>
  <c r="D20" i="407"/>
  <c r="D28" i="407" a="1"/>
  <c r="D28" i="407" s="1"/>
  <c r="D39" i="407" a="1"/>
  <c r="D39" i="407"/>
  <c r="I39" i="407"/>
  <c r="D43" i="407" a="1"/>
  <c r="D43" i="407" s="1"/>
  <c r="I43" i="407" s="1"/>
  <c r="D53" i="407" a="1"/>
  <c r="D53" i="407" s="1"/>
  <c r="D58" i="407" a="1"/>
  <c r="D58" i="407"/>
  <c r="D61" i="407" a="1"/>
  <c r="D61" i="407" s="1"/>
  <c r="D63" i="407" a="1"/>
  <c r="D63" i="407"/>
  <c r="D81" i="407" a="1"/>
  <c r="D81" i="407" s="1"/>
  <c r="D83" i="407" a="1"/>
  <c r="D83" i="407"/>
  <c r="I83" i="407"/>
  <c r="D89" i="407" a="1"/>
  <c r="D89" i="407" s="1"/>
  <c r="D91" i="407" a="1"/>
  <c r="D91" i="407"/>
  <c r="I91" i="407" s="1"/>
  <c r="D97" i="407" a="1"/>
  <c r="D97" i="407"/>
  <c r="I97" i="407" s="1"/>
  <c r="D101" i="407" a="1"/>
  <c r="D101" i="407"/>
  <c r="I101" i="407"/>
  <c r="D105" i="407" a="1"/>
  <c r="D105" i="407" s="1"/>
  <c r="I105" i="407" s="1"/>
  <c r="D109" i="407" a="1"/>
  <c r="D109" i="407"/>
  <c r="I109" i="407" s="1"/>
  <c r="D116" i="407" a="1"/>
  <c r="D116" i="407" s="1"/>
  <c r="I116" i="407" s="1"/>
  <c r="D119" i="407" a="1"/>
  <c r="D119" i="407" s="1"/>
  <c r="I119" i="407" s="1"/>
  <c r="D122" i="407" a="1"/>
  <c r="D122" i="407" s="1"/>
  <c r="I122" i="407" s="1"/>
  <c r="D129" i="407" a="1"/>
  <c r="D129" i="407" s="1"/>
  <c r="I129" i="407" s="1"/>
  <c r="D133" i="407" a="1"/>
  <c r="D133" i="407"/>
  <c r="I133" i="407"/>
  <c r="D137" i="407" a="1"/>
  <c r="D137" i="407" s="1"/>
  <c r="I137" i="407" s="1"/>
  <c r="D142" i="407" a="1"/>
  <c r="D142" i="407" s="1"/>
  <c r="I142" i="407" s="1"/>
  <c r="D156" i="407" a="1"/>
  <c r="D156" i="407" s="1"/>
  <c r="D159" i="407" a="1"/>
  <c r="D159" i="407" s="1"/>
  <c r="I159" i="407" s="1"/>
  <c r="D7" i="408"/>
  <c r="F12" i="408" a="1"/>
  <c r="F12" i="408" s="1"/>
  <c r="F18" i="408" a="1"/>
  <c r="F18" i="408" s="1"/>
  <c r="F22" i="408" a="1"/>
  <c r="F22" i="408" s="1"/>
  <c r="F26" i="408" a="1"/>
  <c r="F26" i="408" s="1"/>
  <c r="G26" i="408" s="1"/>
  <c r="F30" i="408" a="1"/>
  <c r="F30" i="408" s="1"/>
  <c r="F34" i="408" a="1"/>
  <c r="F34" i="408" s="1"/>
  <c r="F37" i="408" a="1"/>
  <c r="F37" i="408" s="1"/>
  <c r="F41" i="408" a="1"/>
  <c r="F41" i="408" s="1"/>
  <c r="F52" i="408" a="1"/>
  <c r="F52" i="408" s="1"/>
  <c r="F54" i="408" a="1"/>
  <c r="F54" i="408" s="1"/>
  <c r="G54" i="408" s="1"/>
  <c r="F60" i="408" a="1"/>
  <c r="F60" i="408" s="1"/>
  <c r="F65" i="408" a="1"/>
  <c r="F65" i="408" s="1"/>
  <c r="F66" i="408" a="1"/>
  <c r="F66" i="408" s="1"/>
  <c r="F69" i="408" a="1"/>
  <c r="F69" i="408" s="1"/>
  <c r="F71" i="408" a="1"/>
  <c r="F71" i="408" s="1"/>
  <c r="F73" i="408" a="1"/>
  <c r="F73" i="408" s="1"/>
  <c r="G73" i="408" s="1"/>
  <c r="F79" i="408" a="1"/>
  <c r="F79" i="408" s="1"/>
  <c r="F83" i="408" a="1"/>
  <c r="F83" i="408" s="1"/>
  <c r="F92" i="408" a="1"/>
  <c r="F92" i="408" s="1"/>
  <c r="F96" i="408" a="1"/>
  <c r="F96" i="408" s="1"/>
  <c r="G96" i="408" s="1"/>
  <c r="F99" i="408" a="1"/>
  <c r="F99" i="408" s="1"/>
  <c r="G99" i="408" s="1"/>
  <c r="F103" i="408" a="1"/>
  <c r="F103" i="408" s="1"/>
  <c r="G103" i="408" s="1"/>
  <c r="H103" i="408" s="1"/>
  <c r="F107" i="408" a="1"/>
  <c r="F107" i="408" s="1"/>
  <c r="F111" i="408" a="1"/>
  <c r="F111" i="408" s="1"/>
  <c r="F115" i="408" a="1"/>
  <c r="F115" i="408" s="1"/>
  <c r="G115" i="408" s="1"/>
  <c r="F119" i="408" a="1"/>
  <c r="F119" i="408" s="1"/>
  <c r="G119" i="408" s="1"/>
  <c r="F123" i="408" a="1"/>
  <c r="F123" i="408" s="1"/>
  <c r="F126" i="408" a="1"/>
  <c r="F126" i="408" s="1"/>
  <c r="F130" i="408" a="1"/>
  <c r="F130" i="408" s="1"/>
  <c r="G130" i="408" s="1"/>
  <c r="F134" i="408" a="1"/>
  <c r="F134" i="408" s="1"/>
  <c r="G134" i="408" s="1"/>
  <c r="H134" i="408" s="1"/>
  <c r="F140" i="408" a="1"/>
  <c r="F140" i="408" s="1"/>
  <c r="G140" i="408" s="1"/>
  <c r="F143" i="408" a="1"/>
  <c r="F143" i="408" s="1"/>
  <c r="G143" i="408" s="1"/>
  <c r="F157" i="408" a="1"/>
  <c r="F157" i="408" s="1"/>
  <c r="F160" i="396" a="1"/>
  <c r="F160" i="396" s="1"/>
  <c r="F156" i="396" a="1"/>
  <c r="F156" i="396" s="1"/>
  <c r="G156" i="396" s="1"/>
  <c r="F142" i="396" a="1"/>
  <c r="F142" i="396" s="1"/>
  <c r="F135" i="396" a="1"/>
  <c r="F135" i="396" s="1"/>
  <c r="F131" i="396" a="1"/>
  <c r="F131" i="396" s="1"/>
  <c r="F127" i="396" a="1"/>
  <c r="F127" i="396" s="1"/>
  <c r="F124" i="396" a="1"/>
  <c r="F124" i="396" s="1"/>
  <c r="F120" i="396" a="1"/>
  <c r="F120" i="396" s="1"/>
  <c r="F117" i="396" a="1"/>
  <c r="F117" i="396" s="1"/>
  <c r="F113" i="396" a="1"/>
  <c r="F113" i="396" s="1"/>
  <c r="F111" i="396" a="1"/>
  <c r="F111" i="396" s="1"/>
  <c r="F107" i="396" a="1"/>
  <c r="F107" i="396" s="1"/>
  <c r="F103" i="396" a="1"/>
  <c r="F103" i="396" s="1"/>
  <c r="G103" i="396" s="1"/>
  <c r="H103" i="396" s="1"/>
  <c r="F99" i="396" a="1"/>
  <c r="F99" i="396" s="1"/>
  <c r="G99" i="396" s="1"/>
  <c r="H99" i="396" s="1"/>
  <c r="F95" i="396" a="1"/>
  <c r="F95" i="396" s="1"/>
  <c r="F92" i="396" a="1"/>
  <c r="F92" i="396" s="1"/>
  <c r="G92" i="396" s="1"/>
  <c r="H92" i="396" s="1"/>
  <c r="F87" i="396" a="1"/>
  <c r="F87" i="396" s="1"/>
  <c r="F85" i="396" a="1"/>
  <c r="F85" i="396" s="1"/>
  <c r="F82" i="396" a="1"/>
  <c r="F82" i="396" s="1"/>
  <c r="G82" i="396" s="1"/>
  <c r="F79" i="396" a="1"/>
  <c r="F79" i="396" s="1"/>
  <c r="F73" i="396" a="1"/>
  <c r="F73" i="396" s="1"/>
  <c r="F71" i="396" a="1"/>
  <c r="F71" i="396" s="1"/>
  <c r="F69" i="396" a="1"/>
  <c r="F69" i="396" s="1"/>
  <c r="F66" i="396" a="1"/>
  <c r="F66" i="396" s="1"/>
  <c r="F62" i="396" a="1"/>
  <c r="F62" i="396" s="1"/>
  <c r="F45" i="396" a="1"/>
  <c r="F45" i="396" s="1"/>
  <c r="F41" i="396" a="1"/>
  <c r="F41" i="396" s="1"/>
  <c r="F37" i="396" a="1"/>
  <c r="F37" i="396" s="1"/>
  <c r="F33" i="396" a="1"/>
  <c r="F33" i="396" s="1"/>
  <c r="G33" i="396" s="1"/>
  <c r="F30" i="396" a="1"/>
  <c r="F30" i="396" s="1"/>
  <c r="G30" i="396" s="1"/>
  <c r="F28" i="396" a="1"/>
  <c r="F28" i="396" s="1"/>
  <c r="F163" i="396" a="1"/>
  <c r="F163" i="396" s="1"/>
  <c r="G163" i="396" s="1"/>
  <c r="F161" i="396" a="1"/>
  <c r="F161" i="396" s="1"/>
  <c r="F145" i="396" a="1"/>
  <c r="F145" i="396" s="1"/>
  <c r="F144" i="396" s="1"/>
  <c r="F141" i="396" a="1"/>
  <c r="F141" i="396" s="1"/>
  <c r="F133" i="396" a="1"/>
  <c r="F133" i="396" s="1"/>
  <c r="G133" i="396" s="1"/>
  <c r="H133" i="396" s="1"/>
  <c r="F130" i="396" a="1"/>
  <c r="F130" i="396" s="1"/>
  <c r="F128" i="396" a="1"/>
  <c r="F128" i="396" s="1"/>
  <c r="F123" i="396" a="1"/>
  <c r="F123" i="396" s="1"/>
  <c r="G123" i="396" s="1"/>
  <c r="F121" i="396" a="1"/>
  <c r="F121" i="396" s="1"/>
  <c r="F116" i="396" a="1"/>
  <c r="F116" i="396" s="1"/>
  <c r="F114" i="396" a="1"/>
  <c r="F114" i="396" s="1"/>
  <c r="F110" i="396" a="1"/>
  <c r="F110" i="396" s="1"/>
  <c r="G110" i="396" s="1"/>
  <c r="F108" i="396" a="1"/>
  <c r="F108" i="396" s="1"/>
  <c r="F97" i="396" a="1"/>
  <c r="F97" i="396" s="1"/>
  <c r="F93" i="396" a="1"/>
  <c r="F93" i="396" s="1"/>
  <c r="G93" i="396" s="1"/>
  <c r="F88" i="396" a="1"/>
  <c r="F88" i="396" s="1"/>
  <c r="F84" i="396" a="1"/>
  <c r="F84" i="396" s="1"/>
  <c r="F80" i="396" a="1"/>
  <c r="F80" i="396" s="1"/>
  <c r="F72" i="396" a="1"/>
  <c r="F72" i="396" s="1"/>
  <c r="F60" i="396" a="1"/>
  <c r="F60" i="396" s="1"/>
  <c r="F52" i="396" a="1"/>
  <c r="F52" i="396" s="1"/>
  <c r="G52" i="396" s="1"/>
  <c r="F44" i="396" a="1"/>
  <c r="F44" i="396" s="1"/>
  <c r="F42" i="396" a="1"/>
  <c r="F42" i="396" s="1"/>
  <c r="G42" i="396" s="1"/>
  <c r="F35" i="396" a="1"/>
  <c r="F35" i="396" s="1"/>
  <c r="F17" i="396" a="1"/>
  <c r="F17" i="396" s="1"/>
  <c r="G17" i="396" s="1"/>
  <c r="F13" i="396" a="1"/>
  <c r="F13" i="396" s="1"/>
  <c r="F6" i="396"/>
  <c r="F175" i="396" a="1"/>
  <c r="F175" i="396" s="1"/>
  <c r="F177" i="396" s="1"/>
  <c r="F162" i="396" a="1"/>
  <c r="F162" i="396" s="1"/>
  <c r="F159" i="396" a="1"/>
  <c r="F159" i="396" s="1"/>
  <c r="F157" i="396" a="1"/>
  <c r="F157" i="396" s="1"/>
  <c r="F26" i="396" a="1"/>
  <c r="F26" i="396" s="1"/>
  <c r="F34" i="396" a="1"/>
  <c r="F34" i="396" s="1"/>
  <c r="F38" i="396" a="1"/>
  <c r="F38" i="396" s="1"/>
  <c r="F39" i="396" a="1"/>
  <c r="F39" i="396" s="1"/>
  <c r="G39" i="396" s="1"/>
  <c r="F55" i="396" a="1"/>
  <c r="F55" i="396" s="1"/>
  <c r="G55" i="396" s="1"/>
  <c r="F56" i="396" a="1"/>
  <c r="F56" i="396" s="1"/>
  <c r="F57" i="396" a="1"/>
  <c r="F57" i="396" s="1"/>
  <c r="F63" i="396" a="1"/>
  <c r="F63" i="396" s="1"/>
  <c r="G63" i="396" s="1"/>
  <c r="F64" i="396" a="1"/>
  <c r="F64" i="396" s="1"/>
  <c r="F86" i="396" a="1"/>
  <c r="F86" i="396" s="1"/>
  <c r="F100" i="396" a="1"/>
  <c r="F100" i="396" s="1"/>
  <c r="F101" i="396" a="1"/>
  <c r="F101" i="396" s="1"/>
  <c r="F109" i="396" a="1"/>
  <c r="F109" i="396" s="1"/>
  <c r="F119" i="396" a="1"/>
  <c r="F119" i="396" s="1"/>
  <c r="G119" i="396" s="1"/>
  <c r="H119" i="396" s="1"/>
  <c r="F132" i="396" a="1"/>
  <c r="F132" i="396" s="1"/>
  <c r="G132" i="396" s="1"/>
  <c r="H132" i="396" s="1"/>
  <c r="C15" i="397"/>
  <c r="C164" i="398"/>
  <c r="D160" i="397" a="1"/>
  <c r="D160" i="397"/>
  <c r="I160" i="397" s="1"/>
  <c r="D157" i="397" a="1"/>
  <c r="D157" i="397"/>
  <c r="I157" i="397" s="1"/>
  <c r="D145" i="397" a="1"/>
  <c r="D145" i="397"/>
  <c r="D141" i="397" a="1"/>
  <c r="D141" i="397"/>
  <c r="I141" i="397" s="1"/>
  <c r="D134" i="397" a="1"/>
  <c r="D134" i="397" s="1"/>
  <c r="I134" i="397" s="1"/>
  <c r="D130" i="397" a="1"/>
  <c r="D130" i="397" s="1"/>
  <c r="I130" i="397" s="1"/>
  <c r="D124" i="397" a="1"/>
  <c r="D124" i="397" s="1"/>
  <c r="I124" i="397" s="1"/>
  <c r="D120" i="397" a="1"/>
  <c r="D120" i="397" s="1"/>
  <c r="I120" i="397" s="1"/>
  <c r="D119" i="397" a="1"/>
  <c r="D119" i="397"/>
  <c r="I119" i="397"/>
  <c r="D115" i="397" a="1"/>
  <c r="D115" i="397" s="1"/>
  <c r="I115" i="397" s="1"/>
  <c r="D111" i="397" a="1"/>
  <c r="D111" i="397" s="1"/>
  <c r="I111" i="397" s="1"/>
  <c r="D107" i="397" a="1"/>
  <c r="D107" i="397"/>
  <c r="I107" i="397" s="1"/>
  <c r="D103" i="397" a="1"/>
  <c r="D103" i="397"/>
  <c r="I103" i="397" s="1"/>
  <c r="D99" i="397" a="1"/>
  <c r="D99" i="397"/>
  <c r="I99" i="397"/>
  <c r="D95" i="397" a="1"/>
  <c r="D95" i="397" s="1"/>
  <c r="I95" i="397" s="1"/>
  <c r="D91" i="397" a="1"/>
  <c r="D91" i="397"/>
  <c r="I91" i="397" s="1"/>
  <c r="D87" i="397" a="1"/>
  <c r="D87" i="397"/>
  <c r="I87" i="397"/>
  <c r="D83" i="397" a="1"/>
  <c r="D83" i="397"/>
  <c r="I83" i="397"/>
  <c r="D79" i="397" a="1"/>
  <c r="D79" i="397" s="1"/>
  <c r="D74" i="397" a="1"/>
  <c r="D74" i="397" s="1"/>
  <c r="I74" i="397"/>
  <c r="D67" i="397" a="1"/>
  <c r="D67" i="397" s="1"/>
  <c r="D62" i="397" a="1"/>
  <c r="D62" i="397"/>
  <c r="I62" i="397" s="1"/>
  <c r="D53" i="397" a="1"/>
  <c r="D53" i="397"/>
  <c r="D43" i="397" a="1"/>
  <c r="D43" i="397" s="1"/>
  <c r="I43" i="397" s="1"/>
  <c r="D42" i="397" a="1"/>
  <c r="D42" i="397" s="1"/>
  <c r="I42" i="397" s="1"/>
  <c r="D38" i="397" a="1"/>
  <c r="D38" i="397" s="1"/>
  <c r="I38" i="397" s="1"/>
  <c r="D34" i="397" a="1"/>
  <c r="D34" i="397" s="1"/>
  <c r="I34" i="397" s="1"/>
  <c r="D20" i="397" a="1"/>
  <c r="D20" i="397" s="1"/>
  <c r="D16" i="397" a="1"/>
  <c r="D16" i="397"/>
  <c r="D12" i="397" a="1"/>
  <c r="D12" i="397" s="1"/>
  <c r="D22" i="397" a="1"/>
  <c r="D22" i="397"/>
  <c r="C27" i="397"/>
  <c r="D37" i="397" a="1"/>
  <c r="D37" i="397"/>
  <c r="D44" i="397" a="1"/>
  <c r="D44" i="397"/>
  <c r="I44" i="397" s="1"/>
  <c r="D56" i="397" a="1"/>
  <c r="D56" i="397" s="1"/>
  <c r="I56" i="397" s="1"/>
  <c r="D58" i="397" a="1"/>
  <c r="D58" i="397" s="1"/>
  <c r="D63" i="397" a="1"/>
  <c r="D63" i="397"/>
  <c r="I63" i="397" s="1"/>
  <c r="D65" i="397" a="1"/>
  <c r="D65" i="397"/>
  <c r="I65" i="397" s="1"/>
  <c r="D72" i="397" a="1"/>
  <c r="D72" i="397"/>
  <c r="D73" i="397" a="1"/>
  <c r="D73" i="397"/>
  <c r="I73" i="397" s="1"/>
  <c r="D85" i="397" a="1"/>
  <c r="D85" i="397" s="1"/>
  <c r="I85" i="397" s="1"/>
  <c r="D92" i="397" a="1"/>
  <c r="D92" i="397" s="1"/>
  <c r="I92" i="397" s="1"/>
  <c r="D94" i="397" a="1"/>
  <c r="D94" i="397" s="1"/>
  <c r="I94" i="397" s="1"/>
  <c r="D101" i="397" a="1"/>
  <c r="D101" i="397" s="1"/>
  <c r="I101" i="397" s="1"/>
  <c r="D108" i="397" a="1"/>
  <c r="D108" i="397" s="1"/>
  <c r="I108" i="397"/>
  <c r="D110" i="397" a="1"/>
  <c r="D110" i="397" s="1"/>
  <c r="I110" i="397" s="1"/>
  <c r="D117" i="397" a="1"/>
  <c r="D117" i="397" s="1"/>
  <c r="I117" i="397" s="1"/>
  <c r="D126" i="397" a="1"/>
  <c r="D126" i="397"/>
  <c r="I126" i="397" s="1"/>
  <c r="D128" i="397" a="1"/>
  <c r="D128" i="397"/>
  <c r="I128" i="397" s="1"/>
  <c r="D135" i="397" a="1"/>
  <c r="D135" i="397"/>
  <c r="I135" i="397" s="1"/>
  <c r="D137" i="397" a="1"/>
  <c r="D137" i="397" s="1"/>
  <c r="I137" i="397" s="1"/>
  <c r="C139" i="397"/>
  <c r="D142" i="397" a="1"/>
  <c r="D142" i="397" s="1"/>
  <c r="I142" i="397" s="1"/>
  <c r="D158" i="397" a="1"/>
  <c r="D158" i="397"/>
  <c r="D159" i="397" a="1"/>
  <c r="D159" i="397"/>
  <c r="I159" i="397"/>
  <c r="D175" i="397" a="1"/>
  <c r="D175" i="397" s="1"/>
  <c r="F162" i="393" a="1"/>
  <c r="F162" i="393" s="1"/>
  <c r="F158" i="393" a="1"/>
  <c r="F158" i="393" s="1"/>
  <c r="F140" i="393" a="1"/>
  <c r="F140" i="393" s="1"/>
  <c r="F134" i="393" a="1"/>
  <c r="F134" i="393" s="1"/>
  <c r="G134" i="393" s="1"/>
  <c r="F130" i="393" a="1"/>
  <c r="F130" i="393" s="1"/>
  <c r="G130" i="393" s="1"/>
  <c r="F126" i="393" a="1"/>
  <c r="F126" i="393" s="1"/>
  <c r="F123" i="393" a="1"/>
  <c r="F123" i="393" s="1"/>
  <c r="F119" i="393" a="1"/>
  <c r="F119" i="393" s="1"/>
  <c r="F115" i="393" a="1"/>
  <c r="F115" i="393" s="1"/>
  <c r="F111" i="393" a="1"/>
  <c r="F111" i="393" s="1"/>
  <c r="F107" i="393" a="1"/>
  <c r="F107" i="393" s="1"/>
  <c r="F103" i="393" a="1"/>
  <c r="F103" i="393" s="1"/>
  <c r="G103" i="393" s="1"/>
  <c r="F99" i="393" a="1"/>
  <c r="F99" i="393" s="1"/>
  <c r="G99" i="393" s="1"/>
  <c r="F92" i="393" a="1"/>
  <c r="F92" i="393" s="1"/>
  <c r="G92" i="393" s="1"/>
  <c r="F89" i="393" a="1"/>
  <c r="F89" i="393" s="1"/>
  <c r="G89" i="393" s="1"/>
  <c r="F85" i="393" a="1"/>
  <c r="F85" i="393" s="1"/>
  <c r="G85" i="393" s="1"/>
  <c r="F82" i="393" a="1"/>
  <c r="F82" i="393" s="1"/>
  <c r="F79" i="393" a="1"/>
  <c r="F79" i="393" s="1"/>
  <c r="F73" i="393" a="1"/>
  <c r="F73" i="393" s="1"/>
  <c r="F71" i="393" a="1"/>
  <c r="F71" i="393" s="1"/>
  <c r="F69" i="393" a="1"/>
  <c r="F69" i="393" s="1"/>
  <c r="G69" i="393" s="1"/>
  <c r="I69" i="393" s="1"/>
  <c r="F66" i="393" a="1"/>
  <c r="F66" i="393" s="1"/>
  <c r="G66" i="393" s="1"/>
  <c r="F44" i="393" a="1"/>
  <c r="F44" i="393" s="1"/>
  <c r="G44" i="393" s="1"/>
  <c r="F39" i="393" a="1"/>
  <c r="F39" i="393" s="1"/>
  <c r="F34" i="393" a="1"/>
  <c r="F34" i="393" s="1"/>
  <c r="F30" i="393" a="1"/>
  <c r="F30" i="393" s="1"/>
  <c r="F26" i="393" a="1"/>
  <c r="F26" i="393" s="1"/>
  <c r="G26" i="393" s="1"/>
  <c r="F22" i="393" a="1"/>
  <c r="F22" i="393" s="1"/>
  <c r="G22" i="393" s="1"/>
  <c r="H22" i="393" s="1"/>
  <c r="F18" i="393" a="1"/>
  <c r="F18" i="393" s="1"/>
  <c r="G18" i="393" s="1"/>
  <c r="F12" i="393" a="1"/>
  <c r="F12" i="393" s="1"/>
  <c r="D7" i="393"/>
  <c r="F14" i="393" a="1"/>
  <c r="F14" i="393" s="1"/>
  <c r="G14" i="393" s="1"/>
  <c r="C15" i="393"/>
  <c r="F42" i="393" a="1"/>
  <c r="F42" i="393" s="1"/>
  <c r="F57" i="393" a="1"/>
  <c r="F57" i="393" s="1"/>
  <c r="G57" i="393" s="1"/>
  <c r="F59" i="393" a="1"/>
  <c r="F59" i="393" s="1"/>
  <c r="G59" i="393" s="1"/>
  <c r="F61" i="393" a="1"/>
  <c r="F61" i="393" s="1"/>
  <c r="G61" i="393" s="1"/>
  <c r="F64" i="393" a="1"/>
  <c r="F64" i="393" s="1"/>
  <c r="F68" i="393" a="1"/>
  <c r="F68" i="393" s="1"/>
  <c r="F74" i="393" a="1"/>
  <c r="F74" i="393" s="1"/>
  <c r="G74" i="393" s="1"/>
  <c r="F104" i="393" a="1"/>
  <c r="F104" i="393" s="1"/>
  <c r="F106" i="393" a="1"/>
  <c r="F106" i="393" s="1"/>
  <c r="G106" i="393" s="1"/>
  <c r="F109" i="393" a="1"/>
  <c r="F109" i="393" s="1"/>
  <c r="F120" i="393" a="1"/>
  <c r="F120" i="393" s="1"/>
  <c r="F122" i="393" a="1"/>
  <c r="F122" i="393" s="1"/>
  <c r="F125" i="393" a="1"/>
  <c r="F125" i="393" s="1"/>
  <c r="G125" i="393" s="1"/>
  <c r="F135" i="393" a="1"/>
  <c r="F135" i="393" s="1"/>
  <c r="G135" i="393" s="1"/>
  <c r="F137" i="393" a="1"/>
  <c r="F137" i="393" s="1"/>
  <c r="F145" i="393" a="1"/>
  <c r="F145" i="393" s="1"/>
  <c r="F144" i="393" s="1"/>
  <c r="F156" i="393" a="1"/>
  <c r="F156" i="393" s="1"/>
  <c r="F175" i="393" a="1"/>
  <c r="F175" i="393" s="1"/>
  <c r="F177" i="393" s="1"/>
  <c r="D23" i="398" a="1"/>
  <c r="D23" i="398" s="1"/>
  <c r="I23" i="398" s="1"/>
  <c r="D26" i="398" a="1"/>
  <c r="D26" i="398"/>
  <c r="D43" i="398" a="1"/>
  <c r="D43" i="398"/>
  <c r="I43" i="398"/>
  <c r="D58" i="398" a="1"/>
  <c r="D58" i="398" s="1"/>
  <c r="D59" i="398" a="1"/>
  <c r="D59" i="398" s="1"/>
  <c r="I59" i="398"/>
  <c r="D63" i="398" a="1"/>
  <c r="D63" i="398" s="1"/>
  <c r="I63" i="398" s="1"/>
  <c r="D65" i="398" a="1"/>
  <c r="D65" i="398" s="1"/>
  <c r="I65" i="398" s="1"/>
  <c r="D70" i="398" a="1"/>
  <c r="D70" i="398"/>
  <c r="D84" i="398" a="1"/>
  <c r="D84" i="398"/>
  <c r="I84" i="398"/>
  <c r="D100" i="398" a="1"/>
  <c r="D100" i="398" s="1"/>
  <c r="I100" i="398" s="1"/>
  <c r="D102" i="398" a="1"/>
  <c r="D102" i="398"/>
  <c r="I102" i="398" s="1"/>
  <c r="D109" i="398" a="1"/>
  <c r="D109" i="398" s="1"/>
  <c r="I109" i="398" s="1"/>
  <c r="D116" i="398" a="1"/>
  <c r="D116" i="398" s="1"/>
  <c r="I116" i="398" s="1"/>
  <c r="D118" i="398" a="1"/>
  <c r="D118" i="398" s="1"/>
  <c r="I118" i="398" s="1"/>
  <c r="D125" i="398" a="1"/>
  <c r="D125" i="398" s="1"/>
  <c r="D132" i="398" a="1"/>
  <c r="D132" i="398"/>
  <c r="I132" i="398" s="1"/>
  <c r="D161" i="398" a="1"/>
  <c r="D161" i="398" s="1"/>
  <c r="I161" i="398" s="1"/>
  <c r="F175" i="399" a="1"/>
  <c r="F175" i="399" s="1"/>
  <c r="F177" i="399" s="1"/>
  <c r="F160" i="399" a="1"/>
  <c r="F160" i="399" s="1"/>
  <c r="G160" i="399" s="1"/>
  <c r="F157" i="399" a="1"/>
  <c r="F157" i="399" s="1"/>
  <c r="F140" i="399" a="1"/>
  <c r="F140" i="399" s="1"/>
  <c r="F134" i="399" a="1"/>
  <c r="F134" i="399" s="1"/>
  <c r="F130" i="399" a="1"/>
  <c r="F130" i="399" s="1"/>
  <c r="F126" i="399" a="1"/>
  <c r="F126" i="399" s="1"/>
  <c r="F123" i="399" a="1"/>
  <c r="F123" i="399" s="1"/>
  <c r="G123" i="399" s="1"/>
  <c r="F120" i="399" a="1"/>
  <c r="F120" i="399" s="1"/>
  <c r="F117" i="399" a="1"/>
  <c r="F117" i="399" s="1"/>
  <c r="F113" i="399" a="1"/>
  <c r="F113" i="399" s="1"/>
  <c r="F109" i="399" a="1"/>
  <c r="F109" i="399" s="1"/>
  <c r="F105" i="399" a="1"/>
  <c r="F105" i="399" s="1"/>
  <c r="F101" i="399" a="1"/>
  <c r="F101" i="399" s="1"/>
  <c r="F97" i="399" a="1"/>
  <c r="F97" i="399" s="1"/>
  <c r="F94" i="399" a="1"/>
  <c r="F94" i="399" s="1"/>
  <c r="F86" i="399" a="1"/>
  <c r="F86" i="399" s="1"/>
  <c r="F74" i="399" a="1"/>
  <c r="F74" i="399" s="1"/>
  <c r="G74" i="399" s="1"/>
  <c r="H74" i="399" s="1"/>
  <c r="F67" i="399" a="1"/>
  <c r="F67" i="399" s="1"/>
  <c r="G67" i="399" s="1"/>
  <c r="F64" i="399" a="1"/>
  <c r="F64" i="399" s="1"/>
  <c r="G64" i="399" s="1"/>
  <c r="F44" i="399" a="1"/>
  <c r="F44" i="399" s="1"/>
  <c r="F40" i="399" a="1"/>
  <c r="F40" i="399" s="1"/>
  <c r="G40" i="399" s="1"/>
  <c r="F163" i="399" a="1"/>
  <c r="F163" i="399" s="1"/>
  <c r="F161" i="399" a="1"/>
  <c r="F161" i="399" s="1"/>
  <c r="F156" i="399" a="1"/>
  <c r="F156" i="399" s="1"/>
  <c r="F143" i="399" a="1"/>
  <c r="F143" i="399" s="1"/>
  <c r="E143" i="399" s="1"/>
  <c r="E139" i="399" s="1"/>
  <c r="F141" i="399" a="1"/>
  <c r="F141" i="399" s="1"/>
  <c r="F132" i="399" a="1"/>
  <c r="F132" i="399" s="1"/>
  <c r="F129" i="399" a="1"/>
  <c r="F129" i="399" s="1"/>
  <c r="G129" i="399" s="1"/>
  <c r="H129" i="399" s="1"/>
  <c r="F127" i="399" a="1"/>
  <c r="F127" i="399" s="1"/>
  <c r="F158" i="399" a="1"/>
  <c r="F158" i="399" s="1"/>
  <c r="F142" i="399" a="1"/>
  <c r="F142" i="399" s="1"/>
  <c r="G142" i="399" s="1"/>
  <c r="F136" i="399" a="1"/>
  <c r="F136" i="399" s="1"/>
  <c r="F133" i="399" a="1"/>
  <c r="F133" i="399" s="1"/>
  <c r="G133" i="399" s="1"/>
  <c r="H133" i="399" s="1"/>
  <c r="F131" i="399" a="1"/>
  <c r="F131" i="399" s="1"/>
  <c r="F121" i="399" a="1"/>
  <c r="F121" i="399" s="1"/>
  <c r="F118" i="399" a="1"/>
  <c r="F118" i="399" s="1"/>
  <c r="F107" i="399" a="1"/>
  <c r="F107" i="399" s="1"/>
  <c r="F104" i="399" a="1"/>
  <c r="F104" i="399" s="1"/>
  <c r="G104" i="399" s="1"/>
  <c r="H104" i="399" s="1"/>
  <c r="F102" i="399" a="1"/>
  <c r="F102" i="399" s="1"/>
  <c r="F95" i="399" a="1"/>
  <c r="F95" i="399" s="1"/>
  <c r="F90" i="399" a="1"/>
  <c r="F90" i="399" s="1"/>
  <c r="G90" i="399" s="1"/>
  <c r="F85" i="399" a="1"/>
  <c r="F85" i="399" s="1"/>
  <c r="F83" i="399" a="1"/>
  <c r="F83" i="399" s="1"/>
  <c r="G83" i="399" s="1"/>
  <c r="H83" i="399" s="1"/>
  <c r="F81" i="399" a="1"/>
  <c r="F81" i="399" s="1"/>
  <c r="F70" i="399" a="1"/>
  <c r="F70" i="399" s="1"/>
  <c r="F65" i="399" a="1"/>
  <c r="F65" i="399" s="1"/>
  <c r="F55" i="399" a="1"/>
  <c r="F55" i="399" s="1"/>
  <c r="F53" i="399" a="1"/>
  <c r="F53" i="399" s="1"/>
  <c r="F45" i="399" a="1"/>
  <c r="F45" i="399" s="1"/>
  <c r="F28" i="399" a="1"/>
  <c r="F28" i="399" s="1"/>
  <c r="G28" i="399" s="1"/>
  <c r="F20" i="399" a="1"/>
  <c r="F20" i="399" s="1"/>
  <c r="F14" i="399" a="1"/>
  <c r="F14" i="399" s="1"/>
  <c r="G14" i="399" s="1"/>
  <c r="F10" i="399" a="1"/>
  <c r="F10" i="399" s="1"/>
  <c r="D10" i="399" a="1"/>
  <c r="D10" i="399"/>
  <c r="D12" i="399" a="1"/>
  <c r="D12" i="399"/>
  <c r="D14" i="399" a="1"/>
  <c r="D14" i="399" s="1"/>
  <c r="I14" i="399" s="1"/>
  <c r="D16" i="399" a="1"/>
  <c r="D16" i="399" s="1"/>
  <c r="F17" i="399" a="1"/>
  <c r="F17" i="399" s="1"/>
  <c r="G17" i="399" s="1"/>
  <c r="F22" i="399" a="1"/>
  <c r="F22" i="399" s="1"/>
  <c r="D23" i="399" a="1"/>
  <c r="D23" i="399" s="1"/>
  <c r="I23" i="399" s="1"/>
  <c r="D26" i="399" a="1"/>
  <c r="D26" i="399" s="1"/>
  <c r="F31" i="399" a="1"/>
  <c r="F31" i="399" s="1"/>
  <c r="F33" i="399" a="1"/>
  <c r="F33" i="399" s="1"/>
  <c r="F35" i="399" a="1"/>
  <c r="F35" i="399" s="1"/>
  <c r="G35" i="399" s="1"/>
  <c r="F39" i="399" a="1"/>
  <c r="F39" i="399" s="1"/>
  <c r="D61" i="399" a="1"/>
  <c r="D61" i="399" s="1"/>
  <c r="F63" i="399" a="1"/>
  <c r="F63" i="399" s="1"/>
  <c r="D66" i="399" a="1"/>
  <c r="D66" i="399" s="1"/>
  <c r="I66" i="399" s="1"/>
  <c r="F68" i="399" a="1"/>
  <c r="F68" i="399" s="1"/>
  <c r="D71" i="399" a="1"/>
  <c r="D71" i="399" s="1"/>
  <c r="F73" i="399" a="1"/>
  <c r="F73" i="399" s="1"/>
  <c r="D81" i="399" a="1"/>
  <c r="D81" i="399" s="1"/>
  <c r="I81" i="399" s="1"/>
  <c r="F84" i="399" a="1"/>
  <c r="F84" i="399" s="1"/>
  <c r="G84" i="399" s="1"/>
  <c r="D85" i="399" a="1"/>
  <c r="D85" i="399"/>
  <c r="I85" i="399" s="1"/>
  <c r="D90" i="399" a="1"/>
  <c r="D90" i="399" s="1"/>
  <c r="F96" i="399" a="1"/>
  <c r="F96" i="399" s="1"/>
  <c r="D105" i="399" a="1"/>
  <c r="D105" i="399" s="1"/>
  <c r="I105" i="399" s="1"/>
  <c r="F108" i="399" a="1"/>
  <c r="F108" i="399" s="1"/>
  <c r="D112" i="399" a="1"/>
  <c r="D112" i="399"/>
  <c r="I112" i="399"/>
  <c r="F114" i="399" a="1"/>
  <c r="F114" i="399" s="1"/>
  <c r="F115" i="399" a="1"/>
  <c r="F115" i="399" s="1"/>
  <c r="D116" i="399" a="1"/>
  <c r="D116" i="399" s="1"/>
  <c r="I116" i="399" s="1"/>
  <c r="D120" i="399" a="1"/>
  <c r="D120" i="399" s="1"/>
  <c r="F122" i="399" a="1"/>
  <c r="F122" i="399" s="1"/>
  <c r="G122" i="399" s="1"/>
  <c r="D140" i="399" a="1"/>
  <c r="D140" i="399" s="1"/>
  <c r="F14" i="401" a="1"/>
  <c r="F14" i="401" s="1"/>
  <c r="F17" i="401" a="1"/>
  <c r="F17" i="401" s="1"/>
  <c r="G17" i="401" s="1"/>
  <c r="C36" i="401"/>
  <c r="C47" i="401" s="1"/>
  <c r="F63" i="401" a="1"/>
  <c r="F63" i="401" s="1"/>
  <c r="F66" i="401" a="1"/>
  <c r="F66" i="401" s="1"/>
  <c r="F69" i="401" a="1"/>
  <c r="F69" i="401" s="1"/>
  <c r="G69" i="401" s="1"/>
  <c r="F72" i="401" a="1"/>
  <c r="F72" i="401" s="1"/>
  <c r="F79" i="401" a="1"/>
  <c r="F79" i="401" s="1"/>
  <c r="F95" i="401" a="1"/>
  <c r="F95" i="401" s="1"/>
  <c r="G95" i="401" s="1"/>
  <c r="F102" i="401" a="1"/>
  <c r="F102" i="401" s="1"/>
  <c r="F104" i="401" a="1"/>
  <c r="F104" i="401" s="1"/>
  <c r="G104" i="401" s="1"/>
  <c r="F106" i="401" a="1"/>
  <c r="F106" i="401" s="1"/>
  <c r="F108" i="401" a="1"/>
  <c r="F108" i="401" s="1"/>
  <c r="G108" i="401" s="1"/>
  <c r="F111" i="401" a="1"/>
  <c r="F111" i="401" s="1"/>
  <c r="F112" i="401" a="1"/>
  <c r="F112" i="401" s="1"/>
  <c r="G112" i="401" s="1"/>
  <c r="F125" i="401" a="1"/>
  <c r="F125" i="401" s="1"/>
  <c r="G125" i="401" s="1"/>
  <c r="I125" i="401" s="1"/>
  <c r="F137" i="401" a="1"/>
  <c r="F137" i="401" s="1"/>
  <c r="G137" i="401" s="1"/>
  <c r="H137" i="401" s="1"/>
  <c r="C51" i="394"/>
  <c r="C50" i="394"/>
  <c r="C78" i="394"/>
  <c r="C77" i="394" s="1"/>
  <c r="C76" i="394" s="1"/>
  <c r="C51" i="405"/>
  <c r="C50" i="405"/>
  <c r="D10" i="398" a="1"/>
  <c r="D10" i="398" s="1"/>
  <c r="D14" i="398" a="1"/>
  <c r="D14" i="398"/>
  <c r="I14" i="398" s="1"/>
  <c r="D18" i="398" a="1"/>
  <c r="D18" i="398"/>
  <c r="I18" i="398"/>
  <c r="D31" i="398" a="1"/>
  <c r="D31" i="398"/>
  <c r="I31" i="398"/>
  <c r="D35" i="398" a="1"/>
  <c r="D35" i="398" s="1"/>
  <c r="I35" i="398" s="1"/>
  <c r="D39" i="398" a="1"/>
  <c r="D39" i="398"/>
  <c r="I39" i="398" s="1"/>
  <c r="D55" i="398" a="1"/>
  <c r="D55" i="398" s="1"/>
  <c r="D56" i="398" a="1"/>
  <c r="D56" i="398" s="1"/>
  <c r="I56" i="398" s="1"/>
  <c r="D68" i="398" a="1"/>
  <c r="D68" i="398"/>
  <c r="D80" i="398" a="1"/>
  <c r="D80" i="398"/>
  <c r="I80" i="398"/>
  <c r="D82" i="398" a="1"/>
  <c r="D82" i="398" s="1"/>
  <c r="D87" i="398" a="1"/>
  <c r="D87" i="398" s="1"/>
  <c r="I87" i="398" s="1"/>
  <c r="D92" i="398" a="1"/>
  <c r="D92" i="398" s="1"/>
  <c r="I92" i="398" s="1"/>
  <c r="D94" i="398" a="1"/>
  <c r="D94" i="398" s="1"/>
  <c r="D96" i="398" a="1"/>
  <c r="D96" i="398"/>
  <c r="I96" i="398"/>
  <c r="D98" i="398" a="1"/>
  <c r="D98" i="398" s="1"/>
  <c r="I98" i="398" s="1"/>
  <c r="D105" i="398" a="1"/>
  <c r="D105" i="398" s="1"/>
  <c r="I105" i="398" s="1"/>
  <c r="D112" i="398" a="1"/>
  <c r="D112" i="398"/>
  <c r="I112" i="398" s="1"/>
  <c r="D114" i="398" a="1"/>
  <c r="D114" i="398" s="1"/>
  <c r="I114" i="398" s="1"/>
  <c r="D121" i="398" a="1"/>
  <c r="D121" i="398" s="1"/>
  <c r="I121" i="398" s="1"/>
  <c r="D128" i="398" a="1"/>
  <c r="D128" i="398" s="1"/>
  <c r="I128" i="398" s="1"/>
  <c r="D135" i="398" a="1"/>
  <c r="D135" i="398" s="1"/>
  <c r="I135" i="398" s="1"/>
  <c r="D137" i="398" a="1"/>
  <c r="D137" i="398" s="1"/>
  <c r="I137" i="398" s="1"/>
  <c r="C139" i="398"/>
  <c r="D142" i="398" a="1"/>
  <c r="D142" i="398" s="1"/>
  <c r="I142" i="398" s="1"/>
  <c r="D157" i="398" a="1"/>
  <c r="D157" i="398" s="1"/>
  <c r="C19" i="399"/>
  <c r="D86" i="399" a="1"/>
  <c r="D86" i="399" s="1"/>
  <c r="D103" i="399" a="1"/>
  <c r="D103" i="399"/>
  <c r="I103" i="399" s="1"/>
  <c r="D107" i="399" a="1"/>
  <c r="D107" i="399"/>
  <c r="I107" i="399" s="1"/>
  <c r="D113" i="399" a="1"/>
  <c r="D113" i="399" s="1"/>
  <c r="I113" i="399" s="1"/>
  <c r="D121" i="399" a="1"/>
  <c r="D121" i="399"/>
  <c r="I121" i="399" s="1"/>
  <c r="D129" i="399" a="1"/>
  <c r="D129" i="399"/>
  <c r="I129" i="399"/>
  <c r="D141" i="399" a="1"/>
  <c r="D141" i="399" s="1"/>
  <c r="I141" i="399" s="1"/>
  <c r="D143" i="399" a="1"/>
  <c r="D143" i="399" s="1"/>
  <c r="I143" i="399" s="1"/>
  <c r="D163" i="399" a="1"/>
  <c r="D163" i="399"/>
  <c r="I163" i="399" s="1"/>
  <c r="F43" i="401" a="1"/>
  <c r="F43" i="401" s="1"/>
  <c r="G43" i="401" s="1"/>
  <c r="F45" i="401" a="1"/>
  <c r="F45" i="401" s="1"/>
  <c r="F71" i="401" a="1"/>
  <c r="F71" i="401" s="1"/>
  <c r="F92" i="401" a="1"/>
  <c r="F92" i="401" s="1"/>
  <c r="F94" i="401" a="1"/>
  <c r="F94" i="401" s="1"/>
  <c r="G94" i="401" s="1"/>
  <c r="H94" i="401" s="1"/>
  <c r="F132" i="401" a="1"/>
  <c r="F132" i="401" s="1"/>
  <c r="G132" i="401" s="1"/>
  <c r="F134" i="401" a="1"/>
  <c r="F134" i="401" s="1"/>
  <c r="F136" i="401" a="1"/>
  <c r="F136" i="401" s="1"/>
  <c r="F155" i="401" a="1"/>
  <c r="F155" i="401" s="1"/>
  <c r="G155" i="401" s="1"/>
  <c r="F158" i="401" a="1"/>
  <c r="F158" i="401" s="1"/>
  <c r="C36" i="402"/>
  <c r="D163" i="398" a="1"/>
  <c r="D163" i="398" s="1"/>
  <c r="I163" i="398" s="1"/>
  <c r="D159" i="398" a="1"/>
  <c r="D159" i="398" s="1"/>
  <c r="I159" i="398" s="1"/>
  <c r="D155" i="398" a="1"/>
  <c r="D155" i="398" s="1"/>
  <c r="D143" i="398" a="1"/>
  <c r="D143" i="398"/>
  <c r="I143" i="398"/>
  <c r="D140" i="398" a="1"/>
  <c r="D140" i="398" s="1"/>
  <c r="D134" i="398" a="1"/>
  <c r="D134" i="398" s="1"/>
  <c r="I134" i="398" s="1"/>
  <c r="D130" i="398" a="1"/>
  <c r="D130" i="398" s="1"/>
  <c r="I130" i="398" s="1"/>
  <c r="D126" i="398" a="1"/>
  <c r="D126" i="398" s="1"/>
  <c r="I126" i="398" s="1"/>
  <c r="D123" i="398" a="1"/>
  <c r="D123" i="398" s="1"/>
  <c r="I123" i="398" s="1"/>
  <c r="D119" i="398" a="1"/>
  <c r="D119" i="398"/>
  <c r="I119" i="398" s="1"/>
  <c r="D115" i="398" a="1"/>
  <c r="D115" i="398"/>
  <c r="I115" i="398" s="1"/>
  <c r="D111" i="398" a="1"/>
  <c r="D111" i="398"/>
  <c r="I111" i="398" s="1"/>
  <c r="D107" i="398" a="1"/>
  <c r="D107" i="398" s="1"/>
  <c r="I107" i="398" s="1"/>
  <c r="D103" i="398" a="1"/>
  <c r="D103" i="398"/>
  <c r="I103" i="398" s="1"/>
  <c r="D99" i="398" a="1"/>
  <c r="D99" i="398"/>
  <c r="I99" i="398"/>
  <c r="D95" i="398" a="1"/>
  <c r="D95" i="398" s="1"/>
  <c r="I95" i="398" s="1"/>
  <c r="D91" i="398" a="1"/>
  <c r="D91" i="398" s="1"/>
  <c r="I91" i="398" s="1"/>
  <c r="D89" i="398" a="1"/>
  <c r="D89" i="398"/>
  <c r="D86" i="398" a="1"/>
  <c r="D86" i="398" s="1"/>
  <c r="D79" i="398" a="1"/>
  <c r="D79" i="398"/>
  <c r="D73" i="398" a="1"/>
  <c r="D73" i="398" s="1"/>
  <c r="I73" i="398" s="1"/>
  <c r="D71" i="398" a="1"/>
  <c r="D71" i="398" s="1"/>
  <c r="D69" i="398" a="1"/>
  <c r="D69" i="398"/>
  <c r="D66" i="398" a="1"/>
  <c r="D66" i="398" s="1"/>
  <c r="I66" i="398" s="1"/>
  <c r="D60" i="398" a="1"/>
  <c r="D60" i="398"/>
  <c r="I60" i="398" s="1"/>
  <c r="D57" i="398" a="1"/>
  <c r="D57" i="398" s="1"/>
  <c r="I57" i="398" s="1"/>
  <c r="D54" i="398" a="1"/>
  <c r="D54" i="398" s="1"/>
  <c r="I54" i="398" s="1"/>
  <c r="D45" i="398" a="1"/>
  <c r="D45" i="398" s="1"/>
  <c r="I45" i="398" s="1"/>
  <c r="D41" i="398" a="1"/>
  <c r="D41" i="398" s="1"/>
  <c r="I41" i="398" s="1"/>
  <c r="D37" i="398" a="1"/>
  <c r="D37" i="398"/>
  <c r="D33" i="398" a="1"/>
  <c r="D33" i="398" s="1"/>
  <c r="D20" i="398" a="1"/>
  <c r="D20" i="398" s="1"/>
  <c r="D16" i="398" a="1"/>
  <c r="D16" i="398" s="1"/>
  <c r="D12" i="398" a="1"/>
  <c r="D12" i="398"/>
  <c r="D22" i="398" a="1"/>
  <c r="D22" i="398" s="1"/>
  <c r="C27" i="398"/>
  <c r="C47" i="398"/>
  <c r="D42" i="398" a="1"/>
  <c r="D42" i="398" s="1"/>
  <c r="I42" i="398" s="1"/>
  <c r="D44" i="398" a="1"/>
  <c r="D44" i="398"/>
  <c r="I44" i="398" s="1"/>
  <c r="D52" i="398" a="1"/>
  <c r="D52" i="398" s="1"/>
  <c r="D53" i="398" a="1"/>
  <c r="D53" i="398" s="1"/>
  <c r="I53" i="398" s="1"/>
  <c r="D64" i="398" a="1"/>
  <c r="D64" i="398"/>
  <c r="I64" i="398" s="1"/>
  <c r="D74" i="398" a="1"/>
  <c r="D74" i="398"/>
  <c r="I74" i="398" s="1"/>
  <c r="D83" i="398" a="1"/>
  <c r="D83" i="398"/>
  <c r="I83" i="398"/>
  <c r="D85" i="398" a="1"/>
  <c r="D85" i="398" s="1"/>
  <c r="I85" i="398" s="1"/>
  <c r="D90" i="398" a="1"/>
  <c r="D90" i="398"/>
  <c r="D101" i="398" a="1"/>
  <c r="D101" i="398" s="1"/>
  <c r="I101" i="398" s="1"/>
  <c r="D108" i="398" a="1"/>
  <c r="D108" i="398" s="1"/>
  <c r="I108" i="398" s="1"/>
  <c r="D110" i="398" a="1"/>
  <c r="D110" i="398" s="1"/>
  <c r="I110" i="398" s="1"/>
  <c r="D117" i="398" a="1"/>
  <c r="D117" i="398"/>
  <c r="I117" i="398"/>
  <c r="D124" i="398" a="1"/>
  <c r="D124" i="398" s="1"/>
  <c r="I124" i="398" s="1"/>
  <c r="D131" i="398" a="1"/>
  <c r="D131" i="398" s="1"/>
  <c r="I131" i="398" s="1"/>
  <c r="D133" i="398" a="1"/>
  <c r="D133" i="398"/>
  <c r="I133" i="398" s="1"/>
  <c r="D160" i="398" a="1"/>
  <c r="D160" i="398"/>
  <c r="I160" i="398" s="1"/>
  <c r="D162" i="398" a="1"/>
  <c r="D162" i="398"/>
  <c r="I162" i="398"/>
  <c r="C27" i="399"/>
  <c r="C47" i="399" s="1"/>
  <c r="C164" i="401"/>
  <c r="G137" i="395"/>
  <c r="C36" i="396"/>
  <c r="D10" i="397" a="1"/>
  <c r="D10" i="397" s="1"/>
  <c r="D14" i="397" a="1"/>
  <c r="D14" i="397"/>
  <c r="I14" i="397" s="1"/>
  <c r="D18" i="397" a="1"/>
  <c r="D18" i="397"/>
  <c r="I18" i="397"/>
  <c r="D31" i="397" a="1"/>
  <c r="D31" i="397" s="1"/>
  <c r="I31" i="397" s="1"/>
  <c r="C36" i="397"/>
  <c r="D39" i="397" a="1"/>
  <c r="D39" i="397" s="1"/>
  <c r="I39" i="397" s="1"/>
  <c r="D41" i="397" a="1"/>
  <c r="D41" i="397"/>
  <c r="I41" i="397" s="1"/>
  <c r="D55" i="397" a="1"/>
  <c r="D55" i="397"/>
  <c r="D60" i="397" a="1"/>
  <c r="D60" i="397" s="1"/>
  <c r="I60" i="397" s="1"/>
  <c r="D66" i="397" a="1"/>
  <c r="D66" i="397"/>
  <c r="I66" i="397" s="1"/>
  <c r="D70" i="397" a="1"/>
  <c r="D70" i="397" s="1"/>
  <c r="D71" i="397" a="1"/>
  <c r="D71" i="397" s="1"/>
  <c r="D80" i="397" a="1"/>
  <c r="D80" i="397"/>
  <c r="I80" i="397"/>
  <c r="D82" i="397" a="1"/>
  <c r="D82" i="397"/>
  <c r="I82" i="397"/>
  <c r="D89" i="397" a="1"/>
  <c r="D89" i="397" s="1"/>
  <c r="I89" i="397" s="1"/>
  <c r="D96" i="397" a="1"/>
  <c r="D96" i="397"/>
  <c r="I96" i="397" s="1"/>
  <c r="D98" i="397" a="1"/>
  <c r="D98" i="397" s="1"/>
  <c r="I98" i="397" s="1"/>
  <c r="D105" i="397" a="1"/>
  <c r="D105" i="397" s="1"/>
  <c r="I105" i="397" s="1"/>
  <c r="D112" i="397" a="1"/>
  <c r="D112" i="397" s="1"/>
  <c r="I112" i="397" s="1"/>
  <c r="D114" i="397" a="1"/>
  <c r="D114" i="397" s="1"/>
  <c r="I114" i="397" s="1"/>
  <c r="D121" i="397" a="1"/>
  <c r="D121" i="397"/>
  <c r="I121" i="397"/>
  <c r="D123" i="397" a="1"/>
  <c r="D123" i="397" s="1"/>
  <c r="I123" i="397" s="1"/>
  <c r="D132" i="397" a="1"/>
  <c r="D132" i="397" s="1"/>
  <c r="I132" i="397" s="1"/>
  <c r="D155" i="397" a="1"/>
  <c r="D155" i="397"/>
  <c r="D161" i="397" a="1"/>
  <c r="D161" i="397"/>
  <c r="I161" i="397"/>
  <c r="D163" i="397" a="1"/>
  <c r="D163" i="397" s="1"/>
  <c r="I163" i="397" s="1"/>
  <c r="F13" i="393" a="1"/>
  <c r="F13" i="393" s="1"/>
  <c r="G13" i="393" s="1"/>
  <c r="F16" i="393" a="1"/>
  <c r="F16" i="393" s="1"/>
  <c r="F23" i="393" a="1"/>
  <c r="F23" i="393" s="1"/>
  <c r="G23" i="393" s="1"/>
  <c r="F33" i="393" a="1"/>
  <c r="F33" i="393" s="1"/>
  <c r="F37" i="393" a="1"/>
  <c r="F37" i="393" s="1"/>
  <c r="F41" i="393" a="1"/>
  <c r="F41" i="393" s="1"/>
  <c r="G41" i="393" s="1"/>
  <c r="F43" i="393" a="1"/>
  <c r="F43" i="393" s="1"/>
  <c r="G43" i="393" s="1"/>
  <c r="F54" i="393" a="1"/>
  <c r="F54" i="393" s="1"/>
  <c r="G54" i="393" s="1"/>
  <c r="F56" i="393" a="1"/>
  <c r="F56" i="393" s="1"/>
  <c r="G56" i="393" s="1"/>
  <c r="F58" i="393" a="1"/>
  <c r="F58" i="393" s="1"/>
  <c r="G58" i="393" s="1"/>
  <c r="F63" i="393" a="1"/>
  <c r="F63" i="393" s="1"/>
  <c r="G63" i="393" s="1"/>
  <c r="H63" i="393" s="1"/>
  <c r="F67" i="393" a="1"/>
  <c r="F67" i="393" s="1"/>
  <c r="F83" i="393" a="1"/>
  <c r="F83" i="393" s="1"/>
  <c r="G83" i="393" s="1"/>
  <c r="F90" i="393" a="1"/>
  <c r="F90" i="393" s="1"/>
  <c r="F97" i="393" a="1"/>
  <c r="F97" i="393" s="1"/>
  <c r="G97" i="393" s="1"/>
  <c r="F108" i="393" a="1"/>
  <c r="F108" i="393" s="1"/>
  <c r="G108" i="393" s="1"/>
  <c r="F110" i="393" a="1"/>
  <c r="F110" i="393" s="1"/>
  <c r="G110" i="393" s="1"/>
  <c r="F113" i="393" a="1"/>
  <c r="F113" i="393" s="1"/>
  <c r="F124" i="393" a="1"/>
  <c r="F124" i="393" s="1"/>
  <c r="G124" i="393" s="1"/>
  <c r="F128" i="393" a="1"/>
  <c r="F128" i="393" s="1"/>
  <c r="G128" i="393" s="1"/>
  <c r="F155" i="393" a="1"/>
  <c r="F155" i="393" s="1"/>
  <c r="F157" i="393" a="1"/>
  <c r="F157" i="393" s="1"/>
  <c r="F160" i="393" a="1"/>
  <c r="F160" i="393" s="1"/>
  <c r="D13" i="398" a="1"/>
  <c r="D13" i="398"/>
  <c r="I13" i="398" s="1"/>
  <c r="D17" i="398" a="1"/>
  <c r="D17" i="398"/>
  <c r="I17" i="398"/>
  <c r="D28" i="398" a="1"/>
  <c r="D28" i="398"/>
  <c r="D30" i="398" a="1"/>
  <c r="D30" i="398"/>
  <c r="D34" i="398" a="1"/>
  <c r="D34" i="398" s="1"/>
  <c r="I34" i="398" s="1"/>
  <c r="D38" i="398" a="1"/>
  <c r="D38" i="398" s="1"/>
  <c r="I38" i="398" s="1"/>
  <c r="D40" i="398" a="1"/>
  <c r="D40" i="398"/>
  <c r="I40" i="398" s="1"/>
  <c r="D61" i="398" a="1"/>
  <c r="D61" i="398" s="1"/>
  <c r="D62" i="398" a="1"/>
  <c r="D62" i="398" s="1"/>
  <c r="D67" i="398" a="1"/>
  <c r="D67" i="398"/>
  <c r="D72" i="398" a="1"/>
  <c r="D72" i="398" s="1"/>
  <c r="D81" i="398" a="1"/>
  <c r="D81" i="398" s="1"/>
  <c r="I81" i="398"/>
  <c r="D88" i="398" a="1"/>
  <c r="D88" i="398" s="1"/>
  <c r="I88" i="398" s="1"/>
  <c r="D93" i="398" a="1"/>
  <c r="D93" i="398" s="1"/>
  <c r="I93" i="398" s="1"/>
  <c r="D97" i="398" a="1"/>
  <c r="D97" i="398"/>
  <c r="I97" i="398" s="1"/>
  <c r="D104" i="398" a="1"/>
  <c r="D104" i="398"/>
  <c r="I104" i="398"/>
  <c r="D106" i="398" a="1"/>
  <c r="D106" i="398" s="1"/>
  <c r="I106" i="398" s="1"/>
  <c r="D113" i="398" a="1"/>
  <c r="D113" i="398" s="1"/>
  <c r="I113" i="398" s="1"/>
  <c r="D120" i="398" a="1"/>
  <c r="D120" i="398"/>
  <c r="I120" i="398" s="1"/>
  <c r="D122" i="398" a="1"/>
  <c r="D122" i="398" s="1"/>
  <c r="I122" i="398" s="1"/>
  <c r="D127" i="398" a="1"/>
  <c r="D127" i="398"/>
  <c r="I127" i="398"/>
  <c r="D129" i="398" a="1"/>
  <c r="D129" i="398" s="1"/>
  <c r="I129" i="398" s="1"/>
  <c r="D136" i="398" a="1"/>
  <c r="D136" i="398"/>
  <c r="I136" i="398" s="1"/>
  <c r="D141" i="398" a="1"/>
  <c r="D141" i="398"/>
  <c r="I141" i="398"/>
  <c r="D145" i="398" a="1"/>
  <c r="D145" i="398"/>
  <c r="D156" i="398" a="1"/>
  <c r="D156" i="398" s="1"/>
  <c r="D158" i="398" a="1"/>
  <c r="D158" i="398"/>
  <c r="I158" i="398"/>
  <c r="D161" i="399" a="1"/>
  <c r="D161" i="399" s="1"/>
  <c r="I161" i="399" s="1"/>
  <c r="D158" i="399" a="1"/>
  <c r="D158" i="399"/>
  <c r="D135" i="399" a="1"/>
  <c r="D135" i="399" s="1"/>
  <c r="I135" i="399" s="1"/>
  <c r="D131" i="399" a="1"/>
  <c r="D131" i="399" s="1"/>
  <c r="I131" i="399" s="1"/>
  <c r="D127" i="399" a="1"/>
  <c r="D127" i="399" s="1"/>
  <c r="I127" i="399" s="1"/>
  <c r="D124" i="399" a="1"/>
  <c r="D124" i="399" s="1"/>
  <c r="I124" i="399" s="1"/>
  <c r="D118" i="399" a="1"/>
  <c r="D118" i="399" s="1"/>
  <c r="D114" i="399" a="1"/>
  <c r="D114" i="399"/>
  <c r="I114" i="399" s="1"/>
  <c r="D110" i="399" a="1"/>
  <c r="D110" i="399"/>
  <c r="I110" i="399"/>
  <c r="D106" i="399" a="1"/>
  <c r="D106" i="399"/>
  <c r="I106" i="399"/>
  <c r="D102" i="399" a="1"/>
  <c r="D102" i="399" s="1"/>
  <c r="I102" i="399" s="1"/>
  <c r="D98" i="399" a="1"/>
  <c r="D98" i="399"/>
  <c r="I98" i="399"/>
  <c r="D95" i="399" a="1"/>
  <c r="D95" i="399" s="1"/>
  <c r="D91" i="399" a="1"/>
  <c r="D91" i="399" s="1"/>
  <c r="I91" i="399" s="1"/>
  <c r="D89" i="399" a="1"/>
  <c r="D89" i="399"/>
  <c r="D83" i="399" a="1"/>
  <c r="D83" i="399"/>
  <c r="I83" i="399"/>
  <c r="D80" i="399" a="1"/>
  <c r="D80" i="399" s="1"/>
  <c r="I80" i="399" s="1"/>
  <c r="D72" i="399" a="1"/>
  <c r="D72" i="399"/>
  <c r="D70" i="399" a="1"/>
  <c r="D70" i="399" s="1"/>
  <c r="D68" i="399" a="1"/>
  <c r="D68" i="399"/>
  <c r="D65" i="399" a="1"/>
  <c r="D65" i="399" s="1"/>
  <c r="D62" i="399" a="1"/>
  <c r="D62" i="399"/>
  <c r="D59" i="399" a="1"/>
  <c r="D59" i="399"/>
  <c r="I59" i="399"/>
  <c r="D56" i="399" a="1"/>
  <c r="D56" i="399" s="1"/>
  <c r="I56" i="399" s="1"/>
  <c r="D53" i="399" a="1"/>
  <c r="D53" i="399"/>
  <c r="I53" i="399" s="1"/>
  <c r="D45" i="399" a="1"/>
  <c r="D45" i="399" s="1"/>
  <c r="I45" i="399"/>
  <c r="D41" i="399" a="1"/>
  <c r="D41" i="399" s="1"/>
  <c r="I41" i="399"/>
  <c r="D37" i="399" a="1"/>
  <c r="D37" i="399" s="1"/>
  <c r="D175" i="399" a="1"/>
  <c r="D175" i="399"/>
  <c r="D177" i="399"/>
  <c r="D160" i="399" a="1"/>
  <c r="D160" i="399"/>
  <c r="I160" i="399"/>
  <c r="D142" i="399" a="1"/>
  <c r="D142" i="399" s="1"/>
  <c r="I142" i="399" s="1"/>
  <c r="D133" i="399" a="1"/>
  <c r="D133" i="399"/>
  <c r="I133" i="399" s="1"/>
  <c r="D162" i="399" a="1"/>
  <c r="D162" i="399"/>
  <c r="I162" i="399"/>
  <c r="D157" i="399" a="1"/>
  <c r="D157" i="399"/>
  <c r="D155" i="399" a="1"/>
  <c r="D155" i="399"/>
  <c r="D145" i="399" a="1"/>
  <c r="D145" i="399"/>
  <c r="D137" i="399" a="1"/>
  <c r="D137" i="399"/>
  <c r="I137" i="399"/>
  <c r="D130" i="399" a="1"/>
  <c r="D130" i="399" s="1"/>
  <c r="I130" i="399" s="1"/>
  <c r="D128" i="399" a="1"/>
  <c r="D128" i="399" s="1"/>
  <c r="I128" i="399" s="1"/>
  <c r="D122" i="399" a="1"/>
  <c r="D122" i="399" s="1"/>
  <c r="I122" i="399" s="1"/>
  <c r="D117" i="399" a="1"/>
  <c r="D117" i="399" s="1"/>
  <c r="I117" i="399" s="1"/>
  <c r="D115" i="399" a="1"/>
  <c r="D115" i="399"/>
  <c r="I115" i="399"/>
  <c r="D108" i="399" a="1"/>
  <c r="D108" i="399" s="1"/>
  <c r="I108" i="399" s="1"/>
  <c r="D101" i="399" a="1"/>
  <c r="D101" i="399" s="1"/>
  <c r="I101" i="399" s="1"/>
  <c r="D99" i="399" a="1"/>
  <c r="D99" i="399" s="1"/>
  <c r="I99" i="399" s="1"/>
  <c r="D94" i="399" a="1"/>
  <c r="D94" i="399"/>
  <c r="I94" i="399" s="1"/>
  <c r="D92" i="399" a="1"/>
  <c r="D92" i="399"/>
  <c r="I92" i="399"/>
  <c r="D87" i="399" a="1"/>
  <c r="D87" i="399" s="1"/>
  <c r="I87" i="399" s="1"/>
  <c r="D82" i="399" a="1"/>
  <c r="D82" i="399"/>
  <c r="D74" i="399" a="1"/>
  <c r="D74" i="399" s="1"/>
  <c r="I74" i="399" s="1"/>
  <c r="D69" i="399" a="1"/>
  <c r="D69" i="399" s="1"/>
  <c r="D64" i="399" a="1"/>
  <c r="D64" i="399"/>
  <c r="I64" i="399" s="1"/>
  <c r="D57" i="399" a="1"/>
  <c r="D57" i="399"/>
  <c r="I57" i="399"/>
  <c r="D52" i="399" a="1"/>
  <c r="D52" i="399"/>
  <c r="D44" i="399" a="1"/>
  <c r="D44" i="399" s="1"/>
  <c r="I44" i="399" s="1"/>
  <c r="D42" i="399" a="1"/>
  <c r="D42" i="399" s="1"/>
  <c r="I42" i="399" s="1"/>
  <c r="D33" i="399" a="1"/>
  <c r="D33" i="399" s="1"/>
  <c r="D17" i="399" a="1"/>
  <c r="D17" i="399"/>
  <c r="I17" i="399" s="1"/>
  <c r="C9" i="399"/>
  <c r="D18" i="399" a="1"/>
  <c r="D18" i="399"/>
  <c r="I18" i="399"/>
  <c r="D28" i="399" a="1"/>
  <c r="D28" i="399" s="1"/>
  <c r="D30" i="399" a="1"/>
  <c r="D30" i="399"/>
  <c r="D34" i="399" a="1"/>
  <c r="D34" i="399" s="1"/>
  <c r="I34" i="399"/>
  <c r="D40" i="399" a="1"/>
  <c r="D40" i="399" s="1"/>
  <c r="I40" i="399" s="1"/>
  <c r="C51" i="399"/>
  <c r="C50" i="399" s="1"/>
  <c r="D55" i="399" a="1"/>
  <c r="D55" i="399" s="1"/>
  <c r="D60" i="399" a="1"/>
  <c r="D60" i="399" s="1"/>
  <c r="I60" i="399" s="1"/>
  <c r="D79" i="399" a="1"/>
  <c r="D79" i="399" s="1"/>
  <c r="D93" i="399" a="1"/>
  <c r="D93" i="399"/>
  <c r="I93" i="399" s="1"/>
  <c r="D97" i="399" a="1"/>
  <c r="D97" i="399" s="1"/>
  <c r="I97" i="399" s="1"/>
  <c r="D104" i="399" a="1"/>
  <c r="D104" i="399"/>
  <c r="I104" i="399"/>
  <c r="D111" i="399" a="1"/>
  <c r="D111" i="399" s="1"/>
  <c r="I111" i="399" s="1"/>
  <c r="D119" i="399" a="1"/>
  <c r="D119" i="399"/>
  <c r="I119" i="399" s="1"/>
  <c r="D125" i="399" a="1"/>
  <c r="D125" i="399"/>
  <c r="D126" i="399" a="1"/>
  <c r="D126" i="399" s="1"/>
  <c r="I126" i="399" s="1"/>
  <c r="D159" i="399" a="1"/>
  <c r="D159" i="399" s="1"/>
  <c r="I159" i="399" s="1"/>
  <c r="F162" i="401" a="1"/>
  <c r="F162" i="401" s="1"/>
  <c r="F159" i="401" a="1"/>
  <c r="F159" i="401" s="1"/>
  <c r="F156" i="401" a="1"/>
  <c r="F156" i="401" s="1"/>
  <c r="G156" i="401" s="1"/>
  <c r="F142" i="401" a="1"/>
  <c r="F142" i="401" s="1"/>
  <c r="F135" i="401" a="1"/>
  <c r="F135" i="401" s="1"/>
  <c r="G135" i="401" s="1"/>
  <c r="F131" i="401" a="1"/>
  <c r="F131" i="401" s="1"/>
  <c r="G131" i="401" s="1"/>
  <c r="F127" i="401" a="1"/>
  <c r="F127" i="401" s="1"/>
  <c r="G127" i="401" s="1"/>
  <c r="F124" i="401" a="1"/>
  <c r="F124" i="401" s="1"/>
  <c r="F120" i="401" a="1"/>
  <c r="F120" i="401" s="1"/>
  <c r="F117" i="401" a="1"/>
  <c r="F117" i="401" s="1"/>
  <c r="G117" i="401" s="1"/>
  <c r="H117" i="401" s="1"/>
  <c r="F113" i="401" a="1"/>
  <c r="F113" i="401" s="1"/>
  <c r="F109" i="401" a="1"/>
  <c r="F109" i="401" s="1"/>
  <c r="F105" i="401" a="1"/>
  <c r="F105" i="401" s="1"/>
  <c r="G105" i="401" s="1"/>
  <c r="F101" i="401" a="1"/>
  <c r="F101" i="401" s="1"/>
  <c r="G101" i="401" s="1"/>
  <c r="F97" i="401" a="1"/>
  <c r="F97" i="401" s="1"/>
  <c r="F93" i="401" a="1"/>
  <c r="F93" i="401" s="1"/>
  <c r="G93" i="401" s="1"/>
  <c r="F90" i="401" a="1"/>
  <c r="F90" i="401" s="1"/>
  <c r="F88" i="401" a="1"/>
  <c r="F88" i="401" s="1"/>
  <c r="F85" i="401" a="1"/>
  <c r="F85" i="401" s="1"/>
  <c r="F82" i="401" a="1"/>
  <c r="F82" i="401" s="1"/>
  <c r="G82" i="401" s="1"/>
  <c r="F74" i="401" a="1"/>
  <c r="F74" i="401" s="1"/>
  <c r="G74" i="401" s="1"/>
  <c r="F67" i="401" a="1"/>
  <c r="F67" i="401" s="1"/>
  <c r="G67" i="401" s="1"/>
  <c r="F64" i="401" a="1"/>
  <c r="F64" i="401" s="1"/>
  <c r="F62" i="401" a="1"/>
  <c r="F62" i="401" s="1"/>
  <c r="G62" i="401" s="1"/>
  <c r="F59" i="401" a="1"/>
  <c r="F59" i="401" s="1"/>
  <c r="G59" i="401" s="1"/>
  <c r="F54" i="401" a="1"/>
  <c r="F54" i="401" s="1"/>
  <c r="G54" i="401" s="1"/>
  <c r="H54" i="401" s="1"/>
  <c r="F52" i="401" a="1"/>
  <c r="F52" i="401" s="1"/>
  <c r="F41" i="401" a="1"/>
  <c r="F41" i="401" s="1"/>
  <c r="G41" i="401" s="1"/>
  <c r="F37" i="401" a="1"/>
  <c r="F37" i="401" s="1"/>
  <c r="F34" i="401" a="1"/>
  <c r="F34" i="401" s="1"/>
  <c r="G34" i="401" s="1"/>
  <c r="F30" i="401" a="1"/>
  <c r="F30" i="401" s="1"/>
  <c r="F26" i="401" a="1"/>
  <c r="F26" i="401" s="1"/>
  <c r="G26" i="401" s="1"/>
  <c r="F20" i="401" a="1"/>
  <c r="F20" i="401" s="1"/>
  <c r="F16" i="401" a="1"/>
  <c r="F16" i="401" s="1"/>
  <c r="G16" i="401" s="1"/>
  <c r="F12" i="401" a="1"/>
  <c r="F12" i="401" s="1"/>
  <c r="G12" i="401" s="1"/>
  <c r="D7" i="401"/>
  <c r="F157" i="401" a="1"/>
  <c r="F157" i="401" s="1"/>
  <c r="F140" i="401" a="1"/>
  <c r="F140" i="401" s="1"/>
  <c r="G140" i="401" s="1"/>
  <c r="H140" i="401" s="1"/>
  <c r="F129" i="401" a="1"/>
  <c r="F129" i="401" s="1"/>
  <c r="G129" i="401" s="1"/>
  <c r="F126" i="401" a="1"/>
  <c r="F126" i="401" s="1"/>
  <c r="F122" i="401" a="1"/>
  <c r="F122" i="401" s="1"/>
  <c r="F119" i="401" a="1"/>
  <c r="F119" i="401" s="1"/>
  <c r="F115" i="401" a="1"/>
  <c r="F115" i="401" s="1"/>
  <c r="F110" i="401" a="1"/>
  <c r="F110" i="401" s="1"/>
  <c r="F99" i="401" a="1"/>
  <c r="F99" i="401" s="1"/>
  <c r="F96" i="401" a="1"/>
  <c r="F96" i="401" s="1"/>
  <c r="G96" i="401" s="1"/>
  <c r="H96" i="401" s="1"/>
  <c r="F87" i="401" a="1"/>
  <c r="F87" i="401" s="1"/>
  <c r="G87" i="401" s="1"/>
  <c r="F83" i="401" a="1"/>
  <c r="F83" i="401" s="1"/>
  <c r="G83" i="401" s="1"/>
  <c r="F73" i="401" a="1"/>
  <c r="F73" i="401" s="1"/>
  <c r="G73" i="401" s="1"/>
  <c r="F68" i="401" a="1"/>
  <c r="F68" i="401" s="1"/>
  <c r="G68" i="401" s="1"/>
  <c r="F61" i="401" a="1"/>
  <c r="F61" i="401" s="1"/>
  <c r="G61" i="401" s="1"/>
  <c r="H61" i="401" s="1"/>
  <c r="F57" i="401" a="1"/>
  <c r="F57" i="401" s="1"/>
  <c r="F13" i="401" a="1"/>
  <c r="F13" i="401" s="1"/>
  <c r="G13" i="401" s="1"/>
  <c r="F175" i="401" a="1"/>
  <c r="F175" i="401" s="1"/>
  <c r="F177" i="401" s="1"/>
  <c r="F163" i="401" a="1"/>
  <c r="F163" i="401" s="1"/>
  <c r="G163" i="401" s="1"/>
  <c r="F160" i="401" a="1"/>
  <c r="F160" i="401" s="1"/>
  <c r="G160" i="401" s="1"/>
  <c r="F145" i="401" a="1"/>
  <c r="F145" i="401" s="1"/>
  <c r="F144" i="401" s="1"/>
  <c r="F141" i="401" a="1"/>
  <c r="F141" i="401" s="1"/>
  <c r="G141" i="401" s="1"/>
  <c r="H141" i="401" s="1"/>
  <c r="F133" i="401" a="1"/>
  <c r="F133" i="401" s="1"/>
  <c r="G133" i="401" s="1"/>
  <c r="F130" i="401" a="1"/>
  <c r="F130" i="401" s="1"/>
  <c r="G130" i="401" s="1"/>
  <c r="F128" i="401" a="1"/>
  <c r="F128" i="401" s="1"/>
  <c r="F123" i="401" a="1"/>
  <c r="F123" i="401" s="1"/>
  <c r="G123" i="401" s="1"/>
  <c r="F121" i="401" a="1"/>
  <c r="F121" i="401" s="1"/>
  <c r="G121" i="401" s="1"/>
  <c r="F116" i="401" a="1"/>
  <c r="F116" i="401" s="1"/>
  <c r="G116" i="401" s="1"/>
  <c r="F114" i="401" a="1"/>
  <c r="F114" i="401" s="1"/>
  <c r="F103" i="401" a="1"/>
  <c r="F103" i="401" s="1"/>
  <c r="F100" i="401" a="1"/>
  <c r="F100" i="401" s="1"/>
  <c r="F98" i="401" a="1"/>
  <c r="F98" i="401" s="1"/>
  <c r="G98" i="401" s="1"/>
  <c r="F91" i="401" a="1"/>
  <c r="F91" i="401" s="1"/>
  <c r="G91" i="401" s="1"/>
  <c r="F84" i="401" a="1"/>
  <c r="F84" i="401" s="1"/>
  <c r="G84" i="401" s="1"/>
  <c r="H84" i="401" s="1"/>
  <c r="F81" i="401" a="1"/>
  <c r="F81" i="401" s="1"/>
  <c r="G81" i="401" s="1"/>
  <c r="F70" i="401" a="1"/>
  <c r="F70" i="401" s="1"/>
  <c r="G70" i="401" s="1"/>
  <c r="F65" i="401" a="1"/>
  <c r="F65" i="401" s="1"/>
  <c r="G65" i="401" s="1"/>
  <c r="F60" i="401" a="1"/>
  <c r="F60" i="401" s="1"/>
  <c r="G60" i="401" s="1"/>
  <c r="F56" i="401" a="1"/>
  <c r="F56" i="401" s="1"/>
  <c r="F53" i="401" a="1"/>
  <c r="F53" i="401" s="1"/>
  <c r="G53" i="401" s="1"/>
  <c r="F39" i="401" a="1"/>
  <c r="F39" i="401" s="1"/>
  <c r="G39" i="401" s="1"/>
  <c r="H39" i="401" s="1"/>
  <c r="F33" i="401" a="1"/>
  <c r="F33" i="401" s="1"/>
  <c r="G33" i="401" s="1"/>
  <c r="H33" i="401" s="1"/>
  <c r="F18" i="401" a="1"/>
  <c r="F18" i="401" s="1"/>
  <c r="G18" i="401" s="1"/>
  <c r="F10" i="401" a="1"/>
  <c r="F10" i="401" s="1"/>
  <c r="G10" i="401" s="1"/>
  <c r="F6" i="401"/>
  <c r="F28" i="401" a="1"/>
  <c r="F28" i="401" s="1"/>
  <c r="G28" i="401" s="1"/>
  <c r="F31" i="401" a="1"/>
  <c r="F31" i="401" s="1"/>
  <c r="F35" i="401" a="1"/>
  <c r="F35" i="401" s="1"/>
  <c r="G35" i="401" s="1"/>
  <c r="F80" i="401" a="1"/>
  <c r="F80" i="401" s="1"/>
  <c r="F86" i="401" a="1"/>
  <c r="F86" i="401" s="1"/>
  <c r="G86" i="401" s="1"/>
  <c r="H86" i="401" s="1"/>
  <c r="F107" i="401" a="1"/>
  <c r="F107" i="401" s="1"/>
  <c r="G107" i="401" s="1"/>
  <c r="F118" i="401" a="1"/>
  <c r="F118" i="401" s="1"/>
  <c r="G118" i="401" s="1"/>
  <c r="C51" i="402"/>
  <c r="C50" i="402"/>
  <c r="C78" i="402"/>
  <c r="C77" i="402" s="1"/>
  <c r="C76" i="402" s="1"/>
  <c r="C78" i="405"/>
  <c r="C77" i="405"/>
  <c r="C76" i="405" s="1"/>
  <c r="D177" i="394"/>
  <c r="I177" i="394" s="1"/>
  <c r="C11" i="402"/>
  <c r="C9" i="402"/>
  <c r="C164" i="402"/>
  <c r="F160" i="403" a="1"/>
  <c r="F160" i="403" s="1"/>
  <c r="F155" i="403" a="1"/>
  <c r="F155" i="403" s="1"/>
  <c r="F145" i="403" a="1"/>
  <c r="F145" i="403" s="1"/>
  <c r="F144" i="403" s="1"/>
  <c r="F141" i="403" a="1"/>
  <c r="F141" i="403" s="1"/>
  <c r="G141" i="403" s="1"/>
  <c r="F136" i="403" a="1"/>
  <c r="F136" i="403" s="1"/>
  <c r="G136" i="403" s="1"/>
  <c r="H136" i="403" s="1"/>
  <c r="F132" i="403" a="1"/>
  <c r="F132" i="403" s="1"/>
  <c r="F128" i="403" a="1"/>
  <c r="F128" i="403" s="1"/>
  <c r="F124" i="403" a="1"/>
  <c r="F124" i="403" s="1"/>
  <c r="G124" i="403" s="1"/>
  <c r="F120" i="403" a="1"/>
  <c r="F120" i="403" s="1"/>
  <c r="G120" i="403" s="1"/>
  <c r="H120" i="403" s="1"/>
  <c r="F116" i="403" a="1"/>
  <c r="F116" i="403" s="1"/>
  <c r="F112" i="403" a="1"/>
  <c r="F112" i="403" s="1"/>
  <c r="F108" i="403" a="1"/>
  <c r="F108" i="403" s="1"/>
  <c r="F104" i="403" a="1"/>
  <c r="F104" i="403" s="1"/>
  <c r="G104" i="403" s="1"/>
  <c r="F100" i="403" a="1"/>
  <c r="F100" i="403" s="1"/>
  <c r="G100" i="403" s="1"/>
  <c r="F93" i="403" a="1"/>
  <c r="F93" i="403" s="1"/>
  <c r="F90" i="403" a="1"/>
  <c r="F90" i="403" s="1"/>
  <c r="G90" i="403" s="1"/>
  <c r="F87" i="403" a="1"/>
  <c r="F87" i="403" s="1"/>
  <c r="F84" i="403" a="1"/>
  <c r="F84" i="403" s="1"/>
  <c r="G84" i="403" s="1"/>
  <c r="F80" i="403" a="1"/>
  <c r="F80" i="403" s="1"/>
  <c r="F74" i="403" a="1"/>
  <c r="F74" i="403" s="1"/>
  <c r="G74" i="403" s="1"/>
  <c r="F67" i="403" a="1"/>
  <c r="F67" i="403" s="1"/>
  <c r="G67" i="403" s="1"/>
  <c r="F58" i="403" a="1"/>
  <c r="F58" i="403" s="1"/>
  <c r="G58" i="403" s="1"/>
  <c r="F55" i="403" a="1"/>
  <c r="F55" i="403" s="1"/>
  <c r="G55" i="403" s="1"/>
  <c r="F44" i="403" a="1"/>
  <c r="F44" i="403" s="1"/>
  <c r="F40" i="403" a="1"/>
  <c r="F40" i="403" s="1"/>
  <c r="G40" i="403" s="1"/>
  <c r="H40" i="403" s="1"/>
  <c r="F28" i="403" a="1"/>
  <c r="F28" i="403" s="1"/>
  <c r="G28" i="403" s="1"/>
  <c r="H28" i="403" s="1"/>
  <c r="F23" i="403" a="1"/>
  <c r="F23" i="403" s="1"/>
  <c r="F16" i="403" a="1"/>
  <c r="F16" i="403" s="1"/>
  <c r="G16" i="403" s="1"/>
  <c r="H16" i="403" s="1"/>
  <c r="F13" i="403" a="1"/>
  <c r="F13" i="403" s="1"/>
  <c r="F6" i="403"/>
  <c r="F161" i="403" a="1"/>
  <c r="F161" i="403" s="1"/>
  <c r="F156" i="403" a="1"/>
  <c r="F156" i="403" s="1"/>
  <c r="F142" i="403" a="1"/>
  <c r="F142" i="403" s="1"/>
  <c r="F137" i="403" a="1"/>
  <c r="F137" i="403" s="1"/>
  <c r="F133" i="403" a="1"/>
  <c r="F133" i="403" s="1"/>
  <c r="F129" i="403" a="1"/>
  <c r="F129" i="403" s="1"/>
  <c r="F125" i="403" a="1"/>
  <c r="F125" i="403" s="1"/>
  <c r="G125" i="403" s="1"/>
  <c r="F121" i="403" a="1"/>
  <c r="F121" i="403" s="1"/>
  <c r="F117" i="403" a="1"/>
  <c r="F117" i="403" s="1"/>
  <c r="F113" i="403" a="1"/>
  <c r="F113" i="403" s="1"/>
  <c r="F109" i="403" a="1"/>
  <c r="F109" i="403" s="1"/>
  <c r="G109" i="403" s="1"/>
  <c r="H109" i="403" s="1"/>
  <c r="F105" i="403" a="1"/>
  <c r="F105" i="403" s="1"/>
  <c r="G105" i="403" s="1"/>
  <c r="F101" i="403" a="1"/>
  <c r="F101" i="403" s="1"/>
  <c r="F97" i="403" a="1"/>
  <c r="F97" i="403" s="1"/>
  <c r="G97" i="403" s="1"/>
  <c r="F94" i="403" a="1"/>
  <c r="F94" i="403" s="1"/>
  <c r="G94" i="403" s="1"/>
  <c r="F88" i="403" a="1"/>
  <c r="F88" i="403" s="1"/>
  <c r="G88" i="403" s="1"/>
  <c r="F85" i="403" a="1"/>
  <c r="F85" i="403" s="1"/>
  <c r="F81" i="403" a="1"/>
  <c r="F81" i="403" s="1"/>
  <c r="G81" i="403" s="1"/>
  <c r="F72" i="403" a="1"/>
  <c r="F72" i="403" s="1"/>
  <c r="G72" i="403" s="1"/>
  <c r="F70" i="403" a="1"/>
  <c r="F70" i="403" s="1"/>
  <c r="F68" i="403" a="1"/>
  <c r="F68" i="403" s="1"/>
  <c r="G68" i="403" s="1"/>
  <c r="F64" i="403" a="1"/>
  <c r="F64" i="403" s="1"/>
  <c r="G64" i="403" s="1"/>
  <c r="H64" i="403" s="1"/>
  <c r="F62" i="403" a="1"/>
  <c r="F62" i="403" s="1"/>
  <c r="G62" i="403" s="1"/>
  <c r="I62" i="403" s="1"/>
  <c r="F59" i="403" a="1"/>
  <c r="F59" i="403" s="1"/>
  <c r="F53" i="403" a="1"/>
  <c r="F53" i="403" s="1"/>
  <c r="F45" i="403" a="1"/>
  <c r="F45" i="403" s="1"/>
  <c r="F41" i="403" a="1"/>
  <c r="F41" i="403" s="1"/>
  <c r="G41" i="403" s="1"/>
  <c r="H41" i="403" s="1"/>
  <c r="F37" i="403" a="1"/>
  <c r="F37" i="403" s="1"/>
  <c r="G37" i="403" s="1"/>
  <c r="F33" i="403" a="1"/>
  <c r="F33" i="403" s="1"/>
  <c r="G33" i="403" s="1"/>
  <c r="F20" i="403" a="1"/>
  <c r="F20" i="403" s="1"/>
  <c r="G20" i="403" s="1"/>
  <c r="F17" i="403" a="1"/>
  <c r="F17" i="403" s="1"/>
  <c r="G17" i="403" s="1"/>
  <c r="F14" i="403" a="1"/>
  <c r="F14" i="403" s="1"/>
  <c r="G14" i="403" s="1"/>
  <c r="F10" i="403" a="1"/>
  <c r="F10" i="403" s="1"/>
  <c r="G10" i="403" s="1"/>
  <c r="F18" i="403" a="1"/>
  <c r="F18" i="403" s="1"/>
  <c r="G18" i="403" s="1"/>
  <c r="F22" i="403" a="1"/>
  <c r="F22" i="403" s="1"/>
  <c r="F26" i="403" a="1"/>
  <c r="F26" i="403" s="1"/>
  <c r="G26" i="403" s="1"/>
  <c r="F35" i="403" a="1"/>
  <c r="F35" i="403" s="1"/>
  <c r="G35" i="403" s="1"/>
  <c r="F42" i="403" a="1"/>
  <c r="F42" i="403" s="1"/>
  <c r="G42" i="403" s="1"/>
  <c r="F56" i="403" a="1"/>
  <c r="F56" i="403" s="1"/>
  <c r="G56" i="403" s="1"/>
  <c r="F61" i="403" a="1"/>
  <c r="F61" i="403" s="1"/>
  <c r="F63" i="403" a="1"/>
  <c r="F63" i="403" s="1"/>
  <c r="G63" i="403" s="1"/>
  <c r="F66" i="403" a="1"/>
  <c r="F66" i="403" s="1"/>
  <c r="G66" i="403" s="1"/>
  <c r="F82" i="403" a="1"/>
  <c r="F82" i="403" s="1"/>
  <c r="F89" i="403" a="1"/>
  <c r="F89" i="403" s="1"/>
  <c r="F95" i="403" a="1"/>
  <c r="F95" i="403" s="1"/>
  <c r="G95" i="403" s="1"/>
  <c r="F98" i="403" a="1"/>
  <c r="F98" i="403" s="1"/>
  <c r="F103" i="403" a="1"/>
  <c r="F103" i="403" s="1"/>
  <c r="G103" i="403" s="1"/>
  <c r="H103" i="403" s="1"/>
  <c r="F114" i="403" a="1"/>
  <c r="F114" i="403" s="1"/>
  <c r="F119" i="403" a="1"/>
  <c r="F119" i="403" s="1"/>
  <c r="F130" i="403" a="1"/>
  <c r="F130" i="403" s="1"/>
  <c r="F135" i="403" a="1"/>
  <c r="F135" i="403" s="1"/>
  <c r="F140" i="403" a="1"/>
  <c r="F140" i="403" s="1"/>
  <c r="F143" i="403" a="1"/>
  <c r="F143" i="403" s="1"/>
  <c r="E143" i="403" s="1"/>
  <c r="E139" i="403" s="1"/>
  <c r="F157" i="403" a="1"/>
  <c r="F157" i="403" s="1"/>
  <c r="F158" i="403" a="1"/>
  <c r="F158" i="403" s="1"/>
  <c r="G158" i="403" s="1"/>
  <c r="H158" i="403" s="1"/>
  <c r="F163" i="403" a="1"/>
  <c r="F163" i="403" s="1"/>
  <c r="G163" i="403" s="1"/>
  <c r="F175" i="403" a="1"/>
  <c r="F175" i="403" s="1"/>
  <c r="F177" i="403" s="1"/>
  <c r="C51" i="404"/>
  <c r="C50" i="404"/>
  <c r="D55" i="405" a="1"/>
  <c r="D55" i="405" s="1"/>
  <c r="D60" i="405" a="1"/>
  <c r="D60" i="405"/>
  <c r="I60" i="405"/>
  <c r="D65" i="405" a="1"/>
  <c r="D65" i="405"/>
  <c r="I65" i="405"/>
  <c r="D71" i="405" a="1"/>
  <c r="D71" i="405"/>
  <c r="D87" i="405" a="1"/>
  <c r="D87" i="405" s="1"/>
  <c r="I87" i="405" s="1"/>
  <c r="D94" i="405" a="1"/>
  <c r="D94" i="405" s="1"/>
  <c r="I94" i="405" s="1"/>
  <c r="D103" i="405" a="1"/>
  <c r="D103" i="405" s="1"/>
  <c r="I103" i="405" s="1"/>
  <c r="D112" i="405" a="1"/>
  <c r="D112" i="405"/>
  <c r="I112" i="405" s="1"/>
  <c r="D119" i="405" a="1"/>
  <c r="D119" i="405" s="1"/>
  <c r="I119" i="405" s="1"/>
  <c r="D127" i="405" a="1"/>
  <c r="D127" i="405"/>
  <c r="I127" i="405" s="1"/>
  <c r="D72" i="388" a="1"/>
  <c r="D72" i="388"/>
  <c r="D96" i="388" a="1"/>
  <c r="D96" i="388" s="1"/>
  <c r="D112" i="388" a="1"/>
  <c r="D112" i="388" s="1"/>
  <c r="D117" i="388" a="1"/>
  <c r="D117" i="388"/>
  <c r="I117" i="388" s="1"/>
  <c r="D122" i="394" a="1"/>
  <c r="D122" i="394"/>
  <c r="I122" i="394" s="1"/>
  <c r="D129" i="394" a="1"/>
  <c r="D129" i="394"/>
  <c r="I129" i="394"/>
  <c r="D132" i="394" a="1"/>
  <c r="D132" i="394" s="1"/>
  <c r="I132" i="394"/>
  <c r="D143" i="394" a="1"/>
  <c r="D143" i="394" s="1"/>
  <c r="I143" i="394" s="1"/>
  <c r="F136" i="402" a="1"/>
  <c r="F136" i="402" s="1"/>
  <c r="G136" i="402" s="1"/>
  <c r="H136" i="402" s="1"/>
  <c r="F143" i="402" a="1"/>
  <c r="F143" i="402" s="1"/>
  <c r="E143" i="402" s="1"/>
  <c r="F145" i="402" a="1"/>
  <c r="F145" i="402" s="1"/>
  <c r="F144" i="402" s="1"/>
  <c r="C9" i="403"/>
  <c r="F30" i="403" a="1"/>
  <c r="F30" i="403" s="1"/>
  <c r="G30" i="403" s="1"/>
  <c r="C32" i="403"/>
  <c r="F38" i="403" a="1"/>
  <c r="F38" i="403" s="1"/>
  <c r="G38" i="403" s="1"/>
  <c r="F43" i="403" a="1"/>
  <c r="F43" i="403" s="1"/>
  <c r="F57" i="403" a="1"/>
  <c r="F57" i="403" s="1"/>
  <c r="G57" i="403" s="1"/>
  <c r="F83" i="403" a="1"/>
  <c r="F83" i="403" s="1"/>
  <c r="F91" i="403" a="1"/>
  <c r="F91" i="403" s="1"/>
  <c r="G91" i="403" s="1"/>
  <c r="H91" i="403" s="1"/>
  <c r="F96" i="403" a="1"/>
  <c r="F96" i="403" s="1"/>
  <c r="F99" i="403" a="1"/>
  <c r="F99" i="403" s="1"/>
  <c r="G99" i="403" s="1"/>
  <c r="H99" i="403" s="1"/>
  <c r="F110" i="403" a="1"/>
  <c r="F110" i="403" s="1"/>
  <c r="F115" i="403" a="1"/>
  <c r="F115" i="403" s="1"/>
  <c r="F126" i="403" a="1"/>
  <c r="F126" i="403" s="1"/>
  <c r="F131" i="403" a="1"/>
  <c r="F131" i="403" s="1"/>
  <c r="G131" i="403" s="1"/>
  <c r="H131" i="403" s="1"/>
  <c r="C164" i="403"/>
  <c r="F159" i="403" a="1"/>
  <c r="F159" i="403" s="1"/>
  <c r="C21" i="404"/>
  <c r="C19" i="404" s="1"/>
  <c r="C29" i="404"/>
  <c r="C27" i="404"/>
  <c r="D160" i="405" a="1"/>
  <c r="D160" i="405"/>
  <c r="I160" i="405"/>
  <c r="D156" i="405" a="1"/>
  <c r="D156" i="405" s="1"/>
  <c r="D142" i="405" a="1"/>
  <c r="D142" i="405" s="1"/>
  <c r="I142" i="405" s="1"/>
  <c r="D135" i="405" a="1"/>
  <c r="D135" i="405" s="1"/>
  <c r="I135" i="405" s="1"/>
  <c r="D161" i="405" a="1"/>
  <c r="D161" i="405"/>
  <c r="I161" i="405" s="1"/>
  <c r="D157" i="405" a="1"/>
  <c r="D157" i="405"/>
  <c r="I157" i="405" s="1"/>
  <c r="D143" i="405" a="1"/>
  <c r="D143" i="405" s="1"/>
  <c r="I143" i="405" s="1"/>
  <c r="D136" i="405" a="1"/>
  <c r="D136" i="405"/>
  <c r="I136" i="405"/>
  <c r="D132" i="405" a="1"/>
  <c r="D132" i="405" s="1"/>
  <c r="I132" i="405" s="1"/>
  <c r="D128" i="405" a="1"/>
  <c r="D128" i="405"/>
  <c r="I128" i="405" s="1"/>
  <c r="D125" i="405" a="1"/>
  <c r="D125" i="405"/>
  <c r="D121" i="405" a="1"/>
  <c r="D121" i="405" s="1"/>
  <c r="I121" i="405" s="1"/>
  <c r="D117" i="405" a="1"/>
  <c r="D117" i="405" s="1"/>
  <c r="I117" i="405" s="1"/>
  <c r="D113" i="405" a="1"/>
  <c r="D113" i="405"/>
  <c r="I113" i="405" s="1"/>
  <c r="D109" i="405" a="1"/>
  <c r="D109" i="405" s="1"/>
  <c r="I109" i="405" s="1"/>
  <c r="D105" i="405" a="1"/>
  <c r="D105" i="405"/>
  <c r="I105" i="405" s="1"/>
  <c r="D100" i="405" a="1"/>
  <c r="D100" i="405" s="1"/>
  <c r="I100" i="405" s="1"/>
  <c r="D96" i="405" a="1"/>
  <c r="D96" i="405" s="1"/>
  <c r="I96" i="405" s="1"/>
  <c r="D92" i="405" a="1"/>
  <c r="D92" i="405"/>
  <c r="I92" i="405"/>
  <c r="D88" i="405" a="1"/>
  <c r="D88" i="405" s="1"/>
  <c r="I88" i="405" s="1"/>
  <c r="D84" i="405" a="1"/>
  <c r="D84" i="405"/>
  <c r="I84" i="405"/>
  <c r="D80" i="405" a="1"/>
  <c r="D80" i="405"/>
  <c r="I80" i="405" s="1"/>
  <c r="D74" i="405" a="1"/>
  <c r="D74" i="405"/>
  <c r="I74" i="405" s="1"/>
  <c r="D67" i="405" a="1"/>
  <c r="D67" i="405" s="1"/>
  <c r="D58" i="405" a="1"/>
  <c r="D58" i="405" s="1"/>
  <c r="I58" i="405" s="1"/>
  <c r="D53" i="405" a="1"/>
  <c r="D53" i="405" s="1"/>
  <c r="D43" i="405" a="1"/>
  <c r="D43" i="405" s="1"/>
  <c r="I43" i="405" s="1"/>
  <c r="D39" i="405" a="1"/>
  <c r="D39" i="405"/>
  <c r="I39" i="405" s="1"/>
  <c r="D28" i="405" a="1"/>
  <c r="D28" i="405"/>
  <c r="D23" i="405" a="1"/>
  <c r="D23" i="405" s="1"/>
  <c r="I23" i="405" s="1"/>
  <c r="D162" i="405" a="1"/>
  <c r="D162" i="405" s="1"/>
  <c r="I162" i="405" s="1"/>
  <c r="D158" i="405" a="1"/>
  <c r="D158" i="405" s="1"/>
  <c r="I158" i="405" s="1"/>
  <c r="D140" i="405" a="1"/>
  <c r="D140" i="405"/>
  <c r="D137" i="405" a="1"/>
  <c r="D137" i="405"/>
  <c r="I137" i="405"/>
  <c r="D133" i="405" a="1"/>
  <c r="D133" i="405"/>
  <c r="I133" i="405" s="1"/>
  <c r="D129" i="405" a="1"/>
  <c r="D129" i="405" s="1"/>
  <c r="I129" i="405" s="1"/>
  <c r="D122" i="405" a="1"/>
  <c r="D122" i="405"/>
  <c r="I122" i="405" s="1"/>
  <c r="D118" i="405" a="1"/>
  <c r="D118" i="405"/>
  <c r="I118" i="405" s="1"/>
  <c r="D114" i="405" a="1"/>
  <c r="D114" i="405" s="1"/>
  <c r="I114" i="405"/>
  <c r="D110" i="405" a="1"/>
  <c r="D110" i="405" s="1"/>
  <c r="I110" i="405" s="1"/>
  <c r="D106" i="405" a="1"/>
  <c r="D106" i="405" s="1"/>
  <c r="I106" i="405" s="1"/>
  <c r="D101" i="405" a="1"/>
  <c r="D101" i="405" s="1"/>
  <c r="I101" i="405" s="1"/>
  <c r="D97" i="405" a="1"/>
  <c r="D97" i="405" s="1"/>
  <c r="I97" i="405"/>
  <c r="D93" i="405" a="1"/>
  <c r="D93" i="405" s="1"/>
  <c r="I93" i="405" s="1"/>
  <c r="D89" i="405" a="1"/>
  <c r="D89" i="405" s="1"/>
  <c r="I89" i="405" s="1"/>
  <c r="D85" i="405" a="1"/>
  <c r="D85" i="405" s="1"/>
  <c r="I85" i="405" s="1"/>
  <c r="D81" i="405" a="1"/>
  <c r="D81" i="405"/>
  <c r="I81" i="405"/>
  <c r="D72" i="405" a="1"/>
  <c r="D72" i="405"/>
  <c r="D70" i="405" a="1"/>
  <c r="D70" i="405"/>
  <c r="D68" i="405" a="1"/>
  <c r="D68" i="405"/>
  <c r="D64" i="405" a="1"/>
  <c r="D64" i="405"/>
  <c r="I64" i="405"/>
  <c r="D62" i="405" a="1"/>
  <c r="D62" i="405"/>
  <c r="D59" i="405" a="1"/>
  <c r="D59" i="405"/>
  <c r="I59" i="405" s="1"/>
  <c r="D56" i="405" a="1"/>
  <c r="D56" i="405" s="1"/>
  <c r="D44" i="405" a="1"/>
  <c r="D44" i="405" s="1"/>
  <c r="D40" i="405" a="1"/>
  <c r="D40" i="405" s="1"/>
  <c r="I40" i="405" s="1"/>
  <c r="D33" i="405" a="1"/>
  <c r="D33" i="405" s="1"/>
  <c r="D20" i="405" a="1"/>
  <c r="D20" i="405"/>
  <c r="D16" i="405" a="1"/>
  <c r="D16" i="405"/>
  <c r="D12" i="405" a="1"/>
  <c r="D12" i="405" s="1"/>
  <c r="D14" i="405" a="1"/>
  <c r="D14" i="405"/>
  <c r="I14" i="405"/>
  <c r="D17" i="405" a="1"/>
  <c r="D17" i="405"/>
  <c r="I17" i="405" s="1"/>
  <c r="D22" i="405" a="1"/>
  <c r="D22" i="405" s="1"/>
  <c r="D26" i="405" a="1"/>
  <c r="D26" i="405" s="1"/>
  <c r="D30" i="405" a="1"/>
  <c r="D30" i="405"/>
  <c r="D35" i="405" a="1"/>
  <c r="D35" i="405" s="1"/>
  <c r="I35" i="405" s="1"/>
  <c r="D37" i="405" a="1"/>
  <c r="D37" i="405" s="1"/>
  <c r="D41" i="405" a="1"/>
  <c r="D41" i="405" s="1"/>
  <c r="I41" i="405" s="1"/>
  <c r="D45" i="405" a="1"/>
  <c r="D45" i="405" s="1"/>
  <c r="I45" i="405" s="1"/>
  <c r="D73" i="405" a="1"/>
  <c r="D73" i="405"/>
  <c r="I73" i="405" s="1"/>
  <c r="D83" i="405" a="1"/>
  <c r="D83" i="405"/>
  <c r="I83" i="405"/>
  <c r="D90" i="405" a="1"/>
  <c r="D90" i="405"/>
  <c r="I90" i="405" s="1"/>
  <c r="D99" i="405" a="1"/>
  <c r="D99" i="405"/>
  <c r="I99" i="405" s="1"/>
  <c r="D108" i="405" a="1"/>
  <c r="D108" i="405"/>
  <c r="I108" i="405"/>
  <c r="D115" i="405" a="1"/>
  <c r="D115" i="405"/>
  <c r="I115" i="405" s="1"/>
  <c r="D124" i="405" a="1"/>
  <c r="D124" i="405"/>
  <c r="I124" i="405"/>
  <c r="D130" i="405" a="1"/>
  <c r="D130" i="405"/>
  <c r="I130" i="405"/>
  <c r="C24" i="388"/>
  <c r="D54" i="388" a="1"/>
  <c r="D54" i="388"/>
  <c r="I54" i="388" s="1"/>
  <c r="D59" i="388" a="1"/>
  <c r="D59" i="388"/>
  <c r="I59" i="388"/>
  <c r="D62" i="388" a="1"/>
  <c r="D62" i="388"/>
  <c r="D70" i="388" a="1"/>
  <c r="D70" i="388" s="1"/>
  <c r="D91" i="388" a="1"/>
  <c r="D91" i="388" s="1"/>
  <c r="I91" i="388" s="1"/>
  <c r="D94" i="388" a="1"/>
  <c r="D94" i="388"/>
  <c r="D103" i="388" a="1"/>
  <c r="D103" i="388" s="1"/>
  <c r="D120" i="388" a="1"/>
  <c r="D120" i="388"/>
  <c r="F23" i="397" a="1"/>
  <c r="F23" i="397" s="1"/>
  <c r="G23" i="397" s="1"/>
  <c r="F28" i="397" a="1"/>
  <c r="F28" i="397" s="1"/>
  <c r="G28" i="397" s="1"/>
  <c r="F33" i="397" a="1"/>
  <c r="F33" i="397" s="1"/>
  <c r="G33" i="397" s="1"/>
  <c r="F37" i="397" a="1"/>
  <c r="F37" i="397" s="1"/>
  <c r="G37" i="397" s="1"/>
  <c r="H37" i="397" s="1"/>
  <c r="F41" i="397" a="1"/>
  <c r="F41" i="397" s="1"/>
  <c r="G41" i="397" s="1"/>
  <c r="H41" i="397" s="1"/>
  <c r="F55" i="397" a="1"/>
  <c r="F55" i="397" s="1"/>
  <c r="G55" i="397" s="1"/>
  <c r="H55" i="397" s="1"/>
  <c r="F58" i="397" a="1"/>
  <c r="F58" i="397" s="1"/>
  <c r="F61" i="397" a="1"/>
  <c r="F61" i="397" s="1"/>
  <c r="F66" i="397" a="1"/>
  <c r="F66" i="397" s="1"/>
  <c r="G66" i="397" s="1"/>
  <c r="F69" i="397" a="1"/>
  <c r="F69" i="397" s="1"/>
  <c r="F71" i="397" a="1"/>
  <c r="F71" i="397" s="1"/>
  <c r="F73" i="397" a="1"/>
  <c r="F73" i="397" s="1"/>
  <c r="G73" i="397" s="1"/>
  <c r="F82" i="397" a="1"/>
  <c r="F82" i="397" s="1"/>
  <c r="G82" i="397" s="1"/>
  <c r="H82" i="397" s="1"/>
  <c r="F86" i="397" a="1"/>
  <c r="F86" i="397" s="1"/>
  <c r="F90" i="397" a="1"/>
  <c r="F90" i="397" s="1"/>
  <c r="G90" i="397" s="1"/>
  <c r="H90" i="397" s="1"/>
  <c r="F94" i="397" a="1"/>
  <c r="F94" i="397" s="1"/>
  <c r="G94" i="397" s="1"/>
  <c r="H94" i="397" s="1"/>
  <c r="F98" i="397" a="1"/>
  <c r="F98" i="397" s="1"/>
  <c r="G98" i="397" s="1"/>
  <c r="H98" i="397" s="1"/>
  <c r="F102" i="397" a="1"/>
  <c r="F102" i="397" s="1"/>
  <c r="F106" i="397" a="1"/>
  <c r="F106" i="397" s="1"/>
  <c r="F110" i="397" a="1"/>
  <c r="F110" i="397" s="1"/>
  <c r="G110" i="397" s="1"/>
  <c r="H110" i="397" s="1"/>
  <c r="F114" i="397" a="1"/>
  <c r="F114" i="397" s="1"/>
  <c r="G114" i="397" s="1"/>
  <c r="H114" i="397" s="1"/>
  <c r="F118" i="397" a="1"/>
  <c r="F118" i="397" s="1"/>
  <c r="G118" i="397" s="1"/>
  <c r="H118" i="397" s="1"/>
  <c r="F123" i="397" a="1"/>
  <c r="F123" i="397" s="1"/>
  <c r="G123" i="397" s="1"/>
  <c r="F129" i="397" a="1"/>
  <c r="F129" i="397" s="1"/>
  <c r="G129" i="397" s="1"/>
  <c r="F133" i="397" a="1"/>
  <c r="F133" i="397" s="1"/>
  <c r="F137" i="397" a="1"/>
  <c r="F137" i="397" s="1"/>
  <c r="G137" i="397" s="1"/>
  <c r="H137" i="397" s="1"/>
  <c r="F140" i="397" a="1"/>
  <c r="F140" i="397" s="1"/>
  <c r="G140" i="397" s="1"/>
  <c r="H140" i="397" s="1"/>
  <c r="F143" i="397" a="1"/>
  <c r="F143" i="397" s="1"/>
  <c r="E143" i="397" s="1"/>
  <c r="F156" i="397" a="1"/>
  <c r="F156" i="397" s="1"/>
  <c r="F159" i="397" a="1"/>
  <c r="F159" i="397" s="1"/>
  <c r="G159" i="397" s="1"/>
  <c r="H159" i="397" s="1"/>
  <c r="F23" i="398" a="1"/>
  <c r="F23" i="398" s="1"/>
  <c r="F28" i="398" a="1"/>
  <c r="F28" i="398" s="1"/>
  <c r="F40" i="398" a="1"/>
  <c r="F40" i="398" s="1"/>
  <c r="F44" i="398" a="1"/>
  <c r="F44" i="398" s="1"/>
  <c r="G44" i="398" s="1"/>
  <c r="H44" i="398" s="1"/>
  <c r="F53" i="398" a="1"/>
  <c r="F53" i="398" s="1"/>
  <c r="F56" i="398" a="1"/>
  <c r="F56" i="398" s="1"/>
  <c r="G56" i="398" s="1"/>
  <c r="H56" i="398" s="1"/>
  <c r="F59" i="398" a="1"/>
  <c r="F59" i="398" s="1"/>
  <c r="F62" i="398" a="1"/>
  <c r="F62" i="398" s="1"/>
  <c r="G62" i="398" s="1"/>
  <c r="I62" i="398" s="1"/>
  <c r="F65" i="398" a="1"/>
  <c r="F65" i="398" s="1"/>
  <c r="G65" i="398" s="1"/>
  <c r="F82" i="398" a="1"/>
  <c r="F82" i="398" s="1"/>
  <c r="G82" i="398" s="1"/>
  <c r="F85" i="398" a="1"/>
  <c r="F85" i="398" s="1"/>
  <c r="G85" i="398" s="1"/>
  <c r="F88" i="398" a="1"/>
  <c r="F88" i="398" s="1"/>
  <c r="G88" i="398" s="1"/>
  <c r="H88" i="398" s="1"/>
  <c r="F98" i="398" a="1"/>
  <c r="F98" i="398" s="1"/>
  <c r="G98" i="398" s="1"/>
  <c r="F102" i="398" a="1"/>
  <c r="F102" i="398" s="1"/>
  <c r="F106" i="398" a="1"/>
  <c r="F106" i="398" s="1"/>
  <c r="F110" i="398" a="1"/>
  <c r="F110" i="398" s="1"/>
  <c r="G110" i="398" s="1"/>
  <c r="H110" i="398" s="1"/>
  <c r="F114" i="398" a="1"/>
  <c r="F114" i="398" s="1"/>
  <c r="F118" i="398" a="1"/>
  <c r="F118" i="398" s="1"/>
  <c r="G118" i="398" s="1"/>
  <c r="H118" i="398" s="1"/>
  <c r="F122" i="398" a="1"/>
  <c r="F122" i="398" s="1"/>
  <c r="F129" i="398" a="1"/>
  <c r="F129" i="398" s="1"/>
  <c r="G129" i="398" s="1"/>
  <c r="H129" i="398" s="1"/>
  <c r="F133" i="398" a="1"/>
  <c r="F133" i="398" s="1"/>
  <c r="G133" i="398" s="1"/>
  <c r="H133" i="398" s="1"/>
  <c r="F137" i="398" a="1"/>
  <c r="F137" i="398" s="1"/>
  <c r="G137" i="398" s="1"/>
  <c r="H137" i="398" s="1"/>
  <c r="F142" i="398" a="1"/>
  <c r="F142" i="398" s="1"/>
  <c r="G142" i="398" s="1"/>
  <c r="H142" i="398" s="1"/>
  <c r="F158" i="398" a="1"/>
  <c r="F158" i="398" s="1"/>
  <c r="G158" i="398" s="1"/>
  <c r="H158" i="398" s="1"/>
  <c r="C11" i="401"/>
  <c r="C9" i="401"/>
  <c r="C19" i="401"/>
  <c r="D163" i="394" a="1"/>
  <c r="D163" i="394"/>
  <c r="I163" i="394"/>
  <c r="D160" i="394" a="1"/>
  <c r="D160" i="394"/>
  <c r="I160" i="394" s="1"/>
  <c r="D156" i="394" a="1"/>
  <c r="D156" i="394" s="1"/>
  <c r="D142" i="394" a="1"/>
  <c r="D142" i="394" s="1"/>
  <c r="I142" i="394" s="1"/>
  <c r="D137" i="394" a="1"/>
  <c r="D137" i="394" s="1"/>
  <c r="I137" i="394" s="1"/>
  <c r="D133" i="394" a="1"/>
  <c r="D133" i="394" s="1"/>
  <c r="I133" i="394" s="1"/>
  <c r="D128" i="394" a="1"/>
  <c r="D128" i="394"/>
  <c r="I128" i="394"/>
  <c r="D124" i="394" a="1"/>
  <c r="D124" i="394" s="1"/>
  <c r="I124" i="394" s="1"/>
  <c r="D120" i="394" a="1"/>
  <c r="D120" i="394" s="1"/>
  <c r="I120" i="394" s="1"/>
  <c r="D116" i="394" a="1"/>
  <c r="D116" i="394"/>
  <c r="I116" i="394"/>
  <c r="D111" i="394" a="1"/>
  <c r="D111" i="394"/>
  <c r="I111" i="394" s="1"/>
  <c r="D107" i="394" a="1"/>
  <c r="D107" i="394" s="1"/>
  <c r="I107" i="394" s="1"/>
  <c r="D103" i="394" a="1"/>
  <c r="D103" i="394"/>
  <c r="I103" i="394" s="1"/>
  <c r="D99" i="394" a="1"/>
  <c r="D99" i="394"/>
  <c r="I99" i="394" s="1"/>
  <c r="D95" i="394" a="1"/>
  <c r="D95" i="394" s="1"/>
  <c r="I95" i="394" s="1"/>
  <c r="D91" i="394" a="1"/>
  <c r="D91" i="394" s="1"/>
  <c r="I91" i="394" s="1"/>
  <c r="D89" i="394" a="1"/>
  <c r="D89" i="394" s="1"/>
  <c r="D86" i="394" a="1"/>
  <c r="D86" i="394" s="1"/>
  <c r="D82" i="394" a="1"/>
  <c r="D82" i="394"/>
  <c r="I82" i="394"/>
  <c r="D65" i="394" a="1"/>
  <c r="D65" i="394" s="1"/>
  <c r="I65" i="394" s="1"/>
  <c r="D60" i="394" a="1"/>
  <c r="D60" i="394" s="1"/>
  <c r="I60" i="394" s="1"/>
  <c r="D56" i="394" a="1"/>
  <c r="D56" i="394" s="1"/>
  <c r="I56" i="394"/>
  <c r="D42" i="394" a="1"/>
  <c r="D42" i="394"/>
  <c r="I42" i="394" s="1"/>
  <c r="D38" i="394" a="1"/>
  <c r="D38" i="394" s="1"/>
  <c r="I38" i="394" s="1"/>
  <c r="D34" i="394" a="1"/>
  <c r="D34" i="394"/>
  <c r="D30" i="394" a="1"/>
  <c r="D30" i="394" s="1"/>
  <c r="D26" i="394" a="1"/>
  <c r="D26" i="394" s="1"/>
  <c r="D22" i="394" a="1"/>
  <c r="D22" i="394" s="1"/>
  <c r="D18" i="394" a="1"/>
  <c r="D18" i="394"/>
  <c r="I18" i="394" s="1"/>
  <c r="D12" i="394" a="1"/>
  <c r="D12" i="394" s="1"/>
  <c r="D28" i="394" a="1"/>
  <c r="D28" i="394" s="1"/>
  <c r="C32" i="394"/>
  <c r="D35" i="394" a="1"/>
  <c r="D35" i="394" s="1"/>
  <c r="I35" i="394" s="1"/>
  <c r="D40" i="394" a="1"/>
  <c r="D40" i="394"/>
  <c r="I40" i="394" s="1"/>
  <c r="D54" i="394" a="1"/>
  <c r="D54" i="394" s="1"/>
  <c r="I54" i="394" s="1"/>
  <c r="D61" i="394" a="1"/>
  <c r="D61" i="394"/>
  <c r="D62" i="394" a="1"/>
  <c r="D62" i="394"/>
  <c r="D66" i="394" a="1"/>
  <c r="D66" i="394"/>
  <c r="I66" i="394" s="1"/>
  <c r="D68" i="394" a="1"/>
  <c r="D68" i="394"/>
  <c r="D79" i="394" a="1"/>
  <c r="D79" i="394"/>
  <c r="D81" i="394" a="1"/>
  <c r="D81" i="394"/>
  <c r="I81" i="394" s="1"/>
  <c r="D88" i="394" a="1"/>
  <c r="D88" i="394" s="1"/>
  <c r="I88" i="394" s="1"/>
  <c r="D93" i="394" a="1"/>
  <c r="D93" i="394"/>
  <c r="I93" i="394" s="1"/>
  <c r="D100" i="394" a="1"/>
  <c r="D100" i="394" s="1"/>
  <c r="I100" i="394" s="1"/>
  <c r="D102" i="394" a="1"/>
  <c r="D102" i="394"/>
  <c r="I102" i="394"/>
  <c r="D109" i="394" a="1"/>
  <c r="D109" i="394" s="1"/>
  <c r="I109" i="394" s="1"/>
  <c r="D118" i="394" a="1"/>
  <c r="D118" i="394" s="1"/>
  <c r="I118" i="394" s="1"/>
  <c r="D125" i="394" a="1"/>
  <c r="D125" i="394" s="1"/>
  <c r="I125" i="394" s="1"/>
  <c r="D127" i="394" a="1"/>
  <c r="D127" i="394" s="1"/>
  <c r="I127" i="394" s="1"/>
  <c r="D135" i="394" a="1"/>
  <c r="D135" i="394"/>
  <c r="I135" i="394" s="1"/>
  <c r="D140" i="394" a="1"/>
  <c r="D140" i="394"/>
  <c r="D141" i="394" a="1"/>
  <c r="D141" i="394" s="1"/>
  <c r="I141" i="394" s="1"/>
  <c r="D161" i="394" a="1"/>
  <c r="D161" i="394" s="1"/>
  <c r="I161" i="394" s="1"/>
  <c r="F160" i="402" a="1"/>
  <c r="F160" i="402" s="1"/>
  <c r="G160" i="402" s="1"/>
  <c r="F156" i="402" a="1"/>
  <c r="F156" i="402" s="1"/>
  <c r="F142" i="402" a="1"/>
  <c r="F142" i="402" s="1"/>
  <c r="G142" i="402" s="1"/>
  <c r="F137" i="402" a="1"/>
  <c r="F137" i="402" s="1"/>
  <c r="F132" i="402" a="1"/>
  <c r="F132" i="402" s="1"/>
  <c r="G132" i="402" s="1"/>
  <c r="F128" i="402" a="1"/>
  <c r="F128" i="402" s="1"/>
  <c r="F124" i="402" a="1"/>
  <c r="F124" i="402" s="1"/>
  <c r="F120" i="402" a="1"/>
  <c r="F120" i="402" s="1"/>
  <c r="G120" i="402" s="1"/>
  <c r="F116" i="402" a="1"/>
  <c r="F116" i="402" s="1"/>
  <c r="G116" i="402" s="1"/>
  <c r="F112" i="402" a="1"/>
  <c r="F112" i="402" s="1"/>
  <c r="G112" i="402" s="1"/>
  <c r="F108" i="402" a="1"/>
  <c r="F108" i="402" s="1"/>
  <c r="G108" i="402" s="1"/>
  <c r="H108" i="402" s="1"/>
  <c r="F104" i="402" a="1"/>
  <c r="F104" i="402" s="1"/>
  <c r="G104" i="402" s="1"/>
  <c r="F100" i="402" a="1"/>
  <c r="F100" i="402" s="1"/>
  <c r="F93" i="402" a="1"/>
  <c r="F93" i="402" s="1"/>
  <c r="G93" i="402" s="1"/>
  <c r="F90" i="402" a="1"/>
  <c r="F90" i="402" s="1"/>
  <c r="G90" i="402" s="1"/>
  <c r="F175" i="402" a="1"/>
  <c r="F175" i="402" s="1"/>
  <c r="F162" i="402" a="1"/>
  <c r="F162" i="402" s="1"/>
  <c r="G162" i="402" s="1"/>
  <c r="F161" i="402" a="1"/>
  <c r="F161" i="402" s="1"/>
  <c r="F157" i="402" a="1"/>
  <c r="F157" i="402" s="1"/>
  <c r="G157" i="402" s="1"/>
  <c r="F140" i="402" a="1"/>
  <c r="F140" i="402" s="1"/>
  <c r="F133" i="402" a="1"/>
  <c r="F133" i="402" s="1"/>
  <c r="F129" i="402" a="1"/>
  <c r="F129" i="402" s="1"/>
  <c r="G129" i="402" s="1"/>
  <c r="H129" i="402" s="1"/>
  <c r="F125" i="402" a="1"/>
  <c r="F125" i="402" s="1"/>
  <c r="G125" i="402" s="1"/>
  <c r="F121" i="402" a="1"/>
  <c r="F121" i="402" s="1"/>
  <c r="G121" i="402" s="1"/>
  <c r="F117" i="402" a="1"/>
  <c r="F117" i="402" s="1"/>
  <c r="F113" i="402" a="1"/>
  <c r="F113" i="402" s="1"/>
  <c r="G113" i="402" s="1"/>
  <c r="H113" i="402" s="1"/>
  <c r="F109" i="402" a="1"/>
  <c r="F109" i="402" s="1"/>
  <c r="F105" i="402" a="1"/>
  <c r="F105" i="402" s="1"/>
  <c r="G105" i="402" s="1"/>
  <c r="H105" i="402" s="1"/>
  <c r="F101" i="402" a="1"/>
  <c r="F101" i="402" s="1"/>
  <c r="F97" i="402" a="1"/>
  <c r="F97" i="402" s="1"/>
  <c r="G97" i="402" s="1"/>
  <c r="F94" i="402" a="1"/>
  <c r="F94" i="402" s="1"/>
  <c r="F87" i="402" a="1"/>
  <c r="F87" i="402" s="1"/>
  <c r="G87" i="402" s="1"/>
  <c r="F84" i="402" a="1"/>
  <c r="F84" i="402" s="1"/>
  <c r="G84" i="402" s="1"/>
  <c r="F80" i="402" a="1"/>
  <c r="F80" i="402" s="1"/>
  <c r="F74" i="402" a="1"/>
  <c r="F74" i="402" s="1"/>
  <c r="G74" i="402" s="1"/>
  <c r="F66" i="402" a="1"/>
  <c r="F66" i="402" s="1"/>
  <c r="G66" i="402" s="1"/>
  <c r="F60" i="402" a="1"/>
  <c r="F60" i="402" s="1"/>
  <c r="F56" i="402" a="1"/>
  <c r="F56" i="402" s="1"/>
  <c r="G56" i="402" s="1"/>
  <c r="F42" i="402" a="1"/>
  <c r="F42" i="402" s="1"/>
  <c r="G42" i="402" s="1"/>
  <c r="F38" i="402" a="1"/>
  <c r="F38" i="402" s="1"/>
  <c r="G38" i="402" s="1"/>
  <c r="F34" i="402" a="1"/>
  <c r="F34" i="402" s="1"/>
  <c r="G34" i="402" s="1"/>
  <c r="F30" i="402" a="1"/>
  <c r="F30" i="402" s="1"/>
  <c r="G30" i="402" s="1"/>
  <c r="H30" i="402" s="1"/>
  <c r="F26" i="402" a="1"/>
  <c r="F26" i="402" s="1"/>
  <c r="F22" i="402" a="1"/>
  <c r="F22" i="402" s="1"/>
  <c r="F21" i="402" s="1"/>
  <c r="F18" i="402" a="1"/>
  <c r="F18" i="402" s="1"/>
  <c r="F12" i="402" a="1"/>
  <c r="F12" i="402" s="1"/>
  <c r="G12" i="402" s="1"/>
  <c r="D7" i="402"/>
  <c r="F14" i="402" a="1"/>
  <c r="F14" i="402" s="1"/>
  <c r="F17" i="402" a="1"/>
  <c r="F17" i="402" s="1"/>
  <c r="F20" i="402" a="1"/>
  <c r="F20" i="402" s="1"/>
  <c r="G20" i="402" s="1"/>
  <c r="C21" i="402"/>
  <c r="C19" i="402"/>
  <c r="F31" i="402" a="1"/>
  <c r="F31" i="402" s="1"/>
  <c r="G31" i="402" s="1"/>
  <c r="F35" i="402" a="1"/>
  <c r="F35" i="402" s="1"/>
  <c r="G35" i="402" s="1"/>
  <c r="F39" i="402" a="1"/>
  <c r="F39" i="402" s="1"/>
  <c r="F41" i="402" a="1"/>
  <c r="F41" i="402" s="1"/>
  <c r="G41" i="402" s="1"/>
  <c r="H41" i="402" s="1"/>
  <c r="F44" i="402" a="1"/>
  <c r="F44" i="402" s="1"/>
  <c r="F53" i="402" a="1"/>
  <c r="F53" i="402" s="1"/>
  <c r="G53" i="402" s="1"/>
  <c r="F57" i="402" a="1"/>
  <c r="F57" i="402" s="1"/>
  <c r="F59" i="402" a="1"/>
  <c r="F59" i="402" s="1"/>
  <c r="F71" i="402" a="1"/>
  <c r="F71" i="402" s="1"/>
  <c r="G71" i="402" s="1"/>
  <c r="F79" i="402" a="1"/>
  <c r="F79" i="402" s="1"/>
  <c r="F82" i="402" a="1"/>
  <c r="F82" i="402" s="1"/>
  <c r="F91" i="402" a="1"/>
  <c r="F91" i="402" s="1"/>
  <c r="F96" i="402" a="1"/>
  <c r="F96" i="402" s="1"/>
  <c r="F99" i="402" a="1"/>
  <c r="F99" i="402" s="1"/>
  <c r="F110" i="402" a="1"/>
  <c r="F110" i="402" s="1"/>
  <c r="G110" i="402" s="1"/>
  <c r="H110" i="402" s="1"/>
  <c r="F115" i="402" a="1"/>
  <c r="F115" i="402" s="1"/>
  <c r="G115" i="402" s="1"/>
  <c r="H115" i="402" s="1"/>
  <c r="F126" i="402" a="1"/>
  <c r="F126" i="402" s="1"/>
  <c r="F131" i="402" a="1"/>
  <c r="F131" i="402" s="1"/>
  <c r="F159" i="402" a="1"/>
  <c r="F159" i="402" s="1"/>
  <c r="D7" i="403"/>
  <c r="F12" i="403" a="1"/>
  <c r="F12" i="403" s="1"/>
  <c r="F31" i="403" a="1"/>
  <c r="F31" i="403" s="1"/>
  <c r="G31" i="403" s="1"/>
  <c r="F39" i="403" a="1"/>
  <c r="F39" i="403" s="1"/>
  <c r="F52" i="403" a="1"/>
  <c r="F52" i="403" s="1"/>
  <c r="G52" i="403" s="1"/>
  <c r="F54" i="403" a="1"/>
  <c r="F54" i="403" s="1"/>
  <c r="F79" i="403" a="1"/>
  <c r="F79" i="403" s="1"/>
  <c r="F92" i="403" a="1"/>
  <c r="F92" i="403" s="1"/>
  <c r="G92" i="403" s="1"/>
  <c r="H92" i="403" s="1"/>
  <c r="F106" i="403" a="1"/>
  <c r="F106" i="403" s="1"/>
  <c r="G106" i="403" s="1"/>
  <c r="H106" i="403" s="1"/>
  <c r="F111" i="403" a="1"/>
  <c r="F111" i="403" s="1"/>
  <c r="F122" i="403" a="1"/>
  <c r="F122" i="403" s="1"/>
  <c r="F127" i="403" a="1"/>
  <c r="F127" i="403" s="1"/>
  <c r="G127" i="403" s="1"/>
  <c r="C78" i="404"/>
  <c r="C77" i="404"/>
  <c r="C76" i="404" s="1"/>
  <c r="C27" i="405"/>
  <c r="C47" i="405" s="1"/>
  <c r="D52" i="405" a="1"/>
  <c r="D52" i="405"/>
  <c r="D54" i="405" a="1"/>
  <c r="D54" i="405" s="1"/>
  <c r="I54" i="405" s="1"/>
  <c r="D57" i="405" a="1"/>
  <c r="D57" i="405" s="1"/>
  <c r="I57" i="405" s="1"/>
  <c r="D61" i="405" a="1"/>
  <c r="D61" i="405" s="1"/>
  <c r="D66" i="405" a="1"/>
  <c r="D66" i="405" s="1"/>
  <c r="I66" i="405" s="1"/>
  <c r="D79" i="405" a="1"/>
  <c r="D79" i="405"/>
  <c r="D86" i="405" a="1"/>
  <c r="D86" i="405"/>
  <c r="I86" i="405"/>
  <c r="D95" i="405" a="1"/>
  <c r="D95" i="405" s="1"/>
  <c r="I95" i="405" s="1"/>
  <c r="D102" i="405" a="1"/>
  <c r="D102" i="405" s="1"/>
  <c r="I102" i="405" s="1"/>
  <c r="D104" i="405" a="1"/>
  <c r="D104" i="405" s="1"/>
  <c r="I104" i="405" s="1"/>
  <c r="D111" i="405" a="1"/>
  <c r="D111" i="405"/>
  <c r="I111" i="405" s="1"/>
  <c r="D120" i="405" a="1"/>
  <c r="D120" i="405" s="1"/>
  <c r="I120" i="405" s="1"/>
  <c r="D126" i="405" a="1"/>
  <c r="D126" i="405"/>
  <c r="I126" i="405" s="1"/>
  <c r="D145" i="405" a="1"/>
  <c r="D145" i="405"/>
  <c r="D155" i="405" a="1"/>
  <c r="D155" i="405" s="1"/>
  <c r="D159" i="405" a="1"/>
  <c r="D159" i="405" s="1"/>
  <c r="I159" i="405" s="1"/>
  <c r="D163" i="405" a="1"/>
  <c r="D163" i="405"/>
  <c r="I163" i="405" s="1"/>
  <c r="D14" i="388" a="1"/>
  <c r="D14" i="388" s="1"/>
  <c r="I14" i="388" s="1"/>
  <c r="D23" i="388" a="1"/>
  <c r="D23" i="388" s="1"/>
  <c r="I23" i="388" s="1"/>
  <c r="D43" i="388" a="1"/>
  <c r="D43" i="388"/>
  <c r="I43" i="388" s="1"/>
  <c r="D52" i="388" a="1"/>
  <c r="D52" i="388"/>
  <c r="D68" i="388" a="1"/>
  <c r="D68" i="388"/>
  <c r="C78" i="388"/>
  <c r="C77" i="388"/>
  <c r="C76" i="388" s="1"/>
  <c r="C147" i="388" s="1"/>
  <c r="D80" i="388" a="1"/>
  <c r="D80" i="388"/>
  <c r="I80" i="388"/>
  <c r="D89" i="388" a="1"/>
  <c r="D89" i="388" s="1"/>
  <c r="D105" i="394" a="1"/>
  <c r="D105" i="394"/>
  <c r="I105" i="394" s="1"/>
  <c r="D112" i="394" a="1"/>
  <c r="D112" i="394"/>
  <c r="I112" i="394" s="1"/>
  <c r="D114" i="394" a="1"/>
  <c r="D114" i="394" s="1"/>
  <c r="I114" i="394" s="1"/>
  <c r="D121" i="394" a="1"/>
  <c r="D121" i="394"/>
  <c r="I121" i="394" s="1"/>
  <c r="D123" i="394" a="1"/>
  <c r="D123" i="394"/>
  <c r="I123" i="394"/>
  <c r="D130" i="394" a="1"/>
  <c r="D130" i="394" s="1"/>
  <c r="I130" i="394" s="1"/>
  <c r="D131" i="394" a="1"/>
  <c r="D131" i="394" s="1"/>
  <c r="I131" i="394" s="1"/>
  <c r="D157" i="394" a="1"/>
  <c r="D157" i="394"/>
  <c r="I157" i="394" s="1"/>
  <c r="D159" i="394" a="1"/>
  <c r="D159" i="394" s="1"/>
  <c r="I159" i="394" s="1"/>
  <c r="F122" i="402" a="1"/>
  <c r="F122" i="402" s="1"/>
  <c r="G122" i="402" s="1"/>
  <c r="F127" i="402" a="1"/>
  <c r="F127" i="402" s="1"/>
  <c r="F141" i="402" a="1"/>
  <c r="F141" i="402" s="1"/>
  <c r="G141" i="402" s="1"/>
  <c r="F155" i="402" a="1"/>
  <c r="F155" i="402" s="1"/>
  <c r="G155" i="402" s="1"/>
  <c r="C19" i="403"/>
  <c r="F34" i="403" a="1"/>
  <c r="F34" i="403" s="1"/>
  <c r="G34" i="403" s="1"/>
  <c r="C36" i="403"/>
  <c r="F60" i="403" a="1"/>
  <c r="F60" i="403" s="1"/>
  <c r="G60" i="403" s="1"/>
  <c r="H60" i="403" s="1"/>
  <c r="F65" i="403" a="1"/>
  <c r="F65" i="403" s="1"/>
  <c r="G65" i="403" s="1"/>
  <c r="F69" i="403" a="1"/>
  <c r="F69" i="403" s="1"/>
  <c r="G69" i="403" s="1"/>
  <c r="F71" i="403" a="1"/>
  <c r="F71" i="403" s="1"/>
  <c r="G71" i="403" s="1"/>
  <c r="F73" i="403" a="1"/>
  <c r="F73" i="403" s="1"/>
  <c r="F86" i="403" a="1"/>
  <c r="F86" i="403" s="1"/>
  <c r="G86" i="403" s="1"/>
  <c r="F102" i="403" a="1"/>
  <c r="F102" i="403" s="1"/>
  <c r="G102" i="403" s="1"/>
  <c r="F107" i="403" a="1"/>
  <c r="F107" i="403" s="1"/>
  <c r="F118" i="403" a="1"/>
  <c r="F118" i="403" s="1"/>
  <c r="G118" i="403" s="1"/>
  <c r="F123" i="403" a="1"/>
  <c r="F123" i="403" s="1"/>
  <c r="F134" i="403" a="1"/>
  <c r="F134" i="403" s="1"/>
  <c r="F162" i="403" a="1"/>
  <c r="F162" i="403" s="1"/>
  <c r="G162" i="403" s="1"/>
  <c r="C36" i="404"/>
  <c r="D10" i="405" a="1"/>
  <c r="D10" i="405"/>
  <c r="D13" i="405" a="1"/>
  <c r="D13" i="405" s="1"/>
  <c r="I13" i="405" s="1"/>
  <c r="D18" i="405" a="1"/>
  <c r="D18" i="405"/>
  <c r="I18" i="405" s="1"/>
  <c r="D31" i="405" a="1"/>
  <c r="D31" i="405" s="1"/>
  <c r="I31" i="405" s="1"/>
  <c r="D34" i="405" a="1"/>
  <c r="D34" i="405"/>
  <c r="I34" i="405"/>
  <c r="D38" i="405" a="1"/>
  <c r="D38" i="405" s="1"/>
  <c r="I38" i="405" s="1"/>
  <c r="D42" i="405" a="1"/>
  <c r="D42" i="405" s="1"/>
  <c r="I42" i="405" s="1"/>
  <c r="D63" i="405" a="1"/>
  <c r="D63" i="405" s="1"/>
  <c r="D69" i="405" a="1"/>
  <c r="D69" i="405" s="1"/>
  <c r="D82" i="405" a="1"/>
  <c r="D82" i="405" s="1"/>
  <c r="I82" i="405" s="1"/>
  <c r="D91" i="405" a="1"/>
  <c r="D91" i="405"/>
  <c r="I91" i="405"/>
  <c r="D98" i="405" a="1"/>
  <c r="D98" i="405" s="1"/>
  <c r="I98" i="405" s="1"/>
  <c r="D107" i="405" a="1"/>
  <c r="D107" i="405" s="1"/>
  <c r="I107" i="405" s="1"/>
  <c r="D116" i="405" a="1"/>
  <c r="D116" i="405" s="1"/>
  <c r="I116" i="405" s="1"/>
  <c r="D123" i="405" a="1"/>
  <c r="D123" i="405"/>
  <c r="I123" i="405" s="1"/>
  <c r="D131" i="405" a="1"/>
  <c r="D131" i="405" s="1"/>
  <c r="I131" i="405" s="1"/>
  <c r="D141" i="405" a="1"/>
  <c r="D141" i="405"/>
  <c r="I141" i="405" s="1"/>
  <c r="D175" i="405" a="1"/>
  <c r="D175" i="405"/>
  <c r="D175" i="388" a="1"/>
  <c r="D175" i="388" s="1"/>
  <c r="D177" i="388" s="1"/>
  <c r="D161" i="388" a="1"/>
  <c r="D161" i="388"/>
  <c r="I161" i="388" s="1"/>
  <c r="D155" i="388" a="1"/>
  <c r="D155" i="388" s="1"/>
  <c r="D145" i="388" a="1"/>
  <c r="D145" i="388" s="1"/>
  <c r="D144" i="388" s="1"/>
  <c r="D142" i="388" a="1"/>
  <c r="D142" i="388"/>
  <c r="I142" i="388" s="1"/>
  <c r="D137" i="388" a="1"/>
  <c r="D137" i="388"/>
  <c r="I137" i="388" s="1"/>
  <c r="D133" i="388" a="1"/>
  <c r="D133" i="388"/>
  <c r="I133" i="388" s="1"/>
  <c r="D129" i="388" a="1"/>
  <c r="D129" i="388" s="1"/>
  <c r="I129" i="388" s="1"/>
  <c r="D159" i="388" a="1"/>
  <c r="D159" i="388"/>
  <c r="I159" i="388" s="1"/>
  <c r="D141" i="388" a="1"/>
  <c r="D141" i="388"/>
  <c r="I141" i="388"/>
  <c r="D140" i="388" a="1"/>
  <c r="D140" i="388" s="1"/>
  <c r="D135" i="388" a="1"/>
  <c r="D135" i="388" s="1"/>
  <c r="I135" i="388" s="1"/>
  <c r="D128" i="388" a="1"/>
  <c r="D128" i="388" s="1"/>
  <c r="I128" i="388" s="1"/>
  <c r="D126" i="388" a="1"/>
  <c r="D126" i="388"/>
  <c r="I126" i="388" s="1"/>
  <c r="D118" i="388" a="1"/>
  <c r="D118" i="388" s="1"/>
  <c r="D110" i="388" a="1"/>
  <c r="D110" i="388"/>
  <c r="I110" i="388"/>
  <c r="D107" i="388" a="1"/>
  <c r="D107" i="388" s="1"/>
  <c r="I107" i="388" s="1"/>
  <c r="D101" i="388" a="1"/>
  <c r="D101" i="388" s="1"/>
  <c r="I101" i="388" s="1"/>
  <c r="D99" i="388" a="1"/>
  <c r="D99" i="388"/>
  <c r="D92" i="388" a="1"/>
  <c r="D92" i="388"/>
  <c r="I92" i="388" s="1"/>
  <c r="D87" i="388" a="1"/>
  <c r="D87" i="388" s="1"/>
  <c r="I87" i="388" s="1"/>
  <c r="D85" i="388" a="1"/>
  <c r="D85" i="388" s="1"/>
  <c r="D83" i="388" a="1"/>
  <c r="D83" i="388" s="1"/>
  <c r="D81" i="388" a="1"/>
  <c r="D81" i="388" s="1"/>
  <c r="D63" i="388" a="1"/>
  <c r="D63" i="388"/>
  <c r="D60" i="388" a="1"/>
  <c r="D60" i="388"/>
  <c r="I60" i="388" s="1"/>
  <c r="D57" i="388" a="1"/>
  <c r="D57" i="388" s="1"/>
  <c r="I57" i="388" s="1"/>
  <c r="D55" i="388" a="1"/>
  <c r="D55" i="388"/>
  <c r="D44" i="388" a="1"/>
  <c r="D44" i="388" s="1"/>
  <c r="D35" i="388" a="1"/>
  <c r="D35" i="388" s="1"/>
  <c r="I35" i="388" s="1"/>
  <c r="D31" i="388" a="1"/>
  <c r="D31" i="388" s="1"/>
  <c r="I31" i="388" s="1"/>
  <c r="D20" i="388" a="1"/>
  <c r="D20" i="388"/>
  <c r="D17" i="388" a="1"/>
  <c r="D17" i="388"/>
  <c r="D12" i="388" a="1"/>
  <c r="D12" i="388"/>
  <c r="D158" i="388" a="1"/>
  <c r="D158" i="388"/>
  <c r="D156" i="388" a="1"/>
  <c r="D156" i="388" s="1"/>
  <c r="D143" i="388" a="1"/>
  <c r="D143" i="388" s="1"/>
  <c r="I143" i="388" s="1"/>
  <c r="D132" i="388" a="1"/>
  <c r="D132" i="388" s="1"/>
  <c r="I132" i="388" s="1"/>
  <c r="D130" i="388" a="1"/>
  <c r="D130" i="388"/>
  <c r="I130" i="388" s="1"/>
  <c r="D125" i="388" a="1"/>
  <c r="D125" i="388" s="1"/>
  <c r="D124" i="388" a="1"/>
  <c r="D124" i="388" s="1"/>
  <c r="D121" i="388" a="1"/>
  <c r="D121" i="388"/>
  <c r="I121" i="388" s="1"/>
  <c r="D115" i="388" a="1"/>
  <c r="D115" i="388" s="1"/>
  <c r="I115" i="388" s="1"/>
  <c r="D113" i="388" a="1"/>
  <c r="D113" i="388" s="1"/>
  <c r="D111" i="388" a="1"/>
  <c r="D111" i="388" s="1"/>
  <c r="D108" i="388" a="1"/>
  <c r="D108" i="388" s="1"/>
  <c r="I108" i="388" s="1"/>
  <c r="D104" i="388" a="1"/>
  <c r="D104" i="388"/>
  <c r="I104" i="388" s="1"/>
  <c r="D102" i="388" a="1"/>
  <c r="D102" i="388"/>
  <c r="D97" i="388" a="1"/>
  <c r="D97" i="388" s="1"/>
  <c r="I97" i="388" s="1"/>
  <c r="D95" i="388" a="1"/>
  <c r="D95" i="388" s="1"/>
  <c r="D93" i="388" a="1"/>
  <c r="D93" i="388"/>
  <c r="D90" i="388" a="1"/>
  <c r="D90" i="388"/>
  <c r="D88" i="388" a="1"/>
  <c r="D88" i="388"/>
  <c r="D79" i="388" a="1"/>
  <c r="D79" i="388"/>
  <c r="D73" i="388" a="1"/>
  <c r="D73" i="388"/>
  <c r="I73" i="388"/>
  <c r="D71" i="388" a="1"/>
  <c r="D71" i="388" s="1"/>
  <c r="D69" i="388" a="1"/>
  <c r="D69" i="388"/>
  <c r="D66" i="388" a="1"/>
  <c r="D66" i="388" s="1"/>
  <c r="I66" i="388" s="1"/>
  <c r="D61" i="388" a="1"/>
  <c r="D61" i="388"/>
  <c r="D58" i="388" a="1"/>
  <c r="D58" i="388"/>
  <c r="D53" i="388" a="1"/>
  <c r="D53" i="388"/>
  <c r="D41" i="388" a="1"/>
  <c r="D41" i="388"/>
  <c r="I41" i="388"/>
  <c r="D38" i="388" a="1"/>
  <c r="D38" i="388" s="1"/>
  <c r="I38" i="388" s="1"/>
  <c r="D10" i="388" a="1"/>
  <c r="D10" i="388" s="1"/>
  <c r="D160" i="388" a="1"/>
  <c r="D160" i="388"/>
  <c r="D136" i="388" a="1"/>
  <c r="D136" i="388"/>
  <c r="I136" i="388" s="1"/>
  <c r="D134" i="388" a="1"/>
  <c r="D134" i="388" s="1"/>
  <c r="I134" i="388" s="1"/>
  <c r="D127" i="388" a="1"/>
  <c r="D127" i="388"/>
  <c r="I127" i="388"/>
  <c r="D122" i="388" a="1"/>
  <c r="D122" i="388" s="1"/>
  <c r="I122" i="388" s="1"/>
  <c r="D119" i="388" a="1"/>
  <c r="D119" i="388" s="1"/>
  <c r="I119" i="388" s="1"/>
  <c r="D116" i="388" a="1"/>
  <c r="D116" i="388" s="1"/>
  <c r="I116" i="388" s="1"/>
  <c r="D109" i="388" a="1"/>
  <c r="D109" i="388"/>
  <c r="D105" i="388" a="1"/>
  <c r="D105" i="388"/>
  <c r="I105" i="388" s="1"/>
  <c r="D100" i="388" a="1"/>
  <c r="D100" i="388"/>
  <c r="D98" i="388" a="1"/>
  <c r="D98" i="388" s="1"/>
  <c r="D86" i="388" a="1"/>
  <c r="D86" i="388"/>
  <c r="D84" i="388" a="1"/>
  <c r="D84" i="388" s="1"/>
  <c r="D82" i="388" a="1"/>
  <c r="D82" i="388" s="1"/>
  <c r="D74" i="388" a="1"/>
  <c r="D74" i="388" s="1"/>
  <c r="I74" i="388" s="1"/>
  <c r="D67" i="388" a="1"/>
  <c r="D67" i="388"/>
  <c r="D64" i="388" a="1"/>
  <c r="D64" i="388"/>
  <c r="I64" i="388"/>
  <c r="D56" i="388" a="1"/>
  <c r="D56" i="388" s="1"/>
  <c r="D45" i="388" a="1"/>
  <c r="D45" i="388"/>
  <c r="I45" i="388" s="1"/>
  <c r="D42" i="388" a="1"/>
  <c r="D42" i="388"/>
  <c r="I42" i="388" s="1"/>
  <c r="D39" i="388" a="1"/>
  <c r="D39" i="388" s="1"/>
  <c r="I39" i="388" s="1"/>
  <c r="D33" i="388" a="1"/>
  <c r="D33" i="388"/>
  <c r="D30" i="388" a="1"/>
  <c r="D30" i="388"/>
  <c r="D28" i="388" a="1"/>
  <c r="D28" i="388"/>
  <c r="D26" i="388" a="1"/>
  <c r="D26" i="388" s="1"/>
  <c r="D22" i="388" a="1"/>
  <c r="D22" i="388" s="1"/>
  <c r="D18" i="388" a="1"/>
  <c r="D18" i="388"/>
  <c r="I18" i="388" s="1"/>
  <c r="D16" i="388" a="1"/>
  <c r="D16" i="388" s="1"/>
  <c r="D13" i="388" a="1"/>
  <c r="D13" i="388" s="1"/>
  <c r="I13" i="388" s="1"/>
  <c r="D163" i="388" a="1"/>
  <c r="D163" i="388"/>
  <c r="I163" i="388"/>
  <c r="D162" i="388" a="1"/>
  <c r="D162" i="388" s="1"/>
  <c r="D157" i="388" a="1"/>
  <c r="D157" i="388"/>
  <c r="D131" i="388" a="1"/>
  <c r="D131" i="388" s="1"/>
  <c r="I131" i="388" s="1"/>
  <c r="D123" i="388" a="1"/>
  <c r="D123" i="388"/>
  <c r="I123" i="388" s="1"/>
  <c r="D40" i="388" a="1"/>
  <c r="D40" i="388" s="1"/>
  <c r="D65" i="388" a="1"/>
  <c r="D65" i="388" s="1"/>
  <c r="D106" i="388" a="1"/>
  <c r="D106" i="388"/>
  <c r="I106" i="388"/>
  <c r="C164" i="388"/>
  <c r="D137" i="418" a="1"/>
  <c r="D137" i="418" s="1"/>
  <c r="E137" i="418" s="1"/>
  <c r="D135" i="418" a="1"/>
  <c r="D135" i="418" s="1"/>
  <c r="D133" i="418" a="1"/>
  <c r="D133" i="418" s="1"/>
  <c r="D131" i="418" a="1"/>
  <c r="D131" i="418" s="1"/>
  <c r="D129" i="418" a="1"/>
  <c r="D129" i="418" s="1"/>
  <c r="E129" i="418" s="1"/>
  <c r="D127" i="418" a="1"/>
  <c r="D127" i="418" s="1"/>
  <c r="D125" i="418" a="1"/>
  <c r="D125" i="418" s="1"/>
  <c r="D123" i="418" a="1"/>
  <c r="D123" i="418" s="1"/>
  <c r="E123" i="418" s="1"/>
  <c r="D121" i="418" a="1"/>
  <c r="D121" i="418" s="1"/>
  <c r="D119" i="418" a="1"/>
  <c r="D119" i="418" s="1"/>
  <c r="E119" i="418" s="1"/>
  <c r="D117" i="418" a="1"/>
  <c r="D117" i="418" s="1"/>
  <c r="D115" i="418" a="1"/>
  <c r="D115" i="418" s="1"/>
  <c r="D113" i="418" a="1"/>
  <c r="D113" i="418" s="1"/>
  <c r="D111" i="418" a="1"/>
  <c r="D111" i="418" s="1"/>
  <c r="D109" i="418" a="1"/>
  <c r="D109" i="418" s="1"/>
  <c r="E109" i="418" s="1"/>
  <c r="D107" i="418" a="1"/>
  <c r="D107" i="418" s="1"/>
  <c r="E107" i="418" s="1"/>
  <c r="D105" i="418" a="1"/>
  <c r="D105" i="418" s="1"/>
  <c r="E105" i="418" s="1"/>
  <c r="D103" i="418" a="1"/>
  <c r="D103" i="418" s="1"/>
  <c r="D101" i="418" a="1"/>
  <c r="D101" i="418" s="1"/>
  <c r="D99" i="418" a="1"/>
  <c r="D99" i="418" s="1"/>
  <c r="E99" i="418" s="1"/>
  <c r="D97" i="418" a="1"/>
  <c r="D97" i="418" s="1"/>
  <c r="E97" i="418" s="1"/>
  <c r="D95" i="418" a="1"/>
  <c r="D95" i="418" s="1"/>
  <c r="D93" i="418" a="1"/>
  <c r="D93" i="418" s="1"/>
  <c r="D91" i="418" a="1"/>
  <c r="D91" i="418" s="1"/>
  <c r="E91" i="418" s="1"/>
  <c r="D89" i="418" a="1"/>
  <c r="D89" i="418" s="1"/>
  <c r="E89" i="418" s="1"/>
  <c r="D87" i="418" a="1"/>
  <c r="D87" i="418" s="1"/>
  <c r="D85" i="418" a="1"/>
  <c r="D85" i="418" s="1"/>
  <c r="D83" i="418" a="1"/>
  <c r="D83" i="418" s="1"/>
  <c r="E83" i="418" s="1"/>
  <c r="D81" i="418" a="1"/>
  <c r="D81" i="418" s="1"/>
  <c r="D79" i="418" a="1"/>
  <c r="D79" i="418" s="1"/>
  <c r="D77" i="418" a="1"/>
  <c r="D77" i="418" s="1"/>
  <c r="E77" i="418" s="1"/>
  <c r="D75" i="418" a="1"/>
  <c r="D75" i="418" s="1"/>
  <c r="D71" i="418" a="1"/>
  <c r="D71" i="418" s="1"/>
  <c r="E71" i="418" s="1"/>
  <c r="D69" i="418" a="1"/>
  <c r="D69" i="418" s="1"/>
  <c r="D67" i="418" a="1"/>
  <c r="D67" i="418" s="1"/>
  <c r="D65" i="418" a="1"/>
  <c r="D65" i="418" s="1"/>
  <c r="E65" i="418" s="1"/>
  <c r="D63" i="418" a="1"/>
  <c r="D63" i="418" s="1"/>
  <c r="E63" i="418" s="1"/>
  <c r="D61" i="418" a="1"/>
  <c r="D61" i="418" s="1"/>
  <c r="D59" i="418" a="1"/>
  <c r="D59" i="418" s="1"/>
  <c r="D57" i="418" a="1"/>
  <c r="D57" i="418" s="1"/>
  <c r="D55" i="418" a="1"/>
  <c r="D55" i="418" s="1"/>
  <c r="E55" i="418" s="1"/>
  <c r="D53" i="418" a="1"/>
  <c r="D53" i="418" s="1"/>
  <c r="D51" i="418" a="1"/>
  <c r="D51" i="418" s="1"/>
  <c r="D49" i="418" a="1"/>
  <c r="D49" i="418" s="1"/>
  <c r="D44" i="418" a="1"/>
  <c r="D44" i="418" s="1"/>
  <c r="D42" i="418" a="1"/>
  <c r="D42" i="418" s="1"/>
  <c r="D40" i="418" a="1"/>
  <c r="D40" i="418" s="1"/>
  <c r="E40" i="418" s="1"/>
  <c r="D38" i="418" a="1"/>
  <c r="D38" i="418" s="1"/>
  <c r="E38" i="418" s="1"/>
  <c r="D36" i="418" a="1"/>
  <c r="D36" i="418" s="1"/>
  <c r="E36" i="418" s="1"/>
  <c r="D33" i="418" a="1"/>
  <c r="D33" i="418" s="1"/>
  <c r="D30" i="418" a="1"/>
  <c r="D30" i="418" s="1"/>
  <c r="D27" i="418" a="1"/>
  <c r="D27" i="418" s="1"/>
  <c r="D24" i="418" a="1"/>
  <c r="D24" i="418" s="1"/>
  <c r="D21" i="418" a="1"/>
  <c r="D21" i="418" s="1"/>
  <c r="D18" i="418" a="1"/>
  <c r="D18" i="418" s="1"/>
  <c r="D15" i="418" a="1"/>
  <c r="D15" i="418" s="1"/>
  <c r="E15" i="418" s="1"/>
  <c r="D13" i="418" a="1"/>
  <c r="D13" i="418" s="1"/>
  <c r="E13" i="418" s="1"/>
  <c r="D14" i="418" a="1"/>
  <c r="D14" i="418" s="1"/>
  <c r="E14" i="418" s="1"/>
  <c r="D25" i="418" a="1"/>
  <c r="D25" i="418" s="1"/>
  <c r="D37" i="418" a="1"/>
  <c r="D37" i="418" s="1"/>
  <c r="D48" i="418" a="1"/>
  <c r="D48" i="418" s="1"/>
  <c r="D56" i="418" a="1"/>
  <c r="D56" i="418" s="1"/>
  <c r="D64" i="418" a="1"/>
  <c r="D64" i="418" s="1"/>
  <c r="E64" i="418" s="1"/>
  <c r="D72" i="418" a="1"/>
  <c r="D72" i="418" s="1"/>
  <c r="E72" i="418" s="1"/>
  <c r="D82" i="418" a="1"/>
  <c r="D82" i="418" s="1"/>
  <c r="E82" i="418" s="1"/>
  <c r="D90" i="418" a="1"/>
  <c r="D90" i="418" s="1"/>
  <c r="D98" i="418" a="1"/>
  <c r="D98" i="418" s="1"/>
  <c r="D106" i="418" a="1"/>
  <c r="D106" i="418" s="1"/>
  <c r="E106" i="418" s="1"/>
  <c r="D114" i="418" a="1"/>
  <c r="D114" i="418" s="1"/>
  <c r="E114" i="418" s="1"/>
  <c r="D122" i="418" a="1"/>
  <c r="D122" i="418" s="1"/>
  <c r="D130" i="418" a="1"/>
  <c r="D130" i="418" s="1"/>
  <c r="E130" i="418" s="1"/>
  <c r="F33" i="394" a="1"/>
  <c r="F33" i="394" s="1"/>
  <c r="F37" i="394" a="1"/>
  <c r="F37" i="394" s="1"/>
  <c r="G37" i="394" s="1"/>
  <c r="F41" i="394" a="1"/>
  <c r="F41" i="394" s="1"/>
  <c r="F45" i="394" a="1"/>
  <c r="F45" i="394" s="1"/>
  <c r="F53" i="394" a="1"/>
  <c r="F53" i="394" s="1"/>
  <c r="F59" i="394" a="1"/>
  <c r="F59" i="394" s="1"/>
  <c r="F62" i="394" a="1"/>
  <c r="F62" i="394" s="1"/>
  <c r="F64" i="394" a="1"/>
  <c r="F64" i="394" s="1"/>
  <c r="G64" i="394" s="1"/>
  <c r="H64" i="394" s="1"/>
  <c r="F68" i="394" a="1"/>
  <c r="F68" i="394" s="1"/>
  <c r="G68" i="394" s="1"/>
  <c r="H68" i="394" s="1"/>
  <c r="F70" i="394" a="1"/>
  <c r="F70" i="394" s="1"/>
  <c r="G70" i="394" s="1"/>
  <c r="I70" i="394" s="1"/>
  <c r="F72" i="394" a="1"/>
  <c r="F72" i="394" s="1"/>
  <c r="G72" i="394" s="1"/>
  <c r="F81" i="394" a="1"/>
  <c r="F81" i="394" s="1"/>
  <c r="G81" i="394" s="1"/>
  <c r="F85" i="394" a="1"/>
  <c r="F85" i="394" s="1"/>
  <c r="G85" i="394" s="1"/>
  <c r="H85" i="394" s="1"/>
  <c r="F88" i="394" a="1"/>
  <c r="F88" i="394" s="1"/>
  <c r="G88" i="394" s="1"/>
  <c r="H88" i="394" s="1"/>
  <c r="F94" i="394" a="1"/>
  <c r="F94" i="394" s="1"/>
  <c r="F98" i="394" a="1"/>
  <c r="F98" i="394" s="1"/>
  <c r="F102" i="394" a="1"/>
  <c r="F102" i="394" s="1"/>
  <c r="G102" i="394" s="1"/>
  <c r="H102" i="394" s="1"/>
  <c r="F106" i="394" a="1"/>
  <c r="F106" i="394" s="1"/>
  <c r="G106" i="394" s="1"/>
  <c r="H106" i="394" s="1"/>
  <c r="F110" i="394" a="1"/>
  <c r="F110" i="394" s="1"/>
  <c r="G110" i="394" s="1"/>
  <c r="H110" i="394" s="1"/>
  <c r="F115" i="394" a="1"/>
  <c r="F115" i="394" s="1"/>
  <c r="G115" i="394" s="1"/>
  <c r="H115" i="394" s="1"/>
  <c r="F119" i="394" a="1"/>
  <c r="F119" i="394" s="1"/>
  <c r="G119" i="394" s="1"/>
  <c r="H119" i="394" s="1"/>
  <c r="F123" i="394" a="1"/>
  <c r="F123" i="394" s="1"/>
  <c r="G123" i="394" s="1"/>
  <c r="H123" i="394" s="1"/>
  <c r="F127" i="394" a="1"/>
  <c r="F127" i="394" s="1"/>
  <c r="F132" i="394" a="1"/>
  <c r="F132" i="394" s="1"/>
  <c r="G132" i="394" s="1"/>
  <c r="H132" i="394" s="1"/>
  <c r="F136" i="394" a="1"/>
  <c r="F136" i="394" s="1"/>
  <c r="G136" i="394" s="1"/>
  <c r="H136" i="394" s="1"/>
  <c r="F141" i="394" a="1"/>
  <c r="F141" i="394" s="1"/>
  <c r="F145" i="394" a="1"/>
  <c r="F145" i="394" s="1"/>
  <c r="F144" i="394" s="1"/>
  <c r="F155" i="394" a="1"/>
  <c r="F155" i="394" s="1"/>
  <c r="D7" i="404"/>
  <c r="F12" i="404" a="1"/>
  <c r="F12" i="404" s="1"/>
  <c r="F18" i="404" a="1"/>
  <c r="F18" i="404" s="1"/>
  <c r="F22" i="404" a="1"/>
  <c r="F22" i="404" s="1"/>
  <c r="F26" i="404" a="1"/>
  <c r="F26" i="404" s="1"/>
  <c r="G26" i="404" s="1"/>
  <c r="F30" i="404" a="1"/>
  <c r="F30" i="404" s="1"/>
  <c r="F34" i="404" a="1"/>
  <c r="F34" i="404" s="1"/>
  <c r="G34" i="404" s="1"/>
  <c r="H34" i="404" s="1"/>
  <c r="F38" i="404" a="1"/>
  <c r="F38" i="404" s="1"/>
  <c r="F42" i="404" a="1"/>
  <c r="F42" i="404" s="1"/>
  <c r="F56" i="404" a="1"/>
  <c r="F56" i="404" s="1"/>
  <c r="F60" i="404" a="1"/>
  <c r="F60" i="404" s="1"/>
  <c r="F66" i="404" a="1"/>
  <c r="F66" i="404" s="1"/>
  <c r="G66" i="404" s="1"/>
  <c r="H66" i="404" s="1"/>
  <c r="F69" i="404" a="1"/>
  <c r="F69" i="404" s="1"/>
  <c r="G69" i="404" s="1"/>
  <c r="H69" i="404" s="1"/>
  <c r="F71" i="404" a="1"/>
  <c r="F71" i="404" s="1"/>
  <c r="G71" i="404" s="1"/>
  <c r="H71" i="404" s="1"/>
  <c r="F73" i="404" a="1"/>
  <c r="F73" i="404" s="1"/>
  <c r="G73" i="404" s="1"/>
  <c r="F79" i="404" a="1"/>
  <c r="F79" i="404" s="1"/>
  <c r="F83" i="404" a="1"/>
  <c r="F83" i="404" s="1"/>
  <c r="G83" i="404" s="1"/>
  <c r="H83" i="404" s="1"/>
  <c r="F87" i="404" a="1"/>
  <c r="F87" i="404" s="1"/>
  <c r="G87" i="404" s="1"/>
  <c r="F94" i="404" a="1"/>
  <c r="F94" i="404" s="1"/>
  <c r="F97" i="404" a="1"/>
  <c r="F97" i="404" s="1"/>
  <c r="F101" i="404" a="1"/>
  <c r="F101" i="404" s="1"/>
  <c r="G101" i="404" s="1"/>
  <c r="H101" i="404" s="1"/>
  <c r="F105" i="404" a="1"/>
  <c r="F105" i="404" s="1"/>
  <c r="G105" i="404" s="1"/>
  <c r="F109" i="404" a="1"/>
  <c r="F109" i="404" s="1"/>
  <c r="F113" i="404" a="1"/>
  <c r="F113" i="404" s="1"/>
  <c r="F117" i="404" a="1"/>
  <c r="F117" i="404" s="1"/>
  <c r="G117" i="404" s="1"/>
  <c r="F121" i="404" a="1"/>
  <c r="F121" i="404" s="1"/>
  <c r="G121" i="404" s="1"/>
  <c r="F125" i="404" a="1"/>
  <c r="F125" i="404" s="1"/>
  <c r="F129" i="404" a="1"/>
  <c r="F129" i="404" s="1"/>
  <c r="F133" i="404" a="1"/>
  <c r="F133" i="404" s="1"/>
  <c r="F137" i="404" a="1"/>
  <c r="F137" i="404" s="1"/>
  <c r="G137" i="404" s="1"/>
  <c r="H137" i="404" s="1"/>
  <c r="F142" i="404" a="1"/>
  <c r="F142" i="404" s="1"/>
  <c r="F156" i="404" a="1"/>
  <c r="F156" i="404" s="1"/>
  <c r="F160" i="404" a="1"/>
  <c r="F160" i="404" s="1"/>
  <c r="F23" i="405" a="1"/>
  <c r="F23" i="405" s="1"/>
  <c r="F28" i="405" a="1"/>
  <c r="F28" i="405" s="1"/>
  <c r="F39" i="405" a="1"/>
  <c r="F39" i="405" s="1"/>
  <c r="F43" i="405" a="1"/>
  <c r="F43" i="405" s="1"/>
  <c r="G43" i="405" s="1"/>
  <c r="H43" i="405" s="1"/>
  <c r="F53" i="405" a="1"/>
  <c r="F53" i="405" s="1"/>
  <c r="G53" i="405" s="1"/>
  <c r="F58" i="405" a="1"/>
  <c r="F58" i="405" s="1"/>
  <c r="F67" i="405" a="1"/>
  <c r="F67" i="405" s="1"/>
  <c r="F74" i="405" a="1"/>
  <c r="F74" i="405" s="1"/>
  <c r="G74" i="405" s="1"/>
  <c r="H74" i="405" s="1"/>
  <c r="F80" i="405" a="1"/>
  <c r="F80" i="405" s="1"/>
  <c r="F84" i="405" a="1"/>
  <c r="F84" i="405" s="1"/>
  <c r="F88" i="405" a="1"/>
  <c r="F88" i="405" s="1"/>
  <c r="G88" i="405" s="1"/>
  <c r="F92" i="405" a="1"/>
  <c r="F92" i="405" s="1"/>
  <c r="G92" i="405" s="1"/>
  <c r="H92" i="405" s="1"/>
  <c r="F96" i="405" a="1"/>
  <c r="F96" i="405" s="1"/>
  <c r="G96" i="405" s="1"/>
  <c r="H96" i="405" s="1"/>
  <c r="F100" i="405" a="1"/>
  <c r="F100" i="405" s="1"/>
  <c r="F105" i="405" a="1"/>
  <c r="F105" i="405" s="1"/>
  <c r="G105" i="405" s="1"/>
  <c r="H105" i="405" s="1"/>
  <c r="F109" i="405" a="1"/>
  <c r="F109" i="405" s="1"/>
  <c r="G109" i="405" s="1"/>
  <c r="H109" i="405" s="1"/>
  <c r="F113" i="405" a="1"/>
  <c r="F113" i="405" s="1"/>
  <c r="F117" i="405" a="1"/>
  <c r="F117" i="405" s="1"/>
  <c r="F121" i="405" a="1"/>
  <c r="F121" i="405" s="1"/>
  <c r="F125" i="405" a="1"/>
  <c r="F125" i="405" s="1"/>
  <c r="G125" i="405" s="1"/>
  <c r="I125" i="405" s="1"/>
  <c r="F128" i="405" a="1"/>
  <c r="F128" i="405" s="1"/>
  <c r="G128" i="405" s="1"/>
  <c r="H128" i="405" s="1"/>
  <c r="F132" i="405" a="1"/>
  <c r="F132" i="405" s="1"/>
  <c r="G132" i="405" s="1"/>
  <c r="H132" i="405" s="1"/>
  <c r="F136" i="405" a="1"/>
  <c r="F136" i="405" s="1"/>
  <c r="F157" i="405" a="1"/>
  <c r="F157" i="405" s="1"/>
  <c r="G157" i="405" s="1"/>
  <c r="H157" i="405" s="1"/>
  <c r="F161" i="405" a="1"/>
  <c r="F161" i="405" s="1"/>
  <c r="G161" i="405" s="1"/>
  <c r="H161" i="405" s="1"/>
  <c r="F10" i="388" a="1"/>
  <c r="F10" i="388" s="1"/>
  <c r="F38" i="388" a="1"/>
  <c r="F38" i="388" s="1"/>
  <c r="G38" i="388" s="1"/>
  <c r="F41" i="388" a="1"/>
  <c r="F41" i="388" s="1"/>
  <c r="G41" i="388" s="1"/>
  <c r="H41" i="388" s="1"/>
  <c r="F53" i="388" a="1"/>
  <c r="F53" i="388" s="1"/>
  <c r="F58" i="388" a="1"/>
  <c r="F58" i="388" s="1"/>
  <c r="F61" i="388" a="1"/>
  <c r="F61" i="388" s="1"/>
  <c r="F66" i="388" a="1"/>
  <c r="F66" i="388" s="1"/>
  <c r="F69" i="388" a="1"/>
  <c r="F69" i="388" s="1"/>
  <c r="F71" i="388" a="1"/>
  <c r="F71" i="388" s="1"/>
  <c r="G71" i="388" s="1"/>
  <c r="F73" i="388" a="1"/>
  <c r="F73" i="388" s="1"/>
  <c r="F79" i="388" a="1"/>
  <c r="F79" i="388" s="1"/>
  <c r="G79" i="388" s="1"/>
  <c r="F88" i="388" a="1"/>
  <c r="F88" i="388" s="1"/>
  <c r="G88" i="388" s="1"/>
  <c r="H88" i="388" s="1"/>
  <c r="F90" i="388" a="1"/>
  <c r="F90" i="388" s="1"/>
  <c r="F93" i="388" a="1"/>
  <c r="F93" i="388" s="1"/>
  <c r="F95" i="388" a="1"/>
  <c r="F95" i="388" s="1"/>
  <c r="F97" i="388" a="1"/>
  <c r="F97" i="388" s="1"/>
  <c r="F102" i="388" a="1"/>
  <c r="F102" i="388" s="1"/>
  <c r="F104" i="388" a="1"/>
  <c r="F104" i="388" s="1"/>
  <c r="F108" i="388" a="1"/>
  <c r="F108" i="388" s="1"/>
  <c r="G108" i="388" s="1"/>
  <c r="H108" i="388" s="1"/>
  <c r="F111" i="388" a="1"/>
  <c r="F111" i="388" s="1"/>
  <c r="G111" i="388" s="1"/>
  <c r="F113" i="388" a="1"/>
  <c r="F113" i="388" s="1"/>
  <c r="G113" i="388" s="1"/>
  <c r="F115" i="388" a="1"/>
  <c r="F115" i="388" s="1"/>
  <c r="F121" i="388" a="1"/>
  <c r="F121" i="388" s="1"/>
  <c r="G121" i="388" s="1"/>
  <c r="H121" i="388" s="1"/>
  <c r="F126" i="388" a="1"/>
  <c r="F126" i="388" s="1"/>
  <c r="G126" i="388" s="1"/>
  <c r="F137" i="388" a="1"/>
  <c r="F137" i="388" s="1"/>
  <c r="F140" i="388" a="1"/>
  <c r="F140" i="388" s="1"/>
  <c r="G140" i="388" s="1"/>
  <c r="H140" i="388" s="1"/>
  <c r="F159" i="388" a="1"/>
  <c r="F159" i="388" s="1"/>
  <c r="G159" i="388" s="1"/>
  <c r="H159" i="388" s="1"/>
  <c r="F161" i="388" a="1"/>
  <c r="F161" i="388" s="1"/>
  <c r="D11" i="418" a="1"/>
  <c r="D11" i="418" s="1"/>
  <c r="E11" i="418" s="1"/>
  <c r="D23" i="418" a="1"/>
  <c r="D23" i="418" s="1"/>
  <c r="D34" i="418" a="1"/>
  <c r="D34" i="418" s="1"/>
  <c r="D43" i="418" a="1"/>
  <c r="D43" i="418" s="1"/>
  <c r="E43" i="418" s="1"/>
  <c r="D54" i="418" a="1"/>
  <c r="D54" i="418" s="1"/>
  <c r="D62" i="418" a="1"/>
  <c r="D62" i="418" s="1"/>
  <c r="D70" i="418" a="1"/>
  <c r="D70" i="418" s="1"/>
  <c r="E70" i="418" s="1"/>
  <c r="D80" i="418" a="1"/>
  <c r="D80" i="418" s="1"/>
  <c r="E80" i="418" s="1"/>
  <c r="D88" i="418" a="1"/>
  <c r="D88" i="418" s="1"/>
  <c r="D96" i="418" a="1"/>
  <c r="D96" i="418" s="1"/>
  <c r="D104" i="418" a="1"/>
  <c r="D104" i="418" s="1"/>
  <c r="E104" i="418" s="1"/>
  <c r="D112" i="418" a="1"/>
  <c r="D112" i="418" s="1"/>
  <c r="E112" i="418" s="1"/>
  <c r="D120" i="418" a="1"/>
  <c r="D120" i="418" s="1"/>
  <c r="D128" i="418" a="1"/>
  <c r="D128" i="418" s="1"/>
  <c r="E128" i="418" s="1"/>
  <c r="D136" i="418" a="1"/>
  <c r="D136" i="418" s="1"/>
  <c r="D6" i="413"/>
  <c r="D19" i="413" a="1"/>
  <c r="D19" i="413" s="1"/>
  <c r="D32" i="413" a="1"/>
  <c r="D32" i="413" s="1"/>
  <c r="D41" i="413" a="1"/>
  <c r="D41" i="413" s="1"/>
  <c r="D52" i="413" a="1"/>
  <c r="D52" i="413" s="1"/>
  <c r="E52" i="413" s="1"/>
  <c r="D60" i="413" a="1"/>
  <c r="D60" i="413" s="1"/>
  <c r="E60" i="413" s="1"/>
  <c r="D68" i="413" a="1"/>
  <c r="D68" i="413" s="1"/>
  <c r="E68" i="413" s="1"/>
  <c r="D78" i="413" a="1"/>
  <c r="D78" i="413" s="1"/>
  <c r="D86" i="413" a="1"/>
  <c r="D86" i="413" s="1"/>
  <c r="E86" i="413" s="1"/>
  <c r="D94" i="413" a="1"/>
  <c r="D94" i="413" s="1"/>
  <c r="E94" i="413" s="1"/>
  <c r="D102" i="413" a="1"/>
  <c r="D102" i="413" s="1"/>
  <c r="E102" i="413" s="1"/>
  <c r="D110" i="413" a="1"/>
  <c r="D110" i="413" s="1"/>
  <c r="D118" i="413" a="1"/>
  <c r="D118" i="413" s="1"/>
  <c r="E118" i="413" s="1"/>
  <c r="D125" i="413" a="1"/>
  <c r="D125" i="413" s="1"/>
  <c r="E125" i="413" s="1"/>
  <c r="D127" i="413" a="1"/>
  <c r="D127" i="413" s="1"/>
  <c r="E127" i="413" s="1"/>
  <c r="F33" i="404" a="1"/>
  <c r="F33" i="404" s="1"/>
  <c r="G33" i="404" s="1"/>
  <c r="F37" i="404" a="1"/>
  <c r="F37" i="404" s="1"/>
  <c r="F41" i="404" a="1"/>
  <c r="F41" i="404" s="1"/>
  <c r="G41" i="404" s="1"/>
  <c r="H41" i="404" s="1"/>
  <c r="F45" i="404" a="1"/>
  <c r="F45" i="404" s="1"/>
  <c r="F53" i="404" a="1"/>
  <c r="F53" i="404" s="1"/>
  <c r="F59" i="404" a="1"/>
  <c r="F59" i="404" s="1"/>
  <c r="G59" i="404" s="1"/>
  <c r="H59" i="404" s="1"/>
  <c r="F62" i="404" a="1"/>
  <c r="F62" i="404" s="1"/>
  <c r="F65" i="404" a="1"/>
  <c r="F65" i="404" s="1"/>
  <c r="G65" i="404" s="1"/>
  <c r="H65" i="404" s="1"/>
  <c r="F82" i="404" a="1"/>
  <c r="F82" i="404" s="1"/>
  <c r="F86" i="404" a="1"/>
  <c r="F86" i="404" s="1"/>
  <c r="G86" i="404" s="1"/>
  <c r="F90" i="404" a="1"/>
  <c r="F90" i="404" s="1"/>
  <c r="G90" i="404" s="1"/>
  <c r="F93" i="404" a="1"/>
  <c r="F93" i="404" s="1"/>
  <c r="G93" i="404" s="1"/>
  <c r="F100" i="404" a="1"/>
  <c r="F100" i="404" s="1"/>
  <c r="F104" i="404" a="1"/>
  <c r="F104" i="404" s="1"/>
  <c r="G104" i="404" s="1"/>
  <c r="H104" i="404" s="1"/>
  <c r="F108" i="404" a="1"/>
  <c r="F108" i="404" s="1"/>
  <c r="G108" i="404" s="1"/>
  <c r="F112" i="404" a="1"/>
  <c r="F112" i="404" s="1"/>
  <c r="G112" i="404" s="1"/>
  <c r="H112" i="404" s="1"/>
  <c r="F116" i="404" a="1"/>
  <c r="F116" i="404" s="1"/>
  <c r="F120" i="404" a="1"/>
  <c r="F120" i="404" s="1"/>
  <c r="F124" i="404" a="1"/>
  <c r="F124" i="404" s="1"/>
  <c r="G124" i="404" s="1"/>
  <c r="H124" i="404" s="1"/>
  <c r="F128" i="404" a="1"/>
  <c r="F128" i="404" s="1"/>
  <c r="G128" i="404" s="1"/>
  <c r="H128" i="404" s="1"/>
  <c r="F132" i="404" a="1"/>
  <c r="F132" i="404" s="1"/>
  <c r="F136" i="404" a="1"/>
  <c r="F136" i="404" s="1"/>
  <c r="G136" i="404" s="1"/>
  <c r="H136" i="404" s="1"/>
  <c r="F141" i="404" a="1"/>
  <c r="F141" i="404" s="1"/>
  <c r="F145" i="404" a="1"/>
  <c r="F145" i="404" s="1"/>
  <c r="F144" i="404" s="1"/>
  <c r="F155" i="404" a="1"/>
  <c r="F155" i="404" s="1"/>
  <c r="F159" i="404" a="1"/>
  <c r="F159" i="404" s="1"/>
  <c r="G159" i="404" s="1"/>
  <c r="H159" i="404" s="1"/>
  <c r="F163" i="404" a="1"/>
  <c r="F163" i="404" s="1"/>
  <c r="G163" i="404" s="1"/>
  <c r="H163" i="404" s="1"/>
  <c r="F61" i="405" a="1"/>
  <c r="F61" i="405" s="1"/>
  <c r="G61" i="405" s="1"/>
  <c r="F63" i="405" a="1"/>
  <c r="F63" i="405" s="1"/>
  <c r="G63" i="405" s="1"/>
  <c r="F66" i="405" a="1"/>
  <c r="F66" i="405" s="1"/>
  <c r="G66" i="405" s="1"/>
  <c r="F69" i="405" a="1"/>
  <c r="F69" i="405" s="1"/>
  <c r="G69" i="405" s="1"/>
  <c r="F71" i="405" a="1"/>
  <c r="F71" i="405" s="1"/>
  <c r="G71" i="405" s="1"/>
  <c r="I71" i="405" s="1"/>
  <c r="F73" i="405" a="1"/>
  <c r="F73" i="405" s="1"/>
  <c r="G73" i="405" s="1"/>
  <c r="F79" i="405" a="1"/>
  <c r="F79" i="405" s="1"/>
  <c r="G79" i="405" s="1"/>
  <c r="F83" i="405" a="1"/>
  <c r="F83" i="405" s="1"/>
  <c r="G83" i="405" s="1"/>
  <c r="H83" i="405" s="1"/>
  <c r="F87" i="405" a="1"/>
  <c r="F87" i="405" s="1"/>
  <c r="G87" i="405" s="1"/>
  <c r="H87" i="405" s="1"/>
  <c r="F91" i="405" a="1"/>
  <c r="F91" i="405" s="1"/>
  <c r="F95" i="405" a="1"/>
  <c r="F95" i="405" s="1"/>
  <c r="F99" i="405" a="1"/>
  <c r="F99" i="405" s="1"/>
  <c r="G99" i="405" s="1"/>
  <c r="H99" i="405" s="1"/>
  <c r="F104" i="405" a="1"/>
  <c r="F104" i="405" s="1"/>
  <c r="G104" i="405" s="1"/>
  <c r="H104" i="405" s="1"/>
  <c r="F108" i="405" a="1"/>
  <c r="F108" i="405" s="1"/>
  <c r="F112" i="405" a="1"/>
  <c r="F112" i="405" s="1"/>
  <c r="G112" i="405" s="1"/>
  <c r="H112" i="405" s="1"/>
  <c r="F116" i="405" a="1"/>
  <c r="F116" i="405" s="1"/>
  <c r="G116" i="405" s="1"/>
  <c r="H116" i="405" s="1"/>
  <c r="F120" i="405" a="1"/>
  <c r="F120" i="405" s="1"/>
  <c r="F124" i="405" a="1"/>
  <c r="F124" i="405" s="1"/>
  <c r="G124" i="405" s="1"/>
  <c r="F127" i="405" a="1"/>
  <c r="F127" i="405" s="1"/>
  <c r="G127" i="405" s="1"/>
  <c r="H127" i="405" s="1"/>
  <c r="F131" i="405" a="1"/>
  <c r="F131" i="405" s="1"/>
  <c r="F135" i="405" a="1"/>
  <c r="F135" i="405" s="1"/>
  <c r="F142" i="405" a="1"/>
  <c r="F142" i="405" s="1"/>
  <c r="F156" i="405" a="1"/>
  <c r="F156" i="405" s="1"/>
  <c r="G156" i="405" s="1"/>
  <c r="H156" i="405" s="1"/>
  <c r="F163" i="388" a="1"/>
  <c r="F163" i="388" s="1"/>
  <c r="G163" i="388" s="1"/>
  <c r="H163" i="388" s="1"/>
  <c r="F158" i="388" a="1"/>
  <c r="F158" i="388" s="1"/>
  <c r="F141" i="388" a="1"/>
  <c r="F141" i="388" s="1"/>
  <c r="F136" i="388" a="1"/>
  <c r="F136" i="388" s="1"/>
  <c r="G136" i="388" s="1"/>
  <c r="F132" i="388" a="1"/>
  <c r="F132" i="388" s="1"/>
  <c r="G132" i="388" s="1"/>
  <c r="H132" i="388" s="1"/>
  <c r="F128" i="388" a="1"/>
  <c r="F128" i="388" s="1"/>
  <c r="G128" i="388" s="1"/>
  <c r="H128" i="388" s="1"/>
  <c r="F125" i="388" a="1"/>
  <c r="F125" i="388" s="1"/>
  <c r="G125" i="388" s="1"/>
  <c r="I125" i="388" s="1"/>
  <c r="F12" i="388" a="1"/>
  <c r="F12" i="388" s="1"/>
  <c r="G12" i="388" s="1"/>
  <c r="H12" i="388" s="1"/>
  <c r="F17" i="388" a="1"/>
  <c r="F17" i="388" s="1"/>
  <c r="F20" i="388" a="1"/>
  <c r="F20" i="388" s="1"/>
  <c r="F31" i="388" a="1"/>
  <c r="F31" i="388" s="1"/>
  <c r="F29" i="388" s="1"/>
  <c r="F27" i="388" s="1"/>
  <c r="F35" i="388" a="1"/>
  <c r="F35" i="388" s="1"/>
  <c r="F32" i="388" s="1"/>
  <c r="F44" i="388" a="1"/>
  <c r="F44" i="388" s="1"/>
  <c r="F55" i="388" a="1"/>
  <c r="F55" i="388" s="1"/>
  <c r="G55" i="388" s="1"/>
  <c r="F57" i="388" a="1"/>
  <c r="F57" i="388" s="1"/>
  <c r="F60" i="388" a="1"/>
  <c r="F60" i="388" s="1"/>
  <c r="G60" i="388" s="1"/>
  <c r="F63" i="388" a="1"/>
  <c r="F63" i="388" s="1"/>
  <c r="F81" i="388" a="1"/>
  <c r="F81" i="388" s="1"/>
  <c r="G81" i="388" s="1"/>
  <c r="H81" i="388" s="1"/>
  <c r="F83" i="388" a="1"/>
  <c r="F83" i="388" s="1"/>
  <c r="F85" i="388" a="1"/>
  <c r="F85" i="388" s="1"/>
  <c r="G85" i="388" s="1"/>
  <c r="F87" i="388" a="1"/>
  <c r="F87" i="388" s="1"/>
  <c r="F92" i="388" a="1"/>
  <c r="F92" i="388" s="1"/>
  <c r="G92" i="388" s="1"/>
  <c r="H92" i="388" s="1"/>
  <c r="F99" i="388" a="1"/>
  <c r="F99" i="388" s="1"/>
  <c r="F101" i="388" a="1"/>
  <c r="F101" i="388" s="1"/>
  <c r="G101" i="388" s="1"/>
  <c r="H101" i="388" s="1"/>
  <c r="F107" i="388" a="1"/>
  <c r="F107" i="388" s="1"/>
  <c r="G107" i="388" s="1"/>
  <c r="H107" i="388" s="1"/>
  <c r="F110" i="388" a="1"/>
  <c r="F110" i="388" s="1"/>
  <c r="G110" i="388" s="1"/>
  <c r="F118" i="388" a="1"/>
  <c r="F118" i="388" s="1"/>
  <c r="G118" i="388" s="1"/>
  <c r="F133" i="388" a="1"/>
  <c r="F133" i="388" s="1"/>
  <c r="G133" i="388" s="1"/>
  <c r="H133" i="388" s="1"/>
  <c r="F135" i="388" a="1"/>
  <c r="F135" i="388" s="1"/>
  <c r="G135" i="388" s="1"/>
  <c r="H135" i="388" s="1"/>
  <c r="F162" i="388" a="1"/>
  <c r="F162" i="388" s="1"/>
  <c r="G162" i="388" s="1"/>
  <c r="I162" i="388" s="1"/>
  <c r="D6" i="418"/>
  <c r="D19" i="418" a="1"/>
  <c r="D19" i="418" s="1"/>
  <c r="E19" i="418" s="1"/>
  <c r="D32" i="418" a="1"/>
  <c r="D32" i="418" s="1"/>
  <c r="D41" i="418" a="1"/>
  <c r="D41" i="418" s="1"/>
  <c r="D52" i="418" a="1"/>
  <c r="D52" i="418" s="1"/>
  <c r="D60" i="418" a="1"/>
  <c r="D60" i="418" s="1"/>
  <c r="E60" i="418" s="1"/>
  <c r="D68" i="418" a="1"/>
  <c r="D68" i="418" s="1"/>
  <c r="D78" i="418" a="1"/>
  <c r="D78" i="418" s="1"/>
  <c r="E78" i="418" s="1"/>
  <c r="D86" i="418" a="1"/>
  <c r="D86" i="418" s="1"/>
  <c r="D94" i="418" a="1"/>
  <c r="D94" i="418" s="1"/>
  <c r="E94" i="418" s="1"/>
  <c r="D102" i="418" a="1"/>
  <c r="D102" i="418" s="1"/>
  <c r="E102" i="418" s="1"/>
  <c r="D110" i="418" a="1"/>
  <c r="D110" i="418" s="1"/>
  <c r="E110" i="418" s="1"/>
  <c r="D118" i="418" a="1"/>
  <c r="D118" i="418" s="1"/>
  <c r="E118" i="418" s="1"/>
  <c r="D126" i="418" a="1"/>
  <c r="D126" i="418" s="1"/>
  <c r="E126" i="418" s="1"/>
  <c r="D134" i="418" a="1"/>
  <c r="D134" i="418" s="1"/>
  <c r="E134" i="418" s="1"/>
  <c r="D17" i="413" a="1"/>
  <c r="D17" i="413" s="1"/>
  <c r="D29" i="413" a="1"/>
  <c r="D29" i="413" s="1"/>
  <c r="D39" i="413" a="1"/>
  <c r="D39" i="413" s="1"/>
  <c r="D50" i="413" a="1"/>
  <c r="D50" i="413" s="1"/>
  <c r="E50" i="413" s="1"/>
  <c r="D58" i="413" a="1"/>
  <c r="D58" i="413" s="1"/>
  <c r="E58" i="413" s="1"/>
  <c r="D66" i="413" a="1"/>
  <c r="D66" i="413" s="1"/>
  <c r="E66" i="413" s="1"/>
  <c r="D76" i="413" a="1"/>
  <c r="D76" i="413" s="1"/>
  <c r="E76" i="413" s="1"/>
  <c r="D84" i="413" a="1"/>
  <c r="D84" i="413" s="1"/>
  <c r="D92" i="413" a="1"/>
  <c r="D92" i="413" s="1"/>
  <c r="E92" i="413" s="1"/>
  <c r="D100" i="413" a="1"/>
  <c r="D100" i="413" s="1"/>
  <c r="D108" i="413" a="1"/>
  <c r="D108" i="413" s="1"/>
  <c r="E108" i="413" s="1"/>
  <c r="D116" i="413" a="1"/>
  <c r="D116" i="413" s="1"/>
  <c r="E116" i="413" s="1"/>
  <c r="D129" i="413" a="1"/>
  <c r="D129" i="413" s="1"/>
  <c r="E129" i="413" s="1"/>
  <c r="D131" i="413" a="1"/>
  <c r="D131" i="413" s="1"/>
  <c r="D133" i="413" a="1"/>
  <c r="D133" i="413" s="1"/>
  <c r="E133" i="413" s="1"/>
  <c r="D135" i="413" a="1"/>
  <c r="D135" i="413" s="1"/>
  <c r="E135" i="413" s="1"/>
  <c r="F103" i="388" a="1"/>
  <c r="F103" i="388" s="1"/>
  <c r="G103" i="388" s="1"/>
  <c r="I103" i="388" s="1"/>
  <c r="F106" i="388" a="1"/>
  <c r="F106" i="388" s="1"/>
  <c r="F112" i="388" a="1"/>
  <c r="F112" i="388" s="1"/>
  <c r="G112" i="388" s="1"/>
  <c r="F114" i="388" a="1"/>
  <c r="F114" i="388" s="1"/>
  <c r="G114" i="388" s="1"/>
  <c r="I114" i="388" s="1"/>
  <c r="F117" i="388" a="1"/>
  <c r="F117" i="388" s="1"/>
  <c r="G117" i="388" s="1"/>
  <c r="H117" i="388" s="1"/>
  <c r="F120" i="388" a="1"/>
  <c r="F120" i="388" s="1"/>
  <c r="G120" i="388" s="1"/>
  <c r="F123" i="388" a="1"/>
  <c r="F123" i="388" s="1"/>
  <c r="F129" i="388" a="1"/>
  <c r="F129" i="388" s="1"/>
  <c r="G129" i="388" s="1"/>
  <c r="H129" i="388" s="1"/>
  <c r="F131" i="388" a="1"/>
  <c r="F131" i="388" s="1"/>
  <c r="G131" i="388" s="1"/>
  <c r="H131" i="388" s="1"/>
  <c r="F134" i="388" a="1"/>
  <c r="F134" i="388" s="1"/>
  <c r="F142" i="388" a="1"/>
  <c r="F142" i="388" s="1"/>
  <c r="G142" i="388" s="1"/>
  <c r="H142" i="388" s="1"/>
  <c r="F143" i="388" a="1"/>
  <c r="F143" i="388" s="1"/>
  <c r="E143" i="388" s="1"/>
  <c r="E139" i="388" s="1"/>
  <c r="F145" i="388" a="1"/>
  <c r="F145" i="388" s="1"/>
  <c r="F155" i="388" a="1"/>
  <c r="F155" i="388" s="1"/>
  <c r="G155" i="388" s="1"/>
  <c r="F157" i="388" a="1"/>
  <c r="F157" i="388" s="1"/>
  <c r="G157" i="388" s="1"/>
  <c r="D17" i="418" a="1"/>
  <c r="D17" i="418" s="1"/>
  <c r="D29" i="418" a="1"/>
  <c r="D29" i="418" s="1"/>
  <c r="D28" i="418" s="1"/>
  <c r="D39" i="418" a="1"/>
  <c r="D39" i="418" s="1"/>
  <c r="D50" i="418" a="1"/>
  <c r="D50" i="418" s="1"/>
  <c r="E50" i="418" s="1"/>
  <c r="D58" i="418" a="1"/>
  <c r="D58" i="418" s="1"/>
  <c r="E58" i="418" s="1"/>
  <c r="D66" i="418" a="1"/>
  <c r="D66" i="418" s="1"/>
  <c r="E66" i="418" s="1"/>
  <c r="D76" i="418" a="1"/>
  <c r="D76" i="418" s="1"/>
  <c r="D84" i="418" a="1"/>
  <c r="D84" i="418" s="1"/>
  <c r="E84" i="418" s="1"/>
  <c r="D92" i="418" a="1"/>
  <c r="D92" i="418" s="1"/>
  <c r="E92" i="418" s="1"/>
  <c r="D100" i="418" a="1"/>
  <c r="D100" i="418" s="1"/>
  <c r="E100" i="418" s="1"/>
  <c r="D108" i="418" a="1"/>
  <c r="D108" i="418" s="1"/>
  <c r="E108" i="418" s="1"/>
  <c r="D116" i="418" a="1"/>
  <c r="D116" i="418" s="1"/>
  <c r="E116" i="418" s="1"/>
  <c r="D124" i="418" a="1"/>
  <c r="D124" i="418" s="1"/>
  <c r="E124" i="418" s="1"/>
  <c r="D132" i="418" a="1"/>
  <c r="D132" i="418" s="1"/>
  <c r="E132" i="418" s="1"/>
  <c r="D123" i="413" a="1"/>
  <c r="D123" i="413" s="1"/>
  <c r="E123" i="413" s="1"/>
  <c r="D121" i="413" a="1"/>
  <c r="D121" i="413" s="1"/>
  <c r="E121" i="413" s="1"/>
  <c r="D119" i="413" a="1"/>
  <c r="D119" i="413" s="1"/>
  <c r="D117" i="413" a="1"/>
  <c r="D117" i="413" s="1"/>
  <c r="E117" i="413" s="1"/>
  <c r="D115" i="413" a="1"/>
  <c r="D115" i="413" s="1"/>
  <c r="D113" i="413" a="1"/>
  <c r="D113" i="413" s="1"/>
  <c r="E113" i="413" s="1"/>
  <c r="D111" i="413" a="1"/>
  <c r="D111" i="413" s="1"/>
  <c r="E111" i="413" s="1"/>
  <c r="D109" i="413" a="1"/>
  <c r="D109" i="413" s="1"/>
  <c r="E109" i="413" s="1"/>
  <c r="D107" i="413" a="1"/>
  <c r="D107" i="413" s="1"/>
  <c r="E107" i="413" s="1"/>
  <c r="D105" i="413" a="1"/>
  <c r="D105" i="413" s="1"/>
  <c r="E105" i="413" s="1"/>
  <c r="D103" i="413" a="1"/>
  <c r="D103" i="413" s="1"/>
  <c r="E103" i="413" s="1"/>
  <c r="D101" i="413" a="1"/>
  <c r="D101" i="413" s="1"/>
  <c r="E101" i="413" s="1"/>
  <c r="D99" i="413" a="1"/>
  <c r="D99" i="413" s="1"/>
  <c r="E99" i="413" s="1"/>
  <c r="D97" i="413" a="1"/>
  <c r="D97" i="413" s="1"/>
  <c r="E97" i="413" s="1"/>
  <c r="D95" i="413" a="1"/>
  <c r="D95" i="413" s="1"/>
  <c r="E95" i="413" s="1"/>
  <c r="D93" i="413" a="1"/>
  <c r="D93" i="413" s="1"/>
  <c r="E93" i="413" s="1"/>
  <c r="D91" i="413" a="1"/>
  <c r="D91" i="413" s="1"/>
  <c r="E91" i="413" s="1"/>
  <c r="D89" i="413" a="1"/>
  <c r="D89" i="413" s="1"/>
  <c r="E89" i="413" s="1"/>
  <c r="D87" i="413" a="1"/>
  <c r="D87" i="413" s="1"/>
  <c r="D85" i="413" a="1"/>
  <c r="D85" i="413" s="1"/>
  <c r="E85" i="413" s="1"/>
  <c r="D83" i="413" a="1"/>
  <c r="D83" i="413" s="1"/>
  <c r="E83" i="413" s="1"/>
  <c r="D81" i="413" a="1"/>
  <c r="D81" i="413" s="1"/>
  <c r="E81" i="413" s="1"/>
  <c r="D79" i="413" a="1"/>
  <c r="D79" i="413" s="1"/>
  <c r="E79" i="413" s="1"/>
  <c r="D77" i="413" a="1"/>
  <c r="D77" i="413" s="1"/>
  <c r="D75" i="413" a="1"/>
  <c r="D75" i="413" s="1"/>
  <c r="E75" i="413" s="1"/>
  <c r="D71" i="413" a="1"/>
  <c r="D71" i="413" s="1"/>
  <c r="D69" i="413" a="1"/>
  <c r="D69" i="413" s="1"/>
  <c r="E69" i="413" s="1"/>
  <c r="D67" i="413" a="1"/>
  <c r="D67" i="413" s="1"/>
  <c r="E67" i="413" s="1"/>
  <c r="D65" i="413" a="1"/>
  <c r="D65" i="413" s="1"/>
  <c r="E65" i="413" s="1"/>
  <c r="D63" i="413" a="1"/>
  <c r="D63" i="413" s="1"/>
  <c r="E63" i="413" s="1"/>
  <c r="D61" i="413" a="1"/>
  <c r="D61" i="413" s="1"/>
  <c r="E61" i="413" s="1"/>
  <c r="D59" i="413" a="1"/>
  <c r="D59" i="413" s="1"/>
  <c r="E59" i="413" s="1"/>
  <c r="D57" i="413" a="1"/>
  <c r="D57" i="413" s="1"/>
  <c r="E57" i="413" s="1"/>
  <c r="D55" i="413" a="1"/>
  <c r="D55" i="413" s="1"/>
  <c r="E55" i="413" s="1"/>
  <c r="D53" i="413" a="1"/>
  <c r="D53" i="413" s="1"/>
  <c r="D51" i="413" a="1"/>
  <c r="D51" i="413" s="1"/>
  <c r="E51" i="413" s="1"/>
  <c r="D49" i="413" a="1"/>
  <c r="D49" i="413" s="1"/>
  <c r="E49" i="413" s="1"/>
  <c r="D44" i="413" a="1"/>
  <c r="D44" i="413" s="1"/>
  <c r="D42" i="413" a="1"/>
  <c r="D42" i="413" s="1"/>
  <c r="E42" i="413" s="1"/>
  <c r="D40" i="413" a="1"/>
  <c r="D40" i="413" s="1"/>
  <c r="E40" i="413" s="1"/>
  <c r="D38" i="413" a="1"/>
  <c r="D38" i="413" s="1"/>
  <c r="D36" i="413" a="1"/>
  <c r="D36" i="413" s="1"/>
  <c r="E36" i="413" s="1"/>
  <c r="D33" i="413" a="1"/>
  <c r="D33" i="413" s="1"/>
  <c r="E33" i="413" s="1"/>
  <c r="D30" i="413" a="1"/>
  <c r="D30" i="413" s="1"/>
  <c r="E30" i="413" s="1"/>
  <c r="D27" i="413" a="1"/>
  <c r="D27" i="413" s="1"/>
  <c r="E27" i="413" s="1"/>
  <c r="D24" i="413" a="1"/>
  <c r="D24" i="413" s="1"/>
  <c r="E24" i="413" s="1"/>
  <c r="D21" i="413" a="1"/>
  <c r="D21" i="413" s="1"/>
  <c r="E21" i="413" s="1"/>
  <c r="D18" i="413" a="1"/>
  <c r="D18" i="413" s="1"/>
  <c r="E18" i="413" s="1"/>
  <c r="D15" i="413" a="1"/>
  <c r="D15" i="413" s="1"/>
  <c r="E15" i="413" s="1"/>
  <c r="D13" i="413" a="1"/>
  <c r="D13" i="413" s="1"/>
  <c r="E13" i="413" s="1"/>
  <c r="D14" i="413" a="1"/>
  <c r="D14" i="413" s="1"/>
  <c r="E14" i="413" s="1"/>
  <c r="D25" i="413" a="1"/>
  <c r="D25" i="413" s="1"/>
  <c r="E25" i="413" s="1"/>
  <c r="D37" i="413" a="1"/>
  <c r="D37" i="413" s="1"/>
  <c r="D48" i="413" a="1"/>
  <c r="D48" i="413" s="1"/>
  <c r="E48" i="413" s="1"/>
  <c r="D56" i="413" a="1"/>
  <c r="D56" i="413" s="1"/>
  <c r="E56" i="413" s="1"/>
  <c r="D64" i="413" a="1"/>
  <c r="D64" i="413" s="1"/>
  <c r="E64" i="413" s="1"/>
  <c r="D72" i="413" a="1"/>
  <c r="D72" i="413" s="1"/>
  <c r="E72" i="413" s="1"/>
  <c r="D82" i="413" a="1"/>
  <c r="D82" i="413" s="1"/>
  <c r="E82" i="413" s="1"/>
  <c r="D90" i="413" a="1"/>
  <c r="D90" i="413" s="1"/>
  <c r="E90" i="413" s="1"/>
  <c r="D98" i="413" a="1"/>
  <c r="D98" i="413" s="1"/>
  <c r="E98" i="413" s="1"/>
  <c r="D106" i="413" a="1"/>
  <c r="D106" i="413" s="1"/>
  <c r="E106" i="413" s="1"/>
  <c r="D114" i="413" a="1"/>
  <c r="D114" i="413" s="1"/>
  <c r="E114" i="413" s="1"/>
  <c r="D122" i="413" a="1"/>
  <c r="D122" i="413" s="1"/>
  <c r="E122" i="413" s="1"/>
  <c r="D124" i="413" a="1"/>
  <c r="D124" i="413" s="1"/>
  <c r="D126" i="413" a="1"/>
  <c r="D126" i="413" s="1"/>
  <c r="E126" i="413" s="1"/>
  <c r="D72" i="416" a="1"/>
  <c r="D72" i="416" s="1"/>
  <c r="E72" i="416" s="1"/>
  <c r="D76" i="416" a="1"/>
  <c r="D76" i="416" s="1"/>
  <c r="D78" i="416" a="1"/>
  <c r="D78" i="416" s="1"/>
  <c r="E78" i="416" s="1"/>
  <c r="D80" i="416" a="1"/>
  <c r="D80" i="416" s="1"/>
  <c r="D82" i="416" a="1"/>
  <c r="D82" i="416" s="1"/>
  <c r="E82" i="416" s="1"/>
  <c r="D84" i="416" a="1"/>
  <c r="D84" i="416" s="1"/>
  <c r="E84" i="416" s="1"/>
  <c r="D86" i="416" a="1"/>
  <c r="D86" i="416" s="1"/>
  <c r="E86" i="416" s="1"/>
  <c r="D88" i="416" a="1"/>
  <c r="D88" i="416" s="1"/>
  <c r="D90" i="416" a="1"/>
  <c r="D90" i="416" s="1"/>
  <c r="E90" i="416" s="1"/>
  <c r="D92" i="416" a="1"/>
  <c r="D92" i="416" s="1"/>
  <c r="E92" i="416" s="1"/>
  <c r="D94" i="416" a="1"/>
  <c r="D94" i="416" s="1"/>
  <c r="D96" i="416" a="1"/>
  <c r="D96" i="416" s="1"/>
  <c r="E96" i="416" s="1"/>
  <c r="D98" i="416" a="1"/>
  <c r="D98" i="416" s="1"/>
  <c r="E98" i="416" s="1"/>
  <c r="D100" i="416" a="1"/>
  <c r="D100" i="416" s="1"/>
  <c r="E100" i="416" s="1"/>
  <c r="D102" i="416" a="1"/>
  <c r="D102" i="416" s="1"/>
  <c r="D104" i="416" a="1"/>
  <c r="D104" i="416" s="1"/>
  <c r="E104" i="416" s="1"/>
  <c r="D106" i="416" a="1"/>
  <c r="D106" i="416" s="1"/>
  <c r="E106" i="416" s="1"/>
  <c r="D108" i="416" a="1"/>
  <c r="D108" i="416" s="1"/>
  <c r="D110" i="416" a="1"/>
  <c r="D110" i="416" s="1"/>
  <c r="D112" i="416" a="1"/>
  <c r="D112" i="416" s="1"/>
  <c r="E112" i="416" s="1"/>
  <c r="D114" i="416" a="1"/>
  <c r="D114" i="416" s="1"/>
  <c r="D116" i="416" a="1"/>
  <c r="D116" i="416" s="1"/>
  <c r="E116" i="416" s="1"/>
  <c r="D118" i="416" a="1"/>
  <c r="D118" i="416" s="1"/>
  <c r="E118" i="416" s="1"/>
  <c r="D120" i="416" a="1"/>
  <c r="D120" i="416" s="1"/>
  <c r="D122" i="416" a="1"/>
  <c r="D122" i="416" s="1"/>
  <c r="E122" i="416" s="1"/>
  <c r="D124" i="416" a="1"/>
  <c r="D124" i="416" s="1"/>
  <c r="E124" i="416" s="1"/>
  <c r="D126" i="416" a="1"/>
  <c r="D126" i="416" s="1"/>
  <c r="E126" i="416" s="1"/>
  <c r="D128" i="416" a="1"/>
  <c r="D128" i="416" s="1"/>
  <c r="E128" i="416" s="1"/>
  <c r="D130" i="416" a="1"/>
  <c r="D130" i="416" s="1"/>
  <c r="E130" i="416" s="1"/>
  <c r="D132" i="416" a="1"/>
  <c r="D132" i="416" s="1"/>
  <c r="E132" i="416" s="1"/>
  <c r="D134" i="416" a="1"/>
  <c r="D134" i="416" s="1"/>
  <c r="D136" i="416" a="1"/>
  <c r="D136" i="416" s="1"/>
  <c r="E136" i="416" s="1"/>
  <c r="D11" i="417" a="1"/>
  <c r="D11" i="417" s="1"/>
  <c r="E11" i="417" s="1"/>
  <c r="D14" i="417" a="1"/>
  <c r="D14" i="417" s="1"/>
  <c r="E14" i="417" s="1"/>
  <c r="D17" i="417" a="1"/>
  <c r="D17" i="417" s="1"/>
  <c r="E17" i="417" s="1"/>
  <c r="D19" i="417" a="1"/>
  <c r="D19" i="417" s="1"/>
  <c r="E19" i="417" s="1"/>
  <c r="D23" i="417" a="1"/>
  <c r="D23" i="417" s="1"/>
  <c r="D25" i="417" a="1"/>
  <c r="D25" i="417" s="1"/>
  <c r="E25" i="417" s="1"/>
  <c r="D29" i="417" a="1"/>
  <c r="D29" i="417" s="1"/>
  <c r="E29" i="417" s="1"/>
  <c r="D32" i="417" a="1"/>
  <c r="D32" i="417" s="1"/>
  <c r="E32" i="417" s="1"/>
  <c r="D34" i="417" a="1"/>
  <c r="D34" i="417" s="1"/>
  <c r="E34" i="417" s="1"/>
  <c r="D37" i="417" a="1"/>
  <c r="D37" i="417" s="1"/>
  <c r="D39" i="417" a="1"/>
  <c r="D39" i="417" s="1"/>
  <c r="E39" i="417" s="1"/>
  <c r="D41" i="417" a="1"/>
  <c r="D41" i="417" s="1"/>
  <c r="E41" i="417" s="1"/>
  <c r="D43" i="417" a="1"/>
  <c r="D43" i="417" s="1"/>
  <c r="E43" i="417" s="1"/>
  <c r="D48" i="417" a="1"/>
  <c r="D48" i="417" s="1"/>
  <c r="E48" i="417" s="1"/>
  <c r="D50" i="417" a="1"/>
  <c r="D50" i="417" s="1"/>
  <c r="E50" i="417" s="1"/>
  <c r="D52" i="417" a="1"/>
  <c r="D52" i="417" s="1"/>
  <c r="E52" i="417" s="1"/>
  <c r="D54" i="417" a="1"/>
  <c r="D54" i="417" s="1"/>
  <c r="E54" i="417" s="1"/>
  <c r="D56" i="417" a="1"/>
  <c r="D56" i="417" s="1"/>
  <c r="D58" i="417" a="1"/>
  <c r="D58" i="417" s="1"/>
  <c r="E58" i="417" s="1"/>
  <c r="D60" i="417" a="1"/>
  <c r="D60" i="417" s="1"/>
  <c r="E60" i="417" s="1"/>
  <c r="D62" i="417" a="1"/>
  <c r="D62" i="417" s="1"/>
  <c r="E62" i="417" s="1"/>
  <c r="D64" i="417" a="1"/>
  <c r="D64" i="417" s="1"/>
  <c r="E64" i="417" s="1"/>
  <c r="D66" i="417" a="1"/>
  <c r="D66" i="417" s="1"/>
  <c r="E66" i="417" s="1"/>
  <c r="D68" i="417" a="1"/>
  <c r="D68" i="417" s="1"/>
  <c r="D70" i="417" a="1"/>
  <c r="D70" i="417" s="1"/>
  <c r="E70" i="417" s="1"/>
  <c r="D72" i="417" a="1"/>
  <c r="D72" i="417" s="1"/>
  <c r="D76" i="417" a="1"/>
  <c r="D76" i="417" s="1"/>
  <c r="E76" i="417" s="1"/>
  <c r="D78" i="417" a="1"/>
  <c r="D78" i="417" s="1"/>
  <c r="E78" i="417" s="1"/>
  <c r="D80" i="417" a="1"/>
  <c r="D80" i="417" s="1"/>
  <c r="E80" i="417" s="1"/>
  <c r="D82" i="417" a="1"/>
  <c r="D82" i="417" s="1"/>
  <c r="E82" i="417" s="1"/>
  <c r="D84" i="417" a="1"/>
  <c r="D84" i="417" s="1"/>
  <c r="E84" i="417" s="1"/>
  <c r="D86" i="417" a="1"/>
  <c r="D86" i="417" s="1"/>
  <c r="E86" i="417" s="1"/>
  <c r="D88" i="417" a="1"/>
  <c r="D88" i="417" s="1"/>
  <c r="E88" i="417" s="1"/>
  <c r="D90" i="417" a="1"/>
  <c r="D90" i="417" s="1"/>
  <c r="E90" i="417" s="1"/>
  <c r="D92" i="417" a="1"/>
  <c r="D92" i="417" s="1"/>
  <c r="E92" i="417" s="1"/>
  <c r="D94" i="417" a="1"/>
  <c r="D94" i="417" s="1"/>
  <c r="E94" i="417" s="1"/>
  <c r="D96" i="417" a="1"/>
  <c r="D96" i="417" s="1"/>
  <c r="E96" i="417" s="1"/>
  <c r="D98" i="417" a="1"/>
  <c r="D98" i="417" s="1"/>
  <c r="D100" i="417" a="1"/>
  <c r="D100" i="417" s="1"/>
  <c r="E100" i="417" s="1"/>
  <c r="D102" i="417" a="1"/>
  <c r="D102" i="417" s="1"/>
  <c r="D104" i="417" a="1"/>
  <c r="D104" i="417" s="1"/>
  <c r="E104" i="417" s="1"/>
  <c r="D106" i="417" a="1"/>
  <c r="D106" i="417" s="1"/>
  <c r="D108" i="417" a="1"/>
  <c r="D108" i="417" s="1"/>
  <c r="E108" i="417" s="1"/>
  <c r="D110" i="417" a="1"/>
  <c r="D110" i="417" s="1"/>
  <c r="E110" i="417" s="1"/>
  <c r="D112" i="417" a="1"/>
  <c r="D112" i="417" s="1"/>
  <c r="E112" i="417" s="1"/>
  <c r="D114" i="417" a="1"/>
  <c r="D114" i="417" s="1"/>
  <c r="E114" i="417" s="1"/>
  <c r="D116" i="417" a="1"/>
  <c r="D116" i="417" s="1"/>
  <c r="D118" i="417" a="1"/>
  <c r="D118" i="417" s="1"/>
  <c r="E118" i="417" s="1"/>
  <c r="D120" i="417" a="1"/>
  <c r="D120" i="417" s="1"/>
  <c r="E120" i="417" s="1"/>
  <c r="D122" i="417" a="1"/>
  <c r="D122" i="417" s="1"/>
  <c r="E122" i="417" s="1"/>
  <c r="D124" i="417" a="1"/>
  <c r="D124" i="417" s="1"/>
  <c r="E124" i="417" s="1"/>
  <c r="D126" i="417" a="1"/>
  <c r="D126" i="417" s="1"/>
  <c r="E126" i="417" s="1"/>
  <c r="D128" i="417" a="1"/>
  <c r="D128" i="417" s="1"/>
  <c r="E128" i="417" s="1"/>
  <c r="D130" i="417" a="1"/>
  <c r="D130" i="417" s="1"/>
  <c r="E130" i="417" s="1"/>
  <c r="D132" i="417" a="1"/>
  <c r="D132" i="417" s="1"/>
  <c r="E132" i="417" s="1"/>
  <c r="D134" i="417" a="1"/>
  <c r="D134" i="417" s="1"/>
  <c r="D136" i="417" a="1"/>
  <c r="D136" i="417" s="1"/>
  <c r="E136" i="417" s="1"/>
  <c r="D6" i="412"/>
  <c r="E160" i="365" a="1"/>
  <c r="E160" i="365"/>
  <c r="E158" i="365" a="1"/>
  <c r="E158" i="365"/>
  <c r="E156" i="365" a="1"/>
  <c r="E156" i="365" s="1"/>
  <c r="E149" i="365" a="1"/>
  <c r="E149" i="365" s="1"/>
  <c r="E147" i="365" a="1"/>
  <c r="E147" i="365"/>
  <c r="E145" i="365" a="1"/>
  <c r="E145" i="365"/>
  <c r="E143" i="365" a="1"/>
  <c r="E143" i="365"/>
  <c r="E139" i="365" a="1"/>
  <c r="E139" i="365"/>
  <c r="E135" i="365" a="1"/>
  <c r="E135" i="365"/>
  <c r="E133" i="365" a="1"/>
  <c r="E133" i="365"/>
  <c r="E166" i="365" a="1"/>
  <c r="E166" i="365" s="1"/>
  <c r="E78" i="365" a="1"/>
  <c r="E78" i="365" s="1"/>
  <c r="E74" i="365" a="1"/>
  <c r="E74" i="365"/>
  <c r="E72" i="365" a="1"/>
  <c r="E72" i="365"/>
  <c r="E68" i="365" a="1"/>
  <c r="E68" i="365"/>
  <c r="E66" i="365" a="1"/>
  <c r="E66" i="365"/>
  <c r="E64" i="365" a="1"/>
  <c r="E64" i="365"/>
  <c r="E62" i="365" a="1"/>
  <c r="E62" i="365"/>
  <c r="E60" i="365" a="1"/>
  <c r="E60" i="365" s="1"/>
  <c r="E58" i="365" a="1"/>
  <c r="E58" i="365" s="1"/>
  <c r="E56" i="365" a="1"/>
  <c r="E56" i="365"/>
  <c r="E159" i="365" a="1"/>
  <c r="E159" i="365"/>
  <c r="E157" i="365" a="1"/>
  <c r="E157" i="365"/>
  <c r="E155" i="365" a="1"/>
  <c r="E155" i="365"/>
  <c r="E150" i="365" a="1"/>
  <c r="E150" i="365"/>
  <c r="E148" i="365" a="1"/>
  <c r="E148" i="365" s="1"/>
  <c r="E144" i="365" a="1"/>
  <c r="E144" i="365" s="1"/>
  <c r="E142" i="365" a="1"/>
  <c r="E142" i="365" s="1"/>
  <c r="E140" i="365" a="1"/>
  <c r="E140" i="365"/>
  <c r="E138" i="365" a="1"/>
  <c r="E138" i="365"/>
  <c r="E136" i="365" a="1"/>
  <c r="E136" i="365"/>
  <c r="E132" i="365" a="1"/>
  <c r="E132" i="365"/>
  <c r="E130" i="365" a="1"/>
  <c r="E130" i="365" s="1"/>
  <c r="E79" i="365" a="1"/>
  <c r="E79" i="365" s="1"/>
  <c r="E75" i="365" a="1"/>
  <c r="E75" i="365" s="1"/>
  <c r="E73" i="365" a="1"/>
  <c r="E73" i="365" s="1"/>
  <c r="E71" i="365" a="1"/>
  <c r="E71" i="365"/>
  <c r="E69" i="365" a="1"/>
  <c r="E69" i="365"/>
  <c r="E67" i="365" a="1"/>
  <c r="E67" i="365"/>
  <c r="E63" i="365" a="1"/>
  <c r="E63" i="365" s="1"/>
  <c r="E61" i="365" a="1"/>
  <c r="E61" i="365" s="1"/>
  <c r="E59" i="365" a="1"/>
  <c r="E59" i="365" s="1"/>
  <c r="E57" i="365" a="1"/>
  <c r="E57" i="365" s="1"/>
  <c r="E55" i="365" a="1"/>
  <c r="E55" i="365" s="1"/>
  <c r="E53" i="365" a="1"/>
  <c r="E53" i="365"/>
  <c r="I160" i="365" a="1"/>
  <c r="I160" i="365"/>
  <c r="I158" i="365" a="1"/>
  <c r="I158" i="365"/>
  <c r="I156" i="365" a="1"/>
  <c r="I156" i="365" s="1"/>
  <c r="I149" i="365" a="1"/>
  <c r="I149" i="365" s="1"/>
  <c r="I147" i="365" a="1"/>
  <c r="I147" i="365" s="1"/>
  <c r="I145" i="365" a="1"/>
  <c r="I145" i="365" s="1"/>
  <c r="I143" i="365" a="1"/>
  <c r="I143" i="365" s="1"/>
  <c r="I139" i="365" a="1"/>
  <c r="I139" i="365"/>
  <c r="I135" i="365" a="1"/>
  <c r="I135" i="365"/>
  <c r="I133" i="365" a="1"/>
  <c r="I133" i="365"/>
  <c r="I131" i="365" a="1"/>
  <c r="I131" i="365" s="1"/>
  <c r="I166" i="365" a="1"/>
  <c r="I166" i="365" s="1"/>
  <c r="I78" i="365" a="1"/>
  <c r="I78" i="365" s="1"/>
  <c r="I74" i="365" a="1"/>
  <c r="I74" i="365" s="1"/>
  <c r="I72" i="365" a="1"/>
  <c r="I72" i="365" s="1"/>
  <c r="I68" i="365" a="1"/>
  <c r="I68" i="365"/>
  <c r="I66" i="365" a="1"/>
  <c r="I66" i="365"/>
  <c r="I64" i="365" a="1"/>
  <c r="I64" i="365"/>
  <c r="I62" i="365" a="1"/>
  <c r="I62" i="365" s="1"/>
  <c r="I60" i="365" a="1"/>
  <c r="I60" i="365" s="1"/>
  <c r="I58" i="365" a="1"/>
  <c r="I58" i="365" s="1"/>
  <c r="I56" i="365" a="1"/>
  <c r="I56" i="365" s="1"/>
  <c r="I159" i="365" a="1"/>
  <c r="I159" i="365" s="1"/>
  <c r="I157" i="365" a="1"/>
  <c r="I157" i="365"/>
  <c r="I155" i="365" a="1"/>
  <c r="I155" i="365"/>
  <c r="I150" i="365" a="1"/>
  <c r="I150" i="365"/>
  <c r="I148" i="365" a="1"/>
  <c r="I148" i="365" s="1"/>
  <c r="I144" i="365" a="1"/>
  <c r="I144" i="365" s="1"/>
  <c r="I142" i="365" a="1"/>
  <c r="I142" i="365" s="1"/>
  <c r="I140" i="365" a="1"/>
  <c r="I140" i="365" s="1"/>
  <c r="I138" i="365" a="1"/>
  <c r="I138" i="365" s="1"/>
  <c r="I136" i="365" a="1"/>
  <c r="I136" i="365"/>
  <c r="I132" i="365" a="1"/>
  <c r="I132" i="365"/>
  <c r="I130" i="365" a="1"/>
  <c r="I130" i="365"/>
  <c r="I79" i="365" a="1"/>
  <c r="I79" i="365" s="1"/>
  <c r="I75" i="365" a="1"/>
  <c r="I75" i="365" s="1"/>
  <c r="I73" i="365" a="1"/>
  <c r="I73" i="365" s="1"/>
  <c r="I71" i="365" a="1"/>
  <c r="I71" i="365" s="1"/>
  <c r="I69" i="365" a="1"/>
  <c r="I69" i="365" s="1"/>
  <c r="I67" i="365" a="1"/>
  <c r="I67" i="365" s="1"/>
  <c r="I63" i="365" a="1"/>
  <c r="I63" i="365"/>
  <c r="I61" i="365" a="1"/>
  <c r="I61" i="365" s="1"/>
  <c r="I59" i="365" a="1"/>
  <c r="I59" i="365" s="1"/>
  <c r="I57" i="365" a="1"/>
  <c r="I57" i="365" s="1"/>
  <c r="I55" i="365" a="1"/>
  <c r="I55" i="365" s="1"/>
  <c r="I53" i="365" a="1"/>
  <c r="I53" i="365" s="1"/>
  <c r="I51" i="365" a="1"/>
  <c r="I51" i="365" s="1"/>
  <c r="M160" i="365" a="1"/>
  <c r="M160" i="365" s="1"/>
  <c r="M158" i="365" a="1"/>
  <c r="M158" i="365"/>
  <c r="M156" i="365" a="1"/>
  <c r="M156" i="365" s="1"/>
  <c r="M149" i="365" a="1"/>
  <c r="M149" i="365" s="1"/>
  <c r="M147" i="365" a="1"/>
  <c r="M147" i="365" s="1"/>
  <c r="M145" i="365" a="1"/>
  <c r="M145" i="365" s="1"/>
  <c r="M143" i="365" a="1"/>
  <c r="M143" i="365" s="1"/>
  <c r="M139" i="365" a="1"/>
  <c r="M139" i="365" s="1"/>
  <c r="M135" i="365" a="1"/>
  <c r="M135" i="365" s="1"/>
  <c r="M133" i="365" a="1"/>
  <c r="M133" i="365"/>
  <c r="M131" i="365" a="1"/>
  <c r="M131" i="365" s="1"/>
  <c r="M166" i="365" a="1"/>
  <c r="M166" i="365" s="1"/>
  <c r="M78" i="365" a="1"/>
  <c r="M78" i="365" s="1"/>
  <c r="M74" i="365" a="1"/>
  <c r="M74" i="365" s="1"/>
  <c r="M72" i="365" a="1"/>
  <c r="M72" i="365" s="1"/>
  <c r="M68" i="365" a="1"/>
  <c r="M68" i="365" s="1"/>
  <c r="M66" i="365" a="1"/>
  <c r="M66" i="365" s="1"/>
  <c r="M64" i="365" a="1"/>
  <c r="M64" i="365"/>
  <c r="M62" i="365" a="1"/>
  <c r="M62" i="365" s="1"/>
  <c r="M60" i="365" a="1"/>
  <c r="M60" i="365" s="1"/>
  <c r="M58" i="365" a="1"/>
  <c r="M58" i="365" s="1"/>
  <c r="M56" i="365" a="1"/>
  <c r="M56" i="365" s="1"/>
  <c r="M54" i="365" a="1"/>
  <c r="M54" i="365" s="1"/>
  <c r="M159" i="365" a="1"/>
  <c r="M159" i="365" s="1"/>
  <c r="M157" i="365" a="1"/>
  <c r="M157" i="365" s="1"/>
  <c r="M155" i="365" a="1"/>
  <c r="M155" i="365"/>
  <c r="M150" i="365" a="1"/>
  <c r="M150" i="365" s="1"/>
  <c r="M148" i="365" a="1"/>
  <c r="M148" i="365" s="1"/>
  <c r="M144" i="365" a="1"/>
  <c r="M144" i="365" s="1"/>
  <c r="M142" i="365" a="1"/>
  <c r="M142" i="365" s="1"/>
  <c r="M140" i="365" a="1"/>
  <c r="M140" i="365" s="1"/>
  <c r="M138" i="365" a="1"/>
  <c r="M138" i="365" s="1"/>
  <c r="M136" i="365" a="1"/>
  <c r="M136" i="365" s="1"/>
  <c r="M132" i="365" a="1"/>
  <c r="M132" i="365"/>
  <c r="M130" i="365" a="1"/>
  <c r="M130" i="365" s="1"/>
  <c r="M128" i="365" a="1"/>
  <c r="M128" i="365" s="1"/>
  <c r="M79" i="365" a="1"/>
  <c r="M79" i="365" s="1"/>
  <c r="M75" i="365" a="1"/>
  <c r="M75" i="365" s="1"/>
  <c r="M73" i="365" a="1"/>
  <c r="M73" i="365" s="1"/>
  <c r="M71" i="365" a="1"/>
  <c r="M71" i="365" s="1"/>
  <c r="M69" i="365" a="1"/>
  <c r="M69" i="365" s="1"/>
  <c r="M67" i="365" a="1"/>
  <c r="M67" i="365"/>
  <c r="M63" i="365" a="1"/>
  <c r="M63" i="365" s="1"/>
  <c r="M61" i="365" a="1"/>
  <c r="M61" i="365" s="1"/>
  <c r="M59" i="365" a="1"/>
  <c r="M59" i="365" s="1"/>
  <c r="M57" i="365" a="1"/>
  <c r="M57" i="365" s="1"/>
  <c r="M55" i="365" a="1"/>
  <c r="M55" i="365" s="1"/>
  <c r="M53" i="365" a="1"/>
  <c r="M53" i="365" s="1"/>
  <c r="M51" i="365" a="1"/>
  <c r="M51" i="365" s="1"/>
  <c r="E12" i="365" a="1"/>
  <c r="E12" i="365"/>
  <c r="I12" i="365" a="1"/>
  <c r="I12" i="365" s="1"/>
  <c r="M12" i="365" a="1"/>
  <c r="M12" i="365" s="1"/>
  <c r="E14" i="365" a="1"/>
  <c r="E14" i="365" s="1"/>
  <c r="I14" i="365" a="1"/>
  <c r="I14" i="365" s="1"/>
  <c r="K14" i="365" a="1"/>
  <c r="K14" i="365" s="1"/>
  <c r="M14" i="365" a="1"/>
  <c r="M14" i="365" s="1"/>
  <c r="O14" i="365" a="1"/>
  <c r="O14" i="365" s="1"/>
  <c r="D15" i="365" a="1"/>
  <c r="D15" i="365"/>
  <c r="F15" i="365" a="1"/>
  <c r="F15" i="365" s="1"/>
  <c r="H15" i="365" a="1"/>
  <c r="H15" i="365" s="1"/>
  <c r="J15" i="365" a="1"/>
  <c r="J15" i="365" s="1"/>
  <c r="L15" i="365" a="1"/>
  <c r="L15" i="365" s="1"/>
  <c r="N15" i="365" a="1"/>
  <c r="N15" i="365" s="1"/>
  <c r="E16" i="365" a="1"/>
  <c r="E16" i="365" s="1"/>
  <c r="G16" i="365" a="1"/>
  <c r="G16" i="365" s="1"/>
  <c r="I16" i="365" a="1"/>
  <c r="I16" i="365"/>
  <c r="K16" i="365" a="1"/>
  <c r="K16" i="365" s="1"/>
  <c r="M16" i="365" a="1"/>
  <c r="M16" i="365" s="1"/>
  <c r="O16" i="365" a="1"/>
  <c r="O16" i="365" s="1"/>
  <c r="E18" i="365" a="1"/>
  <c r="E18" i="365" s="1"/>
  <c r="G18" i="365" a="1"/>
  <c r="G18" i="365" s="1"/>
  <c r="I18" i="365" a="1"/>
  <c r="I18" i="365" s="1"/>
  <c r="K18" i="365" a="1"/>
  <c r="K18" i="365" s="1"/>
  <c r="M18" i="365" a="1"/>
  <c r="M18" i="365"/>
  <c r="O18" i="365" a="1"/>
  <c r="O18" i="365" s="1"/>
  <c r="D19" i="365" a="1"/>
  <c r="D19" i="365" s="1"/>
  <c r="F19" i="365" a="1"/>
  <c r="F19" i="365" s="1"/>
  <c r="H19" i="365" a="1"/>
  <c r="H19" i="365" s="1"/>
  <c r="J19" i="365" a="1"/>
  <c r="J19" i="365" s="1"/>
  <c r="L19" i="365" a="1"/>
  <c r="L19" i="365" s="1"/>
  <c r="N19" i="365" a="1"/>
  <c r="N19" i="365" s="1"/>
  <c r="D21" i="365" a="1"/>
  <c r="D21" i="365"/>
  <c r="F21" i="365" a="1"/>
  <c r="F21" i="365" s="1"/>
  <c r="H21" i="365" a="1"/>
  <c r="H21" i="365" s="1"/>
  <c r="J21" i="365" a="1"/>
  <c r="J21" i="365" s="1"/>
  <c r="L21" i="365" a="1"/>
  <c r="L21" i="365" s="1"/>
  <c r="N21" i="365" a="1"/>
  <c r="N21" i="365" s="1"/>
  <c r="E22" i="365" a="1"/>
  <c r="E22" i="365" s="1"/>
  <c r="G22" i="365" a="1"/>
  <c r="G22" i="365" s="1"/>
  <c r="I22" i="365" a="1"/>
  <c r="I22" i="365"/>
  <c r="K22" i="365" a="1"/>
  <c r="K22" i="365" s="1"/>
  <c r="M22" i="365" a="1"/>
  <c r="M22" i="365" s="1"/>
  <c r="O22" i="365" a="1"/>
  <c r="O22" i="365" s="1"/>
  <c r="H51" i="365" a="1"/>
  <c r="H51" i="365" s="1"/>
  <c r="K52" i="365" a="1"/>
  <c r="K52" i="365" s="1"/>
  <c r="F53" i="365" a="1"/>
  <c r="F53" i="365" s="1"/>
  <c r="N53" i="365" a="1"/>
  <c r="N53" i="365" s="1"/>
  <c r="I54" i="365" a="1"/>
  <c r="I54" i="365"/>
  <c r="G87" i="365" a="1"/>
  <c r="G87" i="365" s="1"/>
  <c r="K87" i="365" a="1"/>
  <c r="K87" i="365" s="1"/>
  <c r="O87" i="365" a="1"/>
  <c r="O87" i="365" s="1"/>
  <c r="F88" i="365" a="1"/>
  <c r="F88" i="365" s="1"/>
  <c r="J88" i="365" a="1"/>
  <c r="J88" i="365" s="1"/>
  <c r="N88" i="365" a="1"/>
  <c r="N88" i="365" s="1"/>
  <c r="F90" i="365" a="1"/>
  <c r="F90" i="365" s="1"/>
  <c r="J90" i="365" a="1"/>
  <c r="J90" i="365"/>
  <c r="N90" i="365" a="1"/>
  <c r="N90" i="365" s="1"/>
  <c r="E91" i="365" a="1"/>
  <c r="E91" i="365" s="1"/>
  <c r="I91" i="365" a="1"/>
  <c r="I91" i="365" s="1"/>
  <c r="M91" i="365" a="1"/>
  <c r="M91" i="365" s="1"/>
  <c r="D92" i="365" a="1"/>
  <c r="D92" i="365" s="1"/>
  <c r="H92" i="365" a="1"/>
  <c r="H92" i="365" s="1"/>
  <c r="L92" i="365" a="1"/>
  <c r="L92" i="365" s="1"/>
  <c r="G93" i="365" a="1"/>
  <c r="G93" i="365"/>
  <c r="K93" i="365" a="1"/>
  <c r="K93" i="365" s="1"/>
  <c r="O93" i="365" a="1"/>
  <c r="O93" i="365" s="1"/>
  <c r="F94" i="365" a="1"/>
  <c r="F94" i="365" s="1"/>
  <c r="J94" i="365" a="1"/>
  <c r="J94" i="365" s="1"/>
  <c r="N94" i="365" a="1"/>
  <c r="N94" i="365" s="1"/>
  <c r="E95" i="365" a="1"/>
  <c r="E95" i="365" s="1"/>
  <c r="I95" i="365" a="1"/>
  <c r="I95" i="365" s="1"/>
  <c r="M95" i="365" a="1"/>
  <c r="M95" i="365"/>
  <c r="D96" i="365" a="1"/>
  <c r="D96" i="365" s="1"/>
  <c r="H96" i="365" a="1"/>
  <c r="H96" i="365" s="1"/>
  <c r="L96" i="365" a="1"/>
  <c r="L96" i="365" s="1"/>
  <c r="D98" i="365" a="1"/>
  <c r="D98" i="365" s="1"/>
  <c r="H98" i="365" a="1"/>
  <c r="H98" i="365" s="1"/>
  <c r="L98" i="365" a="1"/>
  <c r="L98" i="365" s="1"/>
  <c r="D100" i="365" a="1"/>
  <c r="D100" i="365" s="1"/>
  <c r="H100" i="365" a="1"/>
  <c r="H100" i="365"/>
  <c r="L100" i="365" a="1"/>
  <c r="L100" i="365" s="1"/>
  <c r="G101" i="365" a="1"/>
  <c r="G101" i="365" s="1"/>
  <c r="K101" i="365" a="1"/>
  <c r="K101" i="365" s="1"/>
  <c r="O101" i="365" a="1"/>
  <c r="O101" i="365" s="1"/>
  <c r="G103" i="365" a="1"/>
  <c r="G103" i="365" s="1"/>
  <c r="K103" i="365" a="1"/>
  <c r="K103" i="365" s="1"/>
  <c r="O103" i="365" a="1"/>
  <c r="O103" i="365" s="1"/>
  <c r="F104" i="365" a="1"/>
  <c r="F104" i="365"/>
  <c r="J104" i="365" a="1"/>
  <c r="J104" i="365" s="1"/>
  <c r="N104" i="365" a="1"/>
  <c r="N104" i="365" s="1"/>
  <c r="E105" i="365" a="1"/>
  <c r="E105" i="365" s="1"/>
  <c r="I105" i="365" a="1"/>
  <c r="I105" i="365" s="1"/>
  <c r="M105" i="365" a="1"/>
  <c r="M105" i="365" s="1"/>
  <c r="D106" i="365" a="1"/>
  <c r="D106" i="365" s="1"/>
  <c r="H106" i="365" a="1"/>
  <c r="H106" i="365" s="1"/>
  <c r="L106" i="365" a="1"/>
  <c r="L106" i="365"/>
  <c r="G107" i="365" a="1"/>
  <c r="G107" i="365" s="1"/>
  <c r="K107" i="365" a="1"/>
  <c r="K107" i="365" s="1"/>
  <c r="O107" i="365" a="1"/>
  <c r="O107" i="365" s="1"/>
  <c r="D109" i="365" a="1"/>
  <c r="D109" i="365" s="1"/>
  <c r="H109" i="365" a="1"/>
  <c r="H109" i="365" s="1"/>
  <c r="L109" i="365" a="1"/>
  <c r="L109" i="365" s="1"/>
  <c r="G110" i="365" a="1"/>
  <c r="G110" i="365" s="1"/>
  <c r="K110" i="365" a="1"/>
  <c r="K110" i="365"/>
  <c r="O110" i="365" a="1"/>
  <c r="O110" i="365" s="1"/>
  <c r="F111" i="365" a="1"/>
  <c r="F111" i="365" s="1"/>
  <c r="J111" i="365" a="1"/>
  <c r="J111" i="365" s="1"/>
  <c r="N111" i="365" a="1"/>
  <c r="N111" i="365" s="1"/>
  <c r="E112" i="365" a="1"/>
  <c r="E112" i="365" s="1"/>
  <c r="I112" i="365" a="1"/>
  <c r="I112" i="365" s="1"/>
  <c r="M112" i="365" a="1"/>
  <c r="M112" i="365" s="1"/>
  <c r="D113" i="365" a="1"/>
  <c r="D113" i="365"/>
  <c r="H113" i="365" a="1"/>
  <c r="H113" i="365" s="1"/>
  <c r="L113" i="365" a="1"/>
  <c r="L113" i="365" s="1"/>
  <c r="G114" i="365" a="1"/>
  <c r="G114" i="365" s="1"/>
  <c r="K114" i="365" a="1"/>
  <c r="K114" i="365" s="1"/>
  <c r="O114" i="365" a="1"/>
  <c r="O114" i="365" s="1"/>
  <c r="F115" i="365" a="1"/>
  <c r="F115" i="365" s="1"/>
  <c r="J115" i="365" a="1"/>
  <c r="J115" i="365" s="1"/>
  <c r="N115" i="365" a="1"/>
  <c r="N115" i="365"/>
  <c r="E116" i="365" a="1"/>
  <c r="E116" i="365" s="1"/>
  <c r="I116" i="365" a="1"/>
  <c r="I116" i="365" s="1"/>
  <c r="M116" i="365" a="1"/>
  <c r="M116" i="365" s="1"/>
  <c r="E118" i="365" a="1"/>
  <c r="E118" i="365" s="1"/>
  <c r="I118" i="365" a="1"/>
  <c r="I118" i="365" s="1"/>
  <c r="M118" i="365" a="1"/>
  <c r="M118" i="365" s="1"/>
  <c r="D119" i="365" a="1"/>
  <c r="D119" i="365" s="1"/>
  <c r="H119" i="365" a="1"/>
  <c r="H119" i="365"/>
  <c r="L119" i="365" a="1"/>
  <c r="L119" i="365" s="1"/>
  <c r="G120" i="365" a="1"/>
  <c r="G120" i="365" s="1"/>
  <c r="K120" i="365" a="1"/>
  <c r="K120" i="365" s="1"/>
  <c r="O120" i="365" a="1"/>
  <c r="O120" i="365" s="1"/>
  <c r="F121" i="365" a="1"/>
  <c r="F121" i="365" s="1"/>
  <c r="J121" i="365" a="1"/>
  <c r="J121" i="365" s="1"/>
  <c r="N121" i="365" a="1"/>
  <c r="N121" i="365" s="1"/>
  <c r="E122" i="365" a="1"/>
  <c r="E122" i="365"/>
  <c r="I122" i="365" a="1"/>
  <c r="I122" i="365" s="1"/>
  <c r="M122" i="365" a="1"/>
  <c r="M122" i="365" s="1"/>
  <c r="D123" i="365" a="1"/>
  <c r="D123" i="365" s="1"/>
  <c r="H123" i="365" a="1"/>
  <c r="H123" i="365" s="1"/>
  <c r="L123" i="365" a="1"/>
  <c r="L123" i="365" s="1"/>
  <c r="G124" i="365" a="1"/>
  <c r="G124" i="365" s="1"/>
  <c r="K124" i="365" a="1"/>
  <c r="K124" i="365" s="1"/>
  <c r="O124" i="365" a="1"/>
  <c r="O124" i="365"/>
  <c r="F125" i="365" a="1"/>
  <c r="F125" i="365" s="1"/>
  <c r="J125" i="365" a="1"/>
  <c r="J125" i="365" s="1"/>
  <c r="N125" i="365" a="1"/>
  <c r="N125" i="365" s="1"/>
  <c r="N127" i="365" a="1"/>
  <c r="N127" i="365" s="1"/>
  <c r="E128" i="365" a="1"/>
  <c r="E128" i="365" s="1"/>
  <c r="I128" i="365" a="1"/>
  <c r="I128" i="365" s="1"/>
  <c r="I129" i="365" a="1"/>
  <c r="I129" i="365" s="1"/>
  <c r="D130" i="365" a="1"/>
  <c r="D130" i="365"/>
  <c r="L130" i="365" a="1"/>
  <c r="L130" i="365" s="1"/>
  <c r="G131" i="365" a="1"/>
  <c r="G131" i="365" s="1"/>
  <c r="D6" i="417"/>
  <c r="D13" i="412" a="1"/>
  <c r="D13" i="412" s="1"/>
  <c r="E13" i="412" s="1"/>
  <c r="D15" i="412" a="1"/>
  <c r="D15" i="412" s="1"/>
  <c r="E15" i="412" s="1"/>
  <c r="D18" i="412" a="1"/>
  <c r="D18" i="412" s="1"/>
  <c r="E18" i="412" s="1"/>
  <c r="D21" i="412" a="1"/>
  <c r="D21" i="412" s="1"/>
  <c r="E21" i="412" s="1"/>
  <c r="D24" i="412" a="1"/>
  <c r="D24" i="412" s="1"/>
  <c r="D27" i="412" a="1"/>
  <c r="D27" i="412" s="1"/>
  <c r="E27" i="412" s="1"/>
  <c r="D30" i="412" a="1"/>
  <c r="D30" i="412" s="1"/>
  <c r="E30" i="412" s="1"/>
  <c r="D33" i="412" a="1"/>
  <c r="D33" i="412" s="1"/>
  <c r="E33" i="412" s="1"/>
  <c r="D36" i="412" a="1"/>
  <c r="D36" i="412" s="1"/>
  <c r="E36" i="412" s="1"/>
  <c r="D38" i="412" a="1"/>
  <c r="D38" i="412" s="1"/>
  <c r="E38" i="412" s="1"/>
  <c r="D40" i="412" a="1"/>
  <c r="D40" i="412" s="1"/>
  <c r="E40" i="412" s="1"/>
  <c r="D42" i="412" a="1"/>
  <c r="D42" i="412" s="1"/>
  <c r="E42" i="412" s="1"/>
  <c r="D44" i="412" a="1"/>
  <c r="D44" i="412" s="1"/>
  <c r="E44" i="412" s="1"/>
  <c r="D49" i="412" a="1"/>
  <c r="D49" i="412" s="1"/>
  <c r="E49" i="412" s="1"/>
  <c r="D51" i="412" a="1"/>
  <c r="D51" i="412" s="1"/>
  <c r="E51" i="412" s="1"/>
  <c r="D53" i="412" a="1"/>
  <c r="D53" i="412" s="1"/>
  <c r="E53" i="412" s="1"/>
  <c r="D55" i="412" a="1"/>
  <c r="D55" i="412" s="1"/>
  <c r="E55" i="412" s="1"/>
  <c r="D57" i="412" a="1"/>
  <c r="D57" i="412" s="1"/>
  <c r="E57" i="412" s="1"/>
  <c r="D59" i="412" a="1"/>
  <c r="D59" i="412" s="1"/>
  <c r="E59" i="412" s="1"/>
  <c r="D61" i="412" a="1"/>
  <c r="D61" i="412" s="1"/>
  <c r="E61" i="412" s="1"/>
  <c r="D63" i="412" a="1"/>
  <c r="D63" i="412" s="1"/>
  <c r="E63" i="412" s="1"/>
  <c r="D65" i="412" a="1"/>
  <c r="D65" i="412" s="1"/>
  <c r="E65" i="412" s="1"/>
  <c r="D67" i="412" a="1"/>
  <c r="D67" i="412" s="1"/>
  <c r="E67" i="412" s="1"/>
  <c r="D69" i="412" a="1"/>
  <c r="D69" i="412" s="1"/>
  <c r="E69" i="412" s="1"/>
  <c r="D71" i="412" a="1"/>
  <c r="D71" i="412" s="1"/>
  <c r="E71" i="412" s="1"/>
  <c r="D75" i="412" a="1"/>
  <c r="D75" i="412" s="1"/>
  <c r="E75" i="412" s="1"/>
  <c r="D77" i="412" a="1"/>
  <c r="D77" i="412" s="1"/>
  <c r="E77" i="412" s="1"/>
  <c r="D79" i="412" a="1"/>
  <c r="D79" i="412" s="1"/>
  <c r="E79" i="412" s="1"/>
  <c r="D81" i="412" a="1"/>
  <c r="D81" i="412" s="1"/>
  <c r="E81" i="412" s="1"/>
  <c r="D83" i="412" a="1"/>
  <c r="D83" i="412" s="1"/>
  <c r="E83" i="412" s="1"/>
  <c r="D85" i="412" a="1"/>
  <c r="D85" i="412" s="1"/>
  <c r="D87" i="412" a="1"/>
  <c r="D87" i="412" s="1"/>
  <c r="E87" i="412" s="1"/>
  <c r="D89" i="412" a="1"/>
  <c r="D89" i="412" s="1"/>
  <c r="E89" i="412" s="1"/>
  <c r="D91" i="412" a="1"/>
  <c r="D91" i="412" s="1"/>
  <c r="E91" i="412" s="1"/>
  <c r="D93" i="412" a="1"/>
  <c r="D93" i="412" s="1"/>
  <c r="D95" i="412" a="1"/>
  <c r="D95" i="412" s="1"/>
  <c r="E95" i="412" s="1"/>
  <c r="D97" i="412" a="1"/>
  <c r="D97" i="412" s="1"/>
  <c r="E97" i="412" s="1"/>
  <c r="D99" i="412" a="1"/>
  <c r="D99" i="412" s="1"/>
  <c r="E99" i="412" s="1"/>
  <c r="D101" i="412" a="1"/>
  <c r="D101" i="412" s="1"/>
  <c r="E101" i="412" s="1"/>
  <c r="D103" i="412" a="1"/>
  <c r="D103" i="412" s="1"/>
  <c r="E103" i="412" s="1"/>
  <c r="D105" i="412" a="1"/>
  <c r="D105" i="412" s="1"/>
  <c r="E105" i="412" s="1"/>
  <c r="D107" i="412" a="1"/>
  <c r="D107" i="412" s="1"/>
  <c r="E107" i="412" s="1"/>
  <c r="D109" i="412" a="1"/>
  <c r="D109" i="412" s="1"/>
  <c r="E109" i="412" s="1"/>
  <c r="D111" i="412" a="1"/>
  <c r="D111" i="412" s="1"/>
  <c r="E111" i="412" s="1"/>
  <c r="D113" i="412" a="1"/>
  <c r="D113" i="412" s="1"/>
  <c r="E113" i="412" s="1"/>
  <c r="D115" i="412" a="1"/>
  <c r="D115" i="412" s="1"/>
  <c r="E115" i="412" s="1"/>
  <c r="D117" i="412" a="1"/>
  <c r="D117" i="412" s="1"/>
  <c r="E117" i="412" s="1"/>
  <c r="D119" i="412" a="1"/>
  <c r="D119" i="412" s="1"/>
  <c r="E119" i="412" s="1"/>
  <c r="D121" i="412" a="1"/>
  <c r="D121" i="412" s="1"/>
  <c r="E121" i="412" s="1"/>
  <c r="D123" i="412" a="1"/>
  <c r="D123" i="412" s="1"/>
  <c r="E123" i="412" s="1"/>
  <c r="D125" i="412" a="1"/>
  <c r="D125" i="412" s="1"/>
  <c r="E125" i="412" s="1"/>
  <c r="D127" i="412" a="1"/>
  <c r="D127" i="412" s="1"/>
  <c r="E127" i="412" s="1"/>
  <c r="D129" i="412" a="1"/>
  <c r="D129" i="412" s="1"/>
  <c r="E129" i="412" s="1"/>
  <c r="D131" i="412" a="1"/>
  <c r="D131" i="412" s="1"/>
  <c r="E131" i="412" s="1"/>
  <c r="D133" i="412" a="1"/>
  <c r="D133" i="412" s="1"/>
  <c r="E133" i="412" s="1"/>
  <c r="D135" i="412" a="1"/>
  <c r="D135" i="412" s="1"/>
  <c r="E135" i="412" s="1"/>
  <c r="D137" i="412" a="1"/>
  <c r="D137" i="412" s="1"/>
  <c r="E137" i="412" s="1"/>
  <c r="F159" i="365" a="1"/>
  <c r="F159" i="365" s="1"/>
  <c r="F157" i="365" a="1"/>
  <c r="F157" i="365" s="1"/>
  <c r="F155" i="365" a="1"/>
  <c r="F155" i="365" s="1"/>
  <c r="F150" i="365" a="1"/>
  <c r="F150" i="365" s="1"/>
  <c r="F148" i="365" a="1"/>
  <c r="F148" i="365" s="1"/>
  <c r="F144" i="365" a="1"/>
  <c r="F144" i="365" s="1"/>
  <c r="F142" i="365" a="1"/>
  <c r="F142" i="365" s="1"/>
  <c r="F140" i="365" a="1"/>
  <c r="F140" i="365" s="1"/>
  <c r="F138" i="365" a="1"/>
  <c r="F138" i="365" s="1"/>
  <c r="F136" i="365" a="1"/>
  <c r="F136" i="365" s="1"/>
  <c r="F132" i="365" a="1"/>
  <c r="F132" i="365" s="1"/>
  <c r="F79" i="365" a="1"/>
  <c r="F79" i="365" s="1"/>
  <c r="F75" i="365" a="1"/>
  <c r="F75" i="365" s="1"/>
  <c r="F73" i="365" a="1"/>
  <c r="F73" i="365" s="1"/>
  <c r="F71" i="365" a="1"/>
  <c r="F71" i="365" s="1"/>
  <c r="F69" i="365" a="1"/>
  <c r="F69" i="365"/>
  <c r="F67" i="365" a="1"/>
  <c r="F67" i="365" s="1"/>
  <c r="F63" i="365" a="1"/>
  <c r="F63" i="365" s="1"/>
  <c r="F61" i="365" a="1"/>
  <c r="F61" i="365" s="1"/>
  <c r="F59" i="365" a="1"/>
  <c r="F59" i="365" s="1"/>
  <c r="F57" i="365" a="1"/>
  <c r="F57" i="365" s="1"/>
  <c r="F55" i="365" a="1"/>
  <c r="F55" i="365" s="1"/>
  <c r="F160" i="365" a="1"/>
  <c r="F160" i="365" s="1"/>
  <c r="F158" i="365" a="1"/>
  <c r="F158" i="365" s="1"/>
  <c r="F156" i="365" a="1"/>
  <c r="F156" i="365" s="1"/>
  <c r="F149" i="365" a="1"/>
  <c r="F149" i="365" s="1"/>
  <c r="F147" i="365" a="1"/>
  <c r="F147" i="365" s="1"/>
  <c r="F145" i="365" a="1"/>
  <c r="F145" i="365" s="1"/>
  <c r="F143" i="365" a="1"/>
  <c r="F143" i="365" s="1"/>
  <c r="F139" i="365" a="1"/>
  <c r="F139" i="365" s="1"/>
  <c r="F135" i="365" a="1"/>
  <c r="F135" i="365" s="1"/>
  <c r="F133" i="365" a="1"/>
  <c r="F133" i="365"/>
  <c r="F131" i="365" a="1"/>
  <c r="F131" i="365" s="1"/>
  <c r="F129" i="365" a="1"/>
  <c r="F129" i="365" s="1"/>
  <c r="F166" i="365" a="1"/>
  <c r="F166" i="365" s="1"/>
  <c r="F78" i="365" a="1"/>
  <c r="F78" i="365" s="1"/>
  <c r="F77" i="365" s="1"/>
  <c r="F74" i="365" a="1"/>
  <c r="F74" i="365"/>
  <c r="F72" i="365" a="1"/>
  <c r="F72" i="365"/>
  <c r="F68" i="365" a="1"/>
  <c r="F68" i="365"/>
  <c r="F66" i="365" a="1"/>
  <c r="F66" i="365" s="1"/>
  <c r="F64" i="365" a="1"/>
  <c r="F64" i="365"/>
  <c r="F62" i="365" a="1"/>
  <c r="F62" i="365"/>
  <c r="F60" i="365" a="1"/>
  <c r="F60" i="365"/>
  <c r="F58" i="365" a="1"/>
  <c r="F58" i="365"/>
  <c r="F56" i="365" a="1"/>
  <c r="F56" i="365"/>
  <c r="F54" i="365" a="1"/>
  <c r="F54" i="365"/>
  <c r="F52" i="365" a="1"/>
  <c r="F52" i="365"/>
  <c r="J159" i="365" a="1"/>
  <c r="J159" i="365" s="1"/>
  <c r="J157" i="365" a="1"/>
  <c r="J157" i="365"/>
  <c r="J155" i="365" a="1"/>
  <c r="J155" i="365"/>
  <c r="J150" i="365" a="1"/>
  <c r="J150" i="365"/>
  <c r="J148" i="365" a="1"/>
  <c r="J148" i="365"/>
  <c r="J144" i="365" a="1"/>
  <c r="J144" i="365"/>
  <c r="J142" i="365" a="1"/>
  <c r="J142" i="365"/>
  <c r="J140" i="365" a="1"/>
  <c r="J140" i="365"/>
  <c r="J138" i="365" a="1"/>
  <c r="J138" i="365" s="1"/>
  <c r="J136" i="365" a="1"/>
  <c r="J136" i="365"/>
  <c r="J132" i="365" a="1"/>
  <c r="J132" i="365"/>
  <c r="J79" i="365" a="1"/>
  <c r="J79" i="365"/>
  <c r="J75" i="365" a="1"/>
  <c r="J75" i="365"/>
  <c r="J73" i="365" a="1"/>
  <c r="J73" i="365"/>
  <c r="J71" i="365" a="1"/>
  <c r="J71" i="365"/>
  <c r="J69" i="365" a="1"/>
  <c r="J69" i="365"/>
  <c r="J67" i="365" a="1"/>
  <c r="J67" i="365" s="1"/>
  <c r="J63" i="365" a="1"/>
  <c r="J63" i="365"/>
  <c r="J61" i="365" a="1"/>
  <c r="J61" i="365"/>
  <c r="J59" i="365" a="1"/>
  <c r="J59" i="365"/>
  <c r="J57" i="365" a="1"/>
  <c r="J57" i="365"/>
  <c r="J55" i="365" a="1"/>
  <c r="J55" i="365"/>
  <c r="J160" i="365" a="1"/>
  <c r="J160" i="365"/>
  <c r="J158" i="365" a="1"/>
  <c r="J158" i="365"/>
  <c r="J156" i="365" a="1"/>
  <c r="J156" i="365" s="1"/>
  <c r="J149" i="365" a="1"/>
  <c r="J149" i="365"/>
  <c r="J147" i="365" a="1"/>
  <c r="J147" i="365"/>
  <c r="J145" i="365" a="1"/>
  <c r="J145" i="365"/>
  <c r="J143" i="365" a="1"/>
  <c r="J143" i="365"/>
  <c r="J139" i="365" a="1"/>
  <c r="J139" i="365"/>
  <c r="J135" i="365" a="1"/>
  <c r="J135" i="365"/>
  <c r="J133" i="365" a="1"/>
  <c r="J133" i="365"/>
  <c r="J131" i="365" a="1"/>
  <c r="J131" i="365" s="1"/>
  <c r="J129" i="365" a="1"/>
  <c r="J129" i="365"/>
  <c r="J166" i="365" a="1"/>
  <c r="J166" i="365"/>
  <c r="J78" i="365" a="1"/>
  <c r="J78" i="365"/>
  <c r="J77" i="365" s="1"/>
  <c r="J74" i="365" a="1"/>
  <c r="J74" i="365" s="1"/>
  <c r="J72" i="365" a="1"/>
  <c r="J72" i="365" s="1"/>
  <c r="J68" i="365" a="1"/>
  <c r="J68" i="365" s="1"/>
  <c r="J66" i="365" a="1"/>
  <c r="J66" i="365" s="1"/>
  <c r="J64" i="365" a="1"/>
  <c r="J64" i="365" s="1"/>
  <c r="J62" i="365" a="1"/>
  <c r="J62" i="365" s="1"/>
  <c r="J60" i="365" a="1"/>
  <c r="J60" i="365" s="1"/>
  <c r="J58" i="365" a="1"/>
  <c r="J58" i="365" s="1"/>
  <c r="J56" i="365" a="1"/>
  <c r="J56" i="365" s="1"/>
  <c r="J54" i="365" a="1"/>
  <c r="J54" i="365" s="1"/>
  <c r="J52" i="365" a="1"/>
  <c r="J52" i="365" s="1"/>
  <c r="N159" i="365" a="1"/>
  <c r="N159" i="365" s="1"/>
  <c r="N157" i="365" a="1"/>
  <c r="N157" i="365" s="1"/>
  <c r="N155" i="365" a="1"/>
  <c r="N155" i="365" s="1"/>
  <c r="N150" i="365" a="1"/>
  <c r="N150" i="365" s="1"/>
  <c r="N148" i="365" a="1"/>
  <c r="N148" i="365" s="1"/>
  <c r="N144" i="365" a="1"/>
  <c r="N144" i="365" s="1"/>
  <c r="N142" i="365" a="1"/>
  <c r="N142" i="365" s="1"/>
  <c r="N140" i="365" a="1"/>
  <c r="N140" i="365" s="1"/>
  <c r="N138" i="365" a="1"/>
  <c r="N138" i="365" s="1"/>
  <c r="N136" i="365" a="1"/>
  <c r="N136" i="365" s="1"/>
  <c r="N132" i="365" a="1"/>
  <c r="N132" i="365" s="1"/>
  <c r="N79" i="365" a="1"/>
  <c r="N79" i="365" s="1"/>
  <c r="N75" i="365" a="1"/>
  <c r="N75" i="365" s="1"/>
  <c r="N73" i="365" a="1"/>
  <c r="N73" i="365" s="1"/>
  <c r="N71" i="365" a="1"/>
  <c r="N71" i="365" s="1"/>
  <c r="N69" i="365" a="1"/>
  <c r="N69" i="365" s="1"/>
  <c r="N67" i="365" a="1"/>
  <c r="N67" i="365" s="1"/>
  <c r="N63" i="365" a="1"/>
  <c r="N63" i="365" s="1"/>
  <c r="N61" i="365" a="1"/>
  <c r="N61" i="365" s="1"/>
  <c r="N59" i="365" a="1"/>
  <c r="N59" i="365" s="1"/>
  <c r="N57" i="365" a="1"/>
  <c r="N57" i="365" s="1"/>
  <c r="N55" i="365" a="1"/>
  <c r="N55" i="365" s="1"/>
  <c r="N160" i="365" a="1"/>
  <c r="N160" i="365" s="1"/>
  <c r="N158" i="365" a="1"/>
  <c r="N158" i="365" s="1"/>
  <c r="N156" i="365" a="1"/>
  <c r="N156" i="365"/>
  <c r="N149" i="365" a="1"/>
  <c r="N149" i="365" s="1"/>
  <c r="N147" i="365" a="1"/>
  <c r="N147" i="365" s="1"/>
  <c r="N145" i="365" a="1"/>
  <c r="N145" i="365" s="1"/>
  <c r="N143" i="365" a="1"/>
  <c r="N143" i="365" s="1"/>
  <c r="N139" i="365" a="1"/>
  <c r="N139" i="365" s="1"/>
  <c r="N135" i="365" a="1"/>
  <c r="N135" i="365" s="1"/>
  <c r="N133" i="365" a="1"/>
  <c r="N133" i="365" s="1"/>
  <c r="N131" i="365" a="1"/>
  <c r="N131" i="365" s="1"/>
  <c r="N129" i="365" a="1"/>
  <c r="N129" i="365" s="1"/>
  <c r="N166" i="365" a="1"/>
  <c r="N166" i="365" s="1"/>
  <c r="N78" i="365" a="1"/>
  <c r="N78" i="365" s="1"/>
  <c r="N77" i="365"/>
  <c r="N74" i="365" a="1"/>
  <c r="N74" i="365"/>
  <c r="N72" i="365" a="1"/>
  <c r="N72" i="365"/>
  <c r="N68" i="365" a="1"/>
  <c r="N68" i="365"/>
  <c r="N66" i="365" a="1"/>
  <c r="N66" i="365"/>
  <c r="N64" i="365" a="1"/>
  <c r="N64" i="365" s="1"/>
  <c r="N62" i="365" a="1"/>
  <c r="N62" i="365"/>
  <c r="N60" i="365" a="1"/>
  <c r="N60" i="365"/>
  <c r="N58" i="365" a="1"/>
  <c r="N58" i="365"/>
  <c r="N56" i="365" a="1"/>
  <c r="N56" i="365"/>
  <c r="N54" i="365" a="1"/>
  <c r="N54" i="365"/>
  <c r="N52" i="365" a="1"/>
  <c r="N52" i="365"/>
  <c r="D32" i="365" a="1"/>
  <c r="D32" i="365"/>
  <c r="F32" i="365" a="1"/>
  <c r="F32" i="365" s="1"/>
  <c r="F30" i="365" s="1"/>
  <c r="H32" i="365" a="1"/>
  <c r="H32" i="365" s="1"/>
  <c r="J32" i="365" a="1"/>
  <c r="J32" i="365" s="1"/>
  <c r="J30" i="365"/>
  <c r="L32" i="365" a="1"/>
  <c r="L32" i="365"/>
  <c r="N32" i="365" a="1"/>
  <c r="N32" i="365"/>
  <c r="N30" i="365" s="1"/>
  <c r="I35" i="365" a="1"/>
  <c r="I35" i="365" s="1"/>
  <c r="M35" i="365" a="1"/>
  <c r="M35" i="365" s="1"/>
  <c r="D36" i="365" a="1"/>
  <c r="D36" i="365" s="1"/>
  <c r="F36" i="365" a="1"/>
  <c r="F36" i="365" s="1"/>
  <c r="H36" i="365" a="1"/>
  <c r="H36" i="365" s="1"/>
  <c r="J36" i="365" a="1"/>
  <c r="J36" i="365" s="1"/>
  <c r="L36" i="365" a="1"/>
  <c r="L36" i="365" s="1"/>
  <c r="N36" i="365" a="1"/>
  <c r="N36" i="365" s="1"/>
  <c r="E37" i="365" a="1"/>
  <c r="E37" i="365" s="1"/>
  <c r="G37" i="365" a="1"/>
  <c r="G37" i="365"/>
  <c r="I37" i="365" a="1"/>
  <c r="I37" i="365" s="1"/>
  <c r="K37" i="365" a="1"/>
  <c r="K37" i="365" s="1"/>
  <c r="M37" i="365" a="1"/>
  <c r="M37" i="365" s="1"/>
  <c r="O37" i="365" a="1"/>
  <c r="O37" i="365" s="1"/>
  <c r="D38" i="365" a="1"/>
  <c r="D38" i="365" s="1"/>
  <c r="F38" i="365" a="1"/>
  <c r="F38" i="365" s="1"/>
  <c r="H38" i="365" a="1"/>
  <c r="H38" i="365" s="1"/>
  <c r="J38" i="365" a="1"/>
  <c r="J38" i="365" s="1"/>
  <c r="L38" i="365" a="1"/>
  <c r="L38" i="365" s="1"/>
  <c r="N38" i="365" a="1"/>
  <c r="N38" i="365" s="1"/>
  <c r="E39" i="365" a="1"/>
  <c r="E39" i="365" s="1"/>
  <c r="G39" i="365" a="1"/>
  <c r="G39" i="365" s="1"/>
  <c r="I39" i="365" a="1"/>
  <c r="I39" i="365" s="1"/>
  <c r="K39" i="365" a="1"/>
  <c r="K39" i="365" s="1"/>
  <c r="M39" i="365" a="1"/>
  <c r="M39" i="365" s="1"/>
  <c r="O39" i="365" a="1"/>
  <c r="O39" i="365" s="1"/>
  <c r="D40" i="365" a="1"/>
  <c r="D40" i="365" s="1"/>
  <c r="F40" i="365" a="1"/>
  <c r="F40" i="365" s="1"/>
  <c r="H40" i="365" a="1"/>
  <c r="H40" i="365" s="1"/>
  <c r="J40" i="365" a="1"/>
  <c r="J40" i="365" s="1"/>
  <c r="L40" i="365" a="1"/>
  <c r="L40" i="365" s="1"/>
  <c r="N40" i="365" a="1"/>
  <c r="N40" i="365" s="1"/>
  <c r="E41" i="365" a="1"/>
  <c r="E41" i="365" s="1"/>
  <c r="G41" i="365" a="1"/>
  <c r="G41" i="365" s="1"/>
  <c r="I41" i="365" a="1"/>
  <c r="I41" i="365" s="1"/>
  <c r="K41" i="365" a="1"/>
  <c r="K41" i="365" s="1"/>
  <c r="M41" i="365" a="1"/>
  <c r="M41" i="365" s="1"/>
  <c r="O41" i="365" a="1"/>
  <c r="O41" i="365" s="1"/>
  <c r="D42" i="365" a="1"/>
  <c r="D42" i="365" s="1"/>
  <c r="F42" i="365" a="1"/>
  <c r="F42" i="365" s="1"/>
  <c r="H42" i="365" a="1"/>
  <c r="H42" i="365" s="1"/>
  <c r="J42" i="365" a="1"/>
  <c r="J42" i="365" s="1"/>
  <c r="L42" i="365" a="1"/>
  <c r="L42" i="365" s="1"/>
  <c r="N42" i="365" a="1"/>
  <c r="N42" i="365" s="1"/>
  <c r="E48" i="365" a="1"/>
  <c r="E48" i="365" s="1"/>
  <c r="G48" i="365" a="1"/>
  <c r="G48" i="365" s="1"/>
  <c r="I48" i="365" a="1"/>
  <c r="I48" i="365" s="1"/>
  <c r="K48" i="365" a="1"/>
  <c r="K48" i="365" s="1"/>
  <c r="M48" i="365" a="1"/>
  <c r="M48" i="365" s="1"/>
  <c r="O48" i="365" a="1"/>
  <c r="O48" i="365" s="1"/>
  <c r="D49" i="365" a="1"/>
  <c r="D49" i="365" s="1"/>
  <c r="F49" i="365" a="1"/>
  <c r="F49" i="365" s="1"/>
  <c r="H49" i="365" a="1"/>
  <c r="H49" i="365" s="1"/>
  <c r="J49" i="365" a="1"/>
  <c r="J49" i="365" s="1"/>
  <c r="L49" i="365" a="1"/>
  <c r="L49" i="365" s="1"/>
  <c r="N49" i="365" a="1"/>
  <c r="N49" i="365" s="1"/>
  <c r="D51" i="365" a="1"/>
  <c r="D51" i="365" s="1"/>
  <c r="F51" i="365" a="1"/>
  <c r="F51" i="365"/>
  <c r="N51" i="365" a="1"/>
  <c r="N51" i="365" s="1"/>
  <c r="I52" i="365" a="1"/>
  <c r="I52" i="365" s="1"/>
  <c r="D53" i="365" a="1"/>
  <c r="D53" i="365" s="1"/>
  <c r="L53" i="365" a="1"/>
  <c r="L53" i="365" s="1"/>
  <c r="G54" i="365" a="1"/>
  <c r="G54" i="365" s="1"/>
  <c r="D87" i="365" a="1"/>
  <c r="D87" i="365" s="1"/>
  <c r="H87" i="365" a="1"/>
  <c r="H87" i="365" s="1"/>
  <c r="L87" i="365" a="1"/>
  <c r="L87" i="365" s="1"/>
  <c r="G88" i="365" a="1"/>
  <c r="G88" i="365" s="1"/>
  <c r="K88" i="365" a="1"/>
  <c r="K88" i="365" s="1"/>
  <c r="O88" i="365" a="1"/>
  <c r="O88" i="365" s="1"/>
  <c r="G90" i="365" a="1"/>
  <c r="G90" i="365" s="1"/>
  <c r="K90" i="365" a="1"/>
  <c r="K90" i="365" s="1"/>
  <c r="O90" i="365" a="1"/>
  <c r="O90" i="365" s="1"/>
  <c r="F91" i="365" a="1"/>
  <c r="F91" i="365" s="1"/>
  <c r="J91" i="365" a="1"/>
  <c r="J91" i="365"/>
  <c r="N91" i="365" a="1"/>
  <c r="N91" i="365" s="1"/>
  <c r="E92" i="365" a="1"/>
  <c r="E92" i="365" s="1"/>
  <c r="I92" i="365" a="1"/>
  <c r="I92" i="365" s="1"/>
  <c r="M92" i="365" a="1"/>
  <c r="M92" i="365" s="1"/>
  <c r="D93" i="365" a="1"/>
  <c r="D93" i="365" s="1"/>
  <c r="H93" i="365" a="1"/>
  <c r="H93" i="365" s="1"/>
  <c r="L93" i="365" a="1"/>
  <c r="L93" i="365" s="1"/>
  <c r="G94" i="365" a="1"/>
  <c r="G94" i="365"/>
  <c r="K94" i="365" a="1"/>
  <c r="K94" i="365" s="1"/>
  <c r="O94" i="365" a="1"/>
  <c r="O94" i="365" s="1"/>
  <c r="F95" i="365" a="1"/>
  <c r="F95" i="365" s="1"/>
  <c r="J95" i="365" a="1"/>
  <c r="J95" i="365" s="1"/>
  <c r="N95" i="365" a="1"/>
  <c r="N95" i="365" s="1"/>
  <c r="E96" i="365" a="1"/>
  <c r="E96" i="365" s="1"/>
  <c r="I96" i="365" a="1"/>
  <c r="I96" i="365" s="1"/>
  <c r="M96" i="365" a="1"/>
  <c r="M96" i="365"/>
  <c r="E98" i="365" a="1"/>
  <c r="E98" i="365" s="1"/>
  <c r="I98" i="365" a="1"/>
  <c r="I98" i="365" s="1"/>
  <c r="M98" i="365" a="1"/>
  <c r="M98" i="365" s="1"/>
  <c r="E100" i="365" a="1"/>
  <c r="E100" i="365" s="1"/>
  <c r="I100" i="365" a="1"/>
  <c r="I100" i="365" s="1"/>
  <c r="M100" i="365" a="1"/>
  <c r="M100" i="365" s="1"/>
  <c r="D101" i="365" a="1"/>
  <c r="D101" i="365" s="1"/>
  <c r="H101" i="365" a="1"/>
  <c r="H101" i="365"/>
  <c r="L101" i="365" a="1"/>
  <c r="L101" i="365" s="1"/>
  <c r="D103" i="365" a="1"/>
  <c r="D103" i="365" s="1"/>
  <c r="H103" i="365" a="1"/>
  <c r="H103" i="365" s="1"/>
  <c r="L103" i="365" a="1"/>
  <c r="L103" i="365" s="1"/>
  <c r="G104" i="365" a="1"/>
  <c r="G104" i="365" s="1"/>
  <c r="K104" i="365" a="1"/>
  <c r="K104" i="365" s="1"/>
  <c r="O104" i="365" a="1"/>
  <c r="O104" i="365" s="1"/>
  <c r="F105" i="365" a="1"/>
  <c r="F105" i="365"/>
  <c r="J105" i="365" a="1"/>
  <c r="J105" i="365" s="1"/>
  <c r="N105" i="365" a="1"/>
  <c r="N105" i="365" s="1"/>
  <c r="E106" i="365" a="1"/>
  <c r="E106" i="365" s="1"/>
  <c r="I106" i="365" a="1"/>
  <c r="I106" i="365" s="1"/>
  <c r="M106" i="365" a="1"/>
  <c r="M106" i="365" s="1"/>
  <c r="D107" i="365" a="1"/>
  <c r="D107" i="365" s="1"/>
  <c r="H107" i="365" a="1"/>
  <c r="H107" i="365" s="1"/>
  <c r="L107" i="365" a="1"/>
  <c r="L107" i="365"/>
  <c r="E109" i="365" a="1"/>
  <c r="E109" i="365" s="1"/>
  <c r="I109" i="365" a="1"/>
  <c r="I109" i="365" s="1"/>
  <c r="M109" i="365" a="1"/>
  <c r="M109" i="365" s="1"/>
  <c r="D110" i="365" a="1"/>
  <c r="D110" i="365" s="1"/>
  <c r="H110" i="365" a="1"/>
  <c r="H110" i="365" s="1"/>
  <c r="L110" i="365" a="1"/>
  <c r="L110" i="365" s="1"/>
  <c r="G111" i="365" a="1"/>
  <c r="G111" i="365" s="1"/>
  <c r="K111" i="365" a="1"/>
  <c r="K111" i="365"/>
  <c r="O111" i="365" a="1"/>
  <c r="O111" i="365" s="1"/>
  <c r="F112" i="365" a="1"/>
  <c r="F112" i="365" s="1"/>
  <c r="J112" i="365" a="1"/>
  <c r="J112" i="365" s="1"/>
  <c r="N112" i="365" a="1"/>
  <c r="N112" i="365" s="1"/>
  <c r="E113" i="365" a="1"/>
  <c r="E113" i="365" s="1"/>
  <c r="I113" i="365" a="1"/>
  <c r="I113" i="365" s="1"/>
  <c r="M113" i="365" a="1"/>
  <c r="M113" i="365" s="1"/>
  <c r="D114" i="365" a="1"/>
  <c r="D114" i="365" s="1"/>
  <c r="H114" i="365" a="1"/>
  <c r="H114" i="365" s="1"/>
  <c r="L114" i="365" a="1"/>
  <c r="L114" i="365" s="1"/>
  <c r="G115" i="365" a="1"/>
  <c r="G115" i="365" s="1"/>
  <c r="K115" i="365" a="1"/>
  <c r="K115" i="365" s="1"/>
  <c r="O115" i="365" a="1"/>
  <c r="O115" i="365" s="1"/>
  <c r="F116" i="365" a="1"/>
  <c r="F116" i="365" s="1"/>
  <c r="J116" i="365" a="1"/>
  <c r="J116" i="365" s="1"/>
  <c r="N116" i="365" a="1"/>
  <c r="N116" i="365"/>
  <c r="F118" i="365" a="1"/>
  <c r="F118" i="365" s="1"/>
  <c r="J118" i="365" a="1"/>
  <c r="J118" i="365" s="1"/>
  <c r="N118" i="365" a="1"/>
  <c r="N118" i="365" s="1"/>
  <c r="E119" i="365" a="1"/>
  <c r="E119" i="365" s="1"/>
  <c r="I119" i="365" a="1"/>
  <c r="I119" i="365" s="1"/>
  <c r="M119" i="365" a="1"/>
  <c r="M119" i="365" s="1"/>
  <c r="D120" i="365" a="1"/>
  <c r="D120" i="365" s="1"/>
  <c r="H120" i="365" a="1"/>
  <c r="H120" i="365" s="1"/>
  <c r="L120" i="365" a="1"/>
  <c r="L120" i="365" s="1"/>
  <c r="G121" i="365" a="1"/>
  <c r="G121" i="365" s="1"/>
  <c r="K121" i="365" a="1"/>
  <c r="K121" i="365" s="1"/>
  <c r="O121" i="365" a="1"/>
  <c r="O121" i="365" s="1"/>
  <c r="F122" i="365" a="1"/>
  <c r="F122" i="365" s="1"/>
  <c r="J122" i="365" a="1"/>
  <c r="J122" i="365" s="1"/>
  <c r="N122" i="365" a="1"/>
  <c r="N122" i="365" s="1"/>
  <c r="E123" i="365" a="1"/>
  <c r="E123" i="365"/>
  <c r="I123" i="365" a="1"/>
  <c r="I123" i="365" s="1"/>
  <c r="M123" i="365" a="1"/>
  <c r="M123" i="365" s="1"/>
  <c r="D124" i="365" a="1"/>
  <c r="D124" i="365" s="1"/>
  <c r="H124" i="365" a="1"/>
  <c r="H124" i="365" s="1"/>
  <c r="L124" i="365" a="1"/>
  <c r="L124" i="365" s="1"/>
  <c r="G125" i="365" a="1"/>
  <c r="G125" i="365" s="1"/>
  <c r="K125" i="365" a="1"/>
  <c r="K125" i="365" s="1"/>
  <c r="O125" i="365" a="1"/>
  <c r="O125" i="365" s="1"/>
  <c r="K127" i="365" a="1"/>
  <c r="K127" i="365" s="1"/>
  <c r="F128" i="365" a="1"/>
  <c r="F128" i="365" s="1"/>
  <c r="J128" i="365" a="1"/>
  <c r="J128" i="365" s="1"/>
  <c r="F130" i="365" a="1"/>
  <c r="F130" i="365" s="1"/>
  <c r="N130" i="365" a="1"/>
  <c r="N130" i="365" s="1"/>
  <c r="D24" i="416" a="1"/>
  <c r="D24" i="416" s="1"/>
  <c r="D22" i="416" s="1"/>
  <c r="D20" i="416" s="1"/>
  <c r="D27" i="416" a="1"/>
  <c r="D27" i="416" s="1"/>
  <c r="E27" i="416" s="1"/>
  <c r="D30" i="416" a="1"/>
  <c r="D30" i="416" s="1"/>
  <c r="E30" i="416" s="1"/>
  <c r="E28" i="416" s="1"/>
  <c r="D33" i="416" a="1"/>
  <c r="D33" i="416" s="1"/>
  <c r="E33" i="416" s="1"/>
  <c r="D36" i="416" a="1"/>
  <c r="D36" i="416" s="1"/>
  <c r="E36" i="416" s="1"/>
  <c r="D38" i="416" a="1"/>
  <c r="D38" i="416" s="1"/>
  <c r="E38" i="416" s="1"/>
  <c r="D40" i="416" a="1"/>
  <c r="D40" i="416" s="1"/>
  <c r="E40" i="416" s="1"/>
  <c r="D42" i="416" a="1"/>
  <c r="D42" i="416" s="1"/>
  <c r="E42" i="416" s="1"/>
  <c r="D44" i="416" a="1"/>
  <c r="D44" i="416" s="1"/>
  <c r="E44" i="416" s="1"/>
  <c r="D49" i="416" a="1"/>
  <c r="D49" i="416" s="1"/>
  <c r="D51" i="416" a="1"/>
  <c r="D51" i="416" s="1"/>
  <c r="E51" i="416" s="1"/>
  <c r="D53" i="416" a="1"/>
  <c r="D53" i="416" s="1"/>
  <c r="E53" i="416" s="1"/>
  <c r="D55" i="416" a="1"/>
  <c r="D55" i="416" s="1"/>
  <c r="E55" i="416" s="1"/>
  <c r="D57" i="416" a="1"/>
  <c r="D57" i="416" s="1"/>
  <c r="E57" i="416" s="1"/>
  <c r="D59" i="416" a="1"/>
  <c r="D59" i="416" s="1"/>
  <c r="E59" i="416" s="1"/>
  <c r="D61" i="416" a="1"/>
  <c r="D61" i="416" s="1"/>
  <c r="E61" i="416" s="1"/>
  <c r="D63" i="416" a="1"/>
  <c r="D63" i="416" s="1"/>
  <c r="E63" i="416" s="1"/>
  <c r="D65" i="416" a="1"/>
  <c r="D65" i="416" s="1"/>
  <c r="E65" i="416" s="1"/>
  <c r="D67" i="416" a="1"/>
  <c r="D67" i="416" s="1"/>
  <c r="E67" i="416" s="1"/>
  <c r="D69" i="416" a="1"/>
  <c r="D69" i="416" s="1"/>
  <c r="E69" i="416" s="1"/>
  <c r="D71" i="416" a="1"/>
  <c r="D71" i="416" s="1"/>
  <c r="E71" i="416" s="1"/>
  <c r="D75" i="416" a="1"/>
  <c r="D75" i="416" s="1"/>
  <c r="E75" i="416" s="1"/>
  <c r="D77" i="416" a="1"/>
  <c r="D77" i="416" s="1"/>
  <c r="D79" i="416" a="1"/>
  <c r="D79" i="416" s="1"/>
  <c r="E79" i="416" s="1"/>
  <c r="D81" i="416" a="1"/>
  <c r="D81" i="416" s="1"/>
  <c r="E81" i="416" s="1"/>
  <c r="D83" i="416" a="1"/>
  <c r="D83" i="416" s="1"/>
  <c r="E83" i="416" s="1"/>
  <c r="D85" i="416" a="1"/>
  <c r="D85" i="416" s="1"/>
  <c r="E85" i="416" s="1"/>
  <c r="D87" i="416" a="1"/>
  <c r="D87" i="416" s="1"/>
  <c r="E87" i="416" s="1"/>
  <c r="D89" i="416" a="1"/>
  <c r="D89" i="416" s="1"/>
  <c r="E89" i="416" s="1"/>
  <c r="D91" i="416" a="1"/>
  <c r="D91" i="416" s="1"/>
  <c r="E91" i="416" s="1"/>
  <c r="D93" i="416" a="1"/>
  <c r="D93" i="416" s="1"/>
  <c r="E93" i="416" s="1"/>
  <c r="D95" i="416" a="1"/>
  <c r="D95" i="416" s="1"/>
  <c r="E95" i="416" s="1"/>
  <c r="D97" i="416" a="1"/>
  <c r="D97" i="416" s="1"/>
  <c r="E97" i="416" s="1"/>
  <c r="D99" i="416" a="1"/>
  <c r="D99" i="416" s="1"/>
  <c r="E99" i="416" s="1"/>
  <c r="D101" i="416" a="1"/>
  <c r="D101" i="416" s="1"/>
  <c r="E101" i="416" s="1"/>
  <c r="D103" i="416" a="1"/>
  <c r="D103" i="416" s="1"/>
  <c r="D105" i="416" a="1"/>
  <c r="D105" i="416" s="1"/>
  <c r="E105" i="416" s="1"/>
  <c r="D107" i="416" a="1"/>
  <c r="D107" i="416" s="1"/>
  <c r="D109" i="416" a="1"/>
  <c r="D109" i="416" s="1"/>
  <c r="E109" i="416" s="1"/>
  <c r="D111" i="416" a="1"/>
  <c r="D111" i="416" s="1"/>
  <c r="E111" i="416" s="1"/>
  <c r="D113" i="416" a="1"/>
  <c r="D113" i="416" s="1"/>
  <c r="E113" i="416" s="1"/>
  <c r="D115" i="416" a="1"/>
  <c r="D115" i="416" s="1"/>
  <c r="E115" i="416" s="1"/>
  <c r="D117" i="416" a="1"/>
  <c r="D117" i="416" s="1"/>
  <c r="E117" i="416" s="1"/>
  <c r="D119" i="416" a="1"/>
  <c r="D119" i="416" s="1"/>
  <c r="E119" i="416" s="1"/>
  <c r="D121" i="416" a="1"/>
  <c r="D121" i="416" s="1"/>
  <c r="E121" i="416" s="1"/>
  <c r="D123" i="416" a="1"/>
  <c r="D123" i="416" s="1"/>
  <c r="E123" i="416" s="1"/>
  <c r="D125" i="416" a="1"/>
  <c r="D125" i="416" s="1"/>
  <c r="E125" i="416" s="1"/>
  <c r="D127" i="416" a="1"/>
  <c r="D127" i="416" s="1"/>
  <c r="E127" i="416" s="1"/>
  <c r="D129" i="416" a="1"/>
  <c r="D129" i="416" s="1"/>
  <c r="E129" i="416" s="1"/>
  <c r="D131" i="416" a="1"/>
  <c r="D131" i="416" s="1"/>
  <c r="E131" i="416" s="1"/>
  <c r="D133" i="416" a="1"/>
  <c r="D133" i="416" s="1"/>
  <c r="E133" i="416" s="1"/>
  <c r="D135" i="416" a="1"/>
  <c r="D135" i="416" s="1"/>
  <c r="E135" i="416" s="1"/>
  <c r="D13" i="417" a="1"/>
  <c r="D13" i="417" s="1"/>
  <c r="D15" i="417" a="1"/>
  <c r="D15" i="417" s="1"/>
  <c r="E15" i="417" s="1"/>
  <c r="D18" i="417" a="1"/>
  <c r="D18" i="417" s="1"/>
  <c r="E18" i="417" s="1"/>
  <c r="D21" i="417" a="1"/>
  <c r="D21" i="417" s="1"/>
  <c r="E21" i="417" s="1"/>
  <c r="D24" i="417" a="1"/>
  <c r="D24" i="417" s="1"/>
  <c r="D22" i="417" s="1"/>
  <c r="D27" i="417" a="1"/>
  <c r="D27" i="417" s="1"/>
  <c r="E27" i="417" s="1"/>
  <c r="D30" i="417" a="1"/>
  <c r="D30" i="417" s="1"/>
  <c r="D33" i="417" a="1"/>
  <c r="D33" i="417" s="1"/>
  <c r="D36" i="417" a="1"/>
  <c r="D36" i="417" s="1"/>
  <c r="E36" i="417" s="1"/>
  <c r="D38" i="417" a="1"/>
  <c r="D38" i="417" s="1"/>
  <c r="E38" i="417" s="1"/>
  <c r="D40" i="417" a="1"/>
  <c r="D40" i="417" s="1"/>
  <c r="E40" i="417" s="1"/>
  <c r="D42" i="417" a="1"/>
  <c r="D42" i="417" s="1"/>
  <c r="E42" i="417" s="1"/>
  <c r="D44" i="417" a="1"/>
  <c r="D44" i="417" s="1"/>
  <c r="E44" i="417" s="1"/>
  <c r="D49" i="417" a="1"/>
  <c r="D49" i="417" s="1"/>
  <c r="E49" i="417" s="1"/>
  <c r="D51" i="417" a="1"/>
  <c r="D51" i="417" s="1"/>
  <c r="E51" i="417" s="1"/>
  <c r="D53" i="417" a="1"/>
  <c r="D53" i="417" s="1"/>
  <c r="E53" i="417" s="1"/>
  <c r="D55" i="417" a="1"/>
  <c r="D55" i="417" s="1"/>
  <c r="E55" i="417" s="1"/>
  <c r="D57" i="417" a="1"/>
  <c r="D57" i="417" s="1"/>
  <c r="E57" i="417" s="1"/>
  <c r="D59" i="417" a="1"/>
  <c r="D59" i="417" s="1"/>
  <c r="E59" i="417" s="1"/>
  <c r="D61" i="417" a="1"/>
  <c r="D61" i="417" s="1"/>
  <c r="E61" i="417" s="1"/>
  <c r="D63" i="417" a="1"/>
  <c r="D63" i="417" s="1"/>
  <c r="E63" i="417" s="1"/>
  <c r="D65" i="417" a="1"/>
  <c r="D65" i="417" s="1"/>
  <c r="E65" i="417" s="1"/>
  <c r="D67" i="417" a="1"/>
  <c r="D67" i="417" s="1"/>
  <c r="E67" i="417" s="1"/>
  <c r="D69" i="417" a="1"/>
  <c r="D69" i="417" s="1"/>
  <c r="E69" i="417" s="1"/>
  <c r="D71" i="417" a="1"/>
  <c r="D71" i="417" s="1"/>
  <c r="E71" i="417" s="1"/>
  <c r="D75" i="417" a="1"/>
  <c r="D75" i="417" s="1"/>
  <c r="E75" i="417" s="1"/>
  <c r="D77" i="417" a="1"/>
  <c r="D77" i="417" s="1"/>
  <c r="E77" i="417" s="1"/>
  <c r="D79" i="417" a="1"/>
  <c r="D79" i="417" s="1"/>
  <c r="E79" i="417" s="1"/>
  <c r="D81" i="417" a="1"/>
  <c r="D81" i="417" s="1"/>
  <c r="E81" i="417" s="1"/>
  <c r="D83" i="417" a="1"/>
  <c r="D83" i="417" s="1"/>
  <c r="D85" i="417" a="1"/>
  <c r="D85" i="417" s="1"/>
  <c r="E85" i="417" s="1"/>
  <c r="D87" i="417" a="1"/>
  <c r="D87" i="417" s="1"/>
  <c r="E87" i="417" s="1"/>
  <c r="D89" i="417" a="1"/>
  <c r="D89" i="417" s="1"/>
  <c r="E89" i="417" s="1"/>
  <c r="D91" i="417" a="1"/>
  <c r="D91" i="417" s="1"/>
  <c r="D93" i="417" a="1"/>
  <c r="D93" i="417" s="1"/>
  <c r="E93" i="417" s="1"/>
  <c r="D95" i="417" a="1"/>
  <c r="D95" i="417" s="1"/>
  <c r="E95" i="417" s="1"/>
  <c r="D97" i="417" a="1"/>
  <c r="D97" i="417" s="1"/>
  <c r="E97" i="417" s="1"/>
  <c r="D99" i="417" a="1"/>
  <c r="D99" i="417" s="1"/>
  <c r="E99" i="417" s="1"/>
  <c r="D101" i="417" a="1"/>
  <c r="D101" i="417" s="1"/>
  <c r="E101" i="417" s="1"/>
  <c r="D103" i="417" a="1"/>
  <c r="D103" i="417" s="1"/>
  <c r="E103" i="417" s="1"/>
  <c r="D105" i="417" a="1"/>
  <c r="D105" i="417" s="1"/>
  <c r="E105" i="417" s="1"/>
  <c r="D107" i="417" a="1"/>
  <c r="D107" i="417" s="1"/>
  <c r="E107" i="417" s="1"/>
  <c r="D109" i="417" a="1"/>
  <c r="D109" i="417" s="1"/>
  <c r="E109" i="417" s="1"/>
  <c r="D111" i="417" a="1"/>
  <c r="D111" i="417" s="1"/>
  <c r="E111" i="417" s="1"/>
  <c r="D113" i="417" a="1"/>
  <c r="D113" i="417" s="1"/>
  <c r="E113" i="417" s="1"/>
  <c r="D115" i="417" a="1"/>
  <c r="D115" i="417" s="1"/>
  <c r="E115" i="417" s="1"/>
  <c r="D117" i="417" a="1"/>
  <c r="D117" i="417" s="1"/>
  <c r="E117" i="417" s="1"/>
  <c r="D119" i="417" a="1"/>
  <c r="D119" i="417" s="1"/>
  <c r="E119" i="417" s="1"/>
  <c r="D121" i="417" a="1"/>
  <c r="D121" i="417" s="1"/>
  <c r="E121" i="417" s="1"/>
  <c r="D123" i="417" a="1"/>
  <c r="D123" i="417" s="1"/>
  <c r="E123" i="417" s="1"/>
  <c r="D125" i="417" a="1"/>
  <c r="D125" i="417" s="1"/>
  <c r="E125" i="417" s="1"/>
  <c r="D127" i="417" a="1"/>
  <c r="D127" i="417" s="1"/>
  <c r="E127" i="417" s="1"/>
  <c r="D129" i="417" a="1"/>
  <c r="D129" i="417" s="1"/>
  <c r="E129" i="417" s="1"/>
  <c r="D131" i="417" a="1"/>
  <c r="D131" i="417" s="1"/>
  <c r="E131" i="417" s="1"/>
  <c r="D133" i="417" a="1"/>
  <c r="D133" i="417" s="1"/>
  <c r="E133" i="417" s="1"/>
  <c r="D135" i="417" a="1"/>
  <c r="D135" i="417" s="1"/>
  <c r="E135" i="417" s="1"/>
  <c r="G160" i="365" a="1"/>
  <c r="G160" i="365" s="1"/>
  <c r="G158" i="365" a="1"/>
  <c r="G158" i="365" s="1"/>
  <c r="G156" i="365" a="1"/>
  <c r="G156" i="365" s="1"/>
  <c r="G149" i="365" a="1"/>
  <c r="G149" i="365" s="1"/>
  <c r="G147" i="365" a="1"/>
  <c r="G147" i="365" s="1"/>
  <c r="G145" i="365" a="1"/>
  <c r="G145" i="365" s="1"/>
  <c r="G143" i="365" a="1"/>
  <c r="G143" i="365" s="1"/>
  <c r="G139" i="365" a="1"/>
  <c r="G139" i="365" s="1"/>
  <c r="G135" i="365" a="1"/>
  <c r="G135" i="365" s="1"/>
  <c r="G133" i="365" a="1"/>
  <c r="G133" i="365" s="1"/>
  <c r="G166" i="365" a="1"/>
  <c r="G166" i="365" s="1"/>
  <c r="G78" i="365" a="1"/>
  <c r="G78" i="365" s="1"/>
  <c r="G74" i="365" a="1"/>
  <c r="G74" i="365" s="1"/>
  <c r="G72" i="365" a="1"/>
  <c r="G72" i="365" s="1"/>
  <c r="G68" i="365" a="1"/>
  <c r="G68" i="365" s="1"/>
  <c r="G66" i="365" a="1"/>
  <c r="G66" i="365" s="1"/>
  <c r="G64" i="365" a="1"/>
  <c r="G64" i="365" s="1"/>
  <c r="G62" i="365" a="1"/>
  <c r="G62" i="365" s="1"/>
  <c r="G60" i="365" a="1"/>
  <c r="G60" i="365" s="1"/>
  <c r="G58" i="365" a="1"/>
  <c r="G58" i="365" s="1"/>
  <c r="G56" i="365" a="1"/>
  <c r="G56" i="365" s="1"/>
  <c r="G159" i="365" a="1"/>
  <c r="G159" i="365" s="1"/>
  <c r="G157" i="365" a="1"/>
  <c r="G157" i="365" s="1"/>
  <c r="G155" i="365" a="1"/>
  <c r="G155" i="365" s="1"/>
  <c r="G150" i="365" a="1"/>
  <c r="G150" i="365" s="1"/>
  <c r="G148" i="365" a="1"/>
  <c r="G148" i="365" s="1"/>
  <c r="G144" i="365" a="1"/>
  <c r="G144" i="365" s="1"/>
  <c r="G142" i="365" a="1"/>
  <c r="G142" i="365" s="1"/>
  <c r="G140" i="365" a="1"/>
  <c r="G140" i="365" s="1"/>
  <c r="G138" i="365" a="1"/>
  <c r="G138" i="365" s="1"/>
  <c r="G136" i="365" a="1"/>
  <c r="G136" i="365" s="1"/>
  <c r="G132" i="365" a="1"/>
  <c r="G132" i="365" s="1"/>
  <c r="G130" i="365" a="1"/>
  <c r="G130" i="365" s="1"/>
  <c r="G79" i="365" a="1"/>
  <c r="G79" i="365" s="1"/>
  <c r="G75" i="365" a="1"/>
  <c r="G75" i="365" s="1"/>
  <c r="G73" i="365" a="1"/>
  <c r="G73" i="365" s="1"/>
  <c r="G71" i="365" a="1"/>
  <c r="G71" i="365"/>
  <c r="G69" i="365" a="1"/>
  <c r="G69" i="365" s="1"/>
  <c r="G67" i="365" a="1"/>
  <c r="G67" i="365" s="1"/>
  <c r="G63" i="365" a="1"/>
  <c r="G63" i="365" s="1"/>
  <c r="G61" i="365" a="1"/>
  <c r="G61" i="365" s="1"/>
  <c r="G59" i="365" a="1"/>
  <c r="G59" i="365" s="1"/>
  <c r="G57" i="365" a="1"/>
  <c r="G57" i="365" s="1"/>
  <c r="G55" i="365" a="1"/>
  <c r="G55" i="365" s="1"/>
  <c r="G53" i="365" a="1"/>
  <c r="G53" i="365"/>
  <c r="G51" i="365" a="1"/>
  <c r="G51" i="365" s="1"/>
  <c r="K160" i="365" a="1"/>
  <c r="K160" i="365" s="1"/>
  <c r="K158" i="365" a="1"/>
  <c r="K158" i="365" s="1"/>
  <c r="K156" i="365" a="1"/>
  <c r="K156" i="365" s="1"/>
  <c r="K149" i="365" a="1"/>
  <c r="K149" i="365" s="1"/>
  <c r="K147" i="365" a="1"/>
  <c r="K147" i="365" s="1"/>
  <c r="K145" i="365" a="1"/>
  <c r="K145" i="365" s="1"/>
  <c r="K143" i="365" a="1"/>
  <c r="K143" i="365" s="1"/>
  <c r="K139" i="365" a="1"/>
  <c r="K139" i="365" s="1"/>
  <c r="K135" i="365" a="1"/>
  <c r="K135" i="365" s="1"/>
  <c r="K133" i="365" a="1"/>
  <c r="K133" i="365" s="1"/>
  <c r="K131" i="365" a="1"/>
  <c r="K131" i="365" s="1"/>
  <c r="K166" i="365" a="1"/>
  <c r="K166" i="365" s="1"/>
  <c r="K78" i="365" a="1"/>
  <c r="K78" i="365" s="1"/>
  <c r="K74" i="365" a="1"/>
  <c r="K74" i="365" s="1"/>
  <c r="K72" i="365" a="1"/>
  <c r="K72" i="365"/>
  <c r="K68" i="365" a="1"/>
  <c r="K68" i="365" s="1"/>
  <c r="K66" i="365" a="1"/>
  <c r="K66" i="365" s="1"/>
  <c r="K64" i="365" a="1"/>
  <c r="K64" i="365" s="1"/>
  <c r="K62" i="365" a="1"/>
  <c r="K62" i="365" s="1"/>
  <c r="K60" i="365" a="1"/>
  <c r="K60" i="365" s="1"/>
  <c r="K58" i="365" a="1"/>
  <c r="K58" i="365" s="1"/>
  <c r="K56" i="365" a="1"/>
  <c r="K56" i="365" s="1"/>
  <c r="K54" i="365" a="1"/>
  <c r="K54" i="365"/>
  <c r="K159" i="365" a="1"/>
  <c r="K159" i="365" s="1"/>
  <c r="K157" i="365" a="1"/>
  <c r="K157" i="365" s="1"/>
  <c r="K155" i="365" a="1"/>
  <c r="K155" i="365" s="1"/>
  <c r="K150" i="365" a="1"/>
  <c r="K150" i="365" s="1"/>
  <c r="K148" i="365" a="1"/>
  <c r="K148" i="365" s="1"/>
  <c r="K144" i="365" a="1"/>
  <c r="K144" i="365" s="1"/>
  <c r="K142" i="365" a="1"/>
  <c r="K142" i="365" s="1"/>
  <c r="K140" i="365" a="1"/>
  <c r="K140" i="365"/>
  <c r="K138" i="365" a="1"/>
  <c r="K138" i="365" s="1"/>
  <c r="K136" i="365" a="1"/>
  <c r="K136" i="365" s="1"/>
  <c r="K132" i="365" a="1"/>
  <c r="K132" i="365" s="1"/>
  <c r="K130" i="365" a="1"/>
  <c r="K130" i="365" s="1"/>
  <c r="K79" i="365" a="1"/>
  <c r="K79" i="365" s="1"/>
  <c r="K75" i="365" a="1"/>
  <c r="K75" i="365" s="1"/>
  <c r="K73" i="365" a="1"/>
  <c r="K73" i="365" s="1"/>
  <c r="K71" i="365" a="1"/>
  <c r="K71" i="365" s="1"/>
  <c r="K69" i="365" a="1"/>
  <c r="K69" i="365" s="1"/>
  <c r="K67" i="365" a="1"/>
  <c r="K67" i="365" s="1"/>
  <c r="K63" i="365" a="1"/>
  <c r="K63" i="365" s="1"/>
  <c r="K61" i="365" a="1"/>
  <c r="K61" i="365" s="1"/>
  <c r="K59" i="365" a="1"/>
  <c r="K59" i="365" s="1"/>
  <c r="K57" i="365" a="1"/>
  <c r="K57" i="365" s="1"/>
  <c r="K55" i="365" a="1"/>
  <c r="K55" i="365" s="1"/>
  <c r="K53" i="365" a="1"/>
  <c r="K53" i="365"/>
  <c r="K51" i="365" a="1"/>
  <c r="K51" i="365" s="1"/>
  <c r="O160" i="365" a="1"/>
  <c r="O160" i="365" s="1"/>
  <c r="O158" i="365" a="1"/>
  <c r="O158" i="365" s="1"/>
  <c r="O156" i="365" a="1"/>
  <c r="O156" i="365" s="1"/>
  <c r="O149" i="365" a="1"/>
  <c r="O149" i="365" s="1"/>
  <c r="O147" i="365" a="1"/>
  <c r="O147" i="365" s="1"/>
  <c r="O145" i="365" a="1"/>
  <c r="O145" i="365" s="1"/>
  <c r="O143" i="365" a="1"/>
  <c r="O143" i="365" s="1"/>
  <c r="O139" i="365" a="1"/>
  <c r="O139" i="365" s="1"/>
  <c r="O135" i="365" a="1"/>
  <c r="O135" i="365" s="1"/>
  <c r="O133" i="365" a="1"/>
  <c r="O133" i="365" s="1"/>
  <c r="O131" i="365" a="1"/>
  <c r="O131" i="365" s="1"/>
  <c r="O166" i="365" a="1"/>
  <c r="O166" i="365" s="1"/>
  <c r="O78" i="365" a="1"/>
  <c r="O78" i="365" s="1"/>
  <c r="O74" i="365" a="1"/>
  <c r="O74" i="365" s="1"/>
  <c r="O72" i="365" a="1"/>
  <c r="O72" i="365" s="1"/>
  <c r="O68" i="365" a="1"/>
  <c r="O68" i="365" s="1"/>
  <c r="O66" i="365" a="1"/>
  <c r="O66" i="365" s="1"/>
  <c r="O64" i="365" a="1"/>
  <c r="O64" i="365" s="1"/>
  <c r="O62" i="365" a="1"/>
  <c r="O62" i="365" s="1"/>
  <c r="O60" i="365" a="1"/>
  <c r="O60" i="365" s="1"/>
  <c r="O58" i="365" a="1"/>
  <c r="O58" i="365" s="1"/>
  <c r="O56" i="365" a="1"/>
  <c r="O56" i="365" s="1"/>
  <c r="O54" i="365" a="1"/>
  <c r="O54" i="365" s="1"/>
  <c r="O159" i="365" a="1"/>
  <c r="O159" i="365" s="1"/>
  <c r="O157" i="365" a="1"/>
  <c r="O157" i="365" s="1"/>
  <c r="O155" i="365" a="1"/>
  <c r="O155" i="365" s="1"/>
  <c r="O150" i="365" a="1"/>
  <c r="O150" i="365" s="1"/>
  <c r="O148" i="365" a="1"/>
  <c r="O148" i="365" s="1"/>
  <c r="O144" i="365" a="1"/>
  <c r="O144" i="365" s="1"/>
  <c r="O142" i="365" a="1"/>
  <c r="O142" i="365" s="1"/>
  <c r="O140" i="365" a="1"/>
  <c r="O140" i="365"/>
  <c r="O138" i="365" a="1"/>
  <c r="O138" i="365" s="1"/>
  <c r="O136" i="365" a="1"/>
  <c r="O136" i="365" s="1"/>
  <c r="O132" i="365" a="1"/>
  <c r="O132" i="365" s="1"/>
  <c r="O130" i="365" a="1"/>
  <c r="O130" i="365" s="1"/>
  <c r="O128" i="365" a="1"/>
  <c r="O128" i="365" s="1"/>
  <c r="O79" i="365" a="1"/>
  <c r="O79" i="365" s="1"/>
  <c r="O75" i="365" a="1"/>
  <c r="O75" i="365" s="1"/>
  <c r="O73" i="365" a="1"/>
  <c r="O73" i="365" s="1"/>
  <c r="O71" i="365" a="1"/>
  <c r="O71" i="365" s="1"/>
  <c r="O69" i="365" a="1"/>
  <c r="O69" i="365" s="1"/>
  <c r="O67" i="365" a="1"/>
  <c r="O67" i="365" s="1"/>
  <c r="O63" i="365" a="1"/>
  <c r="O63" i="365" s="1"/>
  <c r="O61" i="365" a="1"/>
  <c r="O61" i="365" s="1"/>
  <c r="O59" i="365" a="1"/>
  <c r="O59" i="365" s="1"/>
  <c r="O57" i="365" a="1"/>
  <c r="O57" i="365" s="1"/>
  <c r="O55" i="365" a="1"/>
  <c r="O55" i="365"/>
  <c r="O53" i="365" a="1"/>
  <c r="O53" i="365" s="1"/>
  <c r="O51" i="365" a="1"/>
  <c r="O51" i="365" s="1"/>
  <c r="D12" i="365" a="1"/>
  <c r="D12" i="365" s="1"/>
  <c r="F12" i="365" a="1"/>
  <c r="F12" i="365" s="1"/>
  <c r="H12" i="365" a="1"/>
  <c r="H12" i="365" s="1"/>
  <c r="J12" i="365" a="1"/>
  <c r="J12" i="365" s="1"/>
  <c r="L12" i="365" a="1"/>
  <c r="L12" i="365" s="1"/>
  <c r="N12" i="365" a="1"/>
  <c r="N12" i="365" s="1"/>
  <c r="D14" i="365" a="1"/>
  <c r="D14" i="365" s="1"/>
  <c r="F14" i="365" a="1"/>
  <c r="F14" i="365" s="1"/>
  <c r="H14" i="365" a="1"/>
  <c r="H14" i="365" s="1"/>
  <c r="J14" i="365" a="1"/>
  <c r="J14" i="365" s="1"/>
  <c r="L14" i="365" a="1"/>
  <c r="L14" i="365" s="1"/>
  <c r="N14" i="365" a="1"/>
  <c r="N14" i="365" s="1"/>
  <c r="E15" i="365" a="1"/>
  <c r="E15" i="365" s="1"/>
  <c r="G15" i="365" a="1"/>
  <c r="G15" i="365" s="1"/>
  <c r="G13" i="365" s="1"/>
  <c r="G11" i="365" s="1"/>
  <c r="I15" i="365" a="1"/>
  <c r="I15" i="365" s="1"/>
  <c r="K15" i="365" a="1"/>
  <c r="K15" i="365" s="1"/>
  <c r="M15" i="365" a="1"/>
  <c r="M15" i="365" s="1"/>
  <c r="O15" i="365" a="1"/>
  <c r="O15" i="365" s="1"/>
  <c r="D16" i="365" a="1"/>
  <c r="D16" i="365" s="1"/>
  <c r="F16" i="365" a="1"/>
  <c r="F16" i="365" s="1"/>
  <c r="H16" i="365" a="1"/>
  <c r="H16" i="365"/>
  <c r="J16" i="365" a="1"/>
  <c r="J16" i="365" s="1"/>
  <c r="L16" i="365" a="1"/>
  <c r="L16" i="365" s="1"/>
  <c r="N16" i="365" a="1"/>
  <c r="N16" i="365" s="1"/>
  <c r="D18" i="365" a="1"/>
  <c r="D18" i="365" s="1"/>
  <c r="F18" i="365" a="1"/>
  <c r="F18" i="365" s="1"/>
  <c r="F17" i="365" s="1"/>
  <c r="H18" i="365" a="1"/>
  <c r="H18" i="365"/>
  <c r="H17" i="365" s="1"/>
  <c r="J18" i="365" a="1"/>
  <c r="J18" i="365" s="1"/>
  <c r="J17" i="365" s="1"/>
  <c r="L18" i="365" a="1"/>
  <c r="L18" i="365"/>
  <c r="L17" i="365" s="1"/>
  <c r="N18" i="365" a="1"/>
  <c r="N18" i="365" s="1"/>
  <c r="N17" i="365"/>
  <c r="E19" i="365" a="1"/>
  <c r="E19" i="365"/>
  <c r="G19" i="365" a="1"/>
  <c r="G19" i="365"/>
  <c r="I19" i="365" a="1"/>
  <c r="I19" i="365"/>
  <c r="K19" i="365" a="1"/>
  <c r="K19" i="365"/>
  <c r="M19" i="365" a="1"/>
  <c r="M19" i="365"/>
  <c r="O19" i="365" a="1"/>
  <c r="O19" i="365"/>
  <c r="E21" i="365" a="1"/>
  <c r="E21" i="365"/>
  <c r="E20" i="365" s="1"/>
  <c r="G21" i="365" a="1"/>
  <c r="G21" i="365" s="1"/>
  <c r="G20" i="365"/>
  <c r="I21" i="365" a="1"/>
  <c r="I21" i="365"/>
  <c r="I20" i="365" s="1"/>
  <c r="K21" i="365" a="1"/>
  <c r="K21" i="365" s="1"/>
  <c r="K20" i="365"/>
  <c r="M21" i="365" a="1"/>
  <c r="M21" i="365" s="1"/>
  <c r="O21" i="365" a="1"/>
  <c r="O21" i="365"/>
  <c r="O20" i="365" s="1"/>
  <c r="D22" i="365" a="1"/>
  <c r="D22" i="365" s="1"/>
  <c r="F22" i="365" a="1"/>
  <c r="F22" i="365" s="1"/>
  <c r="H22" i="365" a="1"/>
  <c r="H22" i="365" s="1"/>
  <c r="J22" i="365" a="1"/>
  <c r="J22" i="365" s="1"/>
  <c r="L22" i="365" a="1"/>
  <c r="L22" i="365" s="1"/>
  <c r="N22" i="365" a="1"/>
  <c r="N22" i="365" s="1"/>
  <c r="L51" i="365" a="1"/>
  <c r="L51" i="365" s="1"/>
  <c r="G52" i="365" a="1"/>
  <c r="G52" i="365" s="1"/>
  <c r="O52" i="365" a="1"/>
  <c r="O52" i="365" s="1"/>
  <c r="J53" i="365" a="1"/>
  <c r="J53" i="365" s="1"/>
  <c r="E54" i="365" a="1"/>
  <c r="E54" i="365" s="1"/>
  <c r="E87" i="365" a="1"/>
  <c r="E87" i="365" s="1"/>
  <c r="I87" i="365" a="1"/>
  <c r="I87" i="365" s="1"/>
  <c r="M87" i="365" a="1"/>
  <c r="M87" i="365" s="1"/>
  <c r="D88" i="365" a="1"/>
  <c r="D88" i="365" s="1"/>
  <c r="H88" i="365" a="1"/>
  <c r="H88" i="365" s="1"/>
  <c r="L88" i="365" a="1"/>
  <c r="L88" i="365" s="1"/>
  <c r="D90" i="365" a="1"/>
  <c r="D90" i="365" s="1"/>
  <c r="H90" i="365" a="1"/>
  <c r="H90" i="365" s="1"/>
  <c r="L90" i="365" a="1"/>
  <c r="L90" i="365" s="1"/>
  <c r="G91" i="365" a="1"/>
  <c r="G91" i="365" s="1"/>
  <c r="K91" i="365" a="1"/>
  <c r="K91" i="365"/>
  <c r="O91" i="365" a="1"/>
  <c r="O91" i="365" s="1"/>
  <c r="F92" i="365" a="1"/>
  <c r="F92" i="365" s="1"/>
  <c r="J92" i="365" a="1"/>
  <c r="J92" i="365" s="1"/>
  <c r="N92" i="365" a="1"/>
  <c r="N92" i="365" s="1"/>
  <c r="E93" i="365" a="1"/>
  <c r="E93" i="365" s="1"/>
  <c r="I93" i="365" a="1"/>
  <c r="I93" i="365" s="1"/>
  <c r="M93" i="365" a="1"/>
  <c r="M93" i="365" s="1"/>
  <c r="D94" i="365" a="1"/>
  <c r="D94" i="365"/>
  <c r="H94" i="365" a="1"/>
  <c r="H94" i="365" s="1"/>
  <c r="L94" i="365" a="1"/>
  <c r="L94" i="365" s="1"/>
  <c r="G95" i="365" a="1"/>
  <c r="G95" i="365" s="1"/>
  <c r="K95" i="365" a="1"/>
  <c r="K95" i="365" s="1"/>
  <c r="O95" i="365" a="1"/>
  <c r="O95" i="365" s="1"/>
  <c r="F96" i="365" a="1"/>
  <c r="F96" i="365" s="1"/>
  <c r="J96" i="365" a="1"/>
  <c r="J96" i="365" s="1"/>
  <c r="N96" i="365" a="1"/>
  <c r="N96" i="365" s="1"/>
  <c r="F98" i="365" a="1"/>
  <c r="F98" i="365" s="1"/>
  <c r="J98" i="365" a="1"/>
  <c r="J98" i="365" s="1"/>
  <c r="N98" i="365" a="1"/>
  <c r="N98" i="365" s="1"/>
  <c r="F100" i="365" a="1"/>
  <c r="F100" i="365" s="1"/>
  <c r="J100" i="365" a="1"/>
  <c r="J100" i="365" s="1"/>
  <c r="N100" i="365" a="1"/>
  <c r="N100" i="365" s="1"/>
  <c r="E101" i="365" a="1"/>
  <c r="E101" i="365" s="1"/>
  <c r="I101" i="365" a="1"/>
  <c r="I101" i="365"/>
  <c r="M101" i="365" a="1"/>
  <c r="M101" i="365" s="1"/>
  <c r="E103" i="365" a="1"/>
  <c r="E103" i="365" s="1"/>
  <c r="I103" i="365" a="1"/>
  <c r="I103" i="365" s="1"/>
  <c r="M103" i="365" a="1"/>
  <c r="M103" i="365" s="1"/>
  <c r="D104" i="365" a="1"/>
  <c r="D104" i="365" s="1"/>
  <c r="H104" i="365" a="1"/>
  <c r="H104" i="365" s="1"/>
  <c r="L104" i="365" a="1"/>
  <c r="L104" i="365" s="1"/>
  <c r="G105" i="365" a="1"/>
  <c r="G105" i="365"/>
  <c r="K105" i="365" a="1"/>
  <c r="K105" i="365" s="1"/>
  <c r="O105" i="365" a="1"/>
  <c r="O105" i="365" s="1"/>
  <c r="F106" i="365" a="1"/>
  <c r="F106" i="365" s="1"/>
  <c r="J106" i="365" a="1"/>
  <c r="J106" i="365" s="1"/>
  <c r="N106" i="365" a="1"/>
  <c r="N106" i="365" s="1"/>
  <c r="E107" i="365" a="1"/>
  <c r="E107" i="365" s="1"/>
  <c r="I107" i="365" a="1"/>
  <c r="I107" i="365" s="1"/>
  <c r="M107" i="365" a="1"/>
  <c r="M107" i="365"/>
  <c r="F109" i="365" a="1"/>
  <c r="F109" i="365" s="1"/>
  <c r="J109" i="365" a="1"/>
  <c r="J109" i="365" s="1"/>
  <c r="N109" i="365" a="1"/>
  <c r="N109" i="365" s="1"/>
  <c r="E110" i="365" a="1"/>
  <c r="E110" i="365" s="1"/>
  <c r="I110" i="365" a="1"/>
  <c r="I110" i="365" s="1"/>
  <c r="M110" i="365" a="1"/>
  <c r="M110" i="365" s="1"/>
  <c r="D111" i="365" a="1"/>
  <c r="D111" i="365" s="1"/>
  <c r="H111" i="365" a="1"/>
  <c r="H111" i="365" s="1"/>
  <c r="L111" i="365" a="1"/>
  <c r="L111" i="365" s="1"/>
  <c r="G112" i="365" a="1"/>
  <c r="G112" i="365" s="1"/>
  <c r="K112" i="365" a="1"/>
  <c r="K112" i="365" s="1"/>
  <c r="O112" i="365" a="1"/>
  <c r="O112" i="365" s="1"/>
  <c r="F113" i="365" a="1"/>
  <c r="F113" i="365" s="1"/>
  <c r="J113" i="365" a="1"/>
  <c r="J113" i="365" s="1"/>
  <c r="N113" i="365" a="1"/>
  <c r="N113" i="365" s="1"/>
  <c r="E114" i="365" a="1"/>
  <c r="E114" i="365"/>
  <c r="I114" i="365" a="1"/>
  <c r="I114" i="365" s="1"/>
  <c r="M114" i="365" a="1"/>
  <c r="M114" i="365" s="1"/>
  <c r="D115" i="365" a="1"/>
  <c r="D115" i="365" s="1"/>
  <c r="H115" i="365" a="1"/>
  <c r="H115" i="365" s="1"/>
  <c r="L115" i="365" a="1"/>
  <c r="L115" i="365" s="1"/>
  <c r="G116" i="365" a="1"/>
  <c r="G116" i="365" s="1"/>
  <c r="K116" i="365" a="1"/>
  <c r="K116" i="365" s="1"/>
  <c r="O116" i="365" a="1"/>
  <c r="O116" i="365" s="1"/>
  <c r="G118" i="365" a="1"/>
  <c r="G118" i="365" s="1"/>
  <c r="K118" i="365" a="1"/>
  <c r="K118" i="365" s="1"/>
  <c r="O118" i="365" a="1"/>
  <c r="O118" i="365" s="1"/>
  <c r="F119" i="365" a="1"/>
  <c r="F119" i="365" s="1"/>
  <c r="J119" i="365" a="1"/>
  <c r="J119" i="365" s="1"/>
  <c r="N119" i="365" a="1"/>
  <c r="N119" i="365" s="1"/>
  <c r="E120" i="365" a="1"/>
  <c r="E120" i="365" s="1"/>
  <c r="I120" i="365" a="1"/>
  <c r="I120" i="365" s="1"/>
  <c r="M120" i="365" a="1"/>
  <c r="M120" i="365" s="1"/>
  <c r="D121" i="365" a="1"/>
  <c r="D121" i="365" s="1"/>
  <c r="H121" i="365" a="1"/>
  <c r="H121" i="365" s="1"/>
  <c r="L121" i="365" a="1"/>
  <c r="L121" i="365" s="1"/>
  <c r="G122" i="365" a="1"/>
  <c r="G122" i="365" s="1"/>
  <c r="K122" i="365" a="1"/>
  <c r="K122" i="365" s="1"/>
  <c r="O122" i="365" a="1"/>
  <c r="O122" i="365" s="1"/>
  <c r="F123" i="365" a="1"/>
  <c r="F123" i="365" s="1"/>
  <c r="J123" i="365" a="1"/>
  <c r="J123" i="365" s="1"/>
  <c r="N123" i="365" a="1"/>
  <c r="N123" i="365" s="1"/>
  <c r="E124" i="365" a="1"/>
  <c r="E124" i="365" s="1"/>
  <c r="I124" i="365" a="1"/>
  <c r="I124" i="365" s="1"/>
  <c r="M124" i="365" a="1"/>
  <c r="M124" i="365" s="1"/>
  <c r="D125" i="365" a="1"/>
  <c r="D125" i="365" s="1"/>
  <c r="H125" i="365" a="1"/>
  <c r="H125" i="365" s="1"/>
  <c r="L125" i="365" a="1"/>
  <c r="L125" i="365"/>
  <c r="H127" i="365" a="1"/>
  <c r="H127" i="365" s="1"/>
  <c r="G128" i="365" a="1"/>
  <c r="G128" i="365" s="1"/>
  <c r="K128" i="365" a="1"/>
  <c r="K128" i="365" s="1"/>
  <c r="E129" i="365" a="1"/>
  <c r="E129" i="365" s="1"/>
  <c r="M129" i="365" a="1"/>
  <c r="M129" i="365" s="1"/>
  <c r="D11" i="412" a="1"/>
  <c r="D11" i="412" s="1"/>
  <c r="E11" i="412" s="1"/>
  <c r="D14" i="412" a="1"/>
  <c r="D14" i="412" s="1"/>
  <c r="D17" i="412" a="1"/>
  <c r="D17" i="412" s="1"/>
  <c r="D19" i="412" a="1"/>
  <c r="D19" i="412" s="1"/>
  <c r="E19" i="412" s="1"/>
  <c r="D23" i="412" a="1"/>
  <c r="D23" i="412" s="1"/>
  <c r="E23" i="412" s="1"/>
  <c r="D25" i="412" a="1"/>
  <c r="D25" i="412" s="1"/>
  <c r="E25" i="412" s="1"/>
  <c r="D29" i="412" a="1"/>
  <c r="D29" i="412" s="1"/>
  <c r="D32" i="412" a="1"/>
  <c r="D32" i="412" s="1"/>
  <c r="E32" i="412" s="1"/>
  <c r="D34" i="412" a="1"/>
  <c r="D34" i="412" s="1"/>
  <c r="E34" i="412" s="1"/>
  <c r="D37" i="412" a="1"/>
  <c r="D37" i="412" s="1"/>
  <c r="D39" i="412" a="1"/>
  <c r="D39" i="412" s="1"/>
  <c r="E39" i="412" s="1"/>
  <c r="D41" i="412" a="1"/>
  <c r="D41" i="412" s="1"/>
  <c r="E41" i="412" s="1"/>
  <c r="D43" i="412" a="1"/>
  <c r="D43" i="412" s="1"/>
  <c r="E43" i="412" s="1"/>
  <c r="D48" i="412" a="1"/>
  <c r="D48" i="412" s="1"/>
  <c r="D50" i="412" a="1"/>
  <c r="D50" i="412" s="1"/>
  <c r="E50" i="412" s="1"/>
  <c r="D52" i="412" a="1"/>
  <c r="D52" i="412" s="1"/>
  <c r="E52" i="412" s="1"/>
  <c r="D54" i="412" a="1"/>
  <c r="D54" i="412" s="1"/>
  <c r="E54" i="412" s="1"/>
  <c r="D56" i="412" a="1"/>
  <c r="D56" i="412" s="1"/>
  <c r="D58" i="412" a="1"/>
  <c r="D58" i="412" s="1"/>
  <c r="E58" i="412" s="1"/>
  <c r="D60" i="412" a="1"/>
  <c r="D60" i="412" s="1"/>
  <c r="E60" i="412" s="1"/>
  <c r="D62" i="412" a="1"/>
  <c r="D62" i="412" s="1"/>
  <c r="D64" i="412" a="1"/>
  <c r="D64" i="412" s="1"/>
  <c r="E64" i="412" s="1"/>
  <c r="D66" i="412" a="1"/>
  <c r="D66" i="412" s="1"/>
  <c r="E66" i="412" s="1"/>
  <c r="D68" i="412" a="1"/>
  <c r="D68" i="412" s="1"/>
  <c r="E68" i="412" s="1"/>
  <c r="D70" i="412" a="1"/>
  <c r="D70" i="412" s="1"/>
  <c r="E70" i="412" s="1"/>
  <c r="D72" i="412" a="1"/>
  <c r="D72" i="412" s="1"/>
  <c r="E72" i="412" s="1"/>
  <c r="D76" i="412" a="1"/>
  <c r="D76" i="412" s="1"/>
  <c r="E76" i="412" s="1"/>
  <c r="D78" i="412" a="1"/>
  <c r="D78" i="412" s="1"/>
  <c r="E78" i="412" s="1"/>
  <c r="D80" i="412" a="1"/>
  <c r="D80" i="412" s="1"/>
  <c r="E80" i="412" s="1"/>
  <c r="D82" i="412" a="1"/>
  <c r="D82" i="412" s="1"/>
  <c r="E82" i="412" s="1"/>
  <c r="D84" i="412" a="1"/>
  <c r="D84" i="412" s="1"/>
  <c r="E84" i="412" s="1"/>
  <c r="D86" i="412" a="1"/>
  <c r="D86" i="412" s="1"/>
  <c r="E86" i="412" s="1"/>
  <c r="D88" i="412" a="1"/>
  <c r="D88" i="412" s="1"/>
  <c r="E88" i="412" s="1"/>
  <c r="D90" i="412" a="1"/>
  <c r="D90" i="412" s="1"/>
  <c r="E90" i="412" s="1"/>
  <c r="D92" i="412" a="1"/>
  <c r="D92" i="412" s="1"/>
  <c r="E92" i="412" s="1"/>
  <c r="D94" i="412" a="1"/>
  <c r="D94" i="412" s="1"/>
  <c r="D96" i="412" a="1"/>
  <c r="D96" i="412" s="1"/>
  <c r="E96" i="412" s="1"/>
  <c r="D98" i="412" a="1"/>
  <c r="D98" i="412" s="1"/>
  <c r="E98" i="412" s="1"/>
  <c r="D100" i="412" a="1"/>
  <c r="D100" i="412" s="1"/>
  <c r="E100" i="412" s="1"/>
  <c r="D102" i="412" a="1"/>
  <c r="D102" i="412" s="1"/>
  <c r="E102" i="412" s="1"/>
  <c r="D104" i="412" a="1"/>
  <c r="D104" i="412" s="1"/>
  <c r="E104" i="412" s="1"/>
  <c r="D106" i="412" a="1"/>
  <c r="D106" i="412" s="1"/>
  <c r="E106" i="412" s="1"/>
  <c r="D108" i="412" a="1"/>
  <c r="D108" i="412" s="1"/>
  <c r="E108" i="412" s="1"/>
  <c r="D110" i="412" a="1"/>
  <c r="D110" i="412" s="1"/>
  <c r="E110" i="412" s="1"/>
  <c r="D112" i="412" a="1"/>
  <c r="D112" i="412" s="1"/>
  <c r="E112" i="412" s="1"/>
  <c r="D114" i="412" a="1"/>
  <c r="D114" i="412" s="1"/>
  <c r="E114" i="412" s="1"/>
  <c r="D116" i="412" a="1"/>
  <c r="D116" i="412" s="1"/>
  <c r="E116" i="412" s="1"/>
  <c r="D118" i="412" a="1"/>
  <c r="D118" i="412" s="1"/>
  <c r="E118" i="412" s="1"/>
  <c r="D120" i="412" a="1"/>
  <c r="D120" i="412" s="1"/>
  <c r="E120" i="412" s="1"/>
  <c r="D122" i="412" a="1"/>
  <c r="D122" i="412" s="1"/>
  <c r="E122" i="412" s="1"/>
  <c r="D124" i="412" a="1"/>
  <c r="D124" i="412" s="1"/>
  <c r="E124" i="412" s="1"/>
  <c r="D126" i="412" a="1"/>
  <c r="D126" i="412" s="1"/>
  <c r="E126" i="412" s="1"/>
  <c r="D128" i="412" a="1"/>
  <c r="D128" i="412" s="1"/>
  <c r="E128" i="412" s="1"/>
  <c r="D130" i="412" a="1"/>
  <c r="D130" i="412" s="1"/>
  <c r="E130" i="412" s="1"/>
  <c r="D132" i="412" a="1"/>
  <c r="D132" i="412" s="1"/>
  <c r="E132" i="412" s="1"/>
  <c r="D134" i="412" a="1"/>
  <c r="D134" i="412" s="1"/>
  <c r="E134" i="412" s="1"/>
  <c r="D159" i="365" a="1"/>
  <c r="D159" i="365"/>
  <c r="D157" i="365" a="1"/>
  <c r="D157" i="365"/>
  <c r="D155" i="365" a="1"/>
  <c r="D155" i="365"/>
  <c r="D150" i="365" a="1"/>
  <c r="D150" i="365"/>
  <c r="D148" i="365" a="1"/>
  <c r="D148" i="365"/>
  <c r="D144" i="365" a="1"/>
  <c r="D144" i="365"/>
  <c r="D142" i="365" a="1"/>
  <c r="D142" i="365" s="1"/>
  <c r="D140" i="365" a="1"/>
  <c r="D140" i="365"/>
  <c r="D138" i="365" a="1"/>
  <c r="D138" i="365"/>
  <c r="D136" i="365" a="1"/>
  <c r="D136" i="365"/>
  <c r="D132" i="365" a="1"/>
  <c r="D132" i="365"/>
  <c r="D79" i="365" a="1"/>
  <c r="D79" i="365"/>
  <c r="D75" i="365" a="1"/>
  <c r="D75" i="365"/>
  <c r="D73" i="365" a="1"/>
  <c r="D73" i="365"/>
  <c r="D71" i="365" a="1"/>
  <c r="D71" i="365" s="1"/>
  <c r="D69" i="365" a="1"/>
  <c r="D69" i="365"/>
  <c r="D67" i="365" a="1"/>
  <c r="D67" i="365"/>
  <c r="D63" i="365" a="1"/>
  <c r="D63" i="365"/>
  <c r="D61" i="365" a="1"/>
  <c r="D61" i="365"/>
  <c r="D59" i="365" a="1"/>
  <c r="D59" i="365"/>
  <c r="D57" i="365" a="1"/>
  <c r="D57" i="365"/>
  <c r="D55" i="365" a="1"/>
  <c r="D55" i="365"/>
  <c r="D160" i="365" a="1"/>
  <c r="D160" i="365" s="1"/>
  <c r="D158" i="365" a="1"/>
  <c r="D158" i="365"/>
  <c r="D156" i="365" a="1"/>
  <c r="D156" i="365"/>
  <c r="D149" i="365" a="1"/>
  <c r="D149" i="365"/>
  <c r="D147" i="365" a="1"/>
  <c r="D147" i="365"/>
  <c r="D145" i="365" a="1"/>
  <c r="D145" i="365"/>
  <c r="D143" i="365" a="1"/>
  <c r="D143" i="365"/>
  <c r="D139" i="365" a="1"/>
  <c r="D139" i="365"/>
  <c r="D135" i="365" a="1"/>
  <c r="D135" i="365" s="1"/>
  <c r="D133" i="365" a="1"/>
  <c r="D133" i="365"/>
  <c r="D131" i="365" a="1"/>
  <c r="D131" i="365"/>
  <c r="D129" i="365" a="1"/>
  <c r="D129" i="365"/>
  <c r="D166" i="365" a="1"/>
  <c r="D166" i="365"/>
  <c r="D78" i="365" a="1"/>
  <c r="D78" i="365"/>
  <c r="D74" i="365" a="1"/>
  <c r="D74" i="365"/>
  <c r="D72" i="365" a="1"/>
  <c r="D72" i="365"/>
  <c r="D68" i="365" a="1"/>
  <c r="D68" i="365" s="1"/>
  <c r="D66" i="365" a="1"/>
  <c r="D66" i="365"/>
  <c r="D64" i="365" a="1"/>
  <c r="D64" i="365"/>
  <c r="D62" i="365" a="1"/>
  <c r="D62" i="365"/>
  <c r="D60" i="365" a="1"/>
  <c r="D60" i="365"/>
  <c r="D58" i="365" a="1"/>
  <c r="D58" i="365"/>
  <c r="D56" i="365" a="1"/>
  <c r="D56" i="365"/>
  <c r="D54" i="365" a="1"/>
  <c r="D54" i="365"/>
  <c r="D52" i="365" a="1"/>
  <c r="D52" i="365" s="1"/>
  <c r="H159" i="365" a="1"/>
  <c r="H159" i="365"/>
  <c r="H157" i="365" a="1"/>
  <c r="H157" i="365"/>
  <c r="H155" i="365" a="1"/>
  <c r="H155" i="365"/>
  <c r="H150" i="365" a="1"/>
  <c r="H150" i="365"/>
  <c r="H148" i="365" a="1"/>
  <c r="H148" i="365"/>
  <c r="H144" i="365" a="1"/>
  <c r="H144" i="365"/>
  <c r="H142" i="365" a="1"/>
  <c r="H142" i="365"/>
  <c r="H140" i="365" a="1"/>
  <c r="H140" i="365" s="1"/>
  <c r="H138" i="365" a="1"/>
  <c r="H138" i="365"/>
  <c r="H136" i="365" a="1"/>
  <c r="H136" i="365"/>
  <c r="H132" i="365" a="1"/>
  <c r="H132" i="365"/>
  <c r="H79" i="365" a="1"/>
  <c r="H79" i="365"/>
  <c r="H75" i="365" a="1"/>
  <c r="H75" i="365"/>
  <c r="H73" i="365" a="1"/>
  <c r="H73" i="365"/>
  <c r="H71" i="365" a="1"/>
  <c r="H71" i="365"/>
  <c r="H69" i="365" a="1"/>
  <c r="H69" i="365" s="1"/>
  <c r="H67" i="365" a="1"/>
  <c r="H67" i="365"/>
  <c r="H63" i="365" a="1"/>
  <c r="H63" i="365"/>
  <c r="H61" i="365" a="1"/>
  <c r="H61" i="365"/>
  <c r="H59" i="365" a="1"/>
  <c r="H59" i="365"/>
  <c r="H57" i="365" a="1"/>
  <c r="H57" i="365"/>
  <c r="H55" i="365" a="1"/>
  <c r="H55" i="365"/>
  <c r="H160" i="365" a="1"/>
  <c r="H160" i="365"/>
  <c r="H158" i="365" a="1"/>
  <c r="H158" i="365" s="1"/>
  <c r="H156" i="365" a="1"/>
  <c r="H156" i="365"/>
  <c r="H149" i="365" a="1"/>
  <c r="H149" i="365"/>
  <c r="H147" i="365" a="1"/>
  <c r="H147" i="365"/>
  <c r="H145" i="365" a="1"/>
  <c r="H145" i="365"/>
  <c r="H143" i="365" a="1"/>
  <c r="H143" i="365"/>
  <c r="H139" i="365" a="1"/>
  <c r="H139" i="365"/>
  <c r="H135" i="365" a="1"/>
  <c r="H135" i="365"/>
  <c r="H133" i="365" a="1"/>
  <c r="H133" i="365" s="1"/>
  <c r="H131" i="365" a="1"/>
  <c r="H131" i="365"/>
  <c r="H129" i="365" a="1"/>
  <c r="H129" i="365"/>
  <c r="H166" i="365" a="1"/>
  <c r="H166" i="365"/>
  <c r="H78" i="365" a="1"/>
  <c r="H78" i="365"/>
  <c r="H77" i="365" s="1"/>
  <c r="H74" i="365" a="1"/>
  <c r="H74" i="365" s="1"/>
  <c r="H72" i="365" a="1"/>
  <c r="H72" i="365" s="1"/>
  <c r="H68" i="365" a="1"/>
  <c r="H68" i="365" s="1"/>
  <c r="H66" i="365" a="1"/>
  <c r="H66" i="365" s="1"/>
  <c r="H64" i="365" a="1"/>
  <c r="H64" i="365" s="1"/>
  <c r="H62" i="365" a="1"/>
  <c r="H62" i="365" s="1"/>
  <c r="H60" i="365" a="1"/>
  <c r="H60" i="365" s="1"/>
  <c r="H58" i="365" a="1"/>
  <c r="H58" i="365" s="1"/>
  <c r="H56" i="365" a="1"/>
  <c r="H56" i="365" s="1"/>
  <c r="H54" i="365" a="1"/>
  <c r="H54" i="365" s="1"/>
  <c r="H52" i="365" a="1"/>
  <c r="H52" i="365"/>
  <c r="L159" i="365" a="1"/>
  <c r="L159" i="365" s="1"/>
  <c r="L157" i="365" a="1"/>
  <c r="L157" i="365" s="1"/>
  <c r="L155" i="365" a="1"/>
  <c r="L155" i="365" s="1"/>
  <c r="L150" i="365" a="1"/>
  <c r="L150" i="365" s="1"/>
  <c r="L148" i="365" a="1"/>
  <c r="L148" i="365" s="1"/>
  <c r="L144" i="365" a="1"/>
  <c r="L144" i="365" s="1"/>
  <c r="L142" i="365" a="1"/>
  <c r="L142" i="365" s="1"/>
  <c r="L140" i="365" a="1"/>
  <c r="L140" i="365" s="1"/>
  <c r="L138" i="365" a="1"/>
  <c r="L138" i="365" s="1"/>
  <c r="L136" i="365" a="1"/>
  <c r="L136" i="365" s="1"/>
  <c r="L132" i="365" a="1"/>
  <c r="L132" i="365" s="1"/>
  <c r="L79" i="365" a="1"/>
  <c r="L79" i="365" s="1"/>
  <c r="L75" i="365" a="1"/>
  <c r="L75" i="365" s="1"/>
  <c r="L73" i="365" a="1"/>
  <c r="L73" i="365" s="1"/>
  <c r="L71" i="365" a="1"/>
  <c r="L71" i="365" s="1"/>
  <c r="L69" i="365" a="1"/>
  <c r="L69" i="365" s="1"/>
  <c r="L67" i="365" a="1"/>
  <c r="L67" i="365" s="1"/>
  <c r="L63" i="365" a="1"/>
  <c r="L63" i="365" s="1"/>
  <c r="L61" i="365" a="1"/>
  <c r="L61" i="365" s="1"/>
  <c r="L59" i="365" a="1"/>
  <c r="L59" i="365" s="1"/>
  <c r="L57" i="365" a="1"/>
  <c r="L57" i="365" s="1"/>
  <c r="L55" i="365" a="1"/>
  <c r="L55" i="365" s="1"/>
  <c r="L160" i="365" a="1"/>
  <c r="L160" i="365" s="1"/>
  <c r="L158" i="365" a="1"/>
  <c r="L158" i="365" s="1"/>
  <c r="L156" i="365" a="1"/>
  <c r="L156" i="365" s="1"/>
  <c r="L149" i="365" a="1"/>
  <c r="L149" i="365" s="1"/>
  <c r="L147" i="365" a="1"/>
  <c r="L147" i="365" s="1"/>
  <c r="L145" i="365" a="1"/>
  <c r="L145" i="365" s="1"/>
  <c r="L143" i="365" a="1"/>
  <c r="L143" i="365" s="1"/>
  <c r="L139" i="365" a="1"/>
  <c r="L139" i="365" s="1"/>
  <c r="L135" i="365" a="1"/>
  <c r="L135" i="365" s="1"/>
  <c r="L133" i="365" a="1"/>
  <c r="L133" i="365" s="1"/>
  <c r="L131" i="365" a="1"/>
  <c r="L131" i="365" s="1"/>
  <c r="L129" i="365" a="1"/>
  <c r="L129" i="365" s="1"/>
  <c r="L166" i="365" a="1"/>
  <c r="L166" i="365" s="1"/>
  <c r="L78" i="365" a="1"/>
  <c r="L78" i="365" s="1"/>
  <c r="L77" i="365" s="1"/>
  <c r="L74" i="365" a="1"/>
  <c r="L74" i="365"/>
  <c r="L72" i="365" a="1"/>
  <c r="L72" i="365"/>
  <c r="L68" i="365" a="1"/>
  <c r="L68" i="365"/>
  <c r="L66" i="365" a="1"/>
  <c r="L66" i="365"/>
  <c r="L64" i="365" a="1"/>
  <c r="L64" i="365"/>
  <c r="L62" i="365" a="1"/>
  <c r="L62" i="365"/>
  <c r="L60" i="365" a="1"/>
  <c r="L60" i="365"/>
  <c r="L58" i="365" a="1"/>
  <c r="L58" i="365"/>
  <c r="L56" i="365" a="1"/>
  <c r="L56" i="365"/>
  <c r="L54" i="365" a="1"/>
  <c r="L54" i="365"/>
  <c r="L52" i="365" a="1"/>
  <c r="L52" i="365" s="1"/>
  <c r="D31" i="365" a="1"/>
  <c r="D31" i="365"/>
  <c r="H31" i="365" a="1"/>
  <c r="H31" i="365"/>
  <c r="H30" i="365" s="1"/>
  <c r="L31" i="365" a="1"/>
  <c r="L31" i="365" s="1"/>
  <c r="L30" i="365" s="1"/>
  <c r="D33" i="365" a="1"/>
  <c r="D33" i="365"/>
  <c r="F33" i="365" a="1"/>
  <c r="F33" i="365"/>
  <c r="H33" i="365" a="1"/>
  <c r="H33" i="365"/>
  <c r="J33" i="365" a="1"/>
  <c r="J33" i="365"/>
  <c r="L33" i="365" a="1"/>
  <c r="L33" i="365" s="1"/>
  <c r="N33" i="365" a="1"/>
  <c r="N33" i="365"/>
  <c r="D35" i="365" a="1"/>
  <c r="D35" i="365"/>
  <c r="F35" i="365" a="1"/>
  <c r="F35" i="365"/>
  <c r="H35" i="365" a="1"/>
  <c r="H35" i="365"/>
  <c r="J35" i="365" a="1"/>
  <c r="J35" i="365"/>
  <c r="L35" i="365" a="1"/>
  <c r="L35" i="365"/>
  <c r="N35" i="365" a="1"/>
  <c r="N35" i="365"/>
  <c r="D37" i="365" a="1"/>
  <c r="D37" i="365" s="1"/>
  <c r="F37" i="365" a="1"/>
  <c r="F37" i="365"/>
  <c r="H37" i="365" a="1"/>
  <c r="H37" i="365"/>
  <c r="J37" i="365" a="1"/>
  <c r="J37" i="365"/>
  <c r="L37" i="365" a="1"/>
  <c r="L37" i="365"/>
  <c r="N37" i="365" a="1"/>
  <c r="N37" i="365"/>
  <c r="E38" i="365" a="1"/>
  <c r="E38" i="365"/>
  <c r="I38" i="365" a="1"/>
  <c r="I38" i="365"/>
  <c r="M38" i="365" a="1"/>
  <c r="M38" i="365" s="1"/>
  <c r="D39" i="365" a="1"/>
  <c r="D39" i="365"/>
  <c r="F39" i="365" a="1"/>
  <c r="F39" i="365"/>
  <c r="H39" i="365" a="1"/>
  <c r="H39" i="365"/>
  <c r="J39" i="365" a="1"/>
  <c r="J39" i="365"/>
  <c r="L39" i="365" a="1"/>
  <c r="L39" i="365"/>
  <c r="N39" i="365" a="1"/>
  <c r="N39" i="365"/>
  <c r="E40" i="365" a="1"/>
  <c r="E40" i="365"/>
  <c r="G40" i="365" a="1"/>
  <c r="G40" i="365" s="1"/>
  <c r="I40" i="365" a="1"/>
  <c r="I40" i="365"/>
  <c r="K40" i="365" a="1"/>
  <c r="K40" i="365"/>
  <c r="M40" i="365" a="1"/>
  <c r="M40" i="365"/>
  <c r="O40" i="365" a="1"/>
  <c r="O40" i="365"/>
  <c r="D41" i="365" a="1"/>
  <c r="D41" i="365"/>
  <c r="F41" i="365" a="1"/>
  <c r="F41" i="365"/>
  <c r="H41" i="365" a="1"/>
  <c r="H41" i="365"/>
  <c r="J41" i="365" a="1"/>
  <c r="J41" i="365" s="1"/>
  <c r="L41" i="365" a="1"/>
  <c r="L41" i="365"/>
  <c r="N41" i="365" a="1"/>
  <c r="N41" i="365"/>
  <c r="E42" i="365" a="1"/>
  <c r="E42" i="365"/>
  <c r="G42" i="365" a="1"/>
  <c r="G42" i="365" s="1"/>
  <c r="I42" i="365" a="1"/>
  <c r="I42" i="365"/>
  <c r="K42" i="365" a="1"/>
  <c r="K42" i="365" s="1"/>
  <c r="M42" i="365" a="1"/>
  <c r="M42" i="365" s="1"/>
  <c r="O42" i="365" a="1"/>
  <c r="O42" i="365" s="1"/>
  <c r="D48" i="365" a="1"/>
  <c r="D48" i="365"/>
  <c r="F48" i="365" a="1"/>
  <c r="F48" i="365"/>
  <c r="F47" i="365" s="1"/>
  <c r="H48" i="365" a="1"/>
  <c r="H48" i="365" s="1"/>
  <c r="H47" i="365" s="1"/>
  <c r="J48" i="365" a="1"/>
  <c r="J48" i="365"/>
  <c r="J47" i="365" s="1"/>
  <c r="L48" i="365" a="1"/>
  <c r="L48" i="365" s="1"/>
  <c r="L47" i="365" s="1"/>
  <c r="N48" i="365" a="1"/>
  <c r="N48" i="365" s="1"/>
  <c r="N47" i="365" s="1"/>
  <c r="E49" i="365" a="1"/>
  <c r="E49" i="365" s="1"/>
  <c r="G49" i="365" a="1"/>
  <c r="G49" i="365" s="1"/>
  <c r="I49" i="365" a="1"/>
  <c r="I49" i="365"/>
  <c r="K49" i="365" a="1"/>
  <c r="K49" i="365" s="1"/>
  <c r="M49" i="365" a="1"/>
  <c r="M49" i="365"/>
  <c r="O49" i="365" a="1"/>
  <c r="O49" i="365"/>
  <c r="E51" i="365" a="1"/>
  <c r="E51" i="365"/>
  <c r="J51" i="365" a="1"/>
  <c r="J51" i="365"/>
  <c r="E52" i="365" a="1"/>
  <c r="E52" i="365" s="1"/>
  <c r="M52" i="365" a="1"/>
  <c r="M52" i="365" s="1"/>
  <c r="H53" i="365" a="1"/>
  <c r="H53" i="365"/>
  <c r="F87" i="365" a="1"/>
  <c r="F87" i="365" s="1"/>
  <c r="J87" i="365" a="1"/>
  <c r="J87" i="365"/>
  <c r="N87" i="365" a="1"/>
  <c r="N87" i="365" s="1"/>
  <c r="E88" i="365" a="1"/>
  <c r="E88" i="365" s="1"/>
  <c r="I88" i="365" a="1"/>
  <c r="I88" i="365" s="1"/>
  <c r="M88" i="365" a="1"/>
  <c r="M88" i="365" s="1"/>
  <c r="E90" i="365" a="1"/>
  <c r="E90" i="365" s="1"/>
  <c r="I90" i="365" a="1"/>
  <c r="I90" i="365"/>
  <c r="M90" i="365" a="1"/>
  <c r="M90" i="365" s="1"/>
  <c r="D91" i="365" a="1"/>
  <c r="D91" i="365"/>
  <c r="H91" i="365" a="1"/>
  <c r="H91" i="365" s="1"/>
  <c r="L91" i="365" a="1"/>
  <c r="L91" i="365" s="1"/>
  <c r="G92" i="365" a="1"/>
  <c r="G92" i="365"/>
  <c r="K92" i="365" a="1"/>
  <c r="K92" i="365" s="1"/>
  <c r="O92" i="365" a="1"/>
  <c r="O92" i="365" s="1"/>
  <c r="F93" i="365" a="1"/>
  <c r="F93" i="365"/>
  <c r="J93" i="365" a="1"/>
  <c r="J93" i="365" s="1"/>
  <c r="N93" i="365" a="1"/>
  <c r="N93" i="365" s="1"/>
  <c r="E94" i="365" a="1"/>
  <c r="E94" i="365" s="1"/>
  <c r="I94" i="365" a="1"/>
  <c r="I94" i="365"/>
  <c r="M94" i="365" a="1"/>
  <c r="M94" i="365"/>
  <c r="D95" i="365" a="1"/>
  <c r="D95" i="365" s="1"/>
  <c r="H95" i="365" a="1"/>
  <c r="H95" i="365" s="1"/>
  <c r="L95" i="365" a="1"/>
  <c r="L95" i="365" s="1"/>
  <c r="G96" i="365" a="1"/>
  <c r="G96" i="365" s="1"/>
  <c r="K96" i="365" a="1"/>
  <c r="K96" i="365"/>
  <c r="O96" i="365" a="1"/>
  <c r="O96" i="365"/>
  <c r="G98" i="365" a="1"/>
  <c r="G98" i="365" s="1"/>
  <c r="K98" i="365" a="1"/>
  <c r="K98" i="365"/>
  <c r="O98" i="365" a="1"/>
  <c r="O98" i="365" s="1"/>
  <c r="G100" i="365" a="1"/>
  <c r="G100" i="365" s="1"/>
  <c r="G99" i="365"/>
  <c r="K100" i="365" a="1"/>
  <c r="K100" i="365" s="1"/>
  <c r="K99" i="365" s="1"/>
  <c r="O100" i="365" a="1"/>
  <c r="O100" i="365" s="1"/>
  <c r="O99" i="365" s="1"/>
  <c r="F101" i="365" a="1"/>
  <c r="F101" i="365"/>
  <c r="J101" i="365" a="1"/>
  <c r="J101" i="365"/>
  <c r="N101" i="365" a="1"/>
  <c r="N101" i="365" s="1"/>
  <c r="F103" i="365" a="1"/>
  <c r="F103" i="365"/>
  <c r="J103" i="365" a="1"/>
  <c r="J103" i="365"/>
  <c r="N103" i="365" a="1"/>
  <c r="N103" i="365" s="1"/>
  <c r="E104" i="365" a="1"/>
  <c r="E104" i="365"/>
  <c r="I104" i="365" a="1"/>
  <c r="I104" i="365"/>
  <c r="M104" i="365" a="1"/>
  <c r="M104" i="365"/>
  <c r="D105" i="365" a="1"/>
  <c r="D105" i="365"/>
  <c r="H105" i="365" a="1"/>
  <c r="H105" i="365" s="1"/>
  <c r="L105" i="365" a="1"/>
  <c r="L105" i="365"/>
  <c r="G106" i="365" a="1"/>
  <c r="G106" i="365"/>
  <c r="K106" i="365" a="1"/>
  <c r="K106" i="365" s="1"/>
  <c r="O106" i="365" a="1"/>
  <c r="O106" i="365"/>
  <c r="F107" i="365" a="1"/>
  <c r="F107" i="365"/>
  <c r="J107" i="365" a="1"/>
  <c r="J107" i="365"/>
  <c r="N107" i="365" a="1"/>
  <c r="N107" i="365"/>
  <c r="G109" i="365" a="1"/>
  <c r="G109" i="365" s="1"/>
  <c r="K109" i="365" a="1"/>
  <c r="K109" i="365"/>
  <c r="O109" i="365" a="1"/>
  <c r="O109" i="365"/>
  <c r="F110" i="365" a="1"/>
  <c r="F110" i="365" s="1"/>
  <c r="J110" i="365" a="1"/>
  <c r="J110" i="365"/>
  <c r="N110" i="365" a="1"/>
  <c r="N110" i="365"/>
  <c r="E111" i="365" a="1"/>
  <c r="E111" i="365"/>
  <c r="I111" i="365" a="1"/>
  <c r="I111" i="365"/>
  <c r="M111" i="365" a="1"/>
  <c r="M111" i="365" s="1"/>
  <c r="D112" i="365" a="1"/>
  <c r="D112" i="365"/>
  <c r="H112" i="365" a="1"/>
  <c r="H112" i="365"/>
  <c r="L112" i="365" a="1"/>
  <c r="L112" i="365" s="1"/>
  <c r="G113" i="365" a="1"/>
  <c r="G113" i="365"/>
  <c r="K113" i="365" a="1"/>
  <c r="K113" i="365"/>
  <c r="O113" i="365" a="1"/>
  <c r="O113" i="365"/>
  <c r="F114" i="365" a="1"/>
  <c r="F114" i="365"/>
  <c r="J114" i="365" a="1"/>
  <c r="J114" i="365" s="1"/>
  <c r="N114" i="365" a="1"/>
  <c r="N114" i="365"/>
  <c r="E115" i="365" a="1"/>
  <c r="E115" i="365"/>
  <c r="I115" i="365" a="1"/>
  <c r="I115" i="365" s="1"/>
  <c r="M115" i="365" a="1"/>
  <c r="M115" i="365"/>
  <c r="D116" i="365" a="1"/>
  <c r="D116" i="365"/>
  <c r="H116" i="365" a="1"/>
  <c r="H116" i="365"/>
  <c r="L116" i="365" a="1"/>
  <c r="L116" i="365"/>
  <c r="D118" i="365" a="1"/>
  <c r="D118" i="365" s="1"/>
  <c r="H118" i="365" a="1"/>
  <c r="H118" i="365"/>
  <c r="L118" i="365" a="1"/>
  <c r="L118" i="365"/>
  <c r="G119" i="365" a="1"/>
  <c r="G119" i="365" s="1"/>
  <c r="K119" i="365" a="1"/>
  <c r="K119" i="365"/>
  <c r="O119" i="365" a="1"/>
  <c r="O119" i="365"/>
  <c r="F120" i="365" a="1"/>
  <c r="F120" i="365"/>
  <c r="J120" i="365" a="1"/>
  <c r="J120" i="365"/>
  <c r="N120" i="365" a="1"/>
  <c r="N120" i="365" s="1"/>
  <c r="E121" i="365" a="1"/>
  <c r="E121" i="365"/>
  <c r="I121" i="365" a="1"/>
  <c r="I121" i="365"/>
  <c r="M121" i="365" a="1"/>
  <c r="M121" i="365" s="1"/>
  <c r="D122" i="365" a="1"/>
  <c r="D122" i="365"/>
  <c r="H122" i="365" a="1"/>
  <c r="H122" i="365"/>
  <c r="L122" i="365" a="1"/>
  <c r="L122" i="365"/>
  <c r="G123" i="365" a="1"/>
  <c r="G123" i="365"/>
  <c r="K123" i="365" a="1"/>
  <c r="K123" i="365" s="1"/>
  <c r="O123" i="365" a="1"/>
  <c r="O123" i="365"/>
  <c r="F124" i="365" a="1"/>
  <c r="F124" i="365"/>
  <c r="J124" i="365" a="1"/>
  <c r="J124" i="365" s="1"/>
  <c r="N124" i="365" a="1"/>
  <c r="N124" i="365"/>
  <c r="E125" i="365" a="1"/>
  <c r="E125" i="365"/>
  <c r="I125" i="365" a="1"/>
  <c r="I125" i="365"/>
  <c r="M125" i="365" a="1"/>
  <c r="M125" i="365"/>
  <c r="E127" i="365" a="1"/>
  <c r="E127" i="365" s="1"/>
  <c r="I127" i="365" a="1"/>
  <c r="I127" i="365"/>
  <c r="I126" i="365" s="1"/>
  <c r="M127" i="365" a="1"/>
  <c r="M127" i="365" s="1"/>
  <c r="D128" i="365" a="1"/>
  <c r="D128" i="365" s="1"/>
  <c r="H128" i="365" a="1"/>
  <c r="H128" i="365" s="1"/>
  <c r="L128" i="365" a="1"/>
  <c r="L128" i="365"/>
  <c r="G129" i="365" a="1"/>
  <c r="G129" i="365"/>
  <c r="O129" i="365" a="1"/>
  <c r="O129" i="365" s="1"/>
  <c r="J130" i="365" a="1"/>
  <c r="J130" i="365"/>
  <c r="E131" i="365" a="1"/>
  <c r="E131" i="365" s="1"/>
  <c r="D160" i="385" a="1"/>
  <c r="D160" i="385"/>
  <c r="D158" i="385" a="1"/>
  <c r="D158" i="385" s="1"/>
  <c r="D156" i="385" a="1"/>
  <c r="D156" i="385"/>
  <c r="D149" i="385" a="1"/>
  <c r="D149" i="385" s="1"/>
  <c r="D147" i="385" a="1"/>
  <c r="D147" i="385"/>
  <c r="D145" i="385" a="1"/>
  <c r="D145" i="385"/>
  <c r="D143" i="385" a="1"/>
  <c r="D143" i="385" s="1"/>
  <c r="D139" i="385" a="1"/>
  <c r="D139" i="385" s="1"/>
  <c r="D135" i="385" a="1"/>
  <c r="D135" i="385" s="1"/>
  <c r="D133" i="385" a="1"/>
  <c r="D133" i="385" s="1"/>
  <c r="D131" i="385" a="1"/>
  <c r="D131" i="385"/>
  <c r="D129" i="385" a="1"/>
  <c r="D129" i="385"/>
  <c r="D127" i="385" a="1"/>
  <c r="D127" i="385" s="1"/>
  <c r="D125" i="385" a="1"/>
  <c r="D125" i="385" s="1"/>
  <c r="D123" i="385" a="1"/>
  <c r="D123" i="385"/>
  <c r="D121" i="385" a="1"/>
  <c r="D121" i="385" s="1"/>
  <c r="D159" i="385" a="1"/>
  <c r="D159" i="385"/>
  <c r="D157" i="385" a="1"/>
  <c r="D157" i="385" s="1"/>
  <c r="D155" i="385" a="1"/>
  <c r="D155" i="385" s="1"/>
  <c r="D150" i="385" a="1"/>
  <c r="D150" i="385"/>
  <c r="D148" i="385" a="1"/>
  <c r="D148" i="385"/>
  <c r="D144" i="385" a="1"/>
  <c r="D144" i="385" s="1"/>
  <c r="D142" i="385" a="1"/>
  <c r="D142" i="385" s="1"/>
  <c r="D140" i="385" a="1"/>
  <c r="D140" i="385" s="1"/>
  <c r="D138" i="385" a="1"/>
  <c r="D138" i="385"/>
  <c r="D136" i="385" a="1"/>
  <c r="D136" i="385" s="1"/>
  <c r="D132" i="385" a="1"/>
  <c r="D132" i="385"/>
  <c r="D130" i="385" a="1"/>
  <c r="D130" i="385" s="1"/>
  <c r="D128" i="385" a="1"/>
  <c r="D128" i="385"/>
  <c r="D124" i="385" a="1"/>
  <c r="D124" i="385"/>
  <c r="D122" i="385" a="1"/>
  <c r="D122" i="385" s="1"/>
  <c r="D120" i="385" a="1"/>
  <c r="D120" i="385" s="1"/>
  <c r="D118" i="385" a="1"/>
  <c r="D118" i="385"/>
  <c r="D116" i="385" a="1"/>
  <c r="D116" i="385" s="1"/>
  <c r="D114" i="385" a="1"/>
  <c r="D114" i="385" s="1"/>
  <c r="D112" i="385" a="1"/>
  <c r="D112" i="385"/>
  <c r="D110" i="385" a="1"/>
  <c r="D110" i="385" s="1"/>
  <c r="D106" i="385" a="1"/>
  <c r="D106" i="385"/>
  <c r="D104" i="385" a="1"/>
  <c r="D104" i="385"/>
  <c r="D100" i="385" a="1"/>
  <c r="D100" i="385" s="1"/>
  <c r="D98" i="385" a="1"/>
  <c r="D98" i="385"/>
  <c r="D96" i="385" a="1"/>
  <c r="D96" i="385" s="1"/>
  <c r="D94" i="385" a="1"/>
  <c r="D94" i="385"/>
  <c r="D92" i="385" a="1"/>
  <c r="D92" i="385" s="1"/>
  <c r="D90" i="385" a="1"/>
  <c r="D90" i="385"/>
  <c r="D88" i="385" a="1"/>
  <c r="D88" i="385" s="1"/>
  <c r="D22" i="385" a="1"/>
  <c r="D22" i="385" s="1"/>
  <c r="D18" i="385" a="1"/>
  <c r="D18" i="385" s="1"/>
  <c r="D16" i="385" a="1"/>
  <c r="D16" i="385" s="1"/>
  <c r="D166" i="385" a="1"/>
  <c r="D166" i="385" s="1"/>
  <c r="D79" i="385" a="1"/>
  <c r="D79" i="385" s="1"/>
  <c r="D75" i="385" a="1"/>
  <c r="D75" i="385"/>
  <c r="D73" i="385" a="1"/>
  <c r="D73" i="385" s="1"/>
  <c r="D71" i="385" a="1"/>
  <c r="D71" i="385"/>
  <c r="D69" i="385" a="1"/>
  <c r="D69" i="385" s="1"/>
  <c r="D67" i="385" a="1"/>
  <c r="D67" i="385" s="1"/>
  <c r="D63" i="385" a="1"/>
  <c r="D63" i="385"/>
  <c r="D61" i="385" a="1"/>
  <c r="D61" i="385" s="1"/>
  <c r="D59" i="385" a="1"/>
  <c r="D59" i="385" s="1"/>
  <c r="D57" i="385" a="1"/>
  <c r="D57" i="385" s="1"/>
  <c r="D55" i="385" a="1"/>
  <c r="D55" i="385" s="1"/>
  <c r="D53" i="385" a="1"/>
  <c r="D53" i="385" s="1"/>
  <c r="D51" i="385" a="1"/>
  <c r="D51" i="385"/>
  <c r="D49" i="385" a="1"/>
  <c r="D49" i="385" s="1"/>
  <c r="D42" i="385" a="1"/>
  <c r="D42" i="385"/>
  <c r="D40" i="385" a="1"/>
  <c r="D40" i="385" s="1"/>
  <c r="D38" i="385" a="1"/>
  <c r="D38" i="385"/>
  <c r="D119" i="385" a="1"/>
  <c r="D119" i="385" s="1"/>
  <c r="D115" i="385" a="1"/>
  <c r="D115" i="385" s="1"/>
  <c r="D113" i="385" a="1"/>
  <c r="D113" i="385" s="1"/>
  <c r="D111" i="385" a="1"/>
  <c r="D111" i="385" s="1"/>
  <c r="D109" i="385" a="1"/>
  <c r="D109" i="385" s="1"/>
  <c r="D107" i="385" a="1"/>
  <c r="D107" i="385" s="1"/>
  <c r="D105" i="385" a="1"/>
  <c r="D105" i="385" s="1"/>
  <c r="D103" i="385" a="1"/>
  <c r="D103" i="385" s="1"/>
  <c r="D101" i="385" a="1"/>
  <c r="D101" i="385"/>
  <c r="D95" i="385" a="1"/>
  <c r="D95" i="385" s="1"/>
  <c r="D93" i="385" a="1"/>
  <c r="D93" i="385" s="1"/>
  <c r="D91" i="385" a="1"/>
  <c r="D91" i="385" s="1"/>
  <c r="D87" i="385" a="1"/>
  <c r="D87" i="385" s="1"/>
  <c r="D21" i="385" a="1"/>
  <c r="D21" i="385"/>
  <c r="D19" i="385" a="1"/>
  <c r="D19" i="385" s="1"/>
  <c r="D15" i="385" a="1"/>
  <c r="D15" i="385" s="1"/>
  <c r="D78" i="385" a="1"/>
  <c r="D78" i="385" s="1"/>
  <c r="D74" i="385" a="1"/>
  <c r="D74" i="385"/>
  <c r="D72" i="385" a="1"/>
  <c r="D72" i="385" s="1"/>
  <c r="D68" i="385" a="1"/>
  <c r="D68" i="385" s="1"/>
  <c r="D66" i="385" a="1"/>
  <c r="D66" i="385" s="1"/>
  <c r="D64" i="385" a="1"/>
  <c r="D64" i="385"/>
  <c r="D62" i="385" a="1"/>
  <c r="D62" i="385" s="1"/>
  <c r="D60" i="385" a="1"/>
  <c r="D60" i="385"/>
  <c r="D58" i="385" a="1"/>
  <c r="D58" i="385" s="1"/>
  <c r="D56" i="385" a="1"/>
  <c r="D56" i="385" s="1"/>
  <c r="D54" i="385" a="1"/>
  <c r="D54" i="385"/>
  <c r="D52" i="385" a="1"/>
  <c r="D52" i="385" s="1"/>
  <c r="D48" i="385" a="1"/>
  <c r="D48" i="385" s="1"/>
  <c r="D41" i="385" a="1"/>
  <c r="D41" i="385"/>
  <c r="D39" i="385" a="1"/>
  <c r="D39" i="385" s="1"/>
  <c r="D37" i="385" a="1"/>
  <c r="D37" i="385" s="1"/>
  <c r="D35" i="385" a="1"/>
  <c r="D35" i="385"/>
  <c r="D33" i="385" a="1"/>
  <c r="D33" i="385" s="1"/>
  <c r="H160" i="385" a="1"/>
  <c r="H160" i="385" s="1"/>
  <c r="H158" i="385" a="1"/>
  <c r="H158" i="385"/>
  <c r="H156" i="385" a="1"/>
  <c r="H156" i="385" s="1"/>
  <c r="H149" i="385" a="1"/>
  <c r="H149" i="385"/>
  <c r="H147" i="385" a="1"/>
  <c r="H147" i="385" s="1"/>
  <c r="H145" i="385" a="1"/>
  <c r="H145" i="385" s="1"/>
  <c r="H143" i="385" a="1"/>
  <c r="H143" i="385" s="1"/>
  <c r="H139" i="385" a="1"/>
  <c r="H139" i="385"/>
  <c r="H135" i="385" a="1"/>
  <c r="H135" i="385" s="1"/>
  <c r="H133" i="385" a="1"/>
  <c r="H133" i="385" s="1"/>
  <c r="H131" i="385" a="1"/>
  <c r="H131" i="385" s="1"/>
  <c r="H129" i="385" a="1"/>
  <c r="H129" i="385" s="1"/>
  <c r="H127" i="385" a="1"/>
  <c r="H127" i="385" s="1"/>
  <c r="H125" i="385" a="1"/>
  <c r="H125" i="385" s="1"/>
  <c r="H123" i="385" a="1"/>
  <c r="H123" i="385" s="1"/>
  <c r="H121" i="385" a="1"/>
  <c r="H121" i="385" s="1"/>
  <c r="H159" i="385" a="1"/>
  <c r="H159" i="385"/>
  <c r="H157" i="385" a="1"/>
  <c r="H157" i="385" s="1"/>
  <c r="H155" i="385" a="1"/>
  <c r="H155" i="385" s="1"/>
  <c r="H150" i="385" a="1"/>
  <c r="H150" i="385"/>
  <c r="H148" i="385" a="1"/>
  <c r="H148" i="385" s="1"/>
  <c r="H144" i="385" a="1"/>
  <c r="H144" i="385"/>
  <c r="H142" i="385" a="1"/>
  <c r="H142" i="385"/>
  <c r="H140" i="385" a="1"/>
  <c r="H140" i="385"/>
  <c r="H138" i="385" a="1"/>
  <c r="H138" i="385"/>
  <c r="H136" i="385" a="1"/>
  <c r="H136" i="385" s="1"/>
  <c r="H132" i="385" a="1"/>
  <c r="H132" i="385" s="1"/>
  <c r="H130" i="385" a="1"/>
  <c r="H130" i="385" s="1"/>
  <c r="H128" i="385" a="1"/>
  <c r="H128" i="385"/>
  <c r="H124" i="385" a="1"/>
  <c r="H124" i="385" s="1"/>
  <c r="H122" i="385" a="1"/>
  <c r="H122" i="385" s="1"/>
  <c r="H120" i="385" a="1"/>
  <c r="H120" i="385" s="1"/>
  <c r="H118" i="385" a="1"/>
  <c r="H118" i="385" s="1"/>
  <c r="H116" i="385" a="1"/>
  <c r="H116" i="385"/>
  <c r="H114" i="385" a="1"/>
  <c r="H114" i="385" s="1"/>
  <c r="H112" i="385" a="1"/>
  <c r="H112" i="385"/>
  <c r="H110" i="385" a="1"/>
  <c r="H110" i="385"/>
  <c r="H106" i="385" a="1"/>
  <c r="H106" i="385" s="1"/>
  <c r="H104" i="385" a="1"/>
  <c r="H104" i="385"/>
  <c r="H100" i="385" a="1"/>
  <c r="H100" i="385"/>
  <c r="H98" i="385" a="1"/>
  <c r="H98" i="385"/>
  <c r="H96" i="385" a="1"/>
  <c r="H96" i="385"/>
  <c r="H94" i="385" a="1"/>
  <c r="H94" i="385" s="1"/>
  <c r="H92" i="385" a="1"/>
  <c r="H92" i="385" s="1"/>
  <c r="H90" i="385" a="1"/>
  <c r="H90" i="385" s="1"/>
  <c r="H88" i="385" a="1"/>
  <c r="H88" i="385"/>
  <c r="H22" i="385" a="1"/>
  <c r="H22" i="385" s="1"/>
  <c r="H18" i="385" a="1"/>
  <c r="H18" i="385" s="1"/>
  <c r="H16" i="385" a="1"/>
  <c r="H16" i="385" s="1"/>
  <c r="H166" i="385" a="1"/>
  <c r="H166" i="385" s="1"/>
  <c r="H79" i="385" a="1"/>
  <c r="H79" i="385" s="1"/>
  <c r="H75" i="385" a="1"/>
  <c r="H75" i="385" s="1"/>
  <c r="H73" i="385" a="1"/>
  <c r="H73" i="385"/>
  <c r="H71" i="385" a="1"/>
  <c r="H71" i="385"/>
  <c r="H69" i="385" a="1"/>
  <c r="H69" i="385" s="1"/>
  <c r="H67" i="385" a="1"/>
  <c r="H67" i="385"/>
  <c r="H63" i="385" a="1"/>
  <c r="H63" i="385"/>
  <c r="H61" i="385" a="1"/>
  <c r="H61" i="385"/>
  <c r="H59" i="385" a="1"/>
  <c r="H59" i="385" s="1"/>
  <c r="H57" i="385" a="1"/>
  <c r="H57" i="385"/>
  <c r="H55" i="385" a="1"/>
  <c r="H55" i="385" s="1"/>
  <c r="H53" i="385" a="1"/>
  <c r="H53" i="385" s="1"/>
  <c r="H51" i="385" a="1"/>
  <c r="H51" i="385"/>
  <c r="H49" i="385" a="1"/>
  <c r="H49" i="385" s="1"/>
  <c r="H42" i="385" a="1"/>
  <c r="H42" i="385" s="1"/>
  <c r="H40" i="385" a="1"/>
  <c r="H40" i="385" s="1"/>
  <c r="H38" i="385" a="1"/>
  <c r="H38" i="385" s="1"/>
  <c r="H119" i="385" a="1"/>
  <c r="H119" i="385"/>
  <c r="H115" i="385" a="1"/>
  <c r="H115" i="385" s="1"/>
  <c r="H113" i="385" a="1"/>
  <c r="H113" i="385"/>
  <c r="H111" i="385" a="1"/>
  <c r="H111" i="385"/>
  <c r="H109" i="385" a="1"/>
  <c r="H109" i="385" s="1"/>
  <c r="H107" i="385" a="1"/>
  <c r="H107" i="385"/>
  <c r="H105" i="385" a="1"/>
  <c r="H105" i="385"/>
  <c r="H103" i="385" a="1"/>
  <c r="H103" i="385" s="1"/>
  <c r="H101" i="385" a="1"/>
  <c r="H101" i="385" s="1"/>
  <c r="H95" i="385" a="1"/>
  <c r="H95" i="385"/>
  <c r="H93" i="385" a="1"/>
  <c r="H93" i="385" s="1"/>
  <c r="H91" i="385" a="1"/>
  <c r="H91" i="385" s="1"/>
  <c r="H87" i="385" a="1"/>
  <c r="H87" i="385"/>
  <c r="H21" i="385" a="1"/>
  <c r="H21" i="385" s="1"/>
  <c r="H19" i="385" a="1"/>
  <c r="H19" i="385" s="1"/>
  <c r="H15" i="385" a="1"/>
  <c r="H15" i="385" s="1"/>
  <c r="H78" i="385" a="1"/>
  <c r="H78" i="385"/>
  <c r="H74" i="385" a="1"/>
  <c r="H74" i="385"/>
  <c r="H72" i="385" a="1"/>
  <c r="H72" i="385" s="1"/>
  <c r="H68" i="385" a="1"/>
  <c r="H68" i="385"/>
  <c r="H66" i="385" a="1"/>
  <c r="H66" i="385"/>
  <c r="H64" i="385" a="1"/>
  <c r="H64" i="385" s="1"/>
  <c r="H62" i="385" a="1"/>
  <c r="H62" i="385"/>
  <c r="H60" i="385" a="1"/>
  <c r="H60" i="385" s="1"/>
  <c r="H58" i="385" a="1"/>
  <c r="H58" i="385" s="1"/>
  <c r="H56" i="385" a="1"/>
  <c r="H56" i="385" s="1"/>
  <c r="H54" i="385" a="1"/>
  <c r="H54" i="385"/>
  <c r="H52" i="385" a="1"/>
  <c r="H52" i="385" s="1"/>
  <c r="H48" i="385" a="1"/>
  <c r="H48" i="385" s="1"/>
  <c r="H41" i="385" a="1"/>
  <c r="H41" i="385"/>
  <c r="H39" i="385" a="1"/>
  <c r="H39" i="385" s="1"/>
  <c r="H37" i="385" a="1"/>
  <c r="H37" i="385" s="1"/>
  <c r="H35" i="385" a="1"/>
  <c r="H35" i="385"/>
  <c r="H33" i="385" a="1"/>
  <c r="H33" i="385"/>
  <c r="L160" i="385" a="1"/>
  <c r="L160" i="385"/>
  <c r="L158" i="385" a="1"/>
  <c r="L158" i="385" s="1"/>
  <c r="L156" i="385" a="1"/>
  <c r="L156" i="385"/>
  <c r="L149" i="385" a="1"/>
  <c r="L149" i="385"/>
  <c r="L147" i="385" a="1"/>
  <c r="L147" i="385" s="1"/>
  <c r="L145" i="385" a="1"/>
  <c r="L145" i="385" s="1"/>
  <c r="L143" i="385" a="1"/>
  <c r="L143" i="385" s="1"/>
  <c r="L139" i="385" a="1"/>
  <c r="L139" i="385" s="1"/>
  <c r="L135" i="385" a="1"/>
  <c r="L135" i="385" s="1"/>
  <c r="L133" i="385" a="1"/>
  <c r="L133" i="385"/>
  <c r="L131" i="385" a="1"/>
  <c r="L131" i="385" s="1"/>
  <c r="L129" i="385" a="1"/>
  <c r="L129" i="385" s="1"/>
  <c r="L127" i="385" a="1"/>
  <c r="L127" i="385"/>
  <c r="L125" i="385" a="1"/>
  <c r="L125" i="385" s="1"/>
  <c r="L123" i="385" a="1"/>
  <c r="L123" i="385"/>
  <c r="L121" i="385" a="1"/>
  <c r="L121" i="385"/>
  <c r="L166" i="385" a="1"/>
  <c r="L166" i="385"/>
  <c r="L159" i="385" a="1"/>
  <c r="L159" i="385"/>
  <c r="L157" i="385" a="1"/>
  <c r="L157" i="385" s="1"/>
  <c r="L155" i="385" a="1"/>
  <c r="L155" i="385"/>
  <c r="L150" i="385" a="1"/>
  <c r="L150" i="385"/>
  <c r="L148" i="385" a="1"/>
  <c r="L148" i="385" s="1"/>
  <c r="L144" i="385" a="1"/>
  <c r="L144" i="385" s="1"/>
  <c r="L142" i="385" a="1"/>
  <c r="L142" i="385" s="1"/>
  <c r="L140" i="385" a="1"/>
  <c r="L140" i="385" s="1"/>
  <c r="L138" i="385" a="1"/>
  <c r="L138" i="385" s="1"/>
  <c r="L136" i="385" a="1"/>
  <c r="L136" i="385"/>
  <c r="L132" i="385" a="1"/>
  <c r="L132" i="385" s="1"/>
  <c r="L130" i="385" a="1"/>
  <c r="L130" i="385" s="1"/>
  <c r="L128" i="385" a="1"/>
  <c r="L128" i="385" s="1"/>
  <c r="L124" i="385" a="1"/>
  <c r="L124" i="385" s="1"/>
  <c r="L122" i="385" a="1"/>
  <c r="L122" i="385"/>
  <c r="L120" i="385" a="1"/>
  <c r="L120" i="385"/>
  <c r="L118" i="385" a="1"/>
  <c r="L118" i="385"/>
  <c r="L116" i="385" a="1"/>
  <c r="L116" i="385"/>
  <c r="L114" i="385" a="1"/>
  <c r="L114" i="385" s="1"/>
  <c r="L112" i="385" a="1"/>
  <c r="L112" i="385"/>
  <c r="L110" i="385" a="1"/>
  <c r="L110" i="385" s="1"/>
  <c r="L106" i="385" a="1"/>
  <c r="L106" i="385"/>
  <c r="L104" i="385" a="1"/>
  <c r="L104" i="385" s="1"/>
  <c r="L100" i="385" a="1"/>
  <c r="L100" i="385" s="1"/>
  <c r="L98" i="385" a="1"/>
  <c r="L98" i="385" s="1"/>
  <c r="L96" i="385" a="1"/>
  <c r="L96" i="385" s="1"/>
  <c r="L94" i="385" a="1"/>
  <c r="L94" i="385"/>
  <c r="L92" i="385" a="1"/>
  <c r="L92" i="385" s="1"/>
  <c r="L90" i="385" a="1"/>
  <c r="L90" i="385" s="1"/>
  <c r="L88" i="385" a="1"/>
  <c r="L88" i="385"/>
  <c r="L22" i="385" a="1"/>
  <c r="L22" i="385" s="1"/>
  <c r="L18" i="385" a="1"/>
  <c r="L18" i="385"/>
  <c r="L16" i="385" a="1"/>
  <c r="L16" i="385"/>
  <c r="L14" i="385" a="1"/>
  <c r="L14" i="385"/>
  <c r="L79" i="385" a="1"/>
  <c r="L79" i="385"/>
  <c r="L75" i="385" a="1"/>
  <c r="L75" i="385" s="1"/>
  <c r="L73" i="385" a="1"/>
  <c r="L73" i="385" s="1"/>
  <c r="L71" i="385" a="1"/>
  <c r="L71" i="385" s="1"/>
  <c r="L69" i="385" a="1"/>
  <c r="L69" i="385"/>
  <c r="L67" i="385" a="1"/>
  <c r="L67" i="385" s="1"/>
  <c r="L63" i="385" a="1"/>
  <c r="L63" i="385" s="1"/>
  <c r="L61" i="385" a="1"/>
  <c r="L61" i="385" s="1"/>
  <c r="L59" i="385" a="1"/>
  <c r="L59" i="385" s="1"/>
  <c r="L57" i="385" a="1"/>
  <c r="L57" i="385"/>
  <c r="L55" i="385" a="1"/>
  <c r="L55" i="385" s="1"/>
  <c r="L53" i="385" a="1"/>
  <c r="L53" i="385"/>
  <c r="L51" i="385" a="1"/>
  <c r="L51" i="385"/>
  <c r="L49" i="385" a="1"/>
  <c r="L49" i="385" s="1"/>
  <c r="L42" i="385" a="1"/>
  <c r="L42" i="385"/>
  <c r="L40" i="385" a="1"/>
  <c r="L40" i="385"/>
  <c r="L38" i="385" a="1"/>
  <c r="L38" i="385"/>
  <c r="L115" i="385" a="1"/>
  <c r="L115" i="385"/>
  <c r="L113" i="385" a="1"/>
  <c r="L113" i="385" s="1"/>
  <c r="L111" i="385" a="1"/>
  <c r="L111" i="385" s="1"/>
  <c r="L109" i="385" a="1"/>
  <c r="L109" i="385" s="1"/>
  <c r="L107" i="385" a="1"/>
  <c r="L107" i="385"/>
  <c r="L105" i="385" a="1"/>
  <c r="L105" i="385" s="1"/>
  <c r="L103" i="385" a="1"/>
  <c r="L103" i="385" s="1"/>
  <c r="L101" i="385" a="1"/>
  <c r="L101" i="385" s="1"/>
  <c r="L95" i="385" a="1"/>
  <c r="L95" i="385" s="1"/>
  <c r="L93" i="385" a="1"/>
  <c r="L93" i="385" s="1"/>
  <c r="L91" i="385" a="1"/>
  <c r="L91" i="385" s="1"/>
  <c r="L87" i="385" a="1"/>
  <c r="L87" i="385"/>
  <c r="L21" i="385" a="1"/>
  <c r="L21" i="385"/>
  <c r="L19" i="385" a="1"/>
  <c r="L19" i="385" s="1"/>
  <c r="L15" i="385" a="1"/>
  <c r="L15" i="385"/>
  <c r="L119" i="385" a="1"/>
  <c r="L119" i="385"/>
  <c r="L78" i="385" a="1"/>
  <c r="L78" i="385"/>
  <c r="L74" i="385" a="1"/>
  <c r="L74" i="385" s="1"/>
  <c r="L72" i="385" a="1"/>
  <c r="L72" i="385"/>
  <c r="L68" i="385" a="1"/>
  <c r="L68" i="385" s="1"/>
  <c r="L66" i="385" a="1"/>
  <c r="L66" i="385" s="1"/>
  <c r="L64" i="385" a="1"/>
  <c r="L64" i="385"/>
  <c r="L62" i="385" a="1"/>
  <c r="L62" i="385" s="1"/>
  <c r="L60" i="385" a="1"/>
  <c r="L60" i="385" s="1"/>
  <c r="L58" i="385" a="1"/>
  <c r="L58" i="385" s="1"/>
  <c r="L56" i="385" a="1"/>
  <c r="L56" i="385" s="1"/>
  <c r="L54" i="385" a="1"/>
  <c r="L54" i="385"/>
  <c r="L52" i="385" a="1"/>
  <c r="L52" i="385" s="1"/>
  <c r="L48" i="385" a="1"/>
  <c r="L48" i="385"/>
  <c r="L41" i="385" a="1"/>
  <c r="L41" i="385"/>
  <c r="L39" i="385" a="1"/>
  <c r="L39" i="385" s="1"/>
  <c r="L37" i="385" a="1"/>
  <c r="L37" i="385"/>
  <c r="L35" i="385" a="1"/>
  <c r="L35" i="385"/>
  <c r="L33" i="385" a="1"/>
  <c r="L33" i="385" s="1"/>
  <c r="L31" i="385" a="1"/>
  <c r="L31" i="385" s="1"/>
  <c r="F31" i="385" a="1"/>
  <c r="F31" i="385"/>
  <c r="F30" i="385" s="1"/>
  <c r="D32" i="385" a="1"/>
  <c r="D32" i="385"/>
  <c r="L32" i="385" a="1"/>
  <c r="L32" i="385"/>
  <c r="G33" i="385" a="1"/>
  <c r="G33" i="385" s="1"/>
  <c r="O33" i="385" a="1"/>
  <c r="O33" i="385"/>
  <c r="K35" i="385" a="1"/>
  <c r="K35" i="385"/>
  <c r="F36" i="385" a="1"/>
  <c r="F36" i="385"/>
  <c r="N36" i="385" a="1"/>
  <c r="N36" i="385"/>
  <c r="E159" i="385" a="1"/>
  <c r="E159" i="385" s="1"/>
  <c r="E157" i="385" a="1"/>
  <c r="E157" i="385"/>
  <c r="E155" i="385" a="1"/>
  <c r="E155" i="385"/>
  <c r="E150" i="385" a="1"/>
  <c r="E150" i="385" s="1"/>
  <c r="E148" i="385" a="1"/>
  <c r="E148" i="385"/>
  <c r="E144" i="385" a="1"/>
  <c r="E144" i="385"/>
  <c r="E142" i="385" a="1"/>
  <c r="E142" i="385"/>
  <c r="E140" i="385" a="1"/>
  <c r="E140" i="385"/>
  <c r="E138" i="385" a="1"/>
  <c r="E138" i="385" s="1"/>
  <c r="E136" i="385" a="1"/>
  <c r="E136" i="385"/>
  <c r="E132" i="385" a="1"/>
  <c r="E132" i="385"/>
  <c r="E130" i="385" a="1"/>
  <c r="E130" i="385" s="1"/>
  <c r="E128" i="385" a="1"/>
  <c r="E128" i="385"/>
  <c r="E124" i="385" a="1"/>
  <c r="E124" i="385"/>
  <c r="E122" i="385" a="1"/>
  <c r="E122" i="385"/>
  <c r="E160" i="385" a="1"/>
  <c r="E160" i="385"/>
  <c r="E158" i="385" a="1"/>
  <c r="E158" i="385" s="1"/>
  <c r="E156" i="385" a="1"/>
  <c r="E156" i="385"/>
  <c r="E149" i="385" a="1"/>
  <c r="E149" i="385"/>
  <c r="E147" i="385" a="1"/>
  <c r="E147" i="385" s="1"/>
  <c r="E145" i="385" a="1"/>
  <c r="E145" i="385"/>
  <c r="E143" i="385" a="1"/>
  <c r="E143" i="385"/>
  <c r="E139" i="385" a="1"/>
  <c r="E139" i="385"/>
  <c r="E135" i="385" a="1"/>
  <c r="E135" i="385"/>
  <c r="E133" i="385" a="1"/>
  <c r="E133" i="385" s="1"/>
  <c r="E131" i="385" a="1"/>
  <c r="E131" i="385"/>
  <c r="E129" i="385" a="1"/>
  <c r="E129" i="385"/>
  <c r="E127" i="385" a="1"/>
  <c r="E127" i="385" s="1"/>
  <c r="E125" i="385" a="1"/>
  <c r="E125" i="385"/>
  <c r="E123" i="385" a="1"/>
  <c r="E123" i="385"/>
  <c r="E121" i="385" a="1"/>
  <c r="E121" i="385"/>
  <c r="E166" i="385" a="1"/>
  <c r="E166" i="385"/>
  <c r="E119" i="385" a="1"/>
  <c r="E119" i="385" s="1"/>
  <c r="E115" i="385" a="1"/>
  <c r="E115" i="385"/>
  <c r="E113" i="385" a="1"/>
  <c r="E113" i="385" s="1"/>
  <c r="E111" i="385" a="1"/>
  <c r="E111" i="385" s="1"/>
  <c r="E109" i="385" a="1"/>
  <c r="E109" i="385"/>
  <c r="E107" i="385" a="1"/>
  <c r="E107" i="385"/>
  <c r="E105" i="385" a="1"/>
  <c r="E105" i="385"/>
  <c r="E103" i="385" a="1"/>
  <c r="E103" i="385"/>
  <c r="E101" i="385" a="1"/>
  <c r="E101" i="385" s="1"/>
  <c r="E95" i="385" a="1"/>
  <c r="E95" i="385"/>
  <c r="E93" i="385" a="1"/>
  <c r="E93" i="385" s="1"/>
  <c r="E91" i="385" a="1"/>
  <c r="E91" i="385" s="1"/>
  <c r="E87" i="385" a="1"/>
  <c r="E87" i="385"/>
  <c r="E21" i="385" a="1"/>
  <c r="E21" i="385"/>
  <c r="E19" i="385" a="1"/>
  <c r="E19" i="385"/>
  <c r="E15" i="385" a="1"/>
  <c r="E15" i="385"/>
  <c r="E78" i="385" a="1"/>
  <c r="E78" i="385" s="1"/>
  <c r="E74" i="385" a="1"/>
  <c r="E74" i="385"/>
  <c r="E72" i="385" a="1"/>
  <c r="E72" i="385" s="1"/>
  <c r="E68" i="385" a="1"/>
  <c r="E68" i="385" s="1"/>
  <c r="E66" i="385" a="1"/>
  <c r="E66" i="385"/>
  <c r="E64" i="385" a="1"/>
  <c r="E64" i="385"/>
  <c r="E62" i="385" a="1"/>
  <c r="E62" i="385"/>
  <c r="E60" i="385" a="1"/>
  <c r="E60" i="385"/>
  <c r="E58" i="385" a="1"/>
  <c r="E58" i="385" s="1"/>
  <c r="E56" i="385" a="1"/>
  <c r="E56" i="385"/>
  <c r="E54" i="385" a="1"/>
  <c r="E54" i="385" s="1"/>
  <c r="E52" i="385" a="1"/>
  <c r="E52" i="385" s="1"/>
  <c r="E48" i="385" a="1"/>
  <c r="E48" i="385"/>
  <c r="E41" i="385" a="1"/>
  <c r="E41" i="385"/>
  <c r="E39" i="385" a="1"/>
  <c r="E39" i="385"/>
  <c r="E37" i="385" a="1"/>
  <c r="E37" i="385"/>
  <c r="E120" i="385" a="1"/>
  <c r="E120" i="385" s="1"/>
  <c r="E118" i="385" a="1"/>
  <c r="E118" i="385" s="1"/>
  <c r="E116" i="385" a="1"/>
  <c r="E116" i="385" s="1"/>
  <c r="E114" i="385" a="1"/>
  <c r="E114" i="385" s="1"/>
  <c r="E112" i="385" a="1"/>
  <c r="E112" i="385"/>
  <c r="E110" i="385" a="1"/>
  <c r="E110" i="385"/>
  <c r="E106" i="385" a="1"/>
  <c r="E106" i="385" s="1"/>
  <c r="E104" i="385" a="1"/>
  <c r="E104" i="385"/>
  <c r="E100" i="385" a="1"/>
  <c r="E100" i="385" s="1"/>
  <c r="E98" i="385" a="1"/>
  <c r="E98" i="385" s="1"/>
  <c r="E96" i="385" a="1"/>
  <c r="E96" i="385" s="1"/>
  <c r="E94" i="385" a="1"/>
  <c r="E94" i="385" s="1"/>
  <c r="E92" i="385" a="1"/>
  <c r="E92" i="385"/>
  <c r="E90" i="385" a="1"/>
  <c r="E90" i="385" s="1"/>
  <c r="E88" i="385" a="1"/>
  <c r="E88" i="385" s="1"/>
  <c r="C88" i="385" s="1"/>
  <c r="E22" i="385" a="1"/>
  <c r="E22" i="385" s="1"/>
  <c r="E18" i="385" a="1"/>
  <c r="E18" i="385" s="1"/>
  <c r="E16" i="385" a="1"/>
  <c r="E16" i="385" s="1"/>
  <c r="E79" i="385" a="1"/>
  <c r="E79" i="385" s="1"/>
  <c r="E75" i="385" a="1"/>
  <c r="E75" i="385" s="1"/>
  <c r="E73" i="385" a="1"/>
  <c r="E73" i="385" s="1"/>
  <c r="E71" i="385" a="1"/>
  <c r="E71" i="385" s="1"/>
  <c r="E69" i="385" a="1"/>
  <c r="E69" i="385" s="1"/>
  <c r="E67" i="385" a="1"/>
  <c r="E67" i="385" s="1"/>
  <c r="E63" i="385" a="1"/>
  <c r="E63" i="385" s="1"/>
  <c r="E61" i="385" a="1"/>
  <c r="E61" i="385" s="1"/>
  <c r="E59" i="385" a="1"/>
  <c r="E59" i="385" s="1"/>
  <c r="E57" i="385" a="1"/>
  <c r="E57" i="385" s="1"/>
  <c r="E55" i="385" a="1"/>
  <c r="E55" i="385" s="1"/>
  <c r="E53" i="385" a="1"/>
  <c r="E53" i="385" s="1"/>
  <c r="E51" i="385" a="1"/>
  <c r="E51" i="385" s="1"/>
  <c r="C51" i="385" s="1"/>
  <c r="P51" i="385" s="1"/>
  <c r="E49" i="385" a="1"/>
  <c r="E49" i="385" s="1"/>
  <c r="E42" i="385" a="1"/>
  <c r="E42" i="385" s="1"/>
  <c r="E40" i="385" a="1"/>
  <c r="E40" i="385" s="1"/>
  <c r="E38" i="385" a="1"/>
  <c r="E38" i="385" s="1"/>
  <c r="E36" i="385" a="1"/>
  <c r="E36" i="385" s="1"/>
  <c r="E32" i="385" a="1"/>
  <c r="E32" i="385" s="1"/>
  <c r="I159" i="385" a="1"/>
  <c r="I159" i="385" s="1"/>
  <c r="I157" i="385" a="1"/>
  <c r="I157" i="385" s="1"/>
  <c r="I155" i="385" a="1"/>
  <c r="I155" i="385" s="1"/>
  <c r="I150" i="385" a="1"/>
  <c r="I150" i="385" s="1"/>
  <c r="I148" i="385" a="1"/>
  <c r="I148" i="385" s="1"/>
  <c r="I144" i="385" a="1"/>
  <c r="I144" i="385" s="1"/>
  <c r="I142" i="385" a="1"/>
  <c r="I142" i="385" s="1"/>
  <c r="I140" i="385" a="1"/>
  <c r="I140" i="385" s="1"/>
  <c r="I138" i="385" a="1"/>
  <c r="I138" i="385" s="1"/>
  <c r="I136" i="385" a="1"/>
  <c r="I136" i="385"/>
  <c r="I132" i="385" a="1"/>
  <c r="I132" i="385" s="1"/>
  <c r="I130" i="385" a="1"/>
  <c r="I130" i="385" s="1"/>
  <c r="I128" i="385" a="1"/>
  <c r="I128" i="385" s="1"/>
  <c r="I124" i="385" a="1"/>
  <c r="I124" i="385" s="1"/>
  <c r="I122" i="385" a="1"/>
  <c r="I122" i="385" s="1"/>
  <c r="I160" i="385" a="1"/>
  <c r="I160" i="385" s="1"/>
  <c r="I158" i="385" a="1"/>
  <c r="I158" i="385" s="1"/>
  <c r="I156" i="385" a="1"/>
  <c r="I156" i="385" s="1"/>
  <c r="I161" i="385" s="1"/>
  <c r="I149" i="385" a="1"/>
  <c r="I149" i="385" s="1"/>
  <c r="I147" i="385" a="1"/>
  <c r="I147" i="385" s="1"/>
  <c r="I145" i="385" a="1"/>
  <c r="I145" i="385" s="1"/>
  <c r="I143" i="385" a="1"/>
  <c r="I143" i="385" s="1"/>
  <c r="I139" i="385" a="1"/>
  <c r="I139" i="385" s="1"/>
  <c r="I135" i="385" a="1"/>
  <c r="I135" i="385" s="1"/>
  <c r="I133" i="385" a="1"/>
  <c r="I133" i="385" s="1"/>
  <c r="I131" i="385" a="1"/>
  <c r="I131" i="385" s="1"/>
  <c r="I126" i="385" s="1"/>
  <c r="I129" i="385" a="1"/>
  <c r="I129" i="385" s="1"/>
  <c r="I127" i="385" a="1"/>
  <c r="I127" i="385" s="1"/>
  <c r="I125" i="385" a="1"/>
  <c r="I125" i="385" s="1"/>
  <c r="I123" i="385" a="1"/>
  <c r="I123" i="385" s="1"/>
  <c r="I121" i="385" a="1"/>
  <c r="I121" i="385" s="1"/>
  <c r="I166" i="385" a="1"/>
  <c r="I166" i="385" s="1"/>
  <c r="I120" i="385" a="1"/>
  <c r="I120" i="385" s="1"/>
  <c r="I119" i="385" a="1"/>
  <c r="I119" i="385"/>
  <c r="I115" i="385" a="1"/>
  <c r="I115" i="385" s="1"/>
  <c r="I113" i="385" a="1"/>
  <c r="I113" i="385" s="1"/>
  <c r="I111" i="385" a="1"/>
  <c r="I111" i="385" s="1"/>
  <c r="I109" i="385" a="1"/>
  <c r="I109" i="385" s="1"/>
  <c r="I107" i="385" a="1"/>
  <c r="I107" i="385" s="1"/>
  <c r="I105" i="385" a="1"/>
  <c r="I105" i="385" s="1"/>
  <c r="I103" i="385" a="1"/>
  <c r="I103" i="385" s="1"/>
  <c r="I101" i="385" a="1"/>
  <c r="I101" i="385"/>
  <c r="I95" i="385" a="1"/>
  <c r="I95" i="385" s="1"/>
  <c r="I93" i="385" a="1"/>
  <c r="I93" i="385" s="1"/>
  <c r="I91" i="385" a="1"/>
  <c r="I91" i="385" s="1"/>
  <c r="I87" i="385" a="1"/>
  <c r="I87" i="385" s="1"/>
  <c r="I21" i="385" a="1"/>
  <c r="I21" i="385" s="1"/>
  <c r="I19" i="385" a="1"/>
  <c r="I19" i="385" s="1"/>
  <c r="I15" i="385" a="1"/>
  <c r="I15" i="385" s="1"/>
  <c r="I78" i="385" a="1"/>
  <c r="I78" i="385"/>
  <c r="I74" i="385" a="1"/>
  <c r="I74" i="385" s="1"/>
  <c r="I72" i="385" a="1"/>
  <c r="I72" i="385" s="1"/>
  <c r="I68" i="385" a="1"/>
  <c r="I68" i="385" s="1"/>
  <c r="I66" i="385" a="1"/>
  <c r="I66" i="385" s="1"/>
  <c r="I64" i="385" a="1"/>
  <c r="I64" i="385" s="1"/>
  <c r="I62" i="385" a="1"/>
  <c r="I62" i="385" s="1"/>
  <c r="I60" i="385" a="1"/>
  <c r="I60" i="385" s="1"/>
  <c r="I58" i="385" a="1"/>
  <c r="I58" i="385"/>
  <c r="I56" i="385" a="1"/>
  <c r="I56" i="385" s="1"/>
  <c r="I54" i="385" a="1"/>
  <c r="I54" i="385" s="1"/>
  <c r="I52" i="385" a="1"/>
  <c r="I52" i="385" s="1"/>
  <c r="I48" i="385" a="1"/>
  <c r="I48" i="385" s="1"/>
  <c r="I41" i="385" a="1"/>
  <c r="I41" i="385" s="1"/>
  <c r="I39" i="385" a="1"/>
  <c r="I39" i="385" s="1"/>
  <c r="I37" i="385" a="1"/>
  <c r="I37" i="385" s="1"/>
  <c r="I118" i="385" a="1"/>
  <c r="I118" i="385" s="1"/>
  <c r="I116" i="385" a="1"/>
  <c r="I116" i="385" s="1"/>
  <c r="I114" i="385" a="1"/>
  <c r="I114" i="385" s="1"/>
  <c r="I112" i="385" a="1"/>
  <c r="I112" i="385" s="1"/>
  <c r="I110" i="385" a="1"/>
  <c r="I110" i="385" s="1"/>
  <c r="I106" i="385" a="1"/>
  <c r="I106" i="385" s="1"/>
  <c r="I104" i="385" a="1"/>
  <c r="I104" i="385" s="1"/>
  <c r="I100" i="385" a="1"/>
  <c r="I100" i="385" s="1"/>
  <c r="I98" i="385" a="1"/>
  <c r="I98" i="385" s="1"/>
  <c r="I96" i="385" a="1"/>
  <c r="I96" i="385" s="1"/>
  <c r="I94" i="385" a="1"/>
  <c r="I94" i="385" s="1"/>
  <c r="I92" i="385" a="1"/>
  <c r="I92" i="385" s="1"/>
  <c r="I90" i="385" a="1"/>
  <c r="I90" i="385" s="1"/>
  <c r="I88" i="385" a="1"/>
  <c r="I88" i="385" s="1"/>
  <c r="I22" i="385" a="1"/>
  <c r="I22" i="385" s="1"/>
  <c r="I18" i="385" a="1"/>
  <c r="I18" i="385" s="1"/>
  <c r="I16" i="385" a="1"/>
  <c r="I16" i="385" s="1"/>
  <c r="I13" i="385" s="1"/>
  <c r="I79" i="385" a="1"/>
  <c r="I79" i="385" s="1"/>
  <c r="I75" i="385" a="1"/>
  <c r="I75" i="385" s="1"/>
  <c r="I73" i="385" a="1"/>
  <c r="I73" i="385" s="1"/>
  <c r="I71" i="385" a="1"/>
  <c r="I71" i="385" s="1"/>
  <c r="I69" i="385" a="1"/>
  <c r="I69" i="385" s="1"/>
  <c r="I67" i="385" a="1"/>
  <c r="I67" i="385" s="1"/>
  <c r="I63" i="385" a="1"/>
  <c r="I63" i="385" s="1"/>
  <c r="I61" i="385" a="1"/>
  <c r="I61" i="385" s="1"/>
  <c r="C61" i="385" s="1"/>
  <c r="P61" i="385" s="1"/>
  <c r="I59" i="385" a="1"/>
  <c r="I59" i="385" s="1"/>
  <c r="I57" i="385" a="1"/>
  <c r="I57" i="385" s="1"/>
  <c r="I55" i="385" a="1"/>
  <c r="I55" i="385" s="1"/>
  <c r="I53" i="385" a="1"/>
  <c r="I53" i="385" s="1"/>
  <c r="I51" i="385" a="1"/>
  <c r="I51" i="385" s="1"/>
  <c r="I49" i="385" a="1"/>
  <c r="I49" i="385" s="1"/>
  <c r="I42" i="385" a="1"/>
  <c r="I42" i="385" s="1"/>
  <c r="I40" i="385" a="1"/>
  <c r="I40" i="385" s="1"/>
  <c r="I38" i="385" a="1"/>
  <c r="I38" i="385" s="1"/>
  <c r="I36" i="385" a="1"/>
  <c r="I36" i="385" s="1"/>
  <c r="I32" i="385" a="1"/>
  <c r="I32" i="385" s="1"/>
  <c r="M159" i="385" a="1"/>
  <c r="M159" i="385" s="1"/>
  <c r="M157" i="385" a="1"/>
  <c r="M157" i="385" s="1"/>
  <c r="M155" i="385" a="1"/>
  <c r="M155" i="385" s="1"/>
  <c r="M150" i="385" a="1"/>
  <c r="M150" i="385" s="1"/>
  <c r="M148" i="385" a="1"/>
  <c r="M148" i="385" s="1"/>
  <c r="M144" i="385" a="1"/>
  <c r="M144" i="385" s="1"/>
  <c r="M142" i="385" a="1"/>
  <c r="M142" i="385" s="1"/>
  <c r="M140" i="385" a="1"/>
  <c r="M140" i="385" s="1"/>
  <c r="M138" i="385" a="1"/>
  <c r="M138" i="385" s="1"/>
  <c r="M136" i="385" a="1"/>
  <c r="M136" i="385" s="1"/>
  <c r="M132" i="385" a="1"/>
  <c r="M132" i="385" s="1"/>
  <c r="M130" i="385" a="1"/>
  <c r="M130" i="385" s="1"/>
  <c r="M128" i="385" a="1"/>
  <c r="M128" i="385" s="1"/>
  <c r="M124" i="385" a="1"/>
  <c r="M124" i="385" s="1"/>
  <c r="M122" i="385" a="1"/>
  <c r="M122" i="385" s="1"/>
  <c r="M120" i="385" a="1"/>
  <c r="M120" i="385" s="1"/>
  <c r="M160" i="385" a="1"/>
  <c r="M160" i="385" s="1"/>
  <c r="M158" i="385" a="1"/>
  <c r="M158" i="385" s="1"/>
  <c r="M156" i="385" a="1"/>
  <c r="M156" i="385" s="1"/>
  <c r="M149" i="385" a="1"/>
  <c r="M149" i="385" s="1"/>
  <c r="M147" i="385" a="1"/>
  <c r="M147" i="385" s="1"/>
  <c r="M146" i="385" s="1"/>
  <c r="M141" i="385" s="1"/>
  <c r="M145" i="385" a="1"/>
  <c r="M145" i="385" s="1"/>
  <c r="M143" i="385" a="1"/>
  <c r="M143" i="385" s="1"/>
  <c r="M139" i="385" a="1"/>
  <c r="M139" i="385" s="1"/>
  <c r="M135" i="385" a="1"/>
  <c r="M135" i="385" s="1"/>
  <c r="M133" i="385" a="1"/>
  <c r="M133" i="385" s="1"/>
  <c r="M131" i="385" a="1"/>
  <c r="M131" i="385" s="1"/>
  <c r="M129" i="385" a="1"/>
  <c r="M129" i="385" s="1"/>
  <c r="M127" i="385" a="1"/>
  <c r="M127" i="385" s="1"/>
  <c r="M125" i="385" a="1"/>
  <c r="M125" i="385" s="1"/>
  <c r="M123" i="385" a="1"/>
  <c r="M123" i="385" s="1"/>
  <c r="M121" i="385" a="1"/>
  <c r="M121" i="385" s="1"/>
  <c r="M119" i="385" a="1"/>
  <c r="M119" i="385" s="1"/>
  <c r="M115" i="385" a="1"/>
  <c r="M115" i="385" s="1"/>
  <c r="M113" i="385" a="1"/>
  <c r="M113" i="385" s="1"/>
  <c r="M111" i="385" a="1"/>
  <c r="M111" i="385" s="1"/>
  <c r="M109" i="385" a="1"/>
  <c r="M109" i="385"/>
  <c r="M107" i="385" a="1"/>
  <c r="M107" i="385" s="1"/>
  <c r="M105" i="385" a="1"/>
  <c r="M105" i="385" s="1"/>
  <c r="M103" i="385" a="1"/>
  <c r="M103" i="385" s="1"/>
  <c r="M101" i="385" a="1"/>
  <c r="M101" i="385" s="1"/>
  <c r="M95" i="385" a="1"/>
  <c r="M95" i="385" s="1"/>
  <c r="M93" i="385" a="1"/>
  <c r="M93" i="385" s="1"/>
  <c r="M91" i="385" a="1"/>
  <c r="M91" i="385" s="1"/>
  <c r="M87" i="385" a="1"/>
  <c r="M87" i="385" s="1"/>
  <c r="M21" i="385" a="1"/>
  <c r="M21" i="385" s="1"/>
  <c r="M19" i="385" a="1"/>
  <c r="M19" i="385" s="1"/>
  <c r="M15" i="385" a="1"/>
  <c r="M15" i="385" s="1"/>
  <c r="M166" i="385" a="1"/>
  <c r="M166" i="385" s="1"/>
  <c r="M78" i="385" a="1"/>
  <c r="M78" i="385" s="1"/>
  <c r="M74" i="385" a="1"/>
  <c r="M74" i="385" s="1"/>
  <c r="M72" i="385" a="1"/>
  <c r="M72" i="385" s="1"/>
  <c r="M68" i="385" a="1"/>
  <c r="M68" i="385" s="1"/>
  <c r="C68" i="385" s="1"/>
  <c r="P68" i="385" s="1"/>
  <c r="M66" i="385" a="1"/>
  <c r="M66" i="385" s="1"/>
  <c r="M64" i="385" a="1"/>
  <c r="M64" i="385" s="1"/>
  <c r="M62" i="385" a="1"/>
  <c r="M62" i="385" s="1"/>
  <c r="M60" i="385" a="1"/>
  <c r="M60" i="385" s="1"/>
  <c r="M58" i="385" a="1"/>
  <c r="M58" i="385" s="1"/>
  <c r="M56" i="385" a="1"/>
  <c r="M56" i="385" s="1"/>
  <c r="M54" i="385" a="1"/>
  <c r="M54" i="385" s="1"/>
  <c r="M52" i="385" a="1"/>
  <c r="M52" i="385"/>
  <c r="M48" i="385" a="1"/>
  <c r="M48" i="385" s="1"/>
  <c r="M41" i="385" a="1"/>
  <c r="M41" i="385" s="1"/>
  <c r="M39" i="385" a="1"/>
  <c r="M39" i="385" s="1"/>
  <c r="M37" i="385" a="1"/>
  <c r="M37" i="385" s="1"/>
  <c r="M118" i="385" a="1"/>
  <c r="M118" i="385" s="1"/>
  <c r="M116" i="385" a="1"/>
  <c r="M116" i="385" s="1"/>
  <c r="M114" i="385" a="1"/>
  <c r="M114" i="385" s="1"/>
  <c r="M112" i="385" a="1"/>
  <c r="M112" i="385"/>
  <c r="M110" i="385" a="1"/>
  <c r="M110" i="385" s="1"/>
  <c r="M106" i="385" a="1"/>
  <c r="M106" i="385" s="1"/>
  <c r="M104" i="385" a="1"/>
  <c r="M104" i="385" s="1"/>
  <c r="M100" i="385" a="1"/>
  <c r="M100" i="385" s="1"/>
  <c r="M98" i="385" a="1"/>
  <c r="M98" i="385" s="1"/>
  <c r="M96" i="385" a="1"/>
  <c r="M96" i="385" s="1"/>
  <c r="M94" i="385" a="1"/>
  <c r="M94" i="385" s="1"/>
  <c r="M92" i="385" a="1"/>
  <c r="M92" i="385"/>
  <c r="M90" i="385" a="1"/>
  <c r="M90" i="385" s="1"/>
  <c r="M88" i="385" a="1"/>
  <c r="M88" i="385" s="1"/>
  <c r="M22" i="385" a="1"/>
  <c r="M22" i="385" s="1"/>
  <c r="M18" i="385" a="1"/>
  <c r="M18" i="385" s="1"/>
  <c r="M16" i="385" a="1"/>
  <c r="M16" i="385" s="1"/>
  <c r="M14" i="385" a="1"/>
  <c r="M14" i="385" s="1"/>
  <c r="M79" i="385" a="1"/>
  <c r="M79" i="385" s="1"/>
  <c r="M75" i="385" a="1"/>
  <c r="M75" i="385"/>
  <c r="M73" i="385" a="1"/>
  <c r="M73" i="385" s="1"/>
  <c r="M71" i="385" a="1"/>
  <c r="M71" i="385" s="1"/>
  <c r="M69" i="385" a="1"/>
  <c r="M69" i="385" s="1"/>
  <c r="M67" i="385" a="1"/>
  <c r="M67" i="385" s="1"/>
  <c r="M63" i="385" a="1"/>
  <c r="M63" i="385" s="1"/>
  <c r="M61" i="385" a="1"/>
  <c r="M61" i="385" s="1"/>
  <c r="M59" i="385" a="1"/>
  <c r="M59" i="385" s="1"/>
  <c r="M57" i="385" a="1"/>
  <c r="M57" i="385" s="1"/>
  <c r="M55" i="385" a="1"/>
  <c r="M55" i="385" s="1"/>
  <c r="M53" i="385" a="1"/>
  <c r="M53" i="385" s="1"/>
  <c r="M51" i="385" a="1"/>
  <c r="M51" i="385" s="1"/>
  <c r="M49" i="385" a="1"/>
  <c r="M49" i="385" s="1"/>
  <c r="M42" i="385" a="1"/>
  <c r="M42" i="385" s="1"/>
  <c r="M40" i="385" a="1"/>
  <c r="M40" i="385" s="1"/>
  <c r="M38" i="385" a="1"/>
  <c r="M38" i="385" s="1"/>
  <c r="M36" i="385" a="1"/>
  <c r="M36" i="385"/>
  <c r="M32" i="385" a="1"/>
  <c r="M32" i="385" s="1"/>
  <c r="E12" i="385" a="1"/>
  <c r="E12" i="385" s="1"/>
  <c r="G12" i="385" a="1"/>
  <c r="G12" i="385" s="1"/>
  <c r="I12" i="385" a="1"/>
  <c r="I12" i="385" s="1"/>
  <c r="K12" i="385" a="1"/>
  <c r="K12" i="385" s="1"/>
  <c r="M12" i="385" a="1"/>
  <c r="M12" i="385" s="1"/>
  <c r="O12" i="385" a="1"/>
  <c r="O12" i="385" s="1"/>
  <c r="E14" i="385" a="1"/>
  <c r="E14" i="385" s="1"/>
  <c r="G14" i="385" a="1"/>
  <c r="G14" i="385" s="1"/>
  <c r="I14" i="385" a="1"/>
  <c r="I14" i="385" s="1"/>
  <c r="G31" i="385" a="1"/>
  <c r="G31" i="385" s="1"/>
  <c r="K31" i="385" a="1"/>
  <c r="K31" i="385" s="1"/>
  <c r="I33" i="385" a="1"/>
  <c r="I33" i="385" s="1"/>
  <c r="E35" i="385" a="1"/>
  <c r="E35" i="385" s="1"/>
  <c r="M35" i="385" a="1"/>
  <c r="M35" i="385" s="1"/>
  <c r="H36" i="385" a="1"/>
  <c r="H36" i="385" s="1"/>
  <c r="F160" i="385" a="1"/>
  <c r="F160" i="385" s="1"/>
  <c r="F158" i="385" a="1"/>
  <c r="F158" i="385" s="1"/>
  <c r="F156" i="385" a="1"/>
  <c r="F156" i="385" s="1"/>
  <c r="F149" i="385" a="1"/>
  <c r="F149" i="385" s="1"/>
  <c r="F147" i="385" a="1"/>
  <c r="F147" i="385" s="1"/>
  <c r="F145" i="385" a="1"/>
  <c r="F145" i="385" s="1"/>
  <c r="F143" i="385" a="1"/>
  <c r="F143" i="385" s="1"/>
  <c r="F139" i="385" a="1"/>
  <c r="F139" i="385" s="1"/>
  <c r="F135" i="385" a="1"/>
  <c r="F135" i="385" s="1"/>
  <c r="F133" i="385" a="1"/>
  <c r="F133" i="385" s="1"/>
  <c r="F131" i="385" a="1"/>
  <c r="F131" i="385" s="1"/>
  <c r="F129" i="385" a="1"/>
  <c r="F129" i="385" s="1"/>
  <c r="F127" i="385" a="1"/>
  <c r="F127" i="385" s="1"/>
  <c r="F125" i="385" a="1"/>
  <c r="F125" i="385" s="1"/>
  <c r="F123" i="385" a="1"/>
  <c r="F123" i="385" s="1"/>
  <c r="F121" i="385" a="1"/>
  <c r="F121" i="385" s="1"/>
  <c r="F159" i="385" a="1"/>
  <c r="F159" i="385" s="1"/>
  <c r="F157" i="385" a="1"/>
  <c r="F157" i="385" s="1"/>
  <c r="F155" i="385" a="1"/>
  <c r="F155" i="385" s="1"/>
  <c r="F150" i="385" a="1"/>
  <c r="F150" i="385" s="1"/>
  <c r="F148" i="385" a="1"/>
  <c r="F148" i="385" s="1"/>
  <c r="F144" i="385" a="1"/>
  <c r="F144" i="385" s="1"/>
  <c r="F142" i="385" a="1"/>
  <c r="F142" i="385" s="1"/>
  <c r="F140" i="385" a="1"/>
  <c r="F140" i="385" s="1"/>
  <c r="F138" i="385" a="1"/>
  <c r="F138" i="385" s="1"/>
  <c r="F136" i="385" a="1"/>
  <c r="F136" i="385" s="1"/>
  <c r="F132" i="385" a="1"/>
  <c r="F132" i="385" s="1"/>
  <c r="F130" i="385" a="1"/>
  <c r="F130" i="385" s="1"/>
  <c r="F128" i="385" a="1"/>
  <c r="F128" i="385" s="1"/>
  <c r="F124" i="385" a="1"/>
  <c r="F124" i="385" s="1"/>
  <c r="F122" i="385" a="1"/>
  <c r="F122" i="385" s="1"/>
  <c r="F120" i="385" a="1"/>
  <c r="F120" i="385" s="1"/>
  <c r="F118" i="385" a="1"/>
  <c r="F118" i="385" s="1"/>
  <c r="F116" i="385" a="1"/>
  <c r="F116" i="385" s="1"/>
  <c r="F114" i="385" a="1"/>
  <c r="F114" i="385" s="1"/>
  <c r="F112" i="385" a="1"/>
  <c r="F112" i="385" s="1"/>
  <c r="F110" i="385" a="1"/>
  <c r="F110" i="385" s="1"/>
  <c r="F106" i="385" a="1"/>
  <c r="F106" i="385" s="1"/>
  <c r="F104" i="385" a="1"/>
  <c r="F104" i="385" s="1"/>
  <c r="F100" i="385" a="1"/>
  <c r="F100" i="385" s="1"/>
  <c r="F98" i="385" a="1"/>
  <c r="F98" i="385" s="1"/>
  <c r="F96" i="385" a="1"/>
  <c r="F96" i="385" s="1"/>
  <c r="F94" i="385" a="1"/>
  <c r="F94" i="385" s="1"/>
  <c r="F92" i="385" a="1"/>
  <c r="F92" i="385" s="1"/>
  <c r="F90" i="385" a="1"/>
  <c r="F90" i="385" s="1"/>
  <c r="F88" i="385" a="1"/>
  <c r="F88" i="385" s="1"/>
  <c r="F22" i="385" a="1"/>
  <c r="F22" i="385" s="1"/>
  <c r="F18" i="385" a="1"/>
  <c r="F18" i="385"/>
  <c r="F16" i="385" a="1"/>
  <c r="F16" i="385" s="1"/>
  <c r="F79" i="385" a="1"/>
  <c r="F79" i="385" s="1"/>
  <c r="F75" i="385" a="1"/>
  <c r="F75" i="385" s="1"/>
  <c r="F73" i="385" a="1"/>
  <c r="F73" i="385" s="1"/>
  <c r="F71" i="385" a="1"/>
  <c r="F71" i="385" s="1"/>
  <c r="F69" i="385" a="1"/>
  <c r="F69" i="385" s="1"/>
  <c r="F67" i="385" a="1"/>
  <c r="F67" i="385" s="1"/>
  <c r="F63" i="385" a="1"/>
  <c r="F63" i="385" s="1"/>
  <c r="F50" i="385" s="1"/>
  <c r="F61" i="385" a="1"/>
  <c r="F61" i="385" s="1"/>
  <c r="F59" i="385" a="1"/>
  <c r="F59" i="385" s="1"/>
  <c r="F57" i="385" a="1"/>
  <c r="F57" i="385" s="1"/>
  <c r="F55" i="385" a="1"/>
  <c r="F55" i="385" s="1"/>
  <c r="F53" i="385" a="1"/>
  <c r="F53" i="385" s="1"/>
  <c r="F51" i="385" a="1"/>
  <c r="F51" i="385" s="1"/>
  <c r="F49" i="385" a="1"/>
  <c r="F49" i="385" s="1"/>
  <c r="F42" i="385" a="1"/>
  <c r="F42" i="385"/>
  <c r="F40" i="385" a="1"/>
  <c r="F40" i="385" s="1"/>
  <c r="F38" i="385" a="1"/>
  <c r="F38" i="385" s="1"/>
  <c r="F119" i="385" a="1"/>
  <c r="F119" i="385" s="1"/>
  <c r="F115" i="385" a="1"/>
  <c r="F115" i="385" s="1"/>
  <c r="F113" i="385" a="1"/>
  <c r="F113" i="385" s="1"/>
  <c r="F111" i="385" a="1"/>
  <c r="F111" i="385" s="1"/>
  <c r="F109" i="385" a="1"/>
  <c r="F109" i="385" s="1"/>
  <c r="F107" i="385" a="1"/>
  <c r="F107" i="385"/>
  <c r="F105" i="385" a="1"/>
  <c r="F105" i="385" s="1"/>
  <c r="F103" i="385" a="1"/>
  <c r="F103" i="385" s="1"/>
  <c r="F101" i="385" a="1"/>
  <c r="F101" i="385" s="1"/>
  <c r="F95" i="385" a="1"/>
  <c r="F95" i="385" s="1"/>
  <c r="F93" i="385" a="1"/>
  <c r="F93" i="385" s="1"/>
  <c r="F91" i="385" a="1"/>
  <c r="F91" i="385" s="1"/>
  <c r="F87" i="385" a="1"/>
  <c r="F87" i="385" s="1"/>
  <c r="F21" i="385" a="1"/>
  <c r="F21" i="385"/>
  <c r="F19" i="385" a="1"/>
  <c r="F19" i="385" s="1"/>
  <c r="F15" i="385" a="1"/>
  <c r="F15" i="385" s="1"/>
  <c r="F166" i="385" a="1"/>
  <c r="F166" i="385" s="1"/>
  <c r="F78" i="385" a="1"/>
  <c r="F78" i="385" s="1"/>
  <c r="F74" i="385" a="1"/>
  <c r="F74" i="385" s="1"/>
  <c r="F72" i="385" a="1"/>
  <c r="F72" i="385" s="1"/>
  <c r="F68" i="385" a="1"/>
  <c r="F68" i="385" s="1"/>
  <c r="F66" i="385" a="1"/>
  <c r="F66" i="385"/>
  <c r="F64" i="385" a="1"/>
  <c r="F64" i="385" s="1"/>
  <c r="F62" i="385" a="1"/>
  <c r="F62" i="385" s="1"/>
  <c r="F60" i="385" a="1"/>
  <c r="F60" i="385" s="1"/>
  <c r="F58" i="385" a="1"/>
  <c r="F58" i="385" s="1"/>
  <c r="F56" i="385" a="1"/>
  <c r="F56" i="385" s="1"/>
  <c r="F54" i="385" a="1"/>
  <c r="F54" i="385" s="1"/>
  <c r="F52" i="385" a="1"/>
  <c r="F52" i="385" s="1"/>
  <c r="F48" i="385" a="1"/>
  <c r="F48" i="385"/>
  <c r="F41" i="385" a="1"/>
  <c r="F41" i="385" s="1"/>
  <c r="F39" i="385" a="1"/>
  <c r="F39" i="385" s="1"/>
  <c r="F37" i="385" a="1"/>
  <c r="F37" i="385" s="1"/>
  <c r="F35" i="385" a="1"/>
  <c r="F35" i="385" s="1"/>
  <c r="F33" i="385" a="1"/>
  <c r="F33" i="385" s="1"/>
  <c r="J160" i="385" a="1"/>
  <c r="J160" i="385" s="1"/>
  <c r="J158" i="385" a="1"/>
  <c r="J158" i="385" s="1"/>
  <c r="J156" i="385" a="1"/>
  <c r="J156" i="385" s="1"/>
  <c r="J161" i="385" s="1"/>
  <c r="J149" i="385" a="1"/>
  <c r="J149" i="385" s="1"/>
  <c r="J147" i="385" a="1"/>
  <c r="J147" i="385" s="1"/>
  <c r="J145" i="385" a="1"/>
  <c r="J145" i="385" s="1"/>
  <c r="J143" i="385" a="1"/>
  <c r="J143" i="385" s="1"/>
  <c r="J139" i="385" a="1"/>
  <c r="J139" i="385" s="1"/>
  <c r="J135" i="385" a="1"/>
  <c r="J135" i="385" s="1"/>
  <c r="J133" i="385" a="1"/>
  <c r="J133" i="385" s="1"/>
  <c r="J131" i="385" a="1"/>
  <c r="J131" i="385"/>
  <c r="J129" i="385" a="1"/>
  <c r="J129" i="385" s="1"/>
  <c r="J127" i="385" a="1"/>
  <c r="J127" i="385" s="1"/>
  <c r="J125" i="385" a="1"/>
  <c r="J125" i="385" s="1"/>
  <c r="J123" i="385" a="1"/>
  <c r="J123" i="385" s="1"/>
  <c r="J121" i="385" a="1"/>
  <c r="J121" i="385" s="1"/>
  <c r="J159" i="385" a="1"/>
  <c r="J159" i="385" s="1"/>
  <c r="J157" i="385" a="1"/>
  <c r="J157" i="385" s="1"/>
  <c r="J155" i="385" a="1"/>
  <c r="J155" i="385" s="1"/>
  <c r="C155" i="385" s="1"/>
  <c r="J150" i="385" a="1"/>
  <c r="J150" i="385" s="1"/>
  <c r="J148" i="385" a="1"/>
  <c r="J148" i="385" s="1"/>
  <c r="J144" i="385" a="1"/>
  <c r="J144" i="385" s="1"/>
  <c r="J142" i="385" a="1"/>
  <c r="J142" i="385" s="1"/>
  <c r="J140" i="385" a="1"/>
  <c r="J140" i="385" s="1"/>
  <c r="J138" i="385" a="1"/>
  <c r="J138" i="385" s="1"/>
  <c r="J136" i="385" a="1"/>
  <c r="J136" i="385" s="1"/>
  <c r="J132" i="385" a="1"/>
  <c r="J132" i="385" s="1"/>
  <c r="J130" i="385" a="1"/>
  <c r="J130" i="385" s="1"/>
  <c r="J128" i="385" a="1"/>
  <c r="J128" i="385" s="1"/>
  <c r="J124" i="385" a="1"/>
  <c r="J124" i="385" s="1"/>
  <c r="J122" i="385" a="1"/>
  <c r="J122" i="385" s="1"/>
  <c r="J120" i="385" a="1"/>
  <c r="J120" i="385" s="1"/>
  <c r="J118" i="385" a="1"/>
  <c r="J118" i="385" s="1"/>
  <c r="J116" i="385" a="1"/>
  <c r="J116" i="385" s="1"/>
  <c r="J114" i="385" a="1"/>
  <c r="J114" i="385" s="1"/>
  <c r="J112" i="385" a="1"/>
  <c r="J112" i="385" s="1"/>
  <c r="J110" i="385" a="1"/>
  <c r="J110" i="385" s="1"/>
  <c r="J106" i="385" a="1"/>
  <c r="J106" i="385" s="1"/>
  <c r="J104" i="385" a="1"/>
  <c r="J104" i="385" s="1"/>
  <c r="J100" i="385" a="1"/>
  <c r="J100" i="385" s="1"/>
  <c r="J98" i="385" a="1"/>
  <c r="J98" i="385" s="1"/>
  <c r="J96" i="385" a="1"/>
  <c r="J96" i="385" s="1"/>
  <c r="J94" i="385" a="1"/>
  <c r="J94" i="385" s="1"/>
  <c r="J92" i="385" a="1"/>
  <c r="J92" i="385" s="1"/>
  <c r="J90" i="385" a="1"/>
  <c r="J90" i="385" s="1"/>
  <c r="J88" i="385" a="1"/>
  <c r="J88" i="385" s="1"/>
  <c r="J22" i="385" a="1"/>
  <c r="J22" i="385" s="1"/>
  <c r="J18" i="385" a="1"/>
  <c r="J18" i="385" s="1"/>
  <c r="J16" i="385" a="1"/>
  <c r="J16" i="385" s="1"/>
  <c r="J14" i="385" a="1"/>
  <c r="J14" i="385" s="1"/>
  <c r="J79" i="385" a="1"/>
  <c r="J79" i="385" s="1"/>
  <c r="J75" i="385" a="1"/>
  <c r="J75" i="385" s="1"/>
  <c r="J73" i="385" a="1"/>
  <c r="J73" i="385" s="1"/>
  <c r="J71" i="385" a="1"/>
  <c r="J71" i="385" s="1"/>
  <c r="J69" i="385" a="1"/>
  <c r="J69" i="385" s="1"/>
  <c r="J67" i="385" a="1"/>
  <c r="J67" i="385" s="1"/>
  <c r="J63" i="385" a="1"/>
  <c r="J63" i="385" s="1"/>
  <c r="J61" i="385" a="1"/>
  <c r="J61" i="385" s="1"/>
  <c r="J59" i="385" a="1"/>
  <c r="J59" i="385" s="1"/>
  <c r="J57" i="385" a="1"/>
  <c r="J57" i="385" s="1"/>
  <c r="J55" i="385" a="1"/>
  <c r="J55" i="385" s="1"/>
  <c r="J53" i="385" a="1"/>
  <c r="J53" i="385" s="1"/>
  <c r="J51" i="385" a="1"/>
  <c r="J51" i="385" s="1"/>
  <c r="J49" i="385" a="1"/>
  <c r="J49" i="385" s="1"/>
  <c r="J42" i="385" a="1"/>
  <c r="J42" i="385" s="1"/>
  <c r="J40" i="385" a="1"/>
  <c r="J40" i="385" s="1"/>
  <c r="J38" i="385" a="1"/>
  <c r="J38" i="385" s="1"/>
  <c r="J34" i="385" s="1"/>
  <c r="J119" i="385" a="1"/>
  <c r="J119" i="385" s="1"/>
  <c r="J115" i="385" a="1"/>
  <c r="J115" i="385" s="1"/>
  <c r="J113" i="385" a="1"/>
  <c r="J113" i="385" s="1"/>
  <c r="J111" i="385" a="1"/>
  <c r="J111" i="385" s="1"/>
  <c r="J109" i="385" a="1"/>
  <c r="J109" i="385" s="1"/>
  <c r="J107" i="385" a="1"/>
  <c r="J107" i="385" s="1"/>
  <c r="J105" i="385" a="1"/>
  <c r="J105" i="385" s="1"/>
  <c r="J103" i="385" a="1"/>
  <c r="J103" i="385"/>
  <c r="J101" i="385" a="1"/>
  <c r="J101" i="385" s="1"/>
  <c r="J95" i="385" a="1"/>
  <c r="J95" i="385" s="1"/>
  <c r="J93" i="385" a="1"/>
  <c r="J93" i="385" s="1"/>
  <c r="J91" i="385" a="1"/>
  <c r="J91" i="385" s="1"/>
  <c r="J87" i="385" a="1"/>
  <c r="J87" i="385" s="1"/>
  <c r="J21" i="385" a="1"/>
  <c r="J21" i="385" s="1"/>
  <c r="J19" i="385" a="1"/>
  <c r="J19" i="385" s="1"/>
  <c r="J15" i="385" a="1"/>
  <c r="J15" i="385" s="1"/>
  <c r="J166" i="385" a="1"/>
  <c r="J166" i="385" s="1"/>
  <c r="J78" i="385" a="1"/>
  <c r="J78" i="385" s="1"/>
  <c r="J74" i="385" a="1"/>
  <c r="J74" i="385" s="1"/>
  <c r="J72" i="385" a="1"/>
  <c r="J72" i="385" s="1"/>
  <c r="J68" i="385" a="1"/>
  <c r="J68" i="385" s="1"/>
  <c r="J66" i="385" a="1"/>
  <c r="J66" i="385" s="1"/>
  <c r="J64" i="385" a="1"/>
  <c r="J64" i="385" s="1"/>
  <c r="J62" i="385" a="1"/>
  <c r="J62" i="385"/>
  <c r="J60" i="385" a="1"/>
  <c r="J60" i="385" s="1"/>
  <c r="J58" i="385" a="1"/>
  <c r="J58" i="385" s="1"/>
  <c r="J56" i="385" a="1"/>
  <c r="J56" i="385" s="1"/>
  <c r="J54" i="385" a="1"/>
  <c r="J54" i="385" s="1"/>
  <c r="J52" i="385" a="1"/>
  <c r="J52" i="385" s="1"/>
  <c r="J48" i="385" a="1"/>
  <c r="J48" i="385" s="1"/>
  <c r="J41" i="385" a="1"/>
  <c r="J41" i="385" s="1"/>
  <c r="J39" i="385" a="1"/>
  <c r="J39" i="385"/>
  <c r="J37" i="385" a="1"/>
  <c r="J37" i="385" s="1"/>
  <c r="J35" i="385" a="1"/>
  <c r="J35" i="385" s="1"/>
  <c r="J33" i="385" a="1"/>
  <c r="J33" i="385" s="1"/>
  <c r="N160" i="385" a="1"/>
  <c r="N160" i="385" s="1"/>
  <c r="N158" i="385" a="1"/>
  <c r="N158" i="385" s="1"/>
  <c r="N156" i="385" a="1"/>
  <c r="N156" i="385" s="1"/>
  <c r="N149" i="385" a="1"/>
  <c r="N149" i="385" s="1"/>
  <c r="N147" i="385" a="1"/>
  <c r="N147" i="385"/>
  <c r="N145" i="385" a="1"/>
  <c r="N145" i="385" s="1"/>
  <c r="N143" i="385" a="1"/>
  <c r="N143" i="385" s="1"/>
  <c r="N139" i="385" a="1"/>
  <c r="N139" i="385" s="1"/>
  <c r="N135" i="385" a="1"/>
  <c r="N135" i="385" s="1"/>
  <c r="N133" i="385" a="1"/>
  <c r="N133" i="385" s="1"/>
  <c r="N131" i="385" a="1"/>
  <c r="N131" i="385" s="1"/>
  <c r="N129" i="385" a="1"/>
  <c r="N129" i="385" s="1"/>
  <c r="N127" i="385" a="1"/>
  <c r="N127" i="385"/>
  <c r="N125" i="385" a="1"/>
  <c r="N125" i="385" s="1"/>
  <c r="N123" i="385" a="1"/>
  <c r="N123" i="385" s="1"/>
  <c r="N121" i="385" a="1"/>
  <c r="N121" i="385" s="1"/>
  <c r="N166" i="385" a="1"/>
  <c r="N166" i="385" s="1"/>
  <c r="N159" i="385" a="1"/>
  <c r="N159" i="385" s="1"/>
  <c r="N157" i="385" a="1"/>
  <c r="N157" i="385" s="1"/>
  <c r="N155" i="385" a="1"/>
  <c r="N155" i="385" s="1"/>
  <c r="N150" i="385" a="1"/>
  <c r="N150" i="385"/>
  <c r="N148" i="385" a="1"/>
  <c r="N148" i="385" s="1"/>
  <c r="N144" i="385" a="1"/>
  <c r="N144" i="385" s="1"/>
  <c r="N142" i="385" a="1"/>
  <c r="N142" i="385" s="1"/>
  <c r="N140" i="385" a="1"/>
  <c r="N140" i="385" s="1"/>
  <c r="N138" i="385" a="1"/>
  <c r="N138" i="385" s="1"/>
  <c r="N136" i="385" a="1"/>
  <c r="N136" i="385" s="1"/>
  <c r="N132" i="385" a="1"/>
  <c r="N132" i="385" s="1"/>
  <c r="N130" i="385" a="1"/>
  <c r="N130" i="385" s="1"/>
  <c r="N128" i="385" a="1"/>
  <c r="N128" i="385" s="1"/>
  <c r="N124" i="385" a="1"/>
  <c r="N124" i="385" s="1"/>
  <c r="N122" i="385" a="1"/>
  <c r="N122" i="385" s="1"/>
  <c r="N120" i="385" a="1"/>
  <c r="N120" i="385" s="1"/>
  <c r="N119" i="385" a="1"/>
  <c r="N119" i="385" s="1"/>
  <c r="N118" i="385" a="1"/>
  <c r="N118" i="385" s="1"/>
  <c r="N116" i="385" a="1"/>
  <c r="N116" i="385" s="1"/>
  <c r="N114" i="385" a="1"/>
  <c r="N114" i="385"/>
  <c r="N112" i="385" a="1"/>
  <c r="N112" i="385" s="1"/>
  <c r="N110" i="385" a="1"/>
  <c r="N110" i="385" s="1"/>
  <c r="N106" i="385" a="1"/>
  <c r="N106" i="385" s="1"/>
  <c r="N104" i="385" a="1"/>
  <c r="N104" i="385" s="1"/>
  <c r="N100" i="385" a="1"/>
  <c r="N100" i="385" s="1"/>
  <c r="N98" i="385" a="1"/>
  <c r="N98" i="385" s="1"/>
  <c r="N96" i="385" a="1"/>
  <c r="N96" i="385" s="1"/>
  <c r="N94" i="385" a="1"/>
  <c r="N94" i="385" s="1"/>
  <c r="N89" i="385" s="1"/>
  <c r="N92" i="385" a="1"/>
  <c r="N92" i="385" s="1"/>
  <c r="N90" i="385" a="1"/>
  <c r="N90" i="385" s="1"/>
  <c r="N88" i="385" a="1"/>
  <c r="N88" i="385" s="1"/>
  <c r="N22" i="385" a="1"/>
  <c r="N22" i="385" s="1"/>
  <c r="N18" i="385" a="1"/>
  <c r="N18" i="385" s="1"/>
  <c r="N16" i="385" a="1"/>
  <c r="N16" i="385" s="1"/>
  <c r="N14" i="385" a="1"/>
  <c r="N14" i="385" s="1"/>
  <c r="N79" i="385" a="1"/>
  <c r="N79" i="385" s="1"/>
  <c r="N77" i="385" s="1"/>
  <c r="N75" i="385" a="1"/>
  <c r="N75" i="385" s="1"/>
  <c r="N73" i="385" a="1"/>
  <c r="N73" i="385" s="1"/>
  <c r="N71" i="385" a="1"/>
  <c r="N71" i="385" s="1"/>
  <c r="N69" i="385" a="1"/>
  <c r="N69" i="385" s="1"/>
  <c r="N67" i="385" a="1"/>
  <c r="N67" i="385" s="1"/>
  <c r="N63" i="385" a="1"/>
  <c r="N63" i="385" s="1"/>
  <c r="N61" i="385" a="1"/>
  <c r="N61" i="385" s="1"/>
  <c r="N59" i="385" a="1"/>
  <c r="N59" i="385" s="1"/>
  <c r="N57" i="385" a="1"/>
  <c r="N57" i="385" s="1"/>
  <c r="N55" i="385" a="1"/>
  <c r="N55" i="385" s="1"/>
  <c r="N53" i="385" a="1"/>
  <c r="N53" i="385" s="1"/>
  <c r="N51" i="385" a="1"/>
  <c r="N51" i="385" s="1"/>
  <c r="N49" i="385" a="1"/>
  <c r="N49" i="385" s="1"/>
  <c r="N42" i="385" a="1"/>
  <c r="N42" i="385" s="1"/>
  <c r="N40" i="385" a="1"/>
  <c r="N40" i="385" s="1"/>
  <c r="N38" i="385" a="1"/>
  <c r="N38" i="385" s="1"/>
  <c r="C38" i="385" s="1"/>
  <c r="P38" i="385" s="1"/>
  <c r="N115" i="385" a="1"/>
  <c r="N115" i="385" s="1"/>
  <c r="N113" i="385" a="1"/>
  <c r="N113" i="385" s="1"/>
  <c r="N111" i="385" a="1"/>
  <c r="N111" i="385" s="1"/>
  <c r="N109" i="385" a="1"/>
  <c r="N109" i="385" s="1"/>
  <c r="N107" i="385" a="1"/>
  <c r="N107" i="385" s="1"/>
  <c r="N105" i="385" a="1"/>
  <c r="N105" i="385" s="1"/>
  <c r="N103" i="385" a="1"/>
  <c r="N103" i="385" s="1"/>
  <c r="N101" i="385" a="1"/>
  <c r="N101" i="385" s="1"/>
  <c r="N95" i="385" a="1"/>
  <c r="N95" i="385" s="1"/>
  <c r="N93" i="385" a="1"/>
  <c r="N93" i="385" s="1"/>
  <c r="N91" i="385" a="1"/>
  <c r="N91" i="385" s="1"/>
  <c r="N87" i="385" a="1"/>
  <c r="N87" i="385" s="1"/>
  <c r="N21" i="385" a="1"/>
  <c r="N21" i="385" s="1"/>
  <c r="N19" i="385" a="1"/>
  <c r="N19" i="385" s="1"/>
  <c r="N15" i="385" a="1"/>
  <c r="N15" i="385" s="1"/>
  <c r="N78" i="385" a="1"/>
  <c r="N78" i="385"/>
  <c r="N74" i="385" a="1"/>
  <c r="N74" i="385" s="1"/>
  <c r="N72" i="385" a="1"/>
  <c r="N72" i="385" s="1"/>
  <c r="N68" i="385" a="1"/>
  <c r="N68" i="385" s="1"/>
  <c r="N66" i="385" a="1"/>
  <c r="N66" i="385" s="1"/>
  <c r="N64" i="385" a="1"/>
  <c r="N64" i="385" s="1"/>
  <c r="N62" i="385" a="1"/>
  <c r="N62" i="385" s="1"/>
  <c r="N60" i="385" a="1"/>
  <c r="N60" i="385" s="1"/>
  <c r="N58" i="385" a="1"/>
  <c r="N58" i="385" s="1"/>
  <c r="N56" i="385" a="1"/>
  <c r="N56" i="385" s="1"/>
  <c r="N54" i="385" a="1"/>
  <c r="N54" i="385" s="1"/>
  <c r="N52" i="385" a="1"/>
  <c r="N52" i="385" s="1"/>
  <c r="N48" i="385" a="1"/>
  <c r="N48" i="385" s="1"/>
  <c r="N41" i="385" a="1"/>
  <c r="N41" i="385" s="1"/>
  <c r="N39" i="385" a="1"/>
  <c r="N39" i="385" s="1"/>
  <c r="N37" i="385" a="1"/>
  <c r="N37" i="385" s="1"/>
  <c r="N35" i="385" a="1"/>
  <c r="N35" i="385"/>
  <c r="N33" i="385" a="1"/>
  <c r="N33" i="385" s="1"/>
  <c r="N31" i="385" a="1"/>
  <c r="N31" i="385" s="1"/>
  <c r="N30" i="385" s="1"/>
  <c r="M31" i="385" a="1"/>
  <c r="M31" i="385"/>
  <c r="H32" i="385" a="1"/>
  <c r="H32" i="385"/>
  <c r="H30" i="385" s="1"/>
  <c r="J36" i="385" a="1"/>
  <c r="J36" i="385" s="1"/>
  <c r="G159" i="385" a="1"/>
  <c r="G159" i="385" s="1"/>
  <c r="G157" i="385" a="1"/>
  <c r="G157" i="385"/>
  <c r="G155" i="385" a="1"/>
  <c r="G155" i="385" s="1"/>
  <c r="G150" i="385" a="1"/>
  <c r="G150" i="385" s="1"/>
  <c r="G148" i="385" a="1"/>
  <c r="G148" i="385" s="1"/>
  <c r="G144" i="385" a="1"/>
  <c r="G144" i="385" s="1"/>
  <c r="G142" i="385" a="1"/>
  <c r="G142" i="385" s="1"/>
  <c r="G140" i="385" a="1"/>
  <c r="G140" i="385" s="1"/>
  <c r="G138" i="385" a="1"/>
  <c r="G138" i="385" s="1"/>
  <c r="G136" i="385" a="1"/>
  <c r="G136" i="385" s="1"/>
  <c r="G132" i="385" a="1"/>
  <c r="G132" i="385" s="1"/>
  <c r="G130" i="385" a="1"/>
  <c r="G130" i="385" s="1"/>
  <c r="G128" i="385" a="1"/>
  <c r="G128" i="385" s="1"/>
  <c r="G124" i="385" a="1"/>
  <c r="G124" i="385" s="1"/>
  <c r="G122" i="385" a="1"/>
  <c r="G122" i="385" s="1"/>
  <c r="G160" i="385" a="1"/>
  <c r="G160" i="385" s="1"/>
  <c r="G158" i="385" a="1"/>
  <c r="G158" i="385" s="1"/>
  <c r="G156" i="385" a="1"/>
  <c r="G156" i="385"/>
  <c r="G149" i="385" a="1"/>
  <c r="G149" i="385" s="1"/>
  <c r="G147" i="385" a="1"/>
  <c r="G147" i="385" s="1"/>
  <c r="G145" i="385" a="1"/>
  <c r="G145" i="385" s="1"/>
  <c r="G143" i="385" a="1"/>
  <c r="G143" i="385" s="1"/>
  <c r="G139" i="385" a="1"/>
  <c r="G139" i="385" s="1"/>
  <c r="G135" i="385" a="1"/>
  <c r="G135" i="385" s="1"/>
  <c r="G133" i="385" a="1"/>
  <c r="G133" i="385" s="1"/>
  <c r="G131" i="385" a="1"/>
  <c r="G131" i="385"/>
  <c r="G129" i="385" a="1"/>
  <c r="G129" i="385" s="1"/>
  <c r="G127" i="385" a="1"/>
  <c r="G127" i="385" s="1"/>
  <c r="G125" i="385" a="1"/>
  <c r="G125" i="385" s="1"/>
  <c r="G123" i="385" a="1"/>
  <c r="G123" i="385" s="1"/>
  <c r="G121" i="385" a="1"/>
  <c r="G121" i="385" s="1"/>
  <c r="G119" i="385" a="1"/>
  <c r="G119" i="385" s="1"/>
  <c r="G115" i="385" a="1"/>
  <c r="G115" i="385" s="1"/>
  <c r="G113" i="385" a="1"/>
  <c r="G113" i="385" s="1"/>
  <c r="C113" i="385" s="1"/>
  <c r="P113" i="385" s="1"/>
  <c r="G111" i="385" a="1"/>
  <c r="G111" i="385" s="1"/>
  <c r="G109" i="385" a="1"/>
  <c r="G109" i="385" s="1"/>
  <c r="G107" i="385" a="1"/>
  <c r="G107" i="385" s="1"/>
  <c r="G105" i="385" a="1"/>
  <c r="G105" i="385" s="1"/>
  <c r="G103" i="385" a="1"/>
  <c r="G103" i="385" s="1"/>
  <c r="G101" i="385" a="1"/>
  <c r="G101" i="385" s="1"/>
  <c r="G95" i="385" a="1"/>
  <c r="G95" i="385" s="1"/>
  <c r="G93" i="385" a="1"/>
  <c r="G93" i="385"/>
  <c r="G91" i="385" a="1"/>
  <c r="G91" i="385" s="1"/>
  <c r="G87" i="385" a="1"/>
  <c r="G87" i="385" s="1"/>
  <c r="G21" i="385" a="1"/>
  <c r="G21" i="385" s="1"/>
  <c r="G19" i="385" a="1"/>
  <c r="G19" i="385" s="1"/>
  <c r="G15" i="385" a="1"/>
  <c r="G15" i="385" s="1"/>
  <c r="G78" i="385" a="1"/>
  <c r="G78" i="385" s="1"/>
  <c r="G74" i="385" a="1"/>
  <c r="G74" i="385" s="1"/>
  <c r="G72" i="385" a="1"/>
  <c r="G72" i="385" s="1"/>
  <c r="C72" i="385" s="1"/>
  <c r="P72" i="385" s="1"/>
  <c r="G68" i="385" a="1"/>
  <c r="G68" i="385" s="1"/>
  <c r="G66" i="385" a="1"/>
  <c r="G66" i="385" s="1"/>
  <c r="G64" i="385" a="1"/>
  <c r="G64" i="385" s="1"/>
  <c r="G62" i="385" a="1"/>
  <c r="G62" i="385" s="1"/>
  <c r="G60" i="385" a="1"/>
  <c r="G60" i="385" s="1"/>
  <c r="G58" i="385" a="1"/>
  <c r="G58" i="385" s="1"/>
  <c r="G56" i="385" a="1"/>
  <c r="G56" i="385" s="1"/>
  <c r="G54" i="385" a="1"/>
  <c r="G54" i="385" s="1"/>
  <c r="C54" i="385" s="1"/>
  <c r="P54" i="385" s="1"/>
  <c r="G52" i="385" a="1"/>
  <c r="G52" i="385" s="1"/>
  <c r="G48" i="385" a="1"/>
  <c r="G48" i="385" s="1"/>
  <c r="G41" i="385" a="1"/>
  <c r="G41" i="385" s="1"/>
  <c r="G39" i="385" a="1"/>
  <c r="G39" i="385" s="1"/>
  <c r="G37" i="385" a="1"/>
  <c r="G37" i="385" s="1"/>
  <c r="G166" i="385" a="1"/>
  <c r="G166" i="385" s="1"/>
  <c r="G118" i="385" a="1"/>
  <c r="G118" i="385" s="1"/>
  <c r="G116" i="385" a="1"/>
  <c r="G116" i="385" s="1"/>
  <c r="C116" i="385" s="1"/>
  <c r="P116" i="385" s="1"/>
  <c r="G114" i="385" a="1"/>
  <c r="G114" i="385" s="1"/>
  <c r="G112" i="385" a="1"/>
  <c r="G112" i="385" s="1"/>
  <c r="G110" i="385" a="1"/>
  <c r="G110" i="385" s="1"/>
  <c r="G106" i="385" a="1"/>
  <c r="G106" i="385" s="1"/>
  <c r="G104" i="385" a="1"/>
  <c r="G104" i="385" s="1"/>
  <c r="G100" i="385" a="1"/>
  <c r="G100" i="385" s="1"/>
  <c r="G98" i="385" a="1"/>
  <c r="G98" i="385" s="1"/>
  <c r="G96" i="385" a="1"/>
  <c r="G96" i="385" s="1"/>
  <c r="C96" i="385" s="1"/>
  <c r="G94" i="385" a="1"/>
  <c r="G94" i="385" s="1"/>
  <c r="G92" i="385" a="1"/>
  <c r="G92" i="385" s="1"/>
  <c r="G90" i="385" a="1"/>
  <c r="G90" i="385" s="1"/>
  <c r="G88" i="385" a="1"/>
  <c r="G88" i="385" s="1"/>
  <c r="G22" i="385" a="1"/>
  <c r="G22" i="385" s="1"/>
  <c r="G18" i="385" a="1"/>
  <c r="G18" i="385" s="1"/>
  <c r="G16" i="385" a="1"/>
  <c r="G16" i="385" s="1"/>
  <c r="G120" i="385" a="1"/>
  <c r="G120" i="385" s="1"/>
  <c r="G79" i="385" a="1"/>
  <c r="G79" i="385" s="1"/>
  <c r="G75" i="385" a="1"/>
  <c r="G75" i="385" s="1"/>
  <c r="G73" i="385" a="1"/>
  <c r="G73" i="385" s="1"/>
  <c r="G71" i="385" a="1"/>
  <c r="G71" i="385" s="1"/>
  <c r="G69" i="385" a="1"/>
  <c r="G69" i="385" s="1"/>
  <c r="G67" i="385" a="1"/>
  <c r="G67" i="385" s="1"/>
  <c r="G63" i="385" a="1"/>
  <c r="G63" i="385" s="1"/>
  <c r="G61" i="385" a="1"/>
  <c r="G61" i="385"/>
  <c r="G59" i="385" a="1"/>
  <c r="G59" i="385" s="1"/>
  <c r="G57" i="385" a="1"/>
  <c r="G57" i="385" s="1"/>
  <c r="G55" i="385" a="1"/>
  <c r="G55" i="385" s="1"/>
  <c r="G53" i="385" a="1"/>
  <c r="G53" i="385" s="1"/>
  <c r="G51" i="385" a="1"/>
  <c r="G51" i="385" s="1"/>
  <c r="G49" i="385" a="1"/>
  <c r="G49" i="385" s="1"/>
  <c r="G42" i="385" a="1"/>
  <c r="G42" i="385" s="1"/>
  <c r="G40" i="385" a="1"/>
  <c r="G40" i="385" s="1"/>
  <c r="G38" i="385" a="1"/>
  <c r="G38" i="385" s="1"/>
  <c r="G36" i="385" a="1"/>
  <c r="G36" i="385" s="1"/>
  <c r="G32" i="385" a="1"/>
  <c r="G32" i="385" s="1"/>
  <c r="K159" i="385" a="1"/>
  <c r="K159" i="385" s="1"/>
  <c r="K157" i="385" a="1"/>
  <c r="K157" i="385" s="1"/>
  <c r="K155" i="385" a="1"/>
  <c r="K155" i="385" s="1"/>
  <c r="K150" i="385" a="1"/>
  <c r="K150" i="385" s="1"/>
  <c r="K148" i="385" a="1"/>
  <c r="K148" i="385"/>
  <c r="K144" i="385" a="1"/>
  <c r="K144" i="385" s="1"/>
  <c r="K142" i="385" a="1"/>
  <c r="K142" i="385" s="1"/>
  <c r="K140" i="385" a="1"/>
  <c r="K140" i="385" s="1"/>
  <c r="K138" i="385" a="1"/>
  <c r="K138" i="385" s="1"/>
  <c r="K136" i="385" a="1"/>
  <c r="K136" i="385" s="1"/>
  <c r="K132" i="385" a="1"/>
  <c r="K132" i="385" s="1"/>
  <c r="K130" i="385" a="1"/>
  <c r="K130" i="385" s="1"/>
  <c r="K128" i="385" a="1"/>
  <c r="K128" i="385" s="1"/>
  <c r="K124" i="385" a="1"/>
  <c r="K124" i="385" s="1"/>
  <c r="K122" i="385" a="1"/>
  <c r="K122" i="385" s="1"/>
  <c r="K120" i="385" a="1"/>
  <c r="K120" i="385" s="1"/>
  <c r="K160" i="385" a="1"/>
  <c r="K160" i="385" s="1"/>
  <c r="K158" i="385" a="1"/>
  <c r="K158" i="385" s="1"/>
  <c r="K156" i="385" a="1"/>
  <c r="K156" i="385" s="1"/>
  <c r="K149" i="385" a="1"/>
  <c r="K149" i="385" s="1"/>
  <c r="K147" i="385" a="1"/>
  <c r="K147" i="385"/>
  <c r="K145" i="385" a="1"/>
  <c r="K145" i="385" s="1"/>
  <c r="K143" i="385" a="1"/>
  <c r="K143" i="385" s="1"/>
  <c r="K139" i="385" a="1"/>
  <c r="K139" i="385" s="1"/>
  <c r="K135" i="385" a="1"/>
  <c r="K135" i="385" s="1"/>
  <c r="K133" i="385" a="1"/>
  <c r="K133" i="385" s="1"/>
  <c r="K131" i="385" a="1"/>
  <c r="K131" i="385" s="1"/>
  <c r="K129" i="385" a="1"/>
  <c r="K129" i="385" s="1"/>
  <c r="K127" i="385" a="1"/>
  <c r="K127" i="385"/>
  <c r="K125" i="385" a="1"/>
  <c r="K125" i="385" s="1"/>
  <c r="K123" i="385" a="1"/>
  <c r="K123" i="385" s="1"/>
  <c r="K121" i="385" a="1"/>
  <c r="K121" i="385" s="1"/>
  <c r="K119" i="385" a="1"/>
  <c r="K119" i="385" s="1"/>
  <c r="K115" i="385" a="1"/>
  <c r="K115" i="385" s="1"/>
  <c r="K113" i="385" a="1"/>
  <c r="K113" i="385" s="1"/>
  <c r="K111" i="385" a="1"/>
  <c r="K111" i="385" s="1"/>
  <c r="K109" i="385" a="1"/>
  <c r="K109" i="385" s="1"/>
  <c r="K107" i="385" a="1"/>
  <c r="K107" i="385" s="1"/>
  <c r="K105" i="385" a="1"/>
  <c r="K105" i="385" s="1"/>
  <c r="K103" i="385" a="1"/>
  <c r="K103" i="385" s="1"/>
  <c r="K101" i="385" a="1"/>
  <c r="K101" i="385" s="1"/>
  <c r="K95" i="385" a="1"/>
  <c r="K95" i="385" s="1"/>
  <c r="K93" i="385" a="1"/>
  <c r="K93" i="385" s="1"/>
  <c r="K91" i="385" a="1"/>
  <c r="K91" i="385" s="1"/>
  <c r="K87" i="385" a="1"/>
  <c r="K87" i="385"/>
  <c r="K21" i="385" a="1"/>
  <c r="K21" i="385" s="1"/>
  <c r="K19" i="385" a="1"/>
  <c r="K19" i="385" s="1"/>
  <c r="K15" i="385" a="1"/>
  <c r="K15" i="385" s="1"/>
  <c r="K78" i="385" a="1"/>
  <c r="K78" i="385" s="1"/>
  <c r="K74" i="385" a="1"/>
  <c r="K74" i="385" s="1"/>
  <c r="K72" i="385" a="1"/>
  <c r="K72" i="385" s="1"/>
  <c r="K68" i="385" a="1"/>
  <c r="K68" i="385" s="1"/>
  <c r="K66" i="385" a="1"/>
  <c r="K66" i="385"/>
  <c r="K64" i="385" a="1"/>
  <c r="K64" i="385" s="1"/>
  <c r="K62" i="385" a="1"/>
  <c r="K62" i="385" s="1"/>
  <c r="K60" i="385" a="1"/>
  <c r="K60" i="385" s="1"/>
  <c r="K58" i="385" a="1"/>
  <c r="K58" i="385" s="1"/>
  <c r="K56" i="385" a="1"/>
  <c r="K56" i="385" s="1"/>
  <c r="K54" i="385" a="1"/>
  <c r="K54" i="385" s="1"/>
  <c r="K52" i="385" a="1"/>
  <c r="K52" i="385" s="1"/>
  <c r="K48" i="385" a="1"/>
  <c r="K48" i="385" s="1"/>
  <c r="K41" i="385" a="1"/>
  <c r="K41" i="385" s="1"/>
  <c r="K39" i="385" a="1"/>
  <c r="K39" i="385" s="1"/>
  <c r="K37" i="385" a="1"/>
  <c r="K37" i="385" s="1"/>
  <c r="K166" i="385" a="1"/>
  <c r="K166" i="385" s="1"/>
  <c r="K118" i="385" a="1"/>
  <c r="K118" i="385" s="1"/>
  <c r="K116" i="385" a="1"/>
  <c r="K116" i="385" s="1"/>
  <c r="K114" i="385" a="1"/>
  <c r="K114" i="385" s="1"/>
  <c r="K112" i="385" a="1"/>
  <c r="K112" i="385"/>
  <c r="K110" i="385" a="1"/>
  <c r="K110" i="385" s="1"/>
  <c r="K106" i="385" a="1"/>
  <c r="K106" i="385" s="1"/>
  <c r="K104" i="385" a="1"/>
  <c r="K104" i="385" s="1"/>
  <c r="K100" i="385" a="1"/>
  <c r="K100" i="385" s="1"/>
  <c r="K98" i="385" a="1"/>
  <c r="K98" i="385" s="1"/>
  <c r="K96" i="385" a="1"/>
  <c r="K96" i="385" s="1"/>
  <c r="K94" i="385" a="1"/>
  <c r="K94" i="385" s="1"/>
  <c r="K92" i="385" a="1"/>
  <c r="K92" i="385" s="1"/>
  <c r="K90" i="385" a="1"/>
  <c r="K90" i="385" s="1"/>
  <c r="K88" i="385" a="1"/>
  <c r="K88" i="385" s="1"/>
  <c r="K22" i="385" a="1"/>
  <c r="K22" i="385" s="1"/>
  <c r="K18" i="385" a="1"/>
  <c r="K18" i="385" s="1"/>
  <c r="K16" i="385" a="1"/>
  <c r="K16" i="385" s="1"/>
  <c r="K14" i="385" a="1"/>
  <c r="K14" i="385" s="1"/>
  <c r="K79" i="385" a="1"/>
  <c r="K79" i="385" s="1"/>
  <c r="K75" i="385" a="1"/>
  <c r="K75" i="385" s="1"/>
  <c r="K73" i="385" a="1"/>
  <c r="K73" i="385" s="1"/>
  <c r="K71" i="385" a="1"/>
  <c r="K71" i="385" s="1"/>
  <c r="K69" i="385" a="1"/>
  <c r="K69" i="385" s="1"/>
  <c r="K67" i="385" a="1"/>
  <c r="K67" i="385" s="1"/>
  <c r="K63" i="385" a="1"/>
  <c r="K63" i="385" s="1"/>
  <c r="K61" i="385" a="1"/>
  <c r="K61" i="385" s="1"/>
  <c r="K59" i="385" a="1"/>
  <c r="K59" i="385" s="1"/>
  <c r="K57" i="385" a="1"/>
  <c r="K57" i="385" s="1"/>
  <c r="K50" i="385" s="1"/>
  <c r="K55" i="385" a="1"/>
  <c r="K55" i="385" s="1"/>
  <c r="K53" i="385" a="1"/>
  <c r="K53" i="385" s="1"/>
  <c r="K51" i="385" a="1"/>
  <c r="K51" i="385" s="1"/>
  <c r="K49" i="385" a="1"/>
  <c r="K49" i="385" s="1"/>
  <c r="K42" i="385" a="1"/>
  <c r="K42" i="385" s="1"/>
  <c r="K40" i="385" a="1"/>
  <c r="K40" i="385" s="1"/>
  <c r="K38" i="385" a="1"/>
  <c r="K38" i="385" s="1"/>
  <c r="K36" i="385" a="1"/>
  <c r="K36" i="385" s="1"/>
  <c r="K34" i="385" s="1"/>
  <c r="K32" i="385" a="1"/>
  <c r="K32" i="385" s="1"/>
  <c r="O159" i="385" a="1"/>
  <c r="O159" i="385" s="1"/>
  <c r="O157" i="385" a="1"/>
  <c r="O157" i="385" s="1"/>
  <c r="O155" i="385" a="1"/>
  <c r="O155" i="385" s="1"/>
  <c r="O150" i="385" a="1"/>
  <c r="O150" i="385" s="1"/>
  <c r="O148" i="385" a="1"/>
  <c r="O148" i="385" s="1"/>
  <c r="O144" i="385" a="1"/>
  <c r="O144" i="385" s="1"/>
  <c r="O142" i="385" a="1"/>
  <c r="O142" i="385" s="1"/>
  <c r="C142" i="385" s="1"/>
  <c r="P142" i="385" s="1"/>
  <c r="O140" i="385" a="1"/>
  <c r="O140" i="385" s="1"/>
  <c r="O138" i="385" a="1"/>
  <c r="O138" i="385" s="1"/>
  <c r="O136" i="385" a="1"/>
  <c r="O136" i="385" s="1"/>
  <c r="O132" i="385" a="1"/>
  <c r="O132" i="385" s="1"/>
  <c r="O130" i="385" a="1"/>
  <c r="O130" i="385" s="1"/>
  <c r="O128" i="385" a="1"/>
  <c r="O128" i="385" s="1"/>
  <c r="O124" i="385" a="1"/>
  <c r="O124" i="385" s="1"/>
  <c r="O122" i="385" a="1"/>
  <c r="O122" i="385"/>
  <c r="O120" i="385" a="1"/>
  <c r="O120" i="385" s="1"/>
  <c r="O160" i="385" a="1"/>
  <c r="O160" i="385" s="1"/>
  <c r="O158" i="385" a="1"/>
  <c r="O158" i="385" s="1"/>
  <c r="O156" i="385" a="1"/>
  <c r="O156" i="385" s="1"/>
  <c r="O149" i="385" a="1"/>
  <c r="O149" i="385" s="1"/>
  <c r="O147" i="385" a="1"/>
  <c r="O147" i="385" s="1"/>
  <c r="O145" i="385" a="1"/>
  <c r="O145" i="385" s="1"/>
  <c r="O143" i="385" a="1"/>
  <c r="O143" i="385" s="1"/>
  <c r="O139" i="385" a="1"/>
  <c r="O139" i="385" s="1"/>
  <c r="O135" i="385" a="1"/>
  <c r="O135" i="385" s="1"/>
  <c r="O133" i="385" a="1"/>
  <c r="O133" i="385" s="1"/>
  <c r="O131" i="385" a="1"/>
  <c r="O131" i="385" s="1"/>
  <c r="O129" i="385" a="1"/>
  <c r="O129" i="385" s="1"/>
  <c r="O127" i="385" a="1"/>
  <c r="O127" i="385" s="1"/>
  <c r="O125" i="385" a="1"/>
  <c r="O125" i="385" s="1"/>
  <c r="O123" i="385" a="1"/>
  <c r="O123" i="385"/>
  <c r="O121" i="385" a="1"/>
  <c r="O121" i="385" s="1"/>
  <c r="O119" i="385" a="1"/>
  <c r="O119" i="385" s="1"/>
  <c r="O166" i="385" a="1"/>
  <c r="O166" i="385" s="1"/>
  <c r="O115" i="385" a="1"/>
  <c r="O115" i="385" s="1"/>
  <c r="O113" i="385" a="1"/>
  <c r="O113" i="385" s="1"/>
  <c r="O111" i="385" a="1"/>
  <c r="O111" i="385" s="1"/>
  <c r="O109" i="385" a="1"/>
  <c r="O109" i="385" s="1"/>
  <c r="O107" i="385" a="1"/>
  <c r="O107" i="385" s="1"/>
  <c r="O102" i="385" s="1"/>
  <c r="O105" i="385" a="1"/>
  <c r="O105" i="385" s="1"/>
  <c r="O103" i="385" a="1"/>
  <c r="O103" i="385" s="1"/>
  <c r="O101" i="385" a="1"/>
  <c r="O101" i="385" s="1"/>
  <c r="O95" i="385" a="1"/>
  <c r="O95" i="385" s="1"/>
  <c r="O93" i="385" a="1"/>
  <c r="O93" i="385" s="1"/>
  <c r="O91" i="385" a="1"/>
  <c r="O91" i="385" s="1"/>
  <c r="O87" i="385" a="1"/>
  <c r="O87" i="385" s="1"/>
  <c r="O21" i="385" a="1"/>
  <c r="O21" i="385"/>
  <c r="O19" i="385" a="1"/>
  <c r="O19" i="385" s="1"/>
  <c r="O15" i="385" a="1"/>
  <c r="O15" i="385" s="1"/>
  <c r="O78" i="385" a="1"/>
  <c r="O78" i="385" s="1"/>
  <c r="O74" i="385" a="1"/>
  <c r="O74" i="385" s="1"/>
  <c r="O72" i="385" a="1"/>
  <c r="O72" i="385" s="1"/>
  <c r="O68" i="385" a="1"/>
  <c r="O68" i="385" s="1"/>
  <c r="O66" i="385" a="1"/>
  <c r="O66" i="385" s="1"/>
  <c r="O64" i="385" a="1"/>
  <c r="O64" i="385"/>
  <c r="O62" i="385" a="1"/>
  <c r="O62" i="385" s="1"/>
  <c r="O60" i="385" a="1"/>
  <c r="O60" i="385" s="1"/>
  <c r="O58" i="385" a="1"/>
  <c r="O58" i="385" s="1"/>
  <c r="O56" i="385" a="1"/>
  <c r="O56" i="385" s="1"/>
  <c r="O54" i="385" a="1"/>
  <c r="O54" i="385" s="1"/>
  <c r="O52" i="385" a="1"/>
  <c r="O52" i="385" s="1"/>
  <c r="O48" i="385" a="1"/>
  <c r="O48" i="385" s="1"/>
  <c r="O41" i="385" a="1"/>
  <c r="O41" i="385" s="1"/>
  <c r="O39" i="385" a="1"/>
  <c r="O39" i="385" s="1"/>
  <c r="O37" i="385" a="1"/>
  <c r="O37" i="385" s="1"/>
  <c r="O118" i="385" a="1"/>
  <c r="O118" i="385" s="1"/>
  <c r="O116" i="385" a="1"/>
  <c r="O116" i="385" s="1"/>
  <c r="O114" i="385" a="1"/>
  <c r="O114" i="385" s="1"/>
  <c r="O112" i="385" a="1"/>
  <c r="O112" i="385" s="1"/>
  <c r="O110" i="385" a="1"/>
  <c r="O110" i="385" s="1"/>
  <c r="O106" i="385" a="1"/>
  <c r="O106" i="385"/>
  <c r="O104" i="385" a="1"/>
  <c r="O104" i="385" s="1"/>
  <c r="O100" i="385" a="1"/>
  <c r="O100" i="385" s="1"/>
  <c r="O98" i="385" a="1"/>
  <c r="O98" i="385" s="1"/>
  <c r="O96" i="385" a="1"/>
  <c r="O96" i="385" s="1"/>
  <c r="O94" i="385" a="1"/>
  <c r="O94" i="385" s="1"/>
  <c r="O92" i="385" a="1"/>
  <c r="O92" i="385" s="1"/>
  <c r="O90" i="385" a="1"/>
  <c r="O90" i="385" s="1"/>
  <c r="O88" i="385" a="1"/>
  <c r="O88" i="385"/>
  <c r="O22" i="385" a="1"/>
  <c r="O22" i="385" s="1"/>
  <c r="O18" i="385" a="1"/>
  <c r="O18" i="385" s="1"/>
  <c r="O16" i="385" a="1"/>
  <c r="O16" i="385" s="1"/>
  <c r="O14" i="385" a="1"/>
  <c r="O14" i="385" s="1"/>
  <c r="O79" i="385" a="1"/>
  <c r="O79" i="385" s="1"/>
  <c r="O75" i="385" a="1"/>
  <c r="O75" i="385" s="1"/>
  <c r="O73" i="385" a="1"/>
  <c r="O73" i="385" s="1"/>
  <c r="O71" i="385" a="1"/>
  <c r="O71" i="385" s="1"/>
  <c r="C71" i="385" s="1"/>
  <c r="P71" i="385" s="1"/>
  <c r="O69" i="385" a="1"/>
  <c r="O69" i="385" s="1"/>
  <c r="O67" i="385" a="1"/>
  <c r="O67" i="385" s="1"/>
  <c r="O63" i="385" a="1"/>
  <c r="O63" i="385" s="1"/>
  <c r="O61" i="385" a="1"/>
  <c r="O61" i="385" s="1"/>
  <c r="O59" i="385" a="1"/>
  <c r="O59" i="385" s="1"/>
  <c r="O57" i="385" a="1"/>
  <c r="O57" i="385" s="1"/>
  <c r="O55" i="385" a="1"/>
  <c r="O55" i="385" s="1"/>
  <c r="O53" i="385" a="1"/>
  <c r="O53" i="385"/>
  <c r="O51" i="385" a="1"/>
  <c r="O51" i="385" s="1"/>
  <c r="O49" i="385" a="1"/>
  <c r="O49" i="385" s="1"/>
  <c r="O42" i="385" a="1"/>
  <c r="O42" i="385" s="1"/>
  <c r="O40" i="385" a="1"/>
  <c r="O40" i="385" s="1"/>
  <c r="O38" i="385" a="1"/>
  <c r="O38" i="385" s="1"/>
  <c r="O36" i="385" a="1"/>
  <c r="O36" i="385" s="1"/>
  <c r="O32" i="385" a="1"/>
  <c r="O32" i="385" s="1"/>
  <c r="F14" i="385" a="1"/>
  <c r="F14" i="385" s="1"/>
  <c r="E31" i="385" a="1"/>
  <c r="E31" i="385" s="1"/>
  <c r="I31" i="385" a="1"/>
  <c r="I31" i="385" s="1"/>
  <c r="O31" i="385" a="1"/>
  <c r="O31" i="385" s="1"/>
  <c r="J32" i="385" a="1"/>
  <c r="J32" i="385" s="1"/>
  <c r="J30" i="385" s="1"/>
  <c r="J43" i="385" s="1"/>
  <c r="E33" i="385" a="1"/>
  <c r="E33" i="385"/>
  <c r="M33" i="385" a="1"/>
  <c r="M33" i="385"/>
  <c r="I35" i="385" a="1"/>
  <c r="I35" i="385"/>
  <c r="D36" i="385" a="1"/>
  <c r="D36" i="385"/>
  <c r="L36" i="385" a="1"/>
  <c r="L36" i="385"/>
  <c r="F160" i="386" a="1"/>
  <c r="F160" i="386"/>
  <c r="F166" i="386" a="1"/>
  <c r="F166" i="386"/>
  <c r="F159" i="386" a="1"/>
  <c r="F159" i="386"/>
  <c r="F155" i="386" a="1"/>
  <c r="F155" i="386"/>
  <c r="F149" i="386" a="1"/>
  <c r="F149" i="386"/>
  <c r="F143" i="386" a="1"/>
  <c r="F143" i="386"/>
  <c r="F135" i="386" a="1"/>
  <c r="F135" i="386" s="1"/>
  <c r="F133" i="386" a="1"/>
  <c r="F133" i="386"/>
  <c r="F129" i="386" a="1"/>
  <c r="F129" i="386"/>
  <c r="F123" i="386" a="1"/>
  <c r="F123" i="386"/>
  <c r="F119" i="386" a="1"/>
  <c r="F119" i="386"/>
  <c r="F113" i="386" a="1"/>
  <c r="F113" i="386"/>
  <c r="F110" i="386" a="1"/>
  <c r="F110" i="386"/>
  <c r="F105" i="386" a="1"/>
  <c r="F105" i="386"/>
  <c r="F104" i="386" a="1"/>
  <c r="F104" i="386" s="1"/>
  <c r="F158" i="386" a="1"/>
  <c r="F158" i="386"/>
  <c r="F148" i="386" a="1"/>
  <c r="F148" i="386"/>
  <c r="F142" i="386" a="1"/>
  <c r="F142" i="386"/>
  <c r="F140" i="386" a="1"/>
  <c r="F140" i="386"/>
  <c r="F132" i="386" a="1"/>
  <c r="F132" i="386"/>
  <c r="F128" i="386" a="1"/>
  <c r="F128" i="386"/>
  <c r="F122" i="386" a="1"/>
  <c r="F122" i="386"/>
  <c r="F118" i="386" a="1"/>
  <c r="F118" i="386" s="1"/>
  <c r="F116" i="386" a="1"/>
  <c r="F116" i="386"/>
  <c r="F112" i="386" a="1"/>
  <c r="F112" i="386"/>
  <c r="F107" i="386" a="1"/>
  <c r="F107" i="386"/>
  <c r="F106" i="386" a="1"/>
  <c r="F106" i="386"/>
  <c r="F101" i="386" a="1"/>
  <c r="F101" i="386"/>
  <c r="F100" i="386" a="1"/>
  <c r="F100" i="386"/>
  <c r="F96" i="386" a="1"/>
  <c r="F96" i="386"/>
  <c r="F157" i="386" a="1"/>
  <c r="F157" i="386" s="1"/>
  <c r="F147" i="386" a="1"/>
  <c r="F147" i="386"/>
  <c r="F145" i="386" a="1"/>
  <c r="F145" i="386"/>
  <c r="F139" i="386" a="1"/>
  <c r="F139" i="386"/>
  <c r="F131" i="386" a="1"/>
  <c r="F131" i="386"/>
  <c r="F127" i="386" a="1"/>
  <c r="F127" i="386"/>
  <c r="F125" i="386" a="1"/>
  <c r="F125" i="386"/>
  <c r="F121" i="386" a="1"/>
  <c r="F121" i="386"/>
  <c r="F115" i="386" a="1"/>
  <c r="F115" i="386" s="1"/>
  <c r="F111" i="386" a="1"/>
  <c r="F111" i="386"/>
  <c r="F156" i="386" a="1"/>
  <c r="F156" i="386"/>
  <c r="F150" i="386" a="1"/>
  <c r="F150" i="386"/>
  <c r="F144" i="386" a="1"/>
  <c r="F144" i="386"/>
  <c r="F138" i="386" a="1"/>
  <c r="F138" i="386"/>
  <c r="F136" i="386" a="1"/>
  <c r="F136" i="386"/>
  <c r="F130" i="386" a="1"/>
  <c r="F130" i="386" s="1"/>
  <c r="F126" i="386" s="1"/>
  <c r="F124" i="386" a="1"/>
  <c r="F124" i="386" s="1"/>
  <c r="F120" i="386" a="1"/>
  <c r="F120" i="386"/>
  <c r="F114" i="386" a="1"/>
  <c r="F114" i="386"/>
  <c r="F109" i="386" a="1"/>
  <c r="F109" i="386"/>
  <c r="F95" i="386" a="1"/>
  <c r="F95" i="386"/>
  <c r="F91" i="386" a="1"/>
  <c r="F91" i="386"/>
  <c r="F90" i="386" a="1"/>
  <c r="F90" i="386"/>
  <c r="F79" i="386" a="1"/>
  <c r="F79" i="386" s="1"/>
  <c r="F77" i="386" s="1"/>
  <c r="F75" i="386" a="1"/>
  <c r="F75" i="386" s="1"/>
  <c r="C75" i="386" s="1"/>
  <c r="P75" i="386" s="1"/>
  <c r="F73" i="386" a="1"/>
  <c r="F73" i="386"/>
  <c r="F71" i="386" a="1"/>
  <c r="F71" i="386"/>
  <c r="F69" i="386" a="1"/>
  <c r="F69" i="386"/>
  <c r="F67" i="386" a="1"/>
  <c r="F67" i="386"/>
  <c r="F63" i="386" a="1"/>
  <c r="F63" i="386"/>
  <c r="F61" i="386" a="1"/>
  <c r="F61" i="386"/>
  <c r="F59" i="386" a="1"/>
  <c r="F59" i="386" s="1"/>
  <c r="F57" i="386" a="1"/>
  <c r="F57" i="386" s="1"/>
  <c r="F55" i="386" a="1"/>
  <c r="F55" i="386"/>
  <c r="F53" i="386" a="1"/>
  <c r="F53" i="386"/>
  <c r="F51" i="386" a="1"/>
  <c r="F51" i="386"/>
  <c r="F49" i="386" a="1"/>
  <c r="F49" i="386"/>
  <c r="F42" i="386" a="1"/>
  <c r="F42" i="386"/>
  <c r="F40" i="386" a="1"/>
  <c r="F40" i="386"/>
  <c r="F38" i="386" a="1"/>
  <c r="F38" i="386" s="1"/>
  <c r="F103" i="386" a="1"/>
  <c r="F103" i="386" s="1"/>
  <c r="F102" i="386" s="1"/>
  <c r="F98" i="386" a="1"/>
  <c r="F98" i="386"/>
  <c r="F93" i="386" a="1"/>
  <c r="F93" i="386"/>
  <c r="F92" i="386" a="1"/>
  <c r="F92" i="386"/>
  <c r="F87" i="386" a="1"/>
  <c r="F87" i="386"/>
  <c r="F21" i="386" a="1"/>
  <c r="F21" i="386"/>
  <c r="F19" i="386" a="1"/>
  <c r="F19" i="386"/>
  <c r="F15" i="386" a="1"/>
  <c r="F15" i="386" s="1"/>
  <c r="F88" i="386" a="1"/>
  <c r="F88" i="386" s="1"/>
  <c r="F78" i="386" a="1"/>
  <c r="F78" i="386"/>
  <c r="F74" i="386" a="1"/>
  <c r="F74" i="386"/>
  <c r="F72" i="386" a="1"/>
  <c r="F72" i="386"/>
  <c r="F68" i="386" a="1"/>
  <c r="F68" i="386"/>
  <c r="F66" i="386" a="1"/>
  <c r="F66" i="386"/>
  <c r="F64" i="386" a="1"/>
  <c r="F64" i="386"/>
  <c r="F62" i="386" a="1"/>
  <c r="F62" i="386" s="1"/>
  <c r="F60" i="386" a="1"/>
  <c r="F60" i="386" s="1"/>
  <c r="F58" i="386" a="1"/>
  <c r="F58" i="386"/>
  <c r="F56" i="386" a="1"/>
  <c r="F56" i="386"/>
  <c r="F54" i="386" a="1"/>
  <c r="F54" i="386"/>
  <c r="F52" i="386" a="1"/>
  <c r="F52" i="386"/>
  <c r="F48" i="386" a="1"/>
  <c r="F48" i="386"/>
  <c r="F41" i="386" a="1"/>
  <c r="F41" i="386" s="1"/>
  <c r="F39" i="386" a="1"/>
  <c r="F39" i="386" s="1"/>
  <c r="F37" i="386" a="1"/>
  <c r="F37" i="386" s="1"/>
  <c r="F35" i="386" a="1"/>
  <c r="F35" i="386"/>
  <c r="F33" i="386" a="1"/>
  <c r="F33" i="386"/>
  <c r="F31" i="386" a="1"/>
  <c r="F31" i="386"/>
  <c r="F94" i="386" a="1"/>
  <c r="F94" i="386"/>
  <c r="F22" i="386" a="1"/>
  <c r="F22" i="386"/>
  <c r="F18" i="386" a="1"/>
  <c r="F18" i="386" s="1"/>
  <c r="F17" i="386" s="1"/>
  <c r="F16" i="386" a="1"/>
  <c r="F16" i="386"/>
  <c r="F14" i="386" a="1"/>
  <c r="F14" i="386" s="1"/>
  <c r="F12" i="386" a="1"/>
  <c r="F12" i="386" s="1"/>
  <c r="J160" i="386" a="1"/>
  <c r="J160" i="386" s="1"/>
  <c r="J166" i="386" a="1"/>
  <c r="J166" i="386" s="1"/>
  <c r="J159" i="386" a="1"/>
  <c r="J159" i="386" s="1"/>
  <c r="J155" i="386" a="1"/>
  <c r="J155" i="386" s="1"/>
  <c r="J161" i="386" s="1"/>
  <c r="J149" i="386" a="1"/>
  <c r="J149" i="386"/>
  <c r="J143" i="386" a="1"/>
  <c r="J143" i="386" s="1"/>
  <c r="J135" i="386" a="1"/>
  <c r="J135" i="386" s="1"/>
  <c r="J133" i="386" a="1"/>
  <c r="J133" i="386" s="1"/>
  <c r="J129" i="386" a="1"/>
  <c r="J129" i="386" s="1"/>
  <c r="J123" i="386" a="1"/>
  <c r="J123" i="386" s="1"/>
  <c r="J119" i="386" a="1"/>
  <c r="J119" i="386" s="1"/>
  <c r="J113" i="386" a="1"/>
  <c r="J113" i="386" s="1"/>
  <c r="J158" i="386" a="1"/>
  <c r="J158" i="386" s="1"/>
  <c r="J148" i="386" a="1"/>
  <c r="J148" i="386" s="1"/>
  <c r="J146" i="386" s="1"/>
  <c r="J142" i="386" a="1"/>
  <c r="J142" i="386" s="1"/>
  <c r="J140" i="386" a="1"/>
  <c r="J140" i="386"/>
  <c r="J132" i="386" a="1"/>
  <c r="J132" i="386" s="1"/>
  <c r="J128" i="386" a="1"/>
  <c r="J128" i="386" s="1"/>
  <c r="J122" i="386" a="1"/>
  <c r="J122" i="386" s="1"/>
  <c r="J118" i="386" a="1"/>
  <c r="J118" i="386"/>
  <c r="J116" i="386" a="1"/>
  <c r="J116" i="386"/>
  <c r="J112" i="386" a="1"/>
  <c r="J112" i="386" s="1"/>
  <c r="J109" i="386" a="1"/>
  <c r="J109" i="386" s="1"/>
  <c r="J103" i="386" a="1"/>
  <c r="J103" i="386"/>
  <c r="J98" i="386" a="1"/>
  <c r="J98" i="386" s="1"/>
  <c r="J157" i="386" a="1"/>
  <c r="J157" i="386" s="1"/>
  <c r="J147" i="386" a="1"/>
  <c r="J147" i="386" s="1"/>
  <c r="J145" i="386" a="1"/>
  <c r="J145" i="386"/>
  <c r="J139" i="386" a="1"/>
  <c r="J139" i="386" s="1"/>
  <c r="J131" i="386" a="1"/>
  <c r="J131" i="386" s="1"/>
  <c r="J127" i="386" a="1"/>
  <c r="J127" i="386" s="1"/>
  <c r="J125" i="386" a="1"/>
  <c r="J125" i="386" s="1"/>
  <c r="J121" i="386" a="1"/>
  <c r="J121" i="386" s="1"/>
  <c r="J115" i="386" a="1"/>
  <c r="J115" i="386" s="1"/>
  <c r="J111" i="386" a="1"/>
  <c r="J111" i="386" s="1"/>
  <c r="J110" i="386" a="1"/>
  <c r="J110" i="386" s="1"/>
  <c r="J105" i="386" a="1"/>
  <c r="J105" i="386" s="1"/>
  <c r="J104" i="386" a="1"/>
  <c r="J104" i="386" s="1"/>
  <c r="J102" i="386" s="1"/>
  <c r="J156" i="386" a="1"/>
  <c r="J156" i="386"/>
  <c r="J150" i="386" a="1"/>
  <c r="J150" i="386"/>
  <c r="J144" i="386" a="1"/>
  <c r="J144" i="386" s="1"/>
  <c r="J138" i="386" a="1"/>
  <c r="J138" i="386" s="1"/>
  <c r="J136" i="386" a="1"/>
  <c r="J136" i="386" s="1"/>
  <c r="J130" i="386" a="1"/>
  <c r="J130" i="386" s="1"/>
  <c r="J124" i="386" a="1"/>
  <c r="J124" i="386" s="1"/>
  <c r="J120" i="386" a="1"/>
  <c r="J120" i="386"/>
  <c r="J114" i="386" a="1"/>
  <c r="J114" i="386"/>
  <c r="J107" i="386" a="1"/>
  <c r="J107" i="386" s="1"/>
  <c r="J88" i="386" a="1"/>
  <c r="J88" i="386" s="1"/>
  <c r="J79" i="386" a="1"/>
  <c r="J79" i="386" s="1"/>
  <c r="J75" i="386" a="1"/>
  <c r="J75" i="386" s="1"/>
  <c r="J73" i="386" a="1"/>
  <c r="J73" i="386" s="1"/>
  <c r="J71" i="386" a="1"/>
  <c r="J71" i="386" s="1"/>
  <c r="J69" i="386" a="1"/>
  <c r="J69" i="386"/>
  <c r="J67" i="386" a="1"/>
  <c r="J67" i="386" s="1"/>
  <c r="J63" i="386" a="1"/>
  <c r="J63" i="386" s="1"/>
  <c r="J61" i="386" a="1"/>
  <c r="J61" i="386" s="1"/>
  <c r="J59" i="386" a="1"/>
  <c r="J59" i="386" s="1"/>
  <c r="J57" i="386" a="1"/>
  <c r="J57" i="386" s="1"/>
  <c r="J55" i="386" a="1"/>
  <c r="J55" i="386" s="1"/>
  <c r="J53" i="386" a="1"/>
  <c r="J53" i="386" s="1"/>
  <c r="J51" i="386" a="1"/>
  <c r="J51" i="386" s="1"/>
  <c r="J49" i="386" a="1"/>
  <c r="J49" i="386" s="1"/>
  <c r="J47" i="386" s="1"/>
  <c r="J42" i="386" a="1"/>
  <c r="J42" i="386" s="1"/>
  <c r="J40" i="386" a="1"/>
  <c r="J40" i="386" s="1"/>
  <c r="J38" i="386" a="1"/>
  <c r="J38" i="386" s="1"/>
  <c r="J106" i="386" a="1"/>
  <c r="J106" i="386" s="1"/>
  <c r="J101" i="386" a="1"/>
  <c r="J101" i="386" s="1"/>
  <c r="J96" i="386" a="1"/>
  <c r="J96" i="386"/>
  <c r="J21" i="386" a="1"/>
  <c r="J21" i="386"/>
  <c r="J19" i="386" a="1"/>
  <c r="J19" i="386" s="1"/>
  <c r="J15" i="386" a="1"/>
  <c r="J15" i="386" s="1"/>
  <c r="J94" i="386" a="1"/>
  <c r="J94" i="386" s="1"/>
  <c r="J91" i="386" a="1"/>
  <c r="J91" i="386" s="1"/>
  <c r="J90" i="386" a="1"/>
  <c r="J90" i="386" s="1"/>
  <c r="J78" i="386" a="1"/>
  <c r="J78" i="386"/>
  <c r="J74" i="386" a="1"/>
  <c r="J74" i="386"/>
  <c r="J72" i="386" a="1"/>
  <c r="J72" i="386" s="1"/>
  <c r="J68" i="386" a="1"/>
  <c r="J68" i="386" s="1"/>
  <c r="J66" i="386" a="1"/>
  <c r="J66" i="386" s="1"/>
  <c r="J65" i="386" s="1"/>
  <c r="J64" i="386" a="1"/>
  <c r="J64" i="386" s="1"/>
  <c r="J62" i="386" a="1"/>
  <c r="J62" i="386" s="1"/>
  <c r="J60" i="386" a="1"/>
  <c r="J60" i="386" s="1"/>
  <c r="J58" i="386" a="1"/>
  <c r="J58" i="386"/>
  <c r="J56" i="386" a="1"/>
  <c r="J56" i="386" s="1"/>
  <c r="J54" i="386" a="1"/>
  <c r="J54" i="386" s="1"/>
  <c r="J52" i="386" a="1"/>
  <c r="J52" i="386" s="1"/>
  <c r="J48" i="386" a="1"/>
  <c r="J48" i="386"/>
  <c r="J41" i="386" a="1"/>
  <c r="J41" i="386" s="1"/>
  <c r="J39" i="386" a="1"/>
  <c r="J39" i="386" s="1"/>
  <c r="J37" i="386" a="1"/>
  <c r="J37" i="386" s="1"/>
  <c r="J35" i="386" a="1"/>
  <c r="J35" i="386" s="1"/>
  <c r="J33" i="386" a="1"/>
  <c r="J33" i="386" s="1"/>
  <c r="J31" i="386" a="1"/>
  <c r="J31" i="386" s="1"/>
  <c r="J100" i="386" a="1"/>
  <c r="J100" i="386"/>
  <c r="J95" i="386" a="1"/>
  <c r="J95" i="386"/>
  <c r="J93" i="386" a="1"/>
  <c r="J93" i="386" s="1"/>
  <c r="J92" i="386" a="1"/>
  <c r="J92" i="386" s="1"/>
  <c r="J87" i="386" a="1"/>
  <c r="J87" i="386" s="1"/>
  <c r="J22" i="386" a="1"/>
  <c r="J22" i="386"/>
  <c r="J18" i="386" a="1"/>
  <c r="J18" i="386" s="1"/>
  <c r="J17" i="386" s="1"/>
  <c r="J16" i="386" a="1"/>
  <c r="J16" i="386" s="1"/>
  <c r="J14" i="386" a="1"/>
  <c r="J14" i="386"/>
  <c r="J12" i="386" a="1"/>
  <c r="J12" i="386" s="1"/>
  <c r="N79" i="386" a="1"/>
  <c r="N79" i="386" s="1"/>
  <c r="N160" i="386" a="1"/>
  <c r="N160" i="386" s="1"/>
  <c r="N166" i="386" a="1"/>
  <c r="N166" i="386" s="1"/>
  <c r="N155" i="386" a="1"/>
  <c r="N155" i="386" s="1"/>
  <c r="N161" i="386" s="1"/>
  <c r="N149" i="386" a="1"/>
  <c r="N149" i="386" s="1"/>
  <c r="N143" i="386" a="1"/>
  <c r="N143" i="386" s="1"/>
  <c r="N135" i="386" a="1"/>
  <c r="N135" i="386" s="1"/>
  <c r="N133" i="386" a="1"/>
  <c r="N133" i="386" s="1"/>
  <c r="N129" i="386" a="1"/>
  <c r="N129" i="386" s="1"/>
  <c r="N123" i="386" a="1"/>
  <c r="N123" i="386" s="1"/>
  <c r="N119" i="386" a="1"/>
  <c r="N119" i="386" s="1"/>
  <c r="N113" i="386" a="1"/>
  <c r="N113" i="386" s="1"/>
  <c r="N110" i="386" a="1"/>
  <c r="N110" i="386" s="1"/>
  <c r="N105" i="386" a="1"/>
  <c r="N105" i="386"/>
  <c r="N104" i="386" a="1"/>
  <c r="N104" i="386"/>
  <c r="N95" i="386" a="1"/>
  <c r="N95" i="386" s="1"/>
  <c r="N159" i="386" a="1"/>
  <c r="N159" i="386" s="1"/>
  <c r="N158" i="386" a="1"/>
  <c r="N158" i="386" s="1"/>
  <c r="N148" i="386" a="1"/>
  <c r="N148" i="386" s="1"/>
  <c r="N142" i="386" a="1"/>
  <c r="N142" i="386" s="1"/>
  <c r="N140" i="386" a="1"/>
  <c r="N140" i="386"/>
  <c r="N132" i="386" a="1"/>
  <c r="N132" i="386"/>
  <c r="N128" i="386" a="1"/>
  <c r="N128" i="386" s="1"/>
  <c r="N122" i="386" a="1"/>
  <c r="N122" i="386" s="1"/>
  <c r="N118" i="386" a="1"/>
  <c r="N118" i="386" s="1"/>
  <c r="N116" i="386" a="1"/>
  <c r="N116" i="386" s="1"/>
  <c r="N112" i="386" a="1"/>
  <c r="N112" i="386" s="1"/>
  <c r="N107" i="386" a="1"/>
  <c r="N107" i="386" s="1"/>
  <c r="N106" i="386" a="1"/>
  <c r="N106" i="386"/>
  <c r="N101" i="386" a="1"/>
  <c r="N101" i="386" s="1"/>
  <c r="N100" i="386" a="1"/>
  <c r="N100" i="386" s="1"/>
  <c r="N99" i="386" s="1"/>
  <c r="N97" i="386" s="1"/>
  <c r="N96" i="386" a="1"/>
  <c r="N96" i="386" s="1"/>
  <c r="N157" i="386" a="1"/>
  <c r="N157" i="386" s="1"/>
  <c r="N147" i="386" a="1"/>
  <c r="N147" i="386" s="1"/>
  <c r="N145" i="386" a="1"/>
  <c r="N145" i="386" s="1"/>
  <c r="N139" i="386" a="1"/>
  <c r="N139" i="386" s="1"/>
  <c r="N131" i="386" a="1"/>
  <c r="N131" i="386" s="1"/>
  <c r="N127" i="386" a="1"/>
  <c r="N127" i="386" s="1"/>
  <c r="N125" i="386" a="1"/>
  <c r="N125" i="386" s="1"/>
  <c r="N121" i="386" a="1"/>
  <c r="N121" i="386"/>
  <c r="N115" i="386" a="1"/>
  <c r="N115" i="386" s="1"/>
  <c r="N111" i="386" a="1"/>
  <c r="N111" i="386" s="1"/>
  <c r="N156" i="386" a="1"/>
  <c r="N156" i="386" s="1"/>
  <c r="N150" i="386" a="1"/>
  <c r="N150" i="386"/>
  <c r="N144" i="386" a="1"/>
  <c r="N144" i="386"/>
  <c r="N138" i="386" a="1"/>
  <c r="N138" i="386" s="1"/>
  <c r="N136" i="386" a="1"/>
  <c r="N136" i="386" s="1"/>
  <c r="N130" i="386" a="1"/>
  <c r="N130" i="386"/>
  <c r="N124" i="386" a="1"/>
  <c r="N124" i="386" s="1"/>
  <c r="N120" i="386" a="1"/>
  <c r="N120" i="386" s="1"/>
  <c r="N114" i="386" a="1"/>
  <c r="N114" i="386" s="1"/>
  <c r="N109" i="386" a="1"/>
  <c r="N109" i="386"/>
  <c r="N91" i="386" a="1"/>
  <c r="N91" i="386" s="1"/>
  <c r="N89" i="386" s="1"/>
  <c r="N90" i="386" a="1"/>
  <c r="N90" i="386" s="1"/>
  <c r="N75" i="386" a="1"/>
  <c r="N75" i="386" s="1"/>
  <c r="N73" i="386" a="1"/>
  <c r="N73" i="386" s="1"/>
  <c r="N71" i="386" a="1"/>
  <c r="N71" i="386" s="1"/>
  <c r="N69" i="386" a="1"/>
  <c r="N69" i="386" s="1"/>
  <c r="N67" i="386" a="1"/>
  <c r="N67" i="386" s="1"/>
  <c r="N63" i="386" a="1"/>
  <c r="N63" i="386" s="1"/>
  <c r="N61" i="386" a="1"/>
  <c r="N61" i="386" s="1"/>
  <c r="N59" i="386" a="1"/>
  <c r="N59" i="386" s="1"/>
  <c r="N57" i="386" a="1"/>
  <c r="N57" i="386"/>
  <c r="N55" i="386" a="1"/>
  <c r="N55" i="386"/>
  <c r="N53" i="386" a="1"/>
  <c r="N53" i="386" s="1"/>
  <c r="N51" i="386" a="1"/>
  <c r="N51" i="386" s="1"/>
  <c r="N49" i="386" a="1"/>
  <c r="N49" i="386" s="1"/>
  <c r="N42" i="386" a="1"/>
  <c r="N42" i="386" s="1"/>
  <c r="N40" i="386" a="1"/>
  <c r="N40" i="386" s="1"/>
  <c r="N38" i="386" a="1"/>
  <c r="N38" i="386"/>
  <c r="N93" i="386" a="1"/>
  <c r="N93" i="386"/>
  <c r="N92" i="386" a="1"/>
  <c r="N92" i="386" s="1"/>
  <c r="N87" i="386" a="1"/>
  <c r="N87" i="386" s="1"/>
  <c r="N21" i="386" a="1"/>
  <c r="N21" i="386" s="1"/>
  <c r="N19" i="386" a="1"/>
  <c r="N19" i="386" s="1"/>
  <c r="N15" i="386" a="1"/>
  <c r="N15" i="386" s="1"/>
  <c r="N94" i="386" a="1"/>
  <c r="N94" i="386" s="1"/>
  <c r="N88" i="386" a="1"/>
  <c r="N88" i="386" s="1"/>
  <c r="N78" i="386" a="1"/>
  <c r="N78" i="386"/>
  <c r="N74" i="386" a="1"/>
  <c r="N74" i="386"/>
  <c r="N72" i="386" a="1"/>
  <c r="N72" i="386" s="1"/>
  <c r="N68" i="386" a="1"/>
  <c r="N68" i="386"/>
  <c r="N66" i="386" a="1"/>
  <c r="N66" i="386"/>
  <c r="N64" i="386" a="1"/>
  <c r="N64" i="386" s="1"/>
  <c r="N62" i="386" a="1"/>
  <c r="N62" i="386" s="1"/>
  <c r="N60" i="386" a="1"/>
  <c r="N60" i="386"/>
  <c r="N58" i="386" a="1"/>
  <c r="N58" i="386" s="1"/>
  <c r="N56" i="386" a="1"/>
  <c r="N56" i="386" s="1"/>
  <c r="N54" i="386" a="1"/>
  <c r="N54" i="386" s="1"/>
  <c r="N52" i="386" a="1"/>
  <c r="N52" i="386" s="1"/>
  <c r="N48" i="386" a="1"/>
  <c r="N48" i="386" s="1"/>
  <c r="N47" i="386" s="1"/>
  <c r="N41" i="386" a="1"/>
  <c r="N41" i="386" s="1"/>
  <c r="N39" i="386" a="1"/>
  <c r="N39" i="386" s="1"/>
  <c r="N37" i="386" a="1"/>
  <c r="N37" i="386"/>
  <c r="N35" i="386" a="1"/>
  <c r="N35" i="386" s="1"/>
  <c r="N33" i="386" a="1"/>
  <c r="N33" i="386" s="1"/>
  <c r="N31" i="386" a="1"/>
  <c r="N31" i="386"/>
  <c r="N103" i="386" a="1"/>
  <c r="N103" i="386"/>
  <c r="N98" i="386" a="1"/>
  <c r="N98" i="386"/>
  <c r="N22" i="386" a="1"/>
  <c r="N22" i="386" s="1"/>
  <c r="N18" i="386" a="1"/>
  <c r="N18" i="386" s="1"/>
  <c r="N17" i="386" s="1"/>
  <c r="N16" i="386" a="1"/>
  <c r="N16" i="386"/>
  <c r="N14" i="386" a="1"/>
  <c r="N14" i="386" s="1"/>
  <c r="N13" i="386" s="1"/>
  <c r="N11" i="386" s="1"/>
  <c r="N12" i="386" a="1"/>
  <c r="N12" i="386" s="1"/>
  <c r="F32" i="386" a="1"/>
  <c r="F32" i="386"/>
  <c r="J32" i="386" a="1"/>
  <c r="J32" i="386"/>
  <c r="N32" i="386" a="1"/>
  <c r="N32" i="386"/>
  <c r="F36" i="386" a="1"/>
  <c r="F36" i="386" s="1"/>
  <c r="J36" i="386" a="1"/>
  <c r="J36" i="386" s="1"/>
  <c r="N36" i="386" a="1"/>
  <c r="N36" i="386"/>
  <c r="G166" i="386" a="1"/>
  <c r="G166" i="386" s="1"/>
  <c r="G158" i="386" a="1"/>
  <c r="G158" i="386" s="1"/>
  <c r="G161" i="386" s="1"/>
  <c r="C161" i="386" s="1"/>
  <c r="C162" i="386" s="1"/>
  <c r="G148" i="386" a="1"/>
  <c r="G148" i="386"/>
  <c r="G142" i="386" a="1"/>
  <c r="G142" i="386"/>
  <c r="G140" i="386" a="1"/>
  <c r="G140" i="386"/>
  <c r="G132" i="386" a="1"/>
  <c r="G132" i="386" s="1"/>
  <c r="G128" i="386" a="1"/>
  <c r="G128" i="386" s="1"/>
  <c r="G122" i="386" a="1"/>
  <c r="G122" i="386"/>
  <c r="G118" i="386" a="1"/>
  <c r="G118" i="386" s="1"/>
  <c r="G116" i="386" a="1"/>
  <c r="G116" i="386" s="1"/>
  <c r="G112" i="386" a="1"/>
  <c r="G112" i="386" s="1"/>
  <c r="G107" i="386" a="1"/>
  <c r="G107" i="386"/>
  <c r="G101" i="386" a="1"/>
  <c r="G101" i="386"/>
  <c r="G157" i="386" a="1"/>
  <c r="G157" i="386" s="1"/>
  <c r="G147" i="386" a="1"/>
  <c r="G147" i="386" s="1"/>
  <c r="G146" i="386" s="1"/>
  <c r="G145" i="386" a="1"/>
  <c r="G145" i="386"/>
  <c r="G139" i="386" a="1"/>
  <c r="G139" i="386" s="1"/>
  <c r="G137" i="386" s="1"/>
  <c r="G131" i="386" a="1"/>
  <c r="G131" i="386" s="1"/>
  <c r="G127" i="386" a="1"/>
  <c r="G127" i="386" s="1"/>
  <c r="G126" i="386" s="1"/>
  <c r="G125" i="386" a="1"/>
  <c r="G125" i="386"/>
  <c r="G121" i="386" a="1"/>
  <c r="G121" i="386"/>
  <c r="G115" i="386" a="1"/>
  <c r="G115" i="386" s="1"/>
  <c r="G111" i="386" a="1"/>
  <c r="G111" i="386" s="1"/>
  <c r="G98" i="386" a="1"/>
  <c r="G98" i="386"/>
  <c r="G160" i="386" a="1"/>
  <c r="G160" i="386" s="1"/>
  <c r="G156" i="386" a="1"/>
  <c r="G156" i="386" s="1"/>
  <c r="G150" i="386" a="1"/>
  <c r="G150" i="386" s="1"/>
  <c r="C150" i="386" s="1"/>
  <c r="P150" i="386" s="1"/>
  <c r="G144" i="386" a="1"/>
  <c r="G144" i="386"/>
  <c r="G138" i="386" a="1"/>
  <c r="G138" i="386"/>
  <c r="G136" i="386" a="1"/>
  <c r="G136" i="386" s="1"/>
  <c r="G130" i="386" a="1"/>
  <c r="G130" i="386" s="1"/>
  <c r="G124" i="386" a="1"/>
  <c r="G124" i="386"/>
  <c r="G120" i="386" a="1"/>
  <c r="G120" i="386" s="1"/>
  <c r="G114" i="386" a="1"/>
  <c r="G114" i="386" s="1"/>
  <c r="G110" i="386" a="1"/>
  <c r="G110" i="386" s="1"/>
  <c r="G109" i="386" a="1"/>
  <c r="G109" i="386"/>
  <c r="G104" i="386" a="1"/>
  <c r="G104" i="386"/>
  <c r="G159" i="386" a="1"/>
  <c r="G159" i="386" s="1"/>
  <c r="C159" i="386" s="1"/>
  <c r="P159" i="386" s="1"/>
  <c r="G155" i="386" a="1"/>
  <c r="G155" i="386" s="1"/>
  <c r="G149" i="386" a="1"/>
  <c r="G149" i="386" s="1"/>
  <c r="G143" i="386" a="1"/>
  <c r="G143" i="386" s="1"/>
  <c r="G135" i="386" a="1"/>
  <c r="G135" i="386" s="1"/>
  <c r="G133" i="386" a="1"/>
  <c r="G133" i="386" s="1"/>
  <c r="G129" i="386" a="1"/>
  <c r="G129" i="386"/>
  <c r="G123" i="386" a="1"/>
  <c r="G123" i="386"/>
  <c r="G119" i="386" a="1"/>
  <c r="G119" i="386" s="1"/>
  <c r="G113" i="386" a="1"/>
  <c r="G113" i="386" s="1"/>
  <c r="K160" i="386" a="1"/>
  <c r="K160" i="386" s="1"/>
  <c r="K166" i="386" a="1"/>
  <c r="K166" i="386" s="1"/>
  <c r="K158" i="386" a="1"/>
  <c r="K158" i="386" s="1"/>
  <c r="K148" i="386" a="1"/>
  <c r="K148" i="386" s="1"/>
  <c r="K142" i="386" a="1"/>
  <c r="K142" i="386"/>
  <c r="K140" i="386" a="1"/>
  <c r="K140" i="386"/>
  <c r="K132" i="386" a="1"/>
  <c r="K132" i="386" s="1"/>
  <c r="K128" i="386" a="1"/>
  <c r="K128" i="386" s="1"/>
  <c r="K122" i="386" a="1"/>
  <c r="K122" i="386" s="1"/>
  <c r="K118" i="386" a="1"/>
  <c r="K118" i="386" s="1"/>
  <c r="K116" i="386" a="1"/>
  <c r="K116" i="386" s="1"/>
  <c r="K112" i="386" a="1"/>
  <c r="K112" i="386" s="1"/>
  <c r="K110" i="386" a="1"/>
  <c r="K110" i="386"/>
  <c r="K109" i="386" a="1"/>
  <c r="K109" i="386"/>
  <c r="K104" i="386" a="1"/>
  <c r="K104" i="386" s="1"/>
  <c r="K102" i="386" s="1"/>
  <c r="K103" i="386" a="1"/>
  <c r="K103" i="386" s="1"/>
  <c r="K157" i="386" a="1"/>
  <c r="K157" i="386" s="1"/>
  <c r="C157" i="386" s="1"/>
  <c r="P157" i="386" s="1"/>
  <c r="K147" i="386" a="1"/>
  <c r="K147" i="386" s="1"/>
  <c r="K145" i="386" a="1"/>
  <c r="K145" i="386" s="1"/>
  <c r="K139" i="386" a="1"/>
  <c r="K139" i="386" s="1"/>
  <c r="K131" i="386" a="1"/>
  <c r="K131" i="386"/>
  <c r="K127" i="386" a="1"/>
  <c r="K127" i="386"/>
  <c r="K125" i="386" a="1"/>
  <c r="K125" i="386" s="1"/>
  <c r="K121" i="386" a="1"/>
  <c r="K121" i="386" s="1"/>
  <c r="K115" i="386" a="1"/>
  <c r="K115" i="386" s="1"/>
  <c r="K111" i="386" a="1"/>
  <c r="K111" i="386" s="1"/>
  <c r="K106" i="386" a="1"/>
  <c r="K106" i="386" s="1"/>
  <c r="K105" i="386" a="1"/>
  <c r="K105" i="386" s="1"/>
  <c r="K100" i="386" a="1"/>
  <c r="K100" i="386"/>
  <c r="K96" i="386" a="1"/>
  <c r="K96" i="386"/>
  <c r="K95" i="386" a="1"/>
  <c r="K95" i="386" s="1"/>
  <c r="K156" i="386" a="1"/>
  <c r="K156" i="386" s="1"/>
  <c r="K150" i="386" a="1"/>
  <c r="K150" i="386" s="1"/>
  <c r="K144" i="386" a="1"/>
  <c r="K144" i="386" s="1"/>
  <c r="K138" i="386" a="1"/>
  <c r="K138" i="386" s="1"/>
  <c r="K136" i="386" a="1"/>
  <c r="K136" i="386" s="1"/>
  <c r="K130" i="386" a="1"/>
  <c r="K130" i="386"/>
  <c r="K124" i="386" a="1"/>
  <c r="K124" i="386"/>
  <c r="K120" i="386" a="1"/>
  <c r="K120" i="386" s="1"/>
  <c r="K114" i="386" a="1"/>
  <c r="K114" i="386" s="1"/>
  <c r="K107" i="386" a="1"/>
  <c r="K107" i="386" s="1"/>
  <c r="K159" i="386" a="1"/>
  <c r="K159" i="386" s="1"/>
  <c r="K155" i="386" a="1"/>
  <c r="K155" i="386" s="1"/>
  <c r="K161" i="386" s="1"/>
  <c r="K149" i="386" a="1"/>
  <c r="K149" i="386" s="1"/>
  <c r="K143" i="386" a="1"/>
  <c r="K143" i="386"/>
  <c r="K135" i="386" a="1"/>
  <c r="K135" i="386"/>
  <c r="K133" i="386" a="1"/>
  <c r="K133" i="386" s="1"/>
  <c r="K129" i="386" a="1"/>
  <c r="K129" i="386" s="1"/>
  <c r="K123" i="386" a="1"/>
  <c r="K123" i="386" s="1"/>
  <c r="K119" i="386" a="1"/>
  <c r="K119" i="386" s="1"/>
  <c r="K113" i="386" a="1"/>
  <c r="K113" i="386" s="1"/>
  <c r="O166" i="386" a="1"/>
  <c r="O166" i="386" s="1"/>
  <c r="O160" i="386" a="1"/>
  <c r="O160" i="386"/>
  <c r="O159" i="386" a="1"/>
  <c r="O159" i="386"/>
  <c r="O158" i="386" a="1"/>
  <c r="O158" i="386" s="1"/>
  <c r="O161" i="386" s="1"/>
  <c r="O148" i="386" a="1"/>
  <c r="O148" i="386" s="1"/>
  <c r="O142" i="386" a="1"/>
  <c r="O142" i="386" s="1"/>
  <c r="O140" i="386" a="1"/>
  <c r="O140" i="386" s="1"/>
  <c r="O132" i="386" a="1"/>
  <c r="O132" i="386" s="1"/>
  <c r="O128" i="386" a="1"/>
  <c r="O128" i="386" s="1"/>
  <c r="O122" i="386" a="1"/>
  <c r="O122" i="386"/>
  <c r="O118" i="386" a="1"/>
  <c r="O118" i="386"/>
  <c r="O116" i="386" a="1"/>
  <c r="O116" i="386" s="1"/>
  <c r="O112" i="386" a="1"/>
  <c r="O112" i="386" s="1"/>
  <c r="O107" i="386" a="1"/>
  <c r="O107" i="386" s="1"/>
  <c r="O101" i="386" a="1"/>
  <c r="O101" i="386" s="1"/>
  <c r="O157" i="386" a="1"/>
  <c r="O157" i="386" s="1"/>
  <c r="O147" i="386" a="1"/>
  <c r="O147" i="386" s="1"/>
  <c r="O145" i="386" a="1"/>
  <c r="O145" i="386"/>
  <c r="O139" i="386" a="1"/>
  <c r="O139" i="386"/>
  <c r="O131" i="386" a="1"/>
  <c r="O131" i="386" s="1"/>
  <c r="O127" i="386" a="1"/>
  <c r="O127" i="386" s="1"/>
  <c r="O125" i="386" a="1"/>
  <c r="O125" i="386" s="1"/>
  <c r="O121" i="386" a="1"/>
  <c r="O121" i="386" s="1"/>
  <c r="O115" i="386" a="1"/>
  <c r="O115" i="386" s="1"/>
  <c r="O111" i="386" a="1"/>
  <c r="O111" i="386" s="1"/>
  <c r="O98" i="386" a="1"/>
  <c r="O98" i="386"/>
  <c r="O156" i="386" a="1"/>
  <c r="O156" i="386" s="1"/>
  <c r="O150" i="386" a="1"/>
  <c r="O150" i="386" s="1"/>
  <c r="O144" i="386" a="1"/>
  <c r="O144" i="386" s="1"/>
  <c r="O138" i="386" a="1"/>
  <c r="O138" i="386" s="1"/>
  <c r="O136" i="386" a="1"/>
  <c r="O136" i="386" s="1"/>
  <c r="O134" i="386" s="1"/>
  <c r="O130" i="386" a="1"/>
  <c r="O130" i="386" s="1"/>
  <c r="O124" i="386" a="1"/>
  <c r="O124" i="386" s="1"/>
  <c r="O120" i="386" a="1"/>
  <c r="O120" i="386"/>
  <c r="O114" i="386" a="1"/>
  <c r="O114" i="386" s="1"/>
  <c r="O110" i="386" a="1"/>
  <c r="O110" i="386" s="1"/>
  <c r="O109" i="386" a="1"/>
  <c r="O109" i="386" s="1"/>
  <c r="O104" i="386" a="1"/>
  <c r="O104" i="386" s="1"/>
  <c r="O155" i="386" a="1"/>
  <c r="O155" i="386" s="1"/>
  <c r="O149" i="386" a="1"/>
  <c r="O149" i="386" s="1"/>
  <c r="O143" i="386" a="1"/>
  <c r="O143" i="386" s="1"/>
  <c r="O135" i="386" a="1"/>
  <c r="O135" i="386" s="1"/>
  <c r="O133" i="386" a="1"/>
  <c r="O133" i="386" s="1"/>
  <c r="O129" i="386" a="1"/>
  <c r="O129" i="386" s="1"/>
  <c r="O123" i="386" a="1"/>
  <c r="O123" i="386" s="1"/>
  <c r="O119" i="386" a="1"/>
  <c r="O119" i="386" s="1"/>
  <c r="O117" i="386" s="1"/>
  <c r="O113" i="386" a="1"/>
  <c r="O113" i="386" s="1"/>
  <c r="D12" i="386" a="1"/>
  <c r="D12" i="386" s="1"/>
  <c r="H12" i="386" a="1"/>
  <c r="H12" i="386" s="1"/>
  <c r="L12" i="386" a="1"/>
  <c r="L12" i="386" s="1"/>
  <c r="D14" i="386" a="1"/>
  <c r="D14" i="386" s="1"/>
  <c r="H14" i="386" a="1"/>
  <c r="H14" i="386" s="1"/>
  <c r="L14" i="386" a="1"/>
  <c r="L14" i="386" s="1"/>
  <c r="G15" i="386" a="1"/>
  <c r="G15" i="386" s="1"/>
  <c r="I15" i="386" a="1"/>
  <c r="I15" i="386" s="1"/>
  <c r="K15" i="386" a="1"/>
  <c r="K15" i="386" s="1"/>
  <c r="M15" i="386" a="1"/>
  <c r="M15" i="386" s="1"/>
  <c r="O15" i="386" a="1"/>
  <c r="O15" i="386" s="1"/>
  <c r="D16" i="386" a="1"/>
  <c r="D16" i="386" s="1"/>
  <c r="H16" i="386" a="1"/>
  <c r="H16" i="386" s="1"/>
  <c r="L16" i="386" a="1"/>
  <c r="L16" i="386" s="1"/>
  <c r="D18" i="386" a="1"/>
  <c r="D18" i="386" s="1"/>
  <c r="D17" i="386" s="1"/>
  <c r="C17" i="386" s="1"/>
  <c r="H18" i="386" a="1"/>
  <c r="H18" i="386" s="1"/>
  <c r="L18" i="386" a="1"/>
  <c r="L18" i="386" s="1"/>
  <c r="L17" i="386" s="1"/>
  <c r="E19" i="386" a="1"/>
  <c r="E19" i="386" s="1"/>
  <c r="G19" i="386" a="1"/>
  <c r="G19" i="386" s="1"/>
  <c r="G17" i="386" s="1"/>
  <c r="I19" i="386" a="1"/>
  <c r="I19" i="386" s="1"/>
  <c r="I17" i="386" s="1"/>
  <c r="K19" i="386" a="1"/>
  <c r="K19" i="386" s="1"/>
  <c r="M19" i="386" a="1"/>
  <c r="M19" i="386" s="1"/>
  <c r="O19" i="386" a="1"/>
  <c r="O19" i="386" s="1"/>
  <c r="O17" i="386" s="1"/>
  <c r="E21" i="386" a="1"/>
  <c r="E21" i="386" s="1"/>
  <c r="E20" i="386" s="1"/>
  <c r="G21" i="386" a="1"/>
  <c r="G21" i="386" s="1"/>
  <c r="G20" i="386" s="1"/>
  <c r="I21" i="386" a="1"/>
  <c r="I21" i="386" s="1"/>
  <c r="K21" i="386" a="1"/>
  <c r="K21" i="386" s="1"/>
  <c r="M21" i="386" a="1"/>
  <c r="M21" i="386" s="1"/>
  <c r="M20" i="386" s="1"/>
  <c r="O21" i="386" a="1"/>
  <c r="O21" i="386" s="1"/>
  <c r="O20" i="386" s="1"/>
  <c r="D22" i="386" a="1"/>
  <c r="D22" i="386" s="1"/>
  <c r="H22" i="386" a="1"/>
  <c r="H22" i="386" s="1"/>
  <c r="H20" i="386" s="1"/>
  <c r="L22" i="386" a="1"/>
  <c r="L22" i="386" s="1"/>
  <c r="M79" i="386" a="1"/>
  <c r="M79" i="386" s="1"/>
  <c r="E87" i="386" a="1"/>
  <c r="E87" i="386" s="1"/>
  <c r="M87" i="386" a="1"/>
  <c r="M87" i="386" s="1"/>
  <c r="E88" i="386" a="1"/>
  <c r="E88" i="386" s="1"/>
  <c r="M88" i="386" a="1"/>
  <c r="M88" i="386" s="1"/>
  <c r="D90" i="386" a="1"/>
  <c r="D90" i="386" s="1"/>
  <c r="I90" i="386" a="1"/>
  <c r="I90" i="386" s="1"/>
  <c r="L90" i="386" a="1"/>
  <c r="L90" i="386" s="1"/>
  <c r="G91" i="386" a="1"/>
  <c r="G91" i="386" s="1"/>
  <c r="O91" i="386" a="1"/>
  <c r="O91" i="386" s="1"/>
  <c r="G92" i="386" a="1"/>
  <c r="G92" i="386" s="1"/>
  <c r="O92" i="386" a="1"/>
  <c r="O92" i="386" s="1"/>
  <c r="E93" i="386" a="1"/>
  <c r="E93" i="386" s="1"/>
  <c r="M93" i="386" a="1"/>
  <c r="M93" i="386" s="1"/>
  <c r="I94" i="386" a="1"/>
  <c r="I94" i="386" s="1"/>
  <c r="I89" i="386" s="1"/>
  <c r="G95" i="386" a="1"/>
  <c r="G95" i="386" s="1"/>
  <c r="C95" i="386" s="1"/>
  <c r="P95" i="386" s="1"/>
  <c r="O95" i="386" a="1"/>
  <c r="O95" i="386" s="1"/>
  <c r="G96" i="386" a="1"/>
  <c r="G96" i="386" s="1"/>
  <c r="O100" i="386" a="1"/>
  <c r="O100" i="386" s="1"/>
  <c r="M101" i="386" a="1"/>
  <c r="M101" i="386" s="1"/>
  <c r="M99" i="386" s="1"/>
  <c r="I103" i="386" a="1"/>
  <c r="I103" i="386" s="1"/>
  <c r="I104" i="386" a="1"/>
  <c r="I104" i="386" s="1"/>
  <c r="G105" i="386" a="1"/>
  <c r="G105" i="386" s="1"/>
  <c r="O106" i="386" a="1"/>
  <c r="O106" i="386" s="1"/>
  <c r="D160" i="386" a="1"/>
  <c r="D160" i="386" s="1"/>
  <c r="D166" i="386" a="1"/>
  <c r="D166" i="386" s="1"/>
  <c r="D157" i="386" a="1"/>
  <c r="D157" i="386" s="1"/>
  <c r="D147" i="386" a="1"/>
  <c r="D147" i="386" s="1"/>
  <c r="D145" i="386" a="1"/>
  <c r="D145" i="386" s="1"/>
  <c r="D139" i="386" a="1"/>
  <c r="D139" i="386" s="1"/>
  <c r="D131" i="386" a="1"/>
  <c r="D131" i="386" s="1"/>
  <c r="C131" i="386" s="1"/>
  <c r="P131" i="386" s="1"/>
  <c r="D127" i="386" a="1"/>
  <c r="D127" i="386" s="1"/>
  <c r="D125" i="386" a="1"/>
  <c r="D125" i="386" s="1"/>
  <c r="D121" i="386" a="1"/>
  <c r="D121" i="386" s="1"/>
  <c r="D115" i="386" a="1"/>
  <c r="D115" i="386" s="1"/>
  <c r="D111" i="386" a="1"/>
  <c r="D111" i="386" s="1"/>
  <c r="D107" i="386" a="1"/>
  <c r="D107" i="386" s="1"/>
  <c r="D106" i="386" a="1"/>
  <c r="D106" i="386" s="1"/>
  <c r="D101" i="386" a="1"/>
  <c r="D101" i="386" s="1"/>
  <c r="D100" i="386" a="1"/>
  <c r="D100" i="386" s="1"/>
  <c r="D96" i="386" a="1"/>
  <c r="D96" i="386" s="1"/>
  <c r="D156" i="386" a="1"/>
  <c r="D156" i="386" s="1"/>
  <c r="D150" i="386" a="1"/>
  <c r="D150" i="386" s="1"/>
  <c r="D144" i="386" a="1"/>
  <c r="D144" i="386" s="1"/>
  <c r="D138" i="386" a="1"/>
  <c r="D138" i="386" s="1"/>
  <c r="D136" i="386" a="1"/>
  <c r="D136" i="386" s="1"/>
  <c r="D130" i="386" a="1"/>
  <c r="D130" i="386" s="1"/>
  <c r="C130" i="386" s="1"/>
  <c r="P130" i="386" s="1"/>
  <c r="D124" i="386" a="1"/>
  <c r="D124" i="386" s="1"/>
  <c r="D120" i="386" a="1"/>
  <c r="D120" i="386" s="1"/>
  <c r="D114" i="386" a="1"/>
  <c r="D114" i="386" s="1"/>
  <c r="D159" i="386" a="1"/>
  <c r="D159" i="386" s="1"/>
  <c r="D155" i="386" a="1"/>
  <c r="D155" i="386" s="1"/>
  <c r="D149" i="386" a="1"/>
  <c r="D149" i="386" s="1"/>
  <c r="D143" i="386" a="1"/>
  <c r="D143" i="386" s="1"/>
  <c r="D135" i="386" a="1"/>
  <c r="D135" i="386" s="1"/>
  <c r="D133" i="386" a="1"/>
  <c r="D133" i="386" s="1"/>
  <c r="D129" i="386" a="1"/>
  <c r="D129" i="386" s="1"/>
  <c r="D123" i="386" a="1"/>
  <c r="D123" i="386" s="1"/>
  <c r="D119" i="386" a="1"/>
  <c r="D119" i="386" s="1"/>
  <c r="D113" i="386" a="1"/>
  <c r="D113" i="386" s="1"/>
  <c r="D109" i="386" a="1"/>
  <c r="D109" i="386" s="1"/>
  <c r="D158" i="386" a="1"/>
  <c r="D158" i="386" s="1"/>
  <c r="D148" i="386" a="1"/>
  <c r="D148" i="386" s="1"/>
  <c r="D146" i="386" s="1"/>
  <c r="D141" i="386" s="1"/>
  <c r="D142" i="386" a="1"/>
  <c r="D142" i="386" s="1"/>
  <c r="D140" i="386" a="1"/>
  <c r="D140" i="386" s="1"/>
  <c r="D132" i="386" a="1"/>
  <c r="D132" i="386" s="1"/>
  <c r="D128" i="386" a="1"/>
  <c r="D128" i="386" s="1"/>
  <c r="D122" i="386" a="1"/>
  <c r="D122" i="386" s="1"/>
  <c r="D118" i="386" a="1"/>
  <c r="D118" i="386" s="1"/>
  <c r="D116" i="386" a="1"/>
  <c r="D116" i="386" s="1"/>
  <c r="D112" i="386" a="1"/>
  <c r="D112" i="386" s="1"/>
  <c r="D110" i="386" a="1"/>
  <c r="D110" i="386" s="1"/>
  <c r="H160" i="386" a="1"/>
  <c r="H160" i="386" s="1"/>
  <c r="H166" i="386" a="1"/>
  <c r="H166" i="386" s="1"/>
  <c r="H157" i="386" a="1"/>
  <c r="H157" i="386" s="1"/>
  <c r="H147" i="386" a="1"/>
  <c r="H147" i="386" s="1"/>
  <c r="H146" i="386" s="1"/>
  <c r="H145" i="386" a="1"/>
  <c r="H145" i="386" s="1"/>
  <c r="H139" i="386" a="1"/>
  <c r="H139" i="386" s="1"/>
  <c r="H131" i="386" a="1"/>
  <c r="H131" i="386" s="1"/>
  <c r="H126" i="386" s="1"/>
  <c r="H127" i="386" a="1"/>
  <c r="H127" i="386" s="1"/>
  <c r="H125" i="386" a="1"/>
  <c r="H125" i="386" s="1"/>
  <c r="H121" i="386" a="1"/>
  <c r="H121" i="386" s="1"/>
  <c r="H115" i="386" a="1"/>
  <c r="H115" i="386" s="1"/>
  <c r="H111" i="386" a="1"/>
  <c r="H111" i="386" s="1"/>
  <c r="H109" i="386" a="1"/>
  <c r="H109" i="386" s="1"/>
  <c r="H103" i="386" a="1"/>
  <c r="H103" i="386" s="1"/>
  <c r="H98" i="386" a="1"/>
  <c r="H98" i="386" s="1"/>
  <c r="H156" i="386" a="1"/>
  <c r="H156" i="386" s="1"/>
  <c r="H150" i="386" a="1"/>
  <c r="H150" i="386" s="1"/>
  <c r="H144" i="386" a="1"/>
  <c r="H144" i="386" s="1"/>
  <c r="H138" i="386" a="1"/>
  <c r="H138" i="386" s="1"/>
  <c r="H136" i="386" a="1"/>
  <c r="H136" i="386" s="1"/>
  <c r="H130" i="386" a="1"/>
  <c r="H130" i="386" s="1"/>
  <c r="H124" i="386" a="1"/>
  <c r="H124" i="386" s="1"/>
  <c r="H120" i="386" a="1"/>
  <c r="H120" i="386" s="1"/>
  <c r="C120" i="386" s="1"/>
  <c r="P120" i="386" s="1"/>
  <c r="H114" i="386" a="1"/>
  <c r="H114" i="386" s="1"/>
  <c r="H110" i="386" a="1"/>
  <c r="H110" i="386" s="1"/>
  <c r="H105" i="386" a="1"/>
  <c r="H105" i="386" s="1"/>
  <c r="H104" i="386" a="1"/>
  <c r="H104" i="386" s="1"/>
  <c r="H95" i="386" a="1"/>
  <c r="H95" i="386" s="1"/>
  <c r="H94" i="386" a="1"/>
  <c r="H94" i="386" s="1"/>
  <c r="H159" i="386" a="1"/>
  <c r="H159" i="386" s="1"/>
  <c r="H155" i="386" a="1"/>
  <c r="H155" i="386" s="1"/>
  <c r="H149" i="386" a="1"/>
  <c r="H149" i="386" s="1"/>
  <c r="H143" i="386" a="1"/>
  <c r="H143" i="386" s="1"/>
  <c r="H135" i="386" a="1"/>
  <c r="H135" i="386" s="1"/>
  <c r="H133" i="386" a="1"/>
  <c r="H133" i="386" s="1"/>
  <c r="H129" i="386" a="1"/>
  <c r="H129" i="386" s="1"/>
  <c r="H123" i="386" a="1"/>
  <c r="H123" i="386" s="1"/>
  <c r="H119" i="386" a="1"/>
  <c r="H119" i="386" s="1"/>
  <c r="H113" i="386" a="1"/>
  <c r="H113" i="386" s="1"/>
  <c r="C113" i="386" s="1"/>
  <c r="H107" i="386" a="1"/>
  <c r="H107" i="386" s="1"/>
  <c r="H106" i="386" a="1"/>
  <c r="H106" i="386" s="1"/>
  <c r="H158" i="386" a="1"/>
  <c r="H158" i="386" s="1"/>
  <c r="H148" i="386" a="1"/>
  <c r="H148" i="386" s="1"/>
  <c r="H142" i="386" a="1"/>
  <c r="H142" i="386" s="1"/>
  <c r="H140" i="386" a="1"/>
  <c r="H140" i="386" s="1"/>
  <c r="H132" i="386" a="1"/>
  <c r="H132" i="386" s="1"/>
  <c r="H128" i="386" a="1"/>
  <c r="H128" i="386" s="1"/>
  <c r="H122" i="386" a="1"/>
  <c r="H122" i="386" s="1"/>
  <c r="H118" i="386" a="1"/>
  <c r="H118" i="386" s="1"/>
  <c r="H116" i="386" a="1"/>
  <c r="H116" i="386" s="1"/>
  <c r="H112" i="386" a="1"/>
  <c r="H112" i="386" s="1"/>
  <c r="L79" i="386" a="1"/>
  <c r="L79" i="386" s="1"/>
  <c r="L77" i="386" s="1"/>
  <c r="L160" i="386" a="1"/>
  <c r="L160" i="386" s="1"/>
  <c r="L166" i="386" a="1"/>
  <c r="L166" i="386" s="1"/>
  <c r="L157" i="386" a="1"/>
  <c r="L157" i="386" s="1"/>
  <c r="L161" i="386" s="1"/>
  <c r="L147" i="386" a="1"/>
  <c r="L147" i="386" s="1"/>
  <c r="L146" i="386" s="1"/>
  <c r="L145" i="386" a="1"/>
  <c r="L145" i="386" s="1"/>
  <c r="L139" i="386" a="1"/>
  <c r="L139" i="386" s="1"/>
  <c r="L131" i="386" a="1"/>
  <c r="L131" i="386" s="1"/>
  <c r="L127" i="386" a="1"/>
  <c r="L127" i="386" s="1"/>
  <c r="L125" i="386" a="1"/>
  <c r="L125" i="386" s="1"/>
  <c r="L121" i="386" a="1"/>
  <c r="L121" i="386" s="1"/>
  <c r="L115" i="386" a="1"/>
  <c r="L115" i="386" s="1"/>
  <c r="L111" i="386" a="1"/>
  <c r="L111" i="386" s="1"/>
  <c r="L107" i="386" a="1"/>
  <c r="L107" i="386" s="1"/>
  <c r="L106" i="386" a="1"/>
  <c r="L106" i="386" s="1"/>
  <c r="L101" i="386" a="1"/>
  <c r="L101" i="386" s="1"/>
  <c r="L100" i="386" a="1"/>
  <c r="L100" i="386" s="1"/>
  <c r="L99" i="386" s="1"/>
  <c r="L96" i="386" a="1"/>
  <c r="L96" i="386" s="1"/>
  <c r="L156" i="386" a="1"/>
  <c r="L156" i="386" s="1"/>
  <c r="L150" i="386" a="1"/>
  <c r="L150" i="386" s="1"/>
  <c r="L144" i="386" a="1"/>
  <c r="L144" i="386" s="1"/>
  <c r="L138" i="386" a="1"/>
  <c r="L138" i="386" s="1"/>
  <c r="L136" i="386" a="1"/>
  <c r="L136" i="386" s="1"/>
  <c r="L130" i="386" a="1"/>
  <c r="L130" i="386" s="1"/>
  <c r="L124" i="386" a="1"/>
  <c r="L124" i="386" s="1"/>
  <c r="L120" i="386" a="1"/>
  <c r="L120" i="386" s="1"/>
  <c r="L114" i="386" a="1"/>
  <c r="L114" i="386" s="1"/>
  <c r="L159" i="386" a="1"/>
  <c r="L159" i="386" s="1"/>
  <c r="L155" i="386" a="1"/>
  <c r="L155" i="386" s="1"/>
  <c r="L149" i="386" a="1"/>
  <c r="L149" i="386" s="1"/>
  <c r="L143" i="386" a="1"/>
  <c r="L143" i="386" s="1"/>
  <c r="L135" i="386" a="1"/>
  <c r="L135" i="386" s="1"/>
  <c r="L133" i="386" a="1"/>
  <c r="L133" i="386" s="1"/>
  <c r="L129" i="386" a="1"/>
  <c r="L129" i="386" s="1"/>
  <c r="L123" i="386" a="1"/>
  <c r="L123" i="386" s="1"/>
  <c r="L119" i="386" a="1"/>
  <c r="L119" i="386" s="1"/>
  <c r="C119" i="386" s="1"/>
  <c r="P119" i="386" s="1"/>
  <c r="L113" i="386" a="1"/>
  <c r="L113" i="386" s="1"/>
  <c r="L109" i="386" a="1"/>
  <c r="L109" i="386" s="1"/>
  <c r="L158" i="386" a="1"/>
  <c r="L158" i="386" s="1"/>
  <c r="L148" i="386" a="1"/>
  <c r="L148" i="386" s="1"/>
  <c r="L142" i="386" a="1"/>
  <c r="L142" i="386" s="1"/>
  <c r="L140" i="386" a="1"/>
  <c r="L140" i="386" s="1"/>
  <c r="L132" i="386" a="1"/>
  <c r="L132" i="386" s="1"/>
  <c r="L128" i="386" a="1"/>
  <c r="L128" i="386" s="1"/>
  <c r="L122" i="386" a="1"/>
  <c r="L122" i="386" s="1"/>
  <c r="L118" i="386" a="1"/>
  <c r="L118" i="386" s="1"/>
  <c r="L116" i="386" a="1"/>
  <c r="L116" i="386" s="1"/>
  <c r="L112" i="386" a="1"/>
  <c r="L112" i="386" s="1"/>
  <c r="L110" i="386" a="1"/>
  <c r="L110" i="386" s="1"/>
  <c r="D31" i="386" a="1"/>
  <c r="D31" i="386" s="1"/>
  <c r="H31" i="386" a="1"/>
  <c r="H31" i="386" s="1"/>
  <c r="H30" i="386" s="1"/>
  <c r="L31" i="386" a="1"/>
  <c r="L31" i="386"/>
  <c r="L30" i="386" s="1"/>
  <c r="D33" i="386" a="1"/>
  <c r="D33" i="386" s="1"/>
  <c r="H33" i="386" a="1"/>
  <c r="H33" i="386" s="1"/>
  <c r="L33" i="386" a="1"/>
  <c r="L33" i="386" s="1"/>
  <c r="D35" i="386" a="1"/>
  <c r="D35" i="386" s="1"/>
  <c r="H35" i="386" a="1"/>
  <c r="H35" i="386" s="1"/>
  <c r="L35" i="386" a="1"/>
  <c r="L35" i="386" s="1"/>
  <c r="D37" i="386" a="1"/>
  <c r="D37" i="386" s="1"/>
  <c r="H37" i="386" a="1"/>
  <c r="H37" i="386" s="1"/>
  <c r="L37" i="386" a="1"/>
  <c r="L37" i="386" s="1"/>
  <c r="D39" i="386" a="1"/>
  <c r="D39" i="386" s="1"/>
  <c r="H39" i="386" a="1"/>
  <c r="H39" i="386" s="1"/>
  <c r="L39" i="386" a="1"/>
  <c r="L39" i="386" s="1"/>
  <c r="D41" i="386" a="1"/>
  <c r="D41" i="386" s="1"/>
  <c r="H41" i="386" a="1"/>
  <c r="H41" i="386" s="1"/>
  <c r="L41" i="386" a="1"/>
  <c r="L41" i="386" s="1"/>
  <c r="C41" i="386" s="1"/>
  <c r="P41" i="386" s="1"/>
  <c r="D48" i="386" a="1"/>
  <c r="D48" i="386" s="1"/>
  <c r="H48" i="386" a="1"/>
  <c r="H48" i="386" s="1"/>
  <c r="L48" i="386" a="1"/>
  <c r="L48" i="386" s="1"/>
  <c r="L47" i="386" s="1"/>
  <c r="D52" i="386" a="1"/>
  <c r="D52" i="386" s="1"/>
  <c r="H52" i="386" a="1"/>
  <c r="H52" i="386" s="1"/>
  <c r="L52" i="386" a="1"/>
  <c r="L52" i="386" s="1"/>
  <c r="D54" i="386" a="1"/>
  <c r="D54" i="386" s="1"/>
  <c r="H54" i="386" a="1"/>
  <c r="H54" i="386" s="1"/>
  <c r="L54" i="386" a="1"/>
  <c r="L54" i="386" s="1"/>
  <c r="D56" i="386" a="1"/>
  <c r="D56" i="386" s="1"/>
  <c r="H56" i="386" a="1"/>
  <c r="H56" i="386" s="1"/>
  <c r="L56" i="386" a="1"/>
  <c r="L56" i="386" s="1"/>
  <c r="D58" i="386" a="1"/>
  <c r="D58" i="386" s="1"/>
  <c r="H58" i="386" a="1"/>
  <c r="H58" i="386" s="1"/>
  <c r="L58" i="386" a="1"/>
  <c r="L58" i="386" s="1"/>
  <c r="D60" i="386" a="1"/>
  <c r="D60" i="386" s="1"/>
  <c r="C60" i="386" s="1"/>
  <c r="P60" i="386" s="1"/>
  <c r="H60" i="386" a="1"/>
  <c r="H60" i="386" s="1"/>
  <c r="L60" i="386" a="1"/>
  <c r="L60" i="386" s="1"/>
  <c r="D62" i="386" a="1"/>
  <c r="D62" i="386" s="1"/>
  <c r="H62" i="386" a="1"/>
  <c r="H62" i="386" s="1"/>
  <c r="L62" i="386" a="1"/>
  <c r="L62" i="386" s="1"/>
  <c r="D64" i="386" a="1"/>
  <c r="D64" i="386" s="1"/>
  <c r="H64" i="386" a="1"/>
  <c r="H64" i="386" s="1"/>
  <c r="L64" i="386" a="1"/>
  <c r="L64" i="386" s="1"/>
  <c r="D66" i="386" a="1"/>
  <c r="D66" i="386" s="1"/>
  <c r="H66" i="386" a="1"/>
  <c r="H66" i="386" s="1"/>
  <c r="L66" i="386" a="1"/>
  <c r="L66" i="386" s="1"/>
  <c r="G67" i="386" a="1"/>
  <c r="G67" i="386" s="1"/>
  <c r="G65" i="386" s="1"/>
  <c r="K67" i="386" a="1"/>
  <c r="K67" i="386" s="1"/>
  <c r="K65" i="386" s="1"/>
  <c r="O67" i="386" a="1"/>
  <c r="O67" i="386" s="1"/>
  <c r="O65" i="386" s="1"/>
  <c r="D68" i="386" a="1"/>
  <c r="D68" i="386" s="1"/>
  <c r="H68" i="386" a="1"/>
  <c r="H68" i="386" s="1"/>
  <c r="H65" i="386" s="1"/>
  <c r="C65" i="386" s="1"/>
  <c r="L68" i="386" a="1"/>
  <c r="L68" i="386" s="1"/>
  <c r="E69" i="386" a="1"/>
  <c r="E69" i="386" s="1"/>
  <c r="E65" i="386" s="1"/>
  <c r="G69" i="386" a="1"/>
  <c r="G69" i="386"/>
  <c r="I69" i="386" a="1"/>
  <c r="I69" i="386"/>
  <c r="I65" i="386" s="1"/>
  <c r="K69" i="386" a="1"/>
  <c r="K69" i="386" s="1"/>
  <c r="M69" i="386" a="1"/>
  <c r="M69" i="386" s="1"/>
  <c r="M65" i="386" s="1"/>
  <c r="O69" i="386" a="1"/>
  <c r="O69" i="386"/>
  <c r="E71" i="386" a="1"/>
  <c r="E71" i="386"/>
  <c r="G71" i="386" a="1"/>
  <c r="G71" i="386"/>
  <c r="I71" i="386" a="1"/>
  <c r="I71" i="386"/>
  <c r="K71" i="386" a="1"/>
  <c r="K71" i="386"/>
  <c r="M71" i="386" a="1"/>
  <c r="M71" i="386"/>
  <c r="O71" i="386" a="1"/>
  <c r="O71" i="386"/>
  <c r="D72" i="386" a="1"/>
  <c r="D72" i="386"/>
  <c r="H72" i="386" a="1"/>
  <c r="H72" i="386"/>
  <c r="L72" i="386" a="1"/>
  <c r="L72" i="386"/>
  <c r="E73" i="386" a="1"/>
  <c r="E73" i="386"/>
  <c r="G73" i="386" a="1"/>
  <c r="G73" i="386"/>
  <c r="I73" i="386" a="1"/>
  <c r="I73" i="386"/>
  <c r="K73" i="386" a="1"/>
  <c r="K73" i="386"/>
  <c r="M73" i="386" a="1"/>
  <c r="M73" i="386"/>
  <c r="O73" i="386" a="1"/>
  <c r="O73" i="386"/>
  <c r="D74" i="386" a="1"/>
  <c r="D74" i="386"/>
  <c r="H74" i="386" a="1"/>
  <c r="H74" i="386"/>
  <c r="L74" i="386" a="1"/>
  <c r="L74" i="386"/>
  <c r="E75" i="386" a="1"/>
  <c r="E75" i="386"/>
  <c r="G75" i="386" a="1"/>
  <c r="G75" i="386"/>
  <c r="I75" i="386" a="1"/>
  <c r="I75" i="386"/>
  <c r="K75" i="386" a="1"/>
  <c r="K75" i="386"/>
  <c r="M75" i="386" a="1"/>
  <c r="M75" i="386"/>
  <c r="O75" i="386" a="1"/>
  <c r="O75" i="386"/>
  <c r="D78" i="386" a="1"/>
  <c r="D78" i="386"/>
  <c r="H78" i="386" a="1"/>
  <c r="H78" i="386"/>
  <c r="L78" i="386" a="1"/>
  <c r="L78" i="386"/>
  <c r="E79" i="386" a="1"/>
  <c r="E79" i="386"/>
  <c r="G79" i="386" a="1"/>
  <c r="G79" i="386"/>
  <c r="I79" i="386" a="1"/>
  <c r="I79" i="386"/>
  <c r="K79" i="386" a="1"/>
  <c r="K79" i="386"/>
  <c r="H87" i="386" a="1"/>
  <c r="H87" i="386"/>
  <c r="K87" i="386" a="1"/>
  <c r="K87" i="386"/>
  <c r="K88" i="386" a="1"/>
  <c r="K88" i="386"/>
  <c r="G90" i="386" a="1"/>
  <c r="G90" i="386"/>
  <c r="O90" i="386" a="1"/>
  <c r="O90" i="386"/>
  <c r="E91" i="386" a="1"/>
  <c r="E91" i="386"/>
  <c r="M91" i="386" a="1"/>
  <c r="M91" i="386"/>
  <c r="E92" i="386" a="1"/>
  <c r="E92" i="386"/>
  <c r="H92" i="386" a="1"/>
  <c r="H92" i="386"/>
  <c r="M92" i="386" a="1"/>
  <c r="M92" i="386"/>
  <c r="H93" i="386" a="1"/>
  <c r="H93" i="386"/>
  <c r="K93" i="386" a="1"/>
  <c r="K93" i="386"/>
  <c r="D95" i="386" a="1"/>
  <c r="D95" i="386"/>
  <c r="H96" i="386" a="1"/>
  <c r="H96" i="386"/>
  <c r="D98" i="386" a="1"/>
  <c r="D98" i="386"/>
  <c r="E100" i="386" a="1"/>
  <c r="E100" i="386"/>
  <c r="H101" i="386" a="1"/>
  <c r="H101" i="386"/>
  <c r="D103" i="386" a="1"/>
  <c r="D103" i="386"/>
  <c r="O103" i="386" a="1"/>
  <c r="O103" i="386"/>
  <c r="L104" i="386" a="1"/>
  <c r="L104" i="386"/>
  <c r="G106" i="386" a="1"/>
  <c r="G106" i="386"/>
  <c r="E166" i="386" a="1"/>
  <c r="E166" i="386"/>
  <c r="E156" i="386" a="1"/>
  <c r="E156" i="386"/>
  <c r="E150" i="386" a="1"/>
  <c r="E150" i="386"/>
  <c r="E144" i="386" a="1"/>
  <c r="E144" i="386"/>
  <c r="E138" i="386" a="1"/>
  <c r="E138" i="386"/>
  <c r="E136" i="386" a="1"/>
  <c r="E136" i="386"/>
  <c r="E134" i="386" s="1"/>
  <c r="E130" i="386" a="1"/>
  <c r="E130" i="386"/>
  <c r="E124" i="386" a="1"/>
  <c r="E124" i="386"/>
  <c r="E120" i="386" a="1"/>
  <c r="E120" i="386"/>
  <c r="E114" i="386" a="1"/>
  <c r="E114" i="386"/>
  <c r="E98" i="386" a="1"/>
  <c r="E98" i="386"/>
  <c r="E159" i="386" a="1"/>
  <c r="E159" i="386"/>
  <c r="E155" i="386" a="1"/>
  <c r="E155" i="386"/>
  <c r="E149" i="386" a="1"/>
  <c r="E149" i="386"/>
  <c r="E143" i="386" a="1"/>
  <c r="E143" i="386"/>
  <c r="E135" i="386" a="1"/>
  <c r="E135" i="386"/>
  <c r="E133" i="386" a="1"/>
  <c r="E133" i="386"/>
  <c r="E129" i="386" a="1"/>
  <c r="E129" i="386"/>
  <c r="E123" i="386" a="1"/>
  <c r="E123" i="386"/>
  <c r="E119" i="386" a="1"/>
  <c r="E119" i="386"/>
  <c r="E113" i="386" a="1"/>
  <c r="E113" i="386"/>
  <c r="E110" i="386" a="1"/>
  <c r="E110" i="386"/>
  <c r="E109" i="386" a="1"/>
  <c r="E109" i="386"/>
  <c r="E104" i="386" a="1"/>
  <c r="E104" i="386"/>
  <c r="E103" i="386" a="1"/>
  <c r="E103" i="386"/>
  <c r="E94" i="386" a="1"/>
  <c r="E94" i="386"/>
  <c r="E158" i="386" a="1"/>
  <c r="E158" i="386"/>
  <c r="E148" i="386" a="1"/>
  <c r="E148" i="386"/>
  <c r="E142" i="386" a="1"/>
  <c r="E142" i="386"/>
  <c r="E140" i="386" a="1"/>
  <c r="E140" i="386"/>
  <c r="E137" i="386" s="1"/>
  <c r="E132" i="386" a="1"/>
  <c r="E132" i="386"/>
  <c r="E128" i="386" a="1"/>
  <c r="E128" i="386"/>
  <c r="E122" i="386" a="1"/>
  <c r="E122" i="386"/>
  <c r="E118" i="386" a="1"/>
  <c r="E118" i="386"/>
  <c r="E116" i="386" a="1"/>
  <c r="E116" i="386"/>
  <c r="E112" i="386" a="1"/>
  <c r="E112" i="386"/>
  <c r="E106" i="386" a="1"/>
  <c r="E106" i="386"/>
  <c r="E105" i="386" a="1"/>
  <c r="E105" i="386"/>
  <c r="E160" i="386" a="1"/>
  <c r="E160" i="386"/>
  <c r="E157" i="386" a="1"/>
  <c r="E157" i="386"/>
  <c r="E147" i="386" a="1"/>
  <c r="E147" i="386"/>
  <c r="E146" i="386" s="1"/>
  <c r="E145" i="386" a="1"/>
  <c r="E145" i="386"/>
  <c r="E139" i="386" a="1"/>
  <c r="E139" i="386"/>
  <c r="E131" i="386" a="1"/>
  <c r="E131" i="386"/>
  <c r="E127" i="386" a="1"/>
  <c r="E127" i="386"/>
  <c r="E125" i="386" a="1"/>
  <c r="E125" i="386"/>
  <c r="E121" i="386" a="1"/>
  <c r="E121" i="386"/>
  <c r="E115" i="386" a="1"/>
  <c r="E115" i="386"/>
  <c r="E111" i="386" a="1"/>
  <c r="E111" i="386"/>
  <c r="I166" i="386" a="1"/>
  <c r="I166" i="386"/>
  <c r="I156" i="386" a="1"/>
  <c r="I156" i="386"/>
  <c r="I150" i="386" a="1"/>
  <c r="I150" i="386"/>
  <c r="I144" i="386" a="1"/>
  <c r="I144" i="386"/>
  <c r="I138" i="386" a="1"/>
  <c r="I138" i="386"/>
  <c r="I136" i="386" a="1"/>
  <c r="I136" i="386"/>
  <c r="I130" i="386" a="1"/>
  <c r="I130" i="386"/>
  <c r="I124" i="386" a="1"/>
  <c r="I124" i="386"/>
  <c r="I120" i="386" a="1"/>
  <c r="I120" i="386"/>
  <c r="I114" i="386" a="1"/>
  <c r="I114" i="386"/>
  <c r="I106" i="386" a="1"/>
  <c r="I106" i="386"/>
  <c r="I105" i="386" a="1"/>
  <c r="I105" i="386"/>
  <c r="I100" i="386" a="1"/>
  <c r="I100" i="386"/>
  <c r="I96" i="386" a="1"/>
  <c r="I96" i="386"/>
  <c r="I160" i="386" a="1"/>
  <c r="I160" i="386"/>
  <c r="I159" i="386" a="1"/>
  <c r="I159" i="386"/>
  <c r="I155" i="386" a="1"/>
  <c r="I155" i="386"/>
  <c r="I149" i="386" a="1"/>
  <c r="I149" i="386"/>
  <c r="I143" i="386" a="1"/>
  <c r="I143" i="386"/>
  <c r="I135" i="386" a="1"/>
  <c r="I135" i="386"/>
  <c r="I133" i="386" a="1"/>
  <c r="I133" i="386"/>
  <c r="I129" i="386" a="1"/>
  <c r="I129" i="386"/>
  <c r="I123" i="386" a="1"/>
  <c r="I123" i="386"/>
  <c r="I119" i="386" a="1"/>
  <c r="I119" i="386"/>
  <c r="I117" i="386" s="1"/>
  <c r="I113" i="386" a="1"/>
  <c r="I113" i="386"/>
  <c r="I107" i="386" a="1"/>
  <c r="I107" i="386"/>
  <c r="I101" i="386" a="1"/>
  <c r="I101" i="386"/>
  <c r="I158" i="386" a="1"/>
  <c r="I158" i="386"/>
  <c r="I148" i="386" a="1"/>
  <c r="I148" i="386"/>
  <c r="I146" i="386" s="1"/>
  <c r="I142" i="386" a="1"/>
  <c r="I142" i="386"/>
  <c r="I140" i="386" a="1"/>
  <c r="I140" i="386"/>
  <c r="I132" i="386" a="1"/>
  <c r="I132" i="386"/>
  <c r="I128" i="386" a="1"/>
  <c r="I128" i="386"/>
  <c r="I122" i="386" a="1"/>
  <c r="I122" i="386"/>
  <c r="I118" i="386" a="1"/>
  <c r="I118" i="386"/>
  <c r="I116" i="386" a="1"/>
  <c r="I116" i="386"/>
  <c r="I112" i="386" a="1"/>
  <c r="I112" i="386"/>
  <c r="I157" i="386" a="1"/>
  <c r="I157" i="386"/>
  <c r="I147" i="386" a="1"/>
  <c r="I147" i="386"/>
  <c r="I145" i="386" a="1"/>
  <c r="I145" i="386"/>
  <c r="I139" i="386" a="1"/>
  <c r="I139" i="386"/>
  <c r="I131" i="386" a="1"/>
  <c r="I131" i="386"/>
  <c r="I127" i="386" a="1"/>
  <c r="I127" i="386"/>
  <c r="I125" i="386" a="1"/>
  <c r="I125" i="386"/>
  <c r="I121" i="386" a="1"/>
  <c r="I121" i="386"/>
  <c r="I115" i="386" a="1"/>
  <c r="I115" i="386"/>
  <c r="I111" i="386" a="1"/>
  <c r="I111" i="386"/>
  <c r="I110" i="386" a="1"/>
  <c r="I110" i="386"/>
  <c r="I109" i="386" a="1"/>
  <c r="I109" i="386"/>
  <c r="M160" i="386" a="1"/>
  <c r="M160" i="386"/>
  <c r="M166" i="386" a="1"/>
  <c r="M166" i="386"/>
  <c r="M159" i="386" a="1"/>
  <c r="M159" i="386"/>
  <c r="M156" i="386" a="1"/>
  <c r="M156" i="386"/>
  <c r="M150" i="386" a="1"/>
  <c r="M150" i="386"/>
  <c r="M144" i="386" a="1"/>
  <c r="M144" i="386"/>
  <c r="M138" i="386" a="1"/>
  <c r="M138" i="386"/>
  <c r="M137" i="386" s="1"/>
  <c r="M136" i="386" a="1"/>
  <c r="M136" i="386"/>
  <c r="M130" i="386" a="1"/>
  <c r="M130" i="386"/>
  <c r="M124" i="386" a="1"/>
  <c r="M124" i="386"/>
  <c r="M120" i="386" a="1"/>
  <c r="M120" i="386"/>
  <c r="M114" i="386" a="1"/>
  <c r="M114" i="386"/>
  <c r="M98" i="386" a="1"/>
  <c r="M98" i="386"/>
  <c r="M155" i="386" a="1"/>
  <c r="M155" i="386"/>
  <c r="M149" i="386" a="1"/>
  <c r="M149" i="386"/>
  <c r="M143" i="386" a="1"/>
  <c r="M143" i="386"/>
  <c r="M135" i="386" a="1"/>
  <c r="M135" i="386"/>
  <c r="M133" i="386" a="1"/>
  <c r="M133" i="386"/>
  <c r="M129" i="386" a="1"/>
  <c r="M129" i="386"/>
  <c r="M123" i="386" a="1"/>
  <c r="M123" i="386"/>
  <c r="M119" i="386" a="1"/>
  <c r="M119" i="386"/>
  <c r="M113" i="386" a="1"/>
  <c r="M113" i="386"/>
  <c r="M110" i="386" a="1"/>
  <c r="M110" i="386"/>
  <c r="M109" i="386" a="1"/>
  <c r="M109" i="386"/>
  <c r="M104" i="386" a="1"/>
  <c r="M104" i="386"/>
  <c r="M103" i="386" a="1"/>
  <c r="M103" i="386"/>
  <c r="M94" i="386" a="1"/>
  <c r="M94" i="386"/>
  <c r="M158" i="386" a="1"/>
  <c r="M158" i="386"/>
  <c r="M148" i="386" a="1"/>
  <c r="M148" i="386"/>
  <c r="M142" i="386" a="1"/>
  <c r="M142" i="386"/>
  <c r="M140" i="386" a="1"/>
  <c r="M140" i="386"/>
  <c r="M132" i="386" a="1"/>
  <c r="M132" i="386"/>
  <c r="M128" i="386" a="1"/>
  <c r="M128" i="386"/>
  <c r="M122" i="386" a="1"/>
  <c r="M122" i="386"/>
  <c r="M118" i="386" a="1"/>
  <c r="M118" i="386"/>
  <c r="M116" i="386" a="1"/>
  <c r="M116" i="386"/>
  <c r="M112" i="386" a="1"/>
  <c r="M112" i="386"/>
  <c r="M106" i="386" a="1"/>
  <c r="M106" i="386"/>
  <c r="M105" i="386" a="1"/>
  <c r="M105" i="386"/>
  <c r="M157" i="386" a="1"/>
  <c r="M157" i="386"/>
  <c r="M147" i="386" a="1"/>
  <c r="M147" i="386"/>
  <c r="M145" i="386" a="1"/>
  <c r="M145" i="386"/>
  <c r="M139" i="386" a="1"/>
  <c r="M139" i="386"/>
  <c r="M131" i="386" a="1"/>
  <c r="M131" i="386"/>
  <c r="M127" i="386" a="1"/>
  <c r="M127" i="386"/>
  <c r="M125" i="386" a="1"/>
  <c r="M125" i="386"/>
  <c r="M121" i="386" a="1"/>
  <c r="M121" i="386"/>
  <c r="M115" i="386" a="1"/>
  <c r="M115" i="386"/>
  <c r="M111" i="386" a="1"/>
  <c r="M111" i="386"/>
  <c r="M107" i="386" a="1"/>
  <c r="M107" i="386"/>
  <c r="E12" i="386" a="1"/>
  <c r="E12" i="386"/>
  <c r="G12" i="386" a="1"/>
  <c r="G12" i="386"/>
  <c r="I12" i="386" a="1"/>
  <c r="I12" i="386"/>
  <c r="K12" i="386" a="1"/>
  <c r="K12" i="386"/>
  <c r="M12" i="386" a="1"/>
  <c r="M12" i="386"/>
  <c r="O12" i="386" a="1"/>
  <c r="O12" i="386"/>
  <c r="E14" i="386" a="1"/>
  <c r="E14" i="386"/>
  <c r="G14" i="386" a="1"/>
  <c r="G14" i="386"/>
  <c r="I14" i="386" a="1"/>
  <c r="I14" i="386"/>
  <c r="I13" i="386" s="1"/>
  <c r="K14" i="386" a="1"/>
  <c r="K14" i="386"/>
  <c r="M14" i="386" a="1"/>
  <c r="M14" i="386"/>
  <c r="O14" i="386" a="1"/>
  <c r="O14" i="386"/>
  <c r="D15" i="386" a="1"/>
  <c r="D15" i="386"/>
  <c r="H15" i="386" a="1"/>
  <c r="H15" i="386"/>
  <c r="L15" i="386" a="1"/>
  <c r="L15" i="386"/>
  <c r="E16" i="386" a="1"/>
  <c r="E16" i="386"/>
  <c r="G16" i="386" a="1"/>
  <c r="G16" i="386"/>
  <c r="I16" i="386" a="1"/>
  <c r="I16" i="386"/>
  <c r="K16" i="386" a="1"/>
  <c r="K16" i="386"/>
  <c r="M16" i="386" a="1"/>
  <c r="M16" i="386"/>
  <c r="O16" i="386" a="1"/>
  <c r="O16" i="386"/>
  <c r="E18" i="386" a="1"/>
  <c r="E18" i="386"/>
  <c r="G18" i="386" a="1"/>
  <c r="G18" i="386"/>
  <c r="I18" i="386" a="1"/>
  <c r="I18" i="386"/>
  <c r="K18" i="386" a="1"/>
  <c r="K18" i="386"/>
  <c r="K17" i="386" s="1"/>
  <c r="M18" i="386" a="1"/>
  <c r="M18" i="386"/>
  <c r="O18" i="386" a="1"/>
  <c r="O18" i="386"/>
  <c r="D19" i="386" a="1"/>
  <c r="D19" i="386" s="1"/>
  <c r="H19" i="386" a="1"/>
  <c r="H19" i="386"/>
  <c r="L19" i="386" a="1"/>
  <c r="L19" i="386"/>
  <c r="D21" i="386" a="1"/>
  <c r="D21" i="386"/>
  <c r="H21" i="386" a="1"/>
  <c r="H21" i="386"/>
  <c r="L21" i="386" a="1"/>
  <c r="L21" i="386"/>
  <c r="E22" i="386" a="1"/>
  <c r="E22" i="386"/>
  <c r="G22" i="386" a="1"/>
  <c r="G22" i="386"/>
  <c r="I22" i="386" a="1"/>
  <c r="I22" i="386" s="1"/>
  <c r="K22" i="386" a="1"/>
  <c r="K22" i="386"/>
  <c r="M22" i="386" a="1"/>
  <c r="M22" i="386"/>
  <c r="O22" i="386" a="1"/>
  <c r="O22" i="386"/>
  <c r="I87" i="386" a="1"/>
  <c r="I87" i="386"/>
  <c r="D88" i="386" a="1"/>
  <c r="D88" i="386"/>
  <c r="I88" i="386" a="1"/>
  <c r="I88" i="386"/>
  <c r="L88" i="386" a="1"/>
  <c r="L88" i="386"/>
  <c r="E90" i="386" a="1"/>
  <c r="E90" i="386" s="1"/>
  <c r="H90" i="386" a="1"/>
  <c r="H90" i="386"/>
  <c r="H89" i="386" s="1"/>
  <c r="M90" i="386" a="1"/>
  <c r="M90" i="386"/>
  <c r="H91" i="386" a="1"/>
  <c r="H91" i="386"/>
  <c r="K91" i="386" a="1"/>
  <c r="K91" i="386"/>
  <c r="K92" i="386" a="1"/>
  <c r="K92" i="386"/>
  <c r="I93" i="386" a="1"/>
  <c r="I93" i="386"/>
  <c r="D94" i="386" a="1"/>
  <c r="D94" i="386"/>
  <c r="G94" i="386" a="1"/>
  <c r="G94" i="386" s="1"/>
  <c r="K94" i="386" a="1"/>
  <c r="K94" i="386"/>
  <c r="E95" i="386" a="1"/>
  <c r="E95" i="386"/>
  <c r="I95" i="386" a="1"/>
  <c r="I95" i="386"/>
  <c r="L95" i="386" a="1"/>
  <c r="L95" i="386"/>
  <c r="O96" i="386" a="1"/>
  <c r="O96" i="386"/>
  <c r="K98" i="386" a="1"/>
  <c r="K98" i="386"/>
  <c r="G100" i="386" a="1"/>
  <c r="G100" i="386"/>
  <c r="G99" i="386" s="1"/>
  <c r="E101" i="386" a="1"/>
  <c r="E101" i="386" s="1"/>
  <c r="D104" i="386" a="1"/>
  <c r="D104" i="386"/>
  <c r="L105" i="386" a="1"/>
  <c r="L105" i="386"/>
  <c r="D38" i="386" a="1"/>
  <c r="D38" i="386"/>
  <c r="H38" i="386" a="1"/>
  <c r="H38" i="386"/>
  <c r="L38" i="386" a="1"/>
  <c r="L38" i="386"/>
  <c r="D40" i="386" a="1"/>
  <c r="D40" i="386"/>
  <c r="H40" i="386" a="1"/>
  <c r="H40" i="386"/>
  <c r="L40" i="386" a="1"/>
  <c r="L40" i="386" s="1"/>
  <c r="D42" i="386" a="1"/>
  <c r="D42" i="386"/>
  <c r="C42" i="386" s="1"/>
  <c r="P42" i="386" s="1"/>
  <c r="H42" i="386" a="1"/>
  <c r="H42" i="386"/>
  <c r="L42" i="386" a="1"/>
  <c r="L42" i="386"/>
  <c r="D49" i="386" a="1"/>
  <c r="D49" i="386"/>
  <c r="H49" i="386" a="1"/>
  <c r="H49" i="386"/>
  <c r="L49" i="386" a="1"/>
  <c r="L49" i="386"/>
  <c r="D51" i="386" a="1"/>
  <c r="D51" i="386"/>
  <c r="H51" i="386" a="1"/>
  <c r="H51" i="386" s="1"/>
  <c r="L51" i="386" a="1"/>
  <c r="L51" i="386"/>
  <c r="D53" i="386" a="1"/>
  <c r="D53" i="386"/>
  <c r="H53" i="386" a="1"/>
  <c r="H53" i="386"/>
  <c r="L53" i="386" a="1"/>
  <c r="L53" i="386"/>
  <c r="D55" i="386" a="1"/>
  <c r="D55" i="386"/>
  <c r="C55" i="386" s="1"/>
  <c r="P55" i="386" s="1"/>
  <c r="H55" i="386" a="1"/>
  <c r="H55" i="386"/>
  <c r="L55" i="386" a="1"/>
  <c r="L55" i="386"/>
  <c r="D57" i="386" a="1"/>
  <c r="D57" i="386" s="1"/>
  <c r="H57" i="386" a="1"/>
  <c r="H57" i="386"/>
  <c r="L57" i="386" a="1"/>
  <c r="L57" i="386"/>
  <c r="D59" i="386" a="1"/>
  <c r="D59" i="386"/>
  <c r="H59" i="386" a="1"/>
  <c r="H59" i="386"/>
  <c r="L59" i="386" a="1"/>
  <c r="L59" i="386"/>
  <c r="D61" i="386" a="1"/>
  <c r="D61" i="386"/>
  <c r="H61" i="386" a="1"/>
  <c r="H61" i="386"/>
  <c r="L61" i="386" a="1"/>
  <c r="L61" i="386" s="1"/>
  <c r="D63" i="386" a="1"/>
  <c r="D63" i="386"/>
  <c r="C63" i="386" s="1"/>
  <c r="P63" i="386" s="1"/>
  <c r="H63" i="386" a="1"/>
  <c r="H63" i="386"/>
  <c r="L63" i="386" a="1"/>
  <c r="L63" i="386"/>
  <c r="D67" i="386" a="1"/>
  <c r="D67" i="386"/>
  <c r="H67" i="386" a="1"/>
  <c r="H67" i="386"/>
  <c r="L67" i="386" a="1"/>
  <c r="L67" i="386"/>
  <c r="D69" i="386" a="1"/>
  <c r="D69" i="386"/>
  <c r="H69" i="386" a="1"/>
  <c r="H69" i="386" s="1"/>
  <c r="L69" i="386" a="1"/>
  <c r="L69" i="386"/>
  <c r="D71" i="386" a="1"/>
  <c r="D71" i="386"/>
  <c r="H71" i="386" a="1"/>
  <c r="H71" i="386"/>
  <c r="L71" i="386" a="1"/>
  <c r="L71" i="386"/>
  <c r="G72" i="386" a="1"/>
  <c r="G72" i="386"/>
  <c r="I72" i="386" a="1"/>
  <c r="I72" i="386"/>
  <c r="K72" i="386" a="1"/>
  <c r="K72" i="386"/>
  <c r="M72" i="386" a="1"/>
  <c r="M72" i="386" s="1"/>
  <c r="O72" i="386" a="1"/>
  <c r="O72" i="386"/>
  <c r="D73" i="386" a="1"/>
  <c r="D73" i="386"/>
  <c r="H73" i="386" a="1"/>
  <c r="H73" i="386"/>
  <c r="L73" i="386" a="1"/>
  <c r="L73" i="386"/>
  <c r="E74" i="386" a="1"/>
  <c r="E74" i="386"/>
  <c r="G74" i="386" a="1"/>
  <c r="G74" i="386"/>
  <c r="I74" i="386" a="1"/>
  <c r="I74" i="386"/>
  <c r="K74" i="386" a="1"/>
  <c r="K74" i="386" s="1"/>
  <c r="M74" i="386" a="1"/>
  <c r="M74" i="386"/>
  <c r="O74" i="386" a="1"/>
  <c r="O74" i="386"/>
  <c r="D75" i="386" a="1"/>
  <c r="D75" i="386"/>
  <c r="H75" i="386" a="1"/>
  <c r="H75" i="386"/>
  <c r="L75" i="386" a="1"/>
  <c r="L75" i="386"/>
  <c r="E78" i="386" a="1"/>
  <c r="E78" i="386"/>
  <c r="G78" i="386" a="1"/>
  <c r="G78" i="386"/>
  <c r="I78" i="386" a="1"/>
  <c r="I78" i="386" s="1"/>
  <c r="K78" i="386" a="1"/>
  <c r="K78" i="386"/>
  <c r="K77" i="386" s="1"/>
  <c r="M78" i="386" a="1"/>
  <c r="M78" i="386"/>
  <c r="O78" i="386" a="1"/>
  <c r="O78" i="386"/>
  <c r="D79" i="386" a="1"/>
  <c r="D79" i="386"/>
  <c r="H79" i="386" a="1"/>
  <c r="H79" i="386"/>
  <c r="O79" i="386" a="1"/>
  <c r="O79" i="386"/>
  <c r="O77" i="386" s="1"/>
  <c r="D87" i="386" a="1"/>
  <c r="D87" i="386"/>
  <c r="G87" i="386" a="1"/>
  <c r="G87" i="386" s="1"/>
  <c r="L87" i="386" a="1"/>
  <c r="L87" i="386"/>
  <c r="O87" i="386" a="1"/>
  <c r="O87" i="386"/>
  <c r="G88" i="386" a="1"/>
  <c r="G88" i="386"/>
  <c r="O88" i="386" a="1"/>
  <c r="O88" i="386"/>
  <c r="K90" i="386" a="1"/>
  <c r="K90" i="386"/>
  <c r="K89" i="386" s="1"/>
  <c r="I91" i="386" a="1"/>
  <c r="I91" i="386"/>
  <c r="D92" i="386" a="1"/>
  <c r="D92" i="386"/>
  <c r="I92" i="386" a="1"/>
  <c r="I92" i="386" s="1"/>
  <c r="L92" i="386" a="1"/>
  <c r="L92" i="386"/>
  <c r="D93" i="386" a="1"/>
  <c r="D93" i="386"/>
  <c r="G93" i="386" a="1"/>
  <c r="G93" i="386"/>
  <c r="L93" i="386" a="1"/>
  <c r="L93" i="386"/>
  <c r="O93" i="386" a="1"/>
  <c r="O93" i="386"/>
  <c r="L94" i="386" a="1"/>
  <c r="L94" i="386"/>
  <c r="O94" i="386" a="1"/>
  <c r="O94" i="386"/>
  <c r="M95" i="386" a="1"/>
  <c r="M95" i="386" s="1"/>
  <c r="E96" i="386" a="1"/>
  <c r="E96" i="386"/>
  <c r="L98" i="386" a="1"/>
  <c r="L98" i="386"/>
  <c r="H100" i="386" a="1"/>
  <c r="H100" i="386"/>
  <c r="M100" i="386" a="1"/>
  <c r="M100" i="386"/>
  <c r="K101" i="386" a="1"/>
  <c r="K101" i="386"/>
  <c r="G103" i="386" a="1"/>
  <c r="G103" i="386"/>
  <c r="L103" i="386" a="1"/>
  <c r="L103" i="386"/>
  <c r="D105" i="386" a="1"/>
  <c r="D105" i="386" s="1"/>
  <c r="O105" i="386" a="1"/>
  <c r="O105" i="386"/>
  <c r="J10" i="347"/>
  <c r="O10" i="347"/>
  <c r="U10" i="347"/>
  <c r="J11" i="347"/>
  <c r="O11" i="347"/>
  <c r="U11" i="347"/>
  <c r="J12" i="347"/>
  <c r="O12" i="347"/>
  <c r="U12" i="347"/>
  <c r="J13" i="347"/>
  <c r="O13" i="347"/>
  <c r="U13" i="347"/>
  <c r="J14" i="347"/>
  <c r="O14" i="347"/>
  <c r="U14" i="347"/>
  <c r="J15" i="347"/>
  <c r="O15" i="347"/>
  <c r="U15" i="347"/>
  <c r="J16" i="347"/>
  <c r="O16" i="347"/>
  <c r="U16" i="347"/>
  <c r="D87" i="410"/>
  <c r="N22" i="348"/>
  <c r="T22" i="348"/>
  <c r="J17" i="347"/>
  <c r="O17" i="347"/>
  <c r="U17" i="347"/>
  <c r="J18" i="347"/>
  <c r="O18" i="347"/>
  <c r="U18" i="347"/>
  <c r="J19" i="347"/>
  <c r="O19" i="347"/>
  <c r="U19" i="347"/>
  <c r="J20" i="347"/>
  <c r="O20" i="347"/>
  <c r="U20" i="347"/>
  <c r="J21" i="347"/>
  <c r="O21" i="347"/>
  <c r="U21" i="347"/>
  <c r="D42" i="410"/>
  <c r="N44" i="348"/>
  <c r="N48" i="348"/>
  <c r="N26" i="348"/>
  <c r="T26" i="348"/>
  <c r="I27" i="348"/>
  <c r="N56" i="348"/>
  <c r="G160" i="360"/>
  <c r="D14" i="410"/>
  <c r="D78" i="406"/>
  <c r="N31" i="348"/>
  <c r="U68" i="347"/>
  <c r="J69" i="347"/>
  <c r="U69" i="347"/>
  <c r="J70" i="347"/>
  <c r="O70" i="347"/>
  <c r="U70" i="347"/>
  <c r="J71" i="347"/>
  <c r="U71" i="347"/>
  <c r="J72" i="347"/>
  <c r="O72" i="347"/>
  <c r="U72" i="347"/>
  <c r="J73" i="347"/>
  <c r="J74" i="347"/>
  <c r="O74" i="347"/>
  <c r="U74" i="347"/>
  <c r="J75" i="347"/>
  <c r="U75" i="347"/>
  <c r="J76" i="347"/>
  <c r="O76" i="347"/>
  <c r="U76" i="347"/>
  <c r="J77" i="347"/>
  <c r="U77" i="347"/>
  <c r="J78" i="347"/>
  <c r="O78" i="347"/>
  <c r="U78" i="347"/>
  <c r="J79" i="347"/>
  <c r="U79" i="347"/>
  <c r="J80" i="347"/>
  <c r="O80" i="347"/>
  <c r="U80" i="347"/>
  <c r="U81" i="347"/>
  <c r="J82" i="347"/>
  <c r="O82" i="347"/>
  <c r="U82" i="347"/>
  <c r="J83" i="347"/>
  <c r="U83" i="347"/>
  <c r="J84" i="347"/>
  <c r="O84" i="347"/>
  <c r="U84" i="347"/>
  <c r="J85" i="347"/>
  <c r="U85" i="347"/>
  <c r="J86" i="347"/>
  <c r="O86" i="347"/>
  <c r="U86" i="347"/>
  <c r="J87" i="347"/>
  <c r="U87" i="347"/>
  <c r="J88" i="347"/>
  <c r="O88" i="347"/>
  <c r="U88" i="347"/>
  <c r="O95" i="347"/>
  <c r="O96" i="347"/>
  <c r="O97" i="347"/>
  <c r="O98" i="347"/>
  <c r="O99" i="347"/>
  <c r="O100" i="347"/>
  <c r="O101" i="347"/>
  <c r="O102" i="347"/>
  <c r="O103" i="347"/>
  <c r="O104" i="347"/>
  <c r="O105" i="347"/>
  <c r="O106" i="347"/>
  <c r="O107" i="347"/>
  <c r="F57" i="348"/>
  <c r="P57" i="348"/>
  <c r="D12" i="339"/>
  <c r="D13" i="339" s="1"/>
  <c r="D98" i="411"/>
  <c r="R36" i="347"/>
  <c r="J58" i="347"/>
  <c r="N36" i="348"/>
  <c r="N40" i="348"/>
  <c r="N36" i="347"/>
  <c r="J24" i="347"/>
  <c r="U24" i="347"/>
  <c r="J25" i="347"/>
  <c r="O25" i="347"/>
  <c r="U25" i="347"/>
  <c r="J26" i="347"/>
  <c r="U26" i="347"/>
  <c r="J27" i="347"/>
  <c r="O27" i="347"/>
  <c r="U27" i="347"/>
  <c r="J28" i="347"/>
  <c r="U28" i="347"/>
  <c r="J29" i="347"/>
  <c r="O29" i="347"/>
  <c r="U29" i="347"/>
  <c r="U30" i="347"/>
  <c r="J31" i="347"/>
  <c r="O31" i="347"/>
  <c r="U31" i="347"/>
  <c r="J32" i="347"/>
  <c r="U32" i="347"/>
  <c r="J33" i="347"/>
  <c r="O33" i="347"/>
  <c r="U33" i="347"/>
  <c r="J34" i="347"/>
  <c r="U34" i="347"/>
  <c r="J35" i="347"/>
  <c r="O35" i="347"/>
  <c r="U35" i="347"/>
  <c r="J56" i="347"/>
  <c r="N30" i="348"/>
  <c r="T30" i="348"/>
  <c r="I31" i="348"/>
  <c r="H57" i="348"/>
  <c r="R57" i="348"/>
  <c r="T36" i="347"/>
  <c r="N52" i="348"/>
  <c r="T35" i="348"/>
  <c r="N39" i="348"/>
  <c r="T39" i="348"/>
  <c r="N43" i="348"/>
  <c r="T43" i="348"/>
  <c r="I44" i="348"/>
  <c r="N47" i="348"/>
  <c r="T47" i="348"/>
  <c r="I48" i="348"/>
  <c r="I52" i="348"/>
  <c r="N55" i="348"/>
  <c r="T55" i="348"/>
  <c r="I56" i="348"/>
  <c r="G88" i="395"/>
  <c r="H88" i="395" s="1"/>
  <c r="H46" i="397"/>
  <c r="G160" i="405"/>
  <c r="H160" i="405" s="1"/>
  <c r="H6" i="346"/>
  <c r="H7" i="346"/>
  <c r="H8" i="346"/>
  <c r="H10" i="346"/>
  <c r="H18" i="346" s="1"/>
  <c r="H26" i="346" s="1"/>
  <c r="H34" i="346" s="1"/>
  <c r="H42" i="346" s="1"/>
  <c r="H50" i="346" s="1"/>
  <c r="H58" i="346" s="1"/>
  <c r="H66" i="346" s="1"/>
  <c r="H74" i="346" s="1"/>
  <c r="H82" i="346" s="1"/>
  <c r="H90" i="346" s="1"/>
  <c r="H98" i="346" s="1"/>
  <c r="H106" i="346" s="1"/>
  <c r="G6" i="346"/>
  <c r="G7" i="346"/>
  <c r="G8" i="346"/>
  <c r="E6" i="354"/>
  <c r="A13" i="420" a="1"/>
  <c r="A13" i="420"/>
  <c r="C14" i="420"/>
  <c r="P14" i="420" s="1" a="1"/>
  <c r="P14" i="420" s="1"/>
  <c r="A14" i="420" a="1"/>
  <c r="A14" i="420"/>
  <c r="S102" i="328"/>
  <c r="S55" i="328"/>
  <c r="P102" i="328"/>
  <c r="P55" i="328"/>
  <c r="S149" i="328"/>
  <c r="P149" i="328"/>
  <c r="A354" i="328"/>
  <c r="R344" i="328"/>
  <c r="P290" i="328"/>
  <c r="P196" i="328"/>
  <c r="S290" i="328"/>
  <c r="S525" i="328"/>
  <c r="A495" i="328"/>
  <c r="S337" i="328"/>
  <c r="R297" i="328"/>
  <c r="P431" i="328"/>
  <c r="P572" i="328"/>
  <c r="S431" i="328"/>
  <c r="R438" i="328"/>
  <c r="P760" i="328"/>
  <c r="S807" i="328"/>
  <c r="S619" i="328"/>
  <c r="R579" i="328" s="1"/>
  <c r="S854" i="328"/>
  <c r="S713" i="328"/>
  <c r="P854" i="328"/>
  <c r="S901" i="328"/>
  <c r="A871" i="328"/>
  <c r="S995" i="328"/>
  <c r="P666" i="328"/>
  <c r="S760" i="328"/>
  <c r="S948" i="328"/>
  <c r="R908" i="328" s="1"/>
  <c r="P995" i="328"/>
  <c r="S1089" i="328"/>
  <c r="P1136" i="328"/>
  <c r="P1042" i="328"/>
  <c r="P1089" i="328"/>
  <c r="S1136" i="328"/>
  <c r="S1183" i="328"/>
  <c r="D52" i="406"/>
  <c r="N11" i="348"/>
  <c r="D14" i="411"/>
  <c r="D33" i="411"/>
  <c r="D66" i="410"/>
  <c r="N65" i="348"/>
  <c r="N69" i="348"/>
  <c r="N77" i="348"/>
  <c r="N81" i="348"/>
  <c r="N85" i="348"/>
  <c r="N89" i="348"/>
  <c r="D63" i="410"/>
  <c r="D61" i="410" s="1"/>
  <c r="J39" i="347"/>
  <c r="U39" i="347"/>
  <c r="J40" i="347"/>
  <c r="U40" i="347"/>
  <c r="J41" i="347"/>
  <c r="U41" i="347"/>
  <c r="J42" i="347"/>
  <c r="U42" i="347"/>
  <c r="J43" i="347"/>
  <c r="U43" i="347"/>
  <c r="J44" i="347"/>
  <c r="U44" i="347"/>
  <c r="J45" i="347"/>
  <c r="U45" i="347"/>
  <c r="J46" i="347"/>
  <c r="U46" i="347"/>
  <c r="J47" i="347"/>
  <c r="U47" i="347"/>
  <c r="J48" i="347"/>
  <c r="U48" i="347"/>
  <c r="J49" i="347"/>
  <c r="O49" i="347"/>
  <c r="O57" i="347"/>
  <c r="N10" i="348"/>
  <c r="I11" i="348"/>
  <c r="N14" i="348"/>
  <c r="I15" i="348"/>
  <c r="N15" i="348"/>
  <c r="N18" i="348"/>
  <c r="T18" i="348"/>
  <c r="I19" i="348"/>
  <c r="N19" i="348"/>
  <c r="I23" i="348"/>
  <c r="N23" i="348"/>
  <c r="N27" i="348"/>
  <c r="I94" i="348"/>
  <c r="T96" i="348"/>
  <c r="N60" i="348"/>
  <c r="N62" i="348"/>
  <c r="N66" i="348"/>
  <c r="N70" i="348"/>
  <c r="N74" i="348"/>
  <c r="N78" i="348"/>
  <c r="N82" i="348"/>
  <c r="N90" i="348"/>
  <c r="T91" i="348"/>
  <c r="I92" i="348"/>
  <c r="N95" i="348"/>
  <c r="T95" i="348"/>
  <c r="I96" i="348"/>
  <c r="C61" i="254"/>
  <c r="D14" i="406"/>
  <c r="L36" i="347"/>
  <c r="O22" i="347"/>
  <c r="J23" i="347"/>
  <c r="M61" i="347"/>
  <c r="U51" i="347"/>
  <c r="U56" i="347"/>
  <c r="U58" i="347"/>
  <c r="J64" i="347"/>
  <c r="N16" i="348"/>
  <c r="N24" i="348"/>
  <c r="N28" i="348"/>
  <c r="N37" i="348"/>
  <c r="N41" i="348"/>
  <c r="N45" i="348"/>
  <c r="N49" i="348"/>
  <c r="N53" i="348"/>
  <c r="H36" i="347"/>
  <c r="M36" i="347"/>
  <c r="N61" i="347"/>
  <c r="O53" i="347"/>
  <c r="M110" i="347"/>
  <c r="U66" i="347"/>
  <c r="J67" i="347"/>
  <c r="O108" i="347"/>
  <c r="N64" i="348"/>
  <c r="T64" i="348"/>
  <c r="T65" i="348"/>
  <c r="N68" i="348"/>
  <c r="T68" i="348"/>
  <c r="N72" i="348"/>
  <c r="T72" i="348"/>
  <c r="T73" i="348"/>
  <c r="N76" i="348"/>
  <c r="T76" i="348"/>
  <c r="I77" i="348"/>
  <c r="N80" i="348"/>
  <c r="T80" i="348"/>
  <c r="I81" i="348"/>
  <c r="N84" i="348"/>
  <c r="N88" i="348"/>
  <c r="T88" i="348"/>
  <c r="G94" i="396"/>
  <c r="I94" i="396" s="1"/>
  <c r="G141" i="395"/>
  <c r="H141" i="395" s="1"/>
  <c r="G161" i="408"/>
  <c r="G163" i="392"/>
  <c r="G118" i="395"/>
  <c r="I118" i="395" s="1"/>
  <c r="E144" i="397"/>
  <c r="G105" i="393"/>
  <c r="G38" i="401"/>
  <c r="G92" i="398"/>
  <c r="H92" i="398" s="1"/>
  <c r="G55" i="402"/>
  <c r="H55" i="402" s="1"/>
  <c r="G14" i="404"/>
  <c r="G45" i="405"/>
  <c r="H45" i="405" s="1"/>
  <c r="G56" i="405"/>
  <c r="E62" i="416"/>
  <c r="S56" i="331"/>
  <c r="P103" i="331"/>
  <c r="P56" i="331"/>
  <c r="S103" i="331"/>
  <c r="P150" i="331"/>
  <c r="H300" i="387"/>
  <c r="I99" i="337" s="1"/>
  <c r="J30" i="347"/>
  <c r="D37" i="406"/>
  <c r="D63" i="406"/>
  <c r="D61" i="406" s="1"/>
  <c r="D98" i="406"/>
  <c r="D42" i="411"/>
  <c r="D87" i="411"/>
  <c r="D33" i="410"/>
  <c r="U52" i="347"/>
  <c r="J53" i="347"/>
  <c r="U53" i="347"/>
  <c r="J54" i="347"/>
  <c r="U54" i="347"/>
  <c r="D18" i="406"/>
  <c r="D66" i="411"/>
  <c r="U23" i="347"/>
  <c r="O38" i="347"/>
  <c r="O39" i="347"/>
  <c r="O40" i="347"/>
  <c r="O41" i="347"/>
  <c r="O42" i="347"/>
  <c r="O43" i="347"/>
  <c r="O44" i="347"/>
  <c r="O45" i="347"/>
  <c r="O46" i="347"/>
  <c r="O47" i="347"/>
  <c r="O48" i="347"/>
  <c r="T61" i="347"/>
  <c r="J51" i="347"/>
  <c r="J55" i="347"/>
  <c r="U57" i="347"/>
  <c r="J59" i="347"/>
  <c r="U89" i="347"/>
  <c r="J90" i="347"/>
  <c r="O90" i="347"/>
  <c r="U90" i="347"/>
  <c r="J91" i="347"/>
  <c r="O91" i="347"/>
  <c r="U91" i="347"/>
  <c r="J92" i="347"/>
  <c r="O92" i="347"/>
  <c r="U92" i="347"/>
  <c r="O93" i="347"/>
  <c r="O94" i="347"/>
  <c r="N86" i="348"/>
  <c r="D37" i="411"/>
  <c r="G36" i="347"/>
  <c r="Q36" i="347"/>
  <c r="G61" i="347"/>
  <c r="Q61" i="347"/>
  <c r="U60" i="347"/>
  <c r="F110" i="347"/>
  <c r="N20" i="348"/>
  <c r="I95" i="348"/>
  <c r="J52" i="347"/>
  <c r="O55" i="347"/>
  <c r="U55" i="347"/>
  <c r="J57" i="347"/>
  <c r="O59" i="347"/>
  <c r="U59" i="347"/>
  <c r="O64" i="347"/>
  <c r="U65" i="347"/>
  <c r="J66" i="347"/>
  <c r="O66" i="347"/>
  <c r="U67" i="347"/>
  <c r="J68" i="347"/>
  <c r="O68" i="347"/>
  <c r="E46" i="389"/>
  <c r="H46" i="389"/>
  <c r="D18" i="410"/>
  <c r="I36" i="347"/>
  <c r="S36" i="347"/>
  <c r="I61" i="347"/>
  <c r="S61" i="347"/>
  <c r="O50" i="347"/>
  <c r="J60" i="347"/>
  <c r="O60" i="347"/>
  <c r="N51" i="348"/>
  <c r="K32" i="348"/>
  <c r="K57" i="348"/>
  <c r="M57" i="348"/>
  <c r="H97" i="348"/>
  <c r="R97" i="348"/>
  <c r="E21" i="407"/>
  <c r="E19" i="407" s="1"/>
  <c r="E177" i="408"/>
  <c r="E144" i="392"/>
  <c r="E177" i="392"/>
  <c r="E144" i="395"/>
  <c r="U109" i="347"/>
  <c r="P32" i="348"/>
  <c r="I10" i="348"/>
  <c r="T10" i="348"/>
  <c r="T13" i="348"/>
  <c r="I14" i="348"/>
  <c r="T14" i="348"/>
  <c r="T17" i="348"/>
  <c r="I18" i="348"/>
  <c r="T21" i="348"/>
  <c r="I22" i="348"/>
  <c r="T25" i="348"/>
  <c r="I26" i="348"/>
  <c r="T29" i="348"/>
  <c r="I30" i="348"/>
  <c r="O57" i="348"/>
  <c r="S57" i="348"/>
  <c r="I35" i="348"/>
  <c r="T38" i="348"/>
  <c r="I39" i="348"/>
  <c r="S97" i="348"/>
  <c r="I64" i="348"/>
  <c r="I65" i="348"/>
  <c r="I68" i="348"/>
  <c r="I69" i="348"/>
  <c r="I72" i="348"/>
  <c r="I73" i="348"/>
  <c r="T75" i="348"/>
  <c r="I76" i="348"/>
  <c r="T93" i="348"/>
  <c r="E29" i="392"/>
  <c r="E27" i="392" s="1"/>
  <c r="E15" i="395"/>
  <c r="J93" i="347"/>
  <c r="U93" i="347"/>
  <c r="J94" i="347"/>
  <c r="U94" i="347"/>
  <c r="J95" i="347"/>
  <c r="U95" i="347"/>
  <c r="J96" i="347"/>
  <c r="U96" i="347"/>
  <c r="J97" i="347"/>
  <c r="U97" i="347"/>
  <c r="J98" i="347"/>
  <c r="U98" i="347"/>
  <c r="J99" i="347"/>
  <c r="U99" i="347"/>
  <c r="J100" i="347"/>
  <c r="U100" i="347"/>
  <c r="J101" i="347"/>
  <c r="U101" i="347"/>
  <c r="J102" i="347"/>
  <c r="U102" i="347"/>
  <c r="J103" i="347"/>
  <c r="U103" i="347"/>
  <c r="J104" i="347"/>
  <c r="U104" i="347"/>
  <c r="J105" i="347"/>
  <c r="U105" i="347"/>
  <c r="J106" i="347"/>
  <c r="U106" i="347"/>
  <c r="J107" i="347"/>
  <c r="U107" i="347"/>
  <c r="Q32" i="348"/>
  <c r="T12" i="348"/>
  <c r="I13" i="348"/>
  <c r="N13" i="348"/>
  <c r="T16" i="348"/>
  <c r="I17" i="348"/>
  <c r="N17" i="348"/>
  <c r="T20" i="348"/>
  <c r="I21" i="348"/>
  <c r="N21" i="348"/>
  <c r="T24" i="348"/>
  <c r="I25" i="348"/>
  <c r="N25" i="348"/>
  <c r="T28" i="348"/>
  <c r="I29" i="348"/>
  <c r="N29" i="348"/>
  <c r="L57" i="348"/>
  <c r="N38" i="348"/>
  <c r="T41" i="348"/>
  <c r="I42" i="348"/>
  <c r="N42" i="348"/>
  <c r="N46" i="348"/>
  <c r="N50" i="348"/>
  <c r="N54" i="348"/>
  <c r="J97" i="348"/>
  <c r="L97" i="348"/>
  <c r="P97" i="348"/>
  <c r="T62" i="348"/>
  <c r="I63" i="348"/>
  <c r="N63" i="348"/>
  <c r="T63" i="348"/>
  <c r="T66" i="348"/>
  <c r="I67" i="348"/>
  <c r="N67" i="348"/>
  <c r="T67" i="348"/>
  <c r="T70" i="348"/>
  <c r="I71" i="348"/>
  <c r="N71" i="348"/>
  <c r="T71" i="348"/>
  <c r="T74" i="348"/>
  <c r="I75" i="348"/>
  <c r="N75" i="348"/>
  <c r="T78" i="348"/>
  <c r="N79" i="348"/>
  <c r="T82" i="348"/>
  <c r="I83" i="348"/>
  <c r="N83" i="348"/>
  <c r="T86" i="348"/>
  <c r="I87" i="348"/>
  <c r="N87" i="348"/>
  <c r="T90" i="348"/>
  <c r="N91" i="348"/>
  <c r="T92" i="348"/>
  <c r="T94" i="348"/>
  <c r="E32" i="395"/>
  <c r="U108" i="347"/>
  <c r="O109" i="347"/>
  <c r="G32" i="348"/>
  <c r="M32" i="348"/>
  <c r="R32" i="348"/>
  <c r="T11" i="348"/>
  <c r="I12" i="348"/>
  <c r="T15" i="348"/>
  <c r="I16" i="348"/>
  <c r="T19" i="348"/>
  <c r="I20" i="348"/>
  <c r="T23" i="348"/>
  <c r="I24" i="348"/>
  <c r="T27" i="348"/>
  <c r="I28" i="348"/>
  <c r="T31" i="348"/>
  <c r="G57" i="348"/>
  <c r="Q57" i="348"/>
  <c r="T36" i="348"/>
  <c r="I41" i="348"/>
  <c r="T44" i="348"/>
  <c r="T48" i="348"/>
  <c r="I49" i="348"/>
  <c r="T52" i="348"/>
  <c r="I53" i="348"/>
  <c r="T56" i="348"/>
  <c r="G97" i="348"/>
  <c r="Q97" i="348"/>
  <c r="T61" i="348"/>
  <c r="I62" i="348"/>
  <c r="I66" i="348"/>
  <c r="T69" i="348"/>
  <c r="I70" i="348"/>
  <c r="I74" i="348"/>
  <c r="I82" i="348"/>
  <c r="I86" i="348"/>
  <c r="I90" i="348"/>
  <c r="I93" i="348"/>
  <c r="G42" i="407"/>
  <c r="E46" i="395"/>
  <c r="H46" i="395"/>
  <c r="H46" i="392"/>
  <c r="E11" i="395"/>
  <c r="E9" i="395" s="1"/>
  <c r="G95" i="393"/>
  <c r="H95" i="393" s="1"/>
  <c r="G41" i="407"/>
  <c r="H41" i="407" s="1"/>
  <c r="E144" i="407"/>
  <c r="H143" i="392"/>
  <c r="E21" i="395"/>
  <c r="E19" i="395" s="1"/>
  <c r="H143" i="397"/>
  <c r="E15" i="393"/>
  <c r="G162" i="407"/>
  <c r="G175" i="397"/>
  <c r="G177" i="397" s="1"/>
  <c r="E177" i="397"/>
  <c r="E177" i="393"/>
  <c r="G22" i="392"/>
  <c r="G72" i="393"/>
  <c r="I72" i="393" s="1"/>
  <c r="E11" i="398"/>
  <c r="E9" i="398" s="1"/>
  <c r="E11" i="393"/>
  <c r="E9" i="393" s="1"/>
  <c r="E36" i="393"/>
  <c r="H143" i="405"/>
  <c r="G161" i="398"/>
  <c r="H161" i="398" s="1"/>
  <c r="E144" i="401"/>
  <c r="G41" i="405"/>
  <c r="C28" i="416"/>
  <c r="C26" i="416" s="1"/>
  <c r="L13" i="421" a="1"/>
  <c r="L13" i="421" s="1"/>
  <c r="M12" i="421" a="1"/>
  <c r="M12" i="421" s="1"/>
  <c r="K12" i="421" a="1"/>
  <c r="K12" i="421" s="1"/>
  <c r="N12" i="421" a="1"/>
  <c r="N12" i="421" s="1"/>
  <c r="H12" i="421" a="1"/>
  <c r="H12" i="421" s="1"/>
  <c r="L12" i="421" a="1"/>
  <c r="L12" i="421" s="1"/>
  <c r="I12" i="421" a="1"/>
  <c r="I12" i="421" s="1"/>
  <c r="O12" i="421" a="1"/>
  <c r="O12" i="421" s="1"/>
  <c r="D33" i="406"/>
  <c r="D42" i="406"/>
  <c r="D66" i="406"/>
  <c r="D87" i="406"/>
  <c r="D18" i="411"/>
  <c r="D105" i="411"/>
  <c r="D98" i="410"/>
  <c r="O23" i="347"/>
  <c r="O24" i="347"/>
  <c r="O26" i="347"/>
  <c r="O28" i="347"/>
  <c r="O30" i="347"/>
  <c r="O32" i="347"/>
  <c r="O34" i="347"/>
  <c r="H61" i="347"/>
  <c r="U49" i="347"/>
  <c r="J50" i="347"/>
  <c r="O54" i="347"/>
  <c r="O56" i="347"/>
  <c r="O58" i="347"/>
  <c r="U64" i="347"/>
  <c r="D63" i="411"/>
  <c r="D61" i="411" s="1"/>
  <c r="D37" i="410"/>
  <c r="D52" i="410"/>
  <c r="D105" i="410"/>
  <c r="E36" i="347"/>
  <c r="E61" i="347"/>
  <c r="L61" i="347"/>
  <c r="O51" i="347"/>
  <c r="D78" i="411"/>
  <c r="J9" i="347"/>
  <c r="U9" i="347"/>
  <c r="P36" i="347"/>
  <c r="J38" i="347"/>
  <c r="F61" i="347"/>
  <c r="P61" i="347"/>
  <c r="U38" i="347"/>
  <c r="Q110" i="347"/>
  <c r="U63" i="347"/>
  <c r="D105" i="406"/>
  <c r="D52" i="411"/>
  <c r="D78" i="410"/>
  <c r="U22" i="347"/>
  <c r="O52" i="347"/>
  <c r="K110" i="347"/>
  <c r="O63" i="347"/>
  <c r="O9" i="347"/>
  <c r="P110" i="347"/>
  <c r="O65" i="347"/>
  <c r="O67" i="347"/>
  <c r="O69" i="347"/>
  <c r="O71" i="347"/>
  <c r="O73" i="347"/>
  <c r="O75" i="347"/>
  <c r="O77" i="347"/>
  <c r="O79" i="347"/>
  <c r="O81" i="347"/>
  <c r="O83" i="347"/>
  <c r="O85" i="347"/>
  <c r="O87" i="347"/>
  <c r="O89" i="347"/>
  <c r="T9" i="348"/>
  <c r="O32" i="348"/>
  <c r="K61" i="347"/>
  <c r="G110" i="347"/>
  <c r="J63" i="347"/>
  <c r="L110" i="347"/>
  <c r="N110" i="347"/>
  <c r="T110" i="347"/>
  <c r="J108" i="347"/>
  <c r="J109" i="347"/>
  <c r="F32" i="348"/>
  <c r="I9" i="348"/>
  <c r="E110" i="347"/>
  <c r="R110" i="347"/>
  <c r="J32" i="348"/>
  <c r="N9" i="348"/>
  <c r="L32" i="348"/>
  <c r="N12" i="348"/>
  <c r="E32" i="348"/>
  <c r="J57" i="348"/>
  <c r="N34" i="348"/>
  <c r="T34" i="348"/>
  <c r="I36" i="348"/>
  <c r="I40" i="348"/>
  <c r="T51" i="348"/>
  <c r="H32" i="348"/>
  <c r="N35" i="348"/>
  <c r="T42" i="348"/>
  <c r="I43" i="348"/>
  <c r="T46" i="348"/>
  <c r="I47" i="348"/>
  <c r="T50" i="348"/>
  <c r="I51" i="348"/>
  <c r="T54" i="348"/>
  <c r="I55" i="348"/>
  <c r="E97" i="348"/>
  <c r="O97" i="348"/>
  <c r="T59" i="348"/>
  <c r="I61" i="348"/>
  <c r="E57" i="348"/>
  <c r="I34" i="348"/>
  <c r="T37" i="348"/>
  <c r="I38" i="348"/>
  <c r="T45" i="348"/>
  <c r="I46" i="348"/>
  <c r="T49" i="348"/>
  <c r="I50" i="348"/>
  <c r="T53" i="348"/>
  <c r="I54" i="348"/>
  <c r="F97" i="348"/>
  <c r="I59" i="348"/>
  <c r="I60" i="348"/>
  <c r="T60" i="348"/>
  <c r="I37" i="348"/>
  <c r="T40" i="348"/>
  <c r="I45" i="348"/>
  <c r="N59" i="348"/>
  <c r="T84" i="348"/>
  <c r="I85" i="348"/>
  <c r="I89" i="348"/>
  <c r="N93" i="348"/>
  <c r="N96" i="348"/>
  <c r="E15" i="360"/>
  <c r="E32" i="360"/>
  <c r="N61" i="348"/>
  <c r="T79" i="348"/>
  <c r="I80" i="348"/>
  <c r="T83" i="348"/>
  <c r="I84" i="348"/>
  <c r="T87" i="348"/>
  <c r="I88" i="348"/>
  <c r="N92" i="348"/>
  <c r="N94" i="348"/>
  <c r="E36" i="360"/>
  <c r="E51" i="360"/>
  <c r="E50" i="360" s="1"/>
  <c r="N73" i="348"/>
  <c r="I79" i="348"/>
  <c r="I91" i="348"/>
  <c r="E78" i="360"/>
  <c r="E77" i="360" s="1"/>
  <c r="E76" i="360" s="1"/>
  <c r="K97" i="348"/>
  <c r="M97" i="348"/>
  <c r="T77" i="348"/>
  <c r="I78" i="348"/>
  <c r="T81" i="348"/>
  <c r="T85" i="348"/>
  <c r="T89" i="348"/>
  <c r="E11" i="360"/>
  <c r="E9" i="360" s="1"/>
  <c r="E21" i="360"/>
  <c r="E19" i="360" s="1"/>
  <c r="H46" i="360"/>
  <c r="E46" i="360"/>
  <c r="E164" i="360"/>
  <c r="E144" i="360"/>
  <c r="E177" i="360"/>
  <c r="E144" i="389"/>
  <c r="E11" i="407"/>
  <c r="E9" i="407" s="1"/>
  <c r="E177" i="389"/>
  <c r="H46" i="407"/>
  <c r="E46" i="407"/>
  <c r="G68" i="407"/>
  <c r="I68" i="407" s="1"/>
  <c r="E21" i="408"/>
  <c r="E19" i="408" s="1"/>
  <c r="E15" i="408"/>
  <c r="E177" i="407"/>
  <c r="E32" i="408"/>
  <c r="E46" i="408"/>
  <c r="H46" i="408"/>
  <c r="E139" i="408"/>
  <c r="E11" i="392"/>
  <c r="E9" i="392" s="1"/>
  <c r="E21" i="392"/>
  <c r="E19" i="392" s="1"/>
  <c r="H143" i="395"/>
  <c r="E11" i="396"/>
  <c r="E9" i="396" s="1"/>
  <c r="E15" i="396"/>
  <c r="E46" i="396"/>
  <c r="H46" i="396"/>
  <c r="E15" i="397"/>
  <c r="E29" i="396"/>
  <c r="E27" i="396" s="1"/>
  <c r="E143" i="396"/>
  <c r="E139" i="396" s="1"/>
  <c r="E11" i="397"/>
  <c r="E9" i="397" s="1"/>
  <c r="E21" i="397"/>
  <c r="E19" i="397" s="1"/>
  <c r="E29" i="397"/>
  <c r="E27" i="397" s="1"/>
  <c r="H46" i="393"/>
  <c r="E46" i="393"/>
  <c r="G10" i="398"/>
  <c r="H10" i="398" s="1"/>
  <c r="G37" i="398"/>
  <c r="H37" i="398" s="1"/>
  <c r="H46" i="398"/>
  <c r="E46" i="398"/>
  <c r="H143" i="398"/>
  <c r="E11" i="399"/>
  <c r="E9" i="399" s="1"/>
  <c r="E29" i="399"/>
  <c r="E27" i="399" s="1"/>
  <c r="E32" i="399"/>
  <c r="E46" i="399"/>
  <c r="H46" i="399"/>
  <c r="G26" i="398"/>
  <c r="H26" i="398" s="1"/>
  <c r="E15" i="401"/>
  <c r="E21" i="401"/>
  <c r="E19" i="401" s="1"/>
  <c r="E29" i="401"/>
  <c r="E27" i="401" s="1"/>
  <c r="E46" i="394"/>
  <c r="H46" i="394"/>
  <c r="H46" i="401"/>
  <c r="E46" i="401"/>
  <c r="E21" i="394"/>
  <c r="E19" i="394" s="1"/>
  <c r="E11" i="401"/>
  <c r="E9" i="401" s="1"/>
  <c r="H143" i="399"/>
  <c r="E21" i="402"/>
  <c r="E19" i="402" s="1"/>
  <c r="E144" i="399"/>
  <c r="E29" i="394"/>
  <c r="E27" i="394" s="1"/>
  <c r="H143" i="394"/>
  <c r="E46" i="402"/>
  <c r="H46" i="402"/>
  <c r="E11" i="403"/>
  <c r="E9" i="403" s="1"/>
  <c r="E46" i="403"/>
  <c r="H46" i="403"/>
  <c r="E32" i="403"/>
  <c r="E21" i="404"/>
  <c r="E19" i="404" s="1"/>
  <c r="E46" i="404"/>
  <c r="H46" i="404"/>
  <c r="E32" i="404"/>
  <c r="G35" i="404"/>
  <c r="G32" i="404" s="1"/>
  <c r="E177" i="404"/>
  <c r="E21" i="405"/>
  <c r="E19" i="405" s="1"/>
  <c r="E46" i="405"/>
  <c r="H46" i="405"/>
  <c r="E177" i="405"/>
  <c r="G80" i="388"/>
  <c r="H80" i="388" s="1"/>
  <c r="E144" i="388"/>
  <c r="C16" i="418"/>
  <c r="C16" i="413"/>
  <c r="E13" i="420" a="1"/>
  <c r="E13" i="420"/>
  <c r="G13" i="420" a="1"/>
  <c r="G13" i="420"/>
  <c r="I13" i="420" a="1"/>
  <c r="I13" i="420"/>
  <c r="K13" i="420" a="1"/>
  <c r="K13" i="420"/>
  <c r="M13" i="420" a="1"/>
  <c r="M13" i="420"/>
  <c r="P13" i="420" a="1"/>
  <c r="P13" i="420" s="1"/>
  <c r="R13" i="420" a="1"/>
  <c r="R13" i="420"/>
  <c r="D13" i="420" a="1"/>
  <c r="D13" i="420"/>
  <c r="F13" i="420" a="1"/>
  <c r="F13" i="420"/>
  <c r="H13" i="420" a="1"/>
  <c r="H13" i="420"/>
  <c r="J13" i="420" a="1"/>
  <c r="J13" i="420"/>
  <c r="L13" i="420" a="1"/>
  <c r="L13" i="420"/>
  <c r="O13" i="420" a="1"/>
  <c r="O13" i="420"/>
  <c r="P41" i="330"/>
  <c r="S41" i="330"/>
  <c r="G65" i="388"/>
  <c r="H65" i="388" s="1"/>
  <c r="E15" i="405"/>
  <c r="D17" i="397" a="1"/>
  <c r="D17" i="397"/>
  <c r="I17" i="397" s="1"/>
  <c r="H73" i="397"/>
  <c r="D37" i="392" a="1"/>
  <c r="D37" i="392" s="1"/>
  <c r="D14" i="392" a="1"/>
  <c r="D14" i="392" s="1"/>
  <c r="D26" i="407" a="1"/>
  <c r="D26" i="407"/>
  <c r="D31" i="407" a="1"/>
  <c r="D31" i="407" s="1"/>
  <c r="I31" i="407" s="1"/>
  <c r="D161" i="407" a="1"/>
  <c r="D161" i="407" s="1"/>
  <c r="D128" i="407" a="1"/>
  <c r="D128" i="407"/>
  <c r="I128" i="407"/>
  <c r="D104" i="407" a="1"/>
  <c r="D104" i="407" s="1"/>
  <c r="I104" i="407" s="1"/>
  <c r="D35" i="407" a="1"/>
  <c r="D35" i="407"/>
  <c r="I35" i="407" s="1"/>
  <c r="H123" i="397"/>
  <c r="C24" i="398"/>
  <c r="C48" i="398" s="1"/>
  <c r="D56" i="392" a="1"/>
  <c r="D56" i="392" s="1"/>
  <c r="D70" i="407" a="1"/>
  <c r="D70" i="407"/>
  <c r="D145" i="407" a="1"/>
  <c r="D145" i="407"/>
  <c r="D121" i="407" a="1"/>
  <c r="D121" i="407"/>
  <c r="I121" i="407" s="1"/>
  <c r="D96" i="407" a="1"/>
  <c r="D96" i="407" s="1"/>
  <c r="I96" i="407" s="1"/>
  <c r="H65" i="398"/>
  <c r="H66" i="397"/>
  <c r="C24" i="396"/>
  <c r="H126" i="388"/>
  <c r="H136" i="388"/>
  <c r="H81" i="394"/>
  <c r="H103" i="395"/>
  <c r="C24" i="399"/>
  <c r="H110" i="388"/>
  <c r="H61" i="405"/>
  <c r="H113" i="388"/>
  <c r="E29" i="408"/>
  <c r="E27" i="408" s="1"/>
  <c r="L22" i="318"/>
  <c r="L23" i="318"/>
  <c r="L24" i="318" s="1"/>
  <c r="L25" i="318" s="1"/>
  <c r="L26" i="318" s="1"/>
  <c r="L27" i="318" s="1"/>
  <c r="G68" i="388"/>
  <c r="G65" i="394"/>
  <c r="H65" i="394" s="1"/>
  <c r="E29" i="388"/>
  <c r="E27" i="388" s="1"/>
  <c r="G83" i="403"/>
  <c r="H83" i="403" s="1"/>
  <c r="G113" i="393"/>
  <c r="G134" i="401"/>
  <c r="H134" i="401" s="1"/>
  <c r="G127" i="399"/>
  <c r="H127" i="399" s="1"/>
  <c r="G109" i="399"/>
  <c r="H109" i="399" s="1"/>
  <c r="G130" i="399"/>
  <c r="H130" i="399" s="1"/>
  <c r="G118" i="392"/>
  <c r="G83" i="396"/>
  <c r="G118" i="393"/>
  <c r="I118" i="393" s="1"/>
  <c r="G74" i="397"/>
  <c r="H74" i="397" s="1"/>
  <c r="G134" i="397"/>
  <c r="H134" i="397" s="1"/>
  <c r="G42" i="397"/>
  <c r="H42" i="397" s="1"/>
  <c r="E93" i="412"/>
  <c r="G137" i="388"/>
  <c r="H137" i="388" s="1"/>
  <c r="G66" i="388"/>
  <c r="H66" i="388" s="1"/>
  <c r="G26" i="394"/>
  <c r="H26" i="394" s="1"/>
  <c r="G112" i="394"/>
  <c r="H112" i="394" s="1"/>
  <c r="E15" i="407"/>
  <c r="E139" i="389"/>
  <c r="G81" i="407"/>
  <c r="I81" i="407" s="1"/>
  <c r="G113" i="408"/>
  <c r="H113" i="408" s="1"/>
  <c r="G88" i="408"/>
  <c r="G120" i="407"/>
  <c r="H120" i="407" s="1"/>
  <c r="G87" i="407"/>
  <c r="H87" i="407" s="1"/>
  <c r="G125" i="389"/>
  <c r="I125" i="389" s="1"/>
  <c r="G156" i="408"/>
  <c r="I156" i="408" s="1"/>
  <c r="E114" i="416"/>
  <c r="E30" i="418"/>
  <c r="E59" i="418"/>
  <c r="E85" i="418"/>
  <c r="E87" i="413"/>
  <c r="G45" i="389"/>
  <c r="H45" i="389" s="1"/>
  <c r="G18" i="389"/>
  <c r="H18" i="389" s="1"/>
  <c r="G63" i="389"/>
  <c r="G96" i="389"/>
  <c r="G20" i="389"/>
  <c r="H20" i="389" s="1"/>
  <c r="G55" i="393"/>
  <c r="H55" i="393" s="1"/>
  <c r="G72" i="407"/>
  <c r="G69" i="402"/>
  <c r="H69" i="402" s="1"/>
  <c r="G13" i="394"/>
  <c r="H13" i="394" s="1"/>
  <c r="G41" i="399"/>
  <c r="H41" i="399" s="1"/>
  <c r="G89" i="397"/>
  <c r="H89" i="397" s="1"/>
  <c r="G119" i="392"/>
  <c r="H119" i="392" s="1"/>
  <c r="G59" i="395"/>
  <c r="H59" i="395" s="1"/>
  <c r="D30" i="385"/>
  <c r="E99" i="385"/>
  <c r="E97" i="385" s="1"/>
  <c r="E15" i="403"/>
  <c r="H119" i="399"/>
  <c r="H113" i="397"/>
  <c r="G118" i="402"/>
  <c r="H118" i="402" s="1"/>
  <c r="G131" i="393"/>
  <c r="G26" i="388"/>
  <c r="I26" i="388" s="1"/>
  <c r="G89" i="399"/>
  <c r="G13" i="397"/>
  <c r="H13" i="397" s="1"/>
  <c r="G80" i="397"/>
  <c r="H80" i="397" s="1"/>
  <c r="G128" i="397"/>
  <c r="H128" i="397" s="1"/>
  <c r="G157" i="392"/>
  <c r="H157" i="392" s="1"/>
  <c r="G55" i="394"/>
  <c r="G37" i="392"/>
  <c r="G84" i="394"/>
  <c r="H84" i="394" s="1"/>
  <c r="G65" i="393"/>
  <c r="G66" i="399"/>
  <c r="H66" i="399" s="1"/>
  <c r="G64" i="397"/>
  <c r="H64" i="397" s="1"/>
  <c r="G110" i="392"/>
  <c r="H110" i="392" s="1"/>
  <c r="P45" i="310"/>
  <c r="P46" i="310" s="1"/>
  <c r="P47" i="310" s="1"/>
  <c r="P48" i="310" s="1"/>
  <c r="P49" i="310" s="1"/>
  <c r="P50" i="310" s="1"/>
  <c r="P51" i="310" s="1"/>
  <c r="P52" i="310" s="1"/>
  <c r="P53" i="310" s="1"/>
  <c r="P54" i="310" s="1"/>
  <c r="P55" i="310" s="1"/>
  <c r="P56" i="310" s="1"/>
  <c r="P57" i="310" s="1"/>
  <c r="P58" i="310" s="1"/>
  <c r="P59" i="310" s="1"/>
  <c r="P60" i="310" s="1"/>
  <c r="P61" i="310" s="1"/>
  <c r="P62" i="310" s="1"/>
  <c r="P63" i="310" s="1"/>
  <c r="P64" i="310" s="1"/>
  <c r="P65" i="310" s="1"/>
  <c r="P66" i="310" s="1"/>
  <c r="P67" i="310" s="1"/>
  <c r="P68" i="310" s="1"/>
  <c r="P69" i="310" s="1"/>
  <c r="P70" i="310" s="1"/>
  <c r="P71" i="310" s="1"/>
  <c r="P72" i="310" s="1"/>
  <c r="P73" i="310" s="1"/>
  <c r="P74" i="310" s="1"/>
  <c r="P75" i="310" s="1"/>
  <c r="P76" i="310" s="1"/>
  <c r="P77" i="310" s="1"/>
  <c r="P78" i="310" s="1"/>
  <c r="P79" i="310" s="1"/>
  <c r="P80" i="310" s="1"/>
  <c r="P81" i="310" s="1"/>
  <c r="P82" i="310" s="1"/>
  <c r="P83" i="310" s="1"/>
  <c r="P84" i="310" s="1"/>
  <c r="P85" i="310" s="1"/>
  <c r="P86" i="310" s="1"/>
  <c r="P87" i="310" s="1"/>
  <c r="P88" i="310" s="1"/>
  <c r="P89" i="310" s="1"/>
  <c r="P90" i="310" s="1"/>
  <c r="P91" i="310" s="1"/>
  <c r="P92" i="310" s="1"/>
  <c r="P93" i="310" s="1"/>
  <c r="P94" i="310" s="1"/>
  <c r="P95" i="310" s="1"/>
  <c r="P96" i="310" s="1"/>
  <c r="P97" i="310" s="1"/>
  <c r="P98" i="310" s="1"/>
  <c r="P99" i="310" s="1"/>
  <c r="P100" i="310" s="1"/>
  <c r="P101" i="310" s="1"/>
  <c r="P102" i="310" s="1"/>
  <c r="P103" i="310" s="1"/>
  <c r="P104" i="310" s="1"/>
  <c r="P105" i="310" s="1"/>
  <c r="P106" i="310" s="1"/>
  <c r="P107" i="310" s="1"/>
  <c r="P108" i="310" s="1"/>
  <c r="P109" i="310" s="1"/>
  <c r="P110" i="310" s="1"/>
  <c r="P111" i="310" s="1"/>
  <c r="P112" i="310" s="1"/>
  <c r="P113" i="310" s="1"/>
  <c r="P114" i="310" s="1"/>
  <c r="P115" i="310" s="1"/>
  <c r="P116" i="310" s="1"/>
  <c r="P117" i="310" s="1"/>
  <c r="P118" i="310" s="1"/>
  <c r="P119" i="310" s="1"/>
  <c r="P120" i="310" s="1"/>
  <c r="P121" i="310" s="1"/>
  <c r="P122" i="310" s="1"/>
  <c r="P123" i="310" s="1"/>
  <c r="P124" i="310" s="1"/>
  <c r="P125" i="310" s="1"/>
  <c r="P126" i="310" s="1"/>
  <c r="P127" i="310" s="1"/>
  <c r="P128" i="310" s="1"/>
  <c r="P129" i="310" s="1"/>
  <c r="P130" i="310" s="1"/>
  <c r="P131" i="310" s="1"/>
  <c r="P132" i="310" s="1"/>
  <c r="P133" i="310" s="1"/>
  <c r="P134" i="310" s="1"/>
  <c r="P135" i="310" s="1"/>
  <c r="P136" i="310" s="1"/>
  <c r="P137" i="310" s="1"/>
  <c r="P138" i="310" s="1"/>
  <c r="P139" i="310" s="1"/>
  <c r="P140" i="310" s="1"/>
  <c r="P141" i="310" s="1"/>
  <c r="P142" i="310" s="1"/>
  <c r="P143" i="310" s="1"/>
  <c r="P144" i="310" s="1"/>
  <c r="P145" i="310" s="1"/>
  <c r="P146" i="310" s="1"/>
  <c r="P147" i="310" s="1"/>
  <c r="P148" i="310" s="1"/>
  <c r="P149" i="310" s="1"/>
  <c r="P150" i="310" s="1"/>
  <c r="P151" i="310" s="1"/>
  <c r="P152" i="310" s="1"/>
  <c r="P153" i="310" s="1"/>
  <c r="P154" i="310" s="1"/>
  <c r="P155" i="310" s="1"/>
  <c r="P156" i="310" s="1"/>
  <c r="P157" i="310" s="1"/>
  <c r="P158" i="310" s="1"/>
  <c r="P159" i="310" s="1"/>
  <c r="P160" i="310" s="1"/>
  <c r="P161" i="310" s="1"/>
  <c r="P162" i="310" s="1"/>
  <c r="P163" i="310" s="1"/>
  <c r="P164" i="310" s="1"/>
  <c r="P165" i="310" s="1"/>
  <c r="P166" i="310" s="1"/>
  <c r="P167" i="310" s="1"/>
  <c r="P168" i="310" s="1"/>
  <c r="P169" i="310" s="1"/>
  <c r="P170" i="310" s="1"/>
  <c r="P171" i="310" s="1"/>
  <c r="P172" i="310" s="1"/>
  <c r="P173" i="310" s="1"/>
  <c r="P174" i="310" s="1"/>
  <c r="P175" i="310" s="1"/>
  <c r="P176" i="310" s="1"/>
  <c r="P177" i="310" s="1"/>
  <c r="P178" i="310" s="1"/>
  <c r="P179" i="310" s="1"/>
  <c r="P180" i="310" s="1"/>
  <c r="P183" i="310" s="1"/>
  <c r="P184" i="310" s="1"/>
  <c r="P185" i="310" s="1"/>
  <c r="P186" i="310" s="1"/>
  <c r="P187" i="310" s="1"/>
  <c r="P188" i="310" s="1"/>
  <c r="P189" i="310" s="1"/>
  <c r="P190" i="310" s="1"/>
  <c r="P191" i="310" s="1"/>
  <c r="P192" i="310" s="1"/>
  <c r="P193" i="310" s="1"/>
  <c r="P194" i="310" s="1"/>
  <c r="P195" i="310" s="1"/>
  <c r="P196" i="310" s="1"/>
  <c r="P197" i="310" s="1"/>
  <c r="P198" i="310" s="1"/>
  <c r="P199" i="310" s="1"/>
  <c r="P200" i="310" s="1"/>
  <c r="P201" i="310" s="1"/>
  <c r="P202" i="310" s="1"/>
  <c r="P203" i="310" s="1"/>
  <c r="P204" i="310" s="1"/>
  <c r="P205" i="310" s="1"/>
  <c r="P206" i="310" s="1"/>
  <c r="P207" i="310" s="1"/>
  <c r="P208" i="310" s="1"/>
  <c r="P209" i="310" s="1"/>
  <c r="P210" i="310" s="1"/>
  <c r="P211" i="310" s="1"/>
  <c r="P212" i="310" s="1"/>
  <c r="P213" i="310" s="1"/>
  <c r="P214" i="310" s="1"/>
  <c r="P215" i="310" s="1"/>
  <c r="P216" i="310" s="1"/>
  <c r="P217" i="310" s="1"/>
  <c r="P218" i="310" s="1"/>
  <c r="P219" i="310" s="1"/>
  <c r="P220" i="310" s="1"/>
  <c r="P221" i="310" s="1"/>
  <c r="P222" i="310" s="1"/>
  <c r="P223" i="310" s="1"/>
  <c r="P224" i="310" s="1"/>
  <c r="P225" i="310" s="1"/>
  <c r="P226" i="310" s="1"/>
  <c r="P227" i="310" s="1"/>
  <c r="P228" i="310" s="1"/>
  <c r="P229" i="310" s="1"/>
  <c r="P230" i="310" s="1"/>
  <c r="P231" i="310" s="1"/>
  <c r="P232" i="310" s="1"/>
  <c r="P233" i="310" s="1"/>
  <c r="P234" i="310" s="1"/>
  <c r="P235" i="310" s="1"/>
  <c r="P236" i="310" s="1"/>
  <c r="P237" i="310" s="1"/>
  <c r="P238" i="310" s="1"/>
  <c r="P239" i="310" s="1"/>
  <c r="P240" i="310" s="1"/>
  <c r="P241" i="310" s="1"/>
  <c r="P242" i="310" s="1"/>
  <c r="P243" i="310" s="1"/>
  <c r="P244" i="310" s="1"/>
  <c r="P245" i="310" s="1"/>
  <c r="P246" i="310" s="1"/>
  <c r="P247" i="310" s="1"/>
  <c r="P248" i="310" s="1"/>
  <c r="P249" i="310" s="1"/>
  <c r="P250" i="310" s="1"/>
  <c r="P251" i="310" s="1"/>
  <c r="P252" i="310" s="1"/>
  <c r="P253" i="310" s="1"/>
  <c r="P254" i="310" s="1"/>
  <c r="P255" i="310" s="1"/>
  <c r="P256" i="310" s="1"/>
  <c r="P257" i="310" s="1"/>
  <c r="P258" i="310" s="1"/>
  <c r="P259" i="310" s="1"/>
  <c r="P260" i="310" s="1"/>
  <c r="P261" i="310" s="1"/>
  <c r="P262" i="310" s="1"/>
  <c r="P263" i="310" s="1"/>
  <c r="P264" i="310" s="1"/>
  <c r="P265" i="310" s="1"/>
  <c r="P266" i="310" s="1"/>
  <c r="P267" i="310" s="1"/>
  <c r="P268" i="310" s="1"/>
  <c r="P269" i="310" s="1"/>
  <c r="P270" i="310" s="1"/>
  <c r="P271" i="310" s="1"/>
  <c r="P272" i="310" s="1"/>
  <c r="P273" i="310" s="1"/>
  <c r="P274" i="310" s="1"/>
  <c r="P275" i="310" s="1"/>
  <c r="P276" i="310" s="1"/>
  <c r="P277" i="310" s="1"/>
  <c r="P278" i="310" s="1"/>
  <c r="P279" i="310" s="1"/>
  <c r="P280" i="310" s="1"/>
  <c r="P281" i="310" s="1"/>
  <c r="P282" i="310" s="1"/>
  <c r="P283" i="310" s="1"/>
  <c r="P284" i="310" s="1"/>
  <c r="P285" i="310" s="1"/>
  <c r="P286" i="310" s="1"/>
  <c r="P287" i="310" s="1"/>
  <c r="P288" i="310" s="1"/>
  <c r="P289" i="310" s="1"/>
  <c r="P290" i="310" s="1"/>
  <c r="P291" i="310" s="1"/>
  <c r="P292" i="310" s="1"/>
  <c r="P293" i="310" s="1"/>
  <c r="P294" i="310" s="1"/>
  <c r="P295" i="310" s="1"/>
  <c r="P296" i="310" s="1"/>
  <c r="P297" i="310" s="1"/>
  <c r="P298" i="310" s="1"/>
  <c r="P299" i="310" s="1"/>
  <c r="P300" i="310" s="1"/>
  <c r="P301" i="310" s="1"/>
  <c r="P302" i="310" s="1"/>
  <c r="P303" i="310" s="1"/>
  <c r="P304" i="310" s="1"/>
  <c r="P305" i="310" s="1"/>
  <c r="P306" i="310" s="1"/>
  <c r="P307" i="310" s="1"/>
  <c r="P308" i="310" s="1"/>
  <c r="P309" i="310" s="1"/>
  <c r="P310" i="310" s="1"/>
  <c r="P311" i="310" s="1"/>
  <c r="P312" i="310" s="1"/>
  <c r="P313" i="310" s="1"/>
  <c r="P314" i="310" s="1"/>
  <c r="P315" i="310" s="1"/>
  <c r="P316" i="310" s="1"/>
  <c r="P317" i="310" s="1"/>
  <c r="P318" i="310" s="1"/>
  <c r="P319" i="310" s="1"/>
  <c r="P320" i="310" s="1"/>
  <c r="P321" i="310" s="1"/>
  <c r="P322" i="310" s="1"/>
  <c r="P323" i="310" s="1"/>
  <c r="P324" i="310" s="1"/>
  <c r="P325" i="310" s="1"/>
  <c r="P326" i="310" s="1"/>
  <c r="P327" i="310" s="1"/>
  <c r="P328" i="310" s="1"/>
  <c r="P329" i="310" s="1"/>
  <c r="P330" i="310" s="1"/>
  <c r="P331" i="310" s="1"/>
  <c r="P332" i="310" s="1"/>
  <c r="P333" i="310" s="1"/>
  <c r="P334" i="310" s="1"/>
  <c r="P335" i="310" s="1"/>
  <c r="P336" i="310" s="1"/>
  <c r="P337" i="310" s="1"/>
  <c r="P338" i="310" s="1"/>
  <c r="P339" i="310" s="1"/>
  <c r="P340" i="310" s="1"/>
  <c r="P341" i="310" s="1"/>
  <c r="P342" i="310" s="1"/>
  <c r="P343" i="310" s="1"/>
  <c r="P344" i="310" s="1"/>
  <c r="P345" i="310" s="1"/>
  <c r="P346" i="310" s="1"/>
  <c r="P347" i="310" s="1"/>
  <c r="P348" i="310" s="1"/>
  <c r="P349" i="310" s="1"/>
  <c r="P350" i="310" s="1"/>
  <c r="P351" i="310" s="1"/>
  <c r="P352" i="310" s="1"/>
  <c r="P353" i="310" s="1"/>
  <c r="P354" i="310" s="1"/>
  <c r="P355" i="310" s="1"/>
  <c r="P356" i="310" s="1"/>
  <c r="P357" i="310" s="1"/>
  <c r="P358" i="310" s="1"/>
  <c r="P359" i="310" s="1"/>
  <c r="P360" i="310" s="1"/>
  <c r="P361" i="310" s="1"/>
  <c r="P362" i="310" s="1"/>
  <c r="P363" i="310" s="1"/>
  <c r="P364" i="310" s="1"/>
  <c r="P365" i="310" s="1"/>
  <c r="P366" i="310" s="1"/>
  <c r="P367" i="310" s="1"/>
  <c r="P368" i="310" s="1"/>
  <c r="P369" i="310" s="1"/>
  <c r="P370" i="310" s="1"/>
  <c r="P371" i="310" s="1"/>
  <c r="P372" i="310" s="1"/>
  <c r="P373" i="310" s="1"/>
  <c r="P374" i="310" s="1"/>
  <c r="P375" i="310" s="1"/>
  <c r="P376" i="310" s="1"/>
  <c r="P377" i="310" s="1"/>
  <c r="P378" i="310" s="1"/>
  <c r="P379" i="310" s="1"/>
  <c r="P380" i="310" s="1"/>
  <c r="P381" i="310" s="1"/>
  <c r="P382" i="310" s="1"/>
  <c r="P383" i="310" s="1"/>
  <c r="P384" i="310" s="1"/>
  <c r="P385" i="310" s="1"/>
  <c r="P386" i="310" s="1"/>
  <c r="P387" i="310" s="1"/>
  <c r="P388" i="310" s="1"/>
  <c r="P389" i="310" s="1"/>
  <c r="P390" i="310" s="1"/>
  <c r="P391" i="310" s="1"/>
  <c r="P392" i="310" s="1"/>
  <c r="P393" i="310" s="1"/>
  <c r="P394" i="310" s="1"/>
  <c r="P395" i="310" s="1"/>
  <c r="P396" i="310" s="1"/>
  <c r="P397" i="310" s="1"/>
  <c r="P398" i="310" s="1"/>
  <c r="P399" i="310" s="1"/>
  <c r="P400" i="310" s="1"/>
  <c r="P401" i="310" s="1"/>
  <c r="P402" i="310" s="1"/>
  <c r="P403" i="310" s="1"/>
  <c r="P404" i="310" s="1"/>
  <c r="P405" i="310" s="1"/>
  <c r="P406" i="310" s="1"/>
  <c r="P407" i="310" s="1"/>
  <c r="P408" i="310" s="1"/>
  <c r="P409" i="310" s="1"/>
  <c r="P410" i="310" s="1"/>
  <c r="P411" i="310" s="1"/>
  <c r="P412" i="310" s="1"/>
  <c r="P413" i="310" s="1"/>
  <c r="P414" i="310" s="1"/>
  <c r="P415" i="310" s="1"/>
  <c r="P416" i="310" s="1"/>
  <c r="P417" i="310" s="1"/>
  <c r="P418" i="310" s="1"/>
  <c r="P419" i="310" s="1"/>
  <c r="P420" i="310" s="1"/>
  <c r="P421" i="310" s="1"/>
  <c r="P422" i="310" s="1"/>
  <c r="P423" i="310" s="1"/>
  <c r="P424" i="310" s="1"/>
  <c r="P425" i="310" s="1"/>
  <c r="P426" i="310" s="1"/>
  <c r="P427" i="310" s="1"/>
  <c r="P428" i="310" s="1"/>
  <c r="P429" i="310" s="1"/>
  <c r="P430" i="310" s="1"/>
  <c r="P431" i="310" s="1"/>
  <c r="P432" i="310" s="1"/>
  <c r="P433" i="310" s="1"/>
  <c r="P434" i="310" s="1"/>
  <c r="P435" i="310" s="1"/>
  <c r="P436" i="310" s="1"/>
  <c r="P437" i="310" s="1"/>
  <c r="P438" i="310" s="1"/>
  <c r="P439" i="310" s="1"/>
  <c r="P440" i="310" s="1"/>
  <c r="P441" i="310" s="1"/>
  <c r="P442" i="310" s="1"/>
  <c r="P443" i="310" s="1"/>
  <c r="P444" i="310" s="1"/>
  <c r="P445" i="310" s="1"/>
  <c r="P446" i="310" s="1"/>
  <c r="P447" i="310" s="1"/>
  <c r="P448" i="310" s="1"/>
  <c r="P449" i="310" s="1"/>
  <c r="P450" i="310" s="1"/>
  <c r="P451" i="310" s="1"/>
  <c r="P452" i="310" s="1"/>
  <c r="P453" i="310" s="1"/>
  <c r="P454" i="310" s="1"/>
  <c r="P455" i="310" s="1"/>
  <c r="P456" i="310" s="1"/>
  <c r="P457" i="310" s="1"/>
  <c r="P458" i="310" s="1"/>
  <c r="P459" i="310" s="1"/>
  <c r="P460" i="310" s="1"/>
  <c r="P461" i="310" s="1"/>
  <c r="P462" i="310" s="1"/>
  <c r="P463" i="310" s="1"/>
  <c r="P464" i="310" s="1"/>
  <c r="P465" i="310" s="1"/>
  <c r="P466" i="310" s="1"/>
  <c r="P467" i="310" s="1"/>
  <c r="P468" i="310" s="1"/>
  <c r="P469" i="310" s="1"/>
  <c r="P470" i="310" s="1"/>
  <c r="P471" i="310" s="1"/>
  <c r="P472" i="310" s="1"/>
  <c r="P473" i="310" s="1"/>
  <c r="P474" i="310" s="1"/>
  <c r="P475" i="310" s="1"/>
  <c r="P476" i="310" s="1"/>
  <c r="P477" i="310" s="1"/>
  <c r="P478" i="310" s="1"/>
  <c r="P479" i="310" s="1"/>
  <c r="P480" i="310" s="1"/>
  <c r="P481" i="310" s="1"/>
  <c r="P482" i="310" s="1"/>
  <c r="P483" i="310" s="1"/>
  <c r="P484" i="310" s="1"/>
  <c r="P485" i="310" s="1"/>
  <c r="P486" i="310" s="1"/>
  <c r="P487" i="310" s="1"/>
  <c r="P488" i="310" s="1"/>
  <c r="P489" i="310" s="1"/>
  <c r="P490" i="310" s="1"/>
  <c r="P491" i="310" s="1"/>
  <c r="P492" i="310" s="1"/>
  <c r="P493" i="310" s="1"/>
  <c r="P494" i="310" s="1"/>
  <c r="P495" i="310" s="1"/>
  <c r="P496" i="310" s="1"/>
  <c r="P497" i="310" s="1"/>
  <c r="P498" i="310" s="1"/>
  <c r="P499" i="310" s="1"/>
  <c r="P500" i="310" s="1"/>
  <c r="P501" i="310" s="1"/>
  <c r="P502" i="310" s="1"/>
  <c r="P503" i="310" s="1"/>
  <c r="P504" i="310" s="1"/>
  <c r="P505" i="310" s="1"/>
  <c r="P506" i="310" s="1"/>
  <c r="P507" i="310" s="1"/>
  <c r="P508" i="310" s="1"/>
  <c r="P509" i="310" s="1"/>
  <c r="P510" i="310" s="1"/>
  <c r="P511" i="310" s="1"/>
  <c r="P512" i="310" s="1"/>
  <c r="P513" i="310" s="1"/>
  <c r="P514" i="310" s="1"/>
  <c r="P515" i="310" s="1"/>
  <c r="P516" i="310" s="1"/>
  <c r="P517" i="310" s="1"/>
  <c r="P518" i="310" s="1"/>
  <c r="P519" i="310" s="1"/>
  <c r="P520" i="310" s="1"/>
  <c r="P521" i="310" s="1"/>
  <c r="P522" i="310" s="1"/>
  <c r="P523" i="310" s="1"/>
  <c r="P524" i="310" s="1"/>
  <c r="P525" i="310" s="1"/>
  <c r="P526" i="310" s="1"/>
  <c r="P527" i="310" s="1"/>
  <c r="P528" i="310" s="1"/>
  <c r="P529" i="310" s="1"/>
  <c r="P530" i="310" s="1"/>
  <c r="H68" i="405"/>
  <c r="D29" i="388"/>
  <c r="H107" i="395"/>
  <c r="E15" i="388"/>
  <c r="C22" i="413"/>
  <c r="C20" i="413" s="1"/>
  <c r="G80" i="404"/>
  <c r="H80" i="404" s="1"/>
  <c r="G43" i="394"/>
  <c r="H43" i="394" s="1"/>
  <c r="G62" i="399"/>
  <c r="G17" i="393"/>
  <c r="H17" i="393" s="1"/>
  <c r="G22" i="397"/>
  <c r="C28" i="418"/>
  <c r="C26" i="418" s="1"/>
  <c r="E39" i="413"/>
  <c r="G120" i="405"/>
  <c r="H120" i="405" s="1"/>
  <c r="G61" i="388"/>
  <c r="I61" i="388" s="1"/>
  <c r="H37" i="394"/>
  <c r="G140" i="402"/>
  <c r="G53" i="403"/>
  <c r="H53" i="403" s="1"/>
  <c r="G31" i="401"/>
  <c r="H31" i="401" s="1"/>
  <c r="G114" i="401"/>
  <c r="H114" i="401" s="1"/>
  <c r="G123" i="393"/>
  <c r="H123" i="393" s="1"/>
  <c r="G92" i="408"/>
  <c r="H92" i="408" s="1"/>
  <c r="G66" i="408"/>
  <c r="G37" i="408"/>
  <c r="H37" i="408" s="1"/>
  <c r="G31" i="408"/>
  <c r="G111" i="389"/>
  <c r="H111" i="389" s="1"/>
  <c r="G93" i="389"/>
  <c r="H93" i="389" s="1"/>
  <c r="E41" i="413"/>
  <c r="G102" i="388"/>
  <c r="G125" i="404"/>
  <c r="G62" i="394"/>
  <c r="G17" i="402"/>
  <c r="H17" i="402" s="1"/>
  <c r="G124" i="402"/>
  <c r="H124" i="402" s="1"/>
  <c r="G44" i="403"/>
  <c r="H44" i="403" s="1"/>
  <c r="G157" i="393"/>
  <c r="I157" i="393" s="1"/>
  <c r="G142" i="396"/>
  <c r="H142" i="396" s="1"/>
  <c r="G65" i="408"/>
  <c r="G98" i="396"/>
  <c r="H98" i="396" s="1"/>
  <c r="G40" i="396"/>
  <c r="G92" i="392"/>
  <c r="H92" i="392" s="1"/>
  <c r="G101" i="407"/>
  <c r="H101" i="407" s="1"/>
  <c r="G66" i="389"/>
  <c r="H66" i="389" s="1"/>
  <c r="G43" i="408"/>
  <c r="H43" i="408" s="1"/>
  <c r="G143" i="407"/>
  <c r="H143" i="407" s="1"/>
  <c r="G141" i="389"/>
  <c r="H141" i="389" s="1"/>
  <c r="G62" i="389"/>
  <c r="G110" i="408"/>
  <c r="G58" i="397"/>
  <c r="G87" i="403"/>
  <c r="H87" i="403" s="1"/>
  <c r="G97" i="401"/>
  <c r="H97" i="401" s="1"/>
  <c r="G92" i="401"/>
  <c r="H92" i="401" s="1"/>
  <c r="G14" i="401"/>
  <c r="H14" i="401" s="1"/>
  <c r="G44" i="399"/>
  <c r="H44" i="399" s="1"/>
  <c r="G101" i="396"/>
  <c r="H101" i="396" s="1"/>
  <c r="G56" i="396"/>
  <c r="H56" i="396" s="1"/>
  <c r="G108" i="396"/>
  <c r="H108" i="396" s="1"/>
  <c r="G79" i="396"/>
  <c r="G120" i="396"/>
  <c r="H120" i="396" s="1"/>
  <c r="G107" i="408"/>
  <c r="G79" i="408"/>
  <c r="G30" i="408"/>
  <c r="G20" i="396"/>
  <c r="H20" i="396" s="1"/>
  <c r="G100" i="392"/>
  <c r="H100" i="392" s="1"/>
  <c r="G126" i="407"/>
  <c r="H126" i="407" s="1"/>
  <c r="G82" i="405"/>
  <c r="H82" i="405" s="1"/>
  <c r="G99" i="402"/>
  <c r="G59" i="402"/>
  <c r="H59" i="402" s="1"/>
  <c r="G159" i="401"/>
  <c r="G45" i="399"/>
  <c r="G101" i="399"/>
  <c r="H101" i="399" s="1"/>
  <c r="G111" i="393"/>
  <c r="G159" i="396"/>
  <c r="H159" i="396" s="1"/>
  <c r="G130" i="396"/>
  <c r="G126" i="408"/>
  <c r="H126" i="408" s="1"/>
  <c r="G131" i="395"/>
  <c r="H131" i="395" s="1"/>
  <c r="G86" i="395"/>
  <c r="G162" i="408"/>
  <c r="I162" i="408" s="1"/>
  <c r="G70" i="408"/>
  <c r="H70" i="408" s="1"/>
  <c r="G33" i="407"/>
  <c r="G95" i="389"/>
  <c r="G163" i="408"/>
  <c r="H163" i="408" s="1"/>
  <c r="G45" i="402"/>
  <c r="H45" i="402" s="1"/>
  <c r="G175" i="388"/>
  <c r="E102" i="417"/>
  <c r="E38" i="413"/>
  <c r="G31" i="388"/>
  <c r="H31" i="388" s="1"/>
  <c r="G158" i="388"/>
  <c r="I158" i="388" s="1"/>
  <c r="G45" i="404"/>
  <c r="G57" i="402"/>
  <c r="H57" i="402" s="1"/>
  <c r="G71" i="397"/>
  <c r="G80" i="401"/>
  <c r="G66" i="401"/>
  <c r="G126" i="399"/>
  <c r="H126" i="399" s="1"/>
  <c r="G140" i="393"/>
  <c r="I140" i="393" s="1"/>
  <c r="G123" i="408"/>
  <c r="G90" i="408"/>
  <c r="G117" i="389"/>
  <c r="G94" i="389"/>
  <c r="G40" i="389"/>
  <c r="G94" i="408"/>
  <c r="H94" i="408" s="1"/>
  <c r="G128" i="389"/>
  <c r="H128" i="389" s="1"/>
  <c r="G20" i="405"/>
  <c r="H20" i="405" s="1"/>
  <c r="G134" i="392"/>
  <c r="H134" i="392" s="1"/>
  <c r="G94" i="398"/>
  <c r="G86" i="407"/>
  <c r="G64" i="407"/>
  <c r="H64" i="407" s="1"/>
  <c r="G18" i="407"/>
  <c r="H18" i="407" s="1"/>
  <c r="G45" i="393"/>
  <c r="E70" i="416"/>
  <c r="G80" i="399"/>
  <c r="H80" i="399" s="1"/>
  <c r="G43" i="398"/>
  <c r="H43" i="398" s="1"/>
  <c r="G60" i="398"/>
  <c r="H60" i="398" s="1"/>
  <c r="G95" i="398"/>
  <c r="H95" i="398" s="1"/>
  <c r="G141" i="398"/>
  <c r="H141" i="398" s="1"/>
  <c r="G103" i="397"/>
  <c r="H103" i="397" s="1"/>
  <c r="G102" i="404"/>
  <c r="G137" i="405"/>
  <c r="H137" i="405" s="1"/>
  <c r="E49" i="418"/>
  <c r="E111" i="418"/>
  <c r="G111" i="403"/>
  <c r="H111" i="403" s="1"/>
  <c r="G135" i="404"/>
  <c r="H135" i="404" s="1"/>
  <c r="G114" i="402"/>
  <c r="G109" i="394"/>
  <c r="H109" i="394" s="1"/>
  <c r="G87" i="399"/>
  <c r="H87" i="399" s="1"/>
  <c r="G54" i="407"/>
  <c r="G158" i="396"/>
  <c r="G107" i="405"/>
  <c r="H107" i="405" s="1"/>
  <c r="G80" i="407"/>
  <c r="H80" i="407" s="1"/>
  <c r="G52" i="407"/>
  <c r="G16" i="405"/>
  <c r="H16" i="405" s="1"/>
  <c r="G90" i="394"/>
  <c r="H90" i="394" s="1"/>
  <c r="G42" i="398"/>
  <c r="H42" i="398" s="1"/>
  <c r="G131" i="397"/>
  <c r="H131" i="397" s="1"/>
  <c r="G158" i="407"/>
  <c r="E86" i="418"/>
  <c r="G94" i="404"/>
  <c r="H94" i="404" s="1"/>
  <c r="E117" i="418"/>
  <c r="G98" i="403"/>
  <c r="H98" i="403" s="1"/>
  <c r="G137" i="403"/>
  <c r="H137" i="403" s="1"/>
  <c r="G116" i="403"/>
  <c r="G63" i="399"/>
  <c r="G116" i="395"/>
  <c r="H116" i="395" s="1"/>
  <c r="G18" i="396"/>
  <c r="G130" i="404"/>
  <c r="H130" i="404" s="1"/>
  <c r="G126" i="394"/>
  <c r="H126" i="394" s="1"/>
  <c r="G44" i="401"/>
  <c r="H44" i="401" s="1"/>
  <c r="G87" i="393"/>
  <c r="G72" i="398"/>
  <c r="G101" i="398"/>
  <c r="H101" i="398" s="1"/>
  <c r="G111" i="395"/>
  <c r="G159" i="398"/>
  <c r="H159" i="398" s="1"/>
  <c r="G73" i="394"/>
  <c r="H73" i="394" s="1"/>
  <c r="G129" i="396"/>
  <c r="E32" i="405"/>
  <c r="E102" i="416"/>
  <c r="G157" i="395"/>
  <c r="H157" i="395" s="1"/>
  <c r="G112" i="398"/>
  <c r="H112" i="398" s="1"/>
  <c r="G59" i="407"/>
  <c r="H59" i="407" s="1"/>
  <c r="G22" i="407"/>
  <c r="G23" i="402"/>
  <c r="H23" i="402" s="1"/>
  <c r="G119" i="397"/>
  <c r="H119" i="397" s="1"/>
  <c r="G97" i="394"/>
  <c r="H97" i="394" s="1"/>
  <c r="G16" i="398"/>
  <c r="H16" i="398" s="1"/>
  <c r="G121" i="393"/>
  <c r="H121" i="393" s="1"/>
  <c r="G158" i="402"/>
  <c r="H158" i="402" s="1"/>
  <c r="G116" i="393"/>
  <c r="G74" i="398"/>
  <c r="H74" i="398" s="1"/>
  <c r="G159" i="394"/>
  <c r="H159" i="394" s="1"/>
  <c r="G91" i="397"/>
  <c r="H91" i="397" s="1"/>
  <c r="G103" i="392"/>
  <c r="G128" i="399"/>
  <c r="H128" i="399" s="1"/>
  <c r="G100" i="398"/>
  <c r="H100" i="398" s="1"/>
  <c r="G93" i="395"/>
  <c r="H93" i="395" s="1"/>
  <c r="G127" i="392"/>
  <c r="H127" i="392" s="1"/>
  <c r="G160" i="398"/>
  <c r="H160" i="398" s="1"/>
  <c r="G132" i="398"/>
  <c r="H132" i="398" s="1"/>
  <c r="G136" i="393"/>
  <c r="G133" i="393"/>
  <c r="H133" i="393" s="1"/>
  <c r="G43" i="388"/>
  <c r="H43" i="388" s="1"/>
  <c r="C33" i="339"/>
  <c r="G67" i="392"/>
  <c r="D23" i="397" a="1"/>
  <c r="D23" i="397" s="1"/>
  <c r="I23" i="397" s="1"/>
  <c r="I71" i="388"/>
  <c r="H124" i="405"/>
  <c r="H73" i="405"/>
  <c r="H135" i="395"/>
  <c r="H134" i="394"/>
  <c r="M99" i="385"/>
  <c r="H23" i="394"/>
  <c r="H104" i="394"/>
  <c r="F14" i="420" a="1"/>
  <c r="F14" i="420"/>
  <c r="H106" i="395"/>
  <c r="M146" i="386"/>
  <c r="M141" i="386" s="1"/>
  <c r="I63" i="392"/>
  <c r="G140" i="404"/>
  <c r="H140" i="404" s="1"/>
  <c r="G35" i="394"/>
  <c r="H35" i="394" s="1"/>
  <c r="G155" i="407"/>
  <c r="G26" i="407"/>
  <c r="H26" i="407" s="1"/>
  <c r="G52" i="404"/>
  <c r="G65" i="405"/>
  <c r="H65" i="405" s="1"/>
  <c r="G54" i="404"/>
  <c r="H54" i="404" s="1"/>
  <c r="G81" i="404"/>
  <c r="H81" i="404" s="1"/>
  <c r="I69" i="405"/>
  <c r="I118" i="388"/>
  <c r="I96" i="394"/>
  <c r="H137" i="395"/>
  <c r="K47" i="386"/>
  <c r="H80" i="394"/>
  <c r="G124" i="394"/>
  <c r="H124" i="394" s="1"/>
  <c r="G62" i="392"/>
  <c r="H62" i="392" s="1"/>
  <c r="G116" i="398"/>
  <c r="H116" i="398" s="1"/>
  <c r="G52" i="393"/>
  <c r="G67" i="388"/>
  <c r="G95" i="399"/>
  <c r="G175" i="360"/>
  <c r="G177" i="360" s="1"/>
  <c r="H177" i="360" s="1"/>
  <c r="G158" i="389"/>
  <c r="G80" i="396"/>
  <c r="H80" i="396" s="1"/>
  <c r="G118" i="396"/>
  <c r="H118" i="396" s="1"/>
  <c r="G68" i="392"/>
  <c r="H68" i="392" s="1"/>
  <c r="G69" i="407"/>
  <c r="G66" i="394"/>
  <c r="H66" i="394" s="1"/>
  <c r="C31" i="412"/>
  <c r="C31" i="416"/>
  <c r="E32" i="388"/>
  <c r="G113" i="401"/>
  <c r="G16" i="388"/>
  <c r="G66" i="398"/>
  <c r="H66" i="398" s="1"/>
  <c r="G136" i="407"/>
  <c r="H136" i="407" s="1"/>
  <c r="G108" i="407"/>
  <c r="H108" i="407" s="1"/>
  <c r="G34" i="394"/>
  <c r="H34" i="394" s="1"/>
  <c r="G16" i="402"/>
  <c r="E103" i="416"/>
  <c r="G87" i="388"/>
  <c r="H87" i="388" s="1"/>
  <c r="G102" i="399"/>
  <c r="H102" i="399" s="1"/>
  <c r="G91" i="398"/>
  <c r="H91" i="398" s="1"/>
  <c r="E11" i="405"/>
  <c r="E9" i="405" s="1"/>
  <c r="G126" i="401"/>
  <c r="H126" i="401" s="1"/>
  <c r="G137" i="399"/>
  <c r="H137" i="399" s="1"/>
  <c r="G71" i="398"/>
  <c r="G161" i="395"/>
  <c r="H161" i="395" s="1"/>
  <c r="G90" i="396"/>
  <c r="H90" i="396" s="1"/>
  <c r="G34" i="405"/>
  <c r="H34" i="405" s="1"/>
  <c r="G124" i="388"/>
  <c r="G53" i="393"/>
  <c r="G155" i="396"/>
  <c r="H155" i="396" s="1"/>
  <c r="E135" i="418"/>
  <c r="G131" i="399"/>
  <c r="H131" i="399" s="1"/>
  <c r="G113" i="399"/>
  <c r="H113" i="399" s="1"/>
  <c r="G122" i="394"/>
  <c r="H122" i="394" s="1"/>
  <c r="G71" i="394"/>
  <c r="G107" i="398"/>
  <c r="H107" i="398" s="1"/>
  <c r="G112" i="407"/>
  <c r="E139" i="395"/>
  <c r="G135" i="397"/>
  <c r="H135" i="397" s="1"/>
  <c r="G54" i="396"/>
  <c r="H54" i="396" s="1"/>
  <c r="G158" i="405"/>
  <c r="G103" i="404"/>
  <c r="G64" i="405"/>
  <c r="H64" i="405" s="1"/>
  <c r="G57" i="395"/>
  <c r="H57" i="395" s="1"/>
  <c r="G157" i="394"/>
  <c r="G131" i="398"/>
  <c r="H131" i="398" s="1"/>
  <c r="G119" i="404"/>
  <c r="H119" i="404" s="1"/>
  <c r="G126" i="405"/>
  <c r="H126" i="405" s="1"/>
  <c r="E29" i="393"/>
  <c r="E27" i="393" s="1"/>
  <c r="G28" i="404"/>
  <c r="H28" i="404" s="1"/>
  <c r="H67" i="395"/>
  <c r="H34" i="395"/>
  <c r="H17" i="407"/>
  <c r="H127" i="398"/>
  <c r="H61" i="398"/>
  <c r="H163" i="397"/>
  <c r="H87" i="395"/>
  <c r="H43" i="392"/>
  <c r="H114" i="395"/>
  <c r="H38" i="395"/>
  <c r="H127" i="407"/>
  <c r="H103" i="407"/>
  <c r="H35" i="395"/>
  <c r="H30" i="397"/>
  <c r="H81" i="405"/>
  <c r="H41" i="398"/>
  <c r="H113" i="395"/>
  <c r="H85" i="407"/>
  <c r="H13" i="407"/>
  <c r="H31" i="395"/>
  <c r="H74" i="392"/>
  <c r="H100" i="407"/>
  <c r="H44" i="397"/>
  <c r="H14" i="405"/>
  <c r="H119" i="407"/>
  <c r="H26" i="395"/>
  <c r="H162" i="399"/>
  <c r="H110" i="405"/>
  <c r="H60" i="405"/>
  <c r="H99" i="397"/>
  <c r="H162" i="392"/>
  <c r="H163" i="395"/>
  <c r="H91" i="407"/>
  <c r="I28" i="388"/>
  <c r="H142" i="397"/>
  <c r="H131" i="392"/>
  <c r="H93" i="407"/>
  <c r="H57" i="407"/>
  <c r="K14" i="420" a="1"/>
  <c r="K14" i="420"/>
  <c r="H128" i="398"/>
  <c r="H115" i="398"/>
  <c r="H13" i="398"/>
  <c r="H132" i="397"/>
  <c r="H155" i="397"/>
  <c r="H124" i="397"/>
  <c r="H121" i="397"/>
  <c r="H132" i="395"/>
  <c r="H89" i="395"/>
  <c r="H45" i="392"/>
  <c r="H90" i="407"/>
  <c r="H45" i="407"/>
  <c r="H34" i="407"/>
  <c r="H95" i="395"/>
  <c r="H42" i="395"/>
  <c r="H128" i="407"/>
  <c r="H35" i="397"/>
  <c r="H52" i="388"/>
  <c r="H35" i="405"/>
  <c r="H17" i="405"/>
  <c r="H86" i="392"/>
  <c r="G119" i="405"/>
  <c r="H119" i="405" s="1"/>
  <c r="C28" i="417"/>
  <c r="C26" i="417" s="1"/>
  <c r="G110" i="404"/>
  <c r="H110" i="404" s="1"/>
  <c r="G70" i="404"/>
  <c r="H70" i="404" s="1"/>
  <c r="G45" i="388"/>
  <c r="H45" i="388" s="1"/>
  <c r="E88" i="416"/>
  <c r="E15" i="402"/>
  <c r="E32" i="394"/>
  <c r="E36" i="396"/>
  <c r="E36" i="402"/>
  <c r="E164" i="401"/>
  <c r="G89" i="401"/>
  <c r="G53" i="397"/>
  <c r="G71" i="395"/>
  <c r="I71" i="395" s="1"/>
  <c r="G110" i="395"/>
  <c r="H110" i="395" s="1"/>
  <c r="G158" i="392"/>
  <c r="G98" i="395"/>
  <c r="H98" i="395" s="1"/>
  <c r="G142" i="392"/>
  <c r="H142" i="392" s="1"/>
  <c r="G13" i="402"/>
  <c r="C28" i="412"/>
  <c r="C26" i="412" s="1"/>
  <c r="F32" i="405"/>
  <c r="C12" i="412"/>
  <c r="C10" i="412" s="1"/>
  <c r="G122" i="388"/>
  <c r="H122" i="388" s="1"/>
  <c r="G111" i="402"/>
  <c r="H111" i="402" s="1"/>
  <c r="G122" i="395"/>
  <c r="H122" i="395" s="1"/>
  <c r="E139" i="394"/>
  <c r="G140" i="394"/>
  <c r="G88" i="393"/>
  <c r="H88" i="393" s="1"/>
  <c r="G67" i="398"/>
  <c r="G115" i="395"/>
  <c r="G118" i="407"/>
  <c r="G120" i="397"/>
  <c r="H120" i="397" s="1"/>
  <c r="G95" i="404"/>
  <c r="G162" i="405"/>
  <c r="H162" i="405" s="1"/>
  <c r="G17" i="395"/>
  <c r="H17" i="395" s="1"/>
  <c r="G89" i="405"/>
  <c r="H89" i="405" s="1"/>
  <c r="G53" i="392"/>
  <c r="G40" i="393"/>
  <c r="H40" i="393" s="1"/>
  <c r="E120" i="416"/>
  <c r="E108" i="416"/>
  <c r="G44" i="395"/>
  <c r="H44" i="395" s="1"/>
  <c r="G157" i="389"/>
  <c r="H157" i="389" s="1"/>
  <c r="G134" i="404"/>
  <c r="H134" i="404" s="1"/>
  <c r="G98" i="402"/>
  <c r="H98" i="402" s="1"/>
  <c r="G30" i="394"/>
  <c r="H30" i="394" s="1"/>
  <c r="G103" i="394"/>
  <c r="H103" i="394" s="1"/>
  <c r="G86" i="394"/>
  <c r="G93" i="399"/>
  <c r="H93" i="399" s="1"/>
  <c r="G127" i="393"/>
  <c r="H127" i="393" s="1"/>
  <c r="G119" i="402"/>
  <c r="G73" i="402"/>
  <c r="H73" i="402" s="1"/>
  <c r="G93" i="388"/>
  <c r="H93" i="388" s="1"/>
  <c r="F29" i="404"/>
  <c r="F27" i="404" s="1"/>
  <c r="E95" i="418"/>
  <c r="G80" i="402"/>
  <c r="H80" i="402" s="1"/>
  <c r="G135" i="403"/>
  <c r="G128" i="401"/>
  <c r="H128" i="401" s="1"/>
  <c r="G115" i="401"/>
  <c r="G30" i="401"/>
  <c r="H30" i="401" s="1"/>
  <c r="G108" i="399"/>
  <c r="H108" i="399" s="1"/>
  <c r="G68" i="393"/>
  <c r="H68" i="393" s="1"/>
  <c r="G74" i="396"/>
  <c r="H74" i="396" s="1"/>
  <c r="G112" i="396"/>
  <c r="G87" i="398"/>
  <c r="H87" i="398" s="1"/>
  <c r="G120" i="398"/>
  <c r="H120" i="398" s="1"/>
  <c r="G71" i="399"/>
  <c r="G113" i="398"/>
  <c r="H113" i="398" s="1"/>
  <c r="G43" i="396"/>
  <c r="H43" i="396" s="1"/>
  <c r="G175" i="404"/>
  <c r="E115" i="413"/>
  <c r="E76" i="418"/>
  <c r="E52" i="418"/>
  <c r="E136" i="418"/>
  <c r="G131" i="402"/>
  <c r="H131" i="402" s="1"/>
  <c r="G130" i="403"/>
  <c r="H130" i="403" s="1"/>
  <c r="G70" i="403"/>
  <c r="G158" i="393"/>
  <c r="H158" i="393" s="1"/>
  <c r="G60" i="392"/>
  <c r="H60" i="392" s="1"/>
  <c r="G14" i="396"/>
  <c r="H14" i="396" s="1"/>
  <c r="G90" i="392"/>
  <c r="I90" i="392" s="1"/>
  <c r="G122" i="408"/>
  <c r="H122" i="408" s="1"/>
  <c r="E134" i="417"/>
  <c r="G135" i="405"/>
  <c r="H135" i="405" s="1"/>
  <c r="G117" i="405"/>
  <c r="H117" i="405" s="1"/>
  <c r="E18" i="418"/>
  <c r="E51" i="418"/>
  <c r="G110" i="403"/>
  <c r="H110" i="403" s="1"/>
  <c r="G114" i="403"/>
  <c r="H114" i="403" s="1"/>
  <c r="G132" i="403"/>
  <c r="G68" i="399"/>
  <c r="G132" i="399"/>
  <c r="H132" i="399" s="1"/>
  <c r="G140" i="399"/>
  <c r="G39" i="393"/>
  <c r="H39" i="393" s="1"/>
  <c r="G129" i="392"/>
  <c r="H129" i="392" s="1"/>
  <c r="G134" i="396"/>
  <c r="H134" i="396" s="1"/>
  <c r="G37" i="395"/>
  <c r="H37" i="395" s="1"/>
  <c r="G116" i="392"/>
  <c r="H116" i="392" s="1"/>
  <c r="G44" i="407"/>
  <c r="H44" i="407" s="1"/>
  <c r="G107" i="404"/>
  <c r="H107" i="404" s="1"/>
  <c r="G155" i="405"/>
  <c r="H155" i="405" s="1"/>
  <c r="C16" i="412"/>
  <c r="C12" i="418"/>
  <c r="C10" i="418" s="1"/>
  <c r="E54" i="413"/>
  <c r="G106" i="405"/>
  <c r="H106" i="405" s="1"/>
  <c r="G85" i="405"/>
  <c r="E164" i="388"/>
  <c r="G101" i="394"/>
  <c r="H101" i="394" s="1"/>
  <c r="E37" i="417"/>
  <c r="E53" i="413"/>
  <c r="E133" i="418"/>
  <c r="G59" i="398"/>
  <c r="G85" i="403"/>
  <c r="H85" i="403" s="1"/>
  <c r="G112" i="403"/>
  <c r="H112" i="403" s="1"/>
  <c r="G99" i="401"/>
  <c r="G20" i="401"/>
  <c r="G52" i="401"/>
  <c r="G155" i="393"/>
  <c r="H155" i="393" s="1"/>
  <c r="G158" i="401"/>
  <c r="I158" i="401" s="1"/>
  <c r="G120" i="399"/>
  <c r="G82" i="393"/>
  <c r="G157" i="396"/>
  <c r="H157" i="396" s="1"/>
  <c r="G128" i="396"/>
  <c r="E60" i="416"/>
  <c r="E120" i="413"/>
  <c r="G133" i="394"/>
  <c r="H133" i="394" s="1"/>
  <c r="G101" i="393"/>
  <c r="G12" i="399"/>
  <c r="H12" i="399" s="1"/>
  <c r="G30" i="399"/>
  <c r="G38" i="398"/>
  <c r="H38" i="398" s="1"/>
  <c r="G158" i="397"/>
  <c r="H158" i="397" s="1"/>
  <c r="G109" i="388"/>
  <c r="E17" i="416"/>
  <c r="G13" i="404"/>
  <c r="H13" i="404" s="1"/>
  <c r="G162" i="404"/>
  <c r="H162" i="404" s="1"/>
  <c r="G89" i="402"/>
  <c r="H89" i="402" s="1"/>
  <c r="G102" i="393"/>
  <c r="H102" i="393" s="1"/>
  <c r="G156" i="403"/>
  <c r="H156" i="403" s="1"/>
  <c r="G64" i="396"/>
  <c r="H64" i="396" s="1"/>
  <c r="G38" i="396"/>
  <c r="G131" i="396"/>
  <c r="H131" i="396" s="1"/>
  <c r="G108" i="392"/>
  <c r="G141" i="408"/>
  <c r="H141" i="408" s="1"/>
  <c r="G134" i="407"/>
  <c r="H134" i="407" s="1"/>
  <c r="G37" i="402"/>
  <c r="G125" i="398"/>
  <c r="G86" i="398"/>
  <c r="G83" i="398"/>
  <c r="H83" i="398" s="1"/>
  <c r="G132" i="404"/>
  <c r="E44" i="418"/>
  <c r="G104" i="388"/>
  <c r="H104" i="388" s="1"/>
  <c r="E33" i="418"/>
  <c r="E61" i="418"/>
  <c r="E87" i="418"/>
  <c r="G126" i="402"/>
  <c r="G106" i="398"/>
  <c r="H106" i="398" s="1"/>
  <c r="G128" i="403"/>
  <c r="G160" i="403"/>
  <c r="H160" i="403" s="1"/>
  <c r="G64" i="401"/>
  <c r="G90" i="401"/>
  <c r="I90" i="401" s="1"/>
  <c r="G37" i="393"/>
  <c r="G96" i="399"/>
  <c r="H96" i="399" s="1"/>
  <c r="G163" i="399"/>
  <c r="H163" i="399" s="1"/>
  <c r="G109" i="393"/>
  <c r="G71" i="396"/>
  <c r="G113" i="396"/>
  <c r="H113" i="396" s="1"/>
  <c r="G85" i="392"/>
  <c r="I85" i="392" s="1"/>
  <c r="G126" i="392"/>
  <c r="H126" i="392" s="1"/>
  <c r="G118" i="408"/>
  <c r="G108" i="394"/>
  <c r="H108" i="394" s="1"/>
  <c r="G60" i="399"/>
  <c r="H60" i="399" s="1"/>
  <c r="G79" i="398"/>
  <c r="H79" i="398" s="1"/>
  <c r="G58" i="398"/>
  <c r="I58" i="398" s="1"/>
  <c r="G105" i="398"/>
  <c r="H105" i="398" s="1"/>
  <c r="G145" i="389"/>
  <c r="H145" i="389" s="1"/>
  <c r="E85" i="412"/>
  <c r="E80" i="416"/>
  <c r="E119" i="413"/>
  <c r="G57" i="388"/>
  <c r="H57" i="388" s="1"/>
  <c r="G155" i="404"/>
  <c r="H155" i="404" s="1"/>
  <c r="E98" i="418"/>
  <c r="E48" i="418"/>
  <c r="E101" i="418"/>
  <c r="G107" i="403"/>
  <c r="H107" i="403" s="1"/>
  <c r="G94" i="402"/>
  <c r="H94" i="402" s="1"/>
  <c r="G28" i="398"/>
  <c r="H28" i="398" s="1"/>
  <c r="G129" i="403"/>
  <c r="H129" i="403" s="1"/>
  <c r="G79" i="401"/>
  <c r="H79" i="401" s="1"/>
  <c r="G115" i="399"/>
  <c r="H115" i="399" s="1"/>
  <c r="G109" i="396"/>
  <c r="H109" i="396" s="1"/>
  <c r="G97" i="396"/>
  <c r="H97" i="396" s="1"/>
  <c r="G41" i="396"/>
  <c r="H41" i="396" s="1"/>
  <c r="G117" i="396"/>
  <c r="G61" i="396"/>
  <c r="G123" i="398"/>
  <c r="H123" i="398" s="1"/>
  <c r="E139" i="398"/>
  <c r="G108" i="398"/>
  <c r="H108" i="398" s="1"/>
  <c r="G117" i="398"/>
  <c r="H117" i="398" s="1"/>
  <c r="G140" i="398"/>
  <c r="G100" i="397"/>
  <c r="H100" i="397" s="1"/>
  <c r="G111" i="397"/>
  <c r="H111" i="397" s="1"/>
  <c r="G97" i="395"/>
  <c r="H97" i="395" s="1"/>
  <c r="G54" i="388"/>
  <c r="H54" i="388" s="1"/>
  <c r="G72" i="388"/>
  <c r="H72" i="388" s="1"/>
  <c r="E137" i="416"/>
  <c r="E25" i="416"/>
  <c r="E39" i="416"/>
  <c r="C22" i="417"/>
  <c r="C20" i="417" s="1"/>
  <c r="C12" i="413"/>
  <c r="C10" i="413" s="1"/>
  <c r="E11" i="413"/>
  <c r="C22" i="418"/>
  <c r="C20" i="418" s="1"/>
  <c r="G13" i="388"/>
  <c r="H13" i="388" s="1"/>
  <c r="G44" i="405"/>
  <c r="H44" i="405" s="1"/>
  <c r="G123" i="388"/>
  <c r="H123" i="388" s="1"/>
  <c r="G141" i="388"/>
  <c r="H141" i="388" s="1"/>
  <c r="G120" i="404"/>
  <c r="H120" i="404" s="1"/>
  <c r="G97" i="388"/>
  <c r="H97" i="388" s="1"/>
  <c r="G59" i="394"/>
  <c r="H59" i="394" s="1"/>
  <c r="E115" i="418"/>
  <c r="G128" i="402"/>
  <c r="H128" i="402" s="1"/>
  <c r="H98" i="398"/>
  <c r="G133" i="397"/>
  <c r="H133" i="397" s="1"/>
  <c r="G133" i="403"/>
  <c r="G120" i="401"/>
  <c r="G136" i="399"/>
  <c r="H136" i="399" s="1"/>
  <c r="G107" i="393"/>
  <c r="H107" i="393" s="1"/>
  <c r="G72" i="396"/>
  <c r="H72" i="396" s="1"/>
  <c r="G60" i="408"/>
  <c r="H60" i="408" s="1"/>
  <c r="G26" i="389"/>
  <c r="G158" i="395"/>
  <c r="I158" i="395" s="1"/>
  <c r="G108" i="395"/>
  <c r="H108" i="395" s="1"/>
  <c r="G65" i="392"/>
  <c r="H65" i="392" s="1"/>
  <c r="G23" i="408"/>
  <c r="H23" i="408" s="1"/>
  <c r="G105" i="408"/>
  <c r="G56" i="407"/>
  <c r="G92" i="389"/>
  <c r="G12" i="389"/>
  <c r="H12" i="389" s="1"/>
  <c r="G156" i="388"/>
  <c r="G56" i="388"/>
  <c r="I56" i="388" s="1"/>
  <c r="G26" i="405"/>
  <c r="H26" i="405" s="1"/>
  <c r="G83" i="402"/>
  <c r="H83" i="402" s="1"/>
  <c r="G60" i="394"/>
  <c r="H60" i="394" s="1"/>
  <c r="G117" i="394"/>
  <c r="H117" i="394" s="1"/>
  <c r="G141" i="393"/>
  <c r="H141" i="393" s="1"/>
  <c r="G120" i="392"/>
  <c r="H120" i="392" s="1"/>
  <c r="G72" i="397"/>
  <c r="I72" i="397" s="1"/>
  <c r="G59" i="397"/>
  <c r="H59" i="397" s="1"/>
  <c r="G54" i="395"/>
  <c r="H54" i="395" s="1"/>
  <c r="G132" i="392"/>
  <c r="H132" i="392" s="1"/>
  <c r="G30" i="392"/>
  <c r="G29" i="392" s="1"/>
  <c r="G74" i="404"/>
  <c r="E106" i="417"/>
  <c r="E56" i="417"/>
  <c r="E76" i="416"/>
  <c r="E54" i="418"/>
  <c r="G95" i="388"/>
  <c r="G84" i="405"/>
  <c r="H84" i="405" s="1"/>
  <c r="G79" i="403"/>
  <c r="G101" i="402"/>
  <c r="H101" i="402" s="1"/>
  <c r="G96" i="403"/>
  <c r="I96" i="403" s="1"/>
  <c r="G113" i="403"/>
  <c r="H113" i="403" s="1"/>
  <c r="G110" i="401"/>
  <c r="G71" i="401"/>
  <c r="H71" i="401" s="1"/>
  <c r="G107" i="399"/>
  <c r="H107" i="399" s="1"/>
  <c r="G42" i="393"/>
  <c r="H42" i="393" s="1"/>
  <c r="G124" i="396"/>
  <c r="G136" i="396"/>
  <c r="G83" i="395"/>
  <c r="H83" i="395" s="1"/>
  <c r="G95" i="392"/>
  <c r="G125" i="408"/>
  <c r="H125" i="408" s="1"/>
  <c r="G140" i="407"/>
  <c r="I140" i="407" s="1"/>
  <c r="G114" i="389"/>
  <c r="H114" i="389" s="1"/>
  <c r="G86" i="408"/>
  <c r="I86" i="408" s="1"/>
  <c r="G80" i="395"/>
  <c r="H80" i="395" s="1"/>
  <c r="E77" i="413"/>
  <c r="G44" i="388"/>
  <c r="I44" i="388" s="1"/>
  <c r="G69" i="388"/>
  <c r="H69" i="388" s="1"/>
  <c r="G96" i="402"/>
  <c r="I96" i="402" s="1"/>
  <c r="G157" i="401"/>
  <c r="I157" i="401" s="1"/>
  <c r="G175" i="395"/>
  <c r="E25" i="418"/>
  <c r="E81" i="418"/>
  <c r="E42" i="418"/>
  <c r="E69" i="418"/>
  <c r="G130" i="405"/>
  <c r="H130" i="405" s="1"/>
  <c r="F29" i="405"/>
  <c r="F27" i="405" s="1"/>
  <c r="G54" i="402"/>
  <c r="G79" i="394"/>
  <c r="G72" i="395"/>
  <c r="I72" i="395" s="1"/>
  <c r="G134" i="403"/>
  <c r="H134" i="403" s="1"/>
  <c r="G73" i="403"/>
  <c r="G117" i="403"/>
  <c r="H117" i="403" s="1"/>
  <c r="G142" i="403"/>
  <c r="H142" i="403" s="1"/>
  <c r="G105" i="399"/>
  <c r="H105" i="399" s="1"/>
  <c r="G115" i="393"/>
  <c r="G127" i="396"/>
  <c r="G22" i="408"/>
  <c r="H22" i="408" s="1"/>
  <c r="G126" i="389"/>
  <c r="G93" i="408"/>
  <c r="H93" i="408" s="1"/>
  <c r="G133" i="407"/>
  <c r="H133" i="407" s="1"/>
  <c r="G108" i="389"/>
  <c r="E41" i="416"/>
  <c r="G127" i="388"/>
  <c r="H127" i="388" s="1"/>
  <c r="G39" i="388"/>
  <c r="H39" i="388" s="1"/>
  <c r="G17" i="404"/>
  <c r="H17" i="404" s="1"/>
  <c r="G130" i="402"/>
  <c r="H130" i="402" s="1"/>
  <c r="E80" i="413"/>
  <c r="G83" i="394"/>
  <c r="H83" i="394" s="1"/>
  <c r="G126" i="398"/>
  <c r="H126" i="398" s="1"/>
  <c r="G87" i="394"/>
  <c r="H87" i="394" s="1"/>
  <c r="G110" i="399"/>
  <c r="H110" i="399" s="1"/>
  <c r="G127" i="397"/>
  <c r="H127" i="397" s="1"/>
  <c r="G115" i="407"/>
  <c r="H115" i="407" s="1"/>
  <c r="G81" i="396"/>
  <c r="G23" i="407"/>
  <c r="H23" i="407" s="1"/>
  <c r="G128" i="395"/>
  <c r="H128" i="395" s="1"/>
  <c r="G23" i="395"/>
  <c r="H23" i="395" s="1"/>
  <c r="G94" i="393"/>
  <c r="H94" i="393" s="1"/>
  <c r="G103" i="402"/>
  <c r="G99" i="388"/>
  <c r="G95" i="405"/>
  <c r="H95" i="405" s="1"/>
  <c r="E110" i="413"/>
  <c r="G41" i="394"/>
  <c r="H41" i="394" s="1"/>
  <c r="G18" i="402"/>
  <c r="H18" i="402" s="1"/>
  <c r="G133" i="402"/>
  <c r="H133" i="402" s="1"/>
  <c r="G63" i="401"/>
  <c r="H63" i="401" s="1"/>
  <c r="G39" i="399"/>
  <c r="H39" i="399" s="1"/>
  <c r="G120" i="393"/>
  <c r="G116" i="396"/>
  <c r="H116" i="396" s="1"/>
  <c r="G41" i="408"/>
  <c r="H41" i="408" s="1"/>
  <c r="G60" i="389"/>
  <c r="G115" i="396"/>
  <c r="G87" i="392"/>
  <c r="H87" i="392" s="1"/>
  <c r="G63" i="408"/>
  <c r="I63" i="408" s="1"/>
  <c r="G83" i="407"/>
  <c r="H83" i="407" s="1"/>
  <c r="G20" i="407"/>
  <c r="H20" i="407" s="1"/>
  <c r="G115" i="392"/>
  <c r="H115" i="392" s="1"/>
  <c r="G68" i="408"/>
  <c r="H68" i="408" s="1"/>
  <c r="G123" i="407"/>
  <c r="H123" i="407" s="1"/>
  <c r="G83" i="389"/>
  <c r="G64" i="408"/>
  <c r="G127" i="404"/>
  <c r="H127" i="404" s="1"/>
  <c r="G123" i="405"/>
  <c r="H123" i="405" s="1"/>
  <c r="G160" i="394"/>
  <c r="H160" i="394" s="1"/>
  <c r="G89" i="394"/>
  <c r="G61" i="399"/>
  <c r="G157" i="398"/>
  <c r="H157" i="398" s="1"/>
  <c r="G22" i="398"/>
  <c r="H22" i="398" s="1"/>
  <c r="G105" i="394"/>
  <c r="H105" i="394" s="1"/>
  <c r="G69" i="399"/>
  <c r="G82" i="399"/>
  <c r="G55" i="398"/>
  <c r="G111" i="398"/>
  <c r="H111" i="398" s="1"/>
  <c r="G88" i="397"/>
  <c r="H88" i="397" s="1"/>
  <c r="G141" i="407"/>
  <c r="H141" i="407" s="1"/>
  <c r="G111" i="407"/>
  <c r="H111" i="407" s="1"/>
  <c r="G16" i="407"/>
  <c r="G12" i="397"/>
  <c r="G54" i="405"/>
  <c r="H54" i="405" s="1"/>
  <c r="G67" i="405"/>
  <c r="H67" i="405" s="1"/>
  <c r="E56" i="418"/>
  <c r="G44" i="402"/>
  <c r="H44" i="402" s="1"/>
  <c r="G40" i="398"/>
  <c r="G161" i="403"/>
  <c r="H161" i="403" s="1"/>
  <c r="G37" i="396"/>
  <c r="H37" i="396" s="1"/>
  <c r="G143" i="389"/>
  <c r="G105" i="396"/>
  <c r="G87" i="408"/>
  <c r="G105" i="407"/>
  <c r="H105" i="407" s="1"/>
  <c r="G135" i="389"/>
  <c r="H135" i="389" s="1"/>
  <c r="G64" i="389"/>
  <c r="H64" i="389" s="1"/>
  <c r="G88" i="389"/>
  <c r="I88" i="389" s="1"/>
  <c r="G98" i="407"/>
  <c r="H98" i="407" s="1"/>
  <c r="G44" i="404"/>
  <c r="H44" i="404" s="1"/>
  <c r="G88" i="399"/>
  <c r="H88" i="399" s="1"/>
  <c r="G89" i="398"/>
  <c r="G136" i="398"/>
  <c r="H136" i="398" s="1"/>
  <c r="G117" i="397"/>
  <c r="H117" i="397" s="1"/>
  <c r="G162" i="395"/>
  <c r="H162" i="395" s="1"/>
  <c r="G112" i="397"/>
  <c r="H112" i="397" s="1"/>
  <c r="G65" i="395"/>
  <c r="H65" i="395" s="1"/>
  <c r="G13" i="395"/>
  <c r="H13" i="395" s="1"/>
  <c r="G89" i="392"/>
  <c r="H89" i="392" s="1"/>
  <c r="G34" i="392"/>
  <c r="G23" i="404"/>
  <c r="H23" i="404" s="1"/>
  <c r="G43" i="402"/>
  <c r="H43" i="402" s="1"/>
  <c r="E48" i="412"/>
  <c r="E107" i="416"/>
  <c r="G106" i="388"/>
  <c r="H106" i="388" s="1"/>
  <c r="G100" i="404"/>
  <c r="G160" i="404"/>
  <c r="H160" i="404" s="1"/>
  <c r="G42" i="404"/>
  <c r="H42" i="404" s="1"/>
  <c r="G79" i="402"/>
  <c r="G86" i="397"/>
  <c r="H86" i="397" s="1"/>
  <c r="G43" i="403"/>
  <c r="H43" i="403" s="1"/>
  <c r="G108" i="403"/>
  <c r="H108" i="403" s="1"/>
  <c r="G111" i="401"/>
  <c r="G20" i="399"/>
  <c r="H20" i="399" s="1"/>
  <c r="G70" i="399"/>
  <c r="G137" i="393"/>
  <c r="H137" i="393" s="1"/>
  <c r="G12" i="393"/>
  <c r="G79" i="393"/>
  <c r="H79" i="393" s="1"/>
  <c r="G26" i="396"/>
  <c r="G73" i="396"/>
  <c r="G57" i="392"/>
  <c r="H57" i="392" s="1"/>
  <c r="G131" i="408"/>
  <c r="H131" i="408" s="1"/>
  <c r="G108" i="408"/>
  <c r="H108" i="408" s="1"/>
  <c r="G61" i="407"/>
  <c r="G89" i="389"/>
  <c r="G61" i="389"/>
  <c r="H61" i="389" s="1"/>
  <c r="G70" i="396"/>
  <c r="H70" i="396" s="1"/>
  <c r="G109" i="395"/>
  <c r="H109" i="395" s="1"/>
  <c r="G109" i="408"/>
  <c r="G137" i="389"/>
  <c r="G86" i="405"/>
  <c r="H86" i="405" s="1"/>
  <c r="G124" i="399"/>
  <c r="H124" i="399" s="1"/>
  <c r="G155" i="398"/>
  <c r="H155" i="398" s="1"/>
  <c r="G42" i="399"/>
  <c r="H42" i="399" s="1"/>
  <c r="G125" i="399"/>
  <c r="G90" i="398"/>
  <c r="G14" i="397"/>
  <c r="H14" i="397" s="1"/>
  <c r="E66" i="416"/>
  <c r="G72" i="405"/>
  <c r="G35" i="398"/>
  <c r="H35" i="398" s="1"/>
  <c r="G161" i="397"/>
  <c r="H161" i="397" s="1"/>
  <c r="G111" i="392"/>
  <c r="G96" i="396"/>
  <c r="G103" i="405"/>
  <c r="H103" i="405" s="1"/>
  <c r="G38" i="394"/>
  <c r="H38" i="394" s="1"/>
  <c r="G37" i="399"/>
  <c r="H37" i="399" s="1"/>
  <c r="G86" i="393"/>
  <c r="G117" i="393"/>
  <c r="G20" i="398"/>
  <c r="H20" i="398" s="1"/>
  <c r="G130" i="397"/>
  <c r="H130" i="397" s="1"/>
  <c r="G155" i="395"/>
  <c r="H155" i="395" s="1"/>
  <c r="G81" i="395"/>
  <c r="H81" i="395" s="1"/>
  <c r="G135" i="407"/>
  <c r="H135" i="407" s="1"/>
  <c r="G39" i="392"/>
  <c r="G102" i="396"/>
  <c r="G30" i="388"/>
  <c r="I30" i="388" s="1"/>
  <c r="G161" i="401"/>
  <c r="H161" i="401" s="1"/>
  <c r="G109" i="398"/>
  <c r="H109" i="398" s="1"/>
  <c r="G17" i="397"/>
  <c r="G43" i="397"/>
  <c r="H43" i="397" s="1"/>
  <c r="G83" i="397"/>
  <c r="G53" i="395"/>
  <c r="G96" i="407"/>
  <c r="G82" i="392"/>
  <c r="G175" i="407"/>
  <c r="I175" i="407" s="1"/>
  <c r="G54" i="394"/>
  <c r="G113" i="394"/>
  <c r="H113" i="394" s="1"/>
  <c r="G56" i="399"/>
  <c r="H56" i="399" s="1"/>
  <c r="G64" i="398"/>
  <c r="H64" i="398" s="1"/>
  <c r="G67" i="404"/>
  <c r="G20" i="395"/>
  <c r="H20" i="395" s="1"/>
  <c r="G115" i="404"/>
  <c r="H115" i="404" s="1"/>
  <c r="G70" i="388"/>
  <c r="G91" i="388"/>
  <c r="H91" i="388" s="1"/>
  <c r="G93" i="398"/>
  <c r="H93" i="398" s="1"/>
  <c r="E29" i="402"/>
  <c r="E27" i="402" s="1"/>
  <c r="E32" i="397"/>
  <c r="G96" i="388"/>
  <c r="G159" i="405"/>
  <c r="H159" i="405" s="1"/>
  <c r="G95" i="402"/>
  <c r="H95" i="402" s="1"/>
  <c r="G161" i="393"/>
  <c r="H161" i="393" s="1"/>
  <c r="G82" i="388"/>
  <c r="G56" i="395"/>
  <c r="H56" i="395" s="1"/>
  <c r="G53" i="396"/>
  <c r="H53" i="396" s="1"/>
  <c r="G140" i="396"/>
  <c r="G64" i="388"/>
  <c r="H64" i="388" s="1"/>
  <c r="G122" i="404"/>
  <c r="G86" i="388"/>
  <c r="G111" i="399"/>
  <c r="H111" i="399" s="1"/>
  <c r="E27" i="403"/>
  <c r="E21" i="396"/>
  <c r="E19" i="396" s="1"/>
  <c r="E29" i="395"/>
  <c r="E27" i="395" s="1"/>
  <c r="E11" i="389"/>
  <c r="E9" i="389" s="1"/>
  <c r="E21" i="398"/>
  <c r="E19" i="398" s="1"/>
  <c r="G114" i="404"/>
  <c r="G111" i="404"/>
  <c r="G64" i="404"/>
  <c r="H64" i="404" s="1"/>
  <c r="F15" i="405"/>
  <c r="G145" i="395"/>
  <c r="G88" i="402"/>
  <c r="G121" i="399"/>
  <c r="H121" i="399" s="1"/>
  <c r="E52" i="416"/>
  <c r="G92" i="404"/>
  <c r="E36" i="407"/>
  <c r="E78" i="396"/>
  <c r="E77" i="396" s="1"/>
  <c r="G117" i="395"/>
  <c r="H117" i="395" s="1"/>
  <c r="G99" i="398"/>
  <c r="H99" i="398" s="1"/>
  <c r="E164" i="393"/>
  <c r="E78" i="407"/>
  <c r="E77" i="407" s="1"/>
  <c r="G65" i="407"/>
  <c r="E78" i="408"/>
  <c r="E77" i="408" s="1"/>
  <c r="E11" i="402"/>
  <c r="E9" i="402" s="1"/>
  <c r="G102" i="398"/>
  <c r="H102" i="398" s="1"/>
  <c r="G157" i="403"/>
  <c r="H157" i="403" s="1"/>
  <c r="G57" i="401"/>
  <c r="H57" i="401" s="1"/>
  <c r="G33" i="393"/>
  <c r="H33" i="393" s="1"/>
  <c r="G117" i="399"/>
  <c r="H117" i="399" s="1"/>
  <c r="G60" i="396"/>
  <c r="G111" i="408"/>
  <c r="G83" i="408"/>
  <c r="H83" i="408" s="1"/>
  <c r="G30" i="395"/>
  <c r="G90" i="395"/>
  <c r="H90" i="395" s="1"/>
  <c r="G132" i="408"/>
  <c r="H132" i="408" s="1"/>
  <c r="G40" i="407"/>
  <c r="H40" i="407" s="1"/>
  <c r="G23" i="389"/>
  <c r="G91" i="408"/>
  <c r="G133" i="405"/>
  <c r="H133" i="405" s="1"/>
  <c r="G97" i="405"/>
  <c r="H97" i="405" s="1"/>
  <c r="G70" i="405"/>
  <c r="H70" i="405" s="1"/>
  <c r="G82" i="394"/>
  <c r="H82" i="394" s="1"/>
  <c r="C31" i="417"/>
  <c r="E164" i="402"/>
  <c r="E29" i="405"/>
  <c r="E27" i="405" s="1"/>
  <c r="E36" i="408"/>
  <c r="E32" i="393"/>
  <c r="E18" i="416"/>
  <c r="G114" i="394"/>
  <c r="H114" i="394" s="1"/>
  <c r="G131" i="394"/>
  <c r="H131" i="394" s="1"/>
  <c r="E32" i="402"/>
  <c r="E164" i="394"/>
  <c r="E78" i="399"/>
  <c r="E77" i="399" s="1"/>
  <c r="E76" i="399" s="1"/>
  <c r="E36" i="399"/>
  <c r="G103" i="398"/>
  <c r="H103" i="398" s="1"/>
  <c r="G142" i="393"/>
  <c r="H142" i="393" s="1"/>
  <c r="E51" i="393"/>
  <c r="E50" i="393" s="1"/>
  <c r="E164" i="397"/>
  <c r="G125" i="397"/>
  <c r="H125" i="397" s="1"/>
  <c r="E164" i="396"/>
  <c r="E36" i="395"/>
  <c r="G70" i="392"/>
  <c r="G28" i="392"/>
  <c r="H28" i="392" s="1"/>
  <c r="G116" i="399"/>
  <c r="H116" i="399" s="1"/>
  <c r="G134" i="398"/>
  <c r="H134" i="398" s="1"/>
  <c r="G57" i="398"/>
  <c r="H57" i="398" s="1"/>
  <c r="E15" i="398"/>
  <c r="E78" i="397"/>
  <c r="E77" i="397" s="1"/>
  <c r="E51" i="395"/>
  <c r="E50" i="395" s="1"/>
  <c r="G80" i="392"/>
  <c r="H80" i="392" s="1"/>
  <c r="E51" i="399"/>
  <c r="E50" i="399" s="1"/>
  <c r="E15" i="399"/>
  <c r="G121" i="398"/>
  <c r="H121" i="398" s="1"/>
  <c r="E32" i="398"/>
  <c r="G89" i="396"/>
  <c r="G62" i="396"/>
  <c r="E164" i="399"/>
  <c r="G163" i="398"/>
  <c r="H163" i="398" s="1"/>
  <c r="G130" i="398"/>
  <c r="H130" i="398" s="1"/>
  <c r="G73" i="398"/>
  <c r="H73" i="398" s="1"/>
  <c r="G160" i="397"/>
  <c r="H160" i="397" s="1"/>
  <c r="E32" i="396"/>
  <c r="G163" i="407"/>
  <c r="H163" i="407" s="1"/>
  <c r="E78" i="389"/>
  <c r="E77" i="389" s="1"/>
  <c r="G56" i="408"/>
  <c r="E164" i="407"/>
  <c r="G70" i="407"/>
  <c r="I70" i="407" s="1"/>
  <c r="E164" i="389"/>
  <c r="G127" i="408"/>
  <c r="G44" i="408"/>
  <c r="H44" i="408" s="1"/>
  <c r="E11" i="408"/>
  <c r="E9" i="408" s="1"/>
  <c r="G88" i="407"/>
  <c r="G101" i="389"/>
  <c r="H101" i="389" s="1"/>
  <c r="G101" i="408"/>
  <c r="E164" i="408"/>
  <c r="E139" i="407"/>
  <c r="E51" i="407"/>
  <c r="E50" i="407" s="1"/>
  <c r="E29" i="407"/>
  <c r="E27" i="407" s="1"/>
  <c r="G40" i="404"/>
  <c r="E11" i="404"/>
  <c r="E9" i="404" s="1"/>
  <c r="E36" i="405"/>
  <c r="G163" i="405"/>
  <c r="H163" i="405" s="1"/>
  <c r="G99" i="394"/>
  <c r="H99" i="394" s="1"/>
  <c r="G40" i="405"/>
  <c r="H40" i="405" s="1"/>
  <c r="E36" i="403"/>
  <c r="G57" i="405"/>
  <c r="H57" i="405" s="1"/>
  <c r="G68" i="402"/>
  <c r="H68" i="402" s="1"/>
  <c r="E32" i="401"/>
  <c r="G157" i="397"/>
  <c r="H157" i="397" s="1"/>
  <c r="G109" i="397"/>
  <c r="E36" i="398"/>
  <c r="E21" i="393"/>
  <c r="E19" i="393" s="1"/>
  <c r="E51" i="397"/>
  <c r="E50" i="397" s="1"/>
  <c r="G126" i="397"/>
  <c r="H126" i="397" s="1"/>
  <c r="E51" i="389"/>
  <c r="E50" i="389" s="1"/>
  <c r="E78" i="395"/>
  <c r="E77" i="395" s="1"/>
  <c r="G45" i="395"/>
  <c r="H45" i="395" s="1"/>
  <c r="G72" i="392"/>
  <c r="E21" i="389"/>
  <c r="E19" i="389" s="1"/>
  <c r="G124" i="395"/>
  <c r="H124" i="395" s="1"/>
  <c r="E164" i="395"/>
  <c r="G159" i="392"/>
  <c r="E36" i="392"/>
  <c r="E15" i="392"/>
  <c r="E15" i="389"/>
  <c r="E51" i="392"/>
  <c r="E50" i="392" s="1"/>
  <c r="G107" i="389"/>
  <c r="H107" i="389" s="1"/>
  <c r="E32" i="389"/>
  <c r="G40" i="401"/>
  <c r="H40" i="401" s="1"/>
  <c r="G35" i="392"/>
  <c r="E36" i="397"/>
  <c r="E21" i="399"/>
  <c r="E19" i="399" s="1"/>
  <c r="E164" i="392"/>
  <c r="G81" i="397"/>
  <c r="H81" i="397" s="1"/>
  <c r="E71" i="413"/>
  <c r="G113" i="405"/>
  <c r="H113" i="405" s="1"/>
  <c r="G22" i="403"/>
  <c r="G134" i="389"/>
  <c r="H134" i="389" s="1"/>
  <c r="G82" i="389"/>
  <c r="H82" i="389" s="1"/>
  <c r="G114" i="392"/>
  <c r="G127" i="389"/>
  <c r="H127" i="389" s="1"/>
  <c r="G161" i="392"/>
  <c r="H161" i="392" s="1"/>
  <c r="G109" i="392"/>
  <c r="H109" i="392" s="1"/>
  <c r="G106" i="407"/>
  <c r="H106" i="407" s="1"/>
  <c r="G73" i="389"/>
  <c r="G62" i="405"/>
  <c r="G44" i="394"/>
  <c r="H44" i="394" s="1"/>
  <c r="G23" i="399"/>
  <c r="H23" i="399" s="1"/>
  <c r="G45" i="397"/>
  <c r="H45" i="397" s="1"/>
  <c r="G64" i="392"/>
  <c r="H64" i="392" s="1"/>
  <c r="G56" i="397"/>
  <c r="E139" i="392"/>
  <c r="E32" i="392"/>
  <c r="G116" i="404"/>
  <c r="G102" i="397"/>
  <c r="H102" i="397" s="1"/>
  <c r="G124" i="401"/>
  <c r="G35" i="396"/>
  <c r="G160" i="396"/>
  <c r="H160" i="396" s="1"/>
  <c r="G74" i="389"/>
  <c r="G91" i="396"/>
  <c r="H91" i="396" s="1"/>
  <c r="G100" i="408"/>
  <c r="G74" i="408"/>
  <c r="H74" i="408" s="1"/>
  <c r="G53" i="389"/>
  <c r="H53" i="389" s="1"/>
  <c r="G92" i="407"/>
  <c r="E164" i="398"/>
  <c r="E110" i="416"/>
  <c r="G45" i="394"/>
  <c r="H45" i="394" s="1"/>
  <c r="G85" i="401"/>
  <c r="G157" i="408"/>
  <c r="G13" i="389"/>
  <c r="G42" i="408"/>
  <c r="G156" i="407"/>
  <c r="I156" i="407" s="1"/>
  <c r="G41" i="389"/>
  <c r="G66" i="392"/>
  <c r="H66" i="392" s="1"/>
  <c r="G28" i="408"/>
  <c r="H28" i="408" s="1"/>
  <c r="G30" i="405"/>
  <c r="E78" i="392"/>
  <c r="E77" i="392" s="1"/>
  <c r="G94" i="394"/>
  <c r="H94" i="394" s="1"/>
  <c r="G45" i="403"/>
  <c r="H45" i="403" s="1"/>
  <c r="G109" i="401"/>
  <c r="G67" i="393"/>
  <c r="I67" i="393" s="1"/>
  <c r="G64" i="393"/>
  <c r="H64" i="393" s="1"/>
  <c r="G69" i="408"/>
  <c r="H69" i="408" s="1"/>
  <c r="G99" i="389"/>
  <c r="I99" i="389" s="1"/>
  <c r="G41" i="395"/>
  <c r="H41" i="395" s="1"/>
  <c r="G117" i="408"/>
  <c r="G163" i="389"/>
  <c r="G35" i="389"/>
  <c r="G16" i="389"/>
  <c r="G160" i="408"/>
  <c r="G85" i="397"/>
  <c r="H85" i="397" s="1"/>
  <c r="G42" i="392"/>
  <c r="H42" i="392" s="1"/>
  <c r="G60" i="407"/>
  <c r="H60" i="407" s="1"/>
  <c r="G30" i="407"/>
  <c r="G52" i="389"/>
  <c r="I52" i="389" s="1"/>
  <c r="E124" i="413"/>
  <c r="E41" i="418"/>
  <c r="G91" i="405"/>
  <c r="H91" i="405" s="1"/>
  <c r="G121" i="405"/>
  <c r="H121" i="405" s="1"/>
  <c r="G129" i="404"/>
  <c r="H129" i="404" s="1"/>
  <c r="F21" i="404"/>
  <c r="F19" i="404" s="1"/>
  <c r="G39" i="403"/>
  <c r="G156" i="402"/>
  <c r="G12" i="408"/>
  <c r="G142" i="407"/>
  <c r="G113" i="389"/>
  <c r="H113" i="389" s="1"/>
  <c r="G101" i="392"/>
  <c r="H101" i="392" s="1"/>
  <c r="G100" i="389"/>
  <c r="H100" i="389" s="1"/>
  <c r="G79" i="389"/>
  <c r="H79" i="389" s="1"/>
  <c r="F29" i="398"/>
  <c r="F27" i="398" s="1"/>
  <c r="E21" i="416"/>
  <c r="C16" i="416"/>
  <c r="E164" i="404"/>
  <c r="E62" i="413"/>
  <c r="G33" i="405"/>
  <c r="G175" i="405"/>
  <c r="G65" i="402"/>
  <c r="E51" i="401"/>
  <c r="E50" i="401" s="1"/>
  <c r="E36" i="394"/>
  <c r="E11" i="394"/>
  <c r="E9" i="394" s="1"/>
  <c r="E36" i="401"/>
  <c r="G135" i="399"/>
  <c r="H135" i="399" s="1"/>
  <c r="G98" i="399"/>
  <c r="H98" i="399" s="1"/>
  <c r="G80" i="398"/>
  <c r="H80" i="398" s="1"/>
  <c r="E51" i="398"/>
  <c r="E50" i="398" s="1"/>
  <c r="G93" i="393"/>
  <c r="H93" i="393" s="1"/>
  <c r="E44" i="413"/>
  <c r="G161" i="402"/>
  <c r="H161" i="402" s="1"/>
  <c r="G122" i="398"/>
  <c r="H122" i="398" s="1"/>
  <c r="G23" i="398"/>
  <c r="G56" i="401"/>
  <c r="H56" i="401" s="1"/>
  <c r="G72" i="401"/>
  <c r="G81" i="399"/>
  <c r="H81" i="399" s="1"/>
  <c r="G97" i="399"/>
  <c r="H97" i="399" s="1"/>
  <c r="G141" i="404"/>
  <c r="E93" i="418"/>
  <c r="G61" i="403"/>
  <c r="I61" i="403" s="1"/>
  <c r="G106" i="401"/>
  <c r="H106" i="401" s="1"/>
  <c r="G40" i="395"/>
  <c r="H40" i="395" s="1"/>
  <c r="E68" i="417"/>
  <c r="E39" i="418"/>
  <c r="E68" i="418"/>
  <c r="G142" i="404"/>
  <c r="H142" i="404" s="1"/>
  <c r="E67" i="418"/>
  <c r="E139" i="401"/>
  <c r="E78" i="398"/>
  <c r="E77" i="398" s="1"/>
  <c r="E78" i="393"/>
  <c r="E77" i="393" s="1"/>
  <c r="E116" i="417"/>
  <c r="G98" i="394"/>
  <c r="H98" i="394" s="1"/>
  <c r="E27" i="418"/>
  <c r="G114" i="398"/>
  <c r="H114" i="398" s="1"/>
  <c r="G156" i="397"/>
  <c r="G93" i="403"/>
  <c r="H93" i="403" s="1"/>
  <c r="G45" i="401"/>
  <c r="G118" i="399"/>
  <c r="G158" i="399"/>
  <c r="I158" i="399" s="1"/>
  <c r="G156" i="399"/>
  <c r="G122" i="393"/>
  <c r="H122" i="393" s="1"/>
  <c r="G114" i="396"/>
  <c r="G107" i="396"/>
  <c r="H107" i="396" s="1"/>
  <c r="G126" i="396"/>
  <c r="G97" i="407"/>
  <c r="H97" i="407" s="1"/>
  <c r="G105" i="392"/>
  <c r="H105" i="392" s="1"/>
  <c r="G113" i="407"/>
  <c r="H113" i="407" s="1"/>
  <c r="G175" i="408"/>
  <c r="G177" i="408" s="1"/>
  <c r="H177" i="408" s="1"/>
  <c r="E29" i="413"/>
  <c r="G82" i="404"/>
  <c r="G109" i="404"/>
  <c r="H109" i="404" s="1"/>
  <c r="G122" i="403"/>
  <c r="H122" i="403" s="1"/>
  <c r="G91" i="402"/>
  <c r="G109" i="402"/>
  <c r="H109" i="402" s="1"/>
  <c r="E139" i="397"/>
  <c r="G126" i="403"/>
  <c r="H126" i="403" s="1"/>
  <c r="G121" i="403"/>
  <c r="G88" i="401"/>
  <c r="G102" i="401"/>
  <c r="G55" i="399"/>
  <c r="G30" i="393"/>
  <c r="G119" i="393"/>
  <c r="H119" i="393" s="1"/>
  <c r="G141" i="396"/>
  <c r="G69" i="396"/>
  <c r="I69" i="396" s="1"/>
  <c r="G87" i="396"/>
  <c r="H87" i="396" s="1"/>
  <c r="G116" i="408"/>
  <c r="H116" i="408" s="1"/>
  <c r="G106" i="396"/>
  <c r="G98" i="404"/>
  <c r="H98" i="404" s="1"/>
  <c r="G58" i="394"/>
  <c r="H58" i="394" s="1"/>
  <c r="G58" i="399"/>
  <c r="H58" i="399" s="1"/>
  <c r="G84" i="398"/>
  <c r="H84" i="398" s="1"/>
  <c r="G59" i="399"/>
  <c r="G63" i="397"/>
  <c r="H63" i="397" s="1"/>
  <c r="G97" i="397"/>
  <c r="H97" i="397" s="1"/>
  <c r="G135" i="392"/>
  <c r="H135" i="392" s="1"/>
  <c r="G122" i="401"/>
  <c r="G134" i="399"/>
  <c r="H134" i="399" s="1"/>
  <c r="G73" i="393"/>
  <c r="H73" i="393" s="1"/>
  <c r="G162" i="393"/>
  <c r="G34" i="396"/>
  <c r="G135" i="396"/>
  <c r="G66" i="395"/>
  <c r="H66" i="395" s="1"/>
  <c r="G135" i="408"/>
  <c r="G63" i="407"/>
  <c r="G10" i="396"/>
  <c r="G96" i="395"/>
  <c r="H96" i="395" s="1"/>
  <c r="E56" i="416"/>
  <c r="G123" i="404"/>
  <c r="H123" i="404" s="1"/>
  <c r="G115" i="405"/>
  <c r="H115" i="405" s="1"/>
  <c r="G42" i="388"/>
  <c r="H42" i="388" s="1"/>
  <c r="E130" i="413"/>
  <c r="E128" i="413"/>
  <c r="G84" i="388"/>
  <c r="I84" i="388" s="1"/>
  <c r="E139" i="404"/>
  <c r="E58" i="416"/>
  <c r="G130" i="388"/>
  <c r="H130" i="388" s="1"/>
  <c r="G39" i="404"/>
  <c r="G34" i="388"/>
  <c r="G98" i="388"/>
  <c r="G111" i="405"/>
  <c r="H111" i="405" s="1"/>
  <c r="G37" i="388"/>
  <c r="H37" i="388" s="1"/>
  <c r="G64" i="402"/>
  <c r="G28" i="394"/>
  <c r="G124" i="392"/>
  <c r="H124" i="392" s="1"/>
  <c r="G33" i="388"/>
  <c r="H33" i="388" s="1"/>
  <c r="G163" i="393"/>
  <c r="H163" i="393" s="1"/>
  <c r="G33" i="402"/>
  <c r="G141" i="405"/>
  <c r="H141" i="405" s="1"/>
  <c r="G23" i="396"/>
  <c r="H23" i="396" s="1"/>
  <c r="G42" i="401"/>
  <c r="G107" i="392"/>
  <c r="H107" i="392" s="1"/>
  <c r="E21" i="403"/>
  <c r="E19" i="403" s="1"/>
  <c r="E113" i="418"/>
  <c r="E125" i="418"/>
  <c r="G59" i="403"/>
  <c r="H59" i="403" s="1"/>
  <c r="G142" i="401"/>
  <c r="G94" i="388"/>
  <c r="G93" i="405"/>
  <c r="H93" i="405" s="1"/>
  <c r="G92" i="402"/>
  <c r="H92" i="402" s="1"/>
  <c r="G42" i="394"/>
  <c r="H42" i="394" s="1"/>
  <c r="G95" i="394"/>
  <c r="H95" i="394" s="1"/>
  <c r="G74" i="394"/>
  <c r="H74" i="394" s="1"/>
  <c r="G18" i="399"/>
  <c r="H18" i="399" s="1"/>
  <c r="G38" i="399"/>
  <c r="H38" i="399" s="1"/>
  <c r="G79" i="399"/>
  <c r="I79" i="399" s="1"/>
  <c r="G33" i="398"/>
  <c r="H33" i="398" s="1"/>
  <c r="G94" i="395"/>
  <c r="I94" i="395" s="1"/>
  <c r="G125" i="407"/>
  <c r="I125" i="407" s="1"/>
  <c r="G94" i="407"/>
  <c r="G37" i="407"/>
  <c r="H37" i="407" s="1"/>
  <c r="G132" i="407"/>
  <c r="H132" i="407" s="1"/>
  <c r="G134" i="405"/>
  <c r="H134" i="405" s="1"/>
  <c r="G67" i="394"/>
  <c r="G58" i="396"/>
  <c r="H58" i="396" s="1"/>
  <c r="G125" i="396"/>
  <c r="G62" i="393"/>
  <c r="H62" i="393" s="1"/>
  <c r="E103" i="418"/>
  <c r="E127" i="418"/>
  <c r="G160" i="388"/>
  <c r="G43" i="404"/>
  <c r="H43" i="404" s="1"/>
  <c r="G86" i="402"/>
  <c r="G12" i="394"/>
  <c r="H12" i="394" s="1"/>
  <c r="G54" i="398"/>
  <c r="H54" i="398" s="1"/>
  <c r="G129" i="393"/>
  <c r="H129" i="393" s="1"/>
  <c r="G69" i="398"/>
  <c r="I69" i="398" s="1"/>
  <c r="G124" i="407"/>
  <c r="H124" i="407" s="1"/>
  <c r="G60" i="397"/>
  <c r="H60" i="397" s="1"/>
  <c r="G134" i="402"/>
  <c r="H134" i="402" s="1"/>
  <c r="E139" i="393"/>
  <c r="G102" i="392"/>
  <c r="H102" i="392" s="1"/>
  <c r="F21" i="388"/>
  <c r="F19" i="388" s="1"/>
  <c r="E96" i="418"/>
  <c r="E139" i="405"/>
  <c r="E96" i="413"/>
  <c r="G13" i="405"/>
  <c r="H13" i="405" s="1"/>
  <c r="H14" i="399"/>
  <c r="H43" i="407"/>
  <c r="H73" i="407"/>
  <c r="H156" i="394"/>
  <c r="H18" i="397"/>
  <c r="H65" i="397"/>
  <c r="H104" i="395"/>
  <c r="H64" i="395"/>
  <c r="H116" i="397"/>
  <c r="H99" i="407"/>
  <c r="H14" i="395"/>
  <c r="H106" i="392"/>
  <c r="H13" i="392"/>
  <c r="H159" i="399"/>
  <c r="H40" i="399"/>
  <c r="H116" i="407"/>
  <c r="H14" i="407"/>
  <c r="H71" i="392"/>
  <c r="H157" i="407"/>
  <c r="H130" i="407"/>
  <c r="I95" i="407"/>
  <c r="I71" i="407"/>
  <c r="H120" i="394"/>
  <c r="H74" i="407"/>
  <c r="H159" i="395"/>
  <c r="H101" i="405"/>
  <c r="I82" i="395"/>
  <c r="H39" i="407"/>
  <c r="H18" i="395"/>
  <c r="H122" i="392"/>
  <c r="H98" i="392"/>
  <c r="H67" i="397"/>
  <c r="H105" i="397"/>
  <c r="H115" i="397"/>
  <c r="H127" i="395"/>
  <c r="H142" i="399"/>
  <c r="H64" i="399"/>
  <c r="H160" i="399"/>
  <c r="H122" i="399"/>
  <c r="H53" i="407"/>
  <c r="H130" i="392"/>
  <c r="H102" i="407"/>
  <c r="H66" i="407"/>
  <c r="H98" i="405"/>
  <c r="E78" i="388"/>
  <c r="E77" i="388" s="1"/>
  <c r="G90" i="405"/>
  <c r="H90" i="405" s="1"/>
  <c r="E43" i="413"/>
  <c r="E34" i="413"/>
  <c r="G105" i="388"/>
  <c r="H105" i="388" s="1"/>
  <c r="G119" i="395"/>
  <c r="H119" i="395" s="1"/>
  <c r="F11" i="397"/>
  <c r="F9" i="397" s="1"/>
  <c r="G16" i="392"/>
  <c r="H16" i="392" s="1"/>
  <c r="G131" i="389"/>
  <c r="H131" i="389" s="1"/>
  <c r="G69" i="389"/>
  <c r="H69" i="389" s="1"/>
  <c r="G85" i="408"/>
  <c r="H85" i="408" s="1"/>
  <c r="G53" i="408"/>
  <c r="G97" i="389"/>
  <c r="H97" i="389" s="1"/>
  <c r="G114" i="408"/>
  <c r="H114" i="408" s="1"/>
  <c r="G161" i="394"/>
  <c r="H161" i="394" s="1"/>
  <c r="G70" i="398"/>
  <c r="G136" i="392"/>
  <c r="H136" i="392" s="1"/>
  <c r="G55" i="407"/>
  <c r="I55" i="407" s="1"/>
  <c r="G62" i="395"/>
  <c r="G62" i="407"/>
  <c r="G42" i="405"/>
  <c r="H42" i="405" s="1"/>
  <c r="G96" i="398"/>
  <c r="H96" i="398" s="1"/>
  <c r="G114" i="393"/>
  <c r="H114" i="393" s="1"/>
  <c r="G12" i="392"/>
  <c r="G11" i="392" s="1"/>
  <c r="G45" i="396"/>
  <c r="H45" i="396" s="1"/>
  <c r="G137" i="396"/>
  <c r="H137" i="396" s="1"/>
  <c r="G12" i="398"/>
  <c r="E50" i="416"/>
  <c r="E54" i="416"/>
  <c r="G73" i="399"/>
  <c r="H73" i="399" s="1"/>
  <c r="G161" i="399"/>
  <c r="H161" i="399" s="1"/>
  <c r="G62" i="402"/>
  <c r="H62" i="402" s="1"/>
  <c r="G28" i="402"/>
  <c r="H28" i="402" s="1"/>
  <c r="G129" i="394"/>
  <c r="H129" i="394" s="1"/>
  <c r="G40" i="394"/>
  <c r="H40" i="394" s="1"/>
  <c r="G156" i="398"/>
  <c r="G103" i="399"/>
  <c r="H103" i="399" s="1"/>
  <c r="G52" i="398"/>
  <c r="I52" i="398" s="1"/>
  <c r="G100" i="396"/>
  <c r="H100" i="396" s="1"/>
  <c r="E29" i="404"/>
  <c r="E27" i="404" s="1"/>
  <c r="F21" i="399"/>
  <c r="F19" i="399" s="1"/>
  <c r="F29" i="393"/>
  <c r="F27" i="393" s="1"/>
  <c r="F11" i="360"/>
  <c r="F9" i="360" s="1"/>
  <c r="E112" i="413"/>
  <c r="G91" i="404"/>
  <c r="H91" i="404" s="1"/>
  <c r="G102" i="405"/>
  <c r="H102" i="405" s="1"/>
  <c r="G59" i="388"/>
  <c r="H59" i="388" s="1"/>
  <c r="G22" i="399"/>
  <c r="G18" i="394"/>
  <c r="H18" i="394" s="1"/>
  <c r="G107" i="402"/>
  <c r="H107" i="402" s="1"/>
  <c r="G157" i="404"/>
  <c r="H157" i="404" s="1"/>
  <c r="G40" i="402"/>
  <c r="H40" i="402" s="1"/>
  <c r="E132" i="413"/>
  <c r="G158" i="404"/>
  <c r="H158" i="404" s="1"/>
  <c r="G112" i="399"/>
  <c r="H112" i="399" s="1"/>
  <c r="G161" i="404"/>
  <c r="H161" i="404" s="1"/>
  <c r="G72" i="402"/>
  <c r="C16" i="417"/>
  <c r="G116" i="388"/>
  <c r="H116" i="388" s="1"/>
  <c r="G145" i="408"/>
  <c r="G144" i="408" s="1"/>
  <c r="H144" i="408" s="1"/>
  <c r="G118" i="404"/>
  <c r="G89" i="404"/>
  <c r="H89" i="404" s="1"/>
  <c r="G67" i="402"/>
  <c r="G94" i="405"/>
  <c r="H94" i="405" s="1"/>
  <c r="G106" i="399"/>
  <c r="H106" i="399" s="1"/>
  <c r="G38" i="397"/>
  <c r="H38" i="397" s="1"/>
  <c r="G70" i="395"/>
  <c r="C35" i="416"/>
  <c r="C47" i="416"/>
  <c r="C47" i="418"/>
  <c r="G131" i="404"/>
  <c r="G126" i="404"/>
  <c r="E15" i="394"/>
  <c r="E78" i="401"/>
  <c r="E77" i="401" s="1"/>
  <c r="G106" i="402"/>
  <c r="G34" i="399"/>
  <c r="G99" i="399"/>
  <c r="H99" i="399" s="1"/>
  <c r="G135" i="402"/>
  <c r="H135" i="402" s="1"/>
  <c r="G10" i="402"/>
  <c r="G135" i="394"/>
  <c r="H135" i="394" s="1"/>
  <c r="G116" i="394"/>
  <c r="H116" i="394" s="1"/>
  <c r="G100" i="394"/>
  <c r="H100" i="394" s="1"/>
  <c r="G30" i="398"/>
  <c r="G162" i="397"/>
  <c r="H162" i="397" s="1"/>
  <c r="G99" i="395"/>
  <c r="H99" i="395" s="1"/>
  <c r="E13" i="416"/>
  <c r="G140" i="405"/>
  <c r="G38" i="405"/>
  <c r="H38" i="405" s="1"/>
  <c r="F11" i="405"/>
  <c r="F9" i="405" s="1"/>
  <c r="G155" i="399"/>
  <c r="H155" i="399" s="1"/>
  <c r="G132" i="393"/>
  <c r="F21" i="392"/>
  <c r="F19" i="392" s="1"/>
  <c r="G141" i="392"/>
  <c r="G43" i="395"/>
  <c r="H43" i="395" s="1"/>
  <c r="G145" i="407"/>
  <c r="F21" i="395"/>
  <c r="F19" i="395" s="1"/>
  <c r="E98" i="417"/>
  <c r="E72" i="417"/>
  <c r="G162" i="401"/>
  <c r="G90" i="393"/>
  <c r="H90" i="393" s="1"/>
  <c r="G26" i="402"/>
  <c r="G60" i="402"/>
  <c r="G160" i="393"/>
  <c r="H160" i="393" s="1"/>
  <c r="G145" i="398"/>
  <c r="G144" i="398" s="1"/>
  <c r="F15" i="399"/>
  <c r="G94" i="399"/>
  <c r="H94" i="399" s="1"/>
  <c r="G126" i="393"/>
  <c r="G121" i="396"/>
  <c r="H121" i="396" s="1"/>
  <c r="G119" i="389"/>
  <c r="G97" i="392"/>
  <c r="G158" i="408"/>
  <c r="H158" i="408" s="1"/>
  <c r="G74" i="395"/>
  <c r="H74" i="395" s="1"/>
  <c r="G160" i="407"/>
  <c r="H160" i="407" s="1"/>
  <c r="G98" i="408"/>
  <c r="G158" i="394"/>
  <c r="H158" i="394" s="1"/>
  <c r="G142" i="394"/>
  <c r="H142" i="394" s="1"/>
  <c r="G45" i="398"/>
  <c r="H45" i="398" s="1"/>
  <c r="C47" i="412"/>
  <c r="C22" i="412"/>
  <c r="C20" i="412" s="1"/>
  <c r="G14" i="388"/>
  <c r="H14" i="388" s="1"/>
  <c r="G40" i="388"/>
  <c r="G74" i="388"/>
  <c r="H74" i="388" s="1"/>
  <c r="G100" i="388"/>
  <c r="G23" i="388"/>
  <c r="H23" i="388" s="1"/>
  <c r="E51" i="388"/>
  <c r="E50" i="388" s="1"/>
  <c r="G89" i="388"/>
  <c r="E14" i="416"/>
  <c r="E43" i="416"/>
  <c r="C20" i="416"/>
  <c r="C35" i="417"/>
  <c r="C74" i="417"/>
  <c r="C12" i="417"/>
  <c r="C10" i="417" s="1"/>
  <c r="C47" i="417"/>
  <c r="C47" i="413"/>
  <c r="C35" i="413"/>
  <c r="C35" i="418"/>
  <c r="C31" i="413"/>
  <c r="C31" i="418"/>
  <c r="C74" i="418"/>
  <c r="E78" i="405"/>
  <c r="E77" i="405" s="1"/>
  <c r="E164" i="405"/>
  <c r="G99" i="404"/>
  <c r="E78" i="404"/>
  <c r="E77" i="404" s="1"/>
  <c r="E51" i="404"/>
  <c r="E50" i="404" s="1"/>
  <c r="E51" i="403"/>
  <c r="E50" i="403" s="1"/>
  <c r="G122" i="405"/>
  <c r="H122" i="405" s="1"/>
  <c r="G85" i="404"/>
  <c r="H85" i="404" s="1"/>
  <c r="G140" i="403"/>
  <c r="G129" i="405"/>
  <c r="H129" i="405" s="1"/>
  <c r="G118" i="405"/>
  <c r="H118" i="405" s="1"/>
  <c r="E164" i="403"/>
  <c r="E78" i="403"/>
  <c r="E77" i="403" s="1"/>
  <c r="E78" i="402"/>
  <c r="E77" i="402" s="1"/>
  <c r="G111" i="394"/>
  <c r="H111" i="394" s="1"/>
  <c r="E78" i="394"/>
  <c r="E77" i="394" s="1"/>
  <c r="G159" i="393"/>
  <c r="G145" i="392"/>
  <c r="G144" i="392" s="1"/>
  <c r="F21" i="397"/>
  <c r="F19" i="397" s="1"/>
  <c r="F21" i="394"/>
  <c r="F19" i="394" s="1"/>
  <c r="F29" i="395"/>
  <c r="F27" i="395" s="1"/>
  <c r="F29" i="407"/>
  <c r="F27" i="407" s="1"/>
  <c r="F177" i="398"/>
  <c r="G175" i="398"/>
  <c r="H175" i="398" s="1"/>
  <c r="G22" i="394"/>
  <c r="G23" i="403"/>
  <c r="H23" i="403" s="1"/>
  <c r="G100" i="401"/>
  <c r="H100" i="401" s="1"/>
  <c r="E51" i="405"/>
  <c r="E50" i="405" s="1"/>
  <c r="G31" i="404"/>
  <c r="H31" i="404" s="1"/>
  <c r="E62" i="418"/>
  <c r="G161" i="388"/>
  <c r="H161" i="388" s="1"/>
  <c r="G115" i="388"/>
  <c r="H115" i="388" s="1"/>
  <c r="G73" i="388"/>
  <c r="H73" i="388" s="1"/>
  <c r="G136" i="405"/>
  <c r="H136" i="405" s="1"/>
  <c r="G115" i="403"/>
  <c r="G119" i="403"/>
  <c r="G101" i="403"/>
  <c r="G80" i="403"/>
  <c r="H80" i="403" s="1"/>
  <c r="E51" i="402"/>
  <c r="E50" i="402" s="1"/>
  <c r="E36" i="388"/>
  <c r="E21" i="388"/>
  <c r="E19" i="388" s="1"/>
  <c r="C12" i="416"/>
  <c r="E37" i="413"/>
  <c r="G134" i="388"/>
  <c r="H134" i="388" s="1"/>
  <c r="E131" i="413"/>
  <c r="E90" i="418"/>
  <c r="E37" i="418"/>
  <c r="E21" i="418"/>
  <c r="E53" i="418"/>
  <c r="E79" i="418"/>
  <c r="G117" i="402"/>
  <c r="H117" i="402" s="1"/>
  <c r="G100" i="402"/>
  <c r="E11" i="388"/>
  <c r="E9" i="388" s="1"/>
  <c r="G145" i="396"/>
  <c r="G144" i="396" s="1"/>
  <c r="F11" i="408"/>
  <c r="F9" i="408" s="1"/>
  <c r="G80" i="405"/>
  <c r="H80" i="405" s="1"/>
  <c r="G113" i="404"/>
  <c r="H113" i="404" s="1"/>
  <c r="E100" i="413"/>
  <c r="G83" i="388"/>
  <c r="G137" i="402"/>
  <c r="H137" i="402" s="1"/>
  <c r="G88" i="396"/>
  <c r="H88" i="396" s="1"/>
  <c r="G18" i="408"/>
  <c r="G91" i="395"/>
  <c r="H91" i="395" s="1"/>
  <c r="G120" i="408"/>
  <c r="G43" i="389"/>
  <c r="G63" i="388"/>
  <c r="H63" i="388" s="1"/>
  <c r="G53" i="404"/>
  <c r="E78" i="413"/>
  <c r="G127" i="394"/>
  <c r="H127" i="394" s="1"/>
  <c r="G53" i="394"/>
  <c r="G89" i="403"/>
  <c r="H89" i="403" s="1"/>
  <c r="G103" i="401"/>
  <c r="H103" i="401" s="1"/>
  <c r="G119" i="401"/>
  <c r="H119" i="401" s="1"/>
  <c r="G136" i="401"/>
  <c r="H136" i="401" s="1"/>
  <c r="G114" i="399"/>
  <c r="H114" i="399" s="1"/>
  <c r="G141" i="399"/>
  <c r="H141" i="399" s="1"/>
  <c r="G57" i="396"/>
  <c r="H57" i="396" s="1"/>
  <c r="G13" i="396"/>
  <c r="G161" i="396"/>
  <c r="G34" i="408"/>
  <c r="G104" i="396"/>
  <c r="H104" i="396" s="1"/>
  <c r="G129" i="407"/>
  <c r="H129" i="407" s="1"/>
  <c r="G73" i="392"/>
  <c r="H73" i="392" s="1"/>
  <c r="G61" i="392"/>
  <c r="I61" i="392" s="1"/>
  <c r="G160" i="389"/>
  <c r="H160" i="389" s="1"/>
  <c r="G57" i="404"/>
  <c r="H57" i="404" s="1"/>
  <c r="E64" i="416"/>
  <c r="G93" i="394"/>
  <c r="H93" i="394" s="1"/>
  <c r="G119" i="398"/>
  <c r="H119" i="398" s="1"/>
  <c r="G54" i="399"/>
  <c r="H54" i="399" s="1"/>
  <c r="G162" i="398"/>
  <c r="H162" i="398" s="1"/>
  <c r="G95" i="397"/>
  <c r="H95" i="397" s="1"/>
  <c r="G59" i="396"/>
  <c r="G99" i="392"/>
  <c r="I99" i="392" s="1"/>
  <c r="G38" i="407"/>
  <c r="H38" i="407" s="1"/>
  <c r="G67" i="407"/>
  <c r="H67" i="407" s="1"/>
  <c r="G122" i="397"/>
  <c r="H122" i="397" s="1"/>
  <c r="G97" i="398"/>
  <c r="H97" i="398" s="1"/>
  <c r="G20" i="393"/>
  <c r="H20" i="393" s="1"/>
  <c r="G106" i="404"/>
  <c r="H106" i="404" s="1"/>
  <c r="G20" i="388"/>
  <c r="H20" i="388" s="1"/>
  <c r="E88" i="418"/>
  <c r="E34" i="418"/>
  <c r="G10" i="388"/>
  <c r="H10" i="388" s="1"/>
  <c r="G100" i="405"/>
  <c r="H100" i="405" s="1"/>
  <c r="G28" i="405"/>
  <c r="H28" i="405" s="1"/>
  <c r="G133" i="404"/>
  <c r="H133" i="404" s="1"/>
  <c r="G127" i="402"/>
  <c r="G61" i="397"/>
  <c r="E139" i="402"/>
  <c r="G85" i="399"/>
  <c r="H85" i="399" s="1"/>
  <c r="G28" i="396"/>
  <c r="I28" i="396" s="1"/>
  <c r="G134" i="395"/>
  <c r="H134" i="395" s="1"/>
  <c r="G137" i="392"/>
  <c r="H137" i="392" s="1"/>
  <c r="G104" i="408"/>
  <c r="H104" i="408" s="1"/>
  <c r="G159" i="407"/>
  <c r="H159" i="407" s="1"/>
  <c r="G89" i="407"/>
  <c r="G159" i="408"/>
  <c r="G128" i="408"/>
  <c r="H128" i="408" s="1"/>
  <c r="G89" i="408"/>
  <c r="I89" i="408" s="1"/>
  <c r="G72" i="404"/>
  <c r="H72" i="404" s="1"/>
  <c r="G87" i="397"/>
  <c r="H87" i="397" s="1"/>
  <c r="G131" i="407"/>
  <c r="H131" i="407" s="1"/>
  <c r="G96" i="392"/>
  <c r="G131" i="405"/>
  <c r="H131" i="405" s="1"/>
  <c r="G108" i="405"/>
  <c r="H108" i="405" s="1"/>
  <c r="G79" i="404"/>
  <c r="H79" i="404" s="1"/>
  <c r="E131" i="418"/>
  <c r="G106" i="397"/>
  <c r="H106" i="397" s="1"/>
  <c r="G159" i="403"/>
  <c r="H159" i="403" s="1"/>
  <c r="G86" i="396"/>
  <c r="H86" i="396" s="1"/>
  <c r="G66" i="396"/>
  <c r="G85" i="396"/>
  <c r="I85" i="396" s="1"/>
  <c r="G122" i="407"/>
  <c r="H122" i="407" s="1"/>
  <c r="G72" i="389"/>
  <c r="H72" i="389" s="1"/>
  <c r="G22" i="396"/>
  <c r="H22" i="396" s="1"/>
  <c r="F21" i="393"/>
  <c r="F19" i="393" s="1"/>
  <c r="G175" i="393"/>
  <c r="H175" i="393" s="1"/>
  <c r="E88" i="413"/>
  <c r="E23" i="413"/>
  <c r="G43" i="399"/>
  <c r="H43" i="399" s="1"/>
  <c r="G114" i="405"/>
  <c r="H114" i="405" s="1"/>
  <c r="G84" i="404"/>
  <c r="H84" i="404" s="1"/>
  <c r="E122" i="418"/>
  <c r="F29" i="360"/>
  <c r="F27" i="360" s="1"/>
  <c r="F15" i="396"/>
  <c r="G145" i="403"/>
  <c r="G175" i="403"/>
  <c r="G16" i="396"/>
  <c r="H16" i="396" s="1"/>
  <c r="G61" i="402"/>
  <c r="G130" i="394"/>
  <c r="H130" i="394" s="1"/>
  <c r="G100" i="399"/>
  <c r="H100" i="399" s="1"/>
  <c r="G104" i="398"/>
  <c r="H104" i="398" s="1"/>
  <c r="G31" i="398"/>
  <c r="H31" i="398" s="1"/>
  <c r="G136" i="397"/>
  <c r="H136" i="397" s="1"/>
  <c r="G60" i="395"/>
  <c r="G145" i="402"/>
  <c r="G144" i="402" s="1"/>
  <c r="H144" i="402" s="1"/>
  <c r="E32" i="416"/>
  <c r="E31" i="416" s="1"/>
  <c r="E104" i="413"/>
  <c r="E136" i="413"/>
  <c r="G52" i="405"/>
  <c r="G85" i="402"/>
  <c r="H85" i="402" s="1"/>
  <c r="F21" i="389"/>
  <c r="E68" i="416"/>
  <c r="G18" i="405"/>
  <c r="H18" i="405" s="1"/>
  <c r="F36" i="395"/>
  <c r="F11" i="394"/>
  <c r="F9" i="394" s="1"/>
  <c r="F29" i="389"/>
  <c r="F27" i="389" s="1"/>
  <c r="F21" i="360"/>
  <c r="F19" i="360" s="1"/>
  <c r="F32" i="397"/>
  <c r="F15" i="392"/>
  <c r="F15" i="407"/>
  <c r="F29" i="392"/>
  <c r="F27" i="392" s="1"/>
  <c r="D12" i="416"/>
  <c r="D10" i="416" s="1"/>
  <c r="F15" i="394"/>
  <c r="F21" i="396"/>
  <c r="F19" i="396" s="1"/>
  <c r="E29" i="398"/>
  <c r="E27" i="398" s="1"/>
  <c r="F29" i="396"/>
  <c r="F27" i="396" s="1"/>
  <c r="F11" i="389"/>
  <c r="F9" i="389" s="1"/>
  <c r="D16" i="416"/>
  <c r="H68" i="397"/>
  <c r="I68" i="397"/>
  <c r="G18" i="392"/>
  <c r="H18" i="392" s="1"/>
  <c r="F11" i="392"/>
  <c r="F9" i="392" s="1"/>
  <c r="F15" i="397"/>
  <c r="F36" i="407"/>
  <c r="G31" i="389"/>
  <c r="G29" i="389" s="1"/>
  <c r="G27" i="389" s="1"/>
  <c r="G175" i="392"/>
  <c r="I175" i="392" s="1"/>
  <c r="F21" i="407"/>
  <c r="F19" i="407" s="1"/>
  <c r="G175" i="399"/>
  <c r="G175" i="396"/>
  <c r="G33" i="389"/>
  <c r="G37" i="389"/>
  <c r="F11" i="399"/>
  <c r="F9" i="399" s="1"/>
  <c r="G14" i="394"/>
  <c r="H14" i="394" s="1"/>
  <c r="F21" i="401"/>
  <c r="F19" i="401" s="1"/>
  <c r="G18" i="398"/>
  <c r="H18" i="398" s="1"/>
  <c r="F139" i="395"/>
  <c r="F11" i="407"/>
  <c r="F9" i="407" s="1"/>
  <c r="G33" i="360"/>
  <c r="H33" i="360" s="1"/>
  <c r="F11" i="395"/>
  <c r="F9" i="395" s="1"/>
  <c r="G17" i="394"/>
  <c r="G34" i="397"/>
  <c r="H34" i="397" s="1"/>
  <c r="F32" i="398"/>
  <c r="F139" i="360"/>
  <c r="G23" i="360"/>
  <c r="F144" i="397"/>
  <c r="G145" i="397"/>
  <c r="G156" i="392"/>
  <c r="H156" i="392" s="1"/>
  <c r="F164" i="392"/>
  <c r="G33" i="392"/>
  <c r="H33" i="392" s="1"/>
  <c r="F32" i="392"/>
  <c r="C74" i="416"/>
  <c r="G175" i="394"/>
  <c r="G145" i="360"/>
  <c r="G144" i="360" s="1"/>
  <c r="G14" i="398"/>
  <c r="H14" i="398" s="1"/>
  <c r="F11" i="398"/>
  <c r="F9" i="398" s="1"/>
  <c r="G12" i="395"/>
  <c r="I12" i="395" s="1"/>
  <c r="F164" i="360"/>
  <c r="G159" i="360"/>
  <c r="H159" i="360" s="1"/>
  <c r="F139" i="392"/>
  <c r="G140" i="392"/>
  <c r="F78" i="407"/>
  <c r="F77" i="407" s="1"/>
  <c r="G30" i="360"/>
  <c r="G29" i="360" s="1"/>
  <c r="G27" i="360" s="1"/>
  <c r="H27" i="360" s="1"/>
  <c r="G145" i="399"/>
  <c r="H145" i="399" s="1"/>
  <c r="F139" i="396"/>
  <c r="F15" i="408"/>
  <c r="E94" i="416"/>
  <c r="F139" i="405"/>
  <c r="E120" i="418"/>
  <c r="E121" i="418"/>
  <c r="G123" i="403"/>
  <c r="G54" i="403"/>
  <c r="H54" i="403" s="1"/>
  <c r="G155" i="403"/>
  <c r="H155" i="403" s="1"/>
  <c r="F139" i="398"/>
  <c r="F32" i="395"/>
  <c r="F139" i="399"/>
  <c r="F36" i="399"/>
  <c r="G157" i="399"/>
  <c r="H157" i="399" s="1"/>
  <c r="F139" i="389"/>
  <c r="F15" i="395"/>
  <c r="G37" i="401"/>
  <c r="F15" i="389"/>
  <c r="F32" i="393"/>
  <c r="F11" i="396"/>
  <c r="F9" i="396" s="1"/>
  <c r="F51" i="392"/>
  <c r="F50" i="392" s="1"/>
  <c r="F36" i="392"/>
  <c r="F32" i="399"/>
  <c r="G65" i="399"/>
  <c r="G63" i="395"/>
  <c r="I63" i="395" s="1"/>
  <c r="G95" i="396"/>
  <c r="F36" i="396"/>
  <c r="G84" i="389"/>
  <c r="I84" i="389" s="1"/>
  <c r="G33" i="395"/>
  <c r="G32" i="395" s="1"/>
  <c r="H32" i="395" s="1"/>
  <c r="G86" i="399"/>
  <c r="H86" i="399" s="1"/>
  <c r="F164" i="395"/>
  <c r="G34" i="393"/>
  <c r="H34" i="393" s="1"/>
  <c r="G140" i="389"/>
  <c r="G145" i="393"/>
  <c r="G144" i="393" s="1"/>
  <c r="Q14" i="420" a="1"/>
  <c r="Q14" i="420" s="1"/>
  <c r="O146" i="385"/>
  <c r="K146" i="385"/>
  <c r="K141" i="385" s="1"/>
  <c r="K99" i="385"/>
  <c r="K97" i="385" s="1"/>
  <c r="G99" i="385"/>
  <c r="L47" i="385"/>
  <c r="H47" i="385"/>
  <c r="I30" i="386"/>
  <c r="D75" i="324"/>
  <c r="R767" i="328"/>
  <c r="D26" i="339"/>
  <c r="D82" i="324"/>
  <c r="C40" i="324"/>
  <c r="D82" i="339"/>
  <c r="J50" i="365"/>
  <c r="E30" i="386"/>
  <c r="I47" i="386"/>
  <c r="H85" i="398"/>
  <c r="M20" i="365"/>
  <c r="A13" i="421" a="1"/>
  <c r="A13" i="421" s="1"/>
  <c r="G13" i="421" a="1"/>
  <c r="G13" i="421" s="1"/>
  <c r="C24" i="392"/>
  <c r="C12" i="324"/>
  <c r="E12" i="324" s="1"/>
  <c r="D19" i="339"/>
  <c r="D61" i="339"/>
  <c r="E61" i="339" s="1"/>
  <c r="C68" i="339"/>
  <c r="E68" i="339" s="1"/>
  <c r="C12" i="339"/>
  <c r="C13" i="339" s="1"/>
  <c r="C54" i="339"/>
  <c r="E54" i="339" s="1"/>
  <c r="D75" i="339"/>
  <c r="C47" i="339"/>
  <c r="D33" i="339"/>
  <c r="C26" i="339"/>
  <c r="D47" i="339"/>
  <c r="C82" i="339"/>
  <c r="I30" i="385"/>
  <c r="E34" i="385"/>
  <c r="E30" i="385"/>
  <c r="E43" i="385" s="1"/>
  <c r="F50" i="365"/>
  <c r="C147" i="408"/>
  <c r="C165" i="408"/>
  <c r="C178" i="408" s="1"/>
  <c r="P14" i="316"/>
  <c r="P15" i="316"/>
  <c r="D19" i="254"/>
  <c r="D40" i="254"/>
  <c r="I143" i="337"/>
  <c r="I145" i="337"/>
  <c r="C24" i="394"/>
  <c r="A683" i="328"/>
  <c r="C75" i="339"/>
  <c r="C40" i="339"/>
  <c r="E40" i="339" s="1"/>
  <c r="C54" i="324"/>
  <c r="G19" i="345"/>
  <c r="G20" i="345" s="1"/>
  <c r="F19" i="345"/>
  <c r="F20" i="345" s="1"/>
  <c r="C33" i="324"/>
  <c r="D40" i="324"/>
  <c r="D82" i="254"/>
  <c r="H74" i="325"/>
  <c r="H64" i="325"/>
  <c r="C14" i="421"/>
  <c r="F32" i="408"/>
  <c r="D33" i="324"/>
  <c r="G66" i="346"/>
  <c r="K13" i="421" a="1"/>
  <c r="K13" i="421" s="1"/>
  <c r="O13" i="421" a="1"/>
  <c r="O13" i="421" s="1"/>
  <c r="H13" i="421" a="1"/>
  <c r="H13" i="421" s="1"/>
  <c r="I13" i="421" a="1"/>
  <c r="I13" i="421" s="1"/>
  <c r="N13" i="421" a="1"/>
  <c r="N13" i="421" s="1"/>
  <c r="M13" i="421" a="1"/>
  <c r="M13" i="421" s="1"/>
  <c r="C24" i="401"/>
  <c r="C24" i="404"/>
  <c r="C24" i="408"/>
  <c r="D104" i="397" a="1"/>
  <c r="D104" i="397" s="1"/>
  <c r="I104" i="397" s="1"/>
  <c r="C47" i="393"/>
  <c r="D64" i="397" a="1"/>
  <c r="D64" i="397" s="1"/>
  <c r="I64" i="397" s="1"/>
  <c r="D28" i="397" a="1"/>
  <c r="D28" i="397"/>
  <c r="I28" i="397" s="1"/>
  <c r="D40" i="397" a="1"/>
  <c r="D40" i="397"/>
  <c r="I40" i="397" s="1"/>
  <c r="C47" i="408"/>
  <c r="C47" i="394"/>
  <c r="C147" i="402"/>
  <c r="C82" i="324"/>
  <c r="C76" i="392"/>
  <c r="D26" i="397" a="1"/>
  <c r="D26" i="397"/>
  <c r="I26" i="397"/>
  <c r="C24" i="405"/>
  <c r="Q13" i="421" a="1"/>
  <c r="Q13" i="421" s="1"/>
  <c r="C19" i="324"/>
  <c r="C47" i="324"/>
  <c r="E47" i="324" s="1"/>
  <c r="I52" i="325"/>
  <c r="D54" i="324"/>
  <c r="A213" i="328"/>
  <c r="A1153" i="328"/>
  <c r="C75" i="324"/>
  <c r="H7" i="345"/>
  <c r="H8" i="345" s="1"/>
  <c r="H9" i="345" s="1"/>
  <c r="H10" i="345" s="1"/>
  <c r="H11" i="345" s="1"/>
  <c r="H12" i="345" s="1"/>
  <c r="H13" i="345" s="1"/>
  <c r="H14" i="345" s="1"/>
  <c r="H15" i="345" s="1"/>
  <c r="H16" i="345" s="1"/>
  <c r="H17" i="345" s="1"/>
  <c r="H18" i="345" s="1"/>
  <c r="G163" i="402"/>
  <c r="H163" i="402" s="1"/>
  <c r="C33" i="254"/>
  <c r="O14" i="420" a="1"/>
  <c r="O14" i="420"/>
  <c r="E14" i="420" a="1"/>
  <c r="E14" i="420" s="1"/>
  <c r="D14" i="420" a="1"/>
  <c r="D14" i="420"/>
  <c r="I146" i="385"/>
  <c r="E17" i="385"/>
  <c r="L146" i="365"/>
  <c r="C47" i="396"/>
  <c r="C147" i="395"/>
  <c r="C165" i="395" s="1"/>
  <c r="C178" i="395" s="1"/>
  <c r="D19" i="324"/>
  <c r="C165" i="396"/>
  <c r="C178" i="396"/>
  <c r="G17" i="385"/>
  <c r="C47" i="402"/>
  <c r="C24" i="393"/>
  <c r="C48" i="393" s="1"/>
  <c r="C47" i="397"/>
  <c r="E59" i="391"/>
  <c r="E61" i="391"/>
  <c r="C165" i="388"/>
  <c r="C178" i="388"/>
  <c r="C47" i="403"/>
  <c r="D61" i="397" a="1"/>
  <c r="D61" i="397" s="1"/>
  <c r="D129" i="397" a="1"/>
  <c r="D129" i="397"/>
  <c r="I129" i="397"/>
  <c r="D109" i="397" a="1"/>
  <c r="D109" i="397"/>
  <c r="I109" i="397"/>
  <c r="D156" i="397" a="1"/>
  <c r="D156" i="397"/>
  <c r="D164" i="397" s="1"/>
  <c r="D84" i="397" a="1"/>
  <c r="D84" i="397" s="1"/>
  <c r="I84" i="397" s="1"/>
  <c r="D93" i="397" a="1"/>
  <c r="D93" i="397"/>
  <c r="I93" i="397" s="1"/>
  <c r="D69" i="397" a="1"/>
  <c r="D69" i="397" s="1"/>
  <c r="C15" i="420"/>
  <c r="I14" i="420" a="1"/>
  <c r="I14" i="420" s="1"/>
  <c r="H14" i="420" a="1"/>
  <c r="H14" i="420"/>
  <c r="C47" i="404"/>
  <c r="C24" i="402"/>
  <c r="C47" i="389"/>
  <c r="C54" i="254"/>
  <c r="C76" i="403"/>
  <c r="C147" i="403"/>
  <c r="C26" i="324"/>
  <c r="E26" i="324" s="1"/>
  <c r="D89" i="324"/>
  <c r="D68" i="324"/>
  <c r="C61" i="324"/>
  <c r="E61" i="324" s="1"/>
  <c r="C89" i="324"/>
  <c r="C19" i="254"/>
  <c r="C89" i="254"/>
  <c r="C68" i="254"/>
  <c r="E68" i="254" s="1"/>
  <c r="S14" i="422"/>
  <c r="R15" i="422" a="1"/>
  <c r="R15" i="422" s="1"/>
  <c r="M15" i="422" a="1"/>
  <c r="M15" i="422" s="1"/>
  <c r="H15" i="422" a="1"/>
  <c r="H15" i="422" s="1"/>
  <c r="N15" i="422" a="1"/>
  <c r="N15" i="422" s="1"/>
  <c r="P15" i="422" a="1"/>
  <c r="P15" i="422" s="1"/>
  <c r="L15" i="422" a="1"/>
  <c r="L15" i="422" s="1"/>
  <c r="G15" i="422" a="1"/>
  <c r="G15" i="422"/>
  <c r="I15" i="422" a="1"/>
  <c r="I15" i="422"/>
  <c r="C16" i="422"/>
  <c r="O15" i="422" a="1"/>
  <c r="O15" i="422"/>
  <c r="J15" i="422" a="1"/>
  <c r="J15" i="422"/>
  <c r="A15" i="422" a="1"/>
  <c r="A15" i="422"/>
  <c r="D26" i="254"/>
  <c r="C12" i="254"/>
  <c r="C13" i="254" s="1"/>
  <c r="F36" i="398"/>
  <c r="H82" i="387"/>
  <c r="H91" i="325"/>
  <c r="H16" i="346"/>
  <c r="H24" i="346" s="1"/>
  <c r="H32" i="346" s="1"/>
  <c r="H40" i="346" s="1"/>
  <c r="H48" i="346" s="1"/>
  <c r="H56" i="346" s="1"/>
  <c r="H64" i="346" s="1"/>
  <c r="H72" i="346" s="1"/>
  <c r="H80" i="346" s="1"/>
  <c r="H88" i="346" s="1"/>
  <c r="H96" i="346" s="1"/>
  <c r="H104" i="346" s="1"/>
  <c r="D68" i="354"/>
  <c r="C26" i="354"/>
  <c r="E26" i="354" s="1"/>
  <c r="G106" i="346"/>
  <c r="G58" i="346"/>
  <c r="G42" i="346"/>
  <c r="G30" i="404"/>
  <c r="F139" i="402"/>
  <c r="C61" i="354"/>
  <c r="C75" i="354"/>
  <c r="D61" i="354"/>
  <c r="D75" i="354"/>
  <c r="C54" i="354"/>
  <c r="E54" i="354" s="1"/>
  <c r="D33" i="354"/>
  <c r="E33" i="354" s="1"/>
  <c r="F32" i="401"/>
  <c r="F15" i="404"/>
  <c r="F21" i="398"/>
  <c r="F19" i="398" s="1"/>
  <c r="G142" i="405"/>
  <c r="H142" i="405" s="1"/>
  <c r="C75" i="254"/>
  <c r="G74" i="346"/>
  <c r="C40" i="354"/>
  <c r="E40" i="354" s="1"/>
  <c r="R485" i="328"/>
  <c r="R203" i="328"/>
  <c r="A777" i="328"/>
  <c r="R1143" i="328"/>
  <c r="C68" i="354"/>
  <c r="C26" i="254"/>
  <c r="C82" i="354"/>
  <c r="C12" i="354"/>
  <c r="C68" i="324"/>
  <c r="F32" i="402"/>
  <c r="I52" i="388"/>
  <c r="G22" i="404"/>
  <c r="G12" i="403"/>
  <c r="H12" i="403" s="1"/>
  <c r="D89" i="254"/>
  <c r="D12" i="254"/>
  <c r="F164" i="407"/>
  <c r="F21" i="408"/>
  <c r="F19" i="408" s="1"/>
  <c r="F21" i="403"/>
  <c r="F19" i="403" s="1"/>
  <c r="G145" i="394"/>
  <c r="G144" i="394" s="1"/>
  <c r="F164" i="405"/>
  <c r="G39" i="402"/>
  <c r="G82" i="403"/>
  <c r="H82" i="403" s="1"/>
  <c r="F164" i="408"/>
  <c r="F51" i="389"/>
  <c r="F50" i="389" s="1"/>
  <c r="F29" i="408"/>
  <c r="F27" i="408" s="1"/>
  <c r="D54" i="254"/>
  <c r="D33" i="254"/>
  <c r="D89" i="354"/>
  <c r="E89" i="354" s="1"/>
  <c r="D75" i="254"/>
  <c r="D61" i="254"/>
  <c r="C47" i="354"/>
  <c r="E47" i="354" s="1"/>
  <c r="C19" i="354"/>
  <c r="E19" i="354" s="1"/>
  <c r="E19" i="346"/>
  <c r="E20" i="346" s="1"/>
  <c r="G14" i="346"/>
  <c r="F75" i="346"/>
  <c r="G78" i="346"/>
  <c r="H15" i="346"/>
  <c r="H23" i="346" s="1"/>
  <c r="H31" i="346" s="1"/>
  <c r="H39" i="346" s="1"/>
  <c r="H47" i="346" s="1"/>
  <c r="H55" i="346" s="1"/>
  <c r="H63" i="346" s="1"/>
  <c r="H71" i="346" s="1"/>
  <c r="H79" i="346" s="1"/>
  <c r="H87" i="346" s="1"/>
  <c r="H95" i="346" s="1"/>
  <c r="H103" i="346" s="1"/>
  <c r="C82" i="254"/>
  <c r="C47" i="254"/>
  <c r="E47" i="254" s="1"/>
  <c r="I105" i="337"/>
  <c r="F32" i="404"/>
  <c r="F20" i="346"/>
  <c r="O30" i="386"/>
  <c r="M126" i="365"/>
  <c r="L126" i="365"/>
  <c r="H20" i="385"/>
  <c r="G26" i="346"/>
  <c r="G58" i="405"/>
  <c r="H58" i="405" s="1"/>
  <c r="E19" i="413"/>
  <c r="G58" i="388"/>
  <c r="G156" i="404"/>
  <c r="I156" i="404" s="1"/>
  <c r="G60" i="404"/>
  <c r="H60" i="404" s="1"/>
  <c r="H61" i="394"/>
  <c r="I61" i="394"/>
  <c r="E23" i="418"/>
  <c r="I157" i="407"/>
  <c r="I156" i="394"/>
  <c r="I67" i="397"/>
  <c r="I67" i="395"/>
  <c r="G98" i="346"/>
  <c r="G34" i="346"/>
  <c r="G35" i="346" s="1"/>
  <c r="E107" i="346"/>
  <c r="H107" i="346" s="1"/>
  <c r="E59" i="346"/>
  <c r="H59" i="346" s="1"/>
  <c r="E67" i="346"/>
  <c r="H67" i="346" s="1"/>
  <c r="G50" i="346"/>
  <c r="E43" i="346"/>
  <c r="H43" i="346" s="1"/>
  <c r="G48" i="346"/>
  <c r="G40" i="346"/>
  <c r="E35" i="346"/>
  <c r="H35" i="346" s="1"/>
  <c r="F91" i="346"/>
  <c r="F27" i="346"/>
  <c r="G88" i="346"/>
  <c r="G91" i="346" s="1"/>
  <c r="G18" i="346"/>
  <c r="G104" i="346"/>
  <c r="G56" i="346"/>
  <c r="G82" i="346"/>
  <c r="G62" i="346"/>
  <c r="E99" i="346"/>
  <c r="J47" i="385"/>
  <c r="C128" i="365"/>
  <c r="P128" i="365"/>
  <c r="C105" i="365"/>
  <c r="P105" i="365"/>
  <c r="I134" i="386"/>
  <c r="J20" i="385"/>
  <c r="I134" i="385"/>
  <c r="D139" i="394"/>
  <c r="G30" i="365"/>
  <c r="I131" i="337"/>
  <c r="I99" i="385"/>
  <c r="H82" i="398"/>
  <c r="F139" i="404"/>
  <c r="I93" i="337"/>
  <c r="I77" i="337"/>
  <c r="I100" i="325"/>
  <c r="E23" i="417"/>
  <c r="H72" i="325"/>
  <c r="I102" i="337"/>
  <c r="I143" i="325"/>
  <c r="I52" i="337"/>
  <c r="I68" i="405"/>
  <c r="I61" i="398"/>
  <c r="I121" i="325"/>
  <c r="I73" i="337"/>
  <c r="J72" i="337" s="1"/>
  <c r="J134" i="385"/>
  <c r="G30" i="386"/>
  <c r="I12" i="337"/>
  <c r="I53" i="407"/>
  <c r="M34" i="386"/>
  <c r="E47" i="386"/>
  <c r="I162" i="392"/>
  <c r="I127" i="325"/>
  <c r="H86" i="325"/>
  <c r="I43" i="325"/>
  <c r="I60" i="337"/>
  <c r="I61" i="337"/>
  <c r="I54" i="337"/>
  <c r="I128" i="325"/>
  <c r="I104" i="325"/>
  <c r="H95" i="325"/>
  <c r="I15" i="337"/>
  <c r="I56" i="337"/>
  <c r="H69" i="387"/>
  <c r="I71" i="337"/>
  <c r="H186" i="387"/>
  <c r="I42" i="337"/>
  <c r="H35" i="325"/>
  <c r="I30" i="337"/>
  <c r="H94" i="325"/>
  <c r="I41" i="325"/>
  <c r="I59" i="325"/>
  <c r="H182" i="387"/>
  <c r="I14" i="337" s="1"/>
  <c r="I37" i="337"/>
  <c r="H103" i="387"/>
  <c r="I87" i="325" s="1"/>
  <c r="H199" i="387"/>
  <c r="H121" i="387"/>
  <c r="H76" i="325" s="1"/>
  <c r="I50" i="325"/>
  <c r="H114" i="387"/>
  <c r="H91" i="387"/>
  <c r="I80" i="325" s="1"/>
  <c r="I95" i="337"/>
  <c r="J94" i="337" s="1"/>
  <c r="H93" i="325"/>
  <c r="I50" i="337"/>
  <c r="I29" i="337"/>
  <c r="H191" i="387"/>
  <c r="I23" i="337" s="1"/>
  <c r="I76" i="337"/>
  <c r="H98" i="325"/>
  <c r="I85" i="337"/>
  <c r="I78" i="337"/>
  <c r="H99" i="387"/>
  <c r="H85" i="325" s="1"/>
  <c r="I130" i="325"/>
  <c r="H28" i="388"/>
  <c r="I90" i="407"/>
  <c r="M134" i="386"/>
  <c r="N65" i="386"/>
  <c r="H13" i="385"/>
  <c r="H11" i="385"/>
  <c r="I61" i="405"/>
  <c r="I68" i="394"/>
  <c r="I86" i="392"/>
  <c r="J77" i="386"/>
  <c r="F47" i="386"/>
  <c r="F65" i="386"/>
  <c r="F137" i="386"/>
  <c r="F146" i="386"/>
  <c r="O34" i="385"/>
  <c r="O17" i="385"/>
  <c r="O99" i="385"/>
  <c r="O126" i="385"/>
  <c r="O134" i="385"/>
  <c r="O137" i="385"/>
  <c r="K13" i="385"/>
  <c r="G126" i="385"/>
  <c r="G146" i="385"/>
  <c r="N20" i="385"/>
  <c r="M97" i="385"/>
  <c r="L30" i="385"/>
  <c r="H65" i="385"/>
  <c r="H77" i="385"/>
  <c r="O97" i="365"/>
  <c r="N146" i="365"/>
  <c r="H38" i="388"/>
  <c r="M30" i="365"/>
  <c r="E137" i="365"/>
  <c r="F134" i="365"/>
  <c r="I113" i="388"/>
  <c r="H68" i="395"/>
  <c r="I68" i="395"/>
  <c r="E20" i="385"/>
  <c r="L17" i="385"/>
  <c r="L134" i="385"/>
  <c r="L146" i="385"/>
  <c r="L141" i="385" s="1"/>
  <c r="E126" i="365"/>
  <c r="C122" i="365"/>
  <c r="P122" i="365"/>
  <c r="E50" i="365"/>
  <c r="H146" i="365"/>
  <c r="H141" i="365" s="1"/>
  <c r="F126" i="365"/>
  <c r="K34" i="365"/>
  <c r="K43" i="365"/>
  <c r="F146" i="365"/>
  <c r="M146" i="365"/>
  <c r="M47" i="386"/>
  <c r="M76" i="386" s="1"/>
  <c r="D114" i="388" a="1"/>
  <c r="D114" i="388" s="1"/>
  <c r="D78" i="388" s="1"/>
  <c r="D77" i="388" s="1"/>
  <c r="D37" i="388" a="1"/>
  <c r="D37" i="388" s="1"/>
  <c r="D36" i="388" s="1"/>
  <c r="D34" i="388" a="1"/>
  <c r="D34" i="388"/>
  <c r="D32" i="388" s="1"/>
  <c r="I32" i="388" s="1"/>
  <c r="O50" i="386"/>
  <c r="G50" i="386"/>
  <c r="D175" i="392" a="1"/>
  <c r="D175" i="392"/>
  <c r="D177" i="392" s="1"/>
  <c r="D163" i="392" a="1"/>
  <c r="D163" i="392"/>
  <c r="I163" i="392" s="1"/>
  <c r="D129" i="392" a="1"/>
  <c r="D129" i="392" s="1"/>
  <c r="I129" i="392" s="1"/>
  <c r="D128" i="392" a="1"/>
  <c r="D128" i="392"/>
  <c r="I128" i="392" s="1"/>
  <c r="D108" i="392" a="1"/>
  <c r="D108" i="392" s="1"/>
  <c r="I108" i="392" s="1"/>
  <c r="D107" i="392" a="1"/>
  <c r="D107" i="392"/>
  <c r="I107" i="392"/>
  <c r="D97" i="392" a="1"/>
  <c r="D97" i="392"/>
  <c r="I97" i="392"/>
  <c r="D96" i="392" a="1"/>
  <c r="D96" i="392"/>
  <c r="I96" i="392" s="1"/>
  <c r="D87" i="392" a="1"/>
  <c r="D87" i="392" s="1"/>
  <c r="I87" i="392" s="1"/>
  <c r="D85" i="392" a="1"/>
  <c r="D85" i="392"/>
  <c r="D83" i="392" a="1"/>
  <c r="D83" i="392"/>
  <c r="D81" i="392" a="1"/>
  <c r="D81" i="392" s="1"/>
  <c r="D80" i="392" a="1"/>
  <c r="D80" i="392"/>
  <c r="I80" i="392"/>
  <c r="D70" i="392" a="1"/>
  <c r="D70" i="392"/>
  <c r="D60" i="392" a="1"/>
  <c r="D60" i="392"/>
  <c r="I60" i="392" s="1"/>
  <c r="D59" i="392" a="1"/>
  <c r="D59" i="392" s="1"/>
  <c r="D52" i="392" a="1"/>
  <c r="D52" i="392"/>
  <c r="H52" i="392" s="1"/>
  <c r="D38" i="392" a="1"/>
  <c r="D38" i="392"/>
  <c r="I38" i="392" s="1"/>
  <c r="D35" i="392" a="1"/>
  <c r="D35" i="392"/>
  <c r="I35" i="392" s="1"/>
  <c r="D31" i="392" a="1"/>
  <c r="D31" i="392" s="1"/>
  <c r="I31" i="392" s="1"/>
  <c r="D23" i="392" a="1"/>
  <c r="D23" i="392"/>
  <c r="I23" i="392" s="1"/>
  <c r="D12" i="392" a="1"/>
  <c r="D12" i="392" s="1"/>
  <c r="D145" i="392" a="1"/>
  <c r="D145" i="392" s="1"/>
  <c r="D144" i="392" s="1"/>
  <c r="D142" i="392" a="1"/>
  <c r="D142" i="392" s="1"/>
  <c r="I142" i="392" s="1"/>
  <c r="D141" i="392" a="1"/>
  <c r="D141" i="392" s="1"/>
  <c r="D133" i="392" a="1"/>
  <c r="D133" i="392"/>
  <c r="I133" i="392" s="1"/>
  <c r="D132" i="392" a="1"/>
  <c r="D132" i="392" s="1"/>
  <c r="I132" i="392" s="1"/>
  <c r="D111" i="392" a="1"/>
  <c r="D111" i="392"/>
  <c r="D89" i="392" a="1"/>
  <c r="D89" i="392" s="1"/>
  <c r="D72" i="392" a="1"/>
  <c r="D72" i="392" s="1"/>
  <c r="D62" i="392" a="1"/>
  <c r="D62" i="392"/>
  <c r="D44" i="392" a="1"/>
  <c r="D44" i="392"/>
  <c r="I44" i="392" s="1"/>
  <c r="D41" i="392" a="1"/>
  <c r="D41" i="392" s="1"/>
  <c r="I41" i="392" s="1"/>
  <c r="D16" i="392" a="1"/>
  <c r="D16" i="392"/>
  <c r="D10" i="392" a="1"/>
  <c r="D10" i="392"/>
  <c r="I10" i="392" s="1"/>
  <c r="D64" i="392" a="1"/>
  <c r="D64" i="392"/>
  <c r="I64" i="392" s="1"/>
  <c r="D160" i="392" a="1"/>
  <c r="D160" i="392"/>
  <c r="D137" i="392" a="1"/>
  <c r="D137" i="392"/>
  <c r="I137" i="392" s="1"/>
  <c r="D136" i="392" a="1"/>
  <c r="D136" i="392" s="1"/>
  <c r="I136" i="392" s="1"/>
  <c r="D121" i="392" a="1"/>
  <c r="D121" i="392"/>
  <c r="I121" i="392" s="1"/>
  <c r="D120" i="392" a="1"/>
  <c r="D120" i="392" s="1"/>
  <c r="I120" i="392" s="1"/>
  <c r="D114" i="392" a="1"/>
  <c r="D114" i="392" s="1"/>
  <c r="I114" i="392" s="1"/>
  <c r="D113" i="392" a="1"/>
  <c r="D113" i="392" s="1"/>
  <c r="I113" i="392" s="1"/>
  <c r="D100" i="392" a="1"/>
  <c r="D100" i="392"/>
  <c r="I100" i="392" s="1"/>
  <c r="D92" i="392" a="1"/>
  <c r="D92" i="392" s="1"/>
  <c r="I92" i="392" s="1"/>
  <c r="D91" i="392" a="1"/>
  <c r="D91" i="392"/>
  <c r="I91" i="392" s="1"/>
  <c r="D65" i="392" a="1"/>
  <c r="D65" i="392"/>
  <c r="I65" i="392" s="1"/>
  <c r="D20" i="392" a="1"/>
  <c r="D20" i="392"/>
  <c r="I20" i="392" s="1"/>
  <c r="D158" i="392" a="1"/>
  <c r="D158" i="392" s="1"/>
  <c r="D157" i="392" a="1"/>
  <c r="D157" i="392" s="1"/>
  <c r="I157" i="392" s="1"/>
  <c r="D125" i="392" a="1"/>
  <c r="D125" i="392"/>
  <c r="I125" i="392" s="1"/>
  <c r="D124" i="392" a="1"/>
  <c r="D124" i="392" s="1"/>
  <c r="I124" i="392" s="1"/>
  <c r="D118" i="392" a="1"/>
  <c r="D118" i="392" s="1"/>
  <c r="D117" i="392" a="1"/>
  <c r="D117" i="392"/>
  <c r="I117" i="392" s="1"/>
  <c r="D104" i="392" a="1"/>
  <c r="D104" i="392" s="1"/>
  <c r="I104" i="392" s="1"/>
  <c r="D103" i="392" a="1"/>
  <c r="D103" i="392"/>
  <c r="I103" i="392" s="1"/>
  <c r="D94" i="392" a="1"/>
  <c r="D94" i="392" s="1"/>
  <c r="I94" i="392" s="1"/>
  <c r="D68" i="392" a="1"/>
  <c r="D68" i="392"/>
  <c r="D57" i="392" a="1"/>
  <c r="D57" i="392" s="1"/>
  <c r="I57" i="392" s="1"/>
  <c r="D55" i="392" a="1"/>
  <c r="D55" i="392" s="1"/>
  <c r="D54" i="392" a="1"/>
  <c r="D54" i="392" s="1"/>
  <c r="I54" i="392" s="1"/>
  <c r="E126" i="386"/>
  <c r="E161" i="386"/>
  <c r="C32" i="386"/>
  <c r="P32" i="386"/>
  <c r="N30" i="386"/>
  <c r="O77" i="385"/>
  <c r="G20" i="385"/>
  <c r="N117" i="385"/>
  <c r="J65" i="385"/>
  <c r="J117" i="385"/>
  <c r="J137" i="385"/>
  <c r="F102" i="385"/>
  <c r="M13" i="385"/>
  <c r="M11" i="385"/>
  <c r="E47" i="385"/>
  <c r="E77" i="385"/>
  <c r="E137" i="385"/>
  <c r="L161" i="385"/>
  <c r="H117" i="385"/>
  <c r="H137" i="385"/>
  <c r="H134" i="385"/>
  <c r="H34" i="365"/>
  <c r="H43" i="365" s="1"/>
  <c r="L134" i="365"/>
  <c r="C56" i="365"/>
  <c r="P56" i="365"/>
  <c r="C64" i="365"/>
  <c r="P64" i="365"/>
  <c r="C74" i="365"/>
  <c r="P74" i="365"/>
  <c r="C131" i="365"/>
  <c r="P131" i="365" s="1"/>
  <c r="C143" i="365"/>
  <c r="P143" i="365"/>
  <c r="C156" i="365"/>
  <c r="P156" i="365"/>
  <c r="C57" i="365"/>
  <c r="P57" i="365"/>
  <c r="C67" i="365"/>
  <c r="P67" i="365"/>
  <c r="C75" i="365"/>
  <c r="P75" i="365"/>
  <c r="C148" i="365"/>
  <c r="P148" i="365"/>
  <c r="C159" i="365"/>
  <c r="P159" i="365"/>
  <c r="M50" i="386"/>
  <c r="O30" i="365"/>
  <c r="D156" i="399" a="1"/>
  <c r="D156" i="399"/>
  <c r="D134" i="399" a="1"/>
  <c r="D134" i="399"/>
  <c r="I134" i="399" s="1"/>
  <c r="D67" i="399" a="1"/>
  <c r="D67" i="399" s="1"/>
  <c r="D38" i="399" a="1"/>
  <c r="D38" i="399"/>
  <c r="I38" i="399" s="1"/>
  <c r="D35" i="399" a="1"/>
  <c r="D35" i="399"/>
  <c r="I35" i="399" s="1"/>
  <c r="D136" i="399" a="1"/>
  <c r="D136" i="399"/>
  <c r="I136" i="399" s="1"/>
  <c r="D73" i="399" a="1"/>
  <c r="D73" i="399" s="1"/>
  <c r="I73" i="399" s="1"/>
  <c r="D63" i="399" a="1"/>
  <c r="D63" i="399"/>
  <c r="I63" i="399" s="1"/>
  <c r="D31" i="399" a="1"/>
  <c r="D31" i="399" s="1"/>
  <c r="I31" i="399" s="1"/>
  <c r="D22" i="399" a="1"/>
  <c r="D22" i="399"/>
  <c r="I22" i="399"/>
  <c r="D132" i="399" a="1"/>
  <c r="D132" i="399"/>
  <c r="I132" i="399"/>
  <c r="D123" i="399" a="1"/>
  <c r="D123" i="399"/>
  <c r="I123" i="399" s="1"/>
  <c r="D100" i="399" a="1"/>
  <c r="D100" i="399" s="1"/>
  <c r="I100" i="399" s="1"/>
  <c r="D96" i="399" a="1"/>
  <c r="D96" i="399"/>
  <c r="I96" i="399" s="1"/>
  <c r="D54" i="399" a="1"/>
  <c r="D54" i="399" s="1"/>
  <c r="I54" i="399" s="1"/>
  <c r="D39" i="399" a="1"/>
  <c r="D39" i="399" s="1"/>
  <c r="I39" i="399" s="1"/>
  <c r="D84" i="399" a="1"/>
  <c r="D84" i="399" s="1"/>
  <c r="I84" i="399" s="1"/>
  <c r="D43" i="399" a="1"/>
  <c r="D43" i="399"/>
  <c r="I43" i="399" s="1"/>
  <c r="D109" i="399" a="1"/>
  <c r="D109" i="399" s="1"/>
  <c r="I109" i="399" s="1"/>
  <c r="D88" i="399" a="1"/>
  <c r="D88" i="399"/>
  <c r="D58" i="399" a="1"/>
  <c r="D58" i="399" s="1"/>
  <c r="D20" i="399" a="1"/>
  <c r="D20" i="399" s="1"/>
  <c r="I20" i="399" s="1"/>
  <c r="D13" i="399" a="1"/>
  <c r="D13" i="399" s="1"/>
  <c r="I13" i="399" s="1"/>
  <c r="D79" i="395" a="1"/>
  <c r="D79" i="395"/>
  <c r="D71" i="395" a="1"/>
  <c r="D71" i="395"/>
  <c r="D66" i="395" a="1"/>
  <c r="D66" i="395"/>
  <c r="I66" i="395" s="1"/>
  <c r="D58" i="395" a="1"/>
  <c r="D58" i="395" s="1"/>
  <c r="D57" i="395" a="1"/>
  <c r="D57" i="395" s="1"/>
  <c r="I57" i="395" s="1"/>
  <c r="D12" i="395" a="1"/>
  <c r="D12" i="395" s="1"/>
  <c r="D160" i="395" a="1"/>
  <c r="D160" i="395" s="1"/>
  <c r="I160" i="395" s="1"/>
  <c r="D133" i="395" a="1"/>
  <c r="D133" i="395"/>
  <c r="I133" i="395" s="1"/>
  <c r="D123" i="395" a="1"/>
  <c r="D123" i="395" s="1"/>
  <c r="I123" i="395" s="1"/>
  <c r="D110" i="395" a="1"/>
  <c r="D110" i="395" s="1"/>
  <c r="I110" i="395" s="1"/>
  <c r="D105" i="395" a="1"/>
  <c r="D105" i="395"/>
  <c r="I105" i="395"/>
  <c r="D90" i="395" a="1"/>
  <c r="D90" i="395"/>
  <c r="D88" i="395" a="1"/>
  <c r="D88" i="395"/>
  <c r="D69" i="395" a="1"/>
  <c r="D69" i="395" s="1"/>
  <c r="I69" i="395" s="1"/>
  <c r="D65" i="395" a="1"/>
  <c r="D65" i="395"/>
  <c r="I65" i="395" s="1"/>
  <c r="D55" i="395" a="1"/>
  <c r="D55" i="395"/>
  <c r="H55" i="395" s="1"/>
  <c r="D54" i="395" a="1"/>
  <c r="D54" i="395"/>
  <c r="I54" i="395" s="1"/>
  <c r="D40" i="395" a="1"/>
  <c r="D40" i="395" s="1"/>
  <c r="I40" i="395" s="1"/>
  <c r="D16" i="395" a="1"/>
  <c r="D16" i="395"/>
  <c r="D10" i="395" a="1"/>
  <c r="D10" i="395"/>
  <c r="I10" i="395" s="1"/>
  <c r="D156" i="395" a="1"/>
  <c r="D156" i="395" s="1"/>
  <c r="D125" i="395" a="1"/>
  <c r="D125" i="395" s="1"/>
  <c r="D115" i="395" a="1"/>
  <c r="D115" i="395"/>
  <c r="I115" i="395" s="1"/>
  <c r="D112" i="395" a="1"/>
  <c r="D112" i="395" s="1"/>
  <c r="I112" i="395" s="1"/>
  <c r="D96" i="395" a="1"/>
  <c r="D96" i="395"/>
  <c r="I96" i="395" s="1"/>
  <c r="D94" i="395" a="1"/>
  <c r="D94" i="395" s="1"/>
  <c r="D91" i="395" a="1"/>
  <c r="D91" i="395" s="1"/>
  <c r="I91" i="395" s="1"/>
  <c r="D63" i="395" a="1"/>
  <c r="D63" i="395" s="1"/>
  <c r="D44" i="395" a="1"/>
  <c r="D44" i="395"/>
  <c r="D43" i="395" a="1"/>
  <c r="D43" i="395"/>
  <c r="I43" i="395" s="1"/>
  <c r="D39" i="395" a="1"/>
  <c r="D39" i="395"/>
  <c r="I39" i="395"/>
  <c r="D142" i="395" a="1"/>
  <c r="D142" i="395"/>
  <c r="I142" i="395" s="1"/>
  <c r="D140" i="395" a="1"/>
  <c r="D140" i="395" s="1"/>
  <c r="D136" i="395" a="1"/>
  <c r="D136" i="395"/>
  <c r="I136" i="395" s="1"/>
  <c r="D129" i="395" a="1"/>
  <c r="D129" i="395"/>
  <c r="I129" i="395" s="1"/>
  <c r="D126" i="395" a="1"/>
  <c r="D126" i="395" s="1"/>
  <c r="I126" i="395" s="1"/>
  <c r="D121" i="395" a="1"/>
  <c r="D121" i="395"/>
  <c r="I121" i="395" s="1"/>
  <c r="D108" i="395" a="1"/>
  <c r="D108" i="395" s="1"/>
  <c r="I108" i="395" s="1"/>
  <c r="D101" i="395" a="1"/>
  <c r="D101" i="395" s="1"/>
  <c r="I101" i="395"/>
  <c r="D98" i="395" a="1"/>
  <c r="D98" i="395"/>
  <c r="I98" i="395"/>
  <c r="D81" i="395" a="1"/>
  <c r="D81" i="395"/>
  <c r="I81" i="395" s="1"/>
  <c r="D73" i="395" a="1"/>
  <c r="D73" i="395"/>
  <c r="I73" i="395"/>
  <c r="D61" i="395" a="1"/>
  <c r="D61" i="395"/>
  <c r="I61" i="395" s="1"/>
  <c r="D60" i="395" a="1"/>
  <c r="D60" i="395" s="1"/>
  <c r="I60" i="395" s="1"/>
  <c r="D33" i="395" a="1"/>
  <c r="D33" i="395" s="1"/>
  <c r="D30" i="395" a="1"/>
  <c r="D30" i="395" s="1"/>
  <c r="D29" i="395" s="1"/>
  <c r="D27" i="395" s="1"/>
  <c r="D28" i="395" a="1"/>
  <c r="D28" i="395"/>
  <c r="D20" i="395" a="1"/>
  <c r="D20" i="395"/>
  <c r="I20" i="395"/>
  <c r="J34" i="386"/>
  <c r="G77" i="385"/>
  <c r="N99" i="385"/>
  <c r="N97" i="385" s="1"/>
  <c r="M47" i="385"/>
  <c r="O126" i="365"/>
  <c r="O34" i="365"/>
  <c r="G34" i="365"/>
  <c r="G43" i="365" s="1"/>
  <c r="L99" i="365"/>
  <c r="L97" i="365"/>
  <c r="D32" i="397"/>
  <c r="I32" i="397" s="1"/>
  <c r="E34" i="386"/>
  <c r="E43" i="386" s="1"/>
  <c r="K34" i="386"/>
  <c r="I50" i="386"/>
  <c r="E50" i="386"/>
  <c r="E76" i="386"/>
  <c r="I34" i="386"/>
  <c r="K30" i="386"/>
  <c r="O34" i="386"/>
  <c r="O43" i="386" s="1"/>
  <c r="G126" i="365"/>
  <c r="G134" i="365"/>
  <c r="G146" i="365"/>
  <c r="J126" i="365"/>
  <c r="E34" i="365"/>
  <c r="E43" i="365"/>
  <c r="J137" i="365"/>
  <c r="F65" i="365"/>
  <c r="F76" i="365"/>
  <c r="F80" i="365" s="1"/>
  <c r="M141" i="365"/>
  <c r="M161" i="365"/>
  <c r="I161" i="365"/>
  <c r="I65" i="365"/>
  <c r="I77" i="365"/>
  <c r="I134" i="365"/>
  <c r="I146" i="365"/>
  <c r="I141" i="365" s="1"/>
  <c r="H128" i="392"/>
  <c r="M30" i="386"/>
  <c r="G34" i="386"/>
  <c r="O47" i="386"/>
  <c r="K50" i="386"/>
  <c r="G47" i="386"/>
  <c r="C89" i="339"/>
  <c r="E89" i="339" s="1"/>
  <c r="H93" i="392"/>
  <c r="I93" i="392"/>
  <c r="H72" i="394"/>
  <c r="I72" i="394"/>
  <c r="H71" i="407"/>
  <c r="H82" i="407"/>
  <c r="I82" i="407"/>
  <c r="H71" i="388"/>
  <c r="I71" i="392"/>
  <c r="H63" i="405"/>
  <c r="R48" i="330"/>
  <c r="A58" i="330"/>
  <c r="L50" i="386"/>
  <c r="D77" i="386"/>
  <c r="C116" i="386"/>
  <c r="P116" i="386" s="1"/>
  <c r="C156" i="386"/>
  <c r="P156" i="386" s="1"/>
  <c r="C106" i="386"/>
  <c r="P106" i="386"/>
  <c r="L13" i="386"/>
  <c r="L11" i="386" s="1"/>
  <c r="F89" i="386"/>
  <c r="F99" i="386"/>
  <c r="F97" i="386"/>
  <c r="O89" i="385"/>
  <c r="O97" i="385"/>
  <c r="O117" i="385"/>
  <c r="O47" i="385"/>
  <c r="O65" i="385"/>
  <c r="K102" i="385"/>
  <c r="G89" i="385"/>
  <c r="G97" i="385"/>
  <c r="G117" i="385"/>
  <c r="G137" i="385"/>
  <c r="C31" i="385"/>
  <c r="P31" i="385"/>
  <c r="N102" i="385"/>
  <c r="N13" i="385"/>
  <c r="N11" i="385"/>
  <c r="N161" i="385"/>
  <c r="F161" i="385"/>
  <c r="M34" i="385"/>
  <c r="G30" i="385"/>
  <c r="M50" i="385"/>
  <c r="M102" i="385"/>
  <c r="I17" i="385"/>
  <c r="I102" i="385"/>
  <c r="I137" i="385"/>
  <c r="E89" i="385"/>
  <c r="E117" i="385"/>
  <c r="C32" i="385"/>
  <c r="P32" i="385" s="1"/>
  <c r="L34" i="385"/>
  <c r="L65" i="385"/>
  <c r="L77" i="385"/>
  <c r="L20" i="385"/>
  <c r="L99" i="385"/>
  <c r="L126" i="385"/>
  <c r="C37" i="385"/>
  <c r="P37" i="385"/>
  <c r="C52" i="385"/>
  <c r="P52" i="385" s="1"/>
  <c r="C60" i="385"/>
  <c r="P60" i="385" s="1"/>
  <c r="C91" i="385"/>
  <c r="P91" i="385" s="1"/>
  <c r="D102" i="385"/>
  <c r="C103" i="385"/>
  <c r="P103" i="385" s="1"/>
  <c r="C111" i="385"/>
  <c r="P111" i="385" s="1"/>
  <c r="D50" i="385"/>
  <c r="C22" i="385"/>
  <c r="P22" i="385" s="1"/>
  <c r="C104" i="385"/>
  <c r="P104" i="385"/>
  <c r="C114" i="385"/>
  <c r="P114" i="385" s="1"/>
  <c r="C122" i="385"/>
  <c r="P122" i="385" s="1"/>
  <c r="D161" i="385"/>
  <c r="P155" i="385"/>
  <c r="C123" i="385"/>
  <c r="P123" i="385" s="1"/>
  <c r="C131" i="385"/>
  <c r="P131" i="385" s="1"/>
  <c r="C143" i="385"/>
  <c r="P143" i="385"/>
  <c r="C118" i="365"/>
  <c r="P118" i="365"/>
  <c r="D117" i="365"/>
  <c r="G97" i="365"/>
  <c r="I89" i="365"/>
  <c r="C48" i="365"/>
  <c r="P48" i="365" s="1"/>
  <c r="D47" i="365"/>
  <c r="C41" i="365"/>
  <c r="P41" i="365" s="1"/>
  <c r="C39" i="365"/>
  <c r="P39" i="365" s="1"/>
  <c r="J34" i="365"/>
  <c r="J43" i="365"/>
  <c r="C31" i="365"/>
  <c r="P31" i="365"/>
  <c r="D30" i="365"/>
  <c r="L65" i="365"/>
  <c r="H134" i="365"/>
  <c r="H161" i="365"/>
  <c r="C54" i="365"/>
  <c r="P54" i="365"/>
  <c r="C62" i="365"/>
  <c r="P62" i="365"/>
  <c r="C72" i="365"/>
  <c r="P72" i="365" s="1"/>
  <c r="C129" i="365"/>
  <c r="P129" i="365" s="1"/>
  <c r="C139" i="365"/>
  <c r="P139" i="365"/>
  <c r="C149" i="365"/>
  <c r="P149" i="365"/>
  <c r="C55" i="365"/>
  <c r="P55" i="365"/>
  <c r="C63" i="365"/>
  <c r="P63" i="365"/>
  <c r="C73" i="365"/>
  <c r="P73" i="365"/>
  <c r="C136" i="365"/>
  <c r="P136" i="365"/>
  <c r="C144" i="365"/>
  <c r="P144" i="365" s="1"/>
  <c r="C157" i="365"/>
  <c r="P157" i="365" s="1"/>
  <c r="O117" i="365"/>
  <c r="C115" i="365"/>
  <c r="P115" i="365" s="1"/>
  <c r="C111" i="365"/>
  <c r="P111" i="365" s="1"/>
  <c r="I102" i="365"/>
  <c r="C22" i="365"/>
  <c r="P22" i="365"/>
  <c r="C16" i="365"/>
  <c r="P16" i="365"/>
  <c r="L13" i="365"/>
  <c r="C14" i="365"/>
  <c r="P14" i="365" s="1"/>
  <c r="D13" i="365"/>
  <c r="D11" i="365"/>
  <c r="O137" i="365"/>
  <c r="K50" i="365"/>
  <c r="K137" i="365"/>
  <c r="G50" i="365"/>
  <c r="G137" i="365"/>
  <c r="C114" i="365"/>
  <c r="P114" i="365"/>
  <c r="C110" i="365"/>
  <c r="P110" i="365"/>
  <c r="L102" i="365"/>
  <c r="E99" i="365"/>
  <c r="G89" i="365"/>
  <c r="O47" i="365"/>
  <c r="G47" i="365"/>
  <c r="M34" i="365"/>
  <c r="M43" i="365"/>
  <c r="N134" i="365"/>
  <c r="N141" i="365"/>
  <c r="N161" i="365"/>
  <c r="F137" i="365"/>
  <c r="I117" i="365"/>
  <c r="G102" i="365"/>
  <c r="C96" i="365"/>
  <c r="P96" i="365"/>
  <c r="C92" i="365"/>
  <c r="P92" i="365" s="1"/>
  <c r="N89" i="365"/>
  <c r="N20" i="365"/>
  <c r="F20" i="365"/>
  <c r="O17" i="365"/>
  <c r="G17" i="365"/>
  <c r="G23" i="365"/>
  <c r="K13" i="365"/>
  <c r="K11" i="365"/>
  <c r="D139" i="388"/>
  <c r="I155" i="388"/>
  <c r="D164" i="388"/>
  <c r="I10" i="405"/>
  <c r="D144" i="405"/>
  <c r="I144" i="405"/>
  <c r="I145" i="405"/>
  <c r="D78" i="405"/>
  <c r="D77" i="405"/>
  <c r="I79" i="405"/>
  <c r="I28" i="394"/>
  <c r="I26" i="394"/>
  <c r="C48" i="401"/>
  <c r="I26" i="405"/>
  <c r="I12" i="405"/>
  <c r="D11" i="405"/>
  <c r="I11" i="405"/>
  <c r="C165" i="402"/>
  <c r="C178" i="402"/>
  <c r="I28" i="399"/>
  <c r="I33" i="399"/>
  <c r="I30" i="398"/>
  <c r="D29" i="398"/>
  <c r="I29" i="398" s="1"/>
  <c r="I155" i="397"/>
  <c r="I10" i="397"/>
  <c r="D36" i="394"/>
  <c r="I36" i="394" s="1"/>
  <c r="I12" i="398"/>
  <c r="D11" i="398"/>
  <c r="I11" i="398" s="1"/>
  <c r="I37" i="398"/>
  <c r="D36" i="398"/>
  <c r="I36" i="398" s="1"/>
  <c r="I10" i="398"/>
  <c r="C48" i="405"/>
  <c r="D139" i="399"/>
  <c r="I26" i="399"/>
  <c r="D15" i="399"/>
  <c r="I16" i="397"/>
  <c r="D15" i="397"/>
  <c r="I15" i="397" s="1"/>
  <c r="I10" i="407"/>
  <c r="C165" i="401"/>
  <c r="C178" i="401" s="1"/>
  <c r="D144" i="395"/>
  <c r="I144" i="395" s="1"/>
  <c r="I145" i="395"/>
  <c r="I22" i="395"/>
  <c r="D21" i="395"/>
  <c r="I155" i="392"/>
  <c r="C76" i="398"/>
  <c r="I80" i="395"/>
  <c r="I22" i="392"/>
  <c r="I22" i="407"/>
  <c r="D21" i="407"/>
  <c r="I21" i="407" s="1"/>
  <c r="D164" i="407"/>
  <c r="I155" i="407"/>
  <c r="C147" i="407"/>
  <c r="C165" i="407"/>
  <c r="C178" i="407" s="1"/>
  <c r="D139" i="397"/>
  <c r="I139" i="397"/>
  <c r="C118" i="386"/>
  <c r="P118" i="386" s="1"/>
  <c r="I102" i="386"/>
  <c r="F20" i="386"/>
  <c r="F161" i="386"/>
  <c r="K161" i="385"/>
  <c r="G47" i="385"/>
  <c r="G65" i="385"/>
  <c r="J146" i="385"/>
  <c r="J141" i="385" s="1"/>
  <c r="M161" i="385"/>
  <c r="L50" i="385"/>
  <c r="H89" i="385"/>
  <c r="H126" i="385"/>
  <c r="H146" i="385"/>
  <c r="C39" i="385"/>
  <c r="P39" i="385" s="1"/>
  <c r="C62" i="385"/>
  <c r="P62" i="385" s="1"/>
  <c r="C19" i="385"/>
  <c r="P19" i="385" s="1"/>
  <c r="C93" i="385"/>
  <c r="P93" i="385"/>
  <c r="C105" i="385"/>
  <c r="P105" i="385"/>
  <c r="C53" i="385"/>
  <c r="P53" i="385"/>
  <c r="C166" i="385"/>
  <c r="P166" i="385" s="1"/>
  <c r="P88" i="385"/>
  <c r="P96" i="385"/>
  <c r="C106" i="385"/>
  <c r="P106" i="385" s="1"/>
  <c r="C124" i="385"/>
  <c r="P124" i="385"/>
  <c r="C144" i="385"/>
  <c r="P144" i="385" s="1"/>
  <c r="C157" i="385"/>
  <c r="P157" i="385" s="1"/>
  <c r="C125" i="385"/>
  <c r="P125" i="385"/>
  <c r="C133" i="385"/>
  <c r="P133" i="385"/>
  <c r="C145" i="385"/>
  <c r="P145" i="385" s="1"/>
  <c r="C158" i="385"/>
  <c r="P158" i="385" s="1"/>
  <c r="N102" i="365"/>
  <c r="E89" i="365"/>
  <c r="C37" i="365"/>
  <c r="P37" i="365" s="1"/>
  <c r="C33" i="365"/>
  <c r="P33" i="365" s="1"/>
  <c r="L141" i="365"/>
  <c r="L161" i="365"/>
  <c r="C138" i="365"/>
  <c r="P138" i="365"/>
  <c r="D137" i="365"/>
  <c r="C125" i="365"/>
  <c r="P125" i="365" s="1"/>
  <c r="C121" i="365"/>
  <c r="P121" i="365"/>
  <c r="K117" i="365"/>
  <c r="E102" i="365"/>
  <c r="N99" i="365"/>
  <c r="N97" i="365"/>
  <c r="L89" i="365"/>
  <c r="J13" i="365"/>
  <c r="C124" i="365"/>
  <c r="P124" i="365"/>
  <c r="C120" i="365"/>
  <c r="P120" i="365" s="1"/>
  <c r="N117" i="365"/>
  <c r="H102" i="365"/>
  <c r="C101" i="365"/>
  <c r="P101" i="365"/>
  <c r="C53" i="365"/>
  <c r="P53" i="365"/>
  <c r="D50" i="365"/>
  <c r="C51" i="365"/>
  <c r="P51" i="365"/>
  <c r="M47" i="365"/>
  <c r="E47" i="365"/>
  <c r="I34" i="365"/>
  <c r="I43" i="365" s="1"/>
  <c r="C130" i="365"/>
  <c r="P130" i="365" s="1"/>
  <c r="N126" i="365"/>
  <c r="E117" i="365"/>
  <c r="C113" i="365"/>
  <c r="P113" i="365"/>
  <c r="C109" i="365"/>
  <c r="P109" i="365" s="1"/>
  <c r="H99" i="365"/>
  <c r="H97" i="365" s="1"/>
  <c r="C98" i="365"/>
  <c r="P98" i="365"/>
  <c r="J89" i="365"/>
  <c r="H50" i="365"/>
  <c r="L20" i="365"/>
  <c r="C21" i="365"/>
  <c r="P21" i="365"/>
  <c r="D20" i="365"/>
  <c r="M17" i="365"/>
  <c r="E17" i="365"/>
  <c r="C15" i="365"/>
  <c r="P15" i="365"/>
  <c r="I13" i="365"/>
  <c r="I11" i="365" s="1"/>
  <c r="D126" i="365"/>
  <c r="I22" i="388"/>
  <c r="D21" i="388"/>
  <c r="I21" i="388"/>
  <c r="I33" i="388"/>
  <c r="D11" i="388"/>
  <c r="D51" i="388"/>
  <c r="D50" i="388" s="1"/>
  <c r="D51" i="405"/>
  <c r="D50" i="405"/>
  <c r="I12" i="394"/>
  <c r="D11" i="394"/>
  <c r="I30" i="394"/>
  <c r="D29" i="394"/>
  <c r="I29" i="394"/>
  <c r="D36" i="405"/>
  <c r="I37" i="405"/>
  <c r="I22" i="405"/>
  <c r="D21" i="405"/>
  <c r="I21" i="405" s="1"/>
  <c r="I16" i="405"/>
  <c r="D15" i="405"/>
  <c r="I15" i="405"/>
  <c r="C147" i="404"/>
  <c r="C165" i="404" s="1"/>
  <c r="C178" i="404" s="1"/>
  <c r="D160" i="401" a="1"/>
  <c r="D160" i="401"/>
  <c r="I160" i="401" s="1"/>
  <c r="D157" i="401" a="1"/>
  <c r="D157" i="401"/>
  <c r="D143" i="401" a="1"/>
  <c r="D143" i="401"/>
  <c r="D136" i="401" a="1"/>
  <c r="D136" i="401"/>
  <c r="I136" i="401" s="1"/>
  <c r="D132" i="401" a="1"/>
  <c r="D132" i="401" s="1"/>
  <c r="I132" i="401" s="1"/>
  <c r="D128" i="401" a="1"/>
  <c r="D128" i="401" s="1"/>
  <c r="I128" i="401"/>
  <c r="D125" i="401" a="1"/>
  <c r="D125" i="401"/>
  <c r="D121" i="401" a="1"/>
  <c r="D121" i="401" s="1"/>
  <c r="I121" i="401" s="1"/>
  <c r="D118" i="401" a="1"/>
  <c r="D118" i="401"/>
  <c r="D114" i="401" a="1"/>
  <c r="D114" i="401"/>
  <c r="I114" i="401" s="1"/>
  <c r="D110" i="401" a="1"/>
  <c r="D110" i="401" s="1"/>
  <c r="I110" i="401" s="1"/>
  <c r="D106" i="401" a="1"/>
  <c r="D106" i="401" s="1"/>
  <c r="I106" i="401"/>
  <c r="D102" i="401" a="1"/>
  <c r="D102" i="401"/>
  <c r="I102" i="401" s="1"/>
  <c r="D98" i="401" a="1"/>
  <c r="D98" i="401"/>
  <c r="I98" i="401" s="1"/>
  <c r="D94" i="401" a="1"/>
  <c r="D94" i="401"/>
  <c r="D86" i="401" a="1"/>
  <c r="D86" i="401" s="1"/>
  <c r="D80" i="401" a="1"/>
  <c r="D80" i="401"/>
  <c r="I80" i="401" s="1"/>
  <c r="D72" i="401" a="1"/>
  <c r="D72" i="401"/>
  <c r="D70" i="401" a="1"/>
  <c r="D70" i="401"/>
  <c r="I70" i="401" s="1"/>
  <c r="D68" i="401" a="1"/>
  <c r="D68" i="401"/>
  <c r="D65" i="401" a="1"/>
  <c r="D65" i="401"/>
  <c r="I65" i="401"/>
  <c r="D60" i="401" a="1"/>
  <c r="D60" i="401" s="1"/>
  <c r="I60" i="401" s="1"/>
  <c r="D57" i="401" a="1"/>
  <c r="D57" i="401"/>
  <c r="I57" i="401" s="1"/>
  <c r="D55" i="401" a="1"/>
  <c r="D55" i="401"/>
  <c r="D45" i="401" a="1"/>
  <c r="D45" i="401"/>
  <c r="I45" i="401"/>
  <c r="D42" i="401" a="1"/>
  <c r="D42" i="401"/>
  <c r="I42" i="401" s="1"/>
  <c r="D38" i="401" a="1"/>
  <c r="D38" i="401"/>
  <c r="I38" i="401"/>
  <c r="D35" i="401" a="1"/>
  <c r="D35" i="401"/>
  <c r="I35" i="401" s="1"/>
  <c r="D31" i="401" a="1"/>
  <c r="D31" i="401" s="1"/>
  <c r="I31" i="401" s="1"/>
  <c r="D17" i="401" a="1"/>
  <c r="D17" i="401" s="1"/>
  <c r="I17" i="401" s="1"/>
  <c r="D13" i="401" a="1"/>
  <c r="D13" i="401" s="1"/>
  <c r="I13" i="401" s="1"/>
  <c r="D175" i="401" a="1"/>
  <c r="D175" i="401"/>
  <c r="D162" i="401" a="1"/>
  <c r="D162" i="401"/>
  <c r="D156" i="401" a="1"/>
  <c r="D156" i="401"/>
  <c r="I156" i="401" s="1"/>
  <c r="D145" i="401" a="1"/>
  <c r="D145" i="401" s="1"/>
  <c r="D141" i="401" a="1"/>
  <c r="D141" i="401"/>
  <c r="I141" i="401" s="1"/>
  <c r="D137" i="401" a="1"/>
  <c r="D137" i="401" s="1"/>
  <c r="I137" i="401" s="1"/>
  <c r="D130" i="401" a="1"/>
  <c r="D130" i="401" s="1"/>
  <c r="I130" i="401" s="1"/>
  <c r="D123" i="401" a="1"/>
  <c r="D123" i="401"/>
  <c r="I123" i="401" s="1"/>
  <c r="D116" i="401" a="1"/>
  <c r="D116" i="401" s="1"/>
  <c r="I116" i="401" s="1"/>
  <c r="D109" i="401" a="1"/>
  <c r="D109" i="401" s="1"/>
  <c r="I109" i="401"/>
  <c r="D107" i="401" a="1"/>
  <c r="D107" i="401"/>
  <c r="I107" i="401"/>
  <c r="D100" i="401" a="1"/>
  <c r="D100" i="401"/>
  <c r="I100" i="401" s="1"/>
  <c r="D96" i="401" a="1"/>
  <c r="D96" i="401"/>
  <c r="I96" i="401"/>
  <c r="D95" i="401" a="1"/>
  <c r="D95" i="401"/>
  <c r="D90" i="401" a="1"/>
  <c r="D90" i="401"/>
  <c r="D89" i="401" a="1"/>
  <c r="D89" i="401" s="1"/>
  <c r="D84" i="401" a="1"/>
  <c r="D84" i="401" s="1"/>
  <c r="I84" i="401" s="1"/>
  <c r="D67" i="401" a="1"/>
  <c r="D67" i="401" s="1"/>
  <c r="D56" i="401" a="1"/>
  <c r="D56" i="401" s="1"/>
  <c r="D52" i="401" a="1"/>
  <c r="D52" i="401"/>
  <c r="D43" i="401" a="1"/>
  <c r="D43" i="401" s="1"/>
  <c r="I43" i="401" s="1"/>
  <c r="D33" i="401" a="1"/>
  <c r="D33" i="401"/>
  <c r="D22" i="401" a="1"/>
  <c r="D22" i="401" s="1"/>
  <c r="D20" i="401" a="1"/>
  <c r="D20" i="401" s="1"/>
  <c r="D12" i="401" a="1"/>
  <c r="D12" i="401" s="1"/>
  <c r="D159" i="401" a="1"/>
  <c r="D159" i="401"/>
  <c r="I159" i="401" s="1"/>
  <c r="D158" i="401" a="1"/>
  <c r="D158" i="401" s="1"/>
  <c r="D134" i="401" a="1"/>
  <c r="D134" i="401" s="1"/>
  <c r="I134" i="401" s="1"/>
  <c r="D127" i="401" a="1"/>
  <c r="D127" i="401"/>
  <c r="I127" i="401" s="1"/>
  <c r="D120" i="401" a="1"/>
  <c r="D120" i="401"/>
  <c r="I120" i="401" s="1"/>
  <c r="D113" i="401" a="1"/>
  <c r="D113" i="401" s="1"/>
  <c r="I113" i="401" s="1"/>
  <c r="D111" i="401" a="1"/>
  <c r="D111" i="401" s="1"/>
  <c r="I111" i="401" s="1"/>
  <c r="D104" i="401" a="1"/>
  <c r="D104" i="401"/>
  <c r="I104" i="401" s="1"/>
  <c r="D97" i="401" a="1"/>
  <c r="D97" i="401" s="1"/>
  <c r="I97" i="401" s="1"/>
  <c r="D92" i="401" a="1"/>
  <c r="D92" i="401" s="1"/>
  <c r="I92" i="401"/>
  <c r="D88" i="401" a="1"/>
  <c r="D88" i="401"/>
  <c r="D74" i="401" a="1"/>
  <c r="D74" i="401" s="1"/>
  <c r="I74" i="401" s="1"/>
  <c r="D69" i="401" a="1"/>
  <c r="D69" i="401"/>
  <c r="D64" i="401" a="1"/>
  <c r="D64" i="401"/>
  <c r="I64" i="401" s="1"/>
  <c r="D63" i="401" a="1"/>
  <c r="D63" i="401" s="1"/>
  <c r="D59" i="401" a="1"/>
  <c r="D59" i="401" s="1"/>
  <c r="I59" i="401" s="1"/>
  <c r="D58" i="401" a="1"/>
  <c r="D58" i="401" s="1"/>
  <c r="D40" i="401" a="1"/>
  <c r="D40" i="401" s="1"/>
  <c r="I40" i="401" s="1"/>
  <c r="D28" i="401" a="1"/>
  <c r="D28" i="401" s="1"/>
  <c r="D26" i="401" a="1"/>
  <c r="D26" i="401"/>
  <c r="D14" i="401" a="1"/>
  <c r="D14" i="401" s="1"/>
  <c r="I14" i="401"/>
  <c r="D161" i="401" a="1"/>
  <c r="D161" i="401"/>
  <c r="I161" i="401" s="1"/>
  <c r="D155" i="401" a="1"/>
  <c r="D155" i="401"/>
  <c r="D135" i="401" a="1"/>
  <c r="D135" i="401"/>
  <c r="I135" i="401"/>
  <c r="D126" i="401" a="1"/>
  <c r="D126" i="401"/>
  <c r="I126" i="401" s="1"/>
  <c r="D124" i="401" a="1"/>
  <c r="D124" i="401" s="1"/>
  <c r="I124" i="401" s="1"/>
  <c r="D122" i="401" a="1"/>
  <c r="D122" i="401"/>
  <c r="I122" i="401" s="1"/>
  <c r="D103" i="401" a="1"/>
  <c r="D103" i="401" s="1"/>
  <c r="I103" i="401" s="1"/>
  <c r="D101" i="401" a="1"/>
  <c r="D101" i="401" s="1"/>
  <c r="I101" i="401"/>
  <c r="D99" i="401" a="1"/>
  <c r="D99" i="401" s="1"/>
  <c r="I99" i="401" s="1"/>
  <c r="D93" i="401" a="1"/>
  <c r="D93" i="401"/>
  <c r="I93" i="401" s="1"/>
  <c r="D73" i="401" a="1"/>
  <c r="D73" i="401" s="1"/>
  <c r="I73" i="401"/>
  <c r="D71" i="401" a="1"/>
  <c r="D71" i="401"/>
  <c r="D62" i="401" a="1"/>
  <c r="D62" i="401" s="1"/>
  <c r="D18" i="401" a="1"/>
  <c r="D18" i="401" s="1"/>
  <c r="I18" i="401" s="1"/>
  <c r="D16" i="401" a="1"/>
  <c r="D16" i="401" s="1"/>
  <c r="D142" i="401" a="1"/>
  <c r="D142" i="401" s="1"/>
  <c r="I142" i="401" s="1"/>
  <c r="D140" i="401" a="1"/>
  <c r="D140" i="401"/>
  <c r="D119" i="401" a="1"/>
  <c r="D119" i="401"/>
  <c r="I119" i="401" s="1"/>
  <c r="D117" i="401" a="1"/>
  <c r="D117" i="401" s="1"/>
  <c r="I117" i="401" s="1"/>
  <c r="D115" i="401" a="1"/>
  <c r="D115" i="401" s="1"/>
  <c r="I115" i="401" s="1"/>
  <c r="D108" i="401" a="1"/>
  <c r="D108" i="401" s="1"/>
  <c r="I108" i="401"/>
  <c r="D105" i="401" a="1"/>
  <c r="D105" i="401"/>
  <c r="I105" i="401"/>
  <c r="D87" i="401" a="1"/>
  <c r="D87" i="401" s="1"/>
  <c r="I87" i="401" s="1"/>
  <c r="D85" i="401" a="1"/>
  <c r="D85" i="401"/>
  <c r="I85" i="401" s="1"/>
  <c r="D83" i="401" a="1"/>
  <c r="D83" i="401"/>
  <c r="I83" i="401" s="1"/>
  <c r="D81" i="401" a="1"/>
  <c r="D81" i="401"/>
  <c r="D79" i="401" a="1"/>
  <c r="D79" i="401"/>
  <c r="D66" i="401" a="1"/>
  <c r="D66" i="401"/>
  <c r="I66" i="401"/>
  <c r="D34" i="401" a="1"/>
  <c r="D34" i="401" s="1"/>
  <c r="I34" i="401"/>
  <c r="D30" i="401" a="1"/>
  <c r="D30" i="401"/>
  <c r="D10" i="401" a="1"/>
  <c r="D10" i="401" s="1"/>
  <c r="D82" i="401" a="1"/>
  <c r="D82" i="401" s="1"/>
  <c r="D53" i="401" a="1"/>
  <c r="D53" i="401" s="1"/>
  <c r="D39" i="401" a="1"/>
  <c r="D39" i="401"/>
  <c r="I39" i="401" s="1"/>
  <c r="D37" i="401" a="1"/>
  <c r="D37" i="401" s="1"/>
  <c r="D163" i="401" a="1"/>
  <c r="D163" i="401" s="1"/>
  <c r="I163" i="401"/>
  <c r="D133" i="401" a="1"/>
  <c r="D133" i="401"/>
  <c r="I133" i="401" s="1"/>
  <c r="D131" i="401" a="1"/>
  <c r="D131" i="401"/>
  <c r="I131" i="401" s="1"/>
  <c r="D129" i="401" a="1"/>
  <c r="D129" i="401" s="1"/>
  <c r="I129" i="401" s="1"/>
  <c r="D112" i="401" a="1"/>
  <c r="D112" i="401" s="1"/>
  <c r="D91" i="401" a="1"/>
  <c r="D91" i="401" s="1"/>
  <c r="I91" i="401"/>
  <c r="D61" i="401" a="1"/>
  <c r="D61" i="401"/>
  <c r="I61" i="401" s="1"/>
  <c r="D54" i="401" a="1"/>
  <c r="D54" i="401" s="1"/>
  <c r="I54" i="401" s="1"/>
  <c r="D44" i="401" a="1"/>
  <c r="D44" i="401" s="1"/>
  <c r="D41" i="401" a="1"/>
  <c r="D41" i="401" s="1"/>
  <c r="I41" i="401" s="1"/>
  <c r="D23" i="401" a="1"/>
  <c r="D23" i="401" s="1"/>
  <c r="I23" i="401" s="1"/>
  <c r="D144" i="399"/>
  <c r="I144" i="399"/>
  <c r="I145" i="399"/>
  <c r="I37" i="399"/>
  <c r="I28" i="398"/>
  <c r="D27" i="398"/>
  <c r="I27" i="398" s="1"/>
  <c r="I16" i="398"/>
  <c r="D15" i="398"/>
  <c r="I15" i="398" s="1"/>
  <c r="D139" i="398"/>
  <c r="C147" i="394"/>
  <c r="C165" i="394" s="1"/>
  <c r="C178" i="394" s="1"/>
  <c r="I26" i="398"/>
  <c r="I20" i="397"/>
  <c r="D162" i="408" a="1"/>
  <c r="D162" i="408"/>
  <c r="D158" i="408" a="1"/>
  <c r="D158" i="408"/>
  <c r="I158" i="408" s="1"/>
  <c r="D135" i="408" a="1"/>
  <c r="D135" i="408" s="1"/>
  <c r="I135" i="408" s="1"/>
  <c r="D131" i="408" a="1"/>
  <c r="D131" i="408" s="1"/>
  <c r="I131" i="408" s="1"/>
  <c r="D127" i="408" a="1"/>
  <c r="D127" i="408" s="1"/>
  <c r="I127" i="408" s="1"/>
  <c r="D124" i="408" a="1"/>
  <c r="D124" i="408"/>
  <c r="I124" i="408" s="1"/>
  <c r="D120" i="408" a="1"/>
  <c r="D120" i="408" s="1"/>
  <c r="I120" i="408"/>
  <c r="D116" i="408" a="1"/>
  <c r="D116" i="408"/>
  <c r="I116" i="408" s="1"/>
  <c r="D112" i="408" a="1"/>
  <c r="D112" i="408"/>
  <c r="I112" i="408" s="1"/>
  <c r="D108" i="408" a="1"/>
  <c r="D108" i="408"/>
  <c r="I108" i="408" s="1"/>
  <c r="D104" i="408" a="1"/>
  <c r="D104" i="408" s="1"/>
  <c r="I104" i="408" s="1"/>
  <c r="D100" i="408" a="1"/>
  <c r="D100" i="408"/>
  <c r="I100" i="408" s="1"/>
  <c r="D93" i="408" a="1"/>
  <c r="D93" i="408" s="1"/>
  <c r="I93" i="408"/>
  <c r="D90" i="408" a="1"/>
  <c r="D90" i="408" s="1"/>
  <c r="D87" i="408" a="1"/>
  <c r="D87" i="408" s="1"/>
  <c r="I87" i="408" s="1"/>
  <c r="D84" i="408" a="1"/>
  <c r="D84" i="408" s="1"/>
  <c r="I84" i="408"/>
  <c r="D80" i="408" a="1"/>
  <c r="D80" i="408"/>
  <c r="I80" i="408"/>
  <c r="D74" i="408" a="1"/>
  <c r="D74" i="408" s="1"/>
  <c r="I74" i="408" s="1"/>
  <c r="D67" i="408" a="1"/>
  <c r="D67" i="408"/>
  <c r="I67" i="408"/>
  <c r="D63" i="408" a="1"/>
  <c r="D63" i="408"/>
  <c r="D61" i="408" a="1"/>
  <c r="D61" i="408"/>
  <c r="D57" i="408" a="1"/>
  <c r="D57" i="408" s="1"/>
  <c r="I57" i="408" s="1"/>
  <c r="D55" i="408" a="1"/>
  <c r="D55" i="408"/>
  <c r="D45" i="408" a="1"/>
  <c r="D45" i="408"/>
  <c r="I45" i="408" s="1"/>
  <c r="D42" i="408" a="1"/>
  <c r="D42" i="408" s="1"/>
  <c r="I42" i="408"/>
  <c r="D38" i="408" a="1"/>
  <c r="D38" i="408" s="1"/>
  <c r="D35" i="408" a="1"/>
  <c r="D35" i="408"/>
  <c r="I35" i="408" s="1"/>
  <c r="D31" i="408" a="1"/>
  <c r="D31" i="408"/>
  <c r="I31" i="408" s="1"/>
  <c r="D23" i="408" a="1"/>
  <c r="D23" i="408"/>
  <c r="I23" i="408"/>
  <c r="D16" i="408" a="1"/>
  <c r="D16" i="408"/>
  <c r="D13" i="408" a="1"/>
  <c r="D13" i="408"/>
  <c r="I13" i="408"/>
  <c r="D175" i="408" a="1"/>
  <c r="D175" i="408" s="1"/>
  <c r="D159" i="408" a="1"/>
  <c r="D159" i="408"/>
  <c r="I159" i="408"/>
  <c r="D155" i="408" a="1"/>
  <c r="D155" i="408"/>
  <c r="D145" i="408" a="1"/>
  <c r="D145" i="408"/>
  <c r="D141" i="408" a="1"/>
  <c r="D141" i="408"/>
  <c r="I141" i="408" s="1"/>
  <c r="D136" i="408" a="1"/>
  <c r="D136" i="408" s="1"/>
  <c r="I136" i="408" s="1"/>
  <c r="D132" i="408" a="1"/>
  <c r="D132" i="408"/>
  <c r="I132" i="408"/>
  <c r="D128" i="408" a="1"/>
  <c r="D128" i="408"/>
  <c r="I128" i="408" s="1"/>
  <c r="D125" i="408" a="1"/>
  <c r="D125" i="408"/>
  <c r="D121" i="408" a="1"/>
  <c r="D121" i="408" s="1"/>
  <c r="I121" i="408"/>
  <c r="D117" i="408" a="1"/>
  <c r="D117" i="408" s="1"/>
  <c r="I117" i="408"/>
  <c r="D113" i="408" a="1"/>
  <c r="D113" i="408"/>
  <c r="I113" i="408"/>
  <c r="D109" i="408" a="1"/>
  <c r="D109" i="408" s="1"/>
  <c r="I109" i="408" s="1"/>
  <c r="D105" i="408" a="1"/>
  <c r="D105" i="408"/>
  <c r="I105" i="408"/>
  <c r="D101" i="408" a="1"/>
  <c r="D101" i="408" s="1"/>
  <c r="I101" i="408" s="1"/>
  <c r="D97" i="408" a="1"/>
  <c r="D97" i="408"/>
  <c r="I97" i="408" s="1"/>
  <c r="D94" i="408" a="1"/>
  <c r="D94" i="408" s="1"/>
  <c r="I94" i="408" s="1"/>
  <c r="D88" i="408" a="1"/>
  <c r="D88" i="408" s="1"/>
  <c r="I88" i="408" s="1"/>
  <c r="D85" i="408" a="1"/>
  <c r="D85" i="408"/>
  <c r="I85" i="408"/>
  <c r="D81" i="408" a="1"/>
  <c r="D81" i="408" s="1"/>
  <c r="D72" i="408" a="1"/>
  <c r="D72" i="408"/>
  <c r="D70" i="408" a="1"/>
  <c r="D70" i="408" s="1"/>
  <c r="D68" i="408" a="1"/>
  <c r="D68" i="408" s="1"/>
  <c r="D58" i="408" a="1"/>
  <c r="D58" i="408"/>
  <c r="I58" i="408"/>
  <c r="D53" i="408" a="1"/>
  <c r="D53" i="408"/>
  <c r="D43" i="408" a="1"/>
  <c r="D43" i="408"/>
  <c r="I43" i="408" s="1"/>
  <c r="D39" i="408" a="1"/>
  <c r="D39" i="408" s="1"/>
  <c r="I39" i="408" s="1"/>
  <c r="D28" i="408" a="1"/>
  <c r="D28" i="408" s="1"/>
  <c r="D20" i="408" a="1"/>
  <c r="D20" i="408"/>
  <c r="D17" i="408" a="1"/>
  <c r="D17" i="408"/>
  <c r="I17" i="408" s="1"/>
  <c r="D14" i="408" a="1"/>
  <c r="D14" i="408"/>
  <c r="I14" i="408"/>
  <c r="D10" i="408" a="1"/>
  <c r="D10" i="408"/>
  <c r="D163" i="408" a="1"/>
  <c r="D163" i="408"/>
  <c r="I163" i="408" s="1"/>
  <c r="D160" i="408" a="1"/>
  <c r="D160" i="408"/>
  <c r="I160" i="408"/>
  <c r="D156" i="408" a="1"/>
  <c r="D156" i="408"/>
  <c r="D142" i="408" a="1"/>
  <c r="D142" i="408"/>
  <c r="I142" i="408"/>
  <c r="D137" i="408" a="1"/>
  <c r="D137" i="408" s="1"/>
  <c r="D133" i="408" a="1"/>
  <c r="D133" i="408" s="1"/>
  <c r="I133" i="408" s="1"/>
  <c r="D129" i="408" a="1"/>
  <c r="D129" i="408" s="1"/>
  <c r="I129" i="408"/>
  <c r="D122" i="408" a="1"/>
  <c r="D122" i="408"/>
  <c r="I122" i="408" s="1"/>
  <c r="D118" i="408" a="1"/>
  <c r="D118" i="408" s="1"/>
  <c r="I118" i="408" s="1"/>
  <c r="D114" i="408" a="1"/>
  <c r="D114" i="408"/>
  <c r="I114" i="408"/>
  <c r="D110" i="408" a="1"/>
  <c r="D110" i="408" s="1"/>
  <c r="I110" i="408" s="1"/>
  <c r="D106" i="408" a="1"/>
  <c r="D106" i="408"/>
  <c r="I106" i="408" s="1"/>
  <c r="D102" i="408" a="1"/>
  <c r="D102" i="408"/>
  <c r="I102" i="408" s="1"/>
  <c r="D98" i="408" a="1"/>
  <c r="D98" i="408"/>
  <c r="I98" i="408" s="1"/>
  <c r="D95" i="408" a="1"/>
  <c r="D95" i="408"/>
  <c r="I95" i="408" s="1"/>
  <c r="D91" i="408" a="1"/>
  <c r="D91" i="408"/>
  <c r="I91" i="408"/>
  <c r="D89" i="408" a="1"/>
  <c r="D89" i="408" s="1"/>
  <c r="D86" i="408" a="1"/>
  <c r="D86" i="408" s="1"/>
  <c r="D82" i="408" a="1"/>
  <c r="D82" i="408"/>
  <c r="I82" i="408" s="1"/>
  <c r="D64" i="408" a="1"/>
  <c r="D64" i="408"/>
  <c r="I64" i="408" s="1"/>
  <c r="D62" i="408" a="1"/>
  <c r="D62" i="408" s="1"/>
  <c r="D59" i="408" a="1"/>
  <c r="D59" i="408"/>
  <c r="I59" i="408" s="1"/>
  <c r="D56" i="408" a="1"/>
  <c r="D56" i="408"/>
  <c r="D44" i="408" a="1"/>
  <c r="D44" i="408"/>
  <c r="D40" i="408" a="1"/>
  <c r="D40" i="408"/>
  <c r="I40" i="408"/>
  <c r="D33" i="408" a="1"/>
  <c r="D33" i="408" s="1"/>
  <c r="D161" i="408" a="1"/>
  <c r="D161" i="408" s="1"/>
  <c r="I161" i="408"/>
  <c r="D157" i="408" a="1"/>
  <c r="D157" i="408"/>
  <c r="I157" i="408" s="1"/>
  <c r="D143" i="408" a="1"/>
  <c r="D143" i="408" s="1"/>
  <c r="D140" i="408" a="1"/>
  <c r="D140" i="408" s="1"/>
  <c r="D134" i="408" a="1"/>
  <c r="D134" i="408"/>
  <c r="I134" i="408" s="1"/>
  <c r="D130" i="408" a="1"/>
  <c r="D130" i="408" s="1"/>
  <c r="I130" i="408"/>
  <c r="D126" i="408" a="1"/>
  <c r="D126" i="408"/>
  <c r="I126" i="408"/>
  <c r="D123" i="408" a="1"/>
  <c r="D123" i="408" s="1"/>
  <c r="I123" i="408" s="1"/>
  <c r="D119" i="408" a="1"/>
  <c r="D119" i="408" s="1"/>
  <c r="I119" i="408" s="1"/>
  <c r="D115" i="408" a="1"/>
  <c r="D115" i="408" s="1"/>
  <c r="D111" i="408" a="1"/>
  <c r="D111" i="408" s="1"/>
  <c r="I111" i="408" s="1"/>
  <c r="D107" i="408" a="1"/>
  <c r="D107" i="408" s="1"/>
  <c r="I107" i="408" s="1"/>
  <c r="D103" i="408" a="1"/>
  <c r="D103" i="408" s="1"/>
  <c r="I103" i="408" s="1"/>
  <c r="D99" i="408" a="1"/>
  <c r="D99" i="408" s="1"/>
  <c r="I99" i="408" s="1"/>
  <c r="D96" i="408" a="1"/>
  <c r="D96" i="408" s="1"/>
  <c r="D92" i="408" a="1"/>
  <c r="D92" i="408"/>
  <c r="I92" i="408" s="1"/>
  <c r="D83" i="408" a="1"/>
  <c r="D83" i="408" s="1"/>
  <c r="I83" i="408"/>
  <c r="D79" i="408" a="1"/>
  <c r="D79" i="408"/>
  <c r="D73" i="408" a="1"/>
  <c r="D73" i="408"/>
  <c r="I73" i="408" s="1"/>
  <c r="D71" i="408" a="1"/>
  <c r="D71" i="408" s="1"/>
  <c r="D69" i="408" a="1"/>
  <c r="D69" i="408" s="1"/>
  <c r="D66" i="408" a="1"/>
  <c r="D66" i="408" s="1"/>
  <c r="I66" i="408" s="1"/>
  <c r="D65" i="408" a="1"/>
  <c r="D65" i="408" s="1"/>
  <c r="I65" i="408" s="1"/>
  <c r="D60" i="408" a="1"/>
  <c r="D60" i="408" s="1"/>
  <c r="I60" i="408"/>
  <c r="D54" i="408" a="1"/>
  <c r="D54" i="408" s="1"/>
  <c r="I54" i="408" s="1"/>
  <c r="D52" i="408" a="1"/>
  <c r="D52" i="408" s="1"/>
  <c r="D41" i="408" a="1"/>
  <c r="D41" i="408" s="1"/>
  <c r="I41" i="408" s="1"/>
  <c r="D37" i="408" a="1"/>
  <c r="D37" i="408"/>
  <c r="D34" i="408" a="1"/>
  <c r="D34" i="408" s="1"/>
  <c r="I34" i="408" s="1"/>
  <c r="D30" i="408" a="1"/>
  <c r="D30" i="408" s="1"/>
  <c r="D26" i="408" a="1"/>
  <c r="D26" i="408"/>
  <c r="D22" i="408" a="1"/>
  <c r="D22" i="408" s="1"/>
  <c r="D18" i="408" a="1"/>
  <c r="D18" i="408" s="1"/>
  <c r="I18" i="408" s="1"/>
  <c r="D12" i="408" a="1"/>
  <c r="D12" i="408"/>
  <c r="I28" i="407"/>
  <c r="D163" i="360" a="1"/>
  <c r="D163" i="360" s="1"/>
  <c r="I163" i="360" s="1"/>
  <c r="D158" i="360" a="1"/>
  <c r="D158" i="360"/>
  <c r="I158" i="360" s="1"/>
  <c r="D140" i="360" a="1"/>
  <c r="D140" i="360" s="1"/>
  <c r="D137" i="360" a="1"/>
  <c r="D137" i="360"/>
  <c r="I137" i="360" s="1"/>
  <c r="D133" i="360" a="1"/>
  <c r="D133" i="360" s="1"/>
  <c r="D129" i="360" a="1"/>
  <c r="D129" i="360"/>
  <c r="I129" i="360" s="1"/>
  <c r="D123" i="360" a="1"/>
  <c r="D123" i="360" s="1"/>
  <c r="D119" i="360" a="1"/>
  <c r="D119" i="360" s="1"/>
  <c r="I119" i="360" s="1"/>
  <c r="D115" i="360" a="1"/>
  <c r="D115" i="360"/>
  <c r="I115" i="360" s="1"/>
  <c r="D113" i="360" a="1"/>
  <c r="D113" i="360" s="1"/>
  <c r="D106" i="360" a="1"/>
  <c r="D106" i="360"/>
  <c r="I106" i="360" s="1"/>
  <c r="D103" i="360" a="1"/>
  <c r="D103" i="360" s="1"/>
  <c r="D95" i="360" a="1"/>
  <c r="D95" i="360" s="1"/>
  <c r="D92" i="360" a="1"/>
  <c r="D92" i="360" s="1"/>
  <c r="I92" i="360" s="1"/>
  <c r="D87" i="360" a="1"/>
  <c r="D87" i="360" s="1"/>
  <c r="D81" i="360" a="1"/>
  <c r="D81" i="360" s="1"/>
  <c r="H81" i="360" s="1"/>
  <c r="D65" i="360" a="1"/>
  <c r="D65" i="360" s="1"/>
  <c r="D62" i="360" a="1"/>
  <c r="D62" i="360" s="1"/>
  <c r="D59" i="360" a="1"/>
  <c r="D59" i="360" s="1"/>
  <c r="D54" i="360" a="1"/>
  <c r="D54" i="360" s="1"/>
  <c r="I54" i="360" s="1"/>
  <c r="D52" i="360" a="1"/>
  <c r="D52" i="360" s="1"/>
  <c r="D44" i="360" a="1"/>
  <c r="D44" i="360" s="1"/>
  <c r="I44" i="360" s="1"/>
  <c r="D37" i="360" a="1"/>
  <c r="D37" i="360" s="1"/>
  <c r="I37" i="360" s="1"/>
  <c r="D34" i="360" a="1"/>
  <c r="D34" i="360" s="1"/>
  <c r="I34" i="360" s="1"/>
  <c r="D30" i="360" a="1"/>
  <c r="D30" i="360" s="1"/>
  <c r="D26" i="360" a="1"/>
  <c r="D26" i="360"/>
  <c r="H26" i="360" s="1"/>
  <c r="D22" i="360" a="1"/>
  <c r="D22" i="360" s="1"/>
  <c r="D18" i="360" a="1"/>
  <c r="D18" i="360" s="1"/>
  <c r="D12" i="360" a="1"/>
  <c r="D12" i="360" s="1"/>
  <c r="D175" i="360" a="1"/>
  <c r="D175" i="360" s="1"/>
  <c r="D161" i="360" a="1"/>
  <c r="D161" i="360" s="1"/>
  <c r="D155" i="360" a="1"/>
  <c r="D155" i="360" s="1"/>
  <c r="H155" i="360" s="1"/>
  <c r="D145" i="360" a="1"/>
  <c r="D145" i="360"/>
  <c r="D141" i="360" a="1"/>
  <c r="D141" i="360" s="1"/>
  <c r="D134" i="360" a="1"/>
  <c r="D134" i="360"/>
  <c r="I134" i="360" s="1"/>
  <c r="D130" i="360" a="1"/>
  <c r="D130" i="360"/>
  <c r="I130" i="360" s="1"/>
  <c r="D126" i="360" a="1"/>
  <c r="D126" i="360" s="1"/>
  <c r="D124" i="360" a="1"/>
  <c r="D124" i="360" s="1"/>
  <c r="I124" i="360" s="1"/>
  <c r="D120" i="360" a="1"/>
  <c r="D120" i="360"/>
  <c r="H120" i="360" s="1"/>
  <c r="D116" i="360" a="1"/>
  <c r="D116" i="360" s="1"/>
  <c r="D110" i="360" a="1"/>
  <c r="D110" i="360" s="1"/>
  <c r="D107" i="360" a="1"/>
  <c r="D107" i="360"/>
  <c r="I107" i="360" s="1"/>
  <c r="D101" i="360" a="1"/>
  <c r="D101" i="360"/>
  <c r="I101" i="360" s="1"/>
  <c r="D99" i="360" a="1"/>
  <c r="D99" i="360" s="1"/>
  <c r="D96" i="360" a="1"/>
  <c r="D96" i="360"/>
  <c r="I96" i="360" s="1"/>
  <c r="D93" i="360" a="1"/>
  <c r="D93" i="360" s="1"/>
  <c r="I93" i="360" s="1"/>
  <c r="D90" i="360" a="1"/>
  <c r="D90" i="360" s="1"/>
  <c r="D88" i="360" a="1"/>
  <c r="D88" i="360" s="1"/>
  <c r="D85" i="360" a="1"/>
  <c r="D85" i="360"/>
  <c r="I85" i="360" s="1"/>
  <c r="D84" i="360" a="1"/>
  <c r="D84" i="360" s="1"/>
  <c r="D79" i="360" a="1"/>
  <c r="D79" i="360"/>
  <c r="D73" i="360" a="1"/>
  <c r="D73" i="360" s="1"/>
  <c r="D71" i="360" a="1"/>
  <c r="D71" i="360"/>
  <c r="D69" i="360" a="1"/>
  <c r="D69" i="360" s="1"/>
  <c r="I69" i="360" s="1"/>
  <c r="D66" i="360" a="1"/>
  <c r="D66" i="360"/>
  <c r="I66" i="360" s="1"/>
  <c r="D60" i="360" a="1"/>
  <c r="D60" i="360" s="1"/>
  <c r="I60" i="360" s="1"/>
  <c r="D57" i="360" a="1"/>
  <c r="D57" i="360"/>
  <c r="I57" i="360" s="1"/>
  <c r="D55" i="360" a="1"/>
  <c r="D55" i="360"/>
  <c r="D45" i="360" a="1"/>
  <c r="D45" i="360"/>
  <c r="I45" i="360" s="1"/>
  <c r="D41" i="360" a="1"/>
  <c r="D41" i="360"/>
  <c r="I41" i="360" s="1"/>
  <c r="D38" i="360" a="1"/>
  <c r="D38" i="360" s="1"/>
  <c r="H38" i="360" s="1"/>
  <c r="I38" i="360"/>
  <c r="D35" i="360" a="1"/>
  <c r="D35" i="360"/>
  <c r="I35" i="360" s="1"/>
  <c r="D31" i="360" a="1"/>
  <c r="D31" i="360" s="1"/>
  <c r="D23" i="360" a="1"/>
  <c r="D23" i="360" s="1"/>
  <c r="I23" i="360" s="1"/>
  <c r="D16" i="360" a="1"/>
  <c r="D16" i="360" s="1"/>
  <c r="D13" i="360" a="1"/>
  <c r="D13" i="360" s="1"/>
  <c r="I13" i="360" s="1"/>
  <c r="D160" i="360" a="1"/>
  <c r="D160" i="360"/>
  <c r="D143" i="360" a="1"/>
  <c r="D143" i="360"/>
  <c r="D136" i="360" a="1"/>
  <c r="D136" i="360"/>
  <c r="I136" i="360" s="1"/>
  <c r="D128" i="360" a="1"/>
  <c r="D128" i="360"/>
  <c r="I128" i="360" s="1"/>
  <c r="D109" i="360" a="1"/>
  <c r="D109" i="360" s="1"/>
  <c r="D105" i="360" a="1"/>
  <c r="D105" i="360"/>
  <c r="I105" i="360" s="1"/>
  <c r="D98" i="360" a="1"/>
  <c r="D98" i="360" s="1"/>
  <c r="I98" i="360"/>
  <c r="D83" i="360" a="1"/>
  <c r="D83" i="360"/>
  <c r="I83" i="360" s="1"/>
  <c r="D80" i="360" a="1"/>
  <c r="D80" i="360" s="1"/>
  <c r="D68" i="360" a="1"/>
  <c r="D68" i="360" s="1"/>
  <c r="D33" i="360" a="1"/>
  <c r="D33" i="360" s="1"/>
  <c r="D162" i="360" a="1"/>
  <c r="D162" i="360" s="1"/>
  <c r="D159" i="360" a="1"/>
  <c r="D159" i="360"/>
  <c r="I159" i="360" s="1"/>
  <c r="D156" i="360" a="1"/>
  <c r="D156" i="360" s="1"/>
  <c r="I156" i="360" s="1"/>
  <c r="D142" i="360" a="1"/>
  <c r="D142" i="360" s="1"/>
  <c r="I142" i="360" s="1"/>
  <c r="D135" i="360" a="1"/>
  <c r="D135" i="360"/>
  <c r="I135" i="360" s="1"/>
  <c r="D131" i="360" a="1"/>
  <c r="D131" i="360"/>
  <c r="I131" i="360" s="1"/>
  <c r="D127" i="360" a="1"/>
  <c r="D127" i="360" s="1"/>
  <c r="H127" i="360" s="1"/>
  <c r="I127" i="360"/>
  <c r="D121" i="360" a="1"/>
  <c r="D121" i="360"/>
  <c r="I121" i="360" s="1"/>
  <c r="D117" i="360" a="1"/>
  <c r="D117" i="360" s="1"/>
  <c r="I117" i="360" s="1"/>
  <c r="D114" i="360" a="1"/>
  <c r="D114" i="360" s="1"/>
  <c r="D111" i="360" a="1"/>
  <c r="D111" i="360" s="1"/>
  <c r="D108" i="360" a="1"/>
  <c r="D108" i="360" s="1"/>
  <c r="D104" i="360" a="1"/>
  <c r="D104" i="360"/>
  <c r="I104" i="360" s="1"/>
  <c r="D102" i="360" a="1"/>
  <c r="D102" i="360" s="1"/>
  <c r="D97" i="360" a="1"/>
  <c r="D97" i="360" s="1"/>
  <c r="I97" i="360" s="1"/>
  <c r="D94" i="360" a="1"/>
  <c r="D94" i="360" s="1"/>
  <c r="D86" i="360" a="1"/>
  <c r="D86" i="360" s="1"/>
  <c r="D82" i="360" a="1"/>
  <c r="D82" i="360"/>
  <c r="H82" i="360" s="1"/>
  <c r="D74" i="360" a="1"/>
  <c r="D74" i="360" s="1"/>
  <c r="H74" i="360" s="1"/>
  <c r="I74" i="360"/>
  <c r="D67" i="360" a="1"/>
  <c r="D67" i="360"/>
  <c r="I67" i="360" s="1"/>
  <c r="D63" i="360" a="1"/>
  <c r="D63" i="360" s="1"/>
  <c r="D61" i="360" a="1"/>
  <c r="D61" i="360"/>
  <c r="D58" i="360" a="1"/>
  <c r="D58" i="360"/>
  <c r="I58" i="360" s="1"/>
  <c r="D53" i="360" a="1"/>
  <c r="D53" i="360"/>
  <c r="I53" i="360" s="1"/>
  <c r="D42" i="360" a="1"/>
  <c r="D42" i="360" s="1"/>
  <c r="I42" i="360"/>
  <c r="D39" i="360" a="1"/>
  <c r="D39" i="360"/>
  <c r="I39" i="360" s="1"/>
  <c r="D28" i="360" a="1"/>
  <c r="D28" i="360" s="1"/>
  <c r="H28" i="360" s="1"/>
  <c r="D20" i="360" a="1"/>
  <c r="D20" i="360" s="1"/>
  <c r="D14" i="360" a="1"/>
  <c r="D14" i="360" s="1"/>
  <c r="D10" i="360" a="1"/>
  <c r="D10" i="360" s="1"/>
  <c r="D64" i="360" a="1"/>
  <c r="D64" i="360" s="1"/>
  <c r="D56" i="360" a="1"/>
  <c r="D56" i="360" s="1"/>
  <c r="D43" i="360" a="1"/>
  <c r="D43" i="360"/>
  <c r="I43" i="360" s="1"/>
  <c r="D40" i="360" a="1"/>
  <c r="D40" i="360"/>
  <c r="D17" i="360" a="1"/>
  <c r="D17" i="360"/>
  <c r="D157" i="360" a="1"/>
  <c r="D157" i="360" s="1"/>
  <c r="I157" i="360" s="1"/>
  <c r="D132" i="360" a="1"/>
  <c r="D132" i="360" s="1"/>
  <c r="H132" i="360" s="1"/>
  <c r="I132" i="360"/>
  <c r="D125" i="360" a="1"/>
  <c r="D125" i="360" s="1"/>
  <c r="D122" i="360" a="1"/>
  <c r="D122" i="360" s="1"/>
  <c r="I122" i="360" s="1"/>
  <c r="D118" i="360" a="1"/>
  <c r="D118" i="360" s="1"/>
  <c r="I118" i="360" s="1"/>
  <c r="D112" i="360" a="1"/>
  <c r="D112" i="360" s="1"/>
  <c r="D100" i="360" a="1"/>
  <c r="D100" i="360" s="1"/>
  <c r="H100" i="360" s="1"/>
  <c r="D91" i="360" a="1"/>
  <c r="D91" i="360"/>
  <c r="I91" i="360" s="1"/>
  <c r="D89" i="360" a="1"/>
  <c r="D89" i="360" s="1"/>
  <c r="D72" i="360" a="1"/>
  <c r="D72" i="360" s="1"/>
  <c r="I72" i="360" s="1"/>
  <c r="D70" i="360" a="1"/>
  <c r="D70" i="360" s="1"/>
  <c r="I33" i="392"/>
  <c r="D32" i="392"/>
  <c r="I32" i="392"/>
  <c r="C147" i="398"/>
  <c r="C165" i="398" s="1"/>
  <c r="C178" i="398" s="1"/>
  <c r="D161" i="396" a="1"/>
  <c r="D161" i="396"/>
  <c r="I161" i="396" s="1"/>
  <c r="D157" i="396" a="1"/>
  <c r="D157" i="396" s="1"/>
  <c r="I157" i="396" s="1"/>
  <c r="D143" i="396" a="1"/>
  <c r="D143" i="396" s="1"/>
  <c r="D136" i="396" a="1"/>
  <c r="D136" i="396" s="1"/>
  <c r="I136" i="396" s="1"/>
  <c r="D132" i="396" a="1"/>
  <c r="D132" i="396"/>
  <c r="I132" i="396"/>
  <c r="D128" i="396" a="1"/>
  <c r="D128" i="396"/>
  <c r="I128" i="396" s="1"/>
  <c r="D125" i="396" a="1"/>
  <c r="D125" i="396" s="1"/>
  <c r="D121" i="396" a="1"/>
  <c r="D121" i="396" s="1"/>
  <c r="I121" i="396" s="1"/>
  <c r="D118" i="396" a="1"/>
  <c r="D118" i="396" s="1"/>
  <c r="D114" i="396" a="1"/>
  <c r="D114" i="396" s="1"/>
  <c r="I114" i="396" s="1"/>
  <c r="D108" i="396" a="1"/>
  <c r="D108" i="396"/>
  <c r="I108" i="396"/>
  <c r="D104" i="396" a="1"/>
  <c r="D104" i="396"/>
  <c r="I104" i="396" s="1"/>
  <c r="D100" i="396" a="1"/>
  <c r="D100" i="396" s="1"/>
  <c r="I100" i="396" s="1"/>
  <c r="D96" i="396" a="1"/>
  <c r="D96" i="396"/>
  <c r="I96" i="396" s="1"/>
  <c r="D93" i="396" a="1"/>
  <c r="D93" i="396"/>
  <c r="I93" i="396" s="1"/>
  <c r="D90" i="396" a="1"/>
  <c r="D90" i="396" s="1"/>
  <c r="D88" i="396" a="1"/>
  <c r="D88" i="396" s="1"/>
  <c r="D74" i="396" a="1"/>
  <c r="D74" i="396"/>
  <c r="I74" i="396" s="1"/>
  <c r="D67" i="396" a="1"/>
  <c r="D67" i="396" s="1"/>
  <c r="I67" i="396" s="1"/>
  <c r="D63" i="396" a="1"/>
  <c r="D63" i="396"/>
  <c r="I63" i="396" s="1"/>
  <c r="D59" i="396" a="1"/>
  <c r="D59" i="396"/>
  <c r="I59" i="396" s="1"/>
  <c r="D56" i="396" a="1"/>
  <c r="D56" i="396" s="1"/>
  <c r="I56" i="396" s="1"/>
  <c r="D53" i="396" a="1"/>
  <c r="D53" i="396" s="1"/>
  <c r="I53" i="396" s="1"/>
  <c r="D42" i="396" a="1"/>
  <c r="D42" i="396"/>
  <c r="D38" i="396" a="1"/>
  <c r="D38" i="396" s="1"/>
  <c r="I38" i="396" s="1"/>
  <c r="D34" i="396" a="1"/>
  <c r="D34" i="396" s="1"/>
  <c r="I34" i="396" s="1"/>
  <c r="D26" i="396" a="1"/>
  <c r="D26" i="396"/>
  <c r="D160" i="396" a="1"/>
  <c r="D160" i="396"/>
  <c r="I160" i="396"/>
  <c r="D158" i="396" a="1"/>
  <c r="D158" i="396"/>
  <c r="I158" i="396" s="1"/>
  <c r="D134" i="396" a="1"/>
  <c r="D134" i="396" s="1"/>
  <c r="I134" i="396" s="1"/>
  <c r="D127" i="396" a="1"/>
  <c r="D127" i="396"/>
  <c r="I127" i="396" s="1"/>
  <c r="D120" i="396" a="1"/>
  <c r="D120" i="396"/>
  <c r="I120" i="396" s="1"/>
  <c r="D113" i="396" a="1"/>
  <c r="D113" i="396" s="1"/>
  <c r="I113" i="396" s="1"/>
  <c r="D112" i="396" a="1"/>
  <c r="D112" i="396" s="1"/>
  <c r="D107" i="396" a="1"/>
  <c r="D107" i="396" s="1"/>
  <c r="I107" i="396"/>
  <c r="D105" i="396" a="1"/>
  <c r="D105" i="396"/>
  <c r="I105" i="396" s="1"/>
  <c r="D98" i="396" a="1"/>
  <c r="D98" i="396" s="1"/>
  <c r="I98" i="396" s="1"/>
  <c r="D92" i="396" a="1"/>
  <c r="D92" i="396" s="1"/>
  <c r="I92" i="396" s="1"/>
  <c r="D87" i="396" a="1"/>
  <c r="D87" i="396"/>
  <c r="I87" i="396"/>
  <c r="D86" i="396" a="1"/>
  <c r="D86" i="396"/>
  <c r="D81" i="396" a="1"/>
  <c r="D81" i="396"/>
  <c r="D69" i="396" a="1"/>
  <c r="D69" i="396" s="1"/>
  <c r="D68" i="396" a="1"/>
  <c r="D68" i="396" s="1"/>
  <c r="I68" i="396" s="1"/>
  <c r="D61" i="396" a="1"/>
  <c r="D61" i="396" s="1"/>
  <c r="I61" i="396" s="1"/>
  <c r="D54" i="396" a="1"/>
  <c r="D54" i="396" s="1"/>
  <c r="I54" i="396" s="1"/>
  <c r="D41" i="396" a="1"/>
  <c r="D41" i="396"/>
  <c r="I41" i="396" s="1"/>
  <c r="D39" i="396" a="1"/>
  <c r="D39" i="396" s="1"/>
  <c r="I39" i="396" s="1"/>
  <c r="D31" i="396" a="1"/>
  <c r="D31" i="396"/>
  <c r="I31" i="396" s="1"/>
  <c r="D22" i="396" a="1"/>
  <c r="D22" i="396"/>
  <c r="D18" i="396" a="1"/>
  <c r="D18" i="396"/>
  <c r="I18" i="396" s="1"/>
  <c r="D14" i="396" a="1"/>
  <c r="D14" i="396"/>
  <c r="I14" i="396" s="1"/>
  <c r="D10" i="396" a="1"/>
  <c r="D10" i="396" s="1"/>
  <c r="D163" i="396" a="1"/>
  <c r="D163" i="396" s="1"/>
  <c r="I163" i="396" s="1"/>
  <c r="D156" i="396" a="1"/>
  <c r="D156" i="396"/>
  <c r="I156" i="396" s="1"/>
  <c r="D145" i="396" a="1"/>
  <c r="D145" i="396"/>
  <c r="D142" i="396" a="1"/>
  <c r="D142" i="396"/>
  <c r="I142" i="396" s="1"/>
  <c r="D135" i="396" a="1"/>
  <c r="D135" i="396" s="1"/>
  <c r="I135" i="396" s="1"/>
  <c r="D126" i="396" a="1"/>
  <c r="D126" i="396" s="1"/>
  <c r="I126" i="396" s="1"/>
  <c r="D122" i="396" a="1"/>
  <c r="D122" i="396"/>
  <c r="I122" i="396" s="1"/>
  <c r="D117" i="396" a="1"/>
  <c r="D117" i="396" s="1"/>
  <c r="I117" i="396" s="1"/>
  <c r="D110" i="396" a="1"/>
  <c r="D110" i="396" s="1"/>
  <c r="I110" i="396" s="1"/>
  <c r="D103" i="396" a="1"/>
  <c r="D103" i="396"/>
  <c r="I103" i="396" s="1"/>
  <c r="D97" i="396" a="1"/>
  <c r="D97" i="396"/>
  <c r="I97" i="396" s="1"/>
  <c r="D91" i="396" a="1"/>
  <c r="D91" i="396" s="1"/>
  <c r="I91" i="396" s="1"/>
  <c r="D83" i="396" a="1"/>
  <c r="D83" i="396"/>
  <c r="I83" i="396" s="1"/>
  <c r="D73" i="396" a="1"/>
  <c r="D73" i="396"/>
  <c r="I73" i="396" s="1"/>
  <c r="D71" i="396" a="1"/>
  <c r="D71" i="396" s="1"/>
  <c r="D70" i="396" a="1"/>
  <c r="D70" i="396" s="1"/>
  <c r="D66" i="396" a="1"/>
  <c r="D66" i="396"/>
  <c r="I66" i="396" s="1"/>
  <c r="D60" i="396" a="1"/>
  <c r="D60" i="396" s="1"/>
  <c r="I60" i="396" s="1"/>
  <c r="D40" i="396" a="1"/>
  <c r="D40" i="396"/>
  <c r="I40" i="396" s="1"/>
  <c r="D28" i="396" a="1"/>
  <c r="D28" i="396"/>
  <c r="D20" i="396" a="1"/>
  <c r="D20" i="396"/>
  <c r="D16" i="396" a="1"/>
  <c r="D16" i="396"/>
  <c r="D12" i="396" a="1"/>
  <c r="D12" i="396" s="1"/>
  <c r="H12" i="396" s="1"/>
  <c r="D155" i="396" a="1"/>
  <c r="D155" i="396" s="1"/>
  <c r="D141" i="396" a="1"/>
  <c r="D141" i="396" s="1"/>
  <c r="I141" i="396" s="1"/>
  <c r="D133" i="396" a="1"/>
  <c r="D133" i="396"/>
  <c r="I133" i="396" s="1"/>
  <c r="D129" i="396" a="1"/>
  <c r="D129" i="396"/>
  <c r="I129" i="396" s="1"/>
  <c r="D124" i="396" a="1"/>
  <c r="D124" i="396" s="1"/>
  <c r="I124" i="396" s="1"/>
  <c r="D116" i="396" a="1"/>
  <c r="D116" i="396" s="1"/>
  <c r="I116" i="396" s="1"/>
  <c r="D106" i="396" a="1"/>
  <c r="D106" i="396"/>
  <c r="I106" i="396" s="1"/>
  <c r="D102" i="396" a="1"/>
  <c r="D102" i="396" s="1"/>
  <c r="I102" i="396" s="1"/>
  <c r="D95" i="396" a="1"/>
  <c r="D95" i="396"/>
  <c r="I95" i="396"/>
  <c r="D94" i="396" a="1"/>
  <c r="D94" i="396"/>
  <c r="D89" i="396" a="1"/>
  <c r="D89" i="396" s="1"/>
  <c r="D85" i="396" a="1"/>
  <c r="D85" i="396" s="1"/>
  <c r="D82" i="396" a="1"/>
  <c r="D82" i="396" s="1"/>
  <c r="D65" i="396" a="1"/>
  <c r="D65" i="396" s="1"/>
  <c r="I65" i="396" s="1"/>
  <c r="D58" i="396" a="1"/>
  <c r="D58" i="396"/>
  <c r="D43" i="396" a="1"/>
  <c r="D43" i="396"/>
  <c r="I43" i="396"/>
  <c r="D35" i="396" a="1"/>
  <c r="D35" i="396"/>
  <c r="I35" i="396" s="1"/>
  <c r="D162" i="396" a="1"/>
  <c r="D162" i="396"/>
  <c r="I162" i="396" s="1"/>
  <c r="D131" i="396" a="1"/>
  <c r="D131" i="396" s="1"/>
  <c r="I131" i="396"/>
  <c r="D123" i="396" a="1"/>
  <c r="D123" i="396"/>
  <c r="I123" i="396" s="1"/>
  <c r="D109" i="396" a="1"/>
  <c r="D109" i="396" s="1"/>
  <c r="I109" i="396" s="1"/>
  <c r="D101" i="396" a="1"/>
  <c r="D101" i="396" s="1"/>
  <c r="I101" i="396" s="1"/>
  <c r="D84" i="396" a="1"/>
  <c r="D84" i="396" s="1"/>
  <c r="I84" i="396" s="1"/>
  <c r="D80" i="396" a="1"/>
  <c r="D80" i="396"/>
  <c r="I80" i="396" s="1"/>
  <c r="D64" i="396" a="1"/>
  <c r="D64" i="396" s="1"/>
  <c r="I64" i="396" s="1"/>
  <c r="D57" i="396" a="1"/>
  <c r="D57" i="396"/>
  <c r="I57" i="396" s="1"/>
  <c r="D52" i="396" a="1"/>
  <c r="D52" i="396"/>
  <c r="D45" i="396" a="1"/>
  <c r="D45" i="396"/>
  <c r="I45" i="396" s="1"/>
  <c r="D33" i="396" a="1"/>
  <c r="D33" i="396" s="1"/>
  <c r="D23" i="396" a="1"/>
  <c r="D23" i="396"/>
  <c r="I23" i="396" s="1"/>
  <c r="D17" i="396" a="1"/>
  <c r="D17" i="396" s="1"/>
  <c r="I17" i="396" s="1"/>
  <c r="D13" i="396" a="1"/>
  <c r="D13" i="396"/>
  <c r="I13" i="396" s="1"/>
  <c r="D175" i="396" a="1"/>
  <c r="D175" i="396"/>
  <c r="D159" i="396" a="1"/>
  <c r="D159" i="396"/>
  <c r="I159" i="396" s="1"/>
  <c r="D140" i="396" a="1"/>
  <c r="D140" i="396" s="1"/>
  <c r="D137" i="396" a="1"/>
  <c r="D137" i="396"/>
  <c r="I137" i="396" s="1"/>
  <c r="D130" i="396" a="1"/>
  <c r="D130" i="396" s="1"/>
  <c r="I130" i="396" s="1"/>
  <c r="D119" i="396" a="1"/>
  <c r="D119" i="396"/>
  <c r="I119" i="396" s="1"/>
  <c r="D115" i="396" a="1"/>
  <c r="D115" i="396"/>
  <c r="I115" i="396" s="1"/>
  <c r="D111" i="396" a="1"/>
  <c r="D111" i="396" s="1"/>
  <c r="D99" i="396" a="1"/>
  <c r="D99" i="396" s="1"/>
  <c r="I99" i="396" s="1"/>
  <c r="D79" i="396" a="1"/>
  <c r="D79" i="396" s="1"/>
  <c r="D72" i="396" a="1"/>
  <c r="D72" i="396" s="1"/>
  <c r="D62" i="396" a="1"/>
  <c r="D62" i="396" s="1"/>
  <c r="I62" i="396" s="1"/>
  <c r="D55" i="396" a="1"/>
  <c r="D55" i="396"/>
  <c r="D44" i="396" a="1"/>
  <c r="D44" i="396" s="1"/>
  <c r="I44" i="396" s="1"/>
  <c r="D37" i="396" a="1"/>
  <c r="D37" i="396"/>
  <c r="D30" i="396" a="1"/>
  <c r="D30" i="396" s="1"/>
  <c r="D29" i="396" s="1"/>
  <c r="I53" i="392"/>
  <c r="I145" i="407"/>
  <c r="D144" i="407"/>
  <c r="I144" i="407" s="1"/>
  <c r="C147" i="393"/>
  <c r="C165" i="393" s="1"/>
  <c r="C178" i="393" s="1"/>
  <c r="C179" i="393" s="1"/>
  <c r="D139" i="395"/>
  <c r="C147" i="392"/>
  <c r="C165" i="392" s="1"/>
  <c r="C178" i="392" s="1"/>
  <c r="C48" i="395"/>
  <c r="C147" i="360"/>
  <c r="C165" i="360" s="1"/>
  <c r="C178" i="360" s="1"/>
  <c r="H101" i="401"/>
  <c r="H14" i="408"/>
  <c r="H66" i="360"/>
  <c r="H106" i="360"/>
  <c r="M117" i="386"/>
  <c r="E141" i="386"/>
  <c r="H127" i="401"/>
  <c r="H116" i="401"/>
  <c r="H101" i="360"/>
  <c r="H129" i="408"/>
  <c r="H134" i="360"/>
  <c r="H91" i="360"/>
  <c r="G11" i="346"/>
  <c r="H67" i="408"/>
  <c r="C79" i="386"/>
  <c r="P79" i="386"/>
  <c r="H50" i="386"/>
  <c r="G13" i="386"/>
  <c r="G11" i="386"/>
  <c r="G23" i="386" s="1"/>
  <c r="I126" i="386"/>
  <c r="C74" i="386"/>
  <c r="P74" i="386"/>
  <c r="C39" i="386"/>
  <c r="P39" i="386"/>
  <c r="C31" i="386"/>
  <c r="P31" i="386"/>
  <c r="D30" i="386"/>
  <c r="C109" i="386"/>
  <c r="P109" i="386"/>
  <c r="C107" i="386"/>
  <c r="P107" i="386" s="1"/>
  <c r="C160" i="386"/>
  <c r="P160" i="386" s="1"/>
  <c r="H71" i="405"/>
  <c r="H69" i="405"/>
  <c r="H43" i="401"/>
  <c r="H136" i="408"/>
  <c r="H70" i="401"/>
  <c r="H133" i="401"/>
  <c r="H63" i="392"/>
  <c r="H131" i="360"/>
  <c r="L102" i="386"/>
  <c r="C92" i="386"/>
  <c r="P92" i="386" s="1"/>
  <c r="C87" i="386"/>
  <c r="P87" i="386" s="1"/>
  <c r="G77" i="386"/>
  <c r="C69" i="386"/>
  <c r="P69" i="386"/>
  <c r="C51" i="386"/>
  <c r="P51" i="386" s="1"/>
  <c r="C21" i="386"/>
  <c r="P21" i="386"/>
  <c r="D20" i="386"/>
  <c r="E13" i="386"/>
  <c r="E11" i="386"/>
  <c r="M97" i="386"/>
  <c r="I141" i="386"/>
  <c r="E99" i="386"/>
  <c r="E97" i="386"/>
  <c r="C72" i="386"/>
  <c r="P72" i="386"/>
  <c r="C64" i="386"/>
  <c r="P64" i="386"/>
  <c r="H34" i="386"/>
  <c r="H43" i="386" s="1"/>
  <c r="L141" i="386"/>
  <c r="C110" i="386"/>
  <c r="P110" i="386" s="1"/>
  <c r="C142" i="386"/>
  <c r="P142" i="386" s="1"/>
  <c r="C133" i="386"/>
  <c r="P133" i="386" s="1"/>
  <c r="C124" i="386"/>
  <c r="P124" i="386" s="1"/>
  <c r="C100" i="386"/>
  <c r="P100" i="386"/>
  <c r="D99" i="386"/>
  <c r="D97" i="386"/>
  <c r="C127" i="386"/>
  <c r="P127" i="386"/>
  <c r="L89" i="386"/>
  <c r="H17" i="386"/>
  <c r="K146" i="386"/>
  <c r="K141" i="386" s="1"/>
  <c r="K117" i="386"/>
  <c r="G117" i="386"/>
  <c r="J89" i="386"/>
  <c r="O50" i="385"/>
  <c r="K89" i="385"/>
  <c r="K117" i="385"/>
  <c r="K20" i="385"/>
  <c r="G50" i="385"/>
  <c r="G102" i="385"/>
  <c r="G141" i="385"/>
  <c r="G161" i="385"/>
  <c r="N17" i="385"/>
  <c r="N137" i="385"/>
  <c r="J17" i="385"/>
  <c r="J99" i="385"/>
  <c r="J97" i="385" s="1"/>
  <c r="F89" i="385"/>
  <c r="F117" i="385"/>
  <c r="F126" i="385"/>
  <c r="F134" i="385"/>
  <c r="F146" i="385"/>
  <c r="F141" i="385"/>
  <c r="G13" i="385"/>
  <c r="G11" i="385"/>
  <c r="K11" i="385"/>
  <c r="M89" i="385"/>
  <c r="M117" i="385"/>
  <c r="M65" i="385"/>
  <c r="M77" i="385"/>
  <c r="M20" i="385"/>
  <c r="I50" i="385"/>
  <c r="I20" i="385"/>
  <c r="I141" i="385"/>
  <c r="E102" i="385"/>
  <c r="E126" i="385"/>
  <c r="E134" i="385"/>
  <c r="E146" i="385"/>
  <c r="E141" i="385" s="1"/>
  <c r="L43" i="385"/>
  <c r="L102" i="385"/>
  <c r="L13" i="385"/>
  <c r="L11" i="385" s="1"/>
  <c r="H34" i="385"/>
  <c r="H43" i="385"/>
  <c r="H17" i="385"/>
  <c r="H23" i="385"/>
  <c r="H99" i="385"/>
  <c r="H97" i="385"/>
  <c r="C33" i="385"/>
  <c r="P33" i="385"/>
  <c r="C41" i="385"/>
  <c r="P41" i="385"/>
  <c r="C56" i="385"/>
  <c r="P56" i="385" s="1"/>
  <c r="C64" i="385"/>
  <c r="P64" i="385" s="1"/>
  <c r="C74" i="385"/>
  <c r="P74" i="385" s="1"/>
  <c r="D20" i="385"/>
  <c r="C21" i="385"/>
  <c r="P21" i="385" s="1"/>
  <c r="C95" i="385"/>
  <c r="P95" i="385" s="1"/>
  <c r="C107" i="385"/>
  <c r="P107" i="385" s="1"/>
  <c r="C115" i="385"/>
  <c r="P115" i="385" s="1"/>
  <c r="C42" i="385"/>
  <c r="P42" i="385"/>
  <c r="C55" i="385"/>
  <c r="P55" i="385"/>
  <c r="C63" i="385"/>
  <c r="P63" i="385"/>
  <c r="C73" i="385"/>
  <c r="P73" i="385" s="1"/>
  <c r="C16" i="385"/>
  <c r="P16" i="385" s="1"/>
  <c r="C90" i="385"/>
  <c r="P90" i="385" s="1"/>
  <c r="D89" i="385"/>
  <c r="C98" i="385"/>
  <c r="P98" i="385"/>
  <c r="C110" i="385"/>
  <c r="P110" i="385"/>
  <c r="C118" i="385"/>
  <c r="P118" i="385" s="1"/>
  <c r="D117" i="385"/>
  <c r="C128" i="385"/>
  <c r="P128" i="385"/>
  <c r="D137" i="385"/>
  <c r="C138" i="385"/>
  <c r="P138" i="385"/>
  <c r="C148" i="385"/>
  <c r="P148" i="385"/>
  <c r="C159" i="385"/>
  <c r="P159" i="385"/>
  <c r="D126" i="385"/>
  <c r="C127" i="385"/>
  <c r="P127" i="385" s="1"/>
  <c r="D134" i="385"/>
  <c r="C135" i="385"/>
  <c r="P135" i="385" s="1"/>
  <c r="D146" i="385"/>
  <c r="D141" i="385" s="1"/>
  <c r="C147" i="385"/>
  <c r="P147" i="385" s="1"/>
  <c r="C160" i="385"/>
  <c r="P160" i="385"/>
  <c r="L117" i="365"/>
  <c r="J102" i="365"/>
  <c r="J151" i="365" s="1"/>
  <c r="C95" i="365"/>
  <c r="P95" i="365"/>
  <c r="C91" i="365"/>
  <c r="P91" i="365"/>
  <c r="N34" i="365"/>
  <c r="N43" i="365"/>
  <c r="F34" i="365"/>
  <c r="F43" i="365" s="1"/>
  <c r="H137" i="365"/>
  <c r="C58" i="365"/>
  <c r="P58" i="365"/>
  <c r="D65" i="365"/>
  <c r="C66" i="365"/>
  <c r="P66" i="365"/>
  <c r="D77" i="365"/>
  <c r="C78" i="365"/>
  <c r="P78" i="365" s="1"/>
  <c r="C133" i="365"/>
  <c r="P133" i="365" s="1"/>
  <c r="C145" i="365"/>
  <c r="P145" i="365" s="1"/>
  <c r="C158" i="365"/>
  <c r="P158" i="365"/>
  <c r="C59" i="365"/>
  <c r="P59" i="365"/>
  <c r="C69" i="365"/>
  <c r="P69" i="365"/>
  <c r="C79" i="365"/>
  <c r="P79" i="365" s="1"/>
  <c r="C140" i="365"/>
  <c r="P140" i="365" s="1"/>
  <c r="C150" i="365"/>
  <c r="P150" i="365" s="1"/>
  <c r="H126" i="365"/>
  <c r="G117" i="365"/>
  <c r="C104" i="365"/>
  <c r="P104" i="365" s="1"/>
  <c r="J99" i="365"/>
  <c r="J97" i="365"/>
  <c r="H89" i="365"/>
  <c r="C88" i="365"/>
  <c r="P88" i="365" s="1"/>
  <c r="L50" i="365"/>
  <c r="L76" i="365" s="1"/>
  <c r="L80" i="365" s="1"/>
  <c r="C18" i="365"/>
  <c r="P18" i="365" s="1"/>
  <c r="D17" i="365"/>
  <c r="D23" i="365" s="1"/>
  <c r="H13" i="365"/>
  <c r="H11" i="365"/>
  <c r="L11" i="365"/>
  <c r="L23" i="365"/>
  <c r="C12" i="365"/>
  <c r="P12" i="365"/>
  <c r="O161" i="365"/>
  <c r="K161" i="365"/>
  <c r="G141" i="365"/>
  <c r="G161" i="365"/>
  <c r="G65" i="365"/>
  <c r="G77" i="365"/>
  <c r="C12" i="385"/>
  <c r="P12" i="385"/>
  <c r="J117" i="365"/>
  <c r="C107" i="365"/>
  <c r="P107" i="365" s="1"/>
  <c r="C103" i="365"/>
  <c r="P103" i="365" s="1"/>
  <c r="D102" i="365"/>
  <c r="M99" i="365"/>
  <c r="M97" i="365"/>
  <c r="O89" i="365"/>
  <c r="C87" i="365"/>
  <c r="P87" i="365"/>
  <c r="K47" i="365"/>
  <c r="N137" i="365"/>
  <c r="J65" i="365"/>
  <c r="J76" i="365" s="1"/>
  <c r="J80" i="365" s="1"/>
  <c r="F141" i="365"/>
  <c r="F161" i="365"/>
  <c r="C123" i="365"/>
  <c r="P123" i="365"/>
  <c r="C119" i="365"/>
  <c r="P119" i="365"/>
  <c r="O102" i="365"/>
  <c r="C100" i="365"/>
  <c r="P100" i="365"/>
  <c r="D99" i="365"/>
  <c r="F89" i="365"/>
  <c r="J20" i="365"/>
  <c r="K17" i="365"/>
  <c r="O13" i="365"/>
  <c r="O11" i="365" s="1"/>
  <c r="O23" i="365" s="1"/>
  <c r="E13" i="365"/>
  <c r="E11" i="365"/>
  <c r="E23" i="365" s="1"/>
  <c r="E44" i="365" s="1"/>
  <c r="M50" i="365"/>
  <c r="M65" i="365"/>
  <c r="M77" i="365"/>
  <c r="M134" i="365"/>
  <c r="E134" i="365"/>
  <c r="E146" i="365"/>
  <c r="E141" i="365"/>
  <c r="C127" i="365"/>
  <c r="P127" i="365"/>
  <c r="I34" i="394"/>
  <c r="D32" i="394"/>
  <c r="I32" i="394"/>
  <c r="C48" i="388"/>
  <c r="I20" i="405"/>
  <c r="D19" i="405"/>
  <c r="I19" i="405"/>
  <c r="C165" i="403"/>
  <c r="C178" i="403"/>
  <c r="C48" i="399"/>
  <c r="D164" i="399"/>
  <c r="I155" i="399"/>
  <c r="D51" i="398"/>
  <c r="D50" i="398"/>
  <c r="I20" i="398"/>
  <c r="I79" i="398"/>
  <c r="D78" i="398"/>
  <c r="D77" i="398" s="1"/>
  <c r="D76" i="398" s="1"/>
  <c r="D164" i="394"/>
  <c r="D15" i="394"/>
  <c r="I12" i="399"/>
  <c r="D11" i="399"/>
  <c r="I11" i="399" s="1"/>
  <c r="D177" i="397"/>
  <c r="I177" i="397" s="1"/>
  <c r="I175" i="397"/>
  <c r="I22" i="397"/>
  <c r="D21" i="397"/>
  <c r="I21" i="397"/>
  <c r="I79" i="397"/>
  <c r="D78" i="397"/>
  <c r="I145" i="397"/>
  <c r="D144" i="397"/>
  <c r="I144" i="397"/>
  <c r="D21" i="399"/>
  <c r="I20" i="407"/>
  <c r="D19" i="407"/>
  <c r="I19" i="407"/>
  <c r="D29" i="397"/>
  <c r="I37" i="395"/>
  <c r="D15" i="407"/>
  <c r="I31" i="395"/>
  <c r="I28" i="392"/>
  <c r="I30" i="407"/>
  <c r="C48" i="389"/>
  <c r="C76" i="397"/>
  <c r="C147" i="397"/>
  <c r="C165" i="397" s="1"/>
  <c r="C178" i="397"/>
  <c r="D11" i="395"/>
  <c r="D9" i="395"/>
  <c r="D11" i="392"/>
  <c r="D9" i="392"/>
  <c r="C48" i="392"/>
  <c r="H87" i="401"/>
  <c r="H58" i="408"/>
  <c r="H41" i="360"/>
  <c r="E102" i="386"/>
  <c r="D102" i="386"/>
  <c r="C103" i="386"/>
  <c r="P103" i="386" s="1"/>
  <c r="H107" i="401"/>
  <c r="H142" i="408"/>
  <c r="H121" i="408"/>
  <c r="H39" i="408"/>
  <c r="H13" i="408"/>
  <c r="H96" i="360"/>
  <c r="H45" i="360"/>
  <c r="H59" i="401"/>
  <c r="C67" i="386"/>
  <c r="P67" i="386" s="1"/>
  <c r="C57" i="386"/>
  <c r="P57" i="386" s="1"/>
  <c r="C49" i="386"/>
  <c r="P49" i="386"/>
  <c r="E89" i="386"/>
  <c r="O13" i="386"/>
  <c r="O11" i="386" s="1"/>
  <c r="O23" i="386" s="1"/>
  <c r="M102" i="386"/>
  <c r="M161" i="386"/>
  <c r="O89" i="386"/>
  <c r="L65" i="386"/>
  <c r="L34" i="386"/>
  <c r="L43" i="386" s="1"/>
  <c r="L137" i="386"/>
  <c r="C140" i="386"/>
  <c r="P140" i="386" s="1"/>
  <c r="C149" i="386"/>
  <c r="P149" i="386" s="1"/>
  <c r="C96" i="386"/>
  <c r="P96" i="386" s="1"/>
  <c r="C145" i="386"/>
  <c r="P145" i="386" s="1"/>
  <c r="C12" i="386"/>
  <c r="P12" i="386" s="1"/>
  <c r="H118" i="388"/>
  <c r="H91" i="401"/>
  <c r="H35" i="401"/>
  <c r="H130" i="408"/>
  <c r="H107" i="360"/>
  <c r="H130" i="360"/>
  <c r="H11" i="346"/>
  <c r="H99" i="386"/>
  <c r="H97" i="386"/>
  <c r="C59" i="386"/>
  <c r="P59" i="386" s="1"/>
  <c r="C38" i="386"/>
  <c r="P38" i="386" s="1"/>
  <c r="M13" i="386"/>
  <c r="M11" i="386"/>
  <c r="I11" i="386"/>
  <c r="M126" i="386"/>
  <c r="G89" i="386"/>
  <c r="C56" i="386"/>
  <c r="P56" i="386"/>
  <c r="H47" i="386"/>
  <c r="C33" i="386"/>
  <c r="P33" i="386" s="1"/>
  <c r="L126" i="386"/>
  <c r="H141" i="386"/>
  <c r="C122" i="386"/>
  <c r="P122" i="386"/>
  <c r="P113" i="386"/>
  <c r="D161" i="386"/>
  <c r="C144" i="386"/>
  <c r="P144" i="386" s="1"/>
  <c r="C111" i="386"/>
  <c r="P111" i="386"/>
  <c r="C16" i="386"/>
  <c r="P16" i="386" s="1"/>
  <c r="D13" i="386"/>
  <c r="D11" i="386" s="1"/>
  <c r="C14" i="386"/>
  <c r="P14" i="386" s="1"/>
  <c r="K134" i="386"/>
  <c r="K126" i="386"/>
  <c r="N34" i="386"/>
  <c r="N43" i="386" s="1"/>
  <c r="N77" i="386"/>
  <c r="N134" i="386"/>
  <c r="J13" i="386"/>
  <c r="J11" i="386" s="1"/>
  <c r="J99" i="386"/>
  <c r="J97" i="386"/>
  <c r="J126" i="386"/>
  <c r="J141" i="386"/>
  <c r="J134" i="386"/>
  <c r="F117" i="386"/>
  <c r="F134" i="386"/>
  <c r="C36" i="385"/>
  <c r="P36" i="385" s="1"/>
  <c r="H96" i="394"/>
  <c r="H82" i="395"/>
  <c r="H59" i="408"/>
  <c r="H45" i="408"/>
  <c r="H95" i="407"/>
  <c r="H14" i="346"/>
  <c r="H22" i="346" s="1"/>
  <c r="H30" i="346" s="1"/>
  <c r="H38" i="346" s="1"/>
  <c r="H46" i="346" s="1"/>
  <c r="H54" i="346" s="1"/>
  <c r="H62" i="346" s="1"/>
  <c r="H70" i="346" s="1"/>
  <c r="H78" i="346" s="1"/>
  <c r="H86" i="346" s="1"/>
  <c r="H94" i="346" s="1"/>
  <c r="H102" i="346" s="1"/>
  <c r="H74" i="401"/>
  <c r="H132" i="401"/>
  <c r="H63" i="396"/>
  <c r="H105" i="360"/>
  <c r="H137" i="360"/>
  <c r="H17" i="401"/>
  <c r="H108" i="401"/>
  <c r="I82" i="360"/>
  <c r="H60" i="401"/>
  <c r="G102" i="386"/>
  <c r="L97" i="386"/>
  <c r="C93" i="386"/>
  <c r="P93" i="386"/>
  <c r="M77" i="386"/>
  <c r="M80" i="386"/>
  <c r="E77" i="386"/>
  <c r="C73" i="386"/>
  <c r="P73" i="386"/>
  <c r="C71" i="386"/>
  <c r="P71" i="386"/>
  <c r="C61" i="386"/>
  <c r="P61" i="386"/>
  <c r="C53" i="386"/>
  <c r="P53" i="386" s="1"/>
  <c r="C40" i="386"/>
  <c r="P40" i="386" s="1"/>
  <c r="M89" i="386"/>
  <c r="M17" i="386"/>
  <c r="E17" i="386"/>
  <c r="K13" i="386"/>
  <c r="K11" i="386"/>
  <c r="I161" i="386"/>
  <c r="I99" i="386"/>
  <c r="I97" i="386"/>
  <c r="I137" i="386"/>
  <c r="E117" i="386"/>
  <c r="O102" i="386"/>
  <c r="C98" i="386"/>
  <c r="P98" i="386" s="1"/>
  <c r="H77" i="386"/>
  <c r="D65" i="386"/>
  <c r="C66" i="386"/>
  <c r="P66" i="386"/>
  <c r="C58" i="386"/>
  <c r="P58" i="386"/>
  <c r="D47" i="386"/>
  <c r="C48" i="386"/>
  <c r="P48" i="386" s="1"/>
  <c r="C35" i="386"/>
  <c r="P35" i="386"/>
  <c r="D34" i="386"/>
  <c r="L134" i="386"/>
  <c r="H161" i="386"/>
  <c r="H137" i="386"/>
  <c r="C112" i="386"/>
  <c r="P112" i="386" s="1"/>
  <c r="C128" i="386"/>
  <c r="P128" i="386" s="1"/>
  <c r="C148" i="386"/>
  <c r="P148" i="386" s="1"/>
  <c r="C135" i="386"/>
  <c r="P135" i="386" s="1"/>
  <c r="D134" i="386"/>
  <c r="C101" i="386"/>
  <c r="P101" i="386"/>
  <c r="C115" i="386"/>
  <c r="P115" i="386"/>
  <c r="O99" i="386"/>
  <c r="O97" i="386"/>
  <c r="K20" i="386"/>
  <c r="O137" i="386"/>
  <c r="K99" i="386"/>
  <c r="K97" i="386" s="1"/>
  <c r="G97" i="386"/>
  <c r="N102" i="386"/>
  <c r="N20" i="386"/>
  <c r="N50" i="386"/>
  <c r="N76" i="386"/>
  <c r="N137" i="386"/>
  <c r="N126" i="386"/>
  <c r="N146" i="386"/>
  <c r="N141" i="386"/>
  <c r="J30" i="386"/>
  <c r="J43" i="386" s="1"/>
  <c r="J20" i="386"/>
  <c r="J50" i="386"/>
  <c r="J76" i="386"/>
  <c r="J80" i="386" s="1"/>
  <c r="J137" i="386"/>
  <c r="F30" i="386"/>
  <c r="F50" i="386"/>
  <c r="F141" i="386"/>
  <c r="I34" i="385"/>
  <c r="I43" i="385" s="1"/>
  <c r="O30" i="385"/>
  <c r="F13" i="385"/>
  <c r="F11" i="385"/>
  <c r="O13" i="385"/>
  <c r="O11" i="385" s="1"/>
  <c r="O20" i="385"/>
  <c r="O141" i="385"/>
  <c r="O151" i="385"/>
  <c r="O161" i="385"/>
  <c r="K17" i="385"/>
  <c r="K47" i="385"/>
  <c r="K65" i="385"/>
  <c r="K77" i="385"/>
  <c r="K126" i="385"/>
  <c r="K134" i="385"/>
  <c r="K137" i="385"/>
  <c r="M30" i="385"/>
  <c r="M43" i="385" s="1"/>
  <c r="N47" i="385"/>
  <c r="N65" i="385"/>
  <c r="N50" i="385"/>
  <c r="N126" i="385"/>
  <c r="N134" i="385"/>
  <c r="N146" i="385"/>
  <c r="N141" i="385" s="1"/>
  <c r="J102" i="385"/>
  <c r="J50" i="385"/>
  <c r="J76" i="385"/>
  <c r="F34" i="385"/>
  <c r="F43" i="385" s="1"/>
  <c r="F47" i="385"/>
  <c r="F65" i="385"/>
  <c r="F77" i="385"/>
  <c r="F20" i="385"/>
  <c r="F17" i="385"/>
  <c r="F99" i="385"/>
  <c r="F97" i="385" s="1"/>
  <c r="K30" i="385"/>
  <c r="K43" i="385" s="1"/>
  <c r="E13" i="385"/>
  <c r="E11" i="385" s="1"/>
  <c r="E23" i="385" s="1"/>
  <c r="I11" i="385"/>
  <c r="M17" i="385"/>
  <c r="M126" i="385"/>
  <c r="M134" i="385"/>
  <c r="M137" i="385"/>
  <c r="I89" i="385"/>
  <c r="I97" i="385"/>
  <c r="I117" i="385"/>
  <c r="I47" i="385"/>
  <c r="I65" i="385"/>
  <c r="I77" i="385"/>
  <c r="E50" i="385"/>
  <c r="E161" i="385"/>
  <c r="L89" i="385"/>
  <c r="L97" i="385"/>
  <c r="L117" i="385"/>
  <c r="L137" i="385"/>
  <c r="H102" i="385"/>
  <c r="H50" i="385"/>
  <c r="H76" i="385"/>
  <c r="H80" i="385" s="1"/>
  <c r="H141" i="385"/>
  <c r="H161" i="385"/>
  <c r="C35" i="385"/>
  <c r="P35" i="385"/>
  <c r="D34" i="385"/>
  <c r="C48" i="385"/>
  <c r="P48" i="385" s="1"/>
  <c r="D47" i="385"/>
  <c r="C58" i="385"/>
  <c r="P58" i="385"/>
  <c r="C66" i="385"/>
  <c r="P66" i="385" s="1"/>
  <c r="D65" i="385"/>
  <c r="C78" i="385"/>
  <c r="P78" i="385"/>
  <c r="D77" i="385"/>
  <c r="C87" i="385"/>
  <c r="P87" i="385"/>
  <c r="C101" i="385"/>
  <c r="P101" i="385"/>
  <c r="C109" i="385"/>
  <c r="P109" i="385"/>
  <c r="C119" i="385"/>
  <c r="P119" i="385"/>
  <c r="C49" i="385"/>
  <c r="P49" i="385"/>
  <c r="C57" i="385"/>
  <c r="P57" i="385" s="1"/>
  <c r="C67" i="385"/>
  <c r="P67" i="385" s="1"/>
  <c r="C75" i="385"/>
  <c r="P75" i="385" s="1"/>
  <c r="D17" i="385"/>
  <c r="C18" i="385"/>
  <c r="P18" i="385" s="1"/>
  <c r="C92" i="385"/>
  <c r="P92" i="385" s="1"/>
  <c r="C100" i="385"/>
  <c r="P100" i="385" s="1"/>
  <c r="D99" i="385"/>
  <c r="C112" i="385"/>
  <c r="P112" i="385"/>
  <c r="C120" i="385"/>
  <c r="P120" i="385" s="1"/>
  <c r="C130" i="385"/>
  <c r="P130" i="385" s="1"/>
  <c r="C140" i="385"/>
  <c r="P140" i="385" s="1"/>
  <c r="C150" i="385"/>
  <c r="P150" i="385"/>
  <c r="C121" i="385"/>
  <c r="P121" i="385"/>
  <c r="C129" i="385"/>
  <c r="P129" i="385"/>
  <c r="C139" i="385"/>
  <c r="P139" i="385"/>
  <c r="C149" i="385"/>
  <c r="P149" i="385"/>
  <c r="D13" i="385"/>
  <c r="H117" i="365"/>
  <c r="C116" i="365"/>
  <c r="P116" i="365" s="1"/>
  <c r="C112" i="365"/>
  <c r="P112" i="365" s="1"/>
  <c r="F102" i="365"/>
  <c r="K97" i="365"/>
  <c r="M89" i="365"/>
  <c r="L34" i="365"/>
  <c r="L43" i="365" s="1"/>
  <c r="C35" i="365"/>
  <c r="P35" i="365" s="1"/>
  <c r="D34" i="365"/>
  <c r="L137" i="365"/>
  <c r="H65" i="365"/>
  <c r="H76" i="365"/>
  <c r="H80" i="365" s="1"/>
  <c r="C52" i="365"/>
  <c r="P52" i="365" s="1"/>
  <c r="C60" i="365"/>
  <c r="P60" i="365" s="1"/>
  <c r="C68" i="365"/>
  <c r="P68" i="365"/>
  <c r="C166" i="365"/>
  <c r="P166" i="365"/>
  <c r="D134" i="365"/>
  <c r="C135" i="365"/>
  <c r="P135" i="365" s="1"/>
  <c r="D146" i="365"/>
  <c r="D141" i="365" s="1"/>
  <c r="C147" i="365"/>
  <c r="P147" i="365"/>
  <c r="C160" i="365"/>
  <c r="P160" i="365"/>
  <c r="C61" i="365"/>
  <c r="P61" i="365"/>
  <c r="C71" i="365"/>
  <c r="P71" i="365" s="1"/>
  <c r="C132" i="365"/>
  <c r="P132" i="365" s="1"/>
  <c r="C142" i="365"/>
  <c r="P142" i="365" s="1"/>
  <c r="D161" i="365"/>
  <c r="C155" i="365"/>
  <c r="P155" i="365"/>
  <c r="M102" i="365"/>
  <c r="F99" i="365"/>
  <c r="F97" i="365"/>
  <c r="C94" i="365"/>
  <c r="P94" i="365"/>
  <c r="C90" i="365"/>
  <c r="P90" i="365"/>
  <c r="D89" i="365"/>
  <c r="N13" i="365"/>
  <c r="N11" i="365"/>
  <c r="N23" i="365" s="1"/>
  <c r="F13" i="365"/>
  <c r="F11" i="365" s="1"/>
  <c r="J11" i="365"/>
  <c r="O50" i="365"/>
  <c r="O65" i="365"/>
  <c r="O77" i="365"/>
  <c r="O134" i="365"/>
  <c r="O146" i="365"/>
  <c r="O141" i="365" s="1"/>
  <c r="K65" i="365"/>
  <c r="K77" i="365"/>
  <c r="K134" i="365"/>
  <c r="K146" i="365"/>
  <c r="K141" i="365" s="1"/>
  <c r="K126" i="365"/>
  <c r="F117" i="365"/>
  <c r="I99" i="365"/>
  <c r="E97" i="365"/>
  <c r="C93" i="365"/>
  <c r="P93" i="365"/>
  <c r="K89" i="365"/>
  <c r="N50" i="365"/>
  <c r="C49" i="365"/>
  <c r="P49" i="365" s="1"/>
  <c r="I47" i="365"/>
  <c r="C42" i="365"/>
  <c r="P42" i="365"/>
  <c r="C40" i="365"/>
  <c r="P40" i="365" s="1"/>
  <c r="C38" i="365"/>
  <c r="P38" i="365" s="1"/>
  <c r="C36" i="365"/>
  <c r="P36" i="365" s="1"/>
  <c r="C32" i="365"/>
  <c r="P32" i="365" s="1"/>
  <c r="N65" i="365"/>
  <c r="J134" i="365"/>
  <c r="J146" i="365"/>
  <c r="J141" i="365"/>
  <c r="J161" i="365"/>
  <c r="M117" i="365"/>
  <c r="C106" i="365"/>
  <c r="P106" i="365"/>
  <c r="K102" i="365"/>
  <c r="H20" i="365"/>
  <c r="C19" i="365"/>
  <c r="P19" i="365" s="1"/>
  <c r="I17" i="365"/>
  <c r="M13" i="365"/>
  <c r="M11" i="365"/>
  <c r="M23" i="365" s="1"/>
  <c r="M44" i="365" s="1"/>
  <c r="M137" i="365"/>
  <c r="I50" i="365"/>
  <c r="I137" i="365"/>
  <c r="E161" i="365"/>
  <c r="E65" i="365"/>
  <c r="E77" i="365"/>
  <c r="D160" i="404" a="1"/>
  <c r="D160" i="404" s="1"/>
  <c r="I160" i="404" s="1"/>
  <c r="D156" i="404" a="1"/>
  <c r="D156" i="404" s="1"/>
  <c r="D142" i="404" a="1"/>
  <c r="D142" i="404" s="1"/>
  <c r="I142" i="404" s="1"/>
  <c r="D137" i="404" a="1"/>
  <c r="D137" i="404"/>
  <c r="I137" i="404" s="1"/>
  <c r="D133" i="404" a="1"/>
  <c r="D133" i="404"/>
  <c r="I133" i="404" s="1"/>
  <c r="D129" i="404" a="1"/>
  <c r="D129" i="404" s="1"/>
  <c r="I129" i="404" s="1"/>
  <c r="D125" i="404" a="1"/>
  <c r="D125" i="404" s="1"/>
  <c r="D121" i="404" a="1"/>
  <c r="D121" i="404"/>
  <c r="I121" i="404" s="1"/>
  <c r="D117" i="404" a="1"/>
  <c r="D117" i="404" s="1"/>
  <c r="I117" i="404" s="1"/>
  <c r="D113" i="404" a="1"/>
  <c r="D113" i="404"/>
  <c r="I113" i="404"/>
  <c r="D109" i="404" a="1"/>
  <c r="D109" i="404"/>
  <c r="I109" i="404" s="1"/>
  <c r="D105" i="404" a="1"/>
  <c r="D105" i="404" s="1"/>
  <c r="I105" i="404" s="1"/>
  <c r="D101" i="404" a="1"/>
  <c r="D101" i="404" s="1"/>
  <c r="I101" i="404" s="1"/>
  <c r="D97" i="404" a="1"/>
  <c r="D97" i="404"/>
  <c r="I97" i="404" s="1"/>
  <c r="D94" i="404" a="1"/>
  <c r="D94" i="404" s="1"/>
  <c r="I94" i="404" s="1"/>
  <c r="D87" i="404" a="1"/>
  <c r="D87" i="404" s="1"/>
  <c r="I87" i="404" s="1"/>
  <c r="D83" i="404" a="1"/>
  <c r="D83" i="404"/>
  <c r="I83" i="404" s="1"/>
  <c r="D79" i="404" a="1"/>
  <c r="D79" i="404"/>
  <c r="D73" i="404" a="1"/>
  <c r="D73" i="404"/>
  <c r="I73" i="404" s="1"/>
  <c r="D71" i="404" a="1"/>
  <c r="D71" i="404" s="1"/>
  <c r="D69" i="404" a="1"/>
  <c r="D69" i="404" s="1"/>
  <c r="D66" i="404" a="1"/>
  <c r="D66" i="404"/>
  <c r="I66" i="404" s="1"/>
  <c r="D60" i="404" a="1"/>
  <c r="D60" i="404" s="1"/>
  <c r="I60" i="404" s="1"/>
  <c r="D56" i="404" a="1"/>
  <c r="D56" i="404" s="1"/>
  <c r="I56" i="404" s="1"/>
  <c r="D42" i="404" a="1"/>
  <c r="D42" i="404"/>
  <c r="I42" i="404" s="1"/>
  <c r="D38" i="404" a="1"/>
  <c r="D38" i="404" s="1"/>
  <c r="I38" i="404" s="1"/>
  <c r="D34" i="404" a="1"/>
  <c r="D34" i="404"/>
  <c r="I34" i="404"/>
  <c r="D30" i="404" a="1"/>
  <c r="D30" i="404"/>
  <c r="D26" i="404" a="1"/>
  <c r="D26" i="404"/>
  <c r="D22" i="404" a="1"/>
  <c r="D22" i="404"/>
  <c r="D18" i="404" a="1"/>
  <c r="D18" i="404"/>
  <c r="I18" i="404" s="1"/>
  <c r="D12" i="404" a="1"/>
  <c r="D12" i="404" s="1"/>
  <c r="I12" i="404" s="1"/>
  <c r="D161" i="404" a="1"/>
  <c r="D161" i="404" s="1"/>
  <c r="I161" i="404" s="1"/>
  <c r="D157" i="404" a="1"/>
  <c r="D157" i="404" s="1"/>
  <c r="I157" i="404" s="1"/>
  <c r="D143" i="404" a="1"/>
  <c r="D143" i="404"/>
  <c r="D140" i="404" a="1"/>
  <c r="D140" i="404" s="1"/>
  <c r="D134" i="404" a="1"/>
  <c r="D134" i="404" s="1"/>
  <c r="I134" i="404"/>
  <c r="D130" i="404" a="1"/>
  <c r="D130" i="404"/>
  <c r="I130" i="404" s="1"/>
  <c r="D126" i="404" a="1"/>
  <c r="D126" i="404" s="1"/>
  <c r="I126" i="404" s="1"/>
  <c r="D122" i="404" a="1"/>
  <c r="D122" i="404" s="1"/>
  <c r="I122" i="404" s="1"/>
  <c r="D118" i="404" a="1"/>
  <c r="D118" i="404" s="1"/>
  <c r="I118" i="404" s="1"/>
  <c r="D114" i="404" a="1"/>
  <c r="D114" i="404"/>
  <c r="I114" i="404" s="1"/>
  <c r="D110" i="404" a="1"/>
  <c r="D110" i="404" s="1"/>
  <c r="I110" i="404" s="1"/>
  <c r="D106" i="404" a="1"/>
  <c r="D106" i="404"/>
  <c r="I106" i="404" s="1"/>
  <c r="D102" i="404" a="1"/>
  <c r="D102" i="404"/>
  <c r="I102" i="404" s="1"/>
  <c r="D98" i="404" a="1"/>
  <c r="D98" i="404"/>
  <c r="I98" i="404" s="1"/>
  <c r="D95" i="404" a="1"/>
  <c r="D95" i="404" s="1"/>
  <c r="I95" i="404" s="1"/>
  <c r="D91" i="404" a="1"/>
  <c r="D91" i="404"/>
  <c r="I91" i="404" s="1"/>
  <c r="D88" i="404" a="1"/>
  <c r="D88" i="404" s="1"/>
  <c r="I88" i="404" s="1"/>
  <c r="D84" i="404" a="1"/>
  <c r="D84" i="404"/>
  <c r="I84" i="404"/>
  <c r="D80" i="404" a="1"/>
  <c r="D80" i="404"/>
  <c r="I80" i="404"/>
  <c r="D74" i="404" a="1"/>
  <c r="D74" i="404" s="1"/>
  <c r="I74" i="404" s="1"/>
  <c r="D67" i="404" a="1"/>
  <c r="D67" i="404" s="1"/>
  <c r="D63" i="404" a="1"/>
  <c r="D63" i="404" s="1"/>
  <c r="D61" i="404" a="1"/>
  <c r="D61" i="404"/>
  <c r="D57" i="404" a="1"/>
  <c r="D57" i="404"/>
  <c r="I57" i="404"/>
  <c r="D54" i="404" a="1"/>
  <c r="D54" i="404"/>
  <c r="I54" i="404"/>
  <c r="D52" i="404" a="1"/>
  <c r="D52" i="404" s="1"/>
  <c r="D43" i="404" a="1"/>
  <c r="D43" i="404"/>
  <c r="I43" i="404" s="1"/>
  <c r="D39" i="404" a="1"/>
  <c r="D39" i="404" s="1"/>
  <c r="I39" i="404" s="1"/>
  <c r="D35" i="404" a="1"/>
  <c r="D35" i="404"/>
  <c r="I35" i="404" s="1"/>
  <c r="D31" i="404" a="1"/>
  <c r="D31" i="404"/>
  <c r="I31" i="404" s="1"/>
  <c r="D23" i="404" a="1"/>
  <c r="D23" i="404" s="1"/>
  <c r="I23" i="404" s="1"/>
  <c r="D16" i="404" a="1"/>
  <c r="D16" i="404" s="1"/>
  <c r="D13" i="404" a="1"/>
  <c r="D13" i="404" s="1"/>
  <c r="I13" i="404"/>
  <c r="D158" i="404" a="1"/>
  <c r="D158" i="404"/>
  <c r="I158" i="404" s="1"/>
  <c r="D145" i="404" a="1"/>
  <c r="D145" i="404" s="1"/>
  <c r="D141" i="404" a="1"/>
  <c r="D141" i="404"/>
  <c r="I141" i="404" s="1"/>
  <c r="D131" i="404" a="1"/>
  <c r="D131" i="404" s="1"/>
  <c r="I131" i="404" s="1"/>
  <c r="D124" i="404" a="1"/>
  <c r="D124" i="404" s="1"/>
  <c r="I124" i="404" s="1"/>
  <c r="D115" i="404" a="1"/>
  <c r="D115" i="404"/>
  <c r="I115" i="404" s="1"/>
  <c r="D108" i="404" a="1"/>
  <c r="D108" i="404" s="1"/>
  <c r="D99" i="404" a="1"/>
  <c r="D99" i="404"/>
  <c r="I99" i="404"/>
  <c r="D96" i="404" a="1"/>
  <c r="D96" i="404"/>
  <c r="D90" i="404" a="1"/>
  <c r="D90" i="404"/>
  <c r="D81" i="404" a="1"/>
  <c r="D81" i="404" s="1"/>
  <c r="I81" i="404" s="1"/>
  <c r="D44" i="404" a="1"/>
  <c r="D44" i="404"/>
  <c r="I44" i="404" s="1"/>
  <c r="D37" i="404" a="1"/>
  <c r="D37" i="404" s="1"/>
  <c r="D162" i="404" a="1"/>
  <c r="D162" i="404" s="1"/>
  <c r="I162" i="404" s="1"/>
  <c r="D155" i="404" a="1"/>
  <c r="D155" i="404" s="1"/>
  <c r="D135" i="404" a="1"/>
  <c r="D135" i="404" s="1"/>
  <c r="I135" i="404" s="1"/>
  <c r="D128" i="404" a="1"/>
  <c r="D128" i="404" s="1"/>
  <c r="I128" i="404" s="1"/>
  <c r="D119" i="404" a="1"/>
  <c r="D119" i="404"/>
  <c r="I119" i="404" s="1"/>
  <c r="D112" i="404" a="1"/>
  <c r="D112" i="404" s="1"/>
  <c r="I112" i="404" s="1"/>
  <c r="D103" i="404" a="1"/>
  <c r="D103" i="404"/>
  <c r="I103" i="404"/>
  <c r="D93" i="404" a="1"/>
  <c r="D93" i="404"/>
  <c r="I93" i="404" s="1"/>
  <c r="D85" i="404" a="1"/>
  <c r="D85" i="404"/>
  <c r="I85" i="404" s="1"/>
  <c r="D64" i="404" a="1"/>
  <c r="D64" i="404" s="1"/>
  <c r="I64" i="404"/>
  <c r="D58" i="404" a="1"/>
  <c r="D58" i="404"/>
  <c r="I58" i="404" s="1"/>
  <c r="D55" i="404" a="1"/>
  <c r="D55" i="404" s="1"/>
  <c r="D41" i="404" a="1"/>
  <c r="D41" i="404"/>
  <c r="I41" i="404" s="1"/>
  <c r="D17" i="404" a="1"/>
  <c r="D17" i="404" s="1"/>
  <c r="D10" i="404" a="1"/>
  <c r="D10" i="404"/>
  <c r="D175" i="404" a="1"/>
  <c r="D175" i="404"/>
  <c r="D159" i="404" a="1"/>
  <c r="D159" i="404"/>
  <c r="I159" i="404" s="1"/>
  <c r="D132" i="404" a="1"/>
  <c r="D132" i="404" s="1"/>
  <c r="I132" i="404" s="1"/>
  <c r="D123" i="404" a="1"/>
  <c r="D123" i="404"/>
  <c r="I123" i="404"/>
  <c r="D116" i="404" a="1"/>
  <c r="D116" i="404"/>
  <c r="I116" i="404" s="1"/>
  <c r="D107" i="404" a="1"/>
  <c r="D107" i="404" s="1"/>
  <c r="I107" i="404" s="1"/>
  <c r="D100" i="404" a="1"/>
  <c r="D100" i="404" s="1"/>
  <c r="I100" i="404"/>
  <c r="D89" i="404" a="1"/>
  <c r="D89" i="404"/>
  <c r="I89" i="404" s="1"/>
  <c r="D82" i="404" a="1"/>
  <c r="D82" i="404" s="1"/>
  <c r="I82" i="404" s="1"/>
  <c r="D72" i="404" a="1"/>
  <c r="D72" i="404" s="1"/>
  <c r="D70" i="404" a="1"/>
  <c r="D70" i="404" s="1"/>
  <c r="D68" i="404" a="1"/>
  <c r="D68" i="404" s="1"/>
  <c r="D62" i="404" a="1"/>
  <c r="D62" i="404"/>
  <c r="D53" i="404" a="1"/>
  <c r="D53" i="404"/>
  <c r="D45" i="404" a="1"/>
  <c r="D45" i="404"/>
  <c r="I45" i="404" s="1"/>
  <c r="D163" i="404" a="1"/>
  <c r="D163" i="404" s="1"/>
  <c r="I163" i="404" s="1"/>
  <c r="D136" i="404" a="1"/>
  <c r="D136" i="404" s="1"/>
  <c r="I136" i="404" s="1"/>
  <c r="D127" i="404" a="1"/>
  <c r="D127" i="404"/>
  <c r="I127" i="404" s="1"/>
  <c r="D120" i="404" a="1"/>
  <c r="D120" i="404"/>
  <c r="I120" i="404" s="1"/>
  <c r="D111" i="404" a="1"/>
  <c r="D111" i="404" s="1"/>
  <c r="I111" i="404" s="1"/>
  <c r="D104" i="404" a="1"/>
  <c r="D104" i="404"/>
  <c r="I104" i="404" s="1"/>
  <c r="D92" i="404" a="1"/>
  <c r="D92" i="404"/>
  <c r="I92" i="404" s="1"/>
  <c r="D86" i="404" a="1"/>
  <c r="D86" i="404" s="1"/>
  <c r="I86" i="404" s="1"/>
  <c r="D65" i="404" a="1"/>
  <c r="D65" i="404" s="1"/>
  <c r="I65" i="404" s="1"/>
  <c r="D59" i="404" a="1"/>
  <c r="D59" i="404"/>
  <c r="I59" i="404" s="1"/>
  <c r="D40" i="404" a="1"/>
  <c r="D40" i="404" s="1"/>
  <c r="I40" i="404" s="1"/>
  <c r="D33" i="404" a="1"/>
  <c r="D33" i="404"/>
  <c r="D28" i="404" a="1"/>
  <c r="D28" i="404" s="1"/>
  <c r="D20" i="404" a="1"/>
  <c r="D20" i="404" s="1"/>
  <c r="H20" i="404" s="1"/>
  <c r="D14" i="404" a="1"/>
  <c r="D14" i="404" s="1"/>
  <c r="I14" i="404" s="1"/>
  <c r="H143" i="388"/>
  <c r="D15" i="388"/>
  <c r="D27" i="388"/>
  <c r="D9" i="388"/>
  <c r="I10" i="388"/>
  <c r="I20" i="388"/>
  <c r="D19" i="388"/>
  <c r="I19" i="388"/>
  <c r="D177" i="405"/>
  <c r="I177" i="405" s="1"/>
  <c r="I175" i="405"/>
  <c r="D164" i="405"/>
  <c r="I155" i="405"/>
  <c r="D161" i="403" a="1"/>
  <c r="D161" i="403" s="1"/>
  <c r="I161" i="403" s="1"/>
  <c r="D156" i="403" a="1"/>
  <c r="D156" i="403"/>
  <c r="D142" i="403" a="1"/>
  <c r="D142" i="403"/>
  <c r="I142" i="403" s="1"/>
  <c r="D137" i="403" a="1"/>
  <c r="D137" i="403" s="1"/>
  <c r="I137" i="403" s="1"/>
  <c r="D133" i="403" a="1"/>
  <c r="D133" i="403" s="1"/>
  <c r="I133" i="403" s="1"/>
  <c r="D129" i="403" a="1"/>
  <c r="D129" i="403"/>
  <c r="I129" i="403"/>
  <c r="D125" i="403" a="1"/>
  <c r="D125" i="403"/>
  <c r="I125" i="403" s="1"/>
  <c r="D121" i="403" a="1"/>
  <c r="D121" i="403" s="1"/>
  <c r="I121" i="403" s="1"/>
  <c r="D117" i="403" a="1"/>
  <c r="D117" i="403"/>
  <c r="I117" i="403" s="1"/>
  <c r="D113" i="403" a="1"/>
  <c r="D113" i="403"/>
  <c r="I113" i="403" s="1"/>
  <c r="D109" i="403" a="1"/>
  <c r="D109" i="403" s="1"/>
  <c r="I109" i="403" s="1"/>
  <c r="D105" i="403" a="1"/>
  <c r="D105" i="403" s="1"/>
  <c r="I105" i="403" s="1"/>
  <c r="D101" i="403" a="1"/>
  <c r="D101" i="403"/>
  <c r="D97" i="403" a="1"/>
  <c r="D97" i="403" s="1"/>
  <c r="I97" i="403" s="1"/>
  <c r="D94" i="403" a="1"/>
  <c r="D94" i="403"/>
  <c r="I94" i="403"/>
  <c r="D88" i="403" a="1"/>
  <c r="D88" i="403"/>
  <c r="I88" i="403" s="1"/>
  <c r="D85" i="403" a="1"/>
  <c r="D85" i="403"/>
  <c r="I85" i="403" s="1"/>
  <c r="D81" i="403" a="1"/>
  <c r="D81" i="403" s="1"/>
  <c r="I81" i="403"/>
  <c r="D72" i="403" a="1"/>
  <c r="D72" i="403"/>
  <c r="D70" i="403" a="1"/>
  <c r="D70" i="403"/>
  <c r="D68" i="403" a="1"/>
  <c r="D68" i="403"/>
  <c r="I68" i="403"/>
  <c r="D64" i="403" a="1"/>
  <c r="D64" i="403"/>
  <c r="I64" i="403" s="1"/>
  <c r="D62" i="403" a="1"/>
  <c r="D62" i="403"/>
  <c r="D59" i="403" a="1"/>
  <c r="D59" i="403"/>
  <c r="I59" i="403" s="1"/>
  <c r="D53" i="403" a="1"/>
  <c r="D53" i="403" s="1"/>
  <c r="D45" i="403" a="1"/>
  <c r="D45" i="403" s="1"/>
  <c r="I45" i="403" s="1"/>
  <c r="D41" i="403" a="1"/>
  <c r="D41" i="403"/>
  <c r="I41" i="403"/>
  <c r="D37" i="403" a="1"/>
  <c r="D37" i="403"/>
  <c r="D33" i="403" a="1"/>
  <c r="D33" i="403"/>
  <c r="D20" i="403" a="1"/>
  <c r="D20" i="403" s="1"/>
  <c r="D17" i="403" a="1"/>
  <c r="D17" i="403" s="1"/>
  <c r="D14" i="403" a="1"/>
  <c r="D14" i="403" s="1"/>
  <c r="I14" i="403" s="1"/>
  <c r="D10" i="403" a="1"/>
  <c r="D10" i="403"/>
  <c r="D162" i="403" a="1"/>
  <c r="D162" i="403"/>
  <c r="I162" i="403"/>
  <c r="D158" i="403" a="1"/>
  <c r="D158" i="403"/>
  <c r="I158" i="403" s="1"/>
  <c r="D157" i="403" a="1"/>
  <c r="D157" i="403"/>
  <c r="I157" i="403" s="1"/>
  <c r="D143" i="403" a="1"/>
  <c r="D143" i="403" s="1"/>
  <c r="D140" i="403" a="1"/>
  <c r="D140" i="403" s="1"/>
  <c r="D139" i="403" s="1"/>
  <c r="D134" i="403" a="1"/>
  <c r="D134" i="403" s="1"/>
  <c r="I134" i="403" s="1"/>
  <c r="D130" i="403" a="1"/>
  <c r="D130" i="403" s="1"/>
  <c r="I130" i="403" s="1"/>
  <c r="D126" i="403" a="1"/>
  <c r="D126" i="403"/>
  <c r="I126" i="403" s="1"/>
  <c r="D122" i="403" a="1"/>
  <c r="D122" i="403" s="1"/>
  <c r="I122" i="403" s="1"/>
  <c r="D118" i="403" a="1"/>
  <c r="D118" i="403" s="1"/>
  <c r="I118" i="403"/>
  <c r="D114" i="403" a="1"/>
  <c r="D114" i="403"/>
  <c r="I114" i="403" s="1"/>
  <c r="D110" i="403" a="1"/>
  <c r="D110" i="403" s="1"/>
  <c r="I110" i="403" s="1"/>
  <c r="D106" i="403" a="1"/>
  <c r="D106" i="403" s="1"/>
  <c r="I106" i="403" s="1"/>
  <c r="D102" i="403" a="1"/>
  <c r="D102" i="403"/>
  <c r="I102" i="403" s="1"/>
  <c r="D98" i="403" a="1"/>
  <c r="D98" i="403"/>
  <c r="I98" i="403" s="1"/>
  <c r="D95" i="403" a="1"/>
  <c r="D95" i="403" s="1"/>
  <c r="D91" i="403" a="1"/>
  <c r="D91" i="403"/>
  <c r="I91" i="403" s="1"/>
  <c r="D89" i="403" a="1"/>
  <c r="D89" i="403"/>
  <c r="D86" i="403" a="1"/>
  <c r="D86" i="403"/>
  <c r="I86" i="403" s="1"/>
  <c r="D82" i="403" a="1"/>
  <c r="D82" i="403" s="1"/>
  <c r="I82" i="403" s="1"/>
  <c r="D65" i="403" a="1"/>
  <c r="D65" i="403" s="1"/>
  <c r="I65" i="403" s="1"/>
  <c r="D60" i="403" a="1"/>
  <c r="D60" i="403"/>
  <c r="I60" i="403" s="1"/>
  <c r="D56" i="403" a="1"/>
  <c r="D56" i="403" s="1"/>
  <c r="I56" i="403" s="1"/>
  <c r="D42" i="403" a="1"/>
  <c r="D42" i="403" s="1"/>
  <c r="D38" i="403" a="1"/>
  <c r="D38" i="403"/>
  <c r="I38" i="403" s="1"/>
  <c r="D34" i="403" a="1"/>
  <c r="D34" i="403"/>
  <c r="I34" i="403" s="1"/>
  <c r="D30" i="403" a="1"/>
  <c r="D30" i="403" s="1"/>
  <c r="H30" i="403" s="1"/>
  <c r="D26" i="403" a="1"/>
  <c r="D26" i="403"/>
  <c r="D159" i="403" a="1"/>
  <c r="D159" i="403" s="1"/>
  <c r="I159" i="403" s="1"/>
  <c r="D145" i="403" a="1"/>
  <c r="D145" i="403"/>
  <c r="D141" i="403" a="1"/>
  <c r="D141" i="403"/>
  <c r="I141" i="403" s="1"/>
  <c r="D131" i="403" a="1"/>
  <c r="D131" i="403"/>
  <c r="I131" i="403" s="1"/>
  <c r="D124" i="403" a="1"/>
  <c r="D124" i="403" s="1"/>
  <c r="I124" i="403" s="1"/>
  <c r="D115" i="403" a="1"/>
  <c r="D115" i="403"/>
  <c r="I115" i="403" s="1"/>
  <c r="D108" i="403" a="1"/>
  <c r="D108" i="403"/>
  <c r="I108" i="403" s="1"/>
  <c r="D99" i="403" a="1"/>
  <c r="D99" i="403" s="1"/>
  <c r="I99" i="403" s="1"/>
  <c r="D96" i="403" a="1"/>
  <c r="D96" i="403" s="1"/>
  <c r="D90" i="403" a="1"/>
  <c r="D90" i="403" s="1"/>
  <c r="D83" i="403" a="1"/>
  <c r="D83" i="403" s="1"/>
  <c r="I83" i="403" s="1"/>
  <c r="D74" i="403" a="1"/>
  <c r="D74" i="403"/>
  <c r="I74" i="403" s="1"/>
  <c r="D57" i="403" a="1"/>
  <c r="D57" i="403"/>
  <c r="I57" i="403" s="1"/>
  <c r="D43" i="403" a="1"/>
  <c r="D43" i="403" s="1"/>
  <c r="I43" i="403" s="1"/>
  <c r="D175" i="403" a="1"/>
  <c r="D175" i="403" s="1"/>
  <c r="D163" i="403" a="1"/>
  <c r="D163" i="403" s="1"/>
  <c r="I163" i="403"/>
  <c r="D155" i="403" a="1"/>
  <c r="D155" i="403"/>
  <c r="D135" i="403" a="1"/>
  <c r="D135" i="403"/>
  <c r="I135" i="403" s="1"/>
  <c r="D128" i="403" a="1"/>
  <c r="D128" i="403"/>
  <c r="I128" i="403" s="1"/>
  <c r="D119" i="403" a="1"/>
  <c r="D119" i="403" s="1"/>
  <c r="I119" i="403" s="1"/>
  <c r="D112" i="403" a="1"/>
  <c r="D112" i="403" s="1"/>
  <c r="I112" i="403" s="1"/>
  <c r="D103" i="403" a="1"/>
  <c r="D103" i="403"/>
  <c r="I103" i="403" s="1"/>
  <c r="D93" i="403" a="1"/>
  <c r="D93" i="403" s="1"/>
  <c r="I93" i="403" s="1"/>
  <c r="D87" i="403" a="1"/>
  <c r="D87" i="403"/>
  <c r="I87" i="403"/>
  <c r="D80" i="403" a="1"/>
  <c r="D80" i="403"/>
  <c r="I80" i="403" s="1"/>
  <c r="D66" i="403" a="1"/>
  <c r="D66" i="403"/>
  <c r="I66" i="403" s="1"/>
  <c r="D63" i="403" a="1"/>
  <c r="D63" i="403" s="1"/>
  <c r="D61" i="403" a="1"/>
  <c r="D61" i="403" s="1"/>
  <c r="D55" i="403" a="1"/>
  <c r="D55" i="403" s="1"/>
  <c r="I55" i="403" s="1"/>
  <c r="D40" i="403" a="1"/>
  <c r="D40" i="403"/>
  <c r="I40" i="403"/>
  <c r="D35" i="403" a="1"/>
  <c r="D35" i="403" s="1"/>
  <c r="I35" i="403" s="1"/>
  <c r="D22" i="403" a="1"/>
  <c r="D22" i="403" s="1"/>
  <c r="D18" i="403" a="1"/>
  <c r="D18" i="403"/>
  <c r="I18" i="403" s="1"/>
  <c r="D13" i="403" a="1"/>
  <c r="D13" i="403" s="1"/>
  <c r="I13" i="403" s="1"/>
  <c r="D160" i="403" a="1"/>
  <c r="D160" i="403"/>
  <c r="I160" i="403" s="1"/>
  <c r="D132" i="403" a="1"/>
  <c r="D132" i="403"/>
  <c r="I132" i="403"/>
  <c r="D123" i="403" a="1"/>
  <c r="D123" i="403" s="1"/>
  <c r="I123" i="403" s="1"/>
  <c r="D116" i="403" a="1"/>
  <c r="D116" i="403" s="1"/>
  <c r="I116" i="403" s="1"/>
  <c r="D107" i="403" a="1"/>
  <c r="D107" i="403"/>
  <c r="I107" i="403" s="1"/>
  <c r="D100" i="403" a="1"/>
  <c r="D100" i="403" s="1"/>
  <c r="I100" i="403" s="1"/>
  <c r="D84" i="403" a="1"/>
  <c r="D84" i="403"/>
  <c r="I84" i="403"/>
  <c r="D73" i="403" a="1"/>
  <c r="D73" i="403" s="1"/>
  <c r="I73" i="403" s="1"/>
  <c r="D71" i="403" a="1"/>
  <c r="D71" i="403" s="1"/>
  <c r="D69" i="403" a="1"/>
  <c r="D69" i="403" s="1"/>
  <c r="D58" i="403" a="1"/>
  <c r="D58" i="403" s="1"/>
  <c r="I58" i="403" s="1"/>
  <c r="D44" i="403" a="1"/>
  <c r="D44" i="403"/>
  <c r="I44" i="403" s="1"/>
  <c r="D28" i="403" a="1"/>
  <c r="D28" i="403"/>
  <c r="D16" i="403" a="1"/>
  <c r="D16" i="403" s="1"/>
  <c r="D136" i="403" a="1"/>
  <c r="D136" i="403" s="1"/>
  <c r="I136" i="403" s="1"/>
  <c r="D127" i="403" a="1"/>
  <c r="D127" i="403" s="1"/>
  <c r="I127" i="403" s="1"/>
  <c r="D120" i="403" a="1"/>
  <c r="D120" i="403"/>
  <c r="I120" i="403" s="1"/>
  <c r="D111" i="403" a="1"/>
  <c r="D111" i="403" s="1"/>
  <c r="I111" i="403" s="1"/>
  <c r="D104" i="403" a="1"/>
  <c r="D104" i="403"/>
  <c r="I104" i="403" s="1"/>
  <c r="D92" i="403" a="1"/>
  <c r="D92" i="403"/>
  <c r="I92" i="403" s="1"/>
  <c r="D79" i="403" a="1"/>
  <c r="D79" i="403"/>
  <c r="D67" i="403" a="1"/>
  <c r="D67" i="403"/>
  <c r="D54" i="403" a="1"/>
  <c r="D54" i="403"/>
  <c r="I54" i="403" s="1"/>
  <c r="D52" i="403" a="1"/>
  <c r="D52" i="403" s="1"/>
  <c r="D39" i="403" a="1"/>
  <c r="D39" i="403"/>
  <c r="I39" i="403"/>
  <c r="D31" i="403" a="1"/>
  <c r="D31" i="403" s="1"/>
  <c r="I31" i="403" s="1"/>
  <c r="D23" i="403" a="1"/>
  <c r="D23" i="403" s="1"/>
  <c r="I23" i="403" s="1"/>
  <c r="D12" i="403" a="1"/>
  <c r="D12" i="403"/>
  <c r="D161" i="402" a="1"/>
  <c r="D161" i="402"/>
  <c r="I161" i="402" s="1"/>
  <c r="D157" i="402" a="1"/>
  <c r="D157" i="402" s="1"/>
  <c r="I157" i="402" s="1"/>
  <c r="D143" i="402" a="1"/>
  <c r="D143" i="402"/>
  <c r="D140" i="402" a="1"/>
  <c r="D140" i="402" s="1"/>
  <c r="D133" i="402" a="1"/>
  <c r="D133" i="402" s="1"/>
  <c r="I133" i="402" s="1"/>
  <c r="D129" i="402" a="1"/>
  <c r="D129" i="402" s="1"/>
  <c r="I129" i="402" s="1"/>
  <c r="D125" i="402" a="1"/>
  <c r="D125" i="402"/>
  <c r="I125" i="402" s="1"/>
  <c r="D121" i="402" a="1"/>
  <c r="D121" i="402" s="1"/>
  <c r="I121" i="402" s="1"/>
  <c r="D117" i="402" a="1"/>
  <c r="D117" i="402"/>
  <c r="I117" i="402" s="1"/>
  <c r="D113" i="402" a="1"/>
  <c r="D113" i="402"/>
  <c r="I113" i="402" s="1"/>
  <c r="D109" i="402" a="1"/>
  <c r="D109" i="402"/>
  <c r="I109" i="402" s="1"/>
  <c r="D105" i="402" a="1"/>
  <c r="D105" i="402" s="1"/>
  <c r="I105" i="402" s="1"/>
  <c r="D101" i="402" a="1"/>
  <c r="D101" i="402"/>
  <c r="I101" i="402" s="1"/>
  <c r="D97" i="402" a="1"/>
  <c r="D97" i="402"/>
  <c r="I97" i="402"/>
  <c r="D94" i="402" a="1"/>
  <c r="D94" i="402" s="1"/>
  <c r="I94" i="402" s="1"/>
  <c r="D175" i="402" a="1"/>
  <c r="D175" i="402" s="1"/>
  <c r="I175" i="402" s="1"/>
  <c r="D163" i="402" a="1"/>
  <c r="D163" i="402" s="1"/>
  <c r="D162" i="402" a="1"/>
  <c r="D162" i="402" s="1"/>
  <c r="I162" i="402" s="1"/>
  <c r="D158" i="402" a="1"/>
  <c r="D158" i="402"/>
  <c r="I158" i="402" s="1"/>
  <c r="D135" i="402" a="1"/>
  <c r="D135" i="402"/>
  <c r="I135" i="402"/>
  <c r="D134" i="402" a="1"/>
  <c r="D134" i="402" s="1"/>
  <c r="I134" i="402" s="1"/>
  <c r="D130" i="402" a="1"/>
  <c r="D130" i="402" s="1"/>
  <c r="I130" i="402" s="1"/>
  <c r="D126" i="402" a="1"/>
  <c r="D126" i="402"/>
  <c r="I126" i="402" s="1"/>
  <c r="D122" i="402" a="1"/>
  <c r="D122" i="402" s="1"/>
  <c r="I122" i="402" s="1"/>
  <c r="D118" i="402" a="1"/>
  <c r="D118" i="402"/>
  <c r="I118" i="402"/>
  <c r="D114" i="402" a="1"/>
  <c r="D114" i="402" s="1"/>
  <c r="I114" i="402" s="1"/>
  <c r="D110" i="402" a="1"/>
  <c r="D110" i="402" s="1"/>
  <c r="I110" i="402" s="1"/>
  <c r="D106" i="402" a="1"/>
  <c r="D106" i="402" s="1"/>
  <c r="I106" i="402" s="1"/>
  <c r="D102" i="402" a="1"/>
  <c r="D102" i="402"/>
  <c r="I102" i="402" s="1"/>
  <c r="D98" i="402" a="1"/>
  <c r="D98" i="402" s="1"/>
  <c r="I98" i="402" s="1"/>
  <c r="D95" i="402" a="1"/>
  <c r="D95" i="402"/>
  <c r="I95" i="402" s="1"/>
  <c r="D91" i="402" a="1"/>
  <c r="D91" i="402"/>
  <c r="I91" i="402" s="1"/>
  <c r="D88" i="402" a="1"/>
  <c r="D88" i="402"/>
  <c r="I88" i="402" s="1"/>
  <c r="D85" i="402" a="1"/>
  <c r="D85" i="402" s="1"/>
  <c r="I85" i="402" s="1"/>
  <c r="D81" i="402" a="1"/>
  <c r="D81" i="402"/>
  <c r="I81" i="402" s="1"/>
  <c r="D72" i="402" a="1"/>
  <c r="D72" i="402"/>
  <c r="D70" i="402" a="1"/>
  <c r="D70" i="402" s="1"/>
  <c r="D67" i="402" a="1"/>
  <c r="D67" i="402"/>
  <c r="D63" i="402" a="1"/>
  <c r="D63" i="402" s="1"/>
  <c r="I63" i="402" s="1"/>
  <c r="D61" i="402" a="1"/>
  <c r="D61" i="402"/>
  <c r="D57" i="402" a="1"/>
  <c r="D57" i="402"/>
  <c r="I57" i="402" s="1"/>
  <c r="D54" i="402" a="1"/>
  <c r="D54" i="402" s="1"/>
  <c r="I54" i="402" s="1"/>
  <c r="D52" i="402" a="1"/>
  <c r="D52" i="402"/>
  <c r="D43" i="402" a="1"/>
  <c r="D43" i="402" s="1"/>
  <c r="I43" i="402" s="1"/>
  <c r="D39" i="402" a="1"/>
  <c r="D39" i="402" s="1"/>
  <c r="I39" i="402" s="1"/>
  <c r="D35" i="402" a="1"/>
  <c r="D35" i="402"/>
  <c r="I35" i="402" s="1"/>
  <c r="D31" i="402" a="1"/>
  <c r="D31" i="402" s="1"/>
  <c r="I31" i="402" s="1"/>
  <c r="D23" i="402" a="1"/>
  <c r="D23" i="402"/>
  <c r="I23" i="402"/>
  <c r="D16" i="402" a="1"/>
  <c r="D16" i="402" s="1"/>
  <c r="D13" i="402" a="1"/>
  <c r="D13" i="402"/>
  <c r="I13" i="402"/>
  <c r="D156" i="402" a="1"/>
  <c r="D156" i="402"/>
  <c r="D145" i="402" a="1"/>
  <c r="D145" i="402"/>
  <c r="D142" i="402" a="1"/>
  <c r="D142" i="402"/>
  <c r="I142" i="402" s="1"/>
  <c r="D136" i="402" a="1"/>
  <c r="D136" i="402" s="1"/>
  <c r="I136" i="402" s="1"/>
  <c r="D128" i="402" a="1"/>
  <c r="D128" i="402"/>
  <c r="I128" i="402" s="1"/>
  <c r="D119" i="402" a="1"/>
  <c r="D119" i="402"/>
  <c r="I119" i="402"/>
  <c r="D112" i="402" a="1"/>
  <c r="D112" i="402"/>
  <c r="I112" i="402" s="1"/>
  <c r="D103" i="402" a="1"/>
  <c r="D103" i="402" s="1"/>
  <c r="I103" i="402" s="1"/>
  <c r="D93" i="402" a="1"/>
  <c r="D93" i="402"/>
  <c r="I93" i="402" s="1"/>
  <c r="D87" i="402" a="1"/>
  <c r="D87" i="402"/>
  <c r="I87" i="402"/>
  <c r="D86" i="402" a="1"/>
  <c r="D86" i="402" s="1"/>
  <c r="D79" i="402" a="1"/>
  <c r="D79" i="402" s="1"/>
  <c r="D71" i="402" a="1"/>
  <c r="D71" i="402"/>
  <c r="H71" i="402" s="1"/>
  <c r="D66" i="402" a="1"/>
  <c r="D66" i="402"/>
  <c r="D64" i="402" a="1"/>
  <c r="D64" i="402" s="1"/>
  <c r="I64" i="402" s="1"/>
  <c r="D59" i="402" a="1"/>
  <c r="D59" i="402"/>
  <c r="I59" i="402"/>
  <c r="D53" i="402" a="1"/>
  <c r="D53" i="402" s="1"/>
  <c r="D41" i="402" a="1"/>
  <c r="D41" i="402"/>
  <c r="I41" i="402" s="1"/>
  <c r="D28" i="402" a="1"/>
  <c r="D28" i="402"/>
  <c r="D26" i="402" a="1"/>
  <c r="D26" i="402"/>
  <c r="D22" i="402" a="1"/>
  <c r="D22" i="402"/>
  <c r="D160" i="402" a="1"/>
  <c r="D160" i="402"/>
  <c r="I160" i="402" s="1"/>
  <c r="D132" i="402" a="1"/>
  <c r="D132" i="402"/>
  <c r="I132" i="402"/>
  <c r="D123" i="402" a="1"/>
  <c r="D123" i="402" s="1"/>
  <c r="I123" i="402" s="1"/>
  <c r="D116" i="402" a="1"/>
  <c r="D116" i="402" s="1"/>
  <c r="I116" i="402" s="1"/>
  <c r="D107" i="402" a="1"/>
  <c r="D107" i="402"/>
  <c r="I107" i="402" s="1"/>
  <c r="D100" i="402" a="1"/>
  <c r="D100" i="402" s="1"/>
  <c r="D89" i="402" a="1"/>
  <c r="D89" i="402"/>
  <c r="I89" i="402"/>
  <c r="D83" i="402" a="1"/>
  <c r="D83" i="402" s="1"/>
  <c r="I83" i="402" s="1"/>
  <c r="D73" i="402" a="1"/>
  <c r="D73" i="402" s="1"/>
  <c r="I73" i="402" s="1"/>
  <c r="D68" i="402" a="1"/>
  <c r="D68" i="402" s="1"/>
  <c r="D56" i="402" a="1"/>
  <c r="D56" i="402" s="1"/>
  <c r="I56" i="402" s="1"/>
  <c r="D55" i="402" a="1"/>
  <c r="D55" i="402"/>
  <c r="D45" i="402" a="1"/>
  <c r="D45" i="402"/>
  <c r="I45" i="402"/>
  <c r="D38" i="402" a="1"/>
  <c r="D38" i="402" s="1"/>
  <c r="I38" i="402" s="1"/>
  <c r="D34" i="402" a="1"/>
  <c r="D34" i="402" s="1"/>
  <c r="I34" i="402" s="1"/>
  <c r="D30" i="402" a="1"/>
  <c r="D30" i="402" s="1"/>
  <c r="D10" i="402" a="1"/>
  <c r="D10" i="402" s="1"/>
  <c r="D155" i="402" a="1"/>
  <c r="D155" i="402" s="1"/>
  <c r="D141" i="402" a="1"/>
  <c r="D141" i="402" s="1"/>
  <c r="I141" i="402" s="1"/>
  <c r="D137" i="402" a="1"/>
  <c r="D137" i="402"/>
  <c r="I137" i="402" s="1"/>
  <c r="D127" i="402" a="1"/>
  <c r="D127" i="402"/>
  <c r="I127" i="402" s="1"/>
  <c r="D120" i="402" a="1"/>
  <c r="D120" i="402"/>
  <c r="I120" i="402" s="1"/>
  <c r="D111" i="402" a="1"/>
  <c r="D111" i="402" s="1"/>
  <c r="I111" i="402" s="1"/>
  <c r="D104" i="402" a="1"/>
  <c r="D104" i="402"/>
  <c r="I104" i="402" s="1"/>
  <c r="D92" i="402" a="1"/>
  <c r="D92" i="402"/>
  <c r="I92" i="402"/>
  <c r="D80" i="402" a="1"/>
  <c r="D80" i="402" s="1"/>
  <c r="I80" i="402" s="1"/>
  <c r="D65" i="402" a="1"/>
  <c r="D65" i="402" s="1"/>
  <c r="D60" i="402" a="1"/>
  <c r="D60" i="402"/>
  <c r="I60" i="402" s="1"/>
  <c r="D58" i="402" a="1"/>
  <c r="D58" i="402" s="1"/>
  <c r="I58" i="402" s="1"/>
  <c r="D42" i="402" a="1"/>
  <c r="D42" i="402"/>
  <c r="I42" i="402"/>
  <c r="D40" i="402" a="1"/>
  <c r="D40" i="402" s="1"/>
  <c r="I40" i="402" s="1"/>
  <c r="D12" i="402" a="1"/>
  <c r="D12" i="402" s="1"/>
  <c r="H12" i="402" s="1"/>
  <c r="D159" i="402" a="1"/>
  <c r="D159" i="402" s="1"/>
  <c r="I159" i="402" s="1"/>
  <c r="D131" i="402" a="1"/>
  <c r="D131" i="402"/>
  <c r="I131" i="402" s="1"/>
  <c r="D124" i="402" a="1"/>
  <c r="D124" i="402" s="1"/>
  <c r="I124" i="402" s="1"/>
  <c r="D115" i="402" a="1"/>
  <c r="D115" i="402"/>
  <c r="I115" i="402" s="1"/>
  <c r="D108" i="402" a="1"/>
  <c r="D108" i="402"/>
  <c r="I108" i="402" s="1"/>
  <c r="D99" i="402" a="1"/>
  <c r="D99" i="402"/>
  <c r="I99" i="402" s="1"/>
  <c r="D96" i="402" a="1"/>
  <c r="D96" i="402" s="1"/>
  <c r="D90" i="402" a="1"/>
  <c r="D90" i="402" s="1"/>
  <c r="D84" i="402" a="1"/>
  <c r="D84" i="402" s="1"/>
  <c r="I84" i="402" s="1"/>
  <c r="D82" i="402" a="1"/>
  <c r="D82" i="402"/>
  <c r="I82" i="402" s="1"/>
  <c r="D74" i="402" a="1"/>
  <c r="D74" i="402"/>
  <c r="I74" i="402" s="1"/>
  <c r="D69" i="402" a="1"/>
  <c r="D69" i="402"/>
  <c r="D62" i="402" a="1"/>
  <c r="D62" i="402"/>
  <c r="D44" i="402" a="1"/>
  <c r="D44" i="402"/>
  <c r="I44" i="402" s="1"/>
  <c r="D37" i="402" a="1"/>
  <c r="D37" i="402" s="1"/>
  <c r="D33" i="402" a="1"/>
  <c r="D33" i="402"/>
  <c r="D20" i="402" a="1"/>
  <c r="D20" i="402" s="1"/>
  <c r="D18" i="402" a="1"/>
  <c r="D18" i="402" s="1"/>
  <c r="I18" i="402" s="1"/>
  <c r="D17" i="402" a="1"/>
  <c r="D17" i="402" s="1"/>
  <c r="D14" i="402" a="1"/>
  <c r="D14" i="402" s="1"/>
  <c r="I14" i="402" s="1"/>
  <c r="D78" i="394"/>
  <c r="D77" i="394"/>
  <c r="D76" i="394" s="1"/>
  <c r="I79" i="394"/>
  <c r="I22" i="394"/>
  <c r="D21" i="394"/>
  <c r="D29" i="405"/>
  <c r="I29" i="405" s="1"/>
  <c r="I30" i="405"/>
  <c r="I33" i="405"/>
  <c r="D32" i="405"/>
  <c r="I32" i="405"/>
  <c r="I140" i="405"/>
  <c r="D139" i="405"/>
  <c r="I139" i="405" s="1"/>
  <c r="I28" i="405"/>
  <c r="C24" i="403"/>
  <c r="C48" i="403"/>
  <c r="D51" i="394"/>
  <c r="D50" i="394"/>
  <c r="I30" i="399"/>
  <c r="D29" i="399"/>
  <c r="I29" i="399" s="1"/>
  <c r="D51" i="399"/>
  <c r="D50" i="399"/>
  <c r="I145" i="398"/>
  <c r="D144" i="398"/>
  <c r="I144" i="398"/>
  <c r="I22" i="398"/>
  <c r="D21" i="398"/>
  <c r="I21" i="398" s="1"/>
  <c r="I33" i="398"/>
  <c r="D32" i="398"/>
  <c r="I32" i="398"/>
  <c r="I155" i="398"/>
  <c r="D164" i="398"/>
  <c r="C147" i="405"/>
  <c r="C165" i="405"/>
  <c r="C178" i="405" s="1"/>
  <c r="C179" i="405" s="1"/>
  <c r="I10" i="399"/>
  <c r="D9" i="399"/>
  <c r="D175" i="393" a="1"/>
  <c r="D175" i="393" s="1"/>
  <c r="D177" i="393" s="1"/>
  <c r="D163" i="393" a="1"/>
  <c r="D163" i="393"/>
  <c r="I163" i="393" s="1"/>
  <c r="D159" i="393" a="1"/>
  <c r="D159" i="393" s="1"/>
  <c r="I159" i="393" s="1"/>
  <c r="D155" i="393" a="1"/>
  <c r="D155" i="393"/>
  <c r="D135" i="393" a="1"/>
  <c r="D135" i="393"/>
  <c r="I135" i="393" s="1"/>
  <c r="D131" i="393" a="1"/>
  <c r="D131" i="393"/>
  <c r="I131" i="393" s="1"/>
  <c r="D127" i="393" a="1"/>
  <c r="D127" i="393"/>
  <c r="I127" i="393" s="1"/>
  <c r="D124" i="393" a="1"/>
  <c r="D124" i="393" s="1"/>
  <c r="I124" i="393" s="1"/>
  <c r="D120" i="393" a="1"/>
  <c r="D120" i="393"/>
  <c r="I120" i="393" s="1"/>
  <c r="D119" i="393" a="1"/>
  <c r="D119" i="393"/>
  <c r="I119" i="393"/>
  <c r="D116" i="393" a="1"/>
  <c r="D116" i="393" s="1"/>
  <c r="I116" i="393" s="1"/>
  <c r="D112" i="393" a="1"/>
  <c r="D112" i="393" s="1"/>
  <c r="I112" i="393" s="1"/>
  <c r="D108" i="393" a="1"/>
  <c r="D108" i="393"/>
  <c r="I108" i="393" s="1"/>
  <c r="D104" i="393" a="1"/>
  <c r="D104" i="393" s="1"/>
  <c r="I104" i="393" s="1"/>
  <c r="D100" i="393" a="1"/>
  <c r="D100" i="393"/>
  <c r="I100" i="393"/>
  <c r="D96" i="393" a="1"/>
  <c r="D96" i="393" s="1"/>
  <c r="I96" i="393" s="1"/>
  <c r="D93" i="393" a="1"/>
  <c r="D93" i="393" s="1"/>
  <c r="I93" i="393" s="1"/>
  <c r="D86" i="393" a="1"/>
  <c r="D86" i="393" s="1"/>
  <c r="D74" i="393" a="1"/>
  <c r="D74" i="393" s="1"/>
  <c r="D67" i="393" a="1"/>
  <c r="D67" i="393"/>
  <c r="D64" i="393" a="1"/>
  <c r="D64" i="393"/>
  <c r="I64" i="393"/>
  <c r="D62" i="393" a="1"/>
  <c r="D62" i="393" s="1"/>
  <c r="D59" i="393" a="1"/>
  <c r="D59" i="393"/>
  <c r="I59" i="393" s="1"/>
  <c r="D56" i="393" a="1"/>
  <c r="D56" i="393"/>
  <c r="I56" i="393" s="1"/>
  <c r="D53" i="393" a="1"/>
  <c r="D53" i="393" s="1"/>
  <c r="I53" i="393" s="1"/>
  <c r="D45" i="393" a="1"/>
  <c r="D45" i="393"/>
  <c r="I45" i="393" s="1"/>
  <c r="D41" i="393" a="1"/>
  <c r="D41" i="393"/>
  <c r="I41" i="393"/>
  <c r="D40" i="393" a="1"/>
  <c r="D40" i="393" s="1"/>
  <c r="I40" i="393" s="1"/>
  <c r="D35" i="393" a="1"/>
  <c r="D35" i="393" s="1"/>
  <c r="I35" i="393"/>
  <c r="D31" i="393" a="1"/>
  <c r="D31" i="393"/>
  <c r="I31" i="393" s="1"/>
  <c r="D23" i="393" a="1"/>
  <c r="D23" i="393" s="1"/>
  <c r="I23" i="393" s="1"/>
  <c r="D16" i="393" a="1"/>
  <c r="D16" i="393"/>
  <c r="D13" i="393" a="1"/>
  <c r="D13" i="393"/>
  <c r="I13" i="393" s="1"/>
  <c r="D161" i="393" a="1"/>
  <c r="D161" i="393"/>
  <c r="I161" i="393" s="1"/>
  <c r="D140" i="393" a="1"/>
  <c r="D140" i="393"/>
  <c r="D139" i="393" s="1"/>
  <c r="D136" i="393" a="1"/>
  <c r="D136" i="393"/>
  <c r="D129" i="393" a="1"/>
  <c r="D129" i="393" s="1"/>
  <c r="I129" i="393" s="1"/>
  <c r="D123" i="393" a="1"/>
  <c r="D123" i="393"/>
  <c r="I123" i="393"/>
  <c r="D121" i="393" a="1"/>
  <c r="D121" i="393" s="1"/>
  <c r="I121" i="393" s="1"/>
  <c r="D114" i="393" a="1"/>
  <c r="D114" i="393" s="1"/>
  <c r="I114" i="393" s="1"/>
  <c r="D107" i="393" a="1"/>
  <c r="D107" i="393" s="1"/>
  <c r="I107" i="393"/>
  <c r="D105" i="393" a="1"/>
  <c r="D105" i="393"/>
  <c r="I105" i="393" s="1"/>
  <c r="D98" i="393" a="1"/>
  <c r="D98" i="393" s="1"/>
  <c r="I98" i="393" s="1"/>
  <c r="D91" i="393" a="1"/>
  <c r="D91" i="393"/>
  <c r="I91" i="393" s="1"/>
  <c r="D84" i="393" a="1"/>
  <c r="D84" i="393"/>
  <c r="I84" i="393" s="1"/>
  <c r="D79" i="393" a="1"/>
  <c r="D79" i="393"/>
  <c r="D71" i="393" a="1"/>
  <c r="D71" i="393"/>
  <c r="D70" i="393" a="1"/>
  <c r="D70" i="393"/>
  <c r="D66" i="393" a="1"/>
  <c r="D66" i="393"/>
  <c r="I66" i="393" s="1"/>
  <c r="D65" i="393" a="1"/>
  <c r="D65" i="393"/>
  <c r="D60" i="393" a="1"/>
  <c r="D60" i="393" s="1"/>
  <c r="D55" i="393" a="1"/>
  <c r="D55" i="393" s="1"/>
  <c r="D28" i="393" a="1"/>
  <c r="D28" i="393"/>
  <c r="D26" i="393" a="1"/>
  <c r="D26" i="393"/>
  <c r="D22" i="393" a="1"/>
  <c r="D22" i="393" s="1"/>
  <c r="D12" i="393" a="1"/>
  <c r="D12" i="393" s="1"/>
  <c r="D158" i="393" a="1"/>
  <c r="D158" i="393"/>
  <c r="I158" i="393"/>
  <c r="D156" i="393" a="1"/>
  <c r="D156" i="393" s="1"/>
  <c r="D142" i="393" a="1"/>
  <c r="D142" i="393" s="1"/>
  <c r="I142" i="393"/>
  <c r="D133" i="393" a="1"/>
  <c r="D133" i="393"/>
  <c r="I133" i="393" s="1"/>
  <c r="D126" i="393" a="1"/>
  <c r="D126" i="393" s="1"/>
  <c r="I126" i="393" s="1"/>
  <c r="D125" i="393" a="1"/>
  <c r="D125" i="393"/>
  <c r="I125" i="393"/>
  <c r="D118" i="393" a="1"/>
  <c r="D118" i="393" s="1"/>
  <c r="D162" i="393" a="1"/>
  <c r="D162" i="393"/>
  <c r="I162" i="393" s="1"/>
  <c r="D160" i="393" a="1"/>
  <c r="D160" i="393"/>
  <c r="I160" i="393" s="1"/>
  <c r="D145" i="393" a="1"/>
  <c r="D145" i="393" s="1"/>
  <c r="D137" i="393" a="1"/>
  <c r="D137" i="393" s="1"/>
  <c r="I137" i="393" s="1"/>
  <c r="D130" i="393" a="1"/>
  <c r="D130" i="393"/>
  <c r="I130" i="393"/>
  <c r="D128" i="393" a="1"/>
  <c r="D128" i="393" s="1"/>
  <c r="D122" i="393" a="1"/>
  <c r="D122" i="393" s="1"/>
  <c r="I122" i="393" s="1"/>
  <c r="D115" i="393" a="1"/>
  <c r="D115" i="393" s="1"/>
  <c r="I115" i="393"/>
  <c r="D113" i="393" a="1"/>
  <c r="D113" i="393"/>
  <c r="I113" i="393" s="1"/>
  <c r="D106" i="393" a="1"/>
  <c r="D106" i="393" s="1"/>
  <c r="I106" i="393" s="1"/>
  <c r="D99" i="393" a="1"/>
  <c r="D99" i="393"/>
  <c r="I99" i="393" s="1"/>
  <c r="D97" i="393" a="1"/>
  <c r="D97" i="393"/>
  <c r="I97" i="393" s="1"/>
  <c r="D92" i="393" a="1"/>
  <c r="D92" i="393"/>
  <c r="I92" i="393" s="1"/>
  <c r="D90" i="393" a="1"/>
  <c r="D90" i="393" s="1"/>
  <c r="I90" i="393" s="1"/>
  <c r="D85" i="393" a="1"/>
  <c r="D85" i="393"/>
  <c r="I85" i="393" s="1"/>
  <c r="D83" i="393" a="1"/>
  <c r="D83" i="393"/>
  <c r="I83" i="393"/>
  <c r="D157" i="393" a="1"/>
  <c r="D157" i="393" s="1"/>
  <c r="D143" i="393" a="1"/>
  <c r="D143" i="393" s="1"/>
  <c r="D141" i="393" a="1"/>
  <c r="D141" i="393"/>
  <c r="I141" i="393" s="1"/>
  <c r="D134" i="393" a="1"/>
  <c r="D134" i="393" s="1"/>
  <c r="I134" i="393" s="1"/>
  <c r="D132" i="393" a="1"/>
  <c r="D132" i="393"/>
  <c r="I132" i="393" s="1"/>
  <c r="D117" i="393" a="1"/>
  <c r="D117" i="393" s="1"/>
  <c r="I117" i="393"/>
  <c r="D110" i="393" a="1"/>
  <c r="D110" i="393" s="1"/>
  <c r="I110" i="393"/>
  <c r="D103" i="393" a="1"/>
  <c r="D103" i="393" s="1"/>
  <c r="I103" i="393"/>
  <c r="D101" i="393" a="1"/>
  <c r="D101" i="393"/>
  <c r="I101" i="393" s="1"/>
  <c r="D94" i="393" a="1"/>
  <c r="D94" i="393" s="1"/>
  <c r="I94" i="393" s="1"/>
  <c r="D89" i="393" a="1"/>
  <c r="D89" i="393"/>
  <c r="I89" i="393" s="1"/>
  <c r="D87" i="393" a="1"/>
  <c r="D87" i="393" s="1"/>
  <c r="I87" i="393" s="1"/>
  <c r="D82" i="393" a="1"/>
  <c r="D82" i="393" s="1"/>
  <c r="D80" i="393" a="1"/>
  <c r="D80" i="393"/>
  <c r="I80" i="393" s="1"/>
  <c r="D73" i="393" a="1"/>
  <c r="D73" i="393" s="1"/>
  <c r="I73" i="393"/>
  <c r="D72" i="393" a="1"/>
  <c r="D72" i="393"/>
  <c r="D63" i="393" a="1"/>
  <c r="D63" i="393"/>
  <c r="D58" i="393" a="1"/>
  <c r="D58" i="393"/>
  <c r="D43" i="393" a="1"/>
  <c r="D43" i="393" s="1"/>
  <c r="I43" i="393" s="1"/>
  <c r="D37" i="393" a="1"/>
  <c r="D37" i="393" s="1"/>
  <c r="D33" i="393" a="1"/>
  <c r="D33" i="393" s="1"/>
  <c r="D20" i="393" a="1"/>
  <c r="D20" i="393" s="1"/>
  <c r="D18" i="393" a="1"/>
  <c r="D18" i="393" s="1"/>
  <c r="I18" i="393" s="1"/>
  <c r="D10" i="393" a="1"/>
  <c r="D10" i="393" s="1"/>
  <c r="D111" i="393" a="1"/>
  <c r="D111" i="393"/>
  <c r="I111" i="393"/>
  <c r="D81" i="393" a="1"/>
  <c r="D81" i="393"/>
  <c r="I81" i="393"/>
  <c r="D68" i="393" a="1"/>
  <c r="D68" i="393"/>
  <c r="D57" i="393" a="1"/>
  <c r="D57" i="393"/>
  <c r="I57" i="393" s="1"/>
  <c r="D54" i="393" a="1"/>
  <c r="D54" i="393" s="1"/>
  <c r="I54" i="393" s="1"/>
  <c r="D52" i="393" a="1"/>
  <c r="D52" i="393" s="1"/>
  <c r="D39" i="393" a="1"/>
  <c r="D39" i="393"/>
  <c r="I39" i="393" s="1"/>
  <c r="D14" i="393" a="1"/>
  <c r="D14" i="393"/>
  <c r="I14" i="393" s="1"/>
  <c r="D102" i="393" a="1"/>
  <c r="D102" i="393"/>
  <c r="I102" i="393" s="1"/>
  <c r="D69" i="393" a="1"/>
  <c r="D69" i="393" s="1"/>
  <c r="D38" i="393" a="1"/>
  <c r="D38" i="393"/>
  <c r="I38" i="393"/>
  <c r="D34" i="393" a="1"/>
  <c r="D34" i="393"/>
  <c r="I34" i="393"/>
  <c r="D30" i="393" a="1"/>
  <c r="D30" i="393" s="1"/>
  <c r="D29" i="393" s="1"/>
  <c r="I29" i="393" s="1"/>
  <c r="D109" i="393" a="1"/>
  <c r="D109" i="393" s="1"/>
  <c r="I109" i="393" s="1"/>
  <c r="D95" i="393" a="1"/>
  <c r="D95" i="393" s="1"/>
  <c r="D61" i="393" a="1"/>
  <c r="D61" i="393" s="1"/>
  <c r="D44" i="393" a="1"/>
  <c r="D44" i="393" s="1"/>
  <c r="I44" i="393" s="1"/>
  <c r="D42" i="393" a="1"/>
  <c r="D42" i="393" s="1"/>
  <c r="I42" i="393" s="1"/>
  <c r="D17" i="393" a="1"/>
  <c r="D17" i="393" s="1"/>
  <c r="I17" i="393" s="1"/>
  <c r="D88" i="393" a="1"/>
  <c r="D88" i="393"/>
  <c r="I88" i="393"/>
  <c r="H96" i="397"/>
  <c r="I37" i="397"/>
  <c r="D36" i="397"/>
  <c r="I36" i="397" s="1"/>
  <c r="I12" i="397"/>
  <c r="D11" i="397"/>
  <c r="I11" i="397"/>
  <c r="D175" i="389" a="1"/>
  <c r="D175" i="389" s="1"/>
  <c r="D177" i="389" s="1"/>
  <c r="D159" i="389" a="1"/>
  <c r="D159" i="389" s="1"/>
  <c r="I159" i="389" s="1"/>
  <c r="D156" i="389" a="1"/>
  <c r="D156" i="389" s="1"/>
  <c r="I156" i="389" s="1"/>
  <c r="D135" i="389" a="1"/>
  <c r="D135" i="389" s="1"/>
  <c r="I135" i="389"/>
  <c r="D131" i="389" a="1"/>
  <c r="D131" i="389"/>
  <c r="I131" i="389" s="1"/>
  <c r="D127" i="389" a="1"/>
  <c r="D127" i="389"/>
  <c r="I127" i="389" s="1"/>
  <c r="D124" i="389" a="1"/>
  <c r="D124" i="389" s="1"/>
  <c r="I124" i="389" s="1"/>
  <c r="D120" i="389" a="1"/>
  <c r="D120" i="389"/>
  <c r="I120" i="389"/>
  <c r="D117" i="389" a="1"/>
  <c r="D117" i="389" s="1"/>
  <c r="D113" i="389" a="1"/>
  <c r="D113" i="389" s="1"/>
  <c r="I113" i="389" s="1"/>
  <c r="D111" i="389" a="1"/>
  <c r="D111" i="389"/>
  <c r="D107" i="389" a="1"/>
  <c r="D107" i="389" s="1"/>
  <c r="I107" i="389" s="1"/>
  <c r="D103" i="389" a="1"/>
  <c r="D103" i="389"/>
  <c r="I103" i="389"/>
  <c r="D96" i="389" a="1"/>
  <c r="D96" i="389" s="1"/>
  <c r="D94" i="389" a="1"/>
  <c r="D94" i="389" s="1"/>
  <c r="D91" i="389" a="1"/>
  <c r="D91" i="389" s="1"/>
  <c r="I91" i="389" s="1"/>
  <c r="D89" i="389" a="1"/>
  <c r="D89" i="389"/>
  <c r="D80" i="389" a="1"/>
  <c r="D80" i="389" s="1"/>
  <c r="I80" i="389"/>
  <c r="D72" i="389" a="1"/>
  <c r="D72" i="389"/>
  <c r="D70" i="389" a="1"/>
  <c r="D70" i="389"/>
  <c r="H70" i="389"/>
  <c r="D68" i="389" a="1"/>
  <c r="D68" i="389" s="1"/>
  <c r="D64" i="389" a="1"/>
  <c r="D64" i="389" s="1"/>
  <c r="I64" i="389"/>
  <c r="D61" i="389" a="1"/>
  <c r="D61" i="389"/>
  <c r="D58" i="389" a="1"/>
  <c r="D58" i="389" s="1"/>
  <c r="D53" i="389" a="1"/>
  <c r="D53" i="389" s="1"/>
  <c r="D43" i="389" a="1"/>
  <c r="D43" i="389"/>
  <c r="I43" i="389"/>
  <c r="D40" i="389" a="1"/>
  <c r="D40" i="389" s="1"/>
  <c r="D37" i="389" a="1"/>
  <c r="D37" i="389" s="1"/>
  <c r="D34" i="389" a="1"/>
  <c r="D34" i="389" s="1"/>
  <c r="I34" i="389" s="1"/>
  <c r="D26" i="389" a="1"/>
  <c r="D26" i="389" s="1"/>
  <c r="D22" i="389" a="1"/>
  <c r="D22" i="389" s="1"/>
  <c r="H22" i="389"/>
  <c r="D18" i="389" a="1"/>
  <c r="D18" i="389"/>
  <c r="I18" i="389" s="1"/>
  <c r="D14" i="389" a="1"/>
  <c r="D14" i="389" s="1"/>
  <c r="I14" i="389" s="1"/>
  <c r="D163" i="389" a="1"/>
  <c r="D163" i="389" s="1"/>
  <c r="I163" i="389"/>
  <c r="D160" i="389" a="1"/>
  <c r="D160" i="389"/>
  <c r="D157" i="389" a="1"/>
  <c r="D157" i="389" s="1"/>
  <c r="I157" i="389"/>
  <c r="D141" i="389" a="1"/>
  <c r="D141" i="389"/>
  <c r="I141" i="389" s="1"/>
  <c r="D136" i="389" a="1"/>
  <c r="D136" i="389" s="1"/>
  <c r="I136" i="389" s="1"/>
  <c r="D132" i="389" a="1"/>
  <c r="D132" i="389" s="1"/>
  <c r="I132" i="389" s="1"/>
  <c r="D128" i="389" a="1"/>
  <c r="D128" i="389"/>
  <c r="I128" i="389" s="1"/>
  <c r="D125" i="389" a="1"/>
  <c r="D125" i="389" s="1"/>
  <c r="D121" i="389" a="1"/>
  <c r="D121" i="389"/>
  <c r="I121" i="389"/>
  <c r="D118" i="389" a="1"/>
  <c r="D118" i="389" s="1"/>
  <c r="D114" i="389" a="1"/>
  <c r="D114" i="389"/>
  <c r="I114" i="389" s="1"/>
  <c r="D108" i="389" a="1"/>
  <c r="D108" i="389" s="1"/>
  <c r="I108" i="389" s="1"/>
  <c r="D104" i="389" a="1"/>
  <c r="D104" i="389"/>
  <c r="I104" i="389" s="1"/>
  <c r="D100" i="389" a="1"/>
  <c r="D100" i="389"/>
  <c r="I100" i="389" s="1"/>
  <c r="D97" i="389" a="1"/>
  <c r="D97" i="389"/>
  <c r="I97" i="389"/>
  <c r="D92" i="389" a="1"/>
  <c r="D92" i="389" s="1"/>
  <c r="I92" i="389" s="1"/>
  <c r="D87" i="389" a="1"/>
  <c r="D87" i="389" s="1"/>
  <c r="I87" i="389" s="1"/>
  <c r="D85" i="389" a="1"/>
  <c r="D85" i="389" s="1"/>
  <c r="D83" i="389" a="1"/>
  <c r="D83" i="389"/>
  <c r="D81" i="389" a="1"/>
  <c r="D81" i="389" s="1"/>
  <c r="D65" i="389" a="1"/>
  <c r="D65" i="389"/>
  <c r="I65" i="389"/>
  <c r="D62" i="389" a="1"/>
  <c r="D62" i="389" s="1"/>
  <c r="D56" i="389" a="1"/>
  <c r="D56" i="389" s="1"/>
  <c r="D44" i="389" a="1"/>
  <c r="D44" i="389" s="1"/>
  <c r="D35" i="389" a="1"/>
  <c r="D35" i="389"/>
  <c r="I35" i="389"/>
  <c r="D31" i="389" a="1"/>
  <c r="D31" i="389" s="1"/>
  <c r="I31" i="389" s="1"/>
  <c r="D23" i="389" a="1"/>
  <c r="D23" i="389" s="1"/>
  <c r="I23" i="389" s="1"/>
  <c r="D12" i="389" a="1"/>
  <c r="D12" i="389"/>
  <c r="D116" i="389" a="1"/>
  <c r="D116" i="389"/>
  <c r="I116" i="389"/>
  <c r="D102" i="389" a="1"/>
  <c r="D102" i="389" s="1"/>
  <c r="I102" i="389" s="1"/>
  <c r="D86" i="389" a="1"/>
  <c r="D86" i="389"/>
  <c r="D84" i="389" a="1"/>
  <c r="D84" i="389" s="1"/>
  <c r="D82" i="389" a="1"/>
  <c r="D82" i="389"/>
  <c r="D74" i="389" a="1"/>
  <c r="D74" i="389" s="1"/>
  <c r="I74" i="389" s="1"/>
  <c r="D45" i="389" a="1"/>
  <c r="D45" i="389"/>
  <c r="I45" i="389" s="1"/>
  <c r="D30" i="389" a="1"/>
  <c r="D30" i="389"/>
  <c r="D161" i="389" a="1"/>
  <c r="D161" i="389"/>
  <c r="I161" i="389"/>
  <c r="D158" i="389" a="1"/>
  <c r="D158" i="389" s="1"/>
  <c r="D145" i="389" a="1"/>
  <c r="D145" i="389"/>
  <c r="D144" i="389" s="1"/>
  <c r="D142" i="389" a="1"/>
  <c r="D142" i="389" s="1"/>
  <c r="D137" i="389" a="1"/>
  <c r="D137" i="389" s="1"/>
  <c r="D133" i="389" a="1"/>
  <c r="D133" i="389" s="1"/>
  <c r="I133" i="389" s="1"/>
  <c r="D129" i="389" a="1"/>
  <c r="D129" i="389" s="1"/>
  <c r="I129" i="389" s="1"/>
  <c r="D122" i="389" a="1"/>
  <c r="D122" i="389"/>
  <c r="I122" i="389" s="1"/>
  <c r="D115" i="389" a="1"/>
  <c r="D115" i="389" s="1"/>
  <c r="I115" i="389"/>
  <c r="D112" i="389" a="1"/>
  <c r="D112" i="389" s="1"/>
  <c r="D109" i="389" a="1"/>
  <c r="D109" i="389"/>
  <c r="D105" i="389" a="1"/>
  <c r="D105" i="389"/>
  <c r="I105" i="389" s="1"/>
  <c r="D101" i="389" a="1"/>
  <c r="D101" i="389"/>
  <c r="I101" i="389" s="1"/>
  <c r="D98" i="389" a="1"/>
  <c r="D98" i="389"/>
  <c r="I98" i="389"/>
  <c r="D95" i="389" a="1"/>
  <c r="D95" i="389" s="1"/>
  <c r="D93" i="389" a="1"/>
  <c r="D93" i="389"/>
  <c r="D90" i="389" a="1"/>
  <c r="D90" i="389"/>
  <c r="I90" i="389" s="1"/>
  <c r="D88" i="389" a="1"/>
  <c r="D88" i="389" s="1"/>
  <c r="D79" i="389" a="1"/>
  <c r="D79" i="389" s="1"/>
  <c r="D73" i="389" a="1"/>
  <c r="D73" i="389"/>
  <c r="I73" i="389"/>
  <c r="D71" i="389" a="1"/>
  <c r="D71" i="389" s="1"/>
  <c r="D69" i="389" a="1"/>
  <c r="D69" i="389"/>
  <c r="D66" i="389" a="1"/>
  <c r="D66" i="389" s="1"/>
  <c r="I66" i="389" s="1"/>
  <c r="D59" i="389" a="1"/>
  <c r="D59" i="389" s="1"/>
  <c r="H59" i="389" s="1"/>
  <c r="I59" i="389"/>
  <c r="D54" i="389" a="1"/>
  <c r="D54" i="389"/>
  <c r="I54" i="389" s="1"/>
  <c r="D52" i="389" a="1"/>
  <c r="D52" i="389"/>
  <c r="D41" i="389" a="1"/>
  <c r="D41" i="389"/>
  <c r="D38" i="389" a="1"/>
  <c r="D38" i="389"/>
  <c r="I38" i="389"/>
  <c r="D20" i="389" a="1"/>
  <c r="D20" i="389" s="1"/>
  <c r="D16" i="389" a="1"/>
  <c r="D16" i="389" s="1"/>
  <c r="D10" i="389" a="1"/>
  <c r="D10" i="389" s="1"/>
  <c r="D140" i="389" a="1"/>
  <c r="D140" i="389" s="1"/>
  <c r="D134" i="389" a="1"/>
  <c r="D134" i="389" s="1"/>
  <c r="I134" i="389" s="1"/>
  <c r="D119" i="389" a="1"/>
  <c r="D119" i="389" s="1"/>
  <c r="D110" i="389" a="1"/>
  <c r="D110" i="389"/>
  <c r="I110" i="389" s="1"/>
  <c r="D106" i="389" a="1"/>
  <c r="D106" i="389"/>
  <c r="D99" i="389" a="1"/>
  <c r="D99" i="389"/>
  <c r="D67" i="389" a="1"/>
  <c r="D67" i="389" s="1"/>
  <c r="H67" i="389" s="1"/>
  <c r="D63" i="389" a="1"/>
  <c r="D63" i="389" s="1"/>
  <c r="D51" i="389" s="1"/>
  <c r="D50" i="389" s="1"/>
  <c r="D55" i="389" a="1"/>
  <c r="D55" i="389" s="1"/>
  <c r="H55" i="389" s="1"/>
  <c r="I55" i="389"/>
  <c r="D42" i="389" a="1"/>
  <c r="D42" i="389"/>
  <c r="I42" i="389"/>
  <c r="D39" i="389" a="1"/>
  <c r="D39" i="389"/>
  <c r="I39" i="389"/>
  <c r="D33" i="389" a="1"/>
  <c r="D33" i="389" s="1"/>
  <c r="D28" i="389" a="1"/>
  <c r="D28" i="389"/>
  <c r="H28" i="389" s="1"/>
  <c r="D162" i="389" a="1"/>
  <c r="D162" i="389" s="1"/>
  <c r="D155" i="389" a="1"/>
  <c r="D155" i="389"/>
  <c r="D143" i="389" a="1"/>
  <c r="D143" i="389"/>
  <c r="D130" i="389" a="1"/>
  <c r="D130" i="389" s="1"/>
  <c r="D126" i="389" a="1"/>
  <c r="D126" i="389"/>
  <c r="I126" i="389" s="1"/>
  <c r="D123" i="389" a="1"/>
  <c r="D123" i="389"/>
  <c r="D60" i="389" a="1"/>
  <c r="D60" i="389" s="1"/>
  <c r="D57" i="389" a="1"/>
  <c r="D57" i="389"/>
  <c r="I57" i="389" s="1"/>
  <c r="D17" i="389" a="1"/>
  <c r="D17" i="389" s="1"/>
  <c r="D13" i="389" a="1"/>
  <c r="D13" i="389"/>
  <c r="C24" i="397"/>
  <c r="C48" i="397"/>
  <c r="D164" i="395"/>
  <c r="I155" i="395"/>
  <c r="I26" i="395"/>
  <c r="D78" i="392"/>
  <c r="D77" i="392"/>
  <c r="D139" i="407"/>
  <c r="I33" i="407"/>
  <c r="D32" i="407"/>
  <c r="I32" i="407" s="1"/>
  <c r="I175" i="395"/>
  <c r="D177" i="395"/>
  <c r="I177" i="395"/>
  <c r="D51" i="407"/>
  <c r="D50" i="407" s="1"/>
  <c r="D36" i="407"/>
  <c r="I37" i="407"/>
  <c r="I26" i="407"/>
  <c r="I12" i="407"/>
  <c r="D11" i="407"/>
  <c r="C48" i="360"/>
  <c r="C48" i="408"/>
  <c r="C48" i="407"/>
  <c r="C147" i="389"/>
  <c r="C165" i="389"/>
  <c r="D20" i="354"/>
  <c r="D27" i="354" s="1"/>
  <c r="S13" i="420"/>
  <c r="A1012" i="328"/>
  <c r="R1002" i="328"/>
  <c r="R391" i="328"/>
  <c r="A401" i="328"/>
  <c r="A589" i="328"/>
  <c r="A119" i="328"/>
  <c r="R109" i="328"/>
  <c r="R1096" i="328"/>
  <c r="A1106" i="328"/>
  <c r="R720" i="328"/>
  <c r="A730" i="328"/>
  <c r="A1059" i="328"/>
  <c r="R1049" i="328"/>
  <c r="A636" i="328"/>
  <c r="R626" i="328"/>
  <c r="R814" i="328"/>
  <c r="A824" i="328"/>
  <c r="R673" i="328"/>
  <c r="R861" i="328"/>
  <c r="A166" i="328"/>
  <c r="R156" i="328"/>
  <c r="A307" i="328"/>
  <c r="R1" i="328"/>
  <c r="A11" i="328"/>
  <c r="A965" i="328"/>
  <c r="R955" i="328"/>
  <c r="A542" i="328"/>
  <c r="R532" i="328"/>
  <c r="R250" i="328"/>
  <c r="A260" i="328"/>
  <c r="A72" i="328"/>
  <c r="R62" i="328"/>
  <c r="A11" i="330"/>
  <c r="A120" i="331"/>
  <c r="R110" i="331"/>
  <c r="I40" i="392"/>
  <c r="H40" i="392"/>
  <c r="I79" i="395"/>
  <c r="H79" i="395"/>
  <c r="I52" i="395"/>
  <c r="I28" i="395"/>
  <c r="H28" i="395"/>
  <c r="I84" i="392"/>
  <c r="H84" i="392"/>
  <c r="I55" i="392"/>
  <c r="H55" i="392"/>
  <c r="R63" i="331"/>
  <c r="A73" i="331"/>
  <c r="H61" i="395"/>
  <c r="H162" i="360"/>
  <c r="H118" i="360"/>
  <c r="I81" i="360"/>
  <c r="H58" i="360"/>
  <c r="I69" i="392"/>
  <c r="H69" i="392"/>
  <c r="H22" i="395"/>
  <c r="H79" i="392"/>
  <c r="I79" i="392"/>
  <c r="I144" i="337"/>
  <c r="R1" i="331"/>
  <c r="A11" i="331"/>
  <c r="I88" i="392"/>
  <c r="H88" i="392"/>
  <c r="H83" i="392"/>
  <c r="I83" i="392"/>
  <c r="C15" i="421"/>
  <c r="O14" i="421" a="1"/>
  <c r="O14" i="421" s="1"/>
  <c r="H14" i="421" a="1"/>
  <c r="H14" i="421" s="1"/>
  <c r="N14" i="421" a="1"/>
  <c r="N14" i="421" s="1"/>
  <c r="H10" i="392"/>
  <c r="H33" i="408"/>
  <c r="H10" i="408"/>
  <c r="H20" i="392"/>
  <c r="I79" i="407"/>
  <c r="H79" i="407"/>
  <c r="I86" i="360"/>
  <c r="H86" i="360"/>
  <c r="H20" i="360"/>
  <c r="G15" i="360"/>
  <c r="H15" i="360" s="1"/>
  <c r="I96" i="408"/>
  <c r="H96" i="408"/>
  <c r="I58" i="407"/>
  <c r="H10" i="407"/>
  <c r="H12" i="407"/>
  <c r="G11" i="407"/>
  <c r="I94" i="360"/>
  <c r="H94" i="360"/>
  <c r="H22" i="360"/>
  <c r="I52" i="360"/>
  <c r="H52" i="360"/>
  <c r="H138" i="387"/>
  <c r="H99" i="325" s="1"/>
  <c r="H20" i="408"/>
  <c r="H26" i="408"/>
  <c r="I55" i="408"/>
  <c r="H55" i="408"/>
  <c r="H37" i="360"/>
  <c r="H72" i="408"/>
  <c r="I72" i="408"/>
  <c r="H113" i="360"/>
  <c r="I113" i="360"/>
  <c r="H140" i="360"/>
  <c r="G139" i="360"/>
  <c r="I103" i="360"/>
  <c r="H103" i="360"/>
  <c r="I62" i="360"/>
  <c r="H62" i="360"/>
  <c r="H79" i="360"/>
  <c r="I79" i="360"/>
  <c r="H10" i="360"/>
  <c r="H10" i="395"/>
  <c r="H155" i="392"/>
  <c r="I52" i="397"/>
  <c r="H52" i="397"/>
  <c r="H79" i="397"/>
  <c r="I70" i="397"/>
  <c r="H70" i="397"/>
  <c r="H33" i="397"/>
  <c r="H20" i="397"/>
  <c r="H26" i="397"/>
  <c r="H16" i="397"/>
  <c r="H155" i="388"/>
  <c r="H125" i="388"/>
  <c r="H114" i="388"/>
  <c r="H10" i="405"/>
  <c r="H79" i="405"/>
  <c r="H22" i="405"/>
  <c r="H37" i="405"/>
  <c r="H12" i="405"/>
  <c r="H33" i="404"/>
  <c r="H33" i="403"/>
  <c r="H37" i="403"/>
  <c r="I17" i="403"/>
  <c r="H17" i="403"/>
  <c r="H26" i="403"/>
  <c r="H155" i="402"/>
  <c r="H52" i="402"/>
  <c r="I52" i="402"/>
  <c r="H20" i="403"/>
  <c r="H26" i="401"/>
  <c r="H20" i="394"/>
  <c r="I58" i="401"/>
  <c r="H58" i="401"/>
  <c r="I68" i="401"/>
  <c r="H68" i="401"/>
  <c r="H12" i="401"/>
  <c r="H10" i="394"/>
  <c r="H22" i="401"/>
  <c r="G21" i="401"/>
  <c r="H21" i="401" s="1"/>
  <c r="H16" i="401"/>
  <c r="H10" i="401"/>
  <c r="H28" i="399"/>
  <c r="I52" i="399"/>
  <c r="H52" i="399"/>
  <c r="H26" i="399"/>
  <c r="I16" i="399"/>
  <c r="H16" i="399"/>
  <c r="A15" i="420" a="1"/>
  <c r="A15" i="420"/>
  <c r="R15" i="420" a="1"/>
  <c r="R15" i="420" s="1"/>
  <c r="K15" i="420" a="1"/>
  <c r="K15" i="420" s="1"/>
  <c r="E15" i="420" a="1"/>
  <c r="E15" i="420"/>
  <c r="Q15" i="420" a="1"/>
  <c r="Q15" i="420"/>
  <c r="O15" i="420" a="1"/>
  <c r="O15" i="420"/>
  <c r="L15" i="420" a="1"/>
  <c r="L15" i="420" s="1"/>
  <c r="J15" i="420" a="1"/>
  <c r="J15" i="420" s="1"/>
  <c r="H15" i="420" a="1"/>
  <c r="H15" i="420"/>
  <c r="F15" i="420" a="1"/>
  <c r="F15" i="420"/>
  <c r="D15" i="420" a="1"/>
  <c r="D15" i="420"/>
  <c r="P15" i="420" a="1"/>
  <c r="P15" i="420" s="1"/>
  <c r="I15" i="420" a="1"/>
  <c r="I15" i="420"/>
  <c r="C16" i="420"/>
  <c r="M15" i="420" a="1"/>
  <c r="M15" i="420"/>
  <c r="G15" i="420" a="1"/>
  <c r="G15" i="420" s="1"/>
  <c r="R1" i="330"/>
  <c r="C48" i="396"/>
  <c r="H104" i="407"/>
  <c r="C48" i="404"/>
  <c r="C184" i="404"/>
  <c r="H121" i="407"/>
  <c r="E44" i="385"/>
  <c r="F76" i="386"/>
  <c r="F80" i="386"/>
  <c r="G23" i="385"/>
  <c r="C179" i="398"/>
  <c r="G43" i="386"/>
  <c r="L23" i="385"/>
  <c r="L44" i="385"/>
  <c r="H98" i="401"/>
  <c r="D78" i="407"/>
  <c r="D77" i="407" s="1"/>
  <c r="D76" i="407" s="1"/>
  <c r="D147" i="407" s="1"/>
  <c r="D165" i="407" s="1"/>
  <c r="D178" i="407" s="1"/>
  <c r="H133" i="392"/>
  <c r="O43" i="365"/>
  <c r="O44" i="365" s="1"/>
  <c r="H130" i="401"/>
  <c r="M76" i="385"/>
  <c r="M80" i="385"/>
  <c r="M165" i="385" s="1"/>
  <c r="M167" i="385" s="1"/>
  <c r="O43" i="385"/>
  <c r="O44" i="385" s="1"/>
  <c r="H41" i="401"/>
  <c r="D29" i="407"/>
  <c r="D27" i="407" s="1"/>
  <c r="I29" i="407"/>
  <c r="D29" i="392"/>
  <c r="H99" i="360"/>
  <c r="F23" i="365"/>
  <c r="F44" i="365" s="1"/>
  <c r="L76" i="386"/>
  <c r="L80" i="386" s="1"/>
  <c r="I43" i="386"/>
  <c r="H31" i="407"/>
  <c r="I52" i="392"/>
  <c r="L28" i="318"/>
  <c r="L29" i="318"/>
  <c r="L30" i="318" s="1"/>
  <c r="L31" i="318" s="1"/>
  <c r="L32" i="318" s="1"/>
  <c r="L33" i="318" s="1"/>
  <c r="L34" i="318" s="1"/>
  <c r="L35" i="318" s="1"/>
  <c r="L36" i="318" s="1"/>
  <c r="L37" i="318" s="1"/>
  <c r="L38" i="318" s="1"/>
  <c r="L39" i="318" s="1"/>
  <c r="L40" i="318" s="1"/>
  <c r="L41" i="318" s="1"/>
  <c r="L42" i="318"/>
  <c r="L43" i="318" s="1"/>
  <c r="L44" i="318" s="1"/>
  <c r="L45" i="318" s="1"/>
  <c r="L46" i="318" s="1"/>
  <c r="L47" i="318" s="1"/>
  <c r="L48" i="318" s="1"/>
  <c r="L49" i="318" s="1"/>
  <c r="L50" i="318" s="1"/>
  <c r="L51" i="318" s="1"/>
  <c r="L52" i="318" s="1"/>
  <c r="L53" i="318" s="1"/>
  <c r="L54" i="318" s="1"/>
  <c r="L55" i="318" s="1"/>
  <c r="L56" i="318" s="1"/>
  <c r="L57" i="318" s="1"/>
  <c r="L58" i="318" s="1"/>
  <c r="L59" i="318" s="1"/>
  <c r="L60" i="318" s="1"/>
  <c r="L61" i="318" s="1"/>
  <c r="L62" i="318" s="1"/>
  <c r="L63" i="318" s="1"/>
  <c r="L64" i="318" s="1"/>
  <c r="L65" i="318" s="1"/>
  <c r="L66" i="318" s="1"/>
  <c r="L67" i="318" s="1"/>
  <c r="L68" i="318" s="1"/>
  <c r="L69" i="318" s="1"/>
  <c r="L70" i="318" s="1"/>
  <c r="L71" i="318" s="1"/>
  <c r="H13" i="399"/>
  <c r="H135" i="360"/>
  <c r="H55" i="396"/>
  <c r="H73" i="408"/>
  <c r="D36" i="392"/>
  <c r="H123" i="399"/>
  <c r="H156" i="360"/>
  <c r="H54" i="360"/>
  <c r="D51" i="392"/>
  <c r="D50" i="392"/>
  <c r="H94" i="392"/>
  <c r="H10" i="403"/>
  <c r="D47" i="388"/>
  <c r="H23" i="401"/>
  <c r="H60" i="360"/>
  <c r="H122" i="360"/>
  <c r="H97" i="360"/>
  <c r="D36" i="399"/>
  <c r="I36" i="399"/>
  <c r="D21" i="392"/>
  <c r="I21" i="392" s="1"/>
  <c r="H95" i="408"/>
  <c r="H105" i="401"/>
  <c r="D36" i="395"/>
  <c r="D47" i="395" s="1"/>
  <c r="D51" i="395"/>
  <c r="D50" i="395" s="1"/>
  <c r="H31" i="397"/>
  <c r="I70" i="389"/>
  <c r="H128" i="360"/>
  <c r="H119" i="408"/>
  <c r="H92" i="360"/>
  <c r="I76" i="386"/>
  <c r="H82" i="408"/>
  <c r="D78" i="399"/>
  <c r="D77" i="399" s="1"/>
  <c r="D76" i="399" s="1"/>
  <c r="D147" i="399" s="1"/>
  <c r="D165" i="399"/>
  <c r="D178" i="399" s="1"/>
  <c r="C30" i="391" s="1"/>
  <c r="M43" i="386"/>
  <c r="H129" i="360"/>
  <c r="H54" i="408"/>
  <c r="H23" i="397"/>
  <c r="I68" i="392"/>
  <c r="H110" i="396"/>
  <c r="H38" i="392"/>
  <c r="H43" i="360"/>
  <c r="H163" i="360"/>
  <c r="H57" i="360"/>
  <c r="H85" i="360"/>
  <c r="H142" i="360"/>
  <c r="H112" i="395"/>
  <c r="H157" i="360"/>
  <c r="H67" i="360"/>
  <c r="I90" i="402"/>
  <c r="H33" i="396"/>
  <c r="H124" i="408"/>
  <c r="I37" i="388"/>
  <c r="H163" i="396"/>
  <c r="H133" i="395"/>
  <c r="H83" i="401"/>
  <c r="H82" i="396"/>
  <c r="H129" i="401"/>
  <c r="H12" i="360"/>
  <c r="D164" i="392"/>
  <c r="H39" i="396"/>
  <c r="H122" i="396"/>
  <c r="H65" i="396"/>
  <c r="I72" i="389"/>
  <c r="I82" i="396"/>
  <c r="G11" i="360"/>
  <c r="G9" i="360" s="1"/>
  <c r="K43" i="386"/>
  <c r="C48" i="402"/>
  <c r="C48" i="394"/>
  <c r="H125" i="392"/>
  <c r="A14" i="421" a="1"/>
  <c r="A14" i="421" s="1"/>
  <c r="G14" i="421" a="1"/>
  <c r="G14" i="421" s="1"/>
  <c r="E19" i="339"/>
  <c r="D32" i="399"/>
  <c r="I32" i="399"/>
  <c r="H31" i="396"/>
  <c r="H69" i="395"/>
  <c r="H35" i="399"/>
  <c r="P16" i="316"/>
  <c r="P17" i="316" s="1"/>
  <c r="P18" i="316" s="1"/>
  <c r="P19" i="316" s="1"/>
  <c r="P20" i="316" s="1"/>
  <c r="P21" i="316" s="1"/>
  <c r="P22" i="316" s="1"/>
  <c r="P23" i="316" s="1"/>
  <c r="P24" i="316" s="1"/>
  <c r="P25" i="316" s="1"/>
  <c r="P26" i="316" s="1"/>
  <c r="P27" i="316" s="1"/>
  <c r="P28" i="316" s="1"/>
  <c r="P29" i="316" s="1"/>
  <c r="P30" i="316" s="1"/>
  <c r="P31" i="316" s="1"/>
  <c r="P32" i="316" s="1"/>
  <c r="P33" i="316" s="1"/>
  <c r="P34" i="316" s="1"/>
  <c r="P35" i="316" s="1"/>
  <c r="P36" i="316" s="1"/>
  <c r="P37" i="316" s="1"/>
  <c r="P38" i="316" s="1"/>
  <c r="P39" i="316" s="1"/>
  <c r="P40" i="316" s="1"/>
  <c r="P41" i="316" s="1"/>
  <c r="P42" i="316" s="1"/>
  <c r="P43" i="316" s="1"/>
  <c r="P44" i="316" s="1"/>
  <c r="P45" i="316" s="1"/>
  <c r="P46" i="316" s="1"/>
  <c r="P47" i="316" s="1"/>
  <c r="P48" i="316" s="1"/>
  <c r="P49" i="316" s="1"/>
  <c r="P50" i="316" s="1"/>
  <c r="P51" i="316" s="1"/>
  <c r="P52" i="316" s="1"/>
  <c r="P53" i="316" s="1"/>
  <c r="P54" i="316" s="1"/>
  <c r="P55" i="316" s="1"/>
  <c r="P56" i="316" s="1"/>
  <c r="P57" i="316" s="1"/>
  <c r="P58" i="316" s="1"/>
  <c r="P59" i="316" s="1"/>
  <c r="P60" i="316" s="1"/>
  <c r="P61" i="316" s="1"/>
  <c r="P62" i="316" s="1"/>
  <c r="P63" i="316" s="1"/>
  <c r="P64" i="316" s="1"/>
  <c r="P65" i="316" s="1"/>
  <c r="P66" i="316" s="1"/>
  <c r="P67" i="316" s="1"/>
  <c r="P68" i="316" s="1"/>
  <c r="P69" i="316" s="1"/>
  <c r="P70" i="316" s="1"/>
  <c r="P71" i="316" s="1"/>
  <c r="P72" i="316" s="1"/>
  <c r="P73" i="316" s="1"/>
  <c r="P74" i="316" s="1"/>
  <c r="P75" i="316" s="1"/>
  <c r="P76" i="316" s="1"/>
  <c r="P77" i="316" s="1"/>
  <c r="P78" i="316" s="1"/>
  <c r="P79" i="316" s="1"/>
  <c r="P80" i="316" s="1"/>
  <c r="P81" i="316" s="1"/>
  <c r="P82" i="316" s="1"/>
  <c r="P83" i="316" s="1"/>
  <c r="P84" i="316" s="1"/>
  <c r="P85" i="316" s="1"/>
  <c r="P86" i="316" s="1"/>
  <c r="P87" i="316" s="1"/>
  <c r="P88" i="316" s="1"/>
  <c r="P89" i="316" s="1"/>
  <c r="P90" i="316" s="1"/>
  <c r="P91" i="316" s="1"/>
  <c r="P92" i="316" s="1"/>
  <c r="P93" i="316" s="1"/>
  <c r="P94" i="316" s="1"/>
  <c r="P95" i="316" s="1"/>
  <c r="P96" i="316" s="1"/>
  <c r="P97" i="316" s="1"/>
  <c r="P98" i="316" s="1"/>
  <c r="P99" i="316" s="1"/>
  <c r="P100" i="316" s="1"/>
  <c r="P101" i="316" s="1"/>
  <c r="P102" i="316" s="1"/>
  <c r="P103" i="316" s="1"/>
  <c r="P104" i="316" s="1"/>
  <c r="P105" i="316" s="1"/>
  <c r="P106" i="316" s="1"/>
  <c r="P107" i="316" s="1"/>
  <c r="P108" i="316" s="1"/>
  <c r="P109" i="316" s="1"/>
  <c r="P110" i="316" s="1"/>
  <c r="H156" i="396"/>
  <c r="I14" i="421" a="1"/>
  <c r="I14" i="421" s="1"/>
  <c r="K14" i="421" a="1"/>
  <c r="K14" i="421" s="1"/>
  <c r="L14" i="421" a="1"/>
  <c r="L14" i="421" s="1"/>
  <c r="M14" i="421" a="1"/>
  <c r="M14" i="421" s="1"/>
  <c r="Q14" i="421" a="1"/>
  <c r="Q14" i="421" s="1"/>
  <c r="H40" i="397"/>
  <c r="H28" i="397"/>
  <c r="H104" i="397"/>
  <c r="C16" i="421"/>
  <c r="H39" i="360"/>
  <c r="H93" i="396"/>
  <c r="H105" i="395"/>
  <c r="H93" i="397"/>
  <c r="H129" i="397"/>
  <c r="I100" i="360"/>
  <c r="H123" i="396"/>
  <c r="S15" i="422"/>
  <c r="R16" i="422" a="1"/>
  <c r="R16" i="422"/>
  <c r="M16" i="422" a="1"/>
  <c r="M16" i="422"/>
  <c r="H16" i="422" a="1"/>
  <c r="H16" i="422"/>
  <c r="N16" i="422" a="1"/>
  <c r="N16" i="422" s="1"/>
  <c r="I16" i="422" a="1"/>
  <c r="I16" i="422"/>
  <c r="P16" i="422" a="1"/>
  <c r="P16" i="422"/>
  <c r="L16" i="422" a="1"/>
  <c r="L16" i="422" s="1"/>
  <c r="G16" i="422" a="1"/>
  <c r="G16" i="422" s="1"/>
  <c r="C17" i="422"/>
  <c r="C18" i="422"/>
  <c r="I18" i="422" s="1" a="1"/>
  <c r="I18" i="422" s="1"/>
  <c r="O16" i="422" a="1"/>
  <c r="O16" i="422"/>
  <c r="J16" i="422" a="1"/>
  <c r="J16" i="422" s="1"/>
  <c r="A16" i="422" a="1"/>
  <c r="A16" i="422"/>
  <c r="H17" i="396"/>
  <c r="C99" i="385"/>
  <c r="P99" i="385"/>
  <c r="H60" i="395"/>
  <c r="M151" i="365"/>
  <c r="M164" i="365" s="1"/>
  <c r="C17" i="385"/>
  <c r="P17" i="385" s="1"/>
  <c r="H162" i="389"/>
  <c r="N80" i="386"/>
  <c r="L76" i="385"/>
  <c r="L80" i="385"/>
  <c r="L165" i="385" s="1"/>
  <c r="D78" i="395"/>
  <c r="D77" i="395"/>
  <c r="D76" i="395"/>
  <c r="E151" i="386"/>
  <c r="E164" i="386"/>
  <c r="E165" i="386" s="1"/>
  <c r="P17" i="386"/>
  <c r="E80" i="386"/>
  <c r="H151" i="385"/>
  <c r="H164" i="385"/>
  <c r="H165" i="385"/>
  <c r="K151" i="385"/>
  <c r="K164" i="385" s="1"/>
  <c r="G44" i="365"/>
  <c r="H151" i="365"/>
  <c r="H164" i="365" s="1"/>
  <c r="H165" i="365" s="1"/>
  <c r="H167" i="365" s="1"/>
  <c r="M151" i="385"/>
  <c r="M164" i="385"/>
  <c r="N76" i="365"/>
  <c r="N80" i="365" s="1"/>
  <c r="C141" i="365"/>
  <c r="P141" i="365"/>
  <c r="M23" i="385"/>
  <c r="M44" i="385"/>
  <c r="O164" i="385"/>
  <c r="K23" i="386"/>
  <c r="K44" i="386" s="1"/>
  <c r="J23" i="386"/>
  <c r="J44" i="386" s="1"/>
  <c r="N23" i="386"/>
  <c r="N44" i="386"/>
  <c r="M23" i="386"/>
  <c r="O44" i="386"/>
  <c r="H23" i="365"/>
  <c r="H44" i="385"/>
  <c r="E151" i="385"/>
  <c r="E164" i="385" s="1"/>
  <c r="G44" i="386"/>
  <c r="I16" i="395"/>
  <c r="D15" i="395"/>
  <c r="I15" i="395"/>
  <c r="I58" i="395"/>
  <c r="K76" i="386"/>
  <c r="K80" i="386" s="1"/>
  <c r="H104" i="392"/>
  <c r="C161" i="365"/>
  <c r="C162" i="365" s="1"/>
  <c r="P161" i="365"/>
  <c r="C20" i="385"/>
  <c r="P20" i="385" s="1"/>
  <c r="E23" i="386"/>
  <c r="E44" i="386"/>
  <c r="I23" i="365"/>
  <c r="I44" i="365" s="1"/>
  <c r="H84" i="399"/>
  <c r="I55" i="395"/>
  <c r="H73" i="395"/>
  <c r="H101" i="395"/>
  <c r="H156" i="395"/>
  <c r="H31" i="392"/>
  <c r="H126" i="395"/>
  <c r="H23" i="392"/>
  <c r="H123" i="395"/>
  <c r="H129" i="395"/>
  <c r="I76" i="365"/>
  <c r="I80" i="365" s="1"/>
  <c r="K151" i="365"/>
  <c r="K164" i="365"/>
  <c r="N44" i="365"/>
  <c r="F151" i="365"/>
  <c r="F164" i="365"/>
  <c r="F165" i="365" s="1"/>
  <c r="F167" i="365" s="1"/>
  <c r="L151" i="385"/>
  <c r="L164" i="385" s="1"/>
  <c r="O23" i="385"/>
  <c r="F151" i="386"/>
  <c r="F164" i="386" s="1"/>
  <c r="H76" i="386"/>
  <c r="H80" i="386"/>
  <c r="M151" i="386"/>
  <c r="M164" i="386"/>
  <c r="M165" i="386" s="1"/>
  <c r="M167" i="386" s="1"/>
  <c r="L151" i="365"/>
  <c r="L164" i="365" s="1"/>
  <c r="L165" i="365" s="1"/>
  <c r="L169" i="365" s="1"/>
  <c r="L167" i="365"/>
  <c r="D9" i="398"/>
  <c r="I9" i="398" s="1"/>
  <c r="G151" i="365"/>
  <c r="G164" i="365" s="1"/>
  <c r="I33" i="395"/>
  <c r="D32" i="395"/>
  <c r="I32" i="395" s="1"/>
  <c r="H142" i="395"/>
  <c r="G76" i="386"/>
  <c r="G80" i="386" s="1"/>
  <c r="H160" i="395"/>
  <c r="H54" i="392"/>
  <c r="H41" i="392"/>
  <c r="H39" i="395"/>
  <c r="H96" i="392"/>
  <c r="E151" i="365"/>
  <c r="E164" i="365"/>
  <c r="I151" i="385"/>
  <c r="I164" i="385"/>
  <c r="N151" i="385"/>
  <c r="N164" i="385"/>
  <c r="F23" i="385"/>
  <c r="F44" i="385" s="1"/>
  <c r="I151" i="386"/>
  <c r="I164" i="386" s="1"/>
  <c r="D139" i="408"/>
  <c r="D76" i="388"/>
  <c r="D147" i="388" s="1"/>
  <c r="D165" i="388" s="1"/>
  <c r="D178" i="388" s="1"/>
  <c r="N151" i="365"/>
  <c r="N164" i="365" s="1"/>
  <c r="O76" i="386"/>
  <c r="O80" i="386"/>
  <c r="I16" i="392"/>
  <c r="D15" i="392"/>
  <c r="H113" i="392"/>
  <c r="H91" i="392"/>
  <c r="H117" i="392"/>
  <c r="O151" i="365"/>
  <c r="O164" i="365"/>
  <c r="C141" i="385"/>
  <c r="P141" i="385" s="1"/>
  <c r="D23" i="386"/>
  <c r="J164" i="365"/>
  <c r="J165" i="365" s="1"/>
  <c r="J167" i="365" s="1"/>
  <c r="C97" i="386"/>
  <c r="P97" i="386"/>
  <c r="C179" i="408"/>
  <c r="C166" i="408"/>
  <c r="C170" i="408"/>
  <c r="C153" i="408"/>
  <c r="C149" i="408"/>
  <c r="C184" i="408"/>
  <c r="C171" i="408"/>
  <c r="C167" i="408"/>
  <c r="C148" i="408"/>
  <c r="C152" i="408" s="1"/>
  <c r="I33" i="389"/>
  <c r="D32" i="389"/>
  <c r="I32" i="389"/>
  <c r="I86" i="389"/>
  <c r="H86" i="389"/>
  <c r="I30" i="393"/>
  <c r="I33" i="393"/>
  <c r="D32" i="393"/>
  <c r="I32" i="393" s="1"/>
  <c r="D11" i="393"/>
  <c r="D9" i="393" s="1"/>
  <c r="I9" i="393" s="1"/>
  <c r="I11" i="393"/>
  <c r="I12" i="393"/>
  <c r="I70" i="393"/>
  <c r="H70" i="393"/>
  <c r="D15" i="393"/>
  <c r="I155" i="393"/>
  <c r="D164" i="393"/>
  <c r="I37" i="402"/>
  <c r="D36" i="402"/>
  <c r="I36" i="402" s="1"/>
  <c r="I26" i="402"/>
  <c r="I79" i="402"/>
  <c r="D78" i="402"/>
  <c r="D77" i="402" s="1"/>
  <c r="D15" i="403"/>
  <c r="I16" i="403"/>
  <c r="H69" i="403"/>
  <c r="I69" i="403"/>
  <c r="D21" i="403"/>
  <c r="I22" i="403"/>
  <c r="I26" i="403"/>
  <c r="I143" i="403"/>
  <c r="H143" i="403"/>
  <c r="I10" i="403"/>
  <c r="I33" i="403"/>
  <c r="D32" i="403"/>
  <c r="I32" i="403"/>
  <c r="I33" i="404"/>
  <c r="D32" i="404"/>
  <c r="D164" i="404"/>
  <c r="I155" i="404"/>
  <c r="D15" i="404"/>
  <c r="I16" i="404"/>
  <c r="D139" i="404"/>
  <c r="D11" i="404"/>
  <c r="I30" i="404"/>
  <c r="D29" i="404"/>
  <c r="D27" i="404" s="1"/>
  <c r="I27" i="404" s="1"/>
  <c r="I29" i="404"/>
  <c r="I76" i="385"/>
  <c r="I80" i="385"/>
  <c r="P65" i="386"/>
  <c r="H91" i="393"/>
  <c r="H31" i="402"/>
  <c r="H96" i="393"/>
  <c r="H94" i="403"/>
  <c r="H136" i="389"/>
  <c r="I55" i="396"/>
  <c r="H63" i="402"/>
  <c r="H65" i="403"/>
  <c r="H74" i="402"/>
  <c r="H121" i="404"/>
  <c r="H18" i="393"/>
  <c r="H81" i="393"/>
  <c r="H122" i="404"/>
  <c r="H34" i="402"/>
  <c r="H34" i="389"/>
  <c r="H100" i="393"/>
  <c r="H80" i="393"/>
  <c r="H18" i="403"/>
  <c r="C179" i="392"/>
  <c r="C171" i="392"/>
  <c r="C167" i="392"/>
  <c r="C153" i="392"/>
  <c r="C149" i="392"/>
  <c r="C184" i="392"/>
  <c r="C166" i="392"/>
  <c r="C170" i="392" s="1"/>
  <c r="C148" i="392"/>
  <c r="C152" i="392"/>
  <c r="C166" i="389"/>
  <c r="C170" i="389" s="1"/>
  <c r="C171" i="389"/>
  <c r="C149" i="389"/>
  <c r="I29" i="397"/>
  <c r="D27" i="397"/>
  <c r="K76" i="365"/>
  <c r="K80" i="365" s="1"/>
  <c r="K165" i="365" s="1"/>
  <c r="K167" i="365" s="1"/>
  <c r="C65" i="365"/>
  <c r="P65" i="365"/>
  <c r="C117" i="385"/>
  <c r="P117" i="385"/>
  <c r="K23" i="385"/>
  <c r="K44" i="385"/>
  <c r="H112" i="393"/>
  <c r="H99" i="404"/>
  <c r="H103" i="393"/>
  <c r="C184" i="395"/>
  <c r="C171" i="395"/>
  <c r="C167" i="395"/>
  <c r="C153" i="395"/>
  <c r="C148" i="395"/>
  <c r="C152" i="395"/>
  <c r="C166" i="395"/>
  <c r="C170" i="395"/>
  <c r="C179" i="395"/>
  <c r="C149" i="395"/>
  <c r="D27" i="396"/>
  <c r="I30" i="396"/>
  <c r="H30" i="396"/>
  <c r="I12" i="396"/>
  <c r="D11" i="396"/>
  <c r="I11" i="396"/>
  <c r="D144" i="396"/>
  <c r="I145" i="396"/>
  <c r="I26" i="396"/>
  <c r="I143" i="396"/>
  <c r="H143" i="396"/>
  <c r="I70" i="360"/>
  <c r="I40" i="360"/>
  <c r="H40" i="360"/>
  <c r="I10" i="360"/>
  <c r="I61" i="360"/>
  <c r="H61" i="360"/>
  <c r="I102" i="360"/>
  <c r="I114" i="360"/>
  <c r="H114" i="360"/>
  <c r="I22" i="360"/>
  <c r="D21" i="360"/>
  <c r="I21" i="360"/>
  <c r="D36" i="360"/>
  <c r="I140" i="360"/>
  <c r="D139" i="360"/>
  <c r="I139" i="360"/>
  <c r="I26" i="408"/>
  <c r="I20" i="408"/>
  <c r="D177" i="408"/>
  <c r="I175" i="408"/>
  <c r="D47" i="398"/>
  <c r="I47" i="398" s="1"/>
  <c r="H53" i="401"/>
  <c r="I53" i="401"/>
  <c r="D139" i="401"/>
  <c r="I139" i="401"/>
  <c r="I140" i="401"/>
  <c r="I62" i="401"/>
  <c r="H62" i="401"/>
  <c r="I22" i="401"/>
  <c r="D21" i="401"/>
  <c r="I21" i="401"/>
  <c r="C20" i="365"/>
  <c r="P20" i="365" s="1"/>
  <c r="H104" i="401"/>
  <c r="H14" i="403"/>
  <c r="H93" i="401"/>
  <c r="H58" i="403"/>
  <c r="H57" i="393"/>
  <c r="H81" i="402"/>
  <c r="D9" i="397"/>
  <c r="D27" i="399"/>
  <c r="I27" i="399" s="1"/>
  <c r="C179" i="401"/>
  <c r="C166" i="401"/>
  <c r="C170" i="401"/>
  <c r="C148" i="401"/>
  <c r="C152" i="401" s="1"/>
  <c r="C171" i="401"/>
  <c r="C149" i="401"/>
  <c r="C184" i="401"/>
  <c r="C167" i="401"/>
  <c r="C153" i="401"/>
  <c r="K23" i="365"/>
  <c r="K44" i="365" s="1"/>
  <c r="C117" i="365"/>
  <c r="P117" i="365"/>
  <c r="C102" i="385"/>
  <c r="P102" i="385" s="1"/>
  <c r="H13" i="360"/>
  <c r="H127" i="403"/>
  <c r="H125" i="360"/>
  <c r="C153" i="398"/>
  <c r="C184" i="398"/>
  <c r="H72" i="360"/>
  <c r="H90" i="402"/>
  <c r="H68" i="403"/>
  <c r="H158" i="360"/>
  <c r="H80" i="408"/>
  <c r="C148" i="393"/>
  <c r="C152" i="393" s="1"/>
  <c r="C153" i="393"/>
  <c r="H98" i="360"/>
  <c r="I16" i="389"/>
  <c r="I22" i="389"/>
  <c r="D21" i="389"/>
  <c r="I21" i="389" s="1"/>
  <c r="H61" i="393"/>
  <c r="I61" i="393"/>
  <c r="I10" i="393"/>
  <c r="I37" i="393"/>
  <c r="D36" i="393"/>
  <c r="I36" i="393"/>
  <c r="D21" i="393"/>
  <c r="I21" i="393" s="1"/>
  <c r="I22" i="393"/>
  <c r="I9" i="399"/>
  <c r="C179" i="403"/>
  <c r="C166" i="403"/>
  <c r="C170" i="403"/>
  <c r="C148" i="403"/>
  <c r="C152" i="403"/>
  <c r="C171" i="403"/>
  <c r="C153" i="403"/>
  <c r="C184" i="403"/>
  <c r="C167" i="403"/>
  <c r="C149" i="403"/>
  <c r="D164" i="402"/>
  <c r="I155" i="402"/>
  <c r="I28" i="402"/>
  <c r="I16" i="402"/>
  <c r="I163" i="402"/>
  <c r="I79" i="403"/>
  <c r="I28" i="403"/>
  <c r="I63" i="403"/>
  <c r="H63" i="403"/>
  <c r="D177" i="403"/>
  <c r="I177" i="403"/>
  <c r="I175" i="403"/>
  <c r="I30" i="403"/>
  <c r="D29" i="403"/>
  <c r="I37" i="403"/>
  <c r="D24" i="388"/>
  <c r="D144" i="404"/>
  <c r="I144" i="404"/>
  <c r="I145" i="404"/>
  <c r="H61" i="404"/>
  <c r="I61" i="404"/>
  <c r="I143" i="404"/>
  <c r="H143" i="404"/>
  <c r="J23" i="365"/>
  <c r="J44" i="365" s="1"/>
  <c r="C89" i="365"/>
  <c r="P89" i="365" s="1"/>
  <c r="C134" i="365"/>
  <c r="P134" i="365"/>
  <c r="C34" i="365"/>
  <c r="P34" i="365"/>
  <c r="D11" i="385"/>
  <c r="I23" i="385"/>
  <c r="I44" i="385"/>
  <c r="F76" i="385"/>
  <c r="F80" i="385"/>
  <c r="N76" i="385"/>
  <c r="N80" i="385" s="1"/>
  <c r="N165" i="385" s="1"/>
  <c r="N167" i="385" s="1"/>
  <c r="C47" i="386"/>
  <c r="P47" i="386" s="1"/>
  <c r="H56" i="393"/>
  <c r="H104" i="403"/>
  <c r="H156" i="389"/>
  <c r="H98" i="393"/>
  <c r="H66" i="393"/>
  <c r="H84" i="402"/>
  <c r="H97" i="403"/>
  <c r="H132" i="389"/>
  <c r="H92" i="393"/>
  <c r="H41" i="393"/>
  <c r="H99" i="393"/>
  <c r="H130" i="393"/>
  <c r="H160" i="402"/>
  <c r="H38" i="403"/>
  <c r="H14" i="389"/>
  <c r="H125" i="393"/>
  <c r="H102" i="389"/>
  <c r="H116" i="403"/>
  <c r="H42" i="402"/>
  <c r="H117" i="404"/>
  <c r="D147" i="398"/>
  <c r="D165" i="398" s="1"/>
  <c r="D178" i="398"/>
  <c r="C27" i="391" s="1"/>
  <c r="C179" i="388"/>
  <c r="C171" i="388"/>
  <c r="C167" i="388"/>
  <c r="C153" i="388"/>
  <c r="C149" i="388"/>
  <c r="C166" i="388"/>
  <c r="C170" i="388"/>
  <c r="C184" i="388"/>
  <c r="C148" i="388"/>
  <c r="C152" i="388" s="1"/>
  <c r="L44" i="365"/>
  <c r="D43" i="385"/>
  <c r="H110" i="393"/>
  <c r="H42" i="403"/>
  <c r="H65" i="389"/>
  <c r="H103" i="389"/>
  <c r="H87" i="389"/>
  <c r="I37" i="396"/>
  <c r="D36" i="396"/>
  <c r="I36" i="396"/>
  <c r="D139" i="396"/>
  <c r="I139" i="396"/>
  <c r="I140" i="396"/>
  <c r="D51" i="396"/>
  <c r="D50" i="396"/>
  <c r="I16" i="396"/>
  <c r="D15" i="396"/>
  <c r="I15" i="396" s="1"/>
  <c r="I63" i="360"/>
  <c r="H63" i="360"/>
  <c r="I175" i="360"/>
  <c r="D177" i="360"/>
  <c r="I177" i="360" s="1"/>
  <c r="I26" i="360"/>
  <c r="I12" i="408"/>
  <c r="D11" i="408"/>
  <c r="I11" i="408"/>
  <c r="I30" i="408"/>
  <c r="D29" i="408"/>
  <c r="I29" i="408" s="1"/>
  <c r="D51" i="408"/>
  <c r="D78" i="408"/>
  <c r="D77" i="408" s="1"/>
  <c r="D76" i="408" s="1"/>
  <c r="D147" i="408" s="1"/>
  <c r="D165" i="408" s="1"/>
  <c r="D178" i="408" s="1"/>
  <c r="I79" i="408"/>
  <c r="I10" i="408"/>
  <c r="I28" i="408"/>
  <c r="I145" i="408"/>
  <c r="D144" i="408"/>
  <c r="D19" i="397"/>
  <c r="I19" i="397"/>
  <c r="H112" i="401"/>
  <c r="I112" i="401"/>
  <c r="H82" i="401"/>
  <c r="I82" i="401"/>
  <c r="I33" i="401"/>
  <c r="D32" i="401"/>
  <c r="I32" i="401" s="1"/>
  <c r="I118" i="401"/>
  <c r="H118" i="401"/>
  <c r="D97" i="365"/>
  <c r="D151" i="365" s="1"/>
  <c r="C50" i="365"/>
  <c r="P50" i="365" s="1"/>
  <c r="G76" i="385"/>
  <c r="G80" i="385"/>
  <c r="H122" i="402"/>
  <c r="H14" i="393"/>
  <c r="H99" i="408"/>
  <c r="H163" i="401"/>
  <c r="H156" i="401"/>
  <c r="H73" i="404"/>
  <c r="I21" i="395"/>
  <c r="D19" i="395"/>
  <c r="I19" i="395" s="1"/>
  <c r="D9" i="405"/>
  <c r="G76" i="365"/>
  <c r="G80" i="365" s="1"/>
  <c r="G165" i="365" s="1"/>
  <c r="O76" i="385"/>
  <c r="O80" i="385"/>
  <c r="H142" i="402"/>
  <c r="H97" i="408"/>
  <c r="H34" i="360"/>
  <c r="H84" i="408"/>
  <c r="C171" i="398"/>
  <c r="C166" i="398"/>
  <c r="C170" i="398"/>
  <c r="H17" i="408"/>
  <c r="H44" i="360"/>
  <c r="C184" i="393"/>
  <c r="C167" i="393"/>
  <c r="H68" i="360"/>
  <c r="I28" i="389"/>
  <c r="C184" i="360"/>
  <c r="C171" i="360"/>
  <c r="C167" i="360"/>
  <c r="C153" i="360"/>
  <c r="C149" i="360"/>
  <c r="C166" i="360"/>
  <c r="C170" i="360" s="1"/>
  <c r="C148" i="360"/>
  <c r="C152" i="360" s="1"/>
  <c r="C179" i="360"/>
  <c r="I20" i="389"/>
  <c r="H90" i="389"/>
  <c r="I145" i="393"/>
  <c r="D144" i="393"/>
  <c r="I144" i="393" s="1"/>
  <c r="I26" i="393"/>
  <c r="D78" i="393"/>
  <c r="D77" i="393" s="1"/>
  <c r="D76" i="393" s="1"/>
  <c r="D27" i="405"/>
  <c r="I20" i="402"/>
  <c r="I10" i="402"/>
  <c r="I145" i="402"/>
  <c r="D144" i="402"/>
  <c r="I144" i="402"/>
  <c r="D177" i="402"/>
  <c r="I177" i="402"/>
  <c r="D139" i="402"/>
  <c r="I12" i="403"/>
  <c r="D11" i="403"/>
  <c r="D51" i="403"/>
  <c r="D50" i="403" s="1"/>
  <c r="H90" i="403"/>
  <c r="I90" i="403"/>
  <c r="D144" i="403"/>
  <c r="I144" i="403" s="1"/>
  <c r="I145" i="403"/>
  <c r="I72" i="403"/>
  <c r="H72" i="403"/>
  <c r="I20" i="404"/>
  <c r="D177" i="404"/>
  <c r="I175" i="404"/>
  <c r="H55" i="404"/>
  <c r="I55" i="404"/>
  <c r="D36" i="404"/>
  <c r="I36" i="404" s="1"/>
  <c r="I37" i="404"/>
  <c r="H96" i="404"/>
  <c r="D51" i="404"/>
  <c r="D50" i="404"/>
  <c r="D147" i="404" s="1"/>
  <c r="I22" i="404"/>
  <c r="D21" i="404"/>
  <c r="I21" i="404"/>
  <c r="I79" i="404"/>
  <c r="D78" i="404"/>
  <c r="D77" i="404"/>
  <c r="D76" i="404" s="1"/>
  <c r="C47" i="385"/>
  <c r="P47" i="385" s="1"/>
  <c r="D76" i="385"/>
  <c r="K76" i="385"/>
  <c r="K80" i="385"/>
  <c r="K165" i="385" s="1"/>
  <c r="K167" i="385" s="1"/>
  <c r="H97" i="402"/>
  <c r="H115" i="389"/>
  <c r="H13" i="393"/>
  <c r="H105" i="403"/>
  <c r="H129" i="389"/>
  <c r="H35" i="402"/>
  <c r="H162" i="402"/>
  <c r="H106" i="393"/>
  <c r="H95" i="403"/>
  <c r="H56" i="402"/>
  <c r="H141" i="402"/>
  <c r="H55" i="403"/>
  <c r="H110" i="389"/>
  <c r="H85" i="393"/>
  <c r="H34" i="403"/>
  <c r="H124" i="389"/>
  <c r="I78" i="397"/>
  <c r="D77" i="397"/>
  <c r="C102" i="365"/>
  <c r="P102" i="365" s="1"/>
  <c r="C77" i="365"/>
  <c r="P77" i="365"/>
  <c r="C146" i="385"/>
  <c r="P146" i="385"/>
  <c r="C30" i="385"/>
  <c r="P30" i="385"/>
  <c r="H141" i="403"/>
  <c r="H66" i="403"/>
  <c r="C30" i="386"/>
  <c r="P30" i="386" s="1"/>
  <c r="D43" i="386"/>
  <c r="H57" i="389"/>
  <c r="H108" i="393"/>
  <c r="H31" i="393"/>
  <c r="H43" i="393"/>
  <c r="H120" i="402"/>
  <c r="H93" i="402"/>
  <c r="H93" i="404"/>
  <c r="D78" i="396"/>
  <c r="D77" i="396" s="1"/>
  <c r="D76" i="396" s="1"/>
  <c r="D147" i="396" s="1"/>
  <c r="I20" i="396"/>
  <c r="D21" i="396"/>
  <c r="I21" i="396"/>
  <c r="I22" i="396"/>
  <c r="I89" i="360"/>
  <c r="H89" i="360"/>
  <c r="I56" i="360"/>
  <c r="H56" i="360"/>
  <c r="I20" i="360"/>
  <c r="I33" i="360"/>
  <c r="D32" i="360"/>
  <c r="I32" i="360" s="1"/>
  <c r="D15" i="360"/>
  <c r="H71" i="360"/>
  <c r="I71" i="360"/>
  <c r="I145" i="360"/>
  <c r="D144" i="360"/>
  <c r="I144" i="360" s="1"/>
  <c r="I12" i="360"/>
  <c r="I30" i="360"/>
  <c r="D29" i="360"/>
  <c r="I29" i="360"/>
  <c r="D164" i="408"/>
  <c r="I155" i="408"/>
  <c r="I16" i="408"/>
  <c r="D15" i="408"/>
  <c r="D36" i="401"/>
  <c r="I37" i="401"/>
  <c r="I10" i="401"/>
  <c r="D78" i="401"/>
  <c r="D77" i="401" s="1"/>
  <c r="D76" i="401" s="1"/>
  <c r="D147" i="401" s="1"/>
  <c r="D165" i="401" s="1"/>
  <c r="D178" i="401" s="1"/>
  <c r="C33" i="391" s="1"/>
  <c r="D15" i="401"/>
  <c r="I15" i="401"/>
  <c r="I16" i="401"/>
  <c r="I26" i="401"/>
  <c r="I12" i="401"/>
  <c r="D11" i="401"/>
  <c r="I11" i="401"/>
  <c r="D177" i="401"/>
  <c r="I177" i="401"/>
  <c r="I175" i="401"/>
  <c r="I55" i="401"/>
  <c r="H55" i="401"/>
  <c r="I11" i="394"/>
  <c r="D9" i="394"/>
  <c r="C126" i="365"/>
  <c r="P126" i="365" s="1"/>
  <c r="E76" i="365"/>
  <c r="E80" i="365"/>
  <c r="E165" i="365" s="1"/>
  <c r="C137" i="365"/>
  <c r="P137" i="365" s="1"/>
  <c r="H83" i="360"/>
  <c r="H13" i="401"/>
  <c r="H132" i="402"/>
  <c r="H119" i="360"/>
  <c r="H54" i="393"/>
  <c r="D76" i="405"/>
  <c r="D147" i="405"/>
  <c r="D165" i="405" s="1"/>
  <c r="D178" i="405" s="1"/>
  <c r="C51" i="391" s="1"/>
  <c r="O76" i="365"/>
  <c r="O80" i="365" s="1"/>
  <c r="O165" i="365" s="1"/>
  <c r="D43" i="365"/>
  <c r="C30" i="365"/>
  <c r="P30" i="365"/>
  <c r="N23" i="385"/>
  <c r="H104" i="360"/>
  <c r="H83" i="393"/>
  <c r="H100" i="403"/>
  <c r="H35" i="393"/>
  <c r="H115" i="360"/>
  <c r="H86" i="403"/>
  <c r="H71" i="403"/>
  <c r="C148" i="398"/>
  <c r="C152" i="398"/>
  <c r="H89" i="393"/>
  <c r="H112" i="408"/>
  <c r="C166" i="393"/>
  <c r="C170" i="393" s="1"/>
  <c r="C171" i="393"/>
  <c r="H53" i="360"/>
  <c r="H124" i="360"/>
  <c r="H68" i="396"/>
  <c r="C148" i="407"/>
  <c r="C152" i="407" s="1"/>
  <c r="C179" i="407"/>
  <c r="C149" i="407"/>
  <c r="I30" i="389"/>
  <c r="D11" i="389"/>
  <c r="D51" i="393"/>
  <c r="D50" i="393"/>
  <c r="I20" i="393"/>
  <c r="I143" i="393"/>
  <c r="H143" i="393"/>
  <c r="I28" i="393"/>
  <c r="H28" i="393"/>
  <c r="I21" i="394"/>
  <c r="D19" i="394"/>
  <c r="I19" i="394"/>
  <c r="I33" i="402"/>
  <c r="D32" i="402"/>
  <c r="I32" i="402"/>
  <c r="D11" i="402"/>
  <c r="I11" i="402"/>
  <c r="I12" i="402"/>
  <c r="D29" i="402"/>
  <c r="I29" i="402"/>
  <c r="I30" i="402"/>
  <c r="I22" i="402"/>
  <c r="D21" i="402"/>
  <c r="I21" i="402" s="1"/>
  <c r="I71" i="402"/>
  <c r="D51" i="402"/>
  <c r="D50" i="402" s="1"/>
  <c r="I143" i="402"/>
  <c r="H143" i="402"/>
  <c r="D164" i="403"/>
  <c r="I155" i="403"/>
  <c r="I20" i="403"/>
  <c r="I28" i="404"/>
  <c r="I10" i="404"/>
  <c r="H10" i="404"/>
  <c r="I26" i="404"/>
  <c r="C146" i="365"/>
  <c r="P146" i="365"/>
  <c r="H162" i="403"/>
  <c r="H157" i="402"/>
  <c r="H80" i="389"/>
  <c r="H123" i="402"/>
  <c r="H84" i="403"/>
  <c r="H105" i="389"/>
  <c r="H54" i="389"/>
  <c r="H38" i="393"/>
  <c r="H102" i="402"/>
  <c r="H91" i="389"/>
  <c r="H125" i="402"/>
  <c r="H42" i="389"/>
  <c r="H81" i="403"/>
  <c r="H88" i="404"/>
  <c r="H88" i="403"/>
  <c r="H38" i="389"/>
  <c r="I21" i="399"/>
  <c r="D19" i="399"/>
  <c r="I19" i="399"/>
  <c r="D19" i="398"/>
  <c r="I19" i="398"/>
  <c r="C11" i="365"/>
  <c r="P11" i="365"/>
  <c r="C17" i="365"/>
  <c r="P17" i="365" s="1"/>
  <c r="D97" i="385"/>
  <c r="C99" i="386"/>
  <c r="P99" i="386"/>
  <c r="H104" i="389"/>
  <c r="H116" i="389"/>
  <c r="H44" i="393"/>
  <c r="H116" i="402"/>
  <c r="H84" i="393"/>
  <c r="H163" i="403"/>
  <c r="H74" i="403"/>
  <c r="D177" i="396"/>
  <c r="I177" i="396"/>
  <c r="I175" i="396"/>
  <c r="I33" i="396"/>
  <c r="D164" i="396"/>
  <c r="D165" i="396" s="1"/>
  <c r="D178" i="396" s="1"/>
  <c r="C15" i="391" s="1"/>
  <c r="I155" i="396"/>
  <c r="I10" i="396"/>
  <c r="I28" i="360"/>
  <c r="I143" i="360"/>
  <c r="H143" i="360"/>
  <c r="I155" i="360"/>
  <c r="D164" i="360"/>
  <c r="I22" i="408"/>
  <c r="D21" i="408"/>
  <c r="I21" i="408" s="1"/>
  <c r="D36" i="408"/>
  <c r="I37" i="408"/>
  <c r="I33" i="408"/>
  <c r="D32" i="408"/>
  <c r="I32" i="408"/>
  <c r="H61" i="408"/>
  <c r="I61" i="408"/>
  <c r="H162" i="393"/>
  <c r="D29" i="401"/>
  <c r="I29" i="401"/>
  <c r="I30" i="401"/>
  <c r="I81" i="401"/>
  <c r="H81" i="401"/>
  <c r="D164" i="401"/>
  <c r="I155" i="401"/>
  <c r="I28" i="401"/>
  <c r="I20" i="401"/>
  <c r="D51" i="401"/>
  <c r="D50" i="401"/>
  <c r="I145" i="401"/>
  <c r="D144" i="401"/>
  <c r="I144" i="401" s="1"/>
  <c r="I143" i="401"/>
  <c r="H143" i="401"/>
  <c r="H141" i="396"/>
  <c r="M76" i="365"/>
  <c r="M80" i="365"/>
  <c r="H133" i="408"/>
  <c r="H135" i="401"/>
  <c r="H126" i="404"/>
  <c r="C166" i="405"/>
  <c r="C170" i="405"/>
  <c r="C148" i="405"/>
  <c r="C152" i="405" s="1"/>
  <c r="C167" i="405"/>
  <c r="C153" i="405"/>
  <c r="C149" i="405"/>
  <c r="C184" i="405"/>
  <c r="C171" i="405"/>
  <c r="D27" i="394"/>
  <c r="C13" i="365"/>
  <c r="P13" i="365" s="1"/>
  <c r="D76" i="365"/>
  <c r="C47" i="365"/>
  <c r="P47" i="365" s="1"/>
  <c r="C50" i="385"/>
  <c r="P50" i="385"/>
  <c r="H134" i="393"/>
  <c r="H73" i="401"/>
  <c r="H65" i="401"/>
  <c r="C149" i="398"/>
  <c r="C167" i="398"/>
  <c r="H160" i="401"/>
  <c r="H10" i="393"/>
  <c r="C149" i="393"/>
  <c r="H69" i="360"/>
  <c r="O15" i="421" a="1"/>
  <c r="O15" i="421" s="1"/>
  <c r="M16" i="420" a="1"/>
  <c r="M16" i="420" s="1"/>
  <c r="C149" i="396"/>
  <c r="C167" i="396"/>
  <c r="C179" i="396"/>
  <c r="C153" i="396"/>
  <c r="C166" i="396"/>
  <c r="C170" i="396"/>
  <c r="C171" i="396"/>
  <c r="C148" i="396"/>
  <c r="C152" i="396"/>
  <c r="C184" i="396"/>
  <c r="C179" i="404"/>
  <c r="C149" i="404"/>
  <c r="C153" i="404"/>
  <c r="C171" i="404"/>
  <c r="D48" i="388"/>
  <c r="D147" i="395"/>
  <c r="D165" i="395" s="1"/>
  <c r="D178" i="395"/>
  <c r="C9" i="391"/>
  <c r="C166" i="402"/>
  <c r="C170" i="402" s="1"/>
  <c r="C171" i="402"/>
  <c r="C171" i="394"/>
  <c r="C153" i="394"/>
  <c r="D19" i="392"/>
  <c r="I19" i="392" s="1"/>
  <c r="C148" i="402"/>
  <c r="C152" i="402"/>
  <c r="C149" i="402"/>
  <c r="F168" i="365"/>
  <c r="G16" i="421" a="1"/>
  <c r="G16" i="421" s="1"/>
  <c r="C19" i="422"/>
  <c r="R18" i="422" a="1"/>
  <c r="R18" i="422" s="1"/>
  <c r="L18" i="422" a="1"/>
  <c r="L18" i="422" s="1"/>
  <c r="D27" i="408"/>
  <c r="D27" i="393"/>
  <c r="I27" i="393" s="1"/>
  <c r="D9" i="408"/>
  <c r="I9" i="408"/>
  <c r="G167" i="365"/>
  <c r="G168" i="365" s="1"/>
  <c r="P18" i="422" a="1"/>
  <c r="P18" i="422"/>
  <c r="G18" i="422" a="1"/>
  <c r="G18" i="422" s="1"/>
  <c r="M18" i="422" a="1"/>
  <c r="M18" i="422"/>
  <c r="A18" i="422" a="1"/>
  <c r="A18" i="422" s="1"/>
  <c r="N18" i="422" a="1"/>
  <c r="N18" i="422" s="1"/>
  <c r="H18" i="422" a="1"/>
  <c r="H18" i="422"/>
  <c r="J18" i="422" a="1"/>
  <c r="J18" i="422" s="1"/>
  <c r="O18" i="422" a="1"/>
  <c r="O18" i="422"/>
  <c r="Q16" i="421" a="1"/>
  <c r="Q16" i="421" s="1"/>
  <c r="H16" i="421" a="1"/>
  <c r="H16" i="421" s="1"/>
  <c r="O16" i="421" a="1"/>
  <c r="O16" i="421" s="1"/>
  <c r="L16" i="421" a="1"/>
  <c r="L16" i="421" s="1"/>
  <c r="D9" i="396"/>
  <c r="D19" i="360"/>
  <c r="I19" i="360" s="1"/>
  <c r="D165" i="404"/>
  <c r="D178" i="404" s="1"/>
  <c r="C48" i="391" s="1"/>
  <c r="R17" i="422" a="1"/>
  <c r="R17" i="422"/>
  <c r="M17" i="422" a="1"/>
  <c r="M17" i="422"/>
  <c r="H17" i="422" a="1"/>
  <c r="H17" i="422" s="1"/>
  <c r="N17" i="422" a="1"/>
  <c r="N17" i="422" s="1"/>
  <c r="P17" i="422" a="1"/>
  <c r="P17" i="422"/>
  <c r="L17" i="422" a="1"/>
  <c r="L17" i="422" s="1"/>
  <c r="G17" i="422" a="1"/>
  <c r="G17" i="422"/>
  <c r="A17" i="422" a="1"/>
  <c r="A17" i="422" s="1"/>
  <c r="O17" i="422" a="1"/>
  <c r="O17" i="422" s="1"/>
  <c r="J17" i="422" a="1"/>
  <c r="J17" i="422" s="1"/>
  <c r="I17" i="422" a="1"/>
  <c r="I17" i="422"/>
  <c r="O167" i="365"/>
  <c r="P162" i="365"/>
  <c r="D27" i="360"/>
  <c r="I27" i="360"/>
  <c r="D19" i="401"/>
  <c r="I19" i="401"/>
  <c r="O165" i="385"/>
  <c r="O167" i="385" s="1"/>
  <c r="O168" i="385"/>
  <c r="I165" i="385"/>
  <c r="I167" i="385"/>
  <c r="D27" i="401"/>
  <c r="N165" i="365"/>
  <c r="N167" i="365" s="1"/>
  <c r="D19" i="396"/>
  <c r="I19" i="396" s="1"/>
  <c r="I27" i="407"/>
  <c r="D47" i="407"/>
  <c r="D9" i="401"/>
  <c r="D9" i="402"/>
  <c r="I9" i="402" s="1"/>
  <c r="D23" i="385"/>
  <c r="D24" i="399"/>
  <c r="D24" i="398"/>
  <c r="I177" i="408"/>
  <c r="D80" i="365"/>
  <c r="D44" i="365"/>
  <c r="D80" i="385"/>
  <c r="D19" i="404"/>
  <c r="I19" i="404" s="1"/>
  <c r="I144" i="408"/>
  <c r="D50" i="408"/>
  <c r="D44" i="386"/>
  <c r="P161" i="386"/>
  <c r="P162" i="386"/>
  <c r="D149" i="388"/>
  <c r="D47" i="399"/>
  <c r="I47" i="399" s="1"/>
  <c r="I27" i="397"/>
  <c r="D47" i="397"/>
  <c r="I47" i="397" s="1"/>
  <c r="L168" i="365"/>
  <c r="D27" i="402"/>
  <c r="D47" i="402" s="1"/>
  <c r="I47" i="402" s="1"/>
  <c r="D24" i="397"/>
  <c r="I9" i="397"/>
  <c r="L72" i="318"/>
  <c r="L73" i="318" s="1"/>
  <c r="L74" i="318" s="1"/>
  <c r="L75" i="318" s="1"/>
  <c r="L76" i="318" s="1"/>
  <c r="L77" i="318" s="1"/>
  <c r="L78" i="318" s="1"/>
  <c r="L79" i="318" s="1"/>
  <c r="L80" i="318" s="1"/>
  <c r="L81" i="318" s="1"/>
  <c r="L82" i="318" s="1"/>
  <c r="L83" i="318" s="1"/>
  <c r="L84" i="318" s="1"/>
  <c r="L85" i="318" s="1"/>
  <c r="L86" i="318" s="1"/>
  <c r="L87" i="318" s="1"/>
  <c r="L88" i="318" s="1"/>
  <c r="L89" i="318" s="1"/>
  <c r="L90" i="318" s="1"/>
  <c r="L91" i="318" s="1"/>
  <c r="L92" i="318" s="1"/>
  <c r="L93" i="318" s="1"/>
  <c r="L94" i="318" s="1"/>
  <c r="L95" i="318" s="1"/>
  <c r="L96" i="318" s="1"/>
  <c r="L97" i="318" s="1"/>
  <c r="L98" i="318" s="1"/>
  <c r="L99" i="318" s="1"/>
  <c r="L100" i="318" s="1"/>
  <c r="L101" i="318" s="1"/>
  <c r="L102" i="318" s="1"/>
  <c r="L103" i="318" s="1"/>
  <c r="L104" i="318" s="1"/>
  <c r="L105" i="318" s="1"/>
  <c r="L106" i="318" s="1"/>
  <c r="L107" i="318" s="1"/>
  <c r="L108" i="318" s="1"/>
  <c r="L109" i="318" s="1"/>
  <c r="L110" i="318" s="1"/>
  <c r="L111" i="318" s="1"/>
  <c r="L112" i="318" s="1"/>
  <c r="L113" i="318" s="1"/>
  <c r="L114" i="318" s="1"/>
  <c r="L115" i="318" s="1"/>
  <c r="D47" i="360"/>
  <c r="G169" i="365"/>
  <c r="C20" i="422"/>
  <c r="M20" i="422" s="1" a="1"/>
  <c r="M20" i="422" s="1"/>
  <c r="H19" i="422" a="1"/>
  <c r="H19" i="422"/>
  <c r="G19" i="422" a="1"/>
  <c r="G19" i="422" s="1"/>
  <c r="M19" i="422" a="1"/>
  <c r="M19" i="422" s="1"/>
  <c r="L19" i="422" a="1"/>
  <c r="L19" i="422" s="1"/>
  <c r="I9" i="396"/>
  <c r="I27" i="402"/>
  <c r="I24" i="398"/>
  <c r="D48" i="398"/>
  <c r="G20" i="422" a="1"/>
  <c r="G20" i="422" s="1"/>
  <c r="R20" i="422" a="1"/>
  <c r="R20" i="422"/>
  <c r="P20" i="422" a="1"/>
  <c r="P20" i="422" s="1"/>
  <c r="N20" i="422" a="1"/>
  <c r="N20" i="422" s="1"/>
  <c r="H122" i="335" l="1"/>
  <c r="D31" i="416"/>
  <c r="F32" i="396"/>
  <c r="F47" i="396" s="1"/>
  <c r="G29" i="394"/>
  <c r="H29" i="394" s="1"/>
  <c r="E29" i="418"/>
  <c r="H85" i="392"/>
  <c r="H255" i="335"/>
  <c r="H26" i="388"/>
  <c r="G108" i="335"/>
  <c r="H108" i="335" s="1"/>
  <c r="D251" i="335"/>
  <c r="I70" i="396"/>
  <c r="H63" i="408"/>
  <c r="G11" i="405"/>
  <c r="H11" i="405" s="1"/>
  <c r="H30" i="360"/>
  <c r="G152" i="335"/>
  <c r="H152" i="335" s="1"/>
  <c r="D307" i="335"/>
  <c r="H19" i="346"/>
  <c r="H175" i="408"/>
  <c r="J22" i="347"/>
  <c r="V22" i="347" s="1"/>
  <c r="F36" i="347"/>
  <c r="I90" i="395"/>
  <c r="G150" i="335"/>
  <c r="H150" i="335" s="1"/>
  <c r="D210" i="387"/>
  <c r="H210" i="387" s="1"/>
  <c r="I40" i="337" s="1"/>
  <c r="D247" i="387"/>
  <c r="H247" i="387" s="1"/>
  <c r="I80" i="337" s="1"/>
  <c r="D250" i="387"/>
  <c r="H250" i="387" s="1"/>
  <c r="I83" i="337" s="1"/>
  <c r="D256" i="387"/>
  <c r="D320" i="387"/>
  <c r="H320" i="387" s="1"/>
  <c r="H145" i="394"/>
  <c r="E76" i="402"/>
  <c r="G32" i="403"/>
  <c r="D131" i="335"/>
  <c r="H131" i="335" s="1"/>
  <c r="H20" i="345"/>
  <c r="G141" i="387"/>
  <c r="H141" i="387" s="1"/>
  <c r="G167" i="387"/>
  <c r="D16" i="417"/>
  <c r="D236" i="335"/>
  <c r="H236" i="335" s="1"/>
  <c r="D265" i="335"/>
  <c r="H265" i="335" s="1"/>
  <c r="D276" i="335"/>
  <c r="H251" i="335"/>
  <c r="I175" i="393"/>
  <c r="I68" i="393"/>
  <c r="E24" i="416"/>
  <c r="E22" i="416" s="1"/>
  <c r="F15" i="402"/>
  <c r="G92" i="335"/>
  <c r="G199" i="335"/>
  <c r="D263" i="335"/>
  <c r="D209" i="387"/>
  <c r="H209" i="387" s="1"/>
  <c r="I39" i="337" s="1"/>
  <c r="H79" i="399"/>
  <c r="D130" i="335"/>
  <c r="H130" i="335" s="1"/>
  <c r="I140" i="404"/>
  <c r="H67" i="393"/>
  <c r="H99" i="392"/>
  <c r="U50" i="347"/>
  <c r="R61" i="347"/>
  <c r="E36" i="404"/>
  <c r="D48" i="335"/>
  <c r="H48" i="335" s="1"/>
  <c r="D54" i="335"/>
  <c r="H54" i="335" s="1"/>
  <c r="G100" i="335"/>
  <c r="D262" i="335"/>
  <c r="D291" i="335"/>
  <c r="D297" i="335"/>
  <c r="H297" i="335" s="1"/>
  <c r="D308" i="335"/>
  <c r="H308" i="335" s="1"/>
  <c r="G198" i="387"/>
  <c r="H198" i="387" s="1"/>
  <c r="J81" i="347"/>
  <c r="H89" i="408"/>
  <c r="F29" i="402"/>
  <c r="F27" i="402" s="1"/>
  <c r="G22" i="402"/>
  <c r="H22" i="402" s="1"/>
  <c r="G29" i="396"/>
  <c r="I55" i="397"/>
  <c r="E24" i="402"/>
  <c r="D127" i="387"/>
  <c r="H127" i="387" s="1"/>
  <c r="I103" i="325" s="1"/>
  <c r="D133" i="387"/>
  <c r="H133" i="387" s="1"/>
  <c r="E24" i="417"/>
  <c r="E47" i="402"/>
  <c r="H99" i="389"/>
  <c r="D22" i="413"/>
  <c r="E76" i="401"/>
  <c r="H158" i="401"/>
  <c r="I86" i="401"/>
  <c r="F51" i="403"/>
  <c r="F50" i="403" s="1"/>
  <c r="E61" i="354"/>
  <c r="D52" i="335"/>
  <c r="D101" i="335"/>
  <c r="H101" i="335" s="1"/>
  <c r="D121" i="335"/>
  <c r="H121" i="335" s="1"/>
  <c r="G124" i="335"/>
  <c r="H124" i="335" s="1"/>
  <c r="G138" i="335"/>
  <c r="G155" i="335"/>
  <c r="H155" i="335" s="1"/>
  <c r="G193" i="335"/>
  <c r="H193" i="335" s="1"/>
  <c r="G202" i="335"/>
  <c r="D214" i="335"/>
  <c r="H214" i="335" s="1"/>
  <c r="D223" i="335"/>
  <c r="H223" i="335" s="1"/>
  <c r="D232" i="335"/>
  <c r="H232" i="335" s="1"/>
  <c r="D240" i="335"/>
  <c r="H240" i="335" s="1"/>
  <c r="D243" i="335"/>
  <c r="H243" i="335" s="1"/>
  <c r="D249" i="335"/>
  <c r="H249" i="335" s="1"/>
  <c r="D257" i="335"/>
  <c r="D260" i="335"/>
  <c r="H260" i="335" s="1"/>
  <c r="D295" i="335"/>
  <c r="H295" i="335" s="1"/>
  <c r="D309" i="335"/>
  <c r="H309" i="335" s="1"/>
  <c r="D315" i="335"/>
  <c r="H315" i="335" s="1"/>
  <c r="D79" i="387"/>
  <c r="H79" i="387" s="1"/>
  <c r="D246" i="387"/>
  <c r="H246" i="387" s="1"/>
  <c r="I79" i="337" s="1"/>
  <c r="D249" i="387"/>
  <c r="H249" i="387" s="1"/>
  <c r="I82" i="337" s="1"/>
  <c r="D316" i="387"/>
  <c r="H316" i="387" s="1"/>
  <c r="H145" i="408"/>
  <c r="I90" i="396"/>
  <c r="H35" i="403"/>
  <c r="I67" i="405"/>
  <c r="F36" i="397"/>
  <c r="G32" i="393"/>
  <c r="H69" i="398"/>
  <c r="H235" i="335"/>
  <c r="D64" i="335"/>
  <c r="H64" i="335" s="1"/>
  <c r="D113" i="335"/>
  <c r="H113" i="335" s="1"/>
  <c r="G187" i="335"/>
  <c r="H187" i="335" s="1"/>
  <c r="G196" i="335"/>
  <c r="L304" i="335" s="1"/>
  <c r="D252" i="335"/>
  <c r="H252" i="335" s="1"/>
  <c r="G140" i="387"/>
  <c r="H140" i="387" s="1"/>
  <c r="I113" i="325" s="1"/>
  <c r="G166" i="387"/>
  <c r="H166" i="387" s="1"/>
  <c r="I124" i="325" s="1"/>
  <c r="D262" i="387"/>
  <c r="D292" i="387"/>
  <c r="D307" i="387"/>
  <c r="D331" i="335"/>
  <c r="H331" i="335" s="1"/>
  <c r="E28" i="413"/>
  <c r="D107" i="335"/>
  <c r="D287" i="335"/>
  <c r="H287" i="335" s="1"/>
  <c r="D253" i="387"/>
  <c r="H253" i="387" s="1"/>
  <c r="I86" i="337" s="1"/>
  <c r="D259" i="387"/>
  <c r="D280" i="387"/>
  <c r="H280" i="387" s="1"/>
  <c r="H96" i="403"/>
  <c r="H125" i="389"/>
  <c r="H90" i="392"/>
  <c r="I88" i="395"/>
  <c r="I94" i="325"/>
  <c r="F164" i="403"/>
  <c r="E68" i="324"/>
  <c r="F32" i="403"/>
  <c r="G11" i="396"/>
  <c r="D44" i="335"/>
  <c r="D56" i="335"/>
  <c r="H56" i="335" s="1"/>
  <c r="D93" i="335"/>
  <c r="H93" i="335" s="1"/>
  <c r="G153" i="335"/>
  <c r="G156" i="335"/>
  <c r="G164" i="335"/>
  <c r="H164" i="335" s="1"/>
  <c r="G170" i="335"/>
  <c r="H170" i="335" s="1"/>
  <c r="G173" i="335"/>
  <c r="H173" i="335" s="1"/>
  <c r="G182" i="335"/>
  <c r="H182" i="335" s="1"/>
  <c r="D212" i="335"/>
  <c r="H212" i="335" s="1"/>
  <c r="D221" i="335"/>
  <c r="H221" i="335" s="1"/>
  <c r="D250" i="335"/>
  <c r="H250" i="335" s="1"/>
  <c r="D261" i="335"/>
  <c r="H261" i="335" s="1"/>
  <c r="D267" i="335"/>
  <c r="H267" i="335" s="1"/>
  <c r="D296" i="335"/>
  <c r="H296" i="335" s="1"/>
  <c r="D310" i="335"/>
  <c r="H310" i="335" s="1"/>
  <c r="D316" i="335"/>
  <c r="H316" i="335" s="1"/>
  <c r="D319" i="335"/>
  <c r="H319" i="335" s="1"/>
  <c r="D29" i="387"/>
  <c r="H29" i="387" s="1"/>
  <c r="D52" i="387"/>
  <c r="H52" i="387" s="1"/>
  <c r="G11" i="399"/>
  <c r="G145" i="404"/>
  <c r="G144" i="404" s="1"/>
  <c r="E76" i="404"/>
  <c r="E147" i="404" s="1"/>
  <c r="E165" i="404" s="1"/>
  <c r="E178" i="404" s="1"/>
  <c r="H118" i="395"/>
  <c r="C74" i="413"/>
  <c r="C138" i="413" s="1"/>
  <c r="H70" i="394"/>
  <c r="D125" i="335"/>
  <c r="H125" i="335" s="1"/>
  <c r="D105" i="387"/>
  <c r="H105" i="387" s="1"/>
  <c r="G120" i="387"/>
  <c r="H120" i="387" s="1"/>
  <c r="G42" i="360"/>
  <c r="G36" i="360" s="1"/>
  <c r="F36" i="360"/>
  <c r="U73" i="347"/>
  <c r="S110" i="347"/>
  <c r="E32" i="407"/>
  <c r="G35" i="407"/>
  <c r="I110" i="347"/>
  <c r="J89" i="347"/>
  <c r="G92" i="399"/>
  <c r="H92" i="399" s="1"/>
  <c r="F78" i="399"/>
  <c r="F77" i="399" s="1"/>
  <c r="F76" i="399" s="1"/>
  <c r="F32" i="389"/>
  <c r="H84" i="388"/>
  <c r="G15" i="395"/>
  <c r="H15" i="395" s="1"/>
  <c r="I68" i="408"/>
  <c r="E82" i="324"/>
  <c r="E76" i="403"/>
  <c r="U24" i="348"/>
  <c r="G38" i="404"/>
  <c r="H38" i="404" s="1"/>
  <c r="H160" i="335"/>
  <c r="G139" i="387"/>
  <c r="H139" i="387" s="1"/>
  <c r="I112" i="325" s="1"/>
  <c r="G162" i="387"/>
  <c r="H162" i="387" s="1"/>
  <c r="I122" i="325" s="1"/>
  <c r="C10" i="416"/>
  <c r="G15" i="389"/>
  <c r="F29" i="401"/>
  <c r="F27" i="401" s="1"/>
  <c r="H119" i="335"/>
  <c r="F32" i="407"/>
  <c r="F47" i="407" s="1"/>
  <c r="H202" i="335"/>
  <c r="I44" i="395"/>
  <c r="H145" i="402"/>
  <c r="D43" i="335"/>
  <c r="H43" i="335" s="1"/>
  <c r="G104" i="335"/>
  <c r="H104" i="335" s="1"/>
  <c r="D228" i="387"/>
  <c r="H228" i="387" s="1"/>
  <c r="I49" i="337" s="1"/>
  <c r="D234" i="387"/>
  <c r="H234" i="387" s="1"/>
  <c r="I63" i="337" s="1"/>
  <c r="D243" i="387"/>
  <c r="H243" i="387" s="1"/>
  <c r="D268" i="387"/>
  <c r="H268" i="387" s="1"/>
  <c r="D277" i="387"/>
  <c r="H277" i="387" s="1"/>
  <c r="D283" i="387"/>
  <c r="H283" i="387" s="1"/>
  <c r="D295" i="387"/>
  <c r="H295" i="387" s="1"/>
  <c r="I123" i="337" s="1"/>
  <c r="D304" i="387"/>
  <c r="H304" i="387" s="1"/>
  <c r="I130" i="337" s="1"/>
  <c r="D310" i="387"/>
  <c r="H310" i="387" s="1"/>
  <c r="I134" i="337" s="1"/>
  <c r="D322" i="387"/>
  <c r="H322" i="387" s="1"/>
  <c r="H16" i="389"/>
  <c r="H88" i="389"/>
  <c r="G11" i="389"/>
  <c r="G9" i="389" s="1"/>
  <c r="U17" i="348"/>
  <c r="U64" i="348"/>
  <c r="D16" i="418"/>
  <c r="E11" i="416"/>
  <c r="H107" i="335"/>
  <c r="D127" i="335"/>
  <c r="H127" i="335" s="1"/>
  <c r="D133" i="335"/>
  <c r="H133" i="335" s="1"/>
  <c r="G158" i="335"/>
  <c r="H158" i="335" s="1"/>
  <c r="G161" i="335"/>
  <c r="H161" i="335" s="1"/>
  <c r="G175" i="335"/>
  <c r="H175" i="335" s="1"/>
  <c r="H307" i="335"/>
  <c r="D240" i="387"/>
  <c r="D265" i="387"/>
  <c r="H265" i="387" s="1"/>
  <c r="I103" i="337" s="1"/>
  <c r="D274" i="387"/>
  <c r="H274" i="387" s="1"/>
  <c r="I108" i="337" s="1"/>
  <c r="D286" i="387"/>
  <c r="H286" i="387" s="1"/>
  <c r="I111" i="337" s="1"/>
  <c r="D301" i="387"/>
  <c r="F24" i="396"/>
  <c r="H140" i="407"/>
  <c r="E33" i="324"/>
  <c r="H140" i="393"/>
  <c r="H33" i="395"/>
  <c r="I58" i="399"/>
  <c r="H12" i="395"/>
  <c r="H30" i="388"/>
  <c r="G15" i="402"/>
  <c r="C138" i="418"/>
  <c r="F51" i="399"/>
  <c r="F50" i="399" s="1"/>
  <c r="F139" i="393"/>
  <c r="G116" i="335"/>
  <c r="H116" i="335" s="1"/>
  <c r="G104" i="387"/>
  <c r="H104" i="387" s="1"/>
  <c r="D134" i="387"/>
  <c r="H134" i="387" s="1"/>
  <c r="F11" i="393"/>
  <c r="F9" i="393" s="1"/>
  <c r="H153" i="335"/>
  <c r="H256" i="387"/>
  <c r="I91" i="337" s="1"/>
  <c r="H259" i="387"/>
  <c r="I92" i="337" s="1"/>
  <c r="S61" i="341"/>
  <c r="I72" i="388"/>
  <c r="F24" i="407"/>
  <c r="G21" i="396"/>
  <c r="G19" i="396" s="1"/>
  <c r="H19" i="396" s="1"/>
  <c r="F139" i="407"/>
  <c r="F76" i="407" s="1"/>
  <c r="G92" i="387"/>
  <c r="H110" i="347"/>
  <c r="H111" i="347" s="1"/>
  <c r="H90" i="401"/>
  <c r="I89" i="392"/>
  <c r="H61" i="392"/>
  <c r="E47" i="398"/>
  <c r="F98" i="348"/>
  <c r="F100" i="348" s="1"/>
  <c r="K111" i="347"/>
  <c r="H92" i="335"/>
  <c r="D128" i="335"/>
  <c r="H128" i="335" s="1"/>
  <c r="G142" i="335"/>
  <c r="H142" i="335" s="1"/>
  <c r="G15" i="401"/>
  <c r="H15" i="401" s="1"/>
  <c r="G69" i="394"/>
  <c r="I125" i="408"/>
  <c r="G29" i="404"/>
  <c r="H29" i="404" s="1"/>
  <c r="I70" i="405"/>
  <c r="U50" i="348"/>
  <c r="U29" i="348"/>
  <c r="G165" i="335"/>
  <c r="H165" i="335" s="1"/>
  <c r="D239" i="335"/>
  <c r="H239" i="335" s="1"/>
  <c r="D256" i="335"/>
  <c r="H256" i="335" s="1"/>
  <c r="D259" i="335"/>
  <c r="H259" i="335" s="1"/>
  <c r="D273" i="335"/>
  <c r="H273" i="335" s="1"/>
  <c r="G198" i="335"/>
  <c r="H198" i="335" s="1"/>
  <c r="G201" i="335"/>
  <c r="H201" i="335" s="1"/>
  <c r="D317" i="335"/>
  <c r="H317" i="335" s="1"/>
  <c r="D10" i="387"/>
  <c r="H10" i="387" s="1"/>
  <c r="I15" i="325" s="1"/>
  <c r="D18" i="387"/>
  <c r="H18" i="387" s="1"/>
  <c r="I25" i="325" s="1"/>
  <c r="D30" i="387"/>
  <c r="H30" i="387" s="1"/>
  <c r="E84" i="413"/>
  <c r="G94" i="335"/>
  <c r="D132" i="335"/>
  <c r="G143" i="335"/>
  <c r="H143" i="335" s="1"/>
  <c r="G154" i="335"/>
  <c r="H154" i="335" s="1"/>
  <c r="G174" i="335"/>
  <c r="H174" i="335" s="1"/>
  <c r="G177" i="335"/>
  <c r="H177" i="335" s="1"/>
  <c r="G183" i="335"/>
  <c r="H183" i="335" s="1"/>
  <c r="G192" i="335"/>
  <c r="G195" i="335"/>
  <c r="H195" i="335" s="1"/>
  <c r="G205" i="335"/>
  <c r="H205" i="335" s="1"/>
  <c r="D234" i="335"/>
  <c r="H234" i="335" s="1"/>
  <c r="D242" i="335"/>
  <c r="H242" i="335" s="1"/>
  <c r="D245" i="335"/>
  <c r="H245" i="335" s="1"/>
  <c r="D254" i="335"/>
  <c r="H254" i="335" s="1"/>
  <c r="D280" i="335"/>
  <c r="H280" i="335" s="1"/>
  <c r="D300" i="335"/>
  <c r="H300" i="335" s="1"/>
  <c r="D320" i="335"/>
  <c r="D16" i="387"/>
  <c r="H16" i="387" s="1"/>
  <c r="I23" i="325" s="1"/>
  <c r="D33" i="387"/>
  <c r="H33" i="387" s="1"/>
  <c r="D50" i="387"/>
  <c r="H50" i="387" s="1"/>
  <c r="D53" i="387"/>
  <c r="H53" i="387" s="1"/>
  <c r="D56" i="387"/>
  <c r="H56" i="387" s="1"/>
  <c r="D227" i="387"/>
  <c r="H227" i="387" s="1"/>
  <c r="I47" i="337" s="1"/>
  <c r="D230" i="387"/>
  <c r="H230" i="387" s="1"/>
  <c r="I58" i="337" s="1"/>
  <c r="D236" i="387"/>
  <c r="H236" i="387" s="1"/>
  <c r="I65" i="337" s="1"/>
  <c r="D248" i="387"/>
  <c r="H248" i="387" s="1"/>
  <c r="D270" i="387"/>
  <c r="H270" i="387" s="1"/>
  <c r="D312" i="387"/>
  <c r="H312" i="387" s="1"/>
  <c r="I138" i="337" s="1"/>
  <c r="G32" i="401"/>
  <c r="H32" i="401" s="1"/>
  <c r="H34" i="401"/>
  <c r="I62" i="408"/>
  <c r="H62" i="408"/>
  <c r="I69" i="401"/>
  <c r="H69" i="401"/>
  <c r="G107" i="346"/>
  <c r="G11" i="393"/>
  <c r="H12" i="393"/>
  <c r="I145" i="392"/>
  <c r="I157" i="399"/>
  <c r="F24" i="392"/>
  <c r="H156" i="407"/>
  <c r="G139" i="393"/>
  <c r="E28" i="418"/>
  <c r="E147" i="360"/>
  <c r="E165" i="360" s="1"/>
  <c r="I70" i="408"/>
  <c r="I109" i="360"/>
  <c r="I111" i="389"/>
  <c r="F164" i="397"/>
  <c r="F164" i="399"/>
  <c r="C138" i="416"/>
  <c r="F36" i="389"/>
  <c r="F47" i="389" s="1"/>
  <c r="H30" i="404"/>
  <c r="E75" i="254"/>
  <c r="E35" i="413"/>
  <c r="I53" i="405"/>
  <c r="H53" i="405"/>
  <c r="F15" i="398"/>
  <c r="F24" i="398" s="1"/>
  <c r="G17" i="398"/>
  <c r="H17" i="398" s="1"/>
  <c r="C13" i="324"/>
  <c r="E13" i="324" s="1"/>
  <c r="H71" i="395"/>
  <c r="F11" i="388"/>
  <c r="F9" i="388" s="1"/>
  <c r="G53" i="399"/>
  <c r="H53" i="399" s="1"/>
  <c r="G139" i="404"/>
  <c r="E47" i="405"/>
  <c r="H62" i="398"/>
  <c r="E98" i="348"/>
  <c r="E100" i="348" s="1"/>
  <c r="U40" i="348"/>
  <c r="I44" i="407"/>
  <c r="F36" i="408"/>
  <c r="F47" i="408" s="1"/>
  <c r="F48" i="408" s="1"/>
  <c r="C20" i="254"/>
  <c r="I69" i="404"/>
  <c r="F51" i="408"/>
  <c r="F50" i="408" s="1"/>
  <c r="E51" i="394"/>
  <c r="E50" i="394" s="1"/>
  <c r="C35" i="412"/>
  <c r="H145" i="392"/>
  <c r="I158" i="407"/>
  <c r="H158" i="407"/>
  <c r="H118" i="392"/>
  <c r="I118" i="392"/>
  <c r="I58" i="396"/>
  <c r="D35" i="416"/>
  <c r="F51" i="395"/>
  <c r="F50" i="395" s="1"/>
  <c r="G145" i="405"/>
  <c r="H156" i="388"/>
  <c r="I156" i="388"/>
  <c r="G71" i="346"/>
  <c r="G75" i="346" s="1"/>
  <c r="E75" i="346"/>
  <c r="G31" i="399"/>
  <c r="H31" i="399" s="1"/>
  <c r="F29" i="399"/>
  <c r="F27" i="399" s="1"/>
  <c r="F47" i="399" s="1"/>
  <c r="I61" i="389"/>
  <c r="H175" i="397"/>
  <c r="H145" i="360"/>
  <c r="H84" i="389"/>
  <c r="H125" i="407"/>
  <c r="H61" i="403"/>
  <c r="H17" i="360"/>
  <c r="F15" i="360"/>
  <c r="F24" i="360" s="1"/>
  <c r="G32" i="398"/>
  <c r="H32" i="398" s="1"/>
  <c r="H69" i="399"/>
  <c r="I69" i="399"/>
  <c r="V47" i="347"/>
  <c r="E76" i="388"/>
  <c r="E147" i="388" s="1"/>
  <c r="E165" i="388" s="1"/>
  <c r="E178" i="388" s="1"/>
  <c r="G81" i="392"/>
  <c r="H81" i="392" s="1"/>
  <c r="F78" i="392"/>
  <c r="F77" i="392" s="1"/>
  <c r="F76" i="392" s="1"/>
  <c r="F147" i="392" s="1"/>
  <c r="F165" i="392" s="1"/>
  <c r="F178" i="392" s="1"/>
  <c r="I70" i="398"/>
  <c r="H70" i="398"/>
  <c r="E76" i="405"/>
  <c r="G53" i="388"/>
  <c r="F51" i="388"/>
  <c r="F50" i="388" s="1"/>
  <c r="F164" i="398"/>
  <c r="E68" i="354"/>
  <c r="E75" i="324"/>
  <c r="U9" i="348"/>
  <c r="I162" i="395"/>
  <c r="H145" i="396"/>
  <c r="G144" i="399"/>
  <c r="H144" i="399" s="1"/>
  <c r="H33" i="389"/>
  <c r="I72" i="404"/>
  <c r="H55" i="407"/>
  <c r="I88" i="388"/>
  <c r="G175" i="401"/>
  <c r="G177" i="401" s="1"/>
  <c r="H177" i="401" s="1"/>
  <c r="F139" i="397"/>
  <c r="E147" i="401"/>
  <c r="F29" i="397"/>
  <c r="F27" i="397" s="1"/>
  <c r="F47" i="397" s="1"/>
  <c r="E17" i="418"/>
  <c r="E16" i="418" s="1"/>
  <c r="F51" i="398"/>
  <c r="F50" i="398" s="1"/>
  <c r="I62" i="402"/>
  <c r="H70" i="407"/>
  <c r="H44" i="388"/>
  <c r="G55" i="360"/>
  <c r="F51" i="360"/>
  <c r="F50" i="360" s="1"/>
  <c r="G33" i="399"/>
  <c r="H33" i="399" s="1"/>
  <c r="E91" i="346"/>
  <c r="H91" i="346" s="1"/>
  <c r="H197" i="387"/>
  <c r="G96" i="335"/>
  <c r="H96" i="335" s="1"/>
  <c r="D99" i="335"/>
  <c r="H99" i="335" s="1"/>
  <c r="G110" i="335"/>
  <c r="H110" i="335" s="1"/>
  <c r="G194" i="335"/>
  <c r="H194" i="335" s="1"/>
  <c r="D209" i="335"/>
  <c r="H209" i="335" s="1"/>
  <c r="D258" i="335"/>
  <c r="H258" i="335" s="1"/>
  <c r="D278" i="335"/>
  <c r="H278" i="335" s="1"/>
  <c r="D60" i="387"/>
  <c r="H60" i="387" s="1"/>
  <c r="I12" i="389"/>
  <c r="H118" i="403"/>
  <c r="E35" i="416"/>
  <c r="H246" i="335"/>
  <c r="H193" i="387"/>
  <c r="H34" i="387"/>
  <c r="G143" i="387"/>
  <c r="H143" i="387" s="1"/>
  <c r="H92" i="387"/>
  <c r="H240" i="387"/>
  <c r="H262" i="387"/>
  <c r="H292" i="387"/>
  <c r="I113" i="337" s="1"/>
  <c r="H301" i="387"/>
  <c r="I97" i="337" s="1"/>
  <c r="H307" i="387"/>
  <c r="I132" i="337" s="1"/>
  <c r="H261" i="387"/>
  <c r="H83" i="387"/>
  <c r="I71" i="325" s="1"/>
  <c r="D59" i="335"/>
  <c r="H59" i="335" s="1"/>
  <c r="G88" i="335"/>
  <c r="H88" i="335" s="1"/>
  <c r="G114" i="335"/>
  <c r="H114" i="335" s="1"/>
  <c r="G168" i="335"/>
  <c r="G185" i="335"/>
  <c r="H185" i="335" s="1"/>
  <c r="G189" i="335"/>
  <c r="H189" i="335" s="1"/>
  <c r="D230" i="335"/>
  <c r="H230" i="335" s="1"/>
  <c r="D279" i="335"/>
  <c r="H279" i="335" s="1"/>
  <c r="G154" i="387"/>
  <c r="H154" i="387" s="1"/>
  <c r="I120" i="325" s="1"/>
  <c r="G172" i="387"/>
  <c r="H172" i="387" s="1"/>
  <c r="I129" i="325" s="1"/>
  <c r="G178" i="387"/>
  <c r="H178" i="387" s="1"/>
  <c r="I144" i="325" s="1"/>
  <c r="G181" i="387"/>
  <c r="H181" i="387" s="1"/>
  <c r="I13" i="337" s="1"/>
  <c r="G184" i="387"/>
  <c r="H184" i="387" s="1"/>
  <c r="I16" i="337" s="1"/>
  <c r="G194" i="387"/>
  <c r="H194" i="387" s="1"/>
  <c r="I24" i="337" s="1"/>
  <c r="G203" i="387"/>
  <c r="H203" i="387" s="1"/>
  <c r="I26" i="337" s="1"/>
  <c r="H284" i="335"/>
  <c r="H17" i="387"/>
  <c r="I24" i="325" s="1"/>
  <c r="D111" i="335"/>
  <c r="H111" i="335" s="1"/>
  <c r="D117" i="335"/>
  <c r="H117" i="335" s="1"/>
  <c r="G120" i="335"/>
  <c r="H120" i="335" s="1"/>
  <c r="G137" i="335"/>
  <c r="H137" i="335" s="1"/>
  <c r="G140" i="335"/>
  <c r="H140" i="335" s="1"/>
  <c r="G151" i="335"/>
  <c r="H151" i="335" s="1"/>
  <c r="G159" i="335"/>
  <c r="H159" i="335" s="1"/>
  <c r="G162" i="335"/>
  <c r="H162" i="335" s="1"/>
  <c r="G171" i="335"/>
  <c r="H171" i="335" s="1"/>
  <c r="D210" i="335"/>
  <c r="H210" i="335" s="1"/>
  <c r="D219" i="335"/>
  <c r="H219" i="335" s="1"/>
  <c r="D222" i="335"/>
  <c r="H222" i="335" s="1"/>
  <c r="D248" i="335"/>
  <c r="H248" i="335" s="1"/>
  <c r="H262" i="335"/>
  <c r="H291" i="335"/>
  <c r="D311" i="335"/>
  <c r="D314" i="335"/>
  <c r="H314" i="335" s="1"/>
  <c r="D126" i="387"/>
  <c r="H126" i="387" s="1"/>
  <c r="I101" i="325" s="1"/>
  <c r="D129" i="387"/>
  <c r="H129" i="387" s="1"/>
  <c r="I16" i="325" s="1"/>
  <c r="D135" i="387"/>
  <c r="H135" i="387" s="1"/>
  <c r="D207" i="387"/>
  <c r="H207" i="387" s="1"/>
  <c r="I36" i="337" s="1"/>
  <c r="P61" i="341"/>
  <c r="E51" i="408"/>
  <c r="E50" i="408" s="1"/>
  <c r="H304" i="335"/>
  <c r="H110" i="387"/>
  <c r="H92" i="325" s="1"/>
  <c r="I92" i="325" s="1"/>
  <c r="G84" i="387"/>
  <c r="H84" i="387" s="1"/>
  <c r="D87" i="387"/>
  <c r="H87" i="387" s="1"/>
  <c r="H67" i="325" s="1"/>
  <c r="F139" i="403"/>
  <c r="C74" i="412"/>
  <c r="C138" i="412" s="1"/>
  <c r="H282" i="335"/>
  <c r="H94" i="335"/>
  <c r="H132" i="335"/>
  <c r="H320" i="335"/>
  <c r="H302" i="335"/>
  <c r="H174" i="387"/>
  <c r="I137" i="325" s="1"/>
  <c r="H58" i="387"/>
  <c r="H298" i="387"/>
  <c r="I96" i="337" s="1"/>
  <c r="H69" i="393"/>
  <c r="H42" i="360"/>
  <c r="I156" i="395"/>
  <c r="E26" i="339"/>
  <c r="E51" i="396"/>
  <c r="E50" i="396" s="1"/>
  <c r="H200" i="387"/>
  <c r="I151" i="337" s="1"/>
  <c r="I152" i="337" s="1"/>
  <c r="H207" i="335"/>
  <c r="H57" i="387"/>
  <c r="I51" i="325" s="1"/>
  <c r="D26" i="418"/>
  <c r="F51" i="407"/>
  <c r="F50" i="407" s="1"/>
  <c r="H321" i="335"/>
  <c r="H276" i="335"/>
  <c r="H227" i="335"/>
  <c r="D81" i="335"/>
  <c r="H81" i="335" s="1"/>
  <c r="H199" i="335"/>
  <c r="L309" i="335" s="1"/>
  <c r="H263" i="335"/>
  <c r="H222" i="387"/>
  <c r="I55" i="337" s="1"/>
  <c r="E36" i="389"/>
  <c r="D136" i="335"/>
  <c r="H136" i="335" s="1"/>
  <c r="G184" i="335"/>
  <c r="H184" i="335" s="1"/>
  <c r="G122" i="387"/>
  <c r="H122" i="387" s="1"/>
  <c r="H77" i="325" s="1"/>
  <c r="G18" i="404"/>
  <c r="H18" i="404" s="1"/>
  <c r="G91" i="399"/>
  <c r="H91" i="399" s="1"/>
  <c r="H293" i="335"/>
  <c r="H44" i="387"/>
  <c r="I42" i="325" s="1"/>
  <c r="I85" i="388"/>
  <c r="H85" i="388"/>
  <c r="I157" i="388"/>
  <c r="H157" i="388"/>
  <c r="I44" i="408"/>
  <c r="G35" i="360"/>
  <c r="H35" i="360" s="1"/>
  <c r="F32" i="360"/>
  <c r="F47" i="360" s="1"/>
  <c r="F48" i="360" s="1"/>
  <c r="G24" i="346"/>
  <c r="G27" i="346" s="1"/>
  <c r="G36" i="346" s="1"/>
  <c r="E27" i="346"/>
  <c r="H27" i="346" s="1"/>
  <c r="H145" i="393"/>
  <c r="I90" i="394"/>
  <c r="D12" i="418"/>
  <c r="I124" i="388"/>
  <c r="H124" i="388"/>
  <c r="F177" i="402"/>
  <c r="G175" i="402"/>
  <c r="G177" i="402" s="1"/>
  <c r="H177" i="402" s="1"/>
  <c r="H13" i="396"/>
  <c r="G15" i="405"/>
  <c r="H15" i="405" s="1"/>
  <c r="H158" i="399"/>
  <c r="H61" i="388"/>
  <c r="H68" i="407"/>
  <c r="G43" i="346"/>
  <c r="G44" i="346" s="1"/>
  <c r="F78" i="404"/>
  <c r="F77" i="404" s="1"/>
  <c r="F76" i="404" s="1"/>
  <c r="F164" i="388"/>
  <c r="E40" i="324"/>
  <c r="H145" i="397"/>
  <c r="G144" i="397"/>
  <c r="H144" i="397" s="1"/>
  <c r="D28" i="416"/>
  <c r="D26" i="416" s="1"/>
  <c r="I62" i="405"/>
  <c r="H62" i="405"/>
  <c r="I89" i="389"/>
  <c r="H89" i="389"/>
  <c r="H67" i="401"/>
  <c r="I67" i="401"/>
  <c r="I95" i="399"/>
  <c r="H95" i="399"/>
  <c r="H55" i="394"/>
  <c r="I55" i="394"/>
  <c r="V95" i="347"/>
  <c r="G69" i="397"/>
  <c r="H69" i="397" s="1"/>
  <c r="F51" i="397"/>
  <c r="F50" i="397" s="1"/>
  <c r="H12" i="397"/>
  <c r="G11" i="397"/>
  <c r="H11" i="397" s="1"/>
  <c r="G177" i="404"/>
  <c r="H177" i="404" s="1"/>
  <c r="H175" i="404"/>
  <c r="I90" i="408"/>
  <c r="H90" i="408"/>
  <c r="H120" i="388"/>
  <c r="I120" i="388"/>
  <c r="V49" i="347"/>
  <c r="D22" i="418"/>
  <c r="D20" i="418" s="1"/>
  <c r="E24" i="418"/>
  <c r="G14" i="402"/>
  <c r="H14" i="402" s="1"/>
  <c r="F11" i="402"/>
  <c r="F9" i="402" s="1"/>
  <c r="I69" i="402"/>
  <c r="H72" i="395"/>
  <c r="H158" i="388"/>
  <c r="H145" i="398"/>
  <c r="G29" i="388"/>
  <c r="I29" i="388" s="1"/>
  <c r="F36" i="388"/>
  <c r="F47" i="388" s="1"/>
  <c r="H175" i="396"/>
  <c r="G177" i="396"/>
  <c r="F139" i="401"/>
  <c r="I100" i="388"/>
  <c r="H100" i="388"/>
  <c r="I112" i="407"/>
  <c r="H112" i="407"/>
  <c r="U90" i="348"/>
  <c r="F78" i="389"/>
  <c r="F77" i="389" s="1"/>
  <c r="F76" i="389" s="1"/>
  <c r="F147" i="389" s="1"/>
  <c r="H118" i="399"/>
  <c r="I118" i="399"/>
  <c r="H89" i="394"/>
  <c r="I89" i="394"/>
  <c r="G23" i="405"/>
  <c r="F21" i="405"/>
  <c r="F19" i="405" s="1"/>
  <c r="F24" i="405" s="1"/>
  <c r="F48" i="405" s="1"/>
  <c r="H52" i="389"/>
  <c r="D74" i="418"/>
  <c r="E75" i="418"/>
  <c r="E74" i="418" s="1"/>
  <c r="I52" i="396"/>
  <c r="H52" i="396"/>
  <c r="H140" i="395"/>
  <c r="G139" i="395"/>
  <c r="H139" i="395" s="1"/>
  <c r="G139" i="389"/>
  <c r="I140" i="389"/>
  <c r="H89" i="407"/>
  <c r="I89" i="407"/>
  <c r="G32" i="397"/>
  <c r="F36" i="405"/>
  <c r="F47" i="405" s="1"/>
  <c r="G9" i="392"/>
  <c r="I9" i="392" s="1"/>
  <c r="I11" i="392"/>
  <c r="I118" i="407"/>
  <c r="H118" i="407"/>
  <c r="H86" i="408"/>
  <c r="I86" i="399"/>
  <c r="H162" i="388"/>
  <c r="D12" i="413"/>
  <c r="D10" i="413" s="1"/>
  <c r="G21" i="394"/>
  <c r="H22" i="394"/>
  <c r="I70" i="395"/>
  <c r="H70" i="395"/>
  <c r="G32" i="402"/>
  <c r="H32" i="402" s="1"/>
  <c r="H33" i="402"/>
  <c r="G35" i="388"/>
  <c r="H35" i="388" s="1"/>
  <c r="H141" i="404"/>
  <c r="I156" i="405"/>
  <c r="I65" i="388"/>
  <c r="D47" i="413"/>
  <c r="G177" i="392"/>
  <c r="H175" i="392"/>
  <c r="H67" i="394"/>
  <c r="I67" i="394"/>
  <c r="G12" i="404"/>
  <c r="G11" i="404" s="1"/>
  <c r="F11" i="404"/>
  <c r="F9" i="404" s="1"/>
  <c r="F24" i="404" s="1"/>
  <c r="U70" i="348"/>
  <c r="D31" i="418"/>
  <c r="E32" i="418"/>
  <c r="E31" i="418" s="1"/>
  <c r="D31" i="413"/>
  <c r="E32" i="413"/>
  <c r="G56" i="404"/>
  <c r="H56" i="404" s="1"/>
  <c r="F51" i="404"/>
  <c r="F50" i="404" s="1"/>
  <c r="H35" i="404"/>
  <c r="G177" i="393"/>
  <c r="H177" i="393" s="1"/>
  <c r="I53" i="389"/>
  <c r="H158" i="389"/>
  <c r="D13" i="254"/>
  <c r="D20" i="254" s="1"/>
  <c r="D27" i="254" s="1"/>
  <c r="E12" i="254"/>
  <c r="H17" i="394"/>
  <c r="I17" i="394"/>
  <c r="H156" i="398"/>
  <c r="I156" i="398"/>
  <c r="H62" i="407"/>
  <c r="I62" i="407"/>
  <c r="I89" i="401"/>
  <c r="H89" i="401"/>
  <c r="D35" i="418"/>
  <c r="G17" i="388"/>
  <c r="H17" i="388" s="1"/>
  <c r="F15" i="388"/>
  <c r="H175" i="360"/>
  <c r="I63" i="388"/>
  <c r="H72" i="397"/>
  <c r="E89" i="254"/>
  <c r="G32" i="408"/>
  <c r="H32" i="408" s="1"/>
  <c r="H34" i="408"/>
  <c r="I62" i="395"/>
  <c r="H62" i="395"/>
  <c r="D28" i="413"/>
  <c r="D26" i="413" s="1"/>
  <c r="I63" i="407"/>
  <c r="H63" i="407"/>
  <c r="H160" i="388"/>
  <c r="I160" i="388"/>
  <c r="G139" i="392"/>
  <c r="H139" i="392" s="1"/>
  <c r="H141" i="392"/>
  <c r="H67" i="402"/>
  <c r="I67" i="402"/>
  <c r="G21" i="393"/>
  <c r="H21" i="393" s="1"/>
  <c r="H23" i="393"/>
  <c r="H88" i="407"/>
  <c r="I88" i="407"/>
  <c r="V45" i="347"/>
  <c r="E17" i="413"/>
  <c r="E16" i="413" s="1"/>
  <c r="D16" i="413"/>
  <c r="I55" i="388"/>
  <c r="H55" i="388"/>
  <c r="H34" i="388"/>
  <c r="G21" i="388"/>
  <c r="H63" i="395"/>
  <c r="I93" i="388"/>
  <c r="I156" i="402"/>
  <c r="H156" i="402"/>
  <c r="U13" i="348"/>
  <c r="T111" i="347"/>
  <c r="T113" i="347" s="1"/>
  <c r="G33" i="394"/>
  <c r="F32" i="394"/>
  <c r="D47" i="418"/>
  <c r="E57" i="418"/>
  <c r="F164" i="396"/>
  <c r="G162" i="396"/>
  <c r="H79" i="388"/>
  <c r="I79" i="388"/>
  <c r="E29" i="412"/>
  <c r="E28" i="412" s="1"/>
  <c r="E26" i="412" s="1"/>
  <c r="D28" i="412"/>
  <c r="D26" i="412" s="1"/>
  <c r="F78" i="398"/>
  <c r="F77" i="398" s="1"/>
  <c r="F76" i="398" s="1"/>
  <c r="I17" i="402"/>
  <c r="G21" i="395"/>
  <c r="H21" i="395" s="1"/>
  <c r="I55" i="393"/>
  <c r="H26" i="404"/>
  <c r="I81" i="392"/>
  <c r="F164" i="401"/>
  <c r="F29" i="394"/>
  <c r="F27" i="394" s="1"/>
  <c r="G177" i="405"/>
  <c r="H177" i="405" s="1"/>
  <c r="H175" i="405"/>
  <c r="F164" i="404"/>
  <c r="H144" i="404"/>
  <c r="G15" i="398"/>
  <c r="H15" i="398" s="1"/>
  <c r="I62" i="393"/>
  <c r="I118" i="396"/>
  <c r="F78" i="405"/>
  <c r="F77" i="405" s="1"/>
  <c r="F76" i="405" s="1"/>
  <c r="F78" i="393"/>
  <c r="F77" i="393" s="1"/>
  <c r="G32" i="405"/>
  <c r="H32" i="405" s="1"/>
  <c r="V39" i="347"/>
  <c r="H140" i="389"/>
  <c r="I69" i="389"/>
  <c r="I162" i="360"/>
  <c r="G21" i="408"/>
  <c r="E26" i="254"/>
  <c r="H65" i="402"/>
  <c r="D20" i="413"/>
  <c r="F36" i="402"/>
  <c r="F47" i="402" s="1"/>
  <c r="U37" i="348"/>
  <c r="V103" i="347"/>
  <c r="G37" i="404"/>
  <c r="H37" i="404" s="1"/>
  <c r="F36" i="404"/>
  <c r="F177" i="389"/>
  <c r="G175" i="389"/>
  <c r="G78" i="360"/>
  <c r="G77" i="360" s="1"/>
  <c r="G76" i="360" s="1"/>
  <c r="G13" i="403"/>
  <c r="F11" i="403"/>
  <c r="F9" i="403" s="1"/>
  <c r="D20" i="417"/>
  <c r="I93" i="389"/>
  <c r="F164" i="389"/>
  <c r="F78" i="395"/>
  <c r="F77" i="395" s="1"/>
  <c r="F47" i="392"/>
  <c r="F24" i="399"/>
  <c r="H70" i="399"/>
  <c r="I70" i="399"/>
  <c r="E24" i="405"/>
  <c r="G139" i="402"/>
  <c r="I139" i="402" s="1"/>
  <c r="E24" i="396"/>
  <c r="U96" i="348"/>
  <c r="R111" i="347"/>
  <c r="R113" i="347" s="1"/>
  <c r="F144" i="388"/>
  <c r="G145" i="388"/>
  <c r="H145" i="388" s="1"/>
  <c r="I71" i="403"/>
  <c r="I88" i="396"/>
  <c r="I68" i="360"/>
  <c r="F78" i="360"/>
  <c r="F77" i="360" s="1"/>
  <c r="F76" i="360" s="1"/>
  <c r="G11" i="395"/>
  <c r="F19" i="389"/>
  <c r="F24" i="389" s="1"/>
  <c r="F51" i="402"/>
  <c r="F50" i="402" s="1"/>
  <c r="E134" i="416"/>
  <c r="E62" i="412"/>
  <c r="F78" i="408"/>
  <c r="F77" i="408" s="1"/>
  <c r="G55" i="405"/>
  <c r="H55" i="405" s="1"/>
  <c r="F51" i="405"/>
  <c r="F50" i="405" s="1"/>
  <c r="G156" i="393"/>
  <c r="H156" i="393" s="1"/>
  <c r="F164" i="393"/>
  <c r="H228" i="335"/>
  <c r="H284" i="387"/>
  <c r="G157" i="335"/>
  <c r="H157" i="335" s="1"/>
  <c r="G102" i="387"/>
  <c r="H102" i="387" s="1"/>
  <c r="G39" i="405"/>
  <c r="H39" i="405" s="1"/>
  <c r="H188" i="387"/>
  <c r="I19" i="337" s="1"/>
  <c r="E29" i="389"/>
  <c r="E27" i="389" s="1"/>
  <c r="H283" i="335"/>
  <c r="H266" i="335"/>
  <c r="H192" i="387"/>
  <c r="H225" i="335"/>
  <c r="H118" i="335"/>
  <c r="D126" i="335"/>
  <c r="H126" i="335" s="1"/>
  <c r="G118" i="387"/>
  <c r="G71" i="408"/>
  <c r="H152" i="387"/>
  <c r="I119" i="325" s="1"/>
  <c r="H112" i="335"/>
  <c r="H241" i="387"/>
  <c r="I75" i="337" s="1"/>
  <c r="H186" i="335"/>
  <c r="H317" i="387"/>
  <c r="I140" i="337" s="1"/>
  <c r="H278" i="387"/>
  <c r="I109" i="337" s="1"/>
  <c r="H52" i="335"/>
  <c r="I62" i="389"/>
  <c r="I125" i="360"/>
  <c r="H58" i="395"/>
  <c r="E33" i="254"/>
  <c r="E82" i="354"/>
  <c r="E91" i="417"/>
  <c r="E137" i="413"/>
  <c r="H296" i="387"/>
  <c r="I124" i="337" s="1"/>
  <c r="J123" i="337" s="1"/>
  <c r="G78" i="335"/>
  <c r="G84" i="335"/>
  <c r="H84" i="335" s="1"/>
  <c r="G44" i="389"/>
  <c r="H44" i="389" s="1"/>
  <c r="F139" i="394"/>
  <c r="H312" i="335"/>
  <c r="H176" i="387"/>
  <c r="I131" i="325" s="1"/>
  <c r="H180" i="335"/>
  <c r="H314" i="387"/>
  <c r="I139" i="337" s="1"/>
  <c r="D321" i="387"/>
  <c r="H321" i="387" s="1"/>
  <c r="G52" i="394"/>
  <c r="H277" i="335"/>
  <c r="H76" i="387"/>
  <c r="H44" i="335"/>
  <c r="D73" i="335"/>
  <c r="H73" i="335" s="1"/>
  <c r="H138" i="335"/>
  <c r="H269" i="387"/>
  <c r="D285" i="335"/>
  <c r="G53" i="398"/>
  <c r="H53" i="398" s="1"/>
  <c r="H274" i="335"/>
  <c r="H257" i="335"/>
  <c r="H201" i="387"/>
  <c r="C28" i="413"/>
  <c r="C26" i="413" s="1"/>
  <c r="C45" i="413" s="1"/>
  <c r="H156" i="335"/>
  <c r="H195" i="387"/>
  <c r="I25" i="337" s="1"/>
  <c r="H226" i="387"/>
  <c r="I46" i="337" s="1"/>
  <c r="H48" i="387"/>
  <c r="I48" i="325" s="1"/>
  <c r="L127" i="318"/>
  <c r="L128" i="318" s="1"/>
  <c r="L129" i="318" s="1"/>
  <c r="L130" i="318" s="1"/>
  <c r="L131" i="318" s="1"/>
  <c r="L132" i="318" s="1"/>
  <c r="L133" i="318" s="1"/>
  <c r="L134" i="318" s="1"/>
  <c r="L135" i="318" s="1"/>
  <c r="L136" i="318" s="1"/>
  <c r="L137" i="318" s="1"/>
  <c r="L138" i="318" s="1"/>
  <c r="L139" i="318" s="1"/>
  <c r="L140" i="318" s="1"/>
  <c r="L116" i="318"/>
  <c r="L117" i="318" s="1"/>
  <c r="L118" i="318" s="1"/>
  <c r="L119" i="318" s="1"/>
  <c r="I112" i="389"/>
  <c r="H112" i="389"/>
  <c r="E167" i="386"/>
  <c r="E169" i="386"/>
  <c r="I143" i="389"/>
  <c r="H143" i="389"/>
  <c r="D139" i="389"/>
  <c r="D78" i="389"/>
  <c r="D77" i="389" s="1"/>
  <c r="D76" i="389" s="1"/>
  <c r="D147" i="389" s="1"/>
  <c r="D165" i="389" s="1"/>
  <c r="D178" i="389" s="1"/>
  <c r="E169" i="365"/>
  <c r="E167" i="365"/>
  <c r="E168" i="365" s="1"/>
  <c r="I11" i="407"/>
  <c r="D9" i="407"/>
  <c r="I177" i="404"/>
  <c r="D24" i="392"/>
  <c r="I15" i="392"/>
  <c r="H29" i="392"/>
  <c r="I29" i="392"/>
  <c r="D27" i="392"/>
  <c r="D47" i="392" s="1"/>
  <c r="O16" i="420" a="1"/>
  <c r="O16" i="420" s="1"/>
  <c r="E16" i="420" a="1"/>
  <c r="E16" i="420" s="1"/>
  <c r="L16" i="420" a="1"/>
  <c r="L16" i="420" s="1"/>
  <c r="J16" i="420" a="1"/>
  <c r="J16" i="420" s="1"/>
  <c r="G16" i="420" a="1"/>
  <c r="G16" i="420" s="1"/>
  <c r="D16" i="420" a="1"/>
  <c r="D16" i="420" s="1"/>
  <c r="A16" i="420" a="1"/>
  <c r="A16" i="420" s="1"/>
  <c r="P16" i="420" a="1"/>
  <c r="P16" i="420" s="1"/>
  <c r="R16" i="420" a="1"/>
  <c r="R16" i="420" s="1"/>
  <c r="I16" i="420" a="1"/>
  <c r="I16" i="420" s="1"/>
  <c r="Q16" i="420" a="1"/>
  <c r="Q16" i="420" s="1"/>
  <c r="H16" i="420" a="1"/>
  <c r="H16" i="420" s="1"/>
  <c r="F16" i="420" a="1"/>
  <c r="F16" i="420" s="1"/>
  <c r="K16" i="420" a="1"/>
  <c r="K16" i="420" s="1"/>
  <c r="I162" i="389"/>
  <c r="D164" i="389"/>
  <c r="K168" i="365"/>
  <c r="K169" i="365"/>
  <c r="L167" i="385"/>
  <c r="L169" i="385"/>
  <c r="I13" i="389"/>
  <c r="H13" i="389"/>
  <c r="D179" i="388"/>
  <c r="D153" i="388"/>
  <c r="D167" i="388"/>
  <c r="D171" i="388"/>
  <c r="D184" i="388"/>
  <c r="D148" i="388"/>
  <c r="D152" i="388" s="1"/>
  <c r="C97" i="385"/>
  <c r="P97" i="385" s="1"/>
  <c r="D151" i="385"/>
  <c r="D147" i="393"/>
  <c r="D165" i="393" s="1"/>
  <c r="D178" i="393" s="1"/>
  <c r="C24" i="391" s="1"/>
  <c r="C36" i="391" s="1"/>
  <c r="I21" i="403"/>
  <c r="D19" i="403"/>
  <c r="I19" i="403" s="1"/>
  <c r="C23" i="365"/>
  <c r="P23" i="365" s="1"/>
  <c r="H44" i="365"/>
  <c r="D44" i="385"/>
  <c r="H17" i="389"/>
  <c r="D15" i="389"/>
  <c r="I15" i="389" s="1"/>
  <c r="I17" i="389"/>
  <c r="D24" i="396"/>
  <c r="D24" i="401"/>
  <c r="I9" i="401"/>
  <c r="D19" i="389"/>
  <c r="I19" i="389" s="1"/>
  <c r="D76" i="402"/>
  <c r="D147" i="402" s="1"/>
  <c r="D165" i="402" s="1"/>
  <c r="D178" i="402" s="1"/>
  <c r="C42" i="391" s="1"/>
  <c r="O169" i="365"/>
  <c r="O168" i="365"/>
  <c r="H123" i="389"/>
  <c r="I123" i="389"/>
  <c r="D9" i="389"/>
  <c r="H10" i="389"/>
  <c r="I10" i="389"/>
  <c r="M169" i="385"/>
  <c r="I32" i="404"/>
  <c r="H32" i="404"/>
  <c r="D47" i="404"/>
  <c r="I47" i="404" s="1"/>
  <c r="K168" i="386"/>
  <c r="I11" i="403"/>
  <c r="D9" i="403"/>
  <c r="D166" i="398"/>
  <c r="D170" i="398" s="1"/>
  <c r="C26" i="391"/>
  <c r="C28" i="391" s="1"/>
  <c r="D153" i="398"/>
  <c r="I153" i="398" s="1"/>
  <c r="D179" i="398"/>
  <c r="I48" i="398"/>
  <c r="D171" i="398"/>
  <c r="I171" i="398" s="1"/>
  <c r="D167" i="398"/>
  <c r="I167" i="398" s="1"/>
  <c r="D149" i="398"/>
  <c r="I149" i="398" s="1"/>
  <c r="D184" i="398"/>
  <c r="I184" i="398" s="1"/>
  <c r="D148" i="398"/>
  <c r="D152" i="398" s="1"/>
  <c r="C44" i="365"/>
  <c r="D166" i="388"/>
  <c r="D170" i="388" s="1"/>
  <c r="D47" i="408"/>
  <c r="I27" i="408"/>
  <c r="D27" i="403"/>
  <c r="I29" i="403"/>
  <c r="I130" i="389"/>
  <c r="H130" i="389"/>
  <c r="H41" i="389"/>
  <c r="I41" i="389"/>
  <c r="D36" i="389"/>
  <c r="I77" i="397"/>
  <c r="D76" i="397"/>
  <c r="I76" i="397" s="1"/>
  <c r="I168" i="385"/>
  <c r="F165" i="386"/>
  <c r="F167" i="386" s="1"/>
  <c r="C149" i="397"/>
  <c r="C148" i="397"/>
  <c r="C152" i="397" s="1"/>
  <c r="C171" i="397"/>
  <c r="C184" i="397"/>
  <c r="C153" i="397"/>
  <c r="H155" i="389"/>
  <c r="I155" i="389"/>
  <c r="H20" i="422" a="1"/>
  <c r="H20" i="422" s="1"/>
  <c r="O169" i="385"/>
  <c r="I106" i="389"/>
  <c r="H106" i="389"/>
  <c r="M165" i="365"/>
  <c r="C43" i="365"/>
  <c r="P43" i="365" s="1"/>
  <c r="M168" i="385"/>
  <c r="H167" i="385"/>
  <c r="H168" i="385" s="1"/>
  <c r="H169" i="385"/>
  <c r="I169" i="385"/>
  <c r="C80" i="365"/>
  <c r="J19" i="422" a="1"/>
  <c r="J19" i="422" s="1"/>
  <c r="N19" i="422" a="1"/>
  <c r="N19" i="422" s="1"/>
  <c r="O19" i="422" a="1"/>
  <c r="O19" i="422" s="1"/>
  <c r="I19" i="422" a="1"/>
  <c r="I19" i="422" s="1"/>
  <c r="P19" i="422" a="1"/>
  <c r="P19" i="422" s="1"/>
  <c r="R19" i="422" a="1"/>
  <c r="R19" i="422" s="1"/>
  <c r="A19" i="422" a="1"/>
  <c r="A19" i="422" s="1"/>
  <c r="D19" i="393"/>
  <c r="I19" i="393" s="1"/>
  <c r="H144" i="396"/>
  <c r="I144" i="396"/>
  <c r="H119" i="389"/>
  <c r="I119" i="389"/>
  <c r="I27" i="405"/>
  <c r="D47" i="405"/>
  <c r="D24" i="405"/>
  <c r="I9" i="405"/>
  <c r="I11" i="404"/>
  <c r="D9" i="404"/>
  <c r="N168" i="365"/>
  <c r="N169" i="365"/>
  <c r="S16" i="422"/>
  <c r="S17" i="422" s="1"/>
  <c r="S18" i="422" s="1"/>
  <c r="C179" i="394"/>
  <c r="C184" i="394"/>
  <c r="C167" i="394"/>
  <c r="C166" i="394"/>
  <c r="C170" i="394" s="1"/>
  <c r="C149" i="394"/>
  <c r="C148" i="394"/>
  <c r="C152" i="394" s="1"/>
  <c r="D48" i="399"/>
  <c r="C17" i="421"/>
  <c r="I16" i="421" a="1"/>
  <c r="I16" i="421" s="1"/>
  <c r="A16" i="421" a="1"/>
  <c r="A16" i="421" s="1"/>
  <c r="K16" i="421" a="1"/>
  <c r="K16" i="421" s="1"/>
  <c r="M16" i="421" a="1"/>
  <c r="M16" i="421" s="1"/>
  <c r="N16" i="421" a="1"/>
  <c r="N16" i="421" s="1"/>
  <c r="I60" i="389"/>
  <c r="H60" i="389"/>
  <c r="C166" i="397"/>
  <c r="C170" i="397" s="1"/>
  <c r="C167" i="389"/>
  <c r="C178" i="389"/>
  <c r="I27" i="401"/>
  <c r="D47" i="401"/>
  <c r="K169" i="385"/>
  <c r="K168" i="385"/>
  <c r="C167" i="397"/>
  <c r="L168" i="385"/>
  <c r="C153" i="389"/>
  <c r="C148" i="389"/>
  <c r="C152" i="389" s="1"/>
  <c r="I85" i="389"/>
  <c r="H85" i="389"/>
  <c r="I68" i="389"/>
  <c r="H68" i="389"/>
  <c r="O20" i="422" a="1"/>
  <c r="O20" i="422" s="1"/>
  <c r="L20" i="422" a="1"/>
  <c r="L20" i="422" s="1"/>
  <c r="I20" i="422" a="1"/>
  <c r="I20" i="422" s="1"/>
  <c r="A20" i="422" a="1"/>
  <c r="A20" i="422" s="1"/>
  <c r="J20" i="422" a="1"/>
  <c r="J20" i="422" s="1"/>
  <c r="C21" i="422"/>
  <c r="D24" i="394"/>
  <c r="I9" i="394"/>
  <c r="D147" i="403"/>
  <c r="D165" i="403" s="1"/>
  <c r="D178" i="403" s="1"/>
  <c r="C45" i="391" s="1"/>
  <c r="D164" i="365"/>
  <c r="J168" i="365"/>
  <c r="J169" i="365"/>
  <c r="C179" i="397"/>
  <c r="H144" i="392"/>
  <c r="I144" i="392"/>
  <c r="K15" i="421" a="1"/>
  <c r="K15" i="421" s="1"/>
  <c r="H15" i="421" a="1"/>
  <c r="H15" i="421" s="1"/>
  <c r="L15" i="421" a="1"/>
  <c r="L15" i="421" s="1"/>
  <c r="N15" i="421" a="1"/>
  <c r="N15" i="421" s="1"/>
  <c r="A15" i="421" a="1"/>
  <c r="A15" i="421" s="1"/>
  <c r="Q15" i="421" a="1"/>
  <c r="Q15" i="421" s="1"/>
  <c r="G15" i="421" a="1"/>
  <c r="G15" i="421" s="1"/>
  <c r="M15" i="421" a="1"/>
  <c r="M15" i="421" s="1"/>
  <c r="I15" i="421" a="1"/>
  <c r="I15" i="421" s="1"/>
  <c r="C184" i="407"/>
  <c r="C166" i="407"/>
  <c r="C170" i="407" s="1"/>
  <c r="C171" i="407"/>
  <c r="C167" i="407"/>
  <c r="C153" i="407"/>
  <c r="M44" i="386"/>
  <c r="E168" i="386"/>
  <c r="H137" i="389"/>
  <c r="I137" i="389"/>
  <c r="C76" i="365"/>
  <c r="P76" i="365" s="1"/>
  <c r="H139" i="360"/>
  <c r="H142" i="389"/>
  <c r="I142" i="389"/>
  <c r="I15" i="360"/>
  <c r="I117" i="389"/>
  <c r="H117" i="389"/>
  <c r="H64" i="360"/>
  <c r="I64" i="360"/>
  <c r="I16" i="360"/>
  <c r="H16" i="360"/>
  <c r="I99" i="360"/>
  <c r="D78" i="360"/>
  <c r="I59" i="360"/>
  <c r="H59" i="360"/>
  <c r="D51" i="360"/>
  <c r="I81" i="408"/>
  <c r="H81" i="408"/>
  <c r="I95" i="403"/>
  <c r="D78" i="403"/>
  <c r="D77" i="403" s="1"/>
  <c r="D76" i="403" s="1"/>
  <c r="I56" i="389"/>
  <c r="H56" i="389"/>
  <c r="I24" i="397"/>
  <c r="D48" i="397"/>
  <c r="I27" i="394"/>
  <c r="D47" i="394"/>
  <c r="I47" i="394" s="1"/>
  <c r="C179" i="402"/>
  <c r="C167" i="402"/>
  <c r="C184" i="402"/>
  <c r="C153" i="402"/>
  <c r="I81" i="389"/>
  <c r="H81" i="389"/>
  <c r="H20" i="402"/>
  <c r="D19" i="402"/>
  <c r="I19" i="402" s="1"/>
  <c r="D24" i="395"/>
  <c r="D48" i="395" s="1"/>
  <c r="H109" i="389"/>
  <c r="I109" i="389"/>
  <c r="I58" i="393"/>
  <c r="H58" i="393"/>
  <c r="I128" i="393"/>
  <c r="H128" i="393"/>
  <c r="F169" i="365"/>
  <c r="C167" i="404"/>
  <c r="C148" i="404"/>
  <c r="C152" i="404" s="1"/>
  <c r="C166" i="404"/>
  <c r="C170" i="404" s="1"/>
  <c r="I108" i="404"/>
  <c r="H108" i="404"/>
  <c r="H32" i="403"/>
  <c r="D29" i="389"/>
  <c r="H30" i="389"/>
  <c r="I96" i="389"/>
  <c r="H96" i="389"/>
  <c r="H60" i="393"/>
  <c r="I60" i="393"/>
  <c r="I80" i="360"/>
  <c r="H80" i="360"/>
  <c r="I141" i="360"/>
  <c r="H141" i="360"/>
  <c r="H137" i="408"/>
  <c r="I137" i="408"/>
  <c r="H112" i="360"/>
  <c r="I112" i="360"/>
  <c r="H133" i="360"/>
  <c r="I133" i="360"/>
  <c r="D32" i="396"/>
  <c r="I32" i="396" s="1"/>
  <c r="I42" i="396"/>
  <c r="H42" i="396"/>
  <c r="H14" i="360"/>
  <c r="I14" i="360"/>
  <c r="H31" i="360"/>
  <c r="I31" i="360"/>
  <c r="H65" i="360"/>
  <c r="I65" i="360"/>
  <c r="H38" i="408"/>
  <c r="I38" i="408"/>
  <c r="H177" i="396"/>
  <c r="H32" i="393"/>
  <c r="D36" i="403"/>
  <c r="I36" i="403" s="1"/>
  <c r="I42" i="403"/>
  <c r="H161" i="360"/>
  <c r="I161" i="360"/>
  <c r="D19" i="408"/>
  <c r="I19" i="408" s="1"/>
  <c r="H135" i="393"/>
  <c r="I65" i="402"/>
  <c r="I97" i="365"/>
  <c r="I151" i="365" s="1"/>
  <c r="I164" i="365" s="1"/>
  <c r="I165" i="365" s="1"/>
  <c r="C99" i="365"/>
  <c r="P99" i="365" s="1"/>
  <c r="H87" i="360"/>
  <c r="I87" i="360"/>
  <c r="H143" i="408"/>
  <c r="I143" i="408"/>
  <c r="H100" i="402"/>
  <c r="I100" i="402"/>
  <c r="I81" i="396"/>
  <c r="H81" i="396"/>
  <c r="I73" i="360"/>
  <c r="H73" i="360"/>
  <c r="I110" i="360"/>
  <c r="H110" i="360"/>
  <c r="D11" i="360"/>
  <c r="I116" i="360"/>
  <c r="H116" i="360"/>
  <c r="I18" i="360"/>
  <c r="H18" i="360"/>
  <c r="I95" i="360"/>
  <c r="H95" i="360"/>
  <c r="I84" i="360"/>
  <c r="H84" i="360"/>
  <c r="H16" i="402"/>
  <c r="D15" i="402"/>
  <c r="D24" i="402" s="1"/>
  <c r="D48" i="402" s="1"/>
  <c r="H115" i="408"/>
  <c r="I115" i="408"/>
  <c r="I136" i="393"/>
  <c r="H136" i="393"/>
  <c r="H74" i="393"/>
  <c r="I74" i="393"/>
  <c r="H125" i="404"/>
  <c r="I125" i="404"/>
  <c r="H126" i="360"/>
  <c r="I126" i="360"/>
  <c r="H26" i="393"/>
  <c r="D47" i="393"/>
  <c r="I47" i="393" s="1"/>
  <c r="I88" i="360"/>
  <c r="H88" i="360"/>
  <c r="I66" i="402"/>
  <c r="H66" i="402"/>
  <c r="H108" i="360"/>
  <c r="I108" i="360"/>
  <c r="H90" i="360"/>
  <c r="I90" i="360"/>
  <c r="I111" i="360"/>
  <c r="H111" i="360"/>
  <c r="C161" i="385"/>
  <c r="I101" i="403"/>
  <c r="H101" i="403"/>
  <c r="H63" i="404"/>
  <c r="I63" i="404"/>
  <c r="I123" i="360"/>
  <c r="H123" i="360"/>
  <c r="C138" i="386"/>
  <c r="P138" i="386" s="1"/>
  <c r="D137" i="386"/>
  <c r="C137" i="386" s="1"/>
  <c r="P137" i="386" s="1"/>
  <c r="C94" i="386"/>
  <c r="P94" i="386" s="1"/>
  <c r="N117" i="386"/>
  <c r="N151" i="386" s="1"/>
  <c r="N164" i="386" s="1"/>
  <c r="N165" i="386" s="1"/>
  <c r="D126" i="386"/>
  <c r="C126" i="386" s="1"/>
  <c r="P126" i="386" s="1"/>
  <c r="N34" i="385"/>
  <c r="N43" i="385" s="1"/>
  <c r="N44" i="385" s="1"/>
  <c r="H117" i="386"/>
  <c r="H59" i="392"/>
  <c r="I59" i="392"/>
  <c r="L20" i="386"/>
  <c r="L23" i="386" s="1"/>
  <c r="L44" i="386" s="1"/>
  <c r="H134" i="386"/>
  <c r="C123" i="386"/>
  <c r="P123" i="386" s="1"/>
  <c r="C166" i="386"/>
  <c r="P166" i="386" s="1"/>
  <c r="I20" i="386"/>
  <c r="C18" i="386"/>
  <c r="P18" i="386" s="1"/>
  <c r="I17" i="360"/>
  <c r="I161" i="407"/>
  <c r="H161" i="407"/>
  <c r="C129" i="386"/>
  <c r="P129" i="386" s="1"/>
  <c r="F137" i="385"/>
  <c r="C14" i="385"/>
  <c r="P14" i="385" s="1"/>
  <c r="L117" i="386"/>
  <c r="L151" i="386" s="1"/>
  <c r="L164" i="386" s="1"/>
  <c r="L165" i="386" s="1"/>
  <c r="L167" i="386" s="1"/>
  <c r="D50" i="386"/>
  <c r="J117" i="386"/>
  <c r="J151" i="386" s="1"/>
  <c r="J164" i="386" s="1"/>
  <c r="J165" i="386" s="1"/>
  <c r="C59" i="385"/>
  <c r="P59" i="385" s="1"/>
  <c r="J89" i="385"/>
  <c r="C94" i="385"/>
  <c r="P94" i="385" s="1"/>
  <c r="C132" i="385"/>
  <c r="P132" i="385" s="1"/>
  <c r="J126" i="385"/>
  <c r="C126" i="385" s="1"/>
  <c r="P126" i="385" s="1"/>
  <c r="C147" i="386"/>
  <c r="P147" i="386" s="1"/>
  <c r="I141" i="392"/>
  <c r="D139" i="392"/>
  <c r="D76" i="392" s="1"/>
  <c r="D147" i="392" s="1"/>
  <c r="D165" i="392" s="1"/>
  <c r="D178" i="392" s="1"/>
  <c r="C12" i="391" s="1"/>
  <c r="C21" i="391" s="1"/>
  <c r="C37" i="386"/>
  <c r="P37" i="386" s="1"/>
  <c r="F34" i="386"/>
  <c r="C36" i="386"/>
  <c r="P36" i="386" s="1"/>
  <c r="C68" i="386"/>
  <c r="P68" i="386" s="1"/>
  <c r="C54" i="386"/>
  <c r="P54" i="386" s="1"/>
  <c r="H102" i="386"/>
  <c r="C143" i="386"/>
  <c r="P143" i="386" s="1"/>
  <c r="C90" i="386"/>
  <c r="P90" i="386" s="1"/>
  <c r="D89" i="386"/>
  <c r="I14" i="392"/>
  <c r="H14" i="392"/>
  <c r="D117" i="386"/>
  <c r="C117" i="386" s="1"/>
  <c r="P117" i="386" s="1"/>
  <c r="H13" i="386"/>
  <c r="K137" i="386"/>
  <c r="K151" i="386" s="1"/>
  <c r="K164" i="386" s="1"/>
  <c r="K165" i="386" s="1"/>
  <c r="K167" i="386" s="1"/>
  <c r="I77" i="386"/>
  <c r="C78" i="386"/>
  <c r="P78" i="386" s="1"/>
  <c r="C88" i="386"/>
  <c r="P88" i="386" s="1"/>
  <c r="O126" i="386"/>
  <c r="I56" i="392"/>
  <c r="H56" i="392"/>
  <c r="C15" i="386"/>
  <c r="P15" i="386" s="1"/>
  <c r="C91" i="386"/>
  <c r="P91" i="386" s="1"/>
  <c r="C52" i="386"/>
  <c r="P52" i="386" s="1"/>
  <c r="G134" i="386"/>
  <c r="F11" i="386"/>
  <c r="G134" i="385"/>
  <c r="C136" i="385"/>
  <c r="P136" i="385" s="1"/>
  <c r="H102" i="408"/>
  <c r="C62" i="386"/>
  <c r="P62" i="386" s="1"/>
  <c r="C132" i="386"/>
  <c r="P132" i="386" s="1"/>
  <c r="C114" i="386"/>
  <c r="P114" i="386" s="1"/>
  <c r="C121" i="386"/>
  <c r="P121" i="386" s="1"/>
  <c r="H11" i="386"/>
  <c r="H23" i="386" s="1"/>
  <c r="H44" i="386" s="1"/>
  <c r="G141" i="386"/>
  <c r="F13" i="386"/>
  <c r="C13" i="386" s="1"/>
  <c r="P13" i="386" s="1"/>
  <c r="C155" i="386"/>
  <c r="P155" i="386" s="1"/>
  <c r="I61" i="397"/>
  <c r="D51" i="397"/>
  <c r="D50" i="397" s="1"/>
  <c r="D147" i="397" s="1"/>
  <c r="D165" i="397" s="1"/>
  <c r="D178" i="397" s="1"/>
  <c r="C18" i="391" s="1"/>
  <c r="C125" i="386"/>
  <c r="P125" i="386" s="1"/>
  <c r="C15" i="385"/>
  <c r="P15" i="385" s="1"/>
  <c r="J13" i="385"/>
  <c r="I120" i="360"/>
  <c r="H67" i="399"/>
  <c r="I67" i="399"/>
  <c r="C105" i="386"/>
  <c r="P105" i="386" s="1"/>
  <c r="C19" i="386"/>
  <c r="P19" i="386" s="1"/>
  <c r="C79" i="385"/>
  <c r="P79" i="385" s="1"/>
  <c r="J77" i="385"/>
  <c r="G34" i="385"/>
  <c r="C40" i="385"/>
  <c r="P40" i="385" s="1"/>
  <c r="C156" i="385"/>
  <c r="P156" i="385" s="1"/>
  <c r="C22" i="386"/>
  <c r="P22" i="386" s="1"/>
  <c r="C104" i="386"/>
  <c r="P104" i="386" s="1"/>
  <c r="C158" i="386"/>
  <c r="P158" i="386" s="1"/>
  <c r="C136" i="386"/>
  <c r="P136" i="386" s="1"/>
  <c r="C139" i="386"/>
  <c r="P139" i="386" s="1"/>
  <c r="O146" i="386"/>
  <c r="C69" i="385"/>
  <c r="P69" i="385" s="1"/>
  <c r="E65" i="385"/>
  <c r="F24" i="408"/>
  <c r="H140" i="403"/>
  <c r="I94" i="401"/>
  <c r="H125" i="395"/>
  <c r="H135" i="408"/>
  <c r="H85" i="401"/>
  <c r="H108" i="389"/>
  <c r="H54" i="402"/>
  <c r="H124" i="396"/>
  <c r="H37" i="393"/>
  <c r="H108" i="392"/>
  <c r="H112" i="402"/>
  <c r="H162" i="408"/>
  <c r="H79" i="396"/>
  <c r="H104" i="402"/>
  <c r="H40" i="396"/>
  <c r="H31" i="408"/>
  <c r="I65" i="393"/>
  <c r="E47" i="407"/>
  <c r="D118" i="406"/>
  <c r="E118" i="406" s="1"/>
  <c r="U20" i="348"/>
  <c r="I111" i="347"/>
  <c r="H95" i="396"/>
  <c r="H123" i="403"/>
  <c r="H59" i="396"/>
  <c r="H35" i="408"/>
  <c r="H144" i="398"/>
  <c r="H114" i="396"/>
  <c r="I72" i="401"/>
  <c r="H39" i="403"/>
  <c r="H127" i="408"/>
  <c r="H111" i="408"/>
  <c r="H88" i="402"/>
  <c r="H102" i="396"/>
  <c r="H79" i="402"/>
  <c r="H131" i="401"/>
  <c r="U81" i="348"/>
  <c r="H156" i="404"/>
  <c r="A918" i="328"/>
  <c r="H85" i="396"/>
  <c r="I53" i="404"/>
  <c r="H42" i="401"/>
  <c r="H39" i="404"/>
  <c r="H135" i="396"/>
  <c r="I56" i="401"/>
  <c r="H116" i="404"/>
  <c r="H60" i="396"/>
  <c r="H64" i="401"/>
  <c r="H38" i="396"/>
  <c r="H38" i="402"/>
  <c r="H95" i="404"/>
  <c r="H102" i="404"/>
  <c r="H45" i="404"/>
  <c r="H65" i="408"/>
  <c r="H66" i="408"/>
  <c r="H83" i="396"/>
  <c r="H66" i="396"/>
  <c r="C45" i="417"/>
  <c r="H98" i="408"/>
  <c r="H60" i="402"/>
  <c r="H132" i="393"/>
  <c r="H106" i="402"/>
  <c r="H118" i="404"/>
  <c r="H106" i="396"/>
  <c r="H91" i="402"/>
  <c r="H59" i="393"/>
  <c r="I140" i="395"/>
  <c r="I71" i="401"/>
  <c r="H120" i="401"/>
  <c r="I71" i="404"/>
  <c r="I62" i="392"/>
  <c r="H103" i="392"/>
  <c r="H18" i="396"/>
  <c r="H72" i="393"/>
  <c r="U48" i="348"/>
  <c r="H37" i="401"/>
  <c r="H162" i="396"/>
  <c r="H161" i="396"/>
  <c r="H43" i="389"/>
  <c r="H26" i="402"/>
  <c r="H125" i="396"/>
  <c r="H34" i="396"/>
  <c r="H126" i="389"/>
  <c r="H110" i="401"/>
  <c r="H74" i="404"/>
  <c r="H92" i="389"/>
  <c r="H133" i="403"/>
  <c r="H128" i="403"/>
  <c r="I52" i="401"/>
  <c r="I70" i="404"/>
  <c r="I40" i="389"/>
  <c r="H130" i="396"/>
  <c r="H157" i="393"/>
  <c r="V52" i="347"/>
  <c r="V43" i="347"/>
  <c r="I55" i="402"/>
  <c r="I34" i="388"/>
  <c r="G59" i="346"/>
  <c r="I86" i="396"/>
  <c r="H160" i="408"/>
  <c r="H114" i="392"/>
  <c r="H35" i="392"/>
  <c r="H40" i="404"/>
  <c r="H111" i="404"/>
  <c r="H73" i="396"/>
  <c r="H100" i="404"/>
  <c r="E76" i="398"/>
  <c r="H125" i="403"/>
  <c r="H125" i="401"/>
  <c r="H20" i="401"/>
  <c r="H63" i="399"/>
  <c r="E75" i="339"/>
  <c r="H144" i="393"/>
  <c r="H37" i="389"/>
  <c r="H120" i="408"/>
  <c r="H69" i="396"/>
  <c r="H45" i="401"/>
  <c r="H15" i="389"/>
  <c r="I82" i="389"/>
  <c r="H114" i="404"/>
  <c r="H26" i="396"/>
  <c r="H87" i="408"/>
  <c r="H127" i="396"/>
  <c r="H99" i="401"/>
  <c r="I112" i="396"/>
  <c r="H87" i="404"/>
  <c r="H115" i="395"/>
  <c r="H103" i="404"/>
  <c r="H158" i="396"/>
  <c r="H111" i="393"/>
  <c r="U62" i="348"/>
  <c r="H38" i="401"/>
  <c r="V41" i="347"/>
  <c r="U44" i="348"/>
  <c r="E12" i="418"/>
  <c r="E10" i="418" s="1"/>
  <c r="H22" i="404"/>
  <c r="G67" i="346"/>
  <c r="G14" i="420" a="1"/>
  <c r="G14" i="420" s="1"/>
  <c r="H131" i="404"/>
  <c r="H124" i="393"/>
  <c r="H35" i="389"/>
  <c r="H35" i="407"/>
  <c r="E76" i="407"/>
  <c r="E147" i="407" s="1"/>
  <c r="E165" i="407" s="1"/>
  <c r="E178" i="407" s="1"/>
  <c r="I79" i="393"/>
  <c r="H105" i="396"/>
  <c r="H115" i="393"/>
  <c r="H105" i="408"/>
  <c r="H61" i="396"/>
  <c r="M14" i="420" a="1"/>
  <c r="M14" i="420" s="1"/>
  <c r="H116" i="393"/>
  <c r="H110" i="408"/>
  <c r="I53" i="403"/>
  <c r="H177" i="397"/>
  <c r="H105" i="393"/>
  <c r="H56" i="403"/>
  <c r="I61" i="402"/>
  <c r="H28" i="396"/>
  <c r="H121" i="392"/>
  <c r="H122" i="401"/>
  <c r="I79" i="389"/>
  <c r="H163" i="389"/>
  <c r="H79" i="403"/>
  <c r="H121" i="402"/>
  <c r="H117" i="396"/>
  <c r="H118" i="408"/>
  <c r="H126" i="402"/>
  <c r="H101" i="393"/>
  <c r="I67" i="389"/>
  <c r="H97" i="393"/>
  <c r="H62" i="389"/>
  <c r="I140" i="402"/>
  <c r="H113" i="393"/>
  <c r="V109" i="347"/>
  <c r="V28" i="347"/>
  <c r="V30" i="347"/>
  <c r="H44" i="392"/>
  <c r="E61" i="254"/>
  <c r="H144" i="394"/>
  <c r="R14" i="420" a="1"/>
  <c r="R14" i="420" s="1"/>
  <c r="H142" i="401"/>
  <c r="E26" i="413"/>
  <c r="H117" i="408"/>
  <c r="H100" i="408"/>
  <c r="G21" i="403"/>
  <c r="G19" i="403" s="1"/>
  <c r="H19" i="403" s="1"/>
  <c r="H109" i="397"/>
  <c r="E47" i="396"/>
  <c r="E48" i="396" s="1"/>
  <c r="H91" i="408"/>
  <c r="H96" i="407"/>
  <c r="H117" i="393"/>
  <c r="H115" i="396"/>
  <c r="H132" i="404"/>
  <c r="H62" i="403"/>
  <c r="H53" i="393"/>
  <c r="H129" i="396"/>
  <c r="H123" i="408"/>
  <c r="H159" i="401"/>
  <c r="E54" i="254"/>
  <c r="E16" i="417"/>
  <c r="H53" i="408"/>
  <c r="H57" i="403"/>
  <c r="H123" i="401"/>
  <c r="H101" i="408"/>
  <c r="H132" i="403"/>
  <c r="L14" i="420" a="1"/>
  <c r="L14" i="420" s="1"/>
  <c r="H114" i="402"/>
  <c r="H45" i="393"/>
  <c r="H131" i="393"/>
  <c r="H156" i="408"/>
  <c r="U45" i="348"/>
  <c r="H163" i="392"/>
  <c r="U41" i="348"/>
  <c r="V20" i="347"/>
  <c r="J14" i="420" a="1"/>
  <c r="J14" i="420" s="1"/>
  <c r="H119" i="403"/>
  <c r="H126" i="393"/>
  <c r="H31" i="403"/>
  <c r="H74" i="389"/>
  <c r="H121" i="389"/>
  <c r="H157" i="401"/>
  <c r="U19" i="348"/>
  <c r="E40" i="254"/>
  <c r="H144" i="360"/>
  <c r="F24" i="395"/>
  <c r="H105" i="404"/>
  <c r="H61" i="397"/>
  <c r="I160" i="389"/>
  <c r="I89" i="403"/>
  <c r="H115" i="403"/>
  <c r="I96" i="404"/>
  <c r="I86" i="402"/>
  <c r="H94" i="395"/>
  <c r="H64" i="402"/>
  <c r="H102" i="401"/>
  <c r="I69" i="408"/>
  <c r="H102" i="403"/>
  <c r="I68" i="402"/>
  <c r="H109" i="408"/>
  <c r="H111" i="401"/>
  <c r="H73" i="403"/>
  <c r="H96" i="402"/>
  <c r="H26" i="389"/>
  <c r="H115" i="401"/>
  <c r="I158" i="389"/>
  <c r="H66" i="401"/>
  <c r="H99" i="402"/>
  <c r="H63" i="389"/>
  <c r="E47" i="403"/>
  <c r="L111" i="347"/>
  <c r="U28" i="348"/>
  <c r="E19" i="254"/>
  <c r="H127" i="402"/>
  <c r="H87" i="402"/>
  <c r="H42" i="408"/>
  <c r="H35" i="396"/>
  <c r="H120" i="393"/>
  <c r="H103" i="402"/>
  <c r="I79" i="401"/>
  <c r="H109" i="393"/>
  <c r="H37" i="402"/>
  <c r="H80" i="401"/>
  <c r="H95" i="389"/>
  <c r="H79" i="408"/>
  <c r="H94" i="396"/>
  <c r="U18" i="348"/>
  <c r="H31" i="389"/>
  <c r="H159" i="408"/>
  <c r="H9" i="392"/>
  <c r="H10" i="396"/>
  <c r="H124" i="403"/>
  <c r="I63" i="393"/>
  <c r="H9" i="389"/>
  <c r="H124" i="401"/>
  <c r="H73" i="389"/>
  <c r="H92" i="404"/>
  <c r="H96" i="396"/>
  <c r="I88" i="399"/>
  <c r="H128" i="396"/>
  <c r="H119" i="402"/>
  <c r="H107" i="408"/>
  <c r="H88" i="408"/>
  <c r="H10" i="402"/>
  <c r="H121" i="403"/>
  <c r="H126" i="396"/>
  <c r="H86" i="404"/>
  <c r="H109" i="401"/>
  <c r="H157" i="408"/>
  <c r="H62" i="396"/>
  <c r="H136" i="396"/>
  <c r="I72" i="396"/>
  <c r="H155" i="401"/>
  <c r="H135" i="403"/>
  <c r="H113" i="401"/>
  <c r="H87" i="393"/>
  <c r="H118" i="393"/>
  <c r="I95" i="393"/>
  <c r="G19" i="335"/>
  <c r="D19" i="335"/>
  <c r="H19" i="335" s="1"/>
  <c r="H60" i="388"/>
  <c r="H88" i="405"/>
  <c r="C147" i="399"/>
  <c r="G67" i="335"/>
  <c r="D67" i="335"/>
  <c r="H66" i="405"/>
  <c r="D35" i="412"/>
  <c r="I63" i="405"/>
  <c r="I82" i="398"/>
  <c r="G15" i="403"/>
  <c r="H18" i="401"/>
  <c r="H121" i="401"/>
  <c r="I145" i="394"/>
  <c r="D144" i="394"/>
  <c r="I144" i="394" s="1"/>
  <c r="D45" i="335"/>
  <c r="G45" i="335"/>
  <c r="D36" i="387"/>
  <c r="H36" i="387" s="1"/>
  <c r="I37" i="325" s="1"/>
  <c r="D12" i="335"/>
  <c r="H12" i="335" s="1"/>
  <c r="D72" i="335"/>
  <c r="H72" i="335" s="1"/>
  <c r="D93" i="387"/>
  <c r="G93" i="387"/>
  <c r="G10" i="397"/>
  <c r="H10" i="397" s="1"/>
  <c r="D269" i="335"/>
  <c r="H269" i="335" s="1"/>
  <c r="G269" i="335"/>
  <c r="K59" i="391"/>
  <c r="D231" i="335"/>
  <c r="H231" i="335" s="1"/>
  <c r="G10" i="399"/>
  <c r="H10" i="399" s="1"/>
  <c r="H54" i="397"/>
  <c r="H216" i="387"/>
  <c r="I44" i="337" s="1"/>
  <c r="H67" i="387"/>
  <c r="G206" i="335"/>
  <c r="D206" i="335"/>
  <c r="H206" i="335" s="1"/>
  <c r="D123" i="335"/>
  <c r="H123" i="335" s="1"/>
  <c r="D181" i="335"/>
  <c r="G181" i="335"/>
  <c r="H84" i="395"/>
  <c r="G62" i="397"/>
  <c r="H62" i="397" s="1"/>
  <c r="G57" i="397"/>
  <c r="H57" i="397" s="1"/>
  <c r="G166" i="335"/>
  <c r="H166" i="335" s="1"/>
  <c r="D42" i="335"/>
  <c r="G16" i="408"/>
  <c r="H16" i="408" s="1"/>
  <c r="G63" i="394"/>
  <c r="G56" i="394"/>
  <c r="H56" i="394" s="1"/>
  <c r="G58" i="392"/>
  <c r="H115" i="335"/>
  <c r="G139" i="335"/>
  <c r="D139" i="335"/>
  <c r="D253" i="335"/>
  <c r="G253" i="335"/>
  <c r="H167" i="387"/>
  <c r="I125" i="325" s="1"/>
  <c r="D294" i="335"/>
  <c r="H294" i="335" s="1"/>
  <c r="D62" i="335"/>
  <c r="H62" i="335" s="1"/>
  <c r="G155" i="408"/>
  <c r="H155" i="408" s="1"/>
  <c r="D16" i="335"/>
  <c r="H16" i="335" s="1"/>
  <c r="G59" i="405"/>
  <c r="H59" i="405" s="1"/>
  <c r="D237" i="335"/>
  <c r="H237" i="335" s="1"/>
  <c r="D135" i="335"/>
  <c r="H135" i="335" s="1"/>
  <c r="G85" i="395"/>
  <c r="H190" i="335"/>
  <c r="D66" i="387"/>
  <c r="H66" i="387" s="1"/>
  <c r="D71" i="387"/>
  <c r="H71" i="387" s="1"/>
  <c r="G74" i="335"/>
  <c r="H74" i="335" s="1"/>
  <c r="G90" i="335"/>
  <c r="D97" i="335"/>
  <c r="H97" i="335" s="1"/>
  <c r="G106" i="335"/>
  <c r="H106" i="335" s="1"/>
  <c r="D129" i="335"/>
  <c r="H129" i="335" s="1"/>
  <c r="G285" i="335"/>
  <c r="H118" i="387"/>
  <c r="D113" i="387"/>
  <c r="H113" i="387" s="1"/>
  <c r="H301" i="335"/>
  <c r="H116" i="387"/>
  <c r="H96" i="325" s="1"/>
  <c r="I96" i="325" s="1"/>
  <c r="H233" i="335"/>
  <c r="H217" i="335"/>
  <c r="H168" i="335"/>
  <c r="H14" i="387"/>
  <c r="I21" i="325" s="1"/>
  <c r="G38" i="335"/>
  <c r="H38" i="335" s="1"/>
  <c r="D70" i="335"/>
  <c r="H70" i="335" s="1"/>
  <c r="G86" i="335"/>
  <c r="D109" i="335"/>
  <c r="H109" i="335" s="1"/>
  <c r="D89" i="335"/>
  <c r="H89" i="335" s="1"/>
  <c r="D105" i="335"/>
  <c r="H105" i="335" s="1"/>
  <c r="G165" i="387"/>
  <c r="H165" i="387" s="1"/>
  <c r="G98" i="387"/>
  <c r="H98" i="387" s="1"/>
  <c r="H84" i="325" s="1"/>
  <c r="D215" i="387"/>
  <c r="H215" i="387" s="1"/>
  <c r="D319" i="387"/>
  <c r="H319" i="387" s="1"/>
  <c r="D257" i="387"/>
  <c r="H257" i="387" s="1"/>
  <c r="I90" i="337" s="1"/>
  <c r="D273" i="387"/>
  <c r="H273" i="387" s="1"/>
  <c r="I106" i="337" s="1"/>
  <c r="D325" i="335"/>
  <c r="H325" i="335" s="1"/>
  <c r="E81" i="346" a="1"/>
  <c r="E81" i="346" s="1"/>
  <c r="F81" i="346" a="1"/>
  <c r="F81" i="346" s="1"/>
  <c r="F83" i="346" s="1"/>
  <c r="F49" i="346" a="1"/>
  <c r="F49" i="346" s="1"/>
  <c r="F51" i="346" s="1"/>
  <c r="E49" i="346" a="1"/>
  <c r="E49" i="346" s="1"/>
  <c r="F97" i="346" a="1"/>
  <c r="F97" i="346" s="1"/>
  <c r="G97" i="346" s="1"/>
  <c r="G99" i="346" s="1"/>
  <c r="M69" i="319"/>
  <c r="D323" i="335"/>
  <c r="H323" i="335" s="1"/>
  <c r="E149" i="387" a="1"/>
  <c r="E149" i="387" s="1"/>
  <c r="G149" i="387" s="1"/>
  <c r="H149" i="387" s="1"/>
  <c r="I117" i="325" s="1"/>
  <c r="F330" i="387" a="1"/>
  <c r="F330" i="387" s="1"/>
  <c r="F147" i="387" a="1"/>
  <c r="F147" i="387" s="1"/>
  <c r="G147" i="387" s="1"/>
  <c r="H147" i="387" s="1"/>
  <c r="I115" i="325" s="1"/>
  <c r="F149" i="387" a="1"/>
  <c r="F149" i="387" s="1"/>
  <c r="F204" i="387" a="1"/>
  <c r="F204" i="387" s="1"/>
  <c r="G204" i="387" s="1"/>
  <c r="H204" i="387" s="1"/>
  <c r="I28" i="337" s="1"/>
  <c r="E326" i="387" a="1"/>
  <c r="E326" i="387" s="1"/>
  <c r="F332" i="387" a="1"/>
  <c r="F332" i="387" s="1"/>
  <c r="F148" i="387" a="1"/>
  <c r="F148" i="387" s="1"/>
  <c r="E328" i="387" a="1"/>
  <c r="E328" i="387" s="1"/>
  <c r="E150" i="387" a="1"/>
  <c r="E150" i="387" s="1"/>
  <c r="F150" i="387" a="1"/>
  <c r="F150" i="387" s="1"/>
  <c r="E330" i="387" a="1"/>
  <c r="E330" i="387" s="1"/>
  <c r="F146" i="387" a="1"/>
  <c r="F146" i="387" s="1"/>
  <c r="E146" i="387" a="1"/>
  <c r="E146" i="387" s="1"/>
  <c r="E333" i="387" a="1"/>
  <c r="E333" i="387" s="1"/>
  <c r="E189" i="387" a="1"/>
  <c r="E189" i="387" s="1"/>
  <c r="F326" i="387" a="1"/>
  <c r="F326" i="387" s="1"/>
  <c r="G188" i="335"/>
  <c r="H188" i="335" s="1"/>
  <c r="D327" i="335"/>
  <c r="H327" i="335" s="1"/>
  <c r="H139" i="389"/>
  <c r="I139" i="389"/>
  <c r="F47" i="395"/>
  <c r="F48" i="395" s="1"/>
  <c r="H125" i="398"/>
  <c r="I125" i="398"/>
  <c r="E22" i="413"/>
  <c r="E20" i="413" s="1"/>
  <c r="I62" i="394"/>
  <c r="H62" i="394"/>
  <c r="H62" i="399"/>
  <c r="I62" i="399"/>
  <c r="U46" i="348"/>
  <c r="H21" i="396"/>
  <c r="H21" i="403"/>
  <c r="H11" i="392"/>
  <c r="I79" i="396"/>
  <c r="I26" i="389"/>
  <c r="H40" i="389"/>
  <c r="H145" i="404"/>
  <c r="C20" i="324"/>
  <c r="C27" i="324" s="1"/>
  <c r="C34" i="324" s="1"/>
  <c r="G15" i="394"/>
  <c r="G11" i="394"/>
  <c r="H52" i="398"/>
  <c r="H33" i="405"/>
  <c r="H11" i="399"/>
  <c r="I158" i="397"/>
  <c r="H103" i="388"/>
  <c r="I86" i="395"/>
  <c r="H86" i="395"/>
  <c r="I56" i="405"/>
  <c r="H56" i="405"/>
  <c r="H139" i="402"/>
  <c r="G9" i="405"/>
  <c r="H9" i="405" s="1"/>
  <c r="E82" i="254"/>
  <c r="E47" i="339"/>
  <c r="E82" i="339"/>
  <c r="F76" i="393"/>
  <c r="I140" i="399"/>
  <c r="H140" i="399"/>
  <c r="H102" i="388"/>
  <c r="I102" i="388"/>
  <c r="H22" i="397"/>
  <c r="G21" i="397"/>
  <c r="H37" i="392"/>
  <c r="I37" i="392"/>
  <c r="U89" i="348"/>
  <c r="V83" i="347"/>
  <c r="V99" i="347"/>
  <c r="V88" i="347"/>
  <c r="V75" i="347"/>
  <c r="H29" i="360"/>
  <c r="H11" i="395"/>
  <c r="P181" i="310"/>
  <c r="P182" i="310" s="1"/>
  <c r="H61" i="402"/>
  <c r="H28" i="401"/>
  <c r="H13" i="402"/>
  <c r="H65" i="393"/>
  <c r="H72" i="401"/>
  <c r="I95" i="389"/>
  <c r="G164" i="399"/>
  <c r="I164" i="399" s="1"/>
  <c r="I37" i="389"/>
  <c r="H53" i="404"/>
  <c r="I67" i="407"/>
  <c r="I156" i="392"/>
  <c r="G164" i="388"/>
  <c r="I164" i="388" s="1"/>
  <c r="I12" i="392"/>
  <c r="I53" i="408"/>
  <c r="G139" i="399"/>
  <c r="H162" i="394"/>
  <c r="H125" i="405"/>
  <c r="H12" i="392"/>
  <c r="H58" i="398"/>
  <c r="H112" i="396"/>
  <c r="I44" i="405"/>
  <c r="H22" i="403"/>
  <c r="H52" i="401"/>
  <c r="H140" i="402"/>
  <c r="H81" i="407"/>
  <c r="G36" i="403"/>
  <c r="H36" i="403" s="1"/>
  <c r="G29" i="401"/>
  <c r="H29" i="401" s="1"/>
  <c r="H67" i="398"/>
  <c r="I67" i="398"/>
  <c r="D28" i="417"/>
  <c r="D26" i="417" s="1"/>
  <c r="E30" i="417"/>
  <c r="E28" i="417" s="1"/>
  <c r="E26" i="417" s="1"/>
  <c r="E77" i="416"/>
  <c r="E74" i="416" s="1"/>
  <c r="D74" i="416"/>
  <c r="E13" i="417"/>
  <c r="E12" i="417" s="1"/>
  <c r="E10" i="417" s="1"/>
  <c r="D12" i="417"/>
  <c r="D10" i="417" s="1"/>
  <c r="E22" i="417"/>
  <c r="E20" i="417" s="1"/>
  <c r="G19" i="346"/>
  <c r="E75" i="354"/>
  <c r="F47" i="398"/>
  <c r="E89" i="324"/>
  <c r="E54" i="324"/>
  <c r="E24" i="388"/>
  <c r="E24" i="394"/>
  <c r="E76" i="392"/>
  <c r="E147" i="392" s="1"/>
  <c r="E165" i="392" s="1"/>
  <c r="E178" i="392" s="1"/>
  <c r="E76" i="395"/>
  <c r="E147" i="395" s="1"/>
  <c r="E165" i="395" s="1"/>
  <c r="E178" i="395" s="1"/>
  <c r="E24" i="399"/>
  <c r="E47" i="395"/>
  <c r="E147" i="399"/>
  <c r="E165" i="399" s="1"/>
  <c r="E178" i="399" s="1"/>
  <c r="E47" i="408"/>
  <c r="E76" i="396"/>
  <c r="E147" i="396" s="1"/>
  <c r="E24" i="398"/>
  <c r="E48" i="398" s="1"/>
  <c r="C45" i="412"/>
  <c r="H94" i="398"/>
  <c r="I94" i="398"/>
  <c r="V107" i="347"/>
  <c r="V93" i="347"/>
  <c r="U76" i="348"/>
  <c r="S98" i="348"/>
  <c r="U88" i="348"/>
  <c r="U80" i="348"/>
  <c r="U53" i="348"/>
  <c r="M111" i="347"/>
  <c r="M113" i="347" s="1"/>
  <c r="U15" i="348"/>
  <c r="N32" i="348"/>
  <c r="U35" i="348"/>
  <c r="H98" i="348"/>
  <c r="H99" i="348" s="1"/>
  <c r="V56" i="347"/>
  <c r="V33" i="347"/>
  <c r="V86" i="347"/>
  <c r="V81" i="347"/>
  <c r="V78" i="347"/>
  <c r="V76" i="347"/>
  <c r="V74" i="347"/>
  <c r="V73" i="347"/>
  <c r="V70" i="347"/>
  <c r="S111" i="347"/>
  <c r="S112" i="347" s="1"/>
  <c r="U26" i="348"/>
  <c r="V19" i="347"/>
  <c r="V17" i="347"/>
  <c r="V16" i="347"/>
  <c r="D35" i="413"/>
  <c r="G27" i="396"/>
  <c r="I27" i="396" s="1"/>
  <c r="F147" i="360"/>
  <c r="F165" i="360" s="1"/>
  <c r="F178" i="360" s="1"/>
  <c r="F24" i="394"/>
  <c r="C138" i="417"/>
  <c r="G36" i="395"/>
  <c r="I36" i="395" s="1"/>
  <c r="E12" i="416"/>
  <c r="E10" i="416" s="1"/>
  <c r="G139" i="401"/>
  <c r="H139" i="401" s="1"/>
  <c r="G36" i="408"/>
  <c r="E47" i="418"/>
  <c r="E47" i="394"/>
  <c r="U85" i="348"/>
  <c r="U61" i="348"/>
  <c r="E111" i="347"/>
  <c r="E113" i="347" s="1"/>
  <c r="V77" i="347"/>
  <c r="U74" i="348"/>
  <c r="Q98" i="348"/>
  <c r="Q100" i="348" s="1"/>
  <c r="U27" i="348"/>
  <c r="U92" i="348"/>
  <c r="J98" i="348"/>
  <c r="J100" i="348" s="1"/>
  <c r="U42" i="348"/>
  <c r="U16" i="348"/>
  <c r="U65" i="348"/>
  <c r="U30" i="348"/>
  <c r="R98" i="348"/>
  <c r="R99" i="348" s="1"/>
  <c r="V66" i="347"/>
  <c r="V59" i="347"/>
  <c r="F111" i="347"/>
  <c r="F112" i="347" s="1"/>
  <c r="G114" i="347" s="1"/>
  <c r="U86" i="348"/>
  <c r="V23" i="347"/>
  <c r="V57" i="347"/>
  <c r="U55" i="348"/>
  <c r="U52" i="348"/>
  <c r="U31" i="348"/>
  <c r="V32" i="347"/>
  <c r="V25" i="347"/>
  <c r="P98" i="348"/>
  <c r="P100" i="348" s="1"/>
  <c r="V105" i="347"/>
  <c r="V101" i="347"/>
  <c r="V97" i="347"/>
  <c r="V72" i="347"/>
  <c r="V11" i="347"/>
  <c r="G120" i="389"/>
  <c r="H120" i="389" s="1"/>
  <c r="E15" i="404"/>
  <c r="E24" i="404" s="1"/>
  <c r="D62" i="387"/>
  <c r="H62" i="387" s="1"/>
  <c r="G80" i="387"/>
  <c r="H80" i="387" s="1"/>
  <c r="G94" i="387"/>
  <c r="H94" i="387" s="1"/>
  <c r="D128" i="387"/>
  <c r="H128" i="387" s="1"/>
  <c r="I57" i="325" s="1"/>
  <c r="G97" i="404"/>
  <c r="H97" i="404" s="1"/>
  <c r="G71" i="389"/>
  <c r="G68" i="404"/>
  <c r="G91" i="394"/>
  <c r="H91" i="394" s="1"/>
  <c r="G17" i="392"/>
  <c r="D13" i="335"/>
  <c r="D17" i="335"/>
  <c r="H17" i="335" s="1"/>
  <c r="D21" i="335"/>
  <c r="H21" i="335" s="1"/>
  <c r="D25" i="335"/>
  <c r="H25" i="335" s="1"/>
  <c r="D29" i="335"/>
  <c r="H29" i="335" s="1"/>
  <c r="D33" i="335"/>
  <c r="H33" i="335" s="1"/>
  <c r="D37" i="335"/>
  <c r="H37" i="335" s="1"/>
  <c r="D41" i="335"/>
  <c r="H41" i="335" s="1"/>
  <c r="H42" i="335"/>
  <c r="D49" i="335"/>
  <c r="H49" i="335" s="1"/>
  <c r="D53" i="335"/>
  <c r="H53" i="335" s="1"/>
  <c r="D57" i="335"/>
  <c r="H57" i="335" s="1"/>
  <c r="D61" i="335"/>
  <c r="H61" i="335" s="1"/>
  <c r="D65" i="335"/>
  <c r="H65" i="335" s="1"/>
  <c r="D69" i="335"/>
  <c r="H69" i="335" s="1"/>
  <c r="D77" i="335"/>
  <c r="H77" i="335" s="1"/>
  <c r="D85" i="335"/>
  <c r="H85" i="335" s="1"/>
  <c r="H86" i="335"/>
  <c r="D72" i="387"/>
  <c r="H72" i="387" s="1"/>
  <c r="G146" i="335"/>
  <c r="H146" i="335" s="1"/>
  <c r="E83" i="417"/>
  <c r="G62" i="404"/>
  <c r="G92" i="395"/>
  <c r="H92" i="395" s="1"/>
  <c r="E19" i="416"/>
  <c r="E16" i="416" s="1"/>
  <c r="G26" i="392"/>
  <c r="D64" i="387"/>
  <c r="H64" i="387" s="1"/>
  <c r="G96" i="387"/>
  <c r="H96" i="387" s="1"/>
  <c r="H82" i="325" s="1"/>
  <c r="D255" i="387"/>
  <c r="H255" i="387" s="1"/>
  <c r="I89" i="337" s="1"/>
  <c r="G112" i="392"/>
  <c r="D15" i="335"/>
  <c r="H15" i="335" s="1"/>
  <c r="D35" i="335"/>
  <c r="H35" i="335" s="1"/>
  <c r="D63" i="387"/>
  <c r="H63" i="387" s="1"/>
  <c r="G88" i="387"/>
  <c r="H88" i="387" s="1"/>
  <c r="H68" i="325" s="1"/>
  <c r="I68" i="325" s="1"/>
  <c r="K36" i="347"/>
  <c r="K112" i="347" s="1"/>
  <c r="C27" i="254"/>
  <c r="C34" i="254" s="1"/>
  <c r="C41" i="254" s="1"/>
  <c r="C48" i="254" s="1"/>
  <c r="C55" i="254" s="1"/>
  <c r="C62" i="254" s="1"/>
  <c r="C69" i="254" s="1"/>
  <c r="C76" i="254" s="1"/>
  <c r="C83" i="254" s="1"/>
  <c r="C90" i="254" s="1"/>
  <c r="H94" i="388"/>
  <c r="I94" i="388"/>
  <c r="H82" i="404"/>
  <c r="I156" i="399"/>
  <c r="H156" i="399"/>
  <c r="H140" i="396"/>
  <c r="G139" i="396"/>
  <c r="H139" i="396" s="1"/>
  <c r="I82" i="388"/>
  <c r="H82" i="388"/>
  <c r="I96" i="388"/>
  <c r="H96" i="388"/>
  <c r="I67" i="404"/>
  <c r="H67" i="404"/>
  <c r="H54" i="394"/>
  <c r="G51" i="394"/>
  <c r="H51" i="394" s="1"/>
  <c r="I53" i="395"/>
  <c r="H53" i="395"/>
  <c r="H39" i="392"/>
  <c r="G36" i="392"/>
  <c r="I86" i="393"/>
  <c r="H86" i="393"/>
  <c r="I72" i="405"/>
  <c r="H72" i="405"/>
  <c r="I125" i="399"/>
  <c r="H125" i="399"/>
  <c r="H34" i="392"/>
  <c r="G32" i="392"/>
  <c r="H32" i="392" s="1"/>
  <c r="H89" i="398"/>
  <c r="I89" i="398"/>
  <c r="I140" i="408"/>
  <c r="H140" i="408"/>
  <c r="G139" i="408"/>
  <c r="I139" i="408" s="1"/>
  <c r="I95" i="401"/>
  <c r="H95" i="401"/>
  <c r="H82" i="399"/>
  <c r="I82" i="399"/>
  <c r="G78" i="399"/>
  <c r="I78" i="399" s="1"/>
  <c r="H83" i="389"/>
  <c r="I83" i="389"/>
  <c r="I53" i="402"/>
  <c r="H53" i="402"/>
  <c r="G19" i="408"/>
  <c r="H19" i="408" s="1"/>
  <c r="H21" i="408"/>
  <c r="G36" i="402"/>
  <c r="H36" i="402" s="1"/>
  <c r="H39" i="402"/>
  <c r="D20" i="324"/>
  <c r="E19" i="324"/>
  <c r="H21" i="394"/>
  <c r="G19" i="394"/>
  <c r="H19" i="394" s="1"/>
  <c r="H17" i="399"/>
  <c r="G15" i="399"/>
  <c r="I89" i="388"/>
  <c r="H89" i="388"/>
  <c r="I162" i="401"/>
  <c r="H162" i="401"/>
  <c r="G144" i="407"/>
  <c r="H144" i="407" s="1"/>
  <c r="H145" i="407"/>
  <c r="H140" i="405"/>
  <c r="G139" i="405"/>
  <c r="H139" i="405" s="1"/>
  <c r="H30" i="398"/>
  <c r="G29" i="398"/>
  <c r="G27" i="398" s="1"/>
  <c r="H27" i="398" s="1"/>
  <c r="I69" i="394"/>
  <c r="H69" i="394"/>
  <c r="E147" i="405"/>
  <c r="E165" i="405" s="1"/>
  <c r="E178" i="405" s="1"/>
  <c r="H30" i="395"/>
  <c r="I30" i="395"/>
  <c r="G29" i="395"/>
  <c r="G27" i="395" s="1"/>
  <c r="I27" i="395" s="1"/>
  <c r="I94" i="389"/>
  <c r="H94" i="389"/>
  <c r="H45" i="399"/>
  <c r="G36" i="399"/>
  <c r="H36" i="399" s="1"/>
  <c r="G29" i="408"/>
  <c r="G27" i="408" s="1"/>
  <c r="H27" i="408" s="1"/>
  <c r="H30" i="408"/>
  <c r="G11" i="403"/>
  <c r="H11" i="403" s="1"/>
  <c r="H13" i="403"/>
  <c r="I68" i="388"/>
  <c r="H68" i="388"/>
  <c r="E47" i="360"/>
  <c r="H41" i="405"/>
  <c r="H22" i="392"/>
  <c r="G21" i="392"/>
  <c r="I162" i="407"/>
  <c r="H162" i="407"/>
  <c r="H42" i="407"/>
  <c r="G36" i="407"/>
  <c r="U12" i="348"/>
  <c r="V55" i="347"/>
  <c r="H14" i="404"/>
  <c r="H161" i="408"/>
  <c r="U68" i="348"/>
  <c r="V53" i="347"/>
  <c r="D47" i="406"/>
  <c r="E47" i="406" s="1"/>
  <c r="U82" i="348"/>
  <c r="U61" i="347"/>
  <c r="D118" i="410"/>
  <c r="E118" i="410" s="1"/>
  <c r="D47" i="411"/>
  <c r="E47" i="411" s="1"/>
  <c r="I160" i="360"/>
  <c r="H160" i="360"/>
  <c r="G164" i="360"/>
  <c r="H164" i="360" s="1"/>
  <c r="H97" i="392"/>
  <c r="C45" i="416"/>
  <c r="C139" i="416" s="1"/>
  <c r="C143" i="416" s="1"/>
  <c r="H89" i="396"/>
  <c r="I89" i="396"/>
  <c r="H141" i="397"/>
  <c r="G139" i="397"/>
  <c r="H139" i="397" s="1"/>
  <c r="U75" i="348"/>
  <c r="V67" i="347"/>
  <c r="V10" i="347"/>
  <c r="H139" i="393"/>
  <c r="I139" i="393"/>
  <c r="H159" i="392"/>
  <c r="G164" i="392"/>
  <c r="I72" i="392"/>
  <c r="H72" i="392"/>
  <c r="H56" i="408"/>
  <c r="I56" i="408"/>
  <c r="H78" i="360"/>
  <c r="H19" i="345"/>
  <c r="E147" i="403"/>
  <c r="E165" i="403" s="1"/>
  <c r="G19" i="395"/>
  <c r="H19" i="395" s="1"/>
  <c r="I58" i="388"/>
  <c r="H58" i="388"/>
  <c r="G51" i="388"/>
  <c r="I51" i="388" s="1"/>
  <c r="F28" i="346"/>
  <c r="F36" i="346" s="1"/>
  <c r="F44" i="346" s="1"/>
  <c r="H20" i="346"/>
  <c r="I65" i="399"/>
  <c r="H65" i="399"/>
  <c r="I140" i="392"/>
  <c r="H140" i="392"/>
  <c r="H175" i="394"/>
  <c r="G177" i="394"/>
  <c r="H177" i="394" s="1"/>
  <c r="G21" i="360"/>
  <c r="H23" i="360"/>
  <c r="I175" i="399"/>
  <c r="H175" i="399"/>
  <c r="G177" i="399"/>
  <c r="H177" i="399" s="1"/>
  <c r="I52" i="405"/>
  <c r="H52" i="405"/>
  <c r="G177" i="403"/>
  <c r="H177" i="403" s="1"/>
  <c r="H175" i="403"/>
  <c r="I72" i="402"/>
  <c r="H72" i="402"/>
  <c r="E37" i="412"/>
  <c r="E35" i="412" s="1"/>
  <c r="E31" i="413"/>
  <c r="D45" i="416"/>
  <c r="I70" i="392"/>
  <c r="H70" i="392"/>
  <c r="G21" i="389"/>
  <c r="H23" i="389"/>
  <c r="H145" i="395"/>
  <c r="G144" i="395"/>
  <c r="H144" i="395" s="1"/>
  <c r="H17" i="397"/>
  <c r="G15" i="397"/>
  <c r="H15" i="397" s="1"/>
  <c r="I90" i="398"/>
  <c r="H90" i="398"/>
  <c r="H55" i="398"/>
  <c r="I55" i="398"/>
  <c r="G51" i="401"/>
  <c r="I63" i="401"/>
  <c r="H175" i="395"/>
  <c r="G177" i="395"/>
  <c r="H177" i="395" s="1"/>
  <c r="G144" i="389"/>
  <c r="I145" i="389"/>
  <c r="H70" i="402"/>
  <c r="I70" i="402"/>
  <c r="H120" i="399"/>
  <c r="I120" i="399"/>
  <c r="E35" i="417"/>
  <c r="H71" i="399"/>
  <c r="I71" i="399"/>
  <c r="I71" i="394"/>
  <c r="H71" i="394"/>
  <c r="E17" i="412"/>
  <c r="E16" i="412" s="1"/>
  <c r="D16" i="412"/>
  <c r="I86" i="325"/>
  <c r="G164" i="393"/>
  <c r="H159" i="393"/>
  <c r="I40" i="388"/>
  <c r="H40" i="388"/>
  <c r="G36" i="388"/>
  <c r="I98" i="388"/>
  <c r="H98" i="388"/>
  <c r="G32" i="396"/>
  <c r="H32" i="396" s="1"/>
  <c r="H52" i="403"/>
  <c r="I52" i="403"/>
  <c r="G51" i="403"/>
  <c r="I51" i="403" s="1"/>
  <c r="H92" i="407"/>
  <c r="H56" i="397"/>
  <c r="E47" i="388"/>
  <c r="G27" i="397"/>
  <c r="H27" i="397" s="1"/>
  <c r="H29" i="397"/>
  <c r="I72" i="399"/>
  <c r="H72" i="399"/>
  <c r="I175" i="388"/>
  <c r="G177" i="388"/>
  <c r="I177" i="388" s="1"/>
  <c r="H175" i="388"/>
  <c r="H33" i="407"/>
  <c r="G32" i="407"/>
  <c r="H32" i="407" s="1"/>
  <c r="I90" i="404"/>
  <c r="H90" i="404"/>
  <c r="C45" i="418"/>
  <c r="C139" i="418" s="1"/>
  <c r="C143" i="418" s="1"/>
  <c r="E24" i="401"/>
  <c r="U79" i="348"/>
  <c r="U59" i="348"/>
  <c r="N97" i="348"/>
  <c r="U54" i="348"/>
  <c r="O98" i="348"/>
  <c r="O100" i="348" s="1"/>
  <c r="U43" i="348"/>
  <c r="N57" i="348"/>
  <c r="V63" i="347"/>
  <c r="J110" i="347"/>
  <c r="J61" i="347"/>
  <c r="V50" i="347"/>
  <c r="D118" i="411"/>
  <c r="I97" i="348"/>
  <c r="T32" i="348"/>
  <c r="U87" i="348"/>
  <c r="U71" i="348"/>
  <c r="U67" i="348"/>
  <c r="U63" i="348"/>
  <c r="L98" i="348"/>
  <c r="L99" i="348" s="1"/>
  <c r="V106" i="347"/>
  <c r="V102" i="347"/>
  <c r="V100" i="347"/>
  <c r="V96" i="347"/>
  <c r="V94" i="347"/>
  <c r="U73" i="348"/>
  <c r="U10" i="348"/>
  <c r="V60" i="347"/>
  <c r="V91" i="347"/>
  <c r="V46" i="347"/>
  <c r="V42" i="347"/>
  <c r="V54" i="347"/>
  <c r="V48" i="347"/>
  <c r="V34" i="347"/>
  <c r="V87" i="347"/>
  <c r="E14" i="412"/>
  <c r="E12" i="412" s="1"/>
  <c r="E10" i="412" s="1"/>
  <c r="D12" i="412"/>
  <c r="D10" i="412" s="1"/>
  <c r="I140" i="403"/>
  <c r="I125" i="396"/>
  <c r="E13" i="339"/>
  <c r="I160" i="407"/>
  <c r="E147" i="402"/>
  <c r="E165" i="402" s="1"/>
  <c r="E178" i="402" s="1"/>
  <c r="H86" i="402"/>
  <c r="G15" i="396"/>
  <c r="H15" i="396" s="1"/>
  <c r="I120" i="407"/>
  <c r="D47" i="417"/>
  <c r="H160" i="392"/>
  <c r="I160" i="392"/>
  <c r="H39" i="394"/>
  <c r="G36" i="394"/>
  <c r="H36" i="394" s="1"/>
  <c r="G164" i="396"/>
  <c r="H12" i="398"/>
  <c r="G11" i="398"/>
  <c r="H11" i="398" s="1"/>
  <c r="F24" i="397"/>
  <c r="F48" i="397" s="1"/>
  <c r="H142" i="407"/>
  <c r="G139" i="407"/>
  <c r="H139" i="407" s="1"/>
  <c r="G29" i="407"/>
  <c r="H30" i="407"/>
  <c r="H39" i="397"/>
  <c r="G36" i="397"/>
  <c r="H36" i="397" s="1"/>
  <c r="G15" i="404"/>
  <c r="I17" i="404"/>
  <c r="I95" i="392"/>
  <c r="H95" i="392"/>
  <c r="I95" i="388"/>
  <c r="H95" i="388"/>
  <c r="I71" i="396"/>
  <c r="H71" i="396"/>
  <c r="G36" i="393"/>
  <c r="H36" i="393" s="1"/>
  <c r="G164" i="404"/>
  <c r="H164" i="404" s="1"/>
  <c r="H82" i="393"/>
  <c r="I82" i="393"/>
  <c r="I67" i="403"/>
  <c r="H67" i="403"/>
  <c r="I52" i="393"/>
  <c r="H52" i="393"/>
  <c r="H68" i="398"/>
  <c r="I68" i="398"/>
  <c r="H67" i="392"/>
  <c r="I67" i="392"/>
  <c r="H111" i="395"/>
  <c r="I111" i="395"/>
  <c r="G36" i="401"/>
  <c r="I44" i="401"/>
  <c r="E35" i="418"/>
  <c r="F76" i="395"/>
  <c r="E47" i="413"/>
  <c r="E76" i="408"/>
  <c r="E147" i="408" s="1"/>
  <c r="E165" i="408" s="1"/>
  <c r="E178" i="408" s="1"/>
  <c r="H86" i="398"/>
  <c r="I86" i="398"/>
  <c r="I109" i="388"/>
  <c r="H109" i="388"/>
  <c r="I62" i="388"/>
  <c r="H62" i="388"/>
  <c r="H70" i="403"/>
  <c r="I70" i="403"/>
  <c r="I86" i="394"/>
  <c r="H86" i="394"/>
  <c r="H158" i="392"/>
  <c r="I158" i="392"/>
  <c r="I58" i="397"/>
  <c r="H58" i="397"/>
  <c r="E33" i="417"/>
  <c r="E31" i="417" s="1"/>
  <c r="D31" i="417"/>
  <c r="G16" i="393"/>
  <c r="F15" i="393"/>
  <c r="F24" i="393" s="1"/>
  <c r="E49" i="416"/>
  <c r="E47" i="416" s="1"/>
  <c r="D47" i="416"/>
  <c r="D138" i="416" s="1"/>
  <c r="E26" i="416"/>
  <c r="G155" i="394"/>
  <c r="H155" i="394" s="1"/>
  <c r="F164" i="394"/>
  <c r="G27" i="404"/>
  <c r="H27" i="404" s="1"/>
  <c r="H75" i="346"/>
  <c r="D35" i="417"/>
  <c r="E20" i="416"/>
  <c r="E12" i="339"/>
  <c r="D20" i="339"/>
  <c r="D27" i="339" s="1"/>
  <c r="D34" i="339" s="1"/>
  <c r="D41" i="339" s="1"/>
  <c r="D48" i="339" s="1"/>
  <c r="D55" i="339" s="1"/>
  <c r="D62" i="339" s="1"/>
  <c r="D69" i="339" s="1"/>
  <c r="D76" i="339" s="1"/>
  <c r="D83" i="339" s="1"/>
  <c r="D90" i="339" s="1"/>
  <c r="E47" i="404"/>
  <c r="G11" i="408"/>
  <c r="H12" i="408"/>
  <c r="H61" i="399"/>
  <c r="I61" i="399"/>
  <c r="I90" i="399"/>
  <c r="H90" i="399"/>
  <c r="H140" i="398"/>
  <c r="G139" i="398"/>
  <c r="I53" i="397"/>
  <c r="H53" i="397"/>
  <c r="E47" i="393"/>
  <c r="H16" i="388"/>
  <c r="I16" i="388"/>
  <c r="I52" i="404"/>
  <c r="H52" i="404"/>
  <c r="U60" i="348"/>
  <c r="U110" i="347"/>
  <c r="U72" i="348"/>
  <c r="U14" i="348"/>
  <c r="V92" i="347"/>
  <c r="U11" i="348"/>
  <c r="I81" i="388"/>
  <c r="D34" i="354"/>
  <c r="D41" i="354" s="1"/>
  <c r="J88" i="337"/>
  <c r="D10" i="418"/>
  <c r="G51" i="395"/>
  <c r="I51" i="395" s="1"/>
  <c r="G27" i="392"/>
  <c r="H27" i="392" s="1"/>
  <c r="G164" i="389"/>
  <c r="I164" i="389" s="1"/>
  <c r="U78" i="348"/>
  <c r="U23" i="348"/>
  <c r="D22" i="412"/>
  <c r="D20" i="412" s="1"/>
  <c r="F139" i="388"/>
  <c r="F78" i="388"/>
  <c r="F77" i="388" s="1"/>
  <c r="F51" i="394"/>
  <c r="F50" i="394" s="1"/>
  <c r="F164" i="402"/>
  <c r="F78" i="402"/>
  <c r="F77" i="402" s="1"/>
  <c r="F76" i="402" s="1"/>
  <c r="G29" i="403"/>
  <c r="G118" i="389"/>
  <c r="F19" i="353"/>
  <c r="F20" i="353" s="1"/>
  <c r="G107" i="407"/>
  <c r="H107" i="407" s="1"/>
  <c r="G57" i="399"/>
  <c r="H57" i="399" s="1"/>
  <c r="G52" i="408"/>
  <c r="G51" i="408" s="1"/>
  <c r="G58" i="389"/>
  <c r="G104" i="393"/>
  <c r="H104" i="393" s="1"/>
  <c r="G71" i="393"/>
  <c r="G44" i="396"/>
  <c r="H44" i="396" s="1"/>
  <c r="F78" i="396"/>
  <c r="F77" i="396" s="1"/>
  <c r="F76" i="396" s="1"/>
  <c r="G111" i="396"/>
  <c r="F139" i="408"/>
  <c r="F76" i="408" s="1"/>
  <c r="F147" i="408" s="1"/>
  <c r="F165" i="408" s="1"/>
  <c r="F178" i="408" s="1"/>
  <c r="G137" i="407"/>
  <c r="H137" i="407" s="1"/>
  <c r="G106" i="408"/>
  <c r="H106" i="408" s="1"/>
  <c r="D271" i="387"/>
  <c r="D24" i="335"/>
  <c r="H24" i="335" s="1"/>
  <c r="D32" i="335"/>
  <c r="H32" i="335" s="1"/>
  <c r="G76" i="335"/>
  <c r="H76" i="335" s="1"/>
  <c r="G80" i="335"/>
  <c r="H80" i="335" s="1"/>
  <c r="H100" i="335"/>
  <c r="D287" i="387"/>
  <c r="H287" i="387" s="1"/>
  <c r="D30" i="335"/>
  <c r="H30" i="335" s="1"/>
  <c r="D303" i="387"/>
  <c r="H303" i="387" s="1"/>
  <c r="H53" i="394"/>
  <c r="I53" i="394"/>
  <c r="H83" i="388"/>
  <c r="I83" i="388"/>
  <c r="H64" i="408"/>
  <c r="H145" i="405"/>
  <c r="G144" i="405"/>
  <c r="H144" i="405" s="1"/>
  <c r="I111" i="388"/>
  <c r="H111" i="388"/>
  <c r="H22" i="407"/>
  <c r="G21" i="407"/>
  <c r="H21" i="407" s="1"/>
  <c r="I72" i="398"/>
  <c r="H72" i="398"/>
  <c r="G51" i="402"/>
  <c r="E74" i="413"/>
  <c r="G78" i="401"/>
  <c r="E48" i="402"/>
  <c r="E22" i="418"/>
  <c r="E20" i="418" s="1"/>
  <c r="H81" i="398"/>
  <c r="G78" i="398"/>
  <c r="H78" i="398" s="1"/>
  <c r="G177" i="398"/>
  <c r="I175" i="398"/>
  <c r="G164" i="397"/>
  <c r="H164" i="397" s="1"/>
  <c r="I156" i="397"/>
  <c r="H156" i="397"/>
  <c r="E76" i="393"/>
  <c r="E147" i="393" s="1"/>
  <c r="E165" i="393" s="1"/>
  <c r="E178" i="393" s="1"/>
  <c r="H23" i="398"/>
  <c r="G21" i="398"/>
  <c r="H30" i="405"/>
  <c r="G29" i="405"/>
  <c r="E47" i="392"/>
  <c r="I61" i="407"/>
  <c r="H61" i="407"/>
  <c r="I16" i="407"/>
  <c r="G15" i="407"/>
  <c r="H16" i="407"/>
  <c r="I157" i="398"/>
  <c r="G164" i="398"/>
  <c r="I164" i="398" s="1"/>
  <c r="H158" i="395"/>
  <c r="G164" i="395"/>
  <c r="I164" i="395" s="1"/>
  <c r="H69" i="407"/>
  <c r="I69" i="407"/>
  <c r="H67" i="388"/>
  <c r="I67" i="388"/>
  <c r="H155" i="407"/>
  <c r="G164" i="407"/>
  <c r="H164" i="407" s="1"/>
  <c r="G144" i="403"/>
  <c r="H144" i="403" s="1"/>
  <c r="H145" i="403"/>
  <c r="H18" i="408"/>
  <c r="G15" i="408"/>
  <c r="H59" i="399"/>
  <c r="H86" i="388"/>
  <c r="I86" i="388"/>
  <c r="G51" i="396"/>
  <c r="E47" i="397"/>
  <c r="H70" i="388"/>
  <c r="I70" i="388"/>
  <c r="G177" i="407"/>
  <c r="H175" i="407"/>
  <c r="H83" i="397"/>
  <c r="G78" i="397"/>
  <c r="H78" i="397" s="1"/>
  <c r="H111" i="392"/>
  <c r="I111" i="392"/>
  <c r="H79" i="394"/>
  <c r="H85" i="405"/>
  <c r="G78" i="405"/>
  <c r="G77" i="405" s="1"/>
  <c r="I68" i="399"/>
  <c r="H68" i="399"/>
  <c r="H157" i="394"/>
  <c r="I71" i="398"/>
  <c r="H71" i="398"/>
  <c r="H54" i="407"/>
  <c r="G51" i="407"/>
  <c r="I51" i="407" s="1"/>
  <c r="G78" i="403"/>
  <c r="G77" i="403" s="1"/>
  <c r="H77" i="403" s="1"/>
  <c r="E24" i="403"/>
  <c r="E48" i="403" s="1"/>
  <c r="T97" i="348"/>
  <c r="I57" i="348"/>
  <c r="U34" i="348"/>
  <c r="O110" i="347"/>
  <c r="U36" i="347"/>
  <c r="E24" i="393"/>
  <c r="V51" i="347"/>
  <c r="C13" i="354"/>
  <c r="E12" i="354"/>
  <c r="G144" i="388"/>
  <c r="I145" i="388"/>
  <c r="I12" i="388"/>
  <c r="G11" i="388"/>
  <c r="I140" i="388"/>
  <c r="G139" i="388"/>
  <c r="H34" i="399"/>
  <c r="G32" i="399"/>
  <c r="H32" i="399" s="1"/>
  <c r="G21" i="399"/>
  <c r="H22" i="399"/>
  <c r="G36" i="404"/>
  <c r="H36" i="404" s="1"/>
  <c r="H40" i="398"/>
  <c r="G36" i="398"/>
  <c r="I99" i="388"/>
  <c r="H99" i="388"/>
  <c r="E47" i="417"/>
  <c r="G164" i="403"/>
  <c r="I156" i="403"/>
  <c r="H30" i="399"/>
  <c r="G29" i="399"/>
  <c r="G164" i="401"/>
  <c r="H59" i="398"/>
  <c r="G51" i="398"/>
  <c r="G50" i="398" s="1"/>
  <c r="H53" i="392"/>
  <c r="G51" i="392"/>
  <c r="G50" i="392" s="1"/>
  <c r="H50" i="392" s="1"/>
  <c r="I89" i="399"/>
  <c r="H89" i="399"/>
  <c r="I72" i="407"/>
  <c r="H72" i="407"/>
  <c r="I63" i="389"/>
  <c r="V40" i="347"/>
  <c r="V12" i="347"/>
  <c r="F78" i="394"/>
  <c r="F77" i="394" s="1"/>
  <c r="F76" i="394" s="1"/>
  <c r="F78" i="403"/>
  <c r="F77" i="403" s="1"/>
  <c r="F76" i="403" s="1"/>
  <c r="F147" i="403" s="1"/>
  <c r="F165" i="403" s="1"/>
  <c r="F178" i="403" s="1"/>
  <c r="F78" i="397"/>
  <c r="F77" i="397" s="1"/>
  <c r="F76" i="397" s="1"/>
  <c r="F147" i="397" s="1"/>
  <c r="F165" i="397" s="1"/>
  <c r="F178" i="397" s="1"/>
  <c r="F36" i="394"/>
  <c r="F47" i="394" s="1"/>
  <c r="F29" i="403"/>
  <c r="F27" i="403" s="1"/>
  <c r="F15" i="401"/>
  <c r="F78" i="401"/>
  <c r="F77" i="401" s="1"/>
  <c r="F51" i="393"/>
  <c r="F50" i="393" s="1"/>
  <c r="F36" i="401"/>
  <c r="F47" i="401" s="1"/>
  <c r="G159" i="402"/>
  <c r="E24" i="412"/>
  <c r="E22" i="412" s="1"/>
  <c r="E20" i="412" s="1"/>
  <c r="G141" i="394"/>
  <c r="G90" i="388"/>
  <c r="K98" i="348"/>
  <c r="K99" i="348" s="1"/>
  <c r="R12" i="421"/>
  <c r="R13" i="421" s="1"/>
  <c r="R14" i="421" s="1"/>
  <c r="D74" i="413"/>
  <c r="F36" i="403"/>
  <c r="F51" i="401"/>
  <c r="F50" i="401" s="1"/>
  <c r="F51" i="396"/>
  <c r="F50" i="396" s="1"/>
  <c r="F15" i="403"/>
  <c r="F24" i="403" s="1"/>
  <c r="G82" i="402"/>
  <c r="G84" i="396"/>
  <c r="G11" i="401"/>
  <c r="Q111" i="347"/>
  <c r="E165" i="401"/>
  <c r="E178" i="401" s="1"/>
  <c r="E178" i="360"/>
  <c r="I77" i="325"/>
  <c r="F11" i="401"/>
  <c r="F9" i="401" s="1"/>
  <c r="F36" i="393"/>
  <c r="F47" i="393" s="1"/>
  <c r="E76" i="394"/>
  <c r="G145" i="401"/>
  <c r="V98" i="347"/>
  <c r="F19" i="402"/>
  <c r="F24" i="402" s="1"/>
  <c r="G29" i="402"/>
  <c r="H29" i="402" s="1"/>
  <c r="H90" i="335"/>
  <c r="D20" i="335"/>
  <c r="H20" i="335" s="1"/>
  <c r="D28" i="335"/>
  <c r="H28" i="335" s="1"/>
  <c r="D36" i="335"/>
  <c r="H36" i="335" s="1"/>
  <c r="D10" i="335"/>
  <c r="H10" i="335" s="1"/>
  <c r="D11" i="335"/>
  <c r="H11" i="335" s="1"/>
  <c r="D14" i="335"/>
  <c r="H14" i="335" s="1"/>
  <c r="D18" i="335"/>
  <c r="H18" i="335" s="1"/>
  <c r="D22" i="335"/>
  <c r="H22" i="335" s="1"/>
  <c r="D23" i="335"/>
  <c r="H23" i="335" s="1"/>
  <c r="D26" i="335"/>
  <c r="H26" i="335" s="1"/>
  <c r="D27" i="335"/>
  <c r="H27" i="335" s="1"/>
  <c r="D31" i="335"/>
  <c r="H31" i="335" s="1"/>
  <c r="D34" i="335"/>
  <c r="H34" i="335" s="1"/>
  <c r="D39" i="335"/>
  <c r="H39" i="335" s="1"/>
  <c r="D46" i="335"/>
  <c r="H46" i="335" s="1"/>
  <c r="D47" i="335"/>
  <c r="H47" i="335" s="1"/>
  <c r="D50" i="335"/>
  <c r="H50" i="335" s="1"/>
  <c r="D51" i="335"/>
  <c r="H51" i="335" s="1"/>
  <c r="D55" i="335"/>
  <c r="H55" i="335" s="1"/>
  <c r="D58" i="335"/>
  <c r="H58" i="335" s="1"/>
  <c r="D63" i="335"/>
  <c r="H63" i="335" s="1"/>
  <c r="D66" i="335"/>
  <c r="H66" i="335" s="1"/>
  <c r="D71" i="335"/>
  <c r="H71" i="335" s="1"/>
  <c r="D75" i="335"/>
  <c r="D79" i="335"/>
  <c r="H79" i="335" s="1"/>
  <c r="D83" i="335"/>
  <c r="H83" i="335" s="1"/>
  <c r="D91" i="335"/>
  <c r="H91" i="335" s="1"/>
  <c r="D95" i="335"/>
  <c r="H95" i="335" s="1"/>
  <c r="D103" i="335"/>
  <c r="H103" i="335" s="1"/>
  <c r="G173" i="387"/>
  <c r="H173" i="387" s="1"/>
  <c r="I136" i="325" s="1"/>
  <c r="D37" i="387"/>
  <c r="H37" i="387" s="1"/>
  <c r="I38" i="325" s="1"/>
  <c r="D101" i="387"/>
  <c r="H101" i="387" s="1"/>
  <c r="I88" i="325" s="1"/>
  <c r="G124" i="387"/>
  <c r="H124" i="387" s="1"/>
  <c r="G159" i="387"/>
  <c r="H159" i="387" s="1"/>
  <c r="D225" i="387"/>
  <c r="H225" i="387" s="1"/>
  <c r="I45" i="337" s="1"/>
  <c r="D231" i="387"/>
  <c r="H231" i="387" s="1"/>
  <c r="I59" i="337" s="1"/>
  <c r="J57" i="337" s="1"/>
  <c r="D263" i="387"/>
  <c r="H263" i="387" s="1"/>
  <c r="I101" i="337" s="1"/>
  <c r="D328" i="335"/>
  <c r="H328" i="335" s="1"/>
  <c r="D329" i="387"/>
  <c r="H329" i="387" s="1"/>
  <c r="D70" i="387"/>
  <c r="H70" i="387" s="1"/>
  <c r="I53" i="325" s="1"/>
  <c r="G86" i="387"/>
  <c r="H86" i="387" s="1"/>
  <c r="H79" i="325" s="1"/>
  <c r="G157" i="387"/>
  <c r="H157" i="387" s="1"/>
  <c r="G190" i="387"/>
  <c r="H190" i="387" s="1"/>
  <c r="I22" i="337" s="1"/>
  <c r="D217" i="387"/>
  <c r="H217" i="387" s="1"/>
  <c r="D223" i="387"/>
  <c r="H223" i="387" s="1"/>
  <c r="I48" i="337" s="1"/>
  <c r="G203" i="335"/>
  <c r="H203" i="335" s="1"/>
  <c r="D40" i="335"/>
  <c r="H40" i="335" s="1"/>
  <c r="D60" i="335"/>
  <c r="H60" i="335" s="1"/>
  <c r="D68" i="335"/>
  <c r="H68" i="335" s="1"/>
  <c r="D39" i="387"/>
  <c r="H39" i="387" s="1"/>
  <c r="I40" i="325" s="1"/>
  <c r="G144" i="387"/>
  <c r="H144" i="387" s="1"/>
  <c r="I126" i="325" s="1"/>
  <c r="G175" i="387"/>
  <c r="H175" i="387" s="1"/>
  <c r="I138" i="325" s="1"/>
  <c r="D279" i="387"/>
  <c r="H279" i="387" s="1"/>
  <c r="D311" i="387"/>
  <c r="H311" i="387" s="1"/>
  <c r="I133" i="337" s="1"/>
  <c r="G9" i="407"/>
  <c r="H9" i="407" s="1"/>
  <c r="H11" i="407"/>
  <c r="H29" i="396"/>
  <c r="I9" i="389"/>
  <c r="G19" i="401"/>
  <c r="H19" i="401" s="1"/>
  <c r="I29" i="396"/>
  <c r="I11" i="389"/>
  <c r="H11" i="389"/>
  <c r="R112" i="347"/>
  <c r="I29" i="395"/>
  <c r="C20" i="339"/>
  <c r="U93" i="348"/>
  <c r="G98" i="348"/>
  <c r="U21" i="348"/>
  <c r="V104" i="347"/>
  <c r="U25" i="348"/>
  <c r="E24" i="360"/>
  <c r="G111" i="347"/>
  <c r="G113" i="347" s="1"/>
  <c r="U91" i="348"/>
  <c r="U83" i="348"/>
  <c r="U69" i="348"/>
  <c r="U77" i="348"/>
  <c r="U22" i="348"/>
  <c r="D12" i="387"/>
  <c r="H12" i="387" s="1"/>
  <c r="D20" i="387"/>
  <c r="H20" i="387" s="1"/>
  <c r="I27" i="325" s="1"/>
  <c r="D28" i="387"/>
  <c r="H28" i="387" s="1"/>
  <c r="D42" i="387"/>
  <c r="H42" i="387" s="1"/>
  <c r="D251" i="387"/>
  <c r="H251" i="387" s="1"/>
  <c r="I81" i="337" s="1"/>
  <c r="J74" i="337" s="1"/>
  <c r="D299" i="387"/>
  <c r="H299" i="387" s="1"/>
  <c r="I129" i="337" s="1"/>
  <c r="D24" i="387"/>
  <c r="H24" i="387" s="1"/>
  <c r="D25" i="387"/>
  <c r="H25" i="387" s="1"/>
  <c r="D32" i="387"/>
  <c r="H32" i="387" s="1"/>
  <c r="G78" i="387"/>
  <c r="H78" i="387" s="1"/>
  <c r="H65" i="325" s="1"/>
  <c r="I65" i="325" s="1"/>
  <c r="D85" i="387"/>
  <c r="H85" i="387" s="1"/>
  <c r="H78" i="325" s="1"/>
  <c r="D95" i="387"/>
  <c r="H95" i="387" s="1"/>
  <c r="H81" i="325" s="1"/>
  <c r="G142" i="387"/>
  <c r="H142" i="387" s="1"/>
  <c r="G155" i="387"/>
  <c r="H155" i="387" s="1"/>
  <c r="G163" i="387"/>
  <c r="H163" i="387" s="1"/>
  <c r="G179" i="387"/>
  <c r="H179" i="387" s="1"/>
  <c r="G187" i="387"/>
  <c r="H187" i="387" s="1"/>
  <c r="I18" i="337" s="1"/>
  <c r="G196" i="387"/>
  <c r="H196" i="387" s="1"/>
  <c r="I20" i="337" s="1"/>
  <c r="D213" i="387"/>
  <c r="H213" i="387" s="1"/>
  <c r="I43" i="337" s="1"/>
  <c r="D229" i="387"/>
  <c r="H229" i="387" s="1"/>
  <c r="I51" i="337" s="1"/>
  <c r="D237" i="387"/>
  <c r="H237" i="387" s="1"/>
  <c r="I70" i="337" s="1"/>
  <c r="H271" i="387"/>
  <c r="I114" i="337" s="1"/>
  <c r="D134" i="335"/>
  <c r="H134" i="335" s="1"/>
  <c r="G141" i="335"/>
  <c r="H141" i="335" s="1"/>
  <c r="G163" i="335"/>
  <c r="H163" i="335" s="1"/>
  <c r="J160" i="335" s="1"/>
  <c r="G178" i="335"/>
  <c r="H178" i="335" s="1"/>
  <c r="G179" i="335"/>
  <c r="H179" i="335" s="1"/>
  <c r="G191" i="335"/>
  <c r="H191" i="335" s="1"/>
  <c r="G204" i="335"/>
  <c r="H204" i="335" s="1"/>
  <c r="D208" i="335"/>
  <c r="D31" i="387"/>
  <c r="H31" i="387" s="1"/>
  <c r="D46" i="387"/>
  <c r="H46" i="387" s="1"/>
  <c r="I39" i="325" s="1"/>
  <c r="G74" i="387"/>
  <c r="H74" i="387" s="1"/>
  <c r="G90" i="387"/>
  <c r="H90" i="387" s="1"/>
  <c r="H70" i="325" s="1"/>
  <c r="G108" i="387"/>
  <c r="H108" i="387" s="1"/>
  <c r="H90" i="325" s="1"/>
  <c r="G153" i="387"/>
  <c r="H153" i="387" s="1"/>
  <c r="G169" i="387"/>
  <c r="H169" i="387" s="1"/>
  <c r="G185" i="387"/>
  <c r="H185" i="387" s="1"/>
  <c r="I17" i="337" s="1"/>
  <c r="G202" i="387"/>
  <c r="H202" i="387" s="1"/>
  <c r="I27" i="337" s="1"/>
  <c r="D211" i="387"/>
  <c r="H211" i="387" s="1"/>
  <c r="I41" i="337" s="1"/>
  <c r="D219" i="387"/>
  <c r="H219" i="387" s="1"/>
  <c r="I53" i="337" s="1"/>
  <c r="J38" i="337" s="1"/>
  <c r="D235" i="387"/>
  <c r="H235" i="387" s="1"/>
  <c r="I64" i="337" s="1"/>
  <c r="J62" i="337" s="1"/>
  <c r="D275" i="387"/>
  <c r="H275" i="387" s="1"/>
  <c r="I107" i="337" s="1"/>
  <c r="D291" i="387"/>
  <c r="H291" i="387" s="1"/>
  <c r="D323" i="387"/>
  <c r="H323" i="387" s="1"/>
  <c r="G38" i="387"/>
  <c r="H38" i="387" s="1"/>
  <c r="H36" i="325" s="1"/>
  <c r="I36" i="325" s="1"/>
  <c r="D61" i="387"/>
  <c r="H61" i="387" s="1"/>
  <c r="G148" i="335"/>
  <c r="H148" i="335" s="1"/>
  <c r="D334" i="387"/>
  <c r="H334" i="387" s="1"/>
  <c r="G145" i="335"/>
  <c r="H145" i="335" s="1"/>
  <c r="G77" i="399"/>
  <c r="G27" i="388"/>
  <c r="H29" i="388"/>
  <c r="H139" i="404"/>
  <c r="I139" i="404"/>
  <c r="I177" i="399"/>
  <c r="H36" i="395"/>
  <c r="J84" i="337"/>
  <c r="E48" i="405"/>
  <c r="E28" i="346"/>
  <c r="U84" i="348"/>
  <c r="U51" i="348"/>
  <c r="V108" i="347"/>
  <c r="P111" i="347"/>
  <c r="V64" i="347"/>
  <c r="V26" i="347"/>
  <c r="U66" i="348"/>
  <c r="U49" i="348"/>
  <c r="T57" i="348"/>
  <c r="E24" i="395"/>
  <c r="U39" i="348"/>
  <c r="M98" i="348"/>
  <c r="D47" i="410"/>
  <c r="E47" i="410" s="1"/>
  <c r="V68" i="347"/>
  <c r="U95" i="348"/>
  <c r="V90" i="347"/>
  <c r="V44" i="347"/>
  <c r="F47" i="404"/>
  <c r="F48" i="404" s="1"/>
  <c r="G32" i="389"/>
  <c r="G21" i="404"/>
  <c r="E47" i="399"/>
  <c r="E24" i="408"/>
  <c r="E76" i="389"/>
  <c r="E147" i="389" s="1"/>
  <c r="E165" i="389" s="1"/>
  <c r="E178" i="389" s="1"/>
  <c r="E31" i="412"/>
  <c r="D74" i="417"/>
  <c r="D138" i="417" s="1"/>
  <c r="E47" i="401"/>
  <c r="N111" i="347"/>
  <c r="V89" i="347"/>
  <c r="V38" i="347"/>
  <c r="U47" i="348"/>
  <c r="V35" i="347"/>
  <c r="V31" i="347"/>
  <c r="V29" i="347"/>
  <c r="V27" i="347"/>
  <c r="V24" i="347"/>
  <c r="V58" i="347"/>
  <c r="V84" i="347"/>
  <c r="V82" i="347"/>
  <c r="V80" i="347"/>
  <c r="V79" i="347"/>
  <c r="V71" i="347"/>
  <c r="U56" i="348"/>
  <c r="V21" i="347"/>
  <c r="V18" i="347"/>
  <c r="V15" i="347"/>
  <c r="V14" i="347"/>
  <c r="V13" i="347"/>
  <c r="H75" i="335"/>
  <c r="H78" i="335"/>
  <c r="G82" i="335"/>
  <c r="H82" i="335" s="1"/>
  <c r="G98" i="335"/>
  <c r="H98" i="335" s="1"/>
  <c r="G102" i="335"/>
  <c r="H102" i="335" s="1"/>
  <c r="H167" i="335"/>
  <c r="H192" i="335"/>
  <c r="D41" i="387"/>
  <c r="H41" i="387" s="1"/>
  <c r="D45" i="387"/>
  <c r="H45" i="387" s="1"/>
  <c r="D49" i="387"/>
  <c r="H49" i="387" s="1"/>
  <c r="I49" i="325" s="1"/>
  <c r="D23" i="387"/>
  <c r="H23" i="387" s="1"/>
  <c r="D123" i="387"/>
  <c r="H123" i="387" s="1"/>
  <c r="D13" i="387"/>
  <c r="D21" i="387"/>
  <c r="H21" i="387" s="1"/>
  <c r="I28" i="325" s="1"/>
  <c r="D43" i="387"/>
  <c r="H43" i="387" s="1"/>
  <c r="D47" i="387"/>
  <c r="H47" i="387" s="1"/>
  <c r="I44" i="325" s="1"/>
  <c r="D51" i="387"/>
  <c r="H51" i="387" s="1"/>
  <c r="D59" i="387"/>
  <c r="H59" i="387" s="1"/>
  <c r="D75" i="387"/>
  <c r="H75" i="387" s="1"/>
  <c r="D131" i="387"/>
  <c r="H131" i="387" s="1"/>
  <c r="I58" i="325" s="1"/>
  <c r="D11" i="387"/>
  <c r="H11" i="387" s="1"/>
  <c r="I17" i="325" s="1"/>
  <c r="D19" i="387"/>
  <c r="H19" i="387" s="1"/>
  <c r="I26" i="325" s="1"/>
  <c r="D27" i="387"/>
  <c r="H27" i="387" s="1"/>
  <c r="D65" i="387"/>
  <c r="H65" i="387" s="1"/>
  <c r="D73" i="387"/>
  <c r="H73" i="387" s="1"/>
  <c r="D81" i="387"/>
  <c r="H81" i="387" s="1"/>
  <c r="D89" i="387"/>
  <c r="H89" i="387" s="1"/>
  <c r="H69" i="325" s="1"/>
  <c r="D97" i="387"/>
  <c r="H97" i="387" s="1"/>
  <c r="H83" i="325" s="1"/>
  <c r="I84" i="325" s="1"/>
  <c r="D107" i="387"/>
  <c r="H107" i="387" s="1"/>
  <c r="H89" i="325" s="1"/>
  <c r="D117" i="387"/>
  <c r="H117" i="387" s="1"/>
  <c r="I97" i="325" s="1"/>
  <c r="G147" i="335"/>
  <c r="H147" i="335" s="1"/>
  <c r="G149" i="335"/>
  <c r="P531" i="310"/>
  <c r="P532" i="310" s="1"/>
  <c r="P533" i="310"/>
  <c r="P534" i="310" s="1"/>
  <c r="P535" i="310" s="1"/>
  <c r="P536" i="310" s="1"/>
  <c r="P537" i="310" s="1"/>
  <c r="P538" i="310" s="1"/>
  <c r="P539" i="310" s="1"/>
  <c r="P540" i="310" s="1"/>
  <c r="P541" i="310" s="1"/>
  <c r="P542" i="310" s="1"/>
  <c r="P543" i="310" s="1"/>
  <c r="P544" i="310" s="1"/>
  <c r="P545" i="310" s="1"/>
  <c r="P546" i="310" s="1"/>
  <c r="P547" i="310" s="1"/>
  <c r="P548" i="310" s="1"/>
  <c r="P549" i="310" s="1"/>
  <c r="P550" i="310" s="1"/>
  <c r="P551" i="310" s="1"/>
  <c r="P552" i="310" s="1"/>
  <c r="P553" i="310" s="1"/>
  <c r="P554" i="310" s="1"/>
  <c r="P555" i="310" s="1"/>
  <c r="P556" i="310" s="1"/>
  <c r="P557" i="310" s="1"/>
  <c r="P558" i="310" s="1"/>
  <c r="P559" i="310" s="1"/>
  <c r="P560" i="310" s="1"/>
  <c r="P561" i="310" s="1"/>
  <c r="P562" i="310" s="1"/>
  <c r="P563" i="310" s="1"/>
  <c r="P564" i="310" s="1"/>
  <c r="P565" i="310" s="1"/>
  <c r="P566" i="310" s="1"/>
  <c r="P567" i="310" s="1"/>
  <c r="P568" i="310" s="1"/>
  <c r="P569" i="310" s="1"/>
  <c r="P570" i="310" s="1"/>
  <c r="P571" i="310" s="1"/>
  <c r="P572" i="310" s="1"/>
  <c r="P573" i="310" s="1"/>
  <c r="P574" i="310" s="1"/>
  <c r="P575" i="310" s="1"/>
  <c r="P576" i="310" s="1"/>
  <c r="P577" i="310" s="1"/>
  <c r="P578" i="310" s="1"/>
  <c r="P579" i="310" s="1"/>
  <c r="P580" i="310" s="1"/>
  <c r="P581" i="310" s="1"/>
  <c r="P582" i="310" s="1"/>
  <c r="P583" i="310" s="1"/>
  <c r="P584" i="310" s="1"/>
  <c r="P585" i="310" s="1"/>
  <c r="P586" i="310" s="1"/>
  <c r="P587" i="310" s="1"/>
  <c r="P588" i="310" s="1"/>
  <c r="P589" i="310" s="1"/>
  <c r="P590" i="310" s="1"/>
  <c r="P591" i="310" s="1"/>
  <c r="H27" i="395"/>
  <c r="H32" i="397"/>
  <c r="Q99" i="348"/>
  <c r="J99" i="348"/>
  <c r="J35" i="337"/>
  <c r="D34" i="254"/>
  <c r="E27" i="254"/>
  <c r="G77" i="397"/>
  <c r="G9" i="396"/>
  <c r="H11" i="396"/>
  <c r="L113" i="347"/>
  <c r="L112" i="347"/>
  <c r="I112" i="347"/>
  <c r="I113" i="347"/>
  <c r="I99" i="325"/>
  <c r="H28" i="394"/>
  <c r="G27" i="394"/>
  <c r="G29" i="393"/>
  <c r="H30" i="393"/>
  <c r="E147" i="398"/>
  <c r="E165" i="398" s="1"/>
  <c r="H112" i="388"/>
  <c r="I112" i="388"/>
  <c r="I140" i="394"/>
  <c r="H140" i="394"/>
  <c r="H158" i="405"/>
  <c r="G164" i="405"/>
  <c r="I52" i="407"/>
  <c r="H52" i="407"/>
  <c r="I94" i="407"/>
  <c r="H94" i="407"/>
  <c r="H55" i="399"/>
  <c r="I55" i="399"/>
  <c r="I30" i="392"/>
  <c r="H30" i="392"/>
  <c r="I56" i="407"/>
  <c r="H56" i="407"/>
  <c r="E12" i="413"/>
  <c r="E10" i="413" s="1"/>
  <c r="E33" i="339"/>
  <c r="H86" i="407"/>
  <c r="I86" i="407"/>
  <c r="U94" i="348"/>
  <c r="V85" i="347"/>
  <c r="V69" i="347"/>
  <c r="O36" i="347"/>
  <c r="V9" i="347"/>
  <c r="I82" i="392"/>
  <c r="H82" i="392"/>
  <c r="I32" i="348"/>
  <c r="O61" i="347"/>
  <c r="D74" i="412"/>
  <c r="E94" i="412"/>
  <c r="E74" i="412" s="1"/>
  <c r="H88" i="401"/>
  <c r="I88" i="401"/>
  <c r="E26" i="418"/>
  <c r="E24" i="397"/>
  <c r="E48" i="397" s="1"/>
  <c r="E76" i="397"/>
  <c r="E147" i="397" s="1"/>
  <c r="E165" i="397" s="1"/>
  <c r="E178" i="397" s="1"/>
  <c r="I65" i="407"/>
  <c r="H65" i="407"/>
  <c r="E24" i="389"/>
  <c r="G139" i="403"/>
  <c r="I71" i="397"/>
  <c r="H71" i="397"/>
  <c r="U38" i="348"/>
  <c r="U36" i="348"/>
  <c r="V65" i="347"/>
  <c r="E56" i="412"/>
  <c r="D47" i="412"/>
  <c r="I69" i="388"/>
  <c r="I140" i="398"/>
  <c r="H56" i="388"/>
  <c r="E24" i="392"/>
  <c r="E24" i="407"/>
  <c r="E48" i="407" s="1"/>
  <c r="D31" i="412"/>
  <c r="G189" i="387"/>
  <c r="H189" i="387" s="1"/>
  <c r="I21" i="337" s="1"/>
  <c r="D333" i="387"/>
  <c r="H333" i="387" s="1"/>
  <c r="I142" i="337" s="1"/>
  <c r="D325" i="387"/>
  <c r="H325" i="387" s="1"/>
  <c r="D329" i="335"/>
  <c r="H329" i="335" s="1"/>
  <c r="G148" i="387"/>
  <c r="H148" i="387" s="1"/>
  <c r="I116" i="325" s="1"/>
  <c r="D330" i="335"/>
  <c r="H330" i="335" s="1"/>
  <c r="D326" i="335"/>
  <c r="H326" i="335" s="1"/>
  <c r="D322" i="335"/>
  <c r="H322" i="335" s="1"/>
  <c r="D324" i="335"/>
  <c r="H324" i="335" s="1"/>
  <c r="D332" i="387"/>
  <c r="H332" i="387" s="1"/>
  <c r="I141" i="337" s="1"/>
  <c r="D328" i="387"/>
  <c r="H328" i="387" s="1"/>
  <c r="D331" i="387"/>
  <c r="H331" i="387" s="1"/>
  <c r="D327" i="387"/>
  <c r="H327" i="387" s="1"/>
  <c r="G6" i="353"/>
  <c r="G7" i="353" s="1"/>
  <c r="G8" i="353" s="1"/>
  <c r="G9" i="353" s="1"/>
  <c r="G10" i="353" s="1"/>
  <c r="G11" i="353" s="1"/>
  <c r="G12" i="353" s="1"/>
  <c r="G13" i="353" s="1"/>
  <c r="G14" i="353" s="1"/>
  <c r="G15" i="353" s="1"/>
  <c r="G16" i="353" s="1"/>
  <c r="G17" i="353" s="1"/>
  <c r="G18" i="353" s="1"/>
  <c r="E19" i="353"/>
  <c r="E20" i="353" s="1"/>
  <c r="L20" i="391"/>
  <c r="L59" i="391" s="1"/>
  <c r="M35" i="391"/>
  <c r="J36" i="347" l="1"/>
  <c r="E148" i="396"/>
  <c r="E152" i="396" s="1"/>
  <c r="R15" i="421"/>
  <c r="E147" i="394"/>
  <c r="E165" i="394" s="1"/>
  <c r="E178" i="394" s="1"/>
  <c r="E48" i="388"/>
  <c r="E148" i="388" s="1"/>
  <c r="E152" i="388" s="1"/>
  <c r="H164" i="388"/>
  <c r="G36" i="405"/>
  <c r="I36" i="405" s="1"/>
  <c r="F99" i="348"/>
  <c r="R100" i="348"/>
  <c r="G19" i="393"/>
  <c r="H19" i="393" s="1"/>
  <c r="D139" i="416"/>
  <c r="D143" i="416" s="1"/>
  <c r="F24" i="388"/>
  <c r="F147" i="399"/>
  <c r="H36" i="360"/>
  <c r="I36" i="360"/>
  <c r="P99" i="348"/>
  <c r="I27" i="392"/>
  <c r="H36" i="405"/>
  <c r="G47" i="395"/>
  <c r="E48" i="392"/>
  <c r="I50" i="392"/>
  <c r="S113" i="347"/>
  <c r="F179" i="408"/>
  <c r="F48" i="407"/>
  <c r="E47" i="412"/>
  <c r="E138" i="412" s="1"/>
  <c r="G78" i="394"/>
  <c r="H78" i="394" s="1"/>
  <c r="G36" i="389"/>
  <c r="I139" i="395"/>
  <c r="F147" i="407"/>
  <c r="F165" i="407" s="1"/>
  <c r="F178" i="407" s="1"/>
  <c r="G150" i="387"/>
  <c r="H150" i="387" s="1"/>
  <c r="I118" i="325" s="1"/>
  <c r="J100" i="337"/>
  <c r="H112" i="347"/>
  <c r="H113" i="347"/>
  <c r="H196" i="335"/>
  <c r="E153" i="403"/>
  <c r="E13" i="254"/>
  <c r="H51" i="407"/>
  <c r="E48" i="401"/>
  <c r="H45" i="335"/>
  <c r="F48" i="392"/>
  <c r="F179" i="392" s="1"/>
  <c r="H29" i="395"/>
  <c r="F48" i="396"/>
  <c r="H175" i="401"/>
  <c r="I164" i="360"/>
  <c r="F165" i="389"/>
  <c r="F178" i="389" s="1"/>
  <c r="H164" i="389"/>
  <c r="E47" i="389"/>
  <c r="E48" i="389" s="1"/>
  <c r="E179" i="389" s="1"/>
  <c r="G21" i="402"/>
  <c r="G68" i="346"/>
  <c r="H164" i="395"/>
  <c r="I51" i="392"/>
  <c r="C139" i="412"/>
  <c r="C143" i="412" s="1"/>
  <c r="M112" i="347"/>
  <c r="E48" i="395"/>
  <c r="F52" i="346"/>
  <c r="F60" i="346" s="1"/>
  <c r="F68" i="346" s="1"/>
  <c r="E45" i="416"/>
  <c r="H139" i="408"/>
  <c r="E99" i="348"/>
  <c r="E101" i="348" s="1"/>
  <c r="E104" i="348" s="1"/>
  <c r="H285" i="335"/>
  <c r="F147" i="395"/>
  <c r="F165" i="395" s="1"/>
  <c r="F178" i="395" s="1"/>
  <c r="F147" i="393"/>
  <c r="F148" i="408"/>
  <c r="F152" i="408" s="1"/>
  <c r="G11" i="402"/>
  <c r="G78" i="393"/>
  <c r="H73" i="325"/>
  <c r="I73" i="325" s="1"/>
  <c r="H75" i="325"/>
  <c r="I75" i="325" s="1"/>
  <c r="D45" i="418"/>
  <c r="E48" i="394"/>
  <c r="E171" i="394" s="1"/>
  <c r="D330" i="387"/>
  <c r="H330" i="387" s="1"/>
  <c r="G50" i="407"/>
  <c r="E74" i="417"/>
  <c r="J104" i="337"/>
  <c r="E138" i="416"/>
  <c r="D120" i="406"/>
  <c r="E120" i="406" s="1"/>
  <c r="I69" i="397"/>
  <c r="F147" i="398"/>
  <c r="F165" i="398" s="1"/>
  <c r="F178" i="398" s="1"/>
  <c r="G76" i="346"/>
  <c r="E20" i="339"/>
  <c r="H27" i="396"/>
  <c r="F147" i="394"/>
  <c r="F165" i="394" s="1"/>
  <c r="F178" i="394" s="1"/>
  <c r="G51" i="404"/>
  <c r="H51" i="404" s="1"/>
  <c r="H12" i="404"/>
  <c r="J171" i="335"/>
  <c r="E48" i="393"/>
  <c r="E148" i="393" s="1"/>
  <c r="E152" i="393" s="1"/>
  <c r="I55" i="405"/>
  <c r="N98" i="348"/>
  <c r="N99" i="348" s="1"/>
  <c r="F48" i="388"/>
  <c r="H139" i="335"/>
  <c r="F147" i="405"/>
  <c r="F165" i="405" s="1"/>
  <c r="F178" i="405" s="1"/>
  <c r="H177" i="388"/>
  <c r="F335" i="387"/>
  <c r="H49" i="346"/>
  <c r="H57" i="346" s="1"/>
  <c r="H65" i="346" s="1"/>
  <c r="H73" i="346" s="1"/>
  <c r="H81" i="346" s="1"/>
  <c r="H89" i="346" s="1"/>
  <c r="H97" i="346" s="1"/>
  <c r="H105" i="346" s="1"/>
  <c r="C139" i="413"/>
  <c r="C143" i="413" s="1"/>
  <c r="E20" i="254"/>
  <c r="F48" i="389"/>
  <c r="F153" i="389" s="1"/>
  <c r="G147" i="360"/>
  <c r="F167" i="408"/>
  <c r="E148" i="403"/>
  <c r="E152" i="403" s="1"/>
  <c r="E166" i="402"/>
  <c r="E170" i="402" s="1"/>
  <c r="C139" i="417"/>
  <c r="C143" i="417" s="1"/>
  <c r="I55" i="360"/>
  <c r="H55" i="360"/>
  <c r="G51" i="360"/>
  <c r="G50" i="360" s="1"/>
  <c r="F166" i="408"/>
  <c r="F170" i="408" s="1"/>
  <c r="F48" i="398"/>
  <c r="T112" i="347"/>
  <c r="G51" i="405"/>
  <c r="H51" i="405" s="1"/>
  <c r="G32" i="360"/>
  <c r="F48" i="394"/>
  <c r="H11" i="393"/>
  <c r="G9" i="393"/>
  <c r="H9" i="393" s="1"/>
  <c r="C27" i="339"/>
  <c r="I139" i="407"/>
  <c r="J111" i="347"/>
  <c r="J112" i="347" s="1"/>
  <c r="D326" i="387"/>
  <c r="H326" i="387" s="1"/>
  <c r="R1" i="341"/>
  <c r="A11" i="341"/>
  <c r="D45" i="417"/>
  <c r="D139" i="417" s="1"/>
  <c r="D143" i="417" s="1"/>
  <c r="E48" i="408"/>
  <c r="D45" i="413"/>
  <c r="H93" i="387"/>
  <c r="H67" i="335"/>
  <c r="G77" i="398"/>
  <c r="I77" i="398" s="1"/>
  <c r="H51" i="392"/>
  <c r="E149" i="388"/>
  <c r="E45" i="417"/>
  <c r="I53" i="388"/>
  <c r="H53" i="388"/>
  <c r="I78" i="398"/>
  <c r="I164" i="404"/>
  <c r="E138" i="418"/>
  <c r="H29" i="398"/>
  <c r="H78" i="399"/>
  <c r="G51" i="399"/>
  <c r="H51" i="399" s="1"/>
  <c r="K113" i="347"/>
  <c r="U32" i="348"/>
  <c r="D138" i="418"/>
  <c r="K335" i="335"/>
  <c r="H311" i="335"/>
  <c r="I77" i="405"/>
  <c r="H77" i="405"/>
  <c r="G76" i="405"/>
  <c r="N100" i="348"/>
  <c r="F167" i="392"/>
  <c r="I177" i="392"/>
  <c r="H177" i="392"/>
  <c r="O99" i="348"/>
  <c r="G9" i="395"/>
  <c r="I11" i="395"/>
  <c r="E45" i="413"/>
  <c r="G47" i="408"/>
  <c r="I164" i="407"/>
  <c r="G47" i="397"/>
  <c r="H47" i="397" s="1"/>
  <c r="H21" i="388"/>
  <c r="G19" i="388"/>
  <c r="H19" i="388" s="1"/>
  <c r="F76" i="401"/>
  <c r="F147" i="401" s="1"/>
  <c r="F165" i="401" s="1"/>
  <c r="F178" i="401" s="1"/>
  <c r="H175" i="402"/>
  <c r="H181" i="335"/>
  <c r="I44" i="389"/>
  <c r="G21" i="405"/>
  <c r="H23" i="405"/>
  <c r="E153" i="402"/>
  <c r="I98" i="348"/>
  <c r="I156" i="393"/>
  <c r="G47" i="404"/>
  <c r="H47" i="404" s="1"/>
  <c r="G112" i="347"/>
  <c r="G115" i="347" s="1"/>
  <c r="I51" i="399"/>
  <c r="I164" i="397"/>
  <c r="G9" i="397"/>
  <c r="F48" i="402"/>
  <c r="F147" i="402"/>
  <c r="F165" i="402" s="1"/>
  <c r="F178" i="402" s="1"/>
  <c r="H100" i="348"/>
  <c r="I139" i="392"/>
  <c r="F48" i="399"/>
  <c r="F153" i="399" s="1"/>
  <c r="I77" i="403"/>
  <c r="E167" i="402"/>
  <c r="F147" i="396"/>
  <c r="I177" i="393"/>
  <c r="I71" i="408"/>
  <c r="H71" i="408"/>
  <c r="E149" i="405"/>
  <c r="G32" i="388"/>
  <c r="H32" i="388" s="1"/>
  <c r="F147" i="404"/>
  <c r="F165" i="404" s="1"/>
  <c r="F167" i="404" s="1"/>
  <c r="F76" i="388"/>
  <c r="F147" i="388" s="1"/>
  <c r="H164" i="398"/>
  <c r="R16" i="421"/>
  <c r="D138" i="413"/>
  <c r="E171" i="388"/>
  <c r="E138" i="413"/>
  <c r="I17" i="388"/>
  <c r="G51" i="397"/>
  <c r="I175" i="389"/>
  <c r="G177" i="389"/>
  <c r="H175" i="389"/>
  <c r="H33" i="394"/>
  <c r="G32" i="394"/>
  <c r="H32" i="394" s="1"/>
  <c r="H29" i="408"/>
  <c r="F149" i="408"/>
  <c r="H78" i="403"/>
  <c r="F184" i="408"/>
  <c r="G15" i="388"/>
  <c r="E171" i="402"/>
  <c r="L100" i="348"/>
  <c r="D120" i="410"/>
  <c r="E120" i="410" s="1"/>
  <c r="E166" i="388"/>
  <c r="E170" i="388" s="1"/>
  <c r="E112" i="347"/>
  <c r="H52" i="394"/>
  <c r="I52" i="394"/>
  <c r="D45" i="412"/>
  <c r="E167" i="388"/>
  <c r="F153" i="408"/>
  <c r="E179" i="388"/>
  <c r="E45" i="418"/>
  <c r="G116" i="347"/>
  <c r="F171" i="408"/>
  <c r="I78" i="403"/>
  <c r="H51" i="388"/>
  <c r="G51" i="389"/>
  <c r="I51" i="389" s="1"/>
  <c r="G164" i="408"/>
  <c r="I164" i="408" s="1"/>
  <c r="J151" i="335"/>
  <c r="F149" i="395"/>
  <c r="F167" i="395"/>
  <c r="F153" i="395"/>
  <c r="F179" i="395"/>
  <c r="F184" i="395"/>
  <c r="F166" i="395"/>
  <c r="F170" i="395" s="1"/>
  <c r="F171" i="395"/>
  <c r="I167" i="365"/>
  <c r="I168" i="365" s="1"/>
  <c r="I169" i="365"/>
  <c r="N169" i="385"/>
  <c r="N168" i="385"/>
  <c r="G100" i="346"/>
  <c r="G108" i="346"/>
  <c r="G49" i="346"/>
  <c r="G51" i="346" s="1"/>
  <c r="E51" i="346"/>
  <c r="H51" i="346" s="1"/>
  <c r="N17" i="421" a="1"/>
  <c r="N17" i="421" s="1"/>
  <c r="Q17" i="421" a="1"/>
  <c r="Q17" i="421" s="1"/>
  <c r="O17" i="421" a="1"/>
  <c r="O17" i="421" s="1"/>
  <c r="L17" i="421" a="1"/>
  <c r="L17" i="421" s="1"/>
  <c r="A17" i="421" a="1"/>
  <c r="A17" i="421" s="1"/>
  <c r="G17" i="421" a="1"/>
  <c r="G17" i="421" s="1"/>
  <c r="M17" i="421" a="1"/>
  <c r="M17" i="421" s="1"/>
  <c r="C18" i="421"/>
  <c r="I17" i="421" a="1"/>
  <c r="I17" i="421" s="1"/>
  <c r="H17" i="421" a="1"/>
  <c r="H17" i="421" s="1"/>
  <c r="K17" i="421" a="1"/>
  <c r="K17" i="421" s="1"/>
  <c r="I27" i="403"/>
  <c r="D47" i="403"/>
  <c r="I47" i="403" s="1"/>
  <c r="E48" i="399"/>
  <c r="E179" i="399" s="1"/>
  <c r="O141" i="386"/>
  <c r="C146" i="386"/>
  <c r="P146" i="386" s="1"/>
  <c r="D24" i="393"/>
  <c r="D48" i="393" s="1"/>
  <c r="H168" i="365"/>
  <c r="H169" i="365"/>
  <c r="I58" i="392"/>
  <c r="H58" i="392"/>
  <c r="G9" i="399"/>
  <c r="H9" i="399" s="1"/>
  <c r="C134" i="385"/>
  <c r="P134" i="385" s="1"/>
  <c r="G151" i="385"/>
  <c r="G164" i="385" s="1"/>
  <c r="G165" i="385" s="1"/>
  <c r="G167" i="385" s="1"/>
  <c r="D48" i="394"/>
  <c r="D184" i="399"/>
  <c r="D166" i="399"/>
  <c r="D170" i="399" s="1"/>
  <c r="D148" i="399"/>
  <c r="D152" i="399" s="1"/>
  <c r="D167" i="399"/>
  <c r="C29" i="391"/>
  <c r="C31" i="391" s="1"/>
  <c r="D153" i="399"/>
  <c r="D149" i="399"/>
  <c r="D171" i="399"/>
  <c r="D179" i="399"/>
  <c r="I90" i="325"/>
  <c r="G81" i="346"/>
  <c r="G83" i="346" s="1"/>
  <c r="E83" i="346"/>
  <c r="H83" i="346" s="1"/>
  <c r="I85" i="395"/>
  <c r="H85" i="395"/>
  <c r="J11" i="385"/>
  <c r="C13" i="385"/>
  <c r="P13" i="385" s="1"/>
  <c r="F23" i="386"/>
  <c r="C11" i="386"/>
  <c r="P11" i="386" s="1"/>
  <c r="C89" i="386"/>
  <c r="P89" i="386" s="1"/>
  <c r="D151" i="386"/>
  <c r="J151" i="385"/>
  <c r="J164" i="385" s="1"/>
  <c r="C89" i="385"/>
  <c r="P89" i="385" s="1"/>
  <c r="L168" i="386"/>
  <c r="L169" i="386"/>
  <c r="C162" i="385"/>
  <c r="P162" i="385" s="1"/>
  <c r="P161" i="385"/>
  <c r="A21" i="422" a="1"/>
  <c r="A21" i="422" s="1"/>
  <c r="L21" i="422" a="1"/>
  <c r="L21" i="422" s="1"/>
  <c r="H21" i="422" a="1"/>
  <c r="H21" i="422" s="1"/>
  <c r="P21" i="422" a="1"/>
  <c r="P21" i="422" s="1"/>
  <c r="C22" i="422"/>
  <c r="R21" i="422" a="1"/>
  <c r="R21" i="422" s="1"/>
  <c r="I21" i="422" a="1"/>
  <c r="I21" i="422" s="1"/>
  <c r="N21" i="422" a="1"/>
  <c r="N21" i="422" s="1"/>
  <c r="G21" i="422" a="1"/>
  <c r="G21" i="422" s="1"/>
  <c r="J21" i="422" a="1"/>
  <c r="J21" i="422" s="1"/>
  <c r="O21" i="422" a="1"/>
  <c r="O21" i="422" s="1"/>
  <c r="M21" i="422" a="1"/>
  <c r="M21" i="422" s="1"/>
  <c r="C97" i="365"/>
  <c r="P97" i="365" s="1"/>
  <c r="I9" i="403"/>
  <c r="D24" i="403"/>
  <c r="D48" i="403" s="1"/>
  <c r="E153" i="396"/>
  <c r="I70" i="325"/>
  <c r="I63" i="394"/>
  <c r="H63" i="394"/>
  <c r="G151" i="386"/>
  <c r="G164" i="386" s="1"/>
  <c r="G165" i="386" s="1"/>
  <c r="C134" i="386"/>
  <c r="P134" i="386" s="1"/>
  <c r="D179" i="397"/>
  <c r="I48" i="397"/>
  <c r="D153" i="397"/>
  <c r="I153" i="397" s="1"/>
  <c r="D167" i="397"/>
  <c r="I167" i="397" s="1"/>
  <c r="C17" i="391"/>
  <c r="C19" i="391" s="1"/>
  <c r="D166" i="397"/>
  <c r="D170" i="397" s="1"/>
  <c r="D171" i="397"/>
  <c r="I171" i="397" s="1"/>
  <c r="D184" i="397"/>
  <c r="I184" i="397" s="1"/>
  <c r="D149" i="397"/>
  <c r="I149" i="397" s="1"/>
  <c r="D148" i="397"/>
  <c r="D152" i="397" s="1"/>
  <c r="E165" i="396"/>
  <c r="E167" i="396" s="1"/>
  <c r="F24" i="401"/>
  <c r="F48" i="401" s="1"/>
  <c r="G9" i="403"/>
  <c r="G78" i="404"/>
  <c r="J167" i="386"/>
  <c r="J168" i="386" s="1"/>
  <c r="J169" i="386"/>
  <c r="I11" i="360"/>
  <c r="H11" i="360"/>
  <c r="D9" i="360"/>
  <c r="P44" i="365"/>
  <c r="C102" i="386"/>
  <c r="P102" i="386" s="1"/>
  <c r="H151" i="386"/>
  <c r="H164" i="386" s="1"/>
  <c r="H165" i="386" s="1"/>
  <c r="H167" i="386" s="1"/>
  <c r="H168" i="386" s="1"/>
  <c r="C50" i="386"/>
  <c r="P50" i="386" s="1"/>
  <c r="D76" i="386"/>
  <c r="C184" i="389"/>
  <c r="C179" i="389"/>
  <c r="M167" i="365"/>
  <c r="M168" i="365" s="1"/>
  <c r="M169" i="365"/>
  <c r="D164" i="385"/>
  <c r="H15" i="403"/>
  <c r="I15" i="403"/>
  <c r="D24" i="408"/>
  <c r="D48" i="408" s="1"/>
  <c r="H15" i="402"/>
  <c r="K169" i="386"/>
  <c r="E149" i="403"/>
  <c r="G50" i="394"/>
  <c r="F99" i="346"/>
  <c r="H99" i="346" s="1"/>
  <c r="I15" i="402"/>
  <c r="D48" i="401"/>
  <c r="I24" i="401"/>
  <c r="H164" i="399"/>
  <c r="C34" i="385"/>
  <c r="P34" i="385" s="1"/>
  <c r="C137" i="385"/>
  <c r="P137" i="385" s="1"/>
  <c r="F151" i="385"/>
  <c r="F164" i="385" s="1"/>
  <c r="F165" i="385" s="1"/>
  <c r="N167" i="386"/>
  <c r="N168" i="386" s="1"/>
  <c r="N169" i="386"/>
  <c r="I29" i="389"/>
  <c r="H29" i="389"/>
  <c r="D27" i="389"/>
  <c r="D166" i="395"/>
  <c r="D170" i="395" s="1"/>
  <c r="D184" i="395"/>
  <c r="D171" i="395"/>
  <c r="D153" i="395"/>
  <c r="D149" i="395"/>
  <c r="D167" i="395"/>
  <c r="D148" i="395"/>
  <c r="D152" i="395" s="1"/>
  <c r="C8" i="391"/>
  <c r="D179" i="395"/>
  <c r="M169" i="386"/>
  <c r="M168" i="386"/>
  <c r="S19" i="422"/>
  <c r="S20" i="422" s="1"/>
  <c r="I24" i="396"/>
  <c r="G146" i="387"/>
  <c r="H146" i="387" s="1"/>
  <c r="E149" i="396"/>
  <c r="E167" i="403"/>
  <c r="G50" i="388"/>
  <c r="I50" i="388" s="1"/>
  <c r="K100" i="348"/>
  <c r="J80" i="385"/>
  <c r="J165" i="385" s="1"/>
  <c r="J167" i="385" s="1"/>
  <c r="C77" i="385"/>
  <c r="P77" i="385" s="1"/>
  <c r="C141" i="386"/>
  <c r="P141" i="386" s="1"/>
  <c r="O151" i="386"/>
  <c r="O164" i="386" s="1"/>
  <c r="O165" i="386" s="1"/>
  <c r="F43" i="386"/>
  <c r="C43" i="386" s="1"/>
  <c r="P43" i="386" s="1"/>
  <c r="C34" i="386"/>
  <c r="P34" i="386" s="1"/>
  <c r="D48" i="392"/>
  <c r="H169" i="386"/>
  <c r="C41" i="391"/>
  <c r="C43" i="391" s="1"/>
  <c r="D171" i="402"/>
  <c r="D149" i="402"/>
  <c r="D166" i="402"/>
  <c r="D170" i="402" s="1"/>
  <c r="D153" i="402"/>
  <c r="D167" i="402"/>
  <c r="D179" i="402"/>
  <c r="D184" i="402"/>
  <c r="D148" i="402"/>
  <c r="D152" i="402" s="1"/>
  <c r="I82" i="325"/>
  <c r="I51" i="360"/>
  <c r="D50" i="360"/>
  <c r="H51" i="360"/>
  <c r="I9" i="404"/>
  <c r="D24" i="404"/>
  <c r="D48" i="404" s="1"/>
  <c r="I51" i="394"/>
  <c r="E139" i="416"/>
  <c r="E143" i="416" s="1"/>
  <c r="T98" i="348"/>
  <c r="T99" i="348" s="1"/>
  <c r="I79" i="325"/>
  <c r="C77" i="386"/>
  <c r="P77" i="386" s="1"/>
  <c r="I80" i="386"/>
  <c r="I165" i="386" s="1"/>
  <c r="I167" i="386" s="1"/>
  <c r="G19" i="407"/>
  <c r="G24" i="407" s="1"/>
  <c r="J66" i="337"/>
  <c r="E45" i="412"/>
  <c r="E139" i="412" s="1"/>
  <c r="E143" i="412" s="1"/>
  <c r="E48" i="360"/>
  <c r="E166" i="360" s="1"/>
  <c r="E170" i="360" s="1"/>
  <c r="H253" i="335"/>
  <c r="K333" i="335"/>
  <c r="G43" i="385"/>
  <c r="D147" i="394"/>
  <c r="D165" i="394" s="1"/>
  <c r="D178" i="394" s="1"/>
  <c r="C39" i="391" s="1"/>
  <c r="C54" i="391" s="1"/>
  <c r="C151" i="365"/>
  <c r="P80" i="365"/>
  <c r="C82" i="365"/>
  <c r="P82" i="365" s="1"/>
  <c r="D47" i="396"/>
  <c r="D48" i="396" s="1"/>
  <c r="I9" i="407"/>
  <c r="D24" i="407"/>
  <c r="D48" i="407" s="1"/>
  <c r="L120" i="318"/>
  <c r="L121" i="318" s="1"/>
  <c r="L122" i="318" s="1"/>
  <c r="L123" i="318" s="1"/>
  <c r="L124" i="318"/>
  <c r="L125" i="318" s="1"/>
  <c r="L126" i="318" s="1"/>
  <c r="E335" i="387"/>
  <c r="C165" i="399"/>
  <c r="C153" i="399"/>
  <c r="C149" i="399"/>
  <c r="C148" i="399"/>
  <c r="C152" i="399" s="1"/>
  <c r="S14" i="420"/>
  <c r="S15" i="420" s="1"/>
  <c r="S16" i="420" s="1"/>
  <c r="E76" i="385"/>
  <c r="C65" i="385"/>
  <c r="P65" i="385" s="1"/>
  <c r="I23" i="386"/>
  <c r="I44" i="386" s="1"/>
  <c r="C20" i="386"/>
  <c r="P20" i="386" s="1"/>
  <c r="D77" i="360"/>
  <c r="I78" i="360"/>
  <c r="C164" i="365"/>
  <c r="P164" i="365" s="1"/>
  <c r="D165" i="365"/>
  <c r="D48" i="405"/>
  <c r="I24" i="405"/>
  <c r="D24" i="389"/>
  <c r="F166" i="360"/>
  <c r="F170" i="360" s="1"/>
  <c r="F149" i="360"/>
  <c r="F179" i="360"/>
  <c r="F171" i="360"/>
  <c r="F184" i="360"/>
  <c r="F153" i="360"/>
  <c r="F167" i="360"/>
  <c r="F148" i="360"/>
  <c r="F152" i="360" s="1"/>
  <c r="I51" i="408"/>
  <c r="G50" i="408"/>
  <c r="H50" i="408" s="1"/>
  <c r="H51" i="408"/>
  <c r="H112" i="392"/>
  <c r="I112" i="392"/>
  <c r="I26" i="392"/>
  <c r="H26" i="392"/>
  <c r="H36" i="408"/>
  <c r="I36" i="408"/>
  <c r="S100" i="348"/>
  <c r="S99" i="348"/>
  <c r="H139" i="399"/>
  <c r="I139" i="399"/>
  <c r="H21" i="397"/>
  <c r="G19" i="397"/>
  <c r="H19" i="397" s="1"/>
  <c r="E48" i="404"/>
  <c r="E148" i="404" s="1"/>
  <c r="E152" i="404" s="1"/>
  <c r="U111" i="347"/>
  <c r="H68" i="404"/>
  <c r="I68" i="404"/>
  <c r="G78" i="392"/>
  <c r="F113" i="347"/>
  <c r="I66" i="337"/>
  <c r="H13" i="335"/>
  <c r="J13" i="335"/>
  <c r="H71" i="389"/>
  <c r="I71" i="389"/>
  <c r="G28" i="346"/>
  <c r="G20" i="346"/>
  <c r="H11" i="394"/>
  <c r="G9" i="394"/>
  <c r="F48" i="393"/>
  <c r="F153" i="393" s="1"/>
  <c r="G47" i="392"/>
  <c r="G164" i="394"/>
  <c r="G78" i="395"/>
  <c r="H78" i="395" s="1"/>
  <c r="H62" i="404"/>
  <c r="I62" i="404"/>
  <c r="H66" i="325"/>
  <c r="I66" i="325"/>
  <c r="I105" i="325" s="1"/>
  <c r="H17" i="392"/>
  <c r="G15" i="392"/>
  <c r="H15" i="392" s="1"/>
  <c r="H15" i="394"/>
  <c r="I15" i="394"/>
  <c r="G27" i="401"/>
  <c r="I58" i="389"/>
  <c r="H58" i="389"/>
  <c r="H16" i="393"/>
  <c r="I16" i="393"/>
  <c r="I15" i="404"/>
  <c r="H15" i="404"/>
  <c r="G27" i="407"/>
  <c r="H29" i="407"/>
  <c r="I144" i="389"/>
  <c r="H144" i="389"/>
  <c r="I15" i="399"/>
  <c r="H15" i="399"/>
  <c r="V36" i="347"/>
  <c r="E179" i="405"/>
  <c r="E138" i="417"/>
  <c r="E139" i="417" s="1"/>
  <c r="E143" i="417" s="1"/>
  <c r="H52" i="408"/>
  <c r="I52" i="408"/>
  <c r="I118" i="389"/>
  <c r="H118" i="389"/>
  <c r="H51" i="395"/>
  <c r="G50" i="395"/>
  <c r="D120" i="411"/>
  <c r="E120" i="411" s="1"/>
  <c r="E118" i="411"/>
  <c r="G50" i="403"/>
  <c r="H51" i="403"/>
  <c r="G36" i="396"/>
  <c r="G50" i="401"/>
  <c r="H51" i="401"/>
  <c r="I51" i="401"/>
  <c r="G78" i="408"/>
  <c r="H36" i="407"/>
  <c r="I36" i="407"/>
  <c r="H21" i="392"/>
  <c r="G19" i="392"/>
  <c r="D27" i="324"/>
  <c r="D34" i="324" s="1"/>
  <c r="D41" i="324" s="1"/>
  <c r="D48" i="324" s="1"/>
  <c r="D55" i="324" s="1"/>
  <c r="D62" i="324" s="1"/>
  <c r="D69" i="324" s="1"/>
  <c r="E20" i="324"/>
  <c r="H36" i="392"/>
  <c r="I36" i="392"/>
  <c r="I71" i="393"/>
  <c r="H71" i="393"/>
  <c r="G51" i="393"/>
  <c r="G27" i="403"/>
  <c r="H29" i="403"/>
  <c r="G9" i="408"/>
  <c r="H11" i="408"/>
  <c r="H36" i="389"/>
  <c r="I36" i="389"/>
  <c r="H36" i="401"/>
  <c r="I36" i="401"/>
  <c r="G78" i="407"/>
  <c r="I164" i="392"/>
  <c r="H164" i="392"/>
  <c r="I51" i="404"/>
  <c r="G9" i="398"/>
  <c r="H9" i="398" s="1"/>
  <c r="G9" i="404"/>
  <c r="H9" i="404" s="1"/>
  <c r="H11" i="404"/>
  <c r="H111" i="396"/>
  <c r="I111" i="396"/>
  <c r="H139" i="398"/>
  <c r="I139" i="398"/>
  <c r="G15" i="393"/>
  <c r="H164" i="396"/>
  <c r="I164" i="396"/>
  <c r="I36" i="388"/>
  <c r="H36" i="388"/>
  <c r="I164" i="393"/>
  <c r="H164" i="393"/>
  <c r="G19" i="389"/>
  <c r="H21" i="389"/>
  <c r="H21" i="360"/>
  <c r="G19" i="360"/>
  <c r="G78" i="389"/>
  <c r="F165" i="396"/>
  <c r="F171" i="396" s="1"/>
  <c r="F148" i="396"/>
  <c r="F152" i="396" s="1"/>
  <c r="F165" i="393"/>
  <c r="E171" i="403"/>
  <c r="F166" i="392"/>
  <c r="F170" i="392" s="1"/>
  <c r="F184" i="392"/>
  <c r="Q112" i="347"/>
  <c r="Q113" i="347"/>
  <c r="H90" i="388"/>
  <c r="I90" i="388"/>
  <c r="G78" i="388"/>
  <c r="G164" i="402"/>
  <c r="H159" i="402"/>
  <c r="H51" i="398"/>
  <c r="I51" i="398"/>
  <c r="G9" i="388"/>
  <c r="I11" i="388"/>
  <c r="H11" i="388"/>
  <c r="I15" i="408"/>
  <c r="H15" i="408"/>
  <c r="I15" i="407"/>
  <c r="H15" i="407"/>
  <c r="G9" i="401"/>
  <c r="H11" i="401"/>
  <c r="G139" i="394"/>
  <c r="H141" i="394"/>
  <c r="F47" i="403"/>
  <c r="F48" i="403" s="1"/>
  <c r="F153" i="403" s="1"/>
  <c r="H21" i="399"/>
  <c r="G19" i="399"/>
  <c r="I139" i="388"/>
  <c r="H139" i="388"/>
  <c r="E13" i="354"/>
  <c r="C20" i="354"/>
  <c r="H78" i="405"/>
  <c r="I78" i="405"/>
  <c r="G27" i="405"/>
  <c r="H29" i="405"/>
  <c r="H21" i="398"/>
  <c r="G19" i="398"/>
  <c r="G50" i="402"/>
  <c r="H51" i="402"/>
  <c r="I51" i="402"/>
  <c r="I31" i="337"/>
  <c r="U97" i="348"/>
  <c r="F149" i="392"/>
  <c r="J145" i="335"/>
  <c r="I31" i="325"/>
  <c r="G144" i="401"/>
  <c r="H144" i="401" s="1"/>
  <c r="H145" i="401"/>
  <c r="H84" i="396"/>
  <c r="G78" i="396"/>
  <c r="I164" i="401"/>
  <c r="H164" i="401"/>
  <c r="I164" i="403"/>
  <c r="H164" i="403"/>
  <c r="G27" i="402"/>
  <c r="H177" i="407"/>
  <c r="I177" i="407"/>
  <c r="G50" i="396"/>
  <c r="I51" i="396"/>
  <c r="H51" i="396"/>
  <c r="I177" i="398"/>
  <c r="H177" i="398"/>
  <c r="G77" i="401"/>
  <c r="I78" i="401"/>
  <c r="H78" i="401"/>
  <c r="I139" i="325"/>
  <c r="G78" i="402"/>
  <c r="H82" i="402"/>
  <c r="G27" i="399"/>
  <c r="H29" i="399"/>
  <c r="H36" i="398"/>
  <c r="G47" i="398"/>
  <c r="H47" i="398" s="1"/>
  <c r="I144" i="388"/>
  <c r="H144" i="388"/>
  <c r="G77" i="394"/>
  <c r="I78" i="394"/>
  <c r="G77" i="393"/>
  <c r="I78" i="393"/>
  <c r="H78" i="393"/>
  <c r="E149" i="402"/>
  <c r="E148" i="402"/>
  <c r="E152" i="402" s="1"/>
  <c r="J128" i="337"/>
  <c r="E179" i="360"/>
  <c r="E184" i="360"/>
  <c r="G100" i="348"/>
  <c r="G99" i="348"/>
  <c r="E167" i="405"/>
  <c r="E178" i="403"/>
  <c r="H208" i="335"/>
  <c r="K332" i="335"/>
  <c r="D332" i="335"/>
  <c r="J69" i="337"/>
  <c r="I135" i="337"/>
  <c r="V110" i="347"/>
  <c r="E166" i="403"/>
  <c r="E170" i="403" s="1"/>
  <c r="E102" i="348"/>
  <c r="V61" i="347"/>
  <c r="S114" i="347" s="1"/>
  <c r="E179" i="401"/>
  <c r="E171" i="401"/>
  <c r="E184" i="401"/>
  <c r="E149" i="401"/>
  <c r="E153" i="401"/>
  <c r="E148" i="401"/>
  <c r="E152" i="401" s="1"/>
  <c r="E166" i="401"/>
  <c r="E170" i="401" s="1"/>
  <c r="E167" i="401"/>
  <c r="E149" i="395"/>
  <c r="E184" i="395"/>
  <c r="E171" i="395"/>
  <c r="E153" i="395"/>
  <c r="E148" i="395"/>
  <c r="E152" i="395" s="1"/>
  <c r="E167" i="395"/>
  <c r="E179" i="395"/>
  <c r="E166" i="395"/>
  <c r="E170" i="395" s="1"/>
  <c r="E153" i="399"/>
  <c r="G19" i="404"/>
  <c r="H21" i="404"/>
  <c r="M100" i="348"/>
  <c r="M99" i="348"/>
  <c r="P112" i="347"/>
  <c r="P113" i="347"/>
  <c r="E171" i="405"/>
  <c r="E153" i="405"/>
  <c r="E166" i="405"/>
  <c r="E170" i="405" s="1"/>
  <c r="E148" i="405"/>
  <c r="E152" i="405" s="1"/>
  <c r="I146" i="337"/>
  <c r="I29" i="325"/>
  <c r="I19" i="325"/>
  <c r="I18" i="325"/>
  <c r="I30" i="325"/>
  <c r="N112" i="347"/>
  <c r="N113" i="347"/>
  <c r="G47" i="389"/>
  <c r="H32" i="389"/>
  <c r="H28" i="346"/>
  <c r="E36" i="346"/>
  <c r="E184" i="405"/>
  <c r="F149" i="404"/>
  <c r="F153" i="404"/>
  <c r="F148" i="404"/>
  <c r="F152" i="404" s="1"/>
  <c r="E167" i="394"/>
  <c r="E179" i="394"/>
  <c r="C41" i="324"/>
  <c r="I77" i="399"/>
  <c r="H77" i="399"/>
  <c r="G76" i="399"/>
  <c r="U57" i="348"/>
  <c r="I101" i="348" s="1"/>
  <c r="I104" i="348" s="1"/>
  <c r="H149" i="335"/>
  <c r="G332" i="335"/>
  <c r="H13" i="387"/>
  <c r="I20" i="325" s="1"/>
  <c r="D335" i="387"/>
  <c r="H27" i="388"/>
  <c r="I27" i="388"/>
  <c r="G47" i="388"/>
  <c r="I99" i="348"/>
  <c r="I100" i="348"/>
  <c r="H164" i="405"/>
  <c r="I164" i="405"/>
  <c r="E178" i="398"/>
  <c r="E167" i="398"/>
  <c r="E166" i="398"/>
  <c r="E170" i="398" s="1"/>
  <c r="I50" i="408"/>
  <c r="G24" i="396"/>
  <c r="H9" i="396"/>
  <c r="F167" i="405"/>
  <c r="F148" i="405"/>
  <c r="F152" i="405" s="1"/>
  <c r="F153" i="405"/>
  <c r="F171" i="405"/>
  <c r="F166" i="405"/>
  <c r="F170" i="405" s="1"/>
  <c r="F179" i="405"/>
  <c r="F149" i="405"/>
  <c r="F184" i="405"/>
  <c r="D48" i="354"/>
  <c r="H47" i="408"/>
  <c r="I47" i="408"/>
  <c r="E171" i="398"/>
  <c r="F76" i="346"/>
  <c r="H50" i="398"/>
  <c r="I50" i="398"/>
  <c r="E149" i="398"/>
  <c r="I47" i="395"/>
  <c r="H47" i="395"/>
  <c r="I76" i="405"/>
  <c r="H76" i="405"/>
  <c r="E167" i="407"/>
  <c r="E148" i="407"/>
  <c r="E152" i="407" s="1"/>
  <c r="E179" i="407"/>
  <c r="E149" i="407"/>
  <c r="E171" i="407"/>
  <c r="E166" i="407"/>
  <c r="E170" i="407" s="1"/>
  <c r="E184" i="407"/>
  <c r="E153" i="407"/>
  <c r="E149" i="408"/>
  <c r="E171" i="408"/>
  <c r="E166" i="408"/>
  <c r="E170" i="408" s="1"/>
  <c r="E184" i="408"/>
  <c r="E179" i="408"/>
  <c r="E153" i="408"/>
  <c r="E148" i="408"/>
  <c r="E152" i="408" s="1"/>
  <c r="E167" i="408"/>
  <c r="G20" i="353"/>
  <c r="E166" i="392"/>
  <c r="E170" i="392" s="1"/>
  <c r="E184" i="392"/>
  <c r="E153" i="392"/>
  <c r="E167" i="392"/>
  <c r="E179" i="392"/>
  <c r="E149" i="392"/>
  <c r="E171" i="392"/>
  <c r="E148" i="392"/>
  <c r="E152" i="392" s="1"/>
  <c r="I139" i="403"/>
  <c r="H139" i="403"/>
  <c r="O111" i="347"/>
  <c r="O113" i="347" s="1"/>
  <c r="G27" i="393"/>
  <c r="H29" i="393"/>
  <c r="F179" i="407"/>
  <c r="F149" i="407"/>
  <c r="F166" i="407"/>
  <c r="F170" i="407" s="1"/>
  <c r="F184" i="407"/>
  <c r="F171" i="407"/>
  <c r="F148" i="407"/>
  <c r="F152" i="407" s="1"/>
  <c r="F167" i="407"/>
  <c r="F153" i="407"/>
  <c r="G76" i="397"/>
  <c r="H77" i="397"/>
  <c r="F148" i="399"/>
  <c r="F152" i="399" s="1"/>
  <c r="E148" i="398"/>
  <c r="E152" i="398" s="1"/>
  <c r="D138" i="412"/>
  <c r="E148" i="397"/>
  <c r="E152" i="397" s="1"/>
  <c r="E149" i="397"/>
  <c r="E179" i="397"/>
  <c r="E166" i="397"/>
  <c r="E170" i="397" s="1"/>
  <c r="E184" i="397"/>
  <c r="E153" i="397"/>
  <c r="E171" i="397"/>
  <c r="E167" i="397"/>
  <c r="F165" i="399"/>
  <c r="F149" i="399"/>
  <c r="E153" i="393"/>
  <c r="E179" i="393"/>
  <c r="H27" i="394"/>
  <c r="G165" i="360"/>
  <c r="F179" i="397"/>
  <c r="F184" i="397"/>
  <c r="F149" i="397"/>
  <c r="F148" i="397"/>
  <c r="F152" i="397" s="1"/>
  <c r="F153" i="397"/>
  <c r="F166" i="397"/>
  <c r="F170" i="397" s="1"/>
  <c r="F171" i="397"/>
  <c r="F167" i="397"/>
  <c r="E184" i="402"/>
  <c r="E179" i="402"/>
  <c r="E34" i="254"/>
  <c r="D41" i="254"/>
  <c r="F153" i="398"/>
  <c r="F167" i="398"/>
  <c r="F184" i="398"/>
  <c r="F149" i="398"/>
  <c r="F179" i="398"/>
  <c r="F166" i="398"/>
  <c r="F170" i="398" s="1"/>
  <c r="F171" i="398"/>
  <c r="F148" i="398"/>
  <c r="F152" i="398" s="1"/>
  <c r="H50" i="407"/>
  <c r="I50" i="407"/>
  <c r="F148" i="394"/>
  <c r="F152" i="394" s="1"/>
  <c r="F184" i="394"/>
  <c r="F166" i="394"/>
  <c r="F170" i="394" s="1"/>
  <c r="F179" i="394"/>
  <c r="F171" i="394"/>
  <c r="F153" i="394"/>
  <c r="F167" i="394"/>
  <c r="F149" i="394"/>
  <c r="G76" i="403"/>
  <c r="E153" i="398"/>
  <c r="E178" i="396"/>
  <c r="E171" i="396"/>
  <c r="E166" i="396"/>
  <c r="E170" i="396" s="1"/>
  <c r="G19" i="353"/>
  <c r="M59" i="391"/>
  <c r="F179" i="389" l="1"/>
  <c r="F149" i="388"/>
  <c r="E153" i="388"/>
  <c r="E184" i="388"/>
  <c r="F184" i="389"/>
  <c r="F171" i="389"/>
  <c r="F148" i="392"/>
  <c r="F152" i="392" s="1"/>
  <c r="F167" i="389"/>
  <c r="F166" i="389"/>
  <c r="F170" i="389" s="1"/>
  <c r="F149" i="389"/>
  <c r="G47" i="394"/>
  <c r="E184" i="389"/>
  <c r="H77" i="398"/>
  <c r="G76" i="398"/>
  <c r="G147" i="398" s="1"/>
  <c r="F149" i="396"/>
  <c r="E166" i="389"/>
  <c r="E170" i="389" s="1"/>
  <c r="E167" i="389"/>
  <c r="E171" i="389"/>
  <c r="E153" i="389"/>
  <c r="F148" i="388"/>
  <c r="F152" i="388" s="1"/>
  <c r="F153" i="392"/>
  <c r="E148" i="389"/>
  <c r="E152" i="389" s="1"/>
  <c r="E149" i="389"/>
  <c r="F171" i="392"/>
  <c r="F149" i="402"/>
  <c r="H19" i="407"/>
  <c r="E149" i="394"/>
  <c r="F153" i="402"/>
  <c r="E184" i="393"/>
  <c r="F179" i="402"/>
  <c r="H164" i="408"/>
  <c r="F171" i="402"/>
  <c r="E148" i="394"/>
  <c r="E152" i="394" s="1"/>
  <c r="F167" i="402"/>
  <c r="F153" i="396"/>
  <c r="E139" i="418"/>
  <c r="E143" i="418" s="1"/>
  <c r="F148" i="402"/>
  <c r="F152" i="402" s="1"/>
  <c r="E153" i="394"/>
  <c r="E167" i="399"/>
  <c r="E167" i="360"/>
  <c r="E171" i="393"/>
  <c r="E167" i="393"/>
  <c r="E166" i="399"/>
  <c r="E170" i="399" s="1"/>
  <c r="E149" i="393"/>
  <c r="E149" i="399"/>
  <c r="E184" i="394"/>
  <c r="E153" i="360"/>
  <c r="F148" i="395"/>
  <c r="F152" i="395" s="1"/>
  <c r="E166" i="394"/>
  <c r="E170" i="394" s="1"/>
  <c r="E148" i="399"/>
  <c r="E152" i="399" s="1"/>
  <c r="E184" i="399"/>
  <c r="E166" i="393"/>
  <c r="E170" i="393" s="1"/>
  <c r="E171" i="399"/>
  <c r="E149" i="360"/>
  <c r="F184" i="402"/>
  <c r="F148" i="403"/>
  <c r="F152" i="403" s="1"/>
  <c r="H51" i="389"/>
  <c r="G24" i="397"/>
  <c r="G48" i="397" s="1"/>
  <c r="G19" i="402"/>
  <c r="H19" i="402" s="1"/>
  <c r="H21" i="402"/>
  <c r="G50" i="404"/>
  <c r="H9" i="397"/>
  <c r="E179" i="404"/>
  <c r="D139" i="413"/>
  <c r="D143" i="413" s="1"/>
  <c r="E184" i="404"/>
  <c r="G335" i="387"/>
  <c r="E34" i="324"/>
  <c r="J114" i="347"/>
  <c r="J116" i="347" s="1"/>
  <c r="I147" i="337"/>
  <c r="I148" i="337" s="1"/>
  <c r="I154" i="337" s="1"/>
  <c r="I145" i="325" s="1"/>
  <c r="I146" i="325" s="1"/>
  <c r="J113" i="347"/>
  <c r="F148" i="389"/>
  <c r="F152" i="389" s="1"/>
  <c r="F165" i="388"/>
  <c r="F178" i="388" s="1"/>
  <c r="E27" i="324"/>
  <c r="F153" i="388"/>
  <c r="E149" i="404"/>
  <c r="G50" i="405"/>
  <c r="H11" i="402"/>
  <c r="G9" i="402"/>
  <c r="T100" i="348"/>
  <c r="I51" i="405"/>
  <c r="D139" i="418"/>
  <c r="D143" i="418" s="1"/>
  <c r="C34" i="339"/>
  <c r="E27" i="339"/>
  <c r="H32" i="360"/>
  <c r="G47" i="360"/>
  <c r="L336" i="335"/>
  <c r="L337" i="335" s="1"/>
  <c r="L340" i="335" s="1"/>
  <c r="D139" i="412"/>
  <c r="D143" i="412" s="1"/>
  <c r="G50" i="399"/>
  <c r="G147" i="399" s="1"/>
  <c r="F148" i="393"/>
  <c r="F152" i="393" s="1"/>
  <c r="H21" i="405"/>
  <c r="G19" i="405"/>
  <c r="F166" i="402"/>
  <c r="F170" i="402" s="1"/>
  <c r="F149" i="393"/>
  <c r="G50" i="397"/>
  <c r="G147" i="397" s="1"/>
  <c r="I51" i="397"/>
  <c r="O114" i="347"/>
  <c r="E114" i="347"/>
  <c r="E116" i="347" s="1"/>
  <c r="H15" i="388"/>
  <c r="I15" i="388"/>
  <c r="P114" i="347"/>
  <c r="P116" i="347" s="1"/>
  <c r="R17" i="421"/>
  <c r="F178" i="404"/>
  <c r="F166" i="404"/>
  <c r="F170" i="404" s="1"/>
  <c r="F171" i="404"/>
  <c r="U114" i="347"/>
  <c r="U116" i="347" s="1"/>
  <c r="N114" i="347"/>
  <c r="N115" i="347" s="1"/>
  <c r="E166" i="404"/>
  <c r="E170" i="404" s="1"/>
  <c r="F114" i="347"/>
  <c r="E167" i="404"/>
  <c r="E171" i="404"/>
  <c r="E139" i="413"/>
  <c r="E143" i="413" s="1"/>
  <c r="E153" i="404"/>
  <c r="M101" i="348"/>
  <c r="H50" i="388"/>
  <c r="G50" i="389"/>
  <c r="I177" i="389"/>
  <c r="H177" i="389"/>
  <c r="G24" i="395"/>
  <c r="I9" i="395"/>
  <c r="H9" i="395"/>
  <c r="H51" i="397"/>
  <c r="D167" i="396"/>
  <c r="D149" i="396"/>
  <c r="D148" i="396"/>
  <c r="D152" i="396" s="1"/>
  <c r="D171" i="396"/>
  <c r="D179" i="396"/>
  <c r="D184" i="396"/>
  <c r="C14" i="391"/>
  <c r="C16" i="391" s="1"/>
  <c r="D153" i="396"/>
  <c r="D166" i="396"/>
  <c r="D170" i="396" s="1"/>
  <c r="F179" i="401"/>
  <c r="F184" i="401"/>
  <c r="G77" i="395"/>
  <c r="H77" i="395" s="1"/>
  <c r="E80" i="385"/>
  <c r="C76" i="385"/>
  <c r="P76" i="385" s="1"/>
  <c r="S21" i="422"/>
  <c r="C164" i="385"/>
  <c r="P164" i="385" s="1"/>
  <c r="D165" i="385"/>
  <c r="G169" i="386"/>
  <c r="G167" i="386"/>
  <c r="G168" i="386" s="1"/>
  <c r="I78" i="395"/>
  <c r="J135" i="337"/>
  <c r="C43" i="385"/>
  <c r="P43" i="385" s="1"/>
  <c r="G44" i="385"/>
  <c r="F167" i="385"/>
  <c r="F168" i="385" s="1"/>
  <c r="F169" i="385"/>
  <c r="C151" i="385"/>
  <c r="I78" i="404"/>
  <c r="G77" i="404"/>
  <c r="H78" i="404"/>
  <c r="H50" i="360"/>
  <c r="I50" i="360"/>
  <c r="D153" i="392"/>
  <c r="D179" i="392"/>
  <c r="D184" i="392"/>
  <c r="D166" i="392"/>
  <c r="D170" i="392" s="1"/>
  <c r="D149" i="392"/>
  <c r="C11" i="391"/>
  <c r="C13" i="391" s="1"/>
  <c r="D171" i="392"/>
  <c r="D167" i="392"/>
  <c r="D148" i="392"/>
  <c r="D152" i="392" s="1"/>
  <c r="G24" i="403"/>
  <c r="H9" i="403"/>
  <c r="E148" i="360"/>
  <c r="E152" i="360" s="1"/>
  <c r="E171" i="360"/>
  <c r="C10" i="391"/>
  <c r="O167" i="386"/>
  <c r="O168" i="386" s="1"/>
  <c r="O169" i="386"/>
  <c r="C178" i="399"/>
  <c r="C171" i="399"/>
  <c r="C167" i="399"/>
  <c r="C166" i="399"/>
  <c r="C170" i="399" s="1"/>
  <c r="D171" i="403"/>
  <c r="D179" i="403"/>
  <c r="D167" i="403"/>
  <c r="D153" i="403"/>
  <c r="D149" i="403"/>
  <c r="D184" i="403"/>
  <c r="C44" i="391"/>
  <c r="C46" i="391" s="1"/>
  <c r="D148" i="403"/>
  <c r="D152" i="403" s="1"/>
  <c r="D166" i="403"/>
  <c r="D170" i="403" s="1"/>
  <c r="D171" i="401"/>
  <c r="D184" i="401"/>
  <c r="C32" i="391"/>
  <c r="C34" i="391" s="1"/>
  <c r="D166" i="401"/>
  <c r="D170" i="401" s="1"/>
  <c r="D179" i="401"/>
  <c r="D167" i="401"/>
  <c r="D149" i="401"/>
  <c r="D153" i="401"/>
  <c r="D148" i="401"/>
  <c r="D152" i="401" s="1"/>
  <c r="D80" i="386"/>
  <c r="C76" i="386"/>
  <c r="P76" i="386" s="1"/>
  <c r="D171" i="393"/>
  <c r="D166" i="393"/>
  <c r="D170" i="393" s="1"/>
  <c r="D153" i="393"/>
  <c r="D149" i="393"/>
  <c r="D148" i="393"/>
  <c r="D152" i="393" s="1"/>
  <c r="C23" i="391"/>
  <c r="D184" i="393"/>
  <c r="D167" i="393"/>
  <c r="D179" i="393"/>
  <c r="F184" i="403"/>
  <c r="F166" i="396"/>
  <c r="F170" i="396" s="1"/>
  <c r="D167" i="405"/>
  <c r="D153" i="405"/>
  <c r="D148" i="405"/>
  <c r="D152" i="405" s="1"/>
  <c r="C50" i="391"/>
  <c r="C52" i="391" s="1"/>
  <c r="D179" i="405"/>
  <c r="D166" i="405"/>
  <c r="D170" i="405" s="1"/>
  <c r="D171" i="405"/>
  <c r="D149" i="405"/>
  <c r="D184" i="405"/>
  <c r="G60" i="346"/>
  <c r="G52" i="346"/>
  <c r="D167" i="365"/>
  <c r="C165" i="365"/>
  <c r="D169" i="365"/>
  <c r="I50" i="394"/>
  <c r="H50" i="394"/>
  <c r="G92" i="346"/>
  <c r="G84" i="346"/>
  <c r="F171" i="403"/>
  <c r="D148" i="407"/>
  <c r="D152" i="407" s="1"/>
  <c r="D167" i="407"/>
  <c r="D166" i="407"/>
  <c r="D170" i="407" s="1"/>
  <c r="D149" i="407"/>
  <c r="D184" i="407"/>
  <c r="D179" i="407"/>
  <c r="D153" i="407"/>
  <c r="D171" i="407"/>
  <c r="C151" i="386"/>
  <c r="D164" i="386"/>
  <c r="C164" i="386" s="1"/>
  <c r="P164" i="386" s="1"/>
  <c r="H332" i="335"/>
  <c r="F149" i="403"/>
  <c r="D76" i="360"/>
  <c r="D147" i="360" s="1"/>
  <c r="I77" i="360"/>
  <c r="H77" i="360"/>
  <c r="H27" i="389"/>
  <c r="I27" i="389"/>
  <c r="D47" i="389"/>
  <c r="D48" i="389" s="1"/>
  <c r="I9" i="360"/>
  <c r="D24" i="360"/>
  <c r="D48" i="360" s="1"/>
  <c r="H9" i="360"/>
  <c r="D148" i="408"/>
  <c r="D152" i="408" s="1"/>
  <c r="D184" i="408"/>
  <c r="D149" i="408"/>
  <c r="D167" i="408"/>
  <c r="D171" i="408"/>
  <c r="D166" i="408"/>
  <c r="D170" i="408" s="1"/>
  <c r="D153" i="408"/>
  <c r="D179" i="408"/>
  <c r="F44" i="386"/>
  <c r="C23" i="386"/>
  <c r="P23" i="386" s="1"/>
  <c r="I169" i="386"/>
  <c r="I168" i="386"/>
  <c r="C38" i="391"/>
  <c r="D148" i="394"/>
  <c r="D152" i="394" s="1"/>
  <c r="D167" i="394"/>
  <c r="D149" i="394"/>
  <c r="D171" i="394"/>
  <c r="D153" i="394"/>
  <c r="D166" i="394"/>
  <c r="D170" i="394" s="1"/>
  <c r="D179" i="394"/>
  <c r="D184" i="394"/>
  <c r="C152" i="365"/>
  <c r="P152" i="365" s="1"/>
  <c r="P151" i="365"/>
  <c r="C47" i="391"/>
  <c r="C49" i="391" s="1"/>
  <c r="D153" i="404"/>
  <c r="D166" i="404"/>
  <c r="D170" i="404" s="1"/>
  <c r="D167" i="404"/>
  <c r="D148" i="404"/>
  <c r="D152" i="404" s="1"/>
  <c r="D171" i="404"/>
  <c r="D179" i="404"/>
  <c r="D149" i="404"/>
  <c r="D184" i="404"/>
  <c r="P22" i="422" a="1"/>
  <c r="P22" i="422" s="1"/>
  <c r="I22" i="422" a="1"/>
  <c r="I22" i="422" s="1"/>
  <c r="G22" i="422" a="1"/>
  <c r="G22" i="422" s="1"/>
  <c r="L22" i="422" a="1"/>
  <c r="L22" i="422" s="1"/>
  <c r="R22" i="422" a="1"/>
  <c r="R22" i="422" s="1"/>
  <c r="H22" i="422" a="1"/>
  <c r="H22" i="422" s="1"/>
  <c r="O22" i="422" a="1"/>
  <c r="O22" i="422" s="1"/>
  <c r="C23" i="422"/>
  <c r="A22" i="422" a="1"/>
  <c r="A22" i="422" s="1"/>
  <c r="M22" i="422" a="1"/>
  <c r="M22" i="422" s="1"/>
  <c r="N22" i="422" a="1"/>
  <c r="N22" i="422" s="1"/>
  <c r="J22" i="422" a="1"/>
  <c r="J22" i="422" s="1"/>
  <c r="J23" i="385"/>
  <c r="C11" i="385"/>
  <c r="P11" i="385" s="1"/>
  <c r="K18" i="421" a="1"/>
  <c r="K18" i="421" s="1"/>
  <c r="L18" i="421" a="1"/>
  <c r="L18" i="421" s="1"/>
  <c r="M18" i="421" a="1"/>
  <c r="M18" i="421" s="1"/>
  <c r="I18" i="421" a="1"/>
  <c r="I18" i="421" s="1"/>
  <c r="Q18" i="421" a="1"/>
  <c r="Q18" i="421" s="1"/>
  <c r="N18" i="421" a="1"/>
  <c r="N18" i="421" s="1"/>
  <c r="G18" i="421" a="1"/>
  <c r="G18" i="421" s="1"/>
  <c r="A18" i="421" a="1"/>
  <c r="A18" i="421" s="1"/>
  <c r="O18" i="421" a="1"/>
  <c r="O18" i="421" s="1"/>
  <c r="C19" i="421"/>
  <c r="H18" i="421" a="1"/>
  <c r="H18" i="421" s="1"/>
  <c r="I102" i="348"/>
  <c r="G77" i="392"/>
  <c r="I78" i="392"/>
  <c r="H78" i="392"/>
  <c r="I164" i="394"/>
  <c r="H164" i="394"/>
  <c r="G24" i="394"/>
  <c r="H9" i="394"/>
  <c r="J101" i="348"/>
  <c r="J104" i="348" s="1"/>
  <c r="O101" i="348"/>
  <c r="O104" i="348" s="1"/>
  <c r="H27" i="401"/>
  <c r="G47" i="401"/>
  <c r="I47" i="392"/>
  <c r="H47" i="392"/>
  <c r="U112" i="347"/>
  <c r="U113" i="347"/>
  <c r="H19" i="360"/>
  <c r="G24" i="360"/>
  <c r="H9" i="408"/>
  <c r="G24" i="408"/>
  <c r="H50" i="401"/>
  <c r="I50" i="401"/>
  <c r="H50" i="395"/>
  <c r="I50" i="395"/>
  <c r="H19" i="392"/>
  <c r="G24" i="392"/>
  <c r="H78" i="408"/>
  <c r="I78" i="408"/>
  <c r="G77" i="408"/>
  <c r="H36" i="396"/>
  <c r="G47" i="396"/>
  <c r="G48" i="396" s="1"/>
  <c r="G47" i="407"/>
  <c r="H27" i="407"/>
  <c r="I78" i="407"/>
  <c r="G77" i="407"/>
  <c r="H78" i="407"/>
  <c r="H27" i="403"/>
  <c r="G47" i="403"/>
  <c r="I78" i="389"/>
  <c r="G77" i="389"/>
  <c r="H78" i="389"/>
  <c r="H19" i="389"/>
  <c r="G24" i="389"/>
  <c r="I15" i="393"/>
  <c r="H15" i="393"/>
  <c r="G24" i="393"/>
  <c r="H50" i="404"/>
  <c r="I50" i="404"/>
  <c r="G50" i="393"/>
  <c r="H51" i="393"/>
  <c r="I51" i="393"/>
  <c r="I50" i="403"/>
  <c r="H50" i="403"/>
  <c r="G76" i="395"/>
  <c r="I77" i="393"/>
  <c r="H77" i="393"/>
  <c r="G76" i="393"/>
  <c r="H27" i="399"/>
  <c r="G47" i="399"/>
  <c r="H47" i="399" s="1"/>
  <c r="I50" i="396"/>
  <c r="H50" i="396"/>
  <c r="G77" i="396"/>
  <c r="I78" i="396"/>
  <c r="H78" i="396"/>
  <c r="C27" i="354"/>
  <c r="E20" i="354"/>
  <c r="H19" i="399"/>
  <c r="G24" i="399"/>
  <c r="H101" i="348"/>
  <c r="H104" i="348" s="1"/>
  <c r="N101" i="348"/>
  <c r="N104" i="348" s="1"/>
  <c r="G101" i="348"/>
  <c r="G104" i="348" s="1"/>
  <c r="F101" i="348"/>
  <c r="F104" i="348" s="1"/>
  <c r="H50" i="402"/>
  <c r="I50" i="402"/>
  <c r="G47" i="405"/>
  <c r="H27" i="405"/>
  <c r="I139" i="394"/>
  <c r="H139" i="394"/>
  <c r="S101" i="348"/>
  <c r="S102" i="348" s="1"/>
  <c r="T101" i="348"/>
  <c r="U98" i="348"/>
  <c r="Q101" i="348"/>
  <c r="Q104" i="348" s="1"/>
  <c r="H77" i="394"/>
  <c r="I77" i="394"/>
  <c r="G76" i="394"/>
  <c r="H19" i="398"/>
  <c r="G24" i="398"/>
  <c r="F179" i="403"/>
  <c r="F167" i="403"/>
  <c r="F166" i="403"/>
  <c r="F170" i="403" s="1"/>
  <c r="I9" i="388"/>
  <c r="H9" i="388"/>
  <c r="G24" i="388"/>
  <c r="H164" i="402"/>
  <c r="I164" i="402"/>
  <c r="L101" i="348"/>
  <c r="L104" i="348" s="1"/>
  <c r="R101" i="348"/>
  <c r="R102" i="348" s="1"/>
  <c r="K101" i="348"/>
  <c r="K104" i="348" s="1"/>
  <c r="P101" i="348"/>
  <c r="P104" i="348" s="1"/>
  <c r="G77" i="402"/>
  <c r="H78" i="402"/>
  <c r="I78" i="402"/>
  <c r="I77" i="401"/>
  <c r="H77" i="401"/>
  <c r="G76" i="401"/>
  <c r="H27" i="402"/>
  <c r="G47" i="402"/>
  <c r="H47" i="402" s="1"/>
  <c r="F148" i="401"/>
  <c r="F152" i="401" s="1"/>
  <c r="F166" i="401"/>
  <c r="F170" i="401" s="1"/>
  <c r="F171" i="401"/>
  <c r="F149" i="401"/>
  <c r="F167" i="401"/>
  <c r="F153" i="401"/>
  <c r="H9" i="401"/>
  <c r="G24" i="401"/>
  <c r="H78" i="388"/>
  <c r="I78" i="388"/>
  <c r="G77" i="388"/>
  <c r="F167" i="393"/>
  <c r="F166" i="393"/>
  <c r="F170" i="393" s="1"/>
  <c r="F171" i="393"/>
  <c r="F178" i="393"/>
  <c r="F178" i="396"/>
  <c r="F167" i="396"/>
  <c r="H24" i="397"/>
  <c r="E179" i="403"/>
  <c r="E184" i="403"/>
  <c r="H114" i="347"/>
  <c r="R114" i="347"/>
  <c r="T114" i="347"/>
  <c r="Q114" i="347"/>
  <c r="K114" i="347"/>
  <c r="I114" i="347"/>
  <c r="L114" i="347"/>
  <c r="M114" i="347"/>
  <c r="V111" i="347"/>
  <c r="H76" i="399"/>
  <c r="I76" i="399"/>
  <c r="C48" i="324"/>
  <c r="E41" i="324"/>
  <c r="D76" i="324"/>
  <c r="G24" i="404"/>
  <c r="H19" i="404"/>
  <c r="U115" i="347"/>
  <c r="G354" i="335"/>
  <c r="J340" i="335"/>
  <c r="J115" i="347"/>
  <c r="H47" i="389"/>
  <c r="I47" i="389"/>
  <c r="H47" i="388"/>
  <c r="I47" i="388"/>
  <c r="S115" i="347"/>
  <c r="S116" i="347"/>
  <c r="F116" i="347"/>
  <c r="F115" i="347"/>
  <c r="E44" i="346"/>
  <c r="H36" i="346"/>
  <c r="I60" i="325"/>
  <c r="I106" i="325" s="1"/>
  <c r="H47" i="394"/>
  <c r="G48" i="394"/>
  <c r="E179" i="398"/>
  <c r="E184" i="398"/>
  <c r="O112" i="347"/>
  <c r="E179" i="396"/>
  <c r="E184" i="396"/>
  <c r="E41" i="254"/>
  <c r="D48" i="254"/>
  <c r="I114" i="325"/>
  <c r="I132" i="325" s="1"/>
  <c r="I140" i="325" s="1"/>
  <c r="I147" i="325" s="1"/>
  <c r="H335" i="387"/>
  <c r="G165" i="398"/>
  <c r="H147" i="398"/>
  <c r="I147" i="398"/>
  <c r="F84" i="346"/>
  <c r="H24" i="396"/>
  <c r="G178" i="360"/>
  <c r="F167" i="399"/>
  <c r="F178" i="399"/>
  <c r="F171" i="399"/>
  <c r="F166" i="399"/>
  <c r="F170" i="399" s="1"/>
  <c r="G47" i="393"/>
  <c r="H27" i="393"/>
  <c r="M102" i="348"/>
  <c r="M104" i="348"/>
  <c r="I76" i="403"/>
  <c r="H76" i="403"/>
  <c r="G147" i="403"/>
  <c r="H76" i="397"/>
  <c r="I24" i="407"/>
  <c r="H24" i="407"/>
  <c r="G48" i="407"/>
  <c r="D55" i="354"/>
  <c r="H76" i="398"/>
  <c r="I76" i="398"/>
  <c r="F167" i="388" l="1"/>
  <c r="N116" i="347"/>
  <c r="F166" i="388"/>
  <c r="F170" i="388" s="1"/>
  <c r="F171" i="388"/>
  <c r="S104" i="348"/>
  <c r="N102" i="348"/>
  <c r="P115" i="347"/>
  <c r="E115" i="347"/>
  <c r="G165" i="399"/>
  <c r="H165" i="399" s="1"/>
  <c r="H147" i="399"/>
  <c r="I147" i="399"/>
  <c r="F102" i="348"/>
  <c r="H50" i="405"/>
  <c r="I50" i="405"/>
  <c r="G147" i="405"/>
  <c r="G102" i="348"/>
  <c r="I77" i="395"/>
  <c r="V114" i="347"/>
  <c r="H9" i="402"/>
  <c r="G24" i="402"/>
  <c r="G48" i="402" s="1"/>
  <c r="G41" i="391" s="1"/>
  <c r="O116" i="347"/>
  <c r="O115" i="347"/>
  <c r="H50" i="399"/>
  <c r="I50" i="399"/>
  <c r="I47" i="360"/>
  <c r="H47" i="360"/>
  <c r="E34" i="339"/>
  <c r="C41" i="339"/>
  <c r="R18" i="421"/>
  <c r="H24" i="395"/>
  <c r="G48" i="395"/>
  <c r="I24" i="395"/>
  <c r="F184" i="404"/>
  <c r="F179" i="404"/>
  <c r="I50" i="389"/>
  <c r="H50" i="389"/>
  <c r="I50" i="397"/>
  <c r="H50" i="397"/>
  <c r="R104" i="348"/>
  <c r="H19" i="405"/>
  <c r="G24" i="405"/>
  <c r="H24" i="405" s="1"/>
  <c r="J102" i="348"/>
  <c r="L102" i="348"/>
  <c r="D165" i="360"/>
  <c r="I147" i="360"/>
  <c r="H147" i="360"/>
  <c r="D167" i="389"/>
  <c r="D166" i="389"/>
  <c r="D170" i="389" s="1"/>
  <c r="D149" i="389"/>
  <c r="D148" i="389"/>
  <c r="D152" i="389" s="1"/>
  <c r="D153" i="389"/>
  <c r="D171" i="389"/>
  <c r="D184" i="389"/>
  <c r="D179" i="389"/>
  <c r="H102" i="348"/>
  <c r="F103" i="348" s="1"/>
  <c r="U101" i="348"/>
  <c r="U104" i="348" s="1"/>
  <c r="I149" i="325"/>
  <c r="P102" i="348"/>
  <c r="E165" i="385"/>
  <c r="C80" i="385"/>
  <c r="C56" i="391"/>
  <c r="D166" i="360"/>
  <c r="D170" i="360" s="1"/>
  <c r="D171" i="360"/>
  <c r="D167" i="360"/>
  <c r="D148" i="360"/>
  <c r="D152" i="360" s="1"/>
  <c r="D149" i="360"/>
  <c r="D153" i="360"/>
  <c r="I77" i="404"/>
  <c r="H77" i="404"/>
  <c r="G76" i="404"/>
  <c r="J44" i="385"/>
  <c r="C44" i="385" s="1"/>
  <c r="C23" i="385"/>
  <c r="P23" i="385" s="1"/>
  <c r="C40" i="391"/>
  <c r="C53" i="391"/>
  <c r="C55" i="391" s="1"/>
  <c r="I24" i="403"/>
  <c r="H24" i="403"/>
  <c r="P151" i="385"/>
  <c r="C152" i="385"/>
  <c r="P152" i="385" s="1"/>
  <c r="D165" i="386"/>
  <c r="C80" i="386"/>
  <c r="G169" i="385"/>
  <c r="G168" i="385"/>
  <c r="K102" i="348"/>
  <c r="F168" i="386"/>
  <c r="F169" i="386"/>
  <c r="C44" i="386"/>
  <c r="T102" i="348"/>
  <c r="Q19" i="421" a="1"/>
  <c r="Q19" i="421" s="1"/>
  <c r="G19" i="421" a="1"/>
  <c r="G19" i="421" s="1"/>
  <c r="N19" i="421" a="1"/>
  <c r="N19" i="421" s="1"/>
  <c r="O19" i="421" a="1"/>
  <c r="O19" i="421" s="1"/>
  <c r="L19" i="421" a="1"/>
  <c r="L19" i="421" s="1"/>
  <c r="A19" i="421" a="1"/>
  <c r="A19" i="421" s="1"/>
  <c r="H19" i="421" a="1"/>
  <c r="H19" i="421" s="1"/>
  <c r="C20" i="421"/>
  <c r="I19" i="421" a="1"/>
  <c r="I19" i="421" s="1"/>
  <c r="K19" i="421" a="1"/>
  <c r="K19" i="421" s="1"/>
  <c r="M19" i="421" a="1"/>
  <c r="M19" i="421" s="1"/>
  <c r="O23" i="422" a="1"/>
  <c r="O23" i="422" s="1"/>
  <c r="N23" i="422" a="1"/>
  <c r="N23" i="422" s="1"/>
  <c r="M23" i="422" a="1"/>
  <c r="M23" i="422" s="1"/>
  <c r="R23" i="422" a="1"/>
  <c r="R23" i="422" s="1"/>
  <c r="G23" i="422" a="1"/>
  <c r="G23" i="422" s="1"/>
  <c r="L23" i="422" a="1"/>
  <c r="L23" i="422" s="1"/>
  <c r="A23" i="422" a="1"/>
  <c r="A23" i="422" s="1"/>
  <c r="C24" i="422"/>
  <c r="H23" i="422" a="1"/>
  <c r="H23" i="422" s="1"/>
  <c r="J23" i="422" a="1"/>
  <c r="J23" i="422" s="1"/>
  <c r="P23" i="422" a="1"/>
  <c r="P23" i="422" s="1"/>
  <c r="I23" i="422" a="1"/>
  <c r="I23" i="422" s="1"/>
  <c r="H76" i="360"/>
  <c r="I76" i="360"/>
  <c r="Q102" i="348"/>
  <c r="P165" i="365"/>
  <c r="C169" i="365"/>
  <c r="P169" i="365" s="1"/>
  <c r="C184" i="399"/>
  <c r="C179" i="399"/>
  <c r="O102" i="348"/>
  <c r="C152" i="386"/>
  <c r="P152" i="386" s="1"/>
  <c r="P151" i="386"/>
  <c r="C167" i="365"/>
  <c r="P167" i="365" s="1"/>
  <c r="D168" i="365"/>
  <c r="C168" i="365" s="1"/>
  <c r="P168" i="365" s="1"/>
  <c r="C165" i="385"/>
  <c r="P165" i="385" s="1"/>
  <c r="D167" i="385"/>
  <c r="D169" i="385"/>
  <c r="C35" i="391"/>
  <c r="C37" i="391" s="1"/>
  <c r="C25" i="391"/>
  <c r="C20" i="391"/>
  <c r="S22" i="422"/>
  <c r="H47" i="401"/>
  <c r="I47" i="401"/>
  <c r="T104" i="348"/>
  <c r="I24" i="394"/>
  <c r="H24" i="394"/>
  <c r="G76" i="392"/>
  <c r="H77" i="392"/>
  <c r="I77" i="392"/>
  <c r="V116" i="347"/>
  <c r="F184" i="388"/>
  <c r="F179" i="388"/>
  <c r="I50" i="393"/>
  <c r="H50" i="393"/>
  <c r="H77" i="408"/>
  <c r="G76" i="408"/>
  <c r="I77" i="408"/>
  <c r="I24" i="360"/>
  <c r="G48" i="360"/>
  <c r="G184" i="360" s="1"/>
  <c r="H24" i="360"/>
  <c r="H77" i="389"/>
  <c r="G76" i="389"/>
  <c r="I77" i="389"/>
  <c r="I47" i="407"/>
  <c r="H47" i="407"/>
  <c r="I24" i="389"/>
  <c r="H24" i="389"/>
  <c r="G48" i="389"/>
  <c r="H77" i="407"/>
  <c r="I77" i="407"/>
  <c r="G76" i="407"/>
  <c r="I47" i="396"/>
  <c r="H47" i="396"/>
  <c r="H24" i="408"/>
  <c r="I24" i="408"/>
  <c r="G48" i="408"/>
  <c r="H76" i="395"/>
  <c r="I76" i="395"/>
  <c r="I24" i="393"/>
  <c r="H24" i="393"/>
  <c r="H47" i="403"/>
  <c r="G48" i="403"/>
  <c r="G149" i="403" s="1"/>
  <c r="G48" i="392"/>
  <c r="I24" i="392"/>
  <c r="H24" i="392"/>
  <c r="G147" i="395"/>
  <c r="F179" i="393"/>
  <c r="F184" i="393"/>
  <c r="H77" i="388"/>
  <c r="I77" i="388"/>
  <c r="G76" i="388"/>
  <c r="I77" i="396"/>
  <c r="G76" i="396"/>
  <c r="H77" i="396"/>
  <c r="H76" i="401"/>
  <c r="G147" i="401"/>
  <c r="I76" i="401"/>
  <c r="G48" i="388"/>
  <c r="I24" i="388"/>
  <c r="H24" i="388"/>
  <c r="G147" i="394"/>
  <c r="G153" i="394" s="1"/>
  <c r="I76" i="394"/>
  <c r="H76" i="394"/>
  <c r="H47" i="405"/>
  <c r="I47" i="405"/>
  <c r="C34" i="354"/>
  <c r="E27" i="354"/>
  <c r="I76" i="393"/>
  <c r="G147" i="393"/>
  <c r="H76" i="393"/>
  <c r="G76" i="402"/>
  <c r="I77" i="402"/>
  <c r="H77" i="402"/>
  <c r="G48" i="399"/>
  <c r="H24" i="399"/>
  <c r="I24" i="399"/>
  <c r="F184" i="396"/>
  <c r="F179" i="396"/>
  <c r="G48" i="401"/>
  <c r="H24" i="401"/>
  <c r="H24" i="398"/>
  <c r="G48" i="398"/>
  <c r="G166" i="398" s="1"/>
  <c r="U99" i="348"/>
  <c r="U100" i="348"/>
  <c r="I116" i="347"/>
  <c r="I115" i="347"/>
  <c r="R115" i="347"/>
  <c r="R116" i="347"/>
  <c r="K116" i="347"/>
  <c r="K115" i="347"/>
  <c r="H116" i="347"/>
  <c r="H115" i="347"/>
  <c r="M116" i="347"/>
  <c r="M115" i="347"/>
  <c r="Q116" i="347"/>
  <c r="Q115" i="347"/>
  <c r="V113" i="347"/>
  <c r="V112" i="347"/>
  <c r="L116" i="347"/>
  <c r="L115" i="347"/>
  <c r="T116" i="347"/>
  <c r="T115" i="347"/>
  <c r="H48" i="397"/>
  <c r="G17" i="391"/>
  <c r="E52" i="346"/>
  <c r="H44" i="346"/>
  <c r="C55" i="324"/>
  <c r="E48" i="324"/>
  <c r="D83" i="324"/>
  <c r="H24" i="404"/>
  <c r="I24" i="404"/>
  <c r="G48" i="404"/>
  <c r="I165" i="399"/>
  <c r="G14" i="391"/>
  <c r="I48" i="396"/>
  <c r="H48" i="396"/>
  <c r="H48" i="407"/>
  <c r="I48" i="407"/>
  <c r="Q103" i="348"/>
  <c r="O103" i="348"/>
  <c r="P103" i="348"/>
  <c r="R103" i="348"/>
  <c r="F179" i="399"/>
  <c r="F184" i="399"/>
  <c r="G38" i="391"/>
  <c r="I48" i="394"/>
  <c r="H48" i="394"/>
  <c r="H147" i="403"/>
  <c r="G165" i="403"/>
  <c r="I147" i="403"/>
  <c r="H56" i="391"/>
  <c r="D62" i="354"/>
  <c r="I147" i="397"/>
  <c r="G165" i="397"/>
  <c r="H147" i="397"/>
  <c r="G153" i="397"/>
  <c r="H153" i="397" s="1"/>
  <c r="G148" i="397"/>
  <c r="G149" i="397"/>
  <c r="H149" i="397" s="1"/>
  <c r="L103" i="348"/>
  <c r="J103" i="348"/>
  <c r="K103" i="348"/>
  <c r="H47" i="393"/>
  <c r="G48" i="393"/>
  <c r="F92" i="346"/>
  <c r="H165" i="398"/>
  <c r="I165" i="398"/>
  <c r="G178" i="398"/>
  <c r="D55" i="254"/>
  <c r="E48" i="254"/>
  <c r="G48" i="405" l="1"/>
  <c r="H48" i="405" s="1"/>
  <c r="G167" i="399"/>
  <c r="U102" i="348"/>
  <c r="G167" i="398"/>
  <c r="H167" i="398" s="1"/>
  <c r="G179" i="360"/>
  <c r="G171" i="398"/>
  <c r="H171" i="398" s="1"/>
  <c r="G148" i="394"/>
  <c r="I148" i="394" s="1"/>
  <c r="G178" i="399"/>
  <c r="G179" i="399" s="1"/>
  <c r="V115" i="347"/>
  <c r="H24" i="402"/>
  <c r="I24" i="402"/>
  <c r="H147" i="405"/>
  <c r="G165" i="405"/>
  <c r="I147" i="405"/>
  <c r="E41" i="339"/>
  <c r="C48" i="339"/>
  <c r="R19" i="421"/>
  <c r="G149" i="394"/>
  <c r="H149" i="394" s="1"/>
  <c r="G103" i="348"/>
  <c r="G153" i="403"/>
  <c r="I153" i="403" s="1"/>
  <c r="G148" i="403"/>
  <c r="I148" i="403" s="1"/>
  <c r="G8" i="391"/>
  <c r="I48" i="395"/>
  <c r="H48" i="395"/>
  <c r="C169" i="385"/>
  <c r="P169" i="385" s="1"/>
  <c r="P44" i="385"/>
  <c r="G147" i="404"/>
  <c r="G153" i="404" s="1"/>
  <c r="H153" i="404" s="1"/>
  <c r="H76" i="404"/>
  <c r="I76" i="404"/>
  <c r="N20" i="421" a="1"/>
  <c r="N20" i="421" s="1"/>
  <c r="O20" i="421" a="1"/>
  <c r="O20" i="421" s="1"/>
  <c r="A20" i="421" a="1"/>
  <c r="A20" i="421" s="1"/>
  <c r="L20" i="421" a="1"/>
  <c r="L20" i="421" s="1"/>
  <c r="G20" i="421" a="1"/>
  <c r="G20" i="421" s="1"/>
  <c r="H20" i="421" a="1"/>
  <c r="H20" i="421" s="1"/>
  <c r="I20" i="421" a="1"/>
  <c r="I20" i="421" s="1"/>
  <c r="Q20" i="421" a="1"/>
  <c r="Q20" i="421" s="1"/>
  <c r="K20" i="421" a="1"/>
  <c r="K20" i="421" s="1"/>
  <c r="M20" i="421" a="1"/>
  <c r="M20" i="421" s="1"/>
  <c r="C21" i="421"/>
  <c r="P80" i="386"/>
  <c r="C82" i="386"/>
  <c r="P82" i="386" s="1"/>
  <c r="H48" i="402"/>
  <c r="C165" i="386"/>
  <c r="P165" i="386" s="1"/>
  <c r="D167" i="386"/>
  <c r="D169" i="386"/>
  <c r="C167" i="385"/>
  <c r="P167" i="385" s="1"/>
  <c r="D168" i="385"/>
  <c r="C169" i="386"/>
  <c r="P169" i="386" s="1"/>
  <c r="P44" i="386"/>
  <c r="C59" i="391"/>
  <c r="C22" i="391"/>
  <c r="J169" i="385"/>
  <c r="J168" i="385"/>
  <c r="S23" i="422"/>
  <c r="I48" i="402"/>
  <c r="A24" i="422" a="1"/>
  <c r="A24" i="422" s="1"/>
  <c r="O24" i="422" a="1"/>
  <c r="O24" i="422" s="1"/>
  <c r="N24" i="422" a="1"/>
  <c r="N24" i="422" s="1"/>
  <c r="R24" i="422" a="1"/>
  <c r="R24" i="422" s="1"/>
  <c r="G24" i="422" a="1"/>
  <c r="G24" i="422" s="1"/>
  <c r="I24" i="422" a="1"/>
  <c r="I24" i="422" s="1"/>
  <c r="J24" i="422" a="1"/>
  <c r="J24" i="422" s="1"/>
  <c r="L24" i="422" a="1"/>
  <c r="L24" i="422" s="1"/>
  <c r="H24" i="422" a="1"/>
  <c r="H24" i="422" s="1"/>
  <c r="C25" i="422"/>
  <c r="M24" i="422" a="1"/>
  <c r="M24" i="422" s="1"/>
  <c r="P24" i="422" a="1"/>
  <c r="P24" i="422" s="1"/>
  <c r="C82" i="385"/>
  <c r="P82" i="385" s="1"/>
  <c r="P80" i="385"/>
  <c r="D178" i="360"/>
  <c r="I165" i="360"/>
  <c r="H165" i="360"/>
  <c r="E167" i="385"/>
  <c r="E168" i="385" s="1"/>
  <c r="E169" i="385"/>
  <c r="I76" i="392"/>
  <c r="H76" i="392"/>
  <c r="G147" i="392"/>
  <c r="G149" i="392" s="1"/>
  <c r="I48" i="408"/>
  <c r="H48" i="408"/>
  <c r="I48" i="389"/>
  <c r="H48" i="389"/>
  <c r="H76" i="408"/>
  <c r="I76" i="408"/>
  <c r="G147" i="408"/>
  <c r="G153" i="408" s="1"/>
  <c r="H48" i="392"/>
  <c r="G11" i="391"/>
  <c r="I48" i="392"/>
  <c r="G147" i="407"/>
  <c r="H76" i="407"/>
  <c r="I76" i="407"/>
  <c r="G153" i="360"/>
  <c r="H48" i="360"/>
  <c r="I48" i="360"/>
  <c r="G149" i="360"/>
  <c r="G148" i="360"/>
  <c r="G56" i="391"/>
  <c r="J56" i="391" s="1"/>
  <c r="G166" i="360"/>
  <c r="G167" i="360"/>
  <c r="G171" i="360"/>
  <c r="I147" i="395"/>
  <c r="H147" i="395"/>
  <c r="G165" i="395"/>
  <c r="G153" i="395"/>
  <c r="G148" i="395"/>
  <c r="G149" i="395"/>
  <c r="G44" i="391"/>
  <c r="I48" i="403"/>
  <c r="H48" i="403"/>
  <c r="G147" i="389"/>
  <c r="G149" i="389" s="1"/>
  <c r="I76" i="389"/>
  <c r="H76" i="389"/>
  <c r="G149" i="405"/>
  <c r="I48" i="405"/>
  <c r="G153" i="405"/>
  <c r="G50" i="391"/>
  <c r="G167" i="405"/>
  <c r="G171" i="405"/>
  <c r="I147" i="394"/>
  <c r="G165" i="394"/>
  <c r="H147" i="394"/>
  <c r="I76" i="396"/>
  <c r="H76" i="396"/>
  <c r="G147" i="396"/>
  <c r="G148" i="401"/>
  <c r="I48" i="401"/>
  <c r="H48" i="401"/>
  <c r="G153" i="401"/>
  <c r="G149" i="401"/>
  <c r="G32" i="391"/>
  <c r="I76" i="402"/>
  <c r="H76" i="402"/>
  <c r="G147" i="402"/>
  <c r="G165" i="401"/>
  <c r="H147" i="401"/>
  <c r="I147" i="401"/>
  <c r="G26" i="391"/>
  <c r="H48" i="398"/>
  <c r="G148" i="398"/>
  <c r="G153" i="398"/>
  <c r="H153" i="398" s="1"/>
  <c r="G149" i="398"/>
  <c r="H149" i="398" s="1"/>
  <c r="G148" i="399"/>
  <c r="G149" i="399"/>
  <c r="I48" i="399"/>
  <c r="G29" i="391"/>
  <c r="H48" i="399"/>
  <c r="G153" i="399"/>
  <c r="G171" i="399"/>
  <c r="G166" i="399"/>
  <c r="E34" i="354"/>
  <c r="C41" i="354"/>
  <c r="H76" i="388"/>
  <c r="I76" i="388"/>
  <c r="G147" i="388"/>
  <c r="G149" i="388" s="1"/>
  <c r="G165" i="393"/>
  <c r="G167" i="393" s="1"/>
  <c r="H147" i="393"/>
  <c r="I147" i="393"/>
  <c r="I48" i="388"/>
  <c r="H48" i="388"/>
  <c r="P17" i="391"/>
  <c r="Q17" i="391"/>
  <c r="E60" i="346"/>
  <c r="H52" i="346"/>
  <c r="C62" i="324"/>
  <c r="E55" i="324"/>
  <c r="G47" i="391"/>
  <c r="H48" i="404"/>
  <c r="I48" i="404"/>
  <c r="G149" i="404"/>
  <c r="H149" i="404" s="1"/>
  <c r="D90" i="324"/>
  <c r="H166" i="398"/>
  <c r="I166" i="398"/>
  <c r="G170" i="398"/>
  <c r="F100" i="346"/>
  <c r="G178" i="397"/>
  <c r="I165" i="397"/>
  <c r="H165" i="397"/>
  <c r="G167" i="397"/>
  <c r="H167" i="397" s="1"/>
  <c r="G166" i="397"/>
  <c r="G171" i="397"/>
  <c r="H171" i="397" s="1"/>
  <c r="I149" i="403"/>
  <c r="H149" i="403"/>
  <c r="H153" i="394"/>
  <c r="I153" i="394"/>
  <c r="H26" i="391"/>
  <c r="I178" i="398"/>
  <c r="H178" i="398"/>
  <c r="G179" i="398"/>
  <c r="G184" i="398"/>
  <c r="H184" i="398" s="1"/>
  <c r="E55" i="254"/>
  <c r="D62" i="254"/>
  <c r="G153" i="393"/>
  <c r="I48" i="393"/>
  <c r="H48" i="393"/>
  <c r="G149" i="393"/>
  <c r="G23" i="391"/>
  <c r="G148" i="393"/>
  <c r="I148" i="397"/>
  <c r="G152" i="397"/>
  <c r="H148" i="397"/>
  <c r="D69" i="354"/>
  <c r="P38" i="391"/>
  <c r="Q38" i="391"/>
  <c r="Q57" i="391"/>
  <c r="H153" i="403"/>
  <c r="G178" i="403"/>
  <c r="I165" i="403"/>
  <c r="H165" i="403"/>
  <c r="G171" i="403"/>
  <c r="G167" i="403"/>
  <c r="G166" i="403"/>
  <c r="Q41" i="391"/>
  <c r="P41" i="391"/>
  <c r="H178" i="399"/>
  <c r="I178" i="399"/>
  <c r="H29" i="391"/>
  <c r="H167" i="399"/>
  <c r="I167" i="399"/>
  <c r="H148" i="403"/>
  <c r="Q14" i="391"/>
  <c r="P14" i="391"/>
  <c r="G166" i="405" l="1"/>
  <c r="G148" i="405"/>
  <c r="G152" i="394"/>
  <c r="H152" i="394" s="1"/>
  <c r="H148" i="394"/>
  <c r="G184" i="399"/>
  <c r="H184" i="399" s="1"/>
  <c r="I149" i="404"/>
  <c r="I149" i="394"/>
  <c r="G152" i="403"/>
  <c r="I152" i="403" s="1"/>
  <c r="G148" i="404"/>
  <c r="I165" i="405"/>
  <c r="G178" i="405"/>
  <c r="H165" i="405"/>
  <c r="I56" i="391"/>
  <c r="G53" i="391"/>
  <c r="C55" i="339"/>
  <c r="E48" i="339"/>
  <c r="G153" i="392"/>
  <c r="H153" i="392" s="1"/>
  <c r="R20" i="421"/>
  <c r="Q8" i="391"/>
  <c r="P8" i="391"/>
  <c r="G166" i="393"/>
  <c r="G153" i="388"/>
  <c r="H153" i="388" s="1"/>
  <c r="G148" i="388"/>
  <c r="H148" i="388" s="1"/>
  <c r="R25" i="422" a="1"/>
  <c r="R25" i="422" s="1"/>
  <c r="J25" i="422" a="1"/>
  <c r="J25" i="422" s="1"/>
  <c r="O25" i="422" a="1"/>
  <c r="O25" i="422" s="1"/>
  <c r="A25" i="422" a="1"/>
  <c r="A25" i="422" s="1"/>
  <c r="C26" i="422"/>
  <c r="L25" i="422" a="1"/>
  <c r="L25" i="422" s="1"/>
  <c r="M25" i="422" a="1"/>
  <c r="M25" i="422" s="1"/>
  <c r="H25" i="422" a="1"/>
  <c r="H25" i="422" s="1"/>
  <c r="I25" i="422" a="1"/>
  <c r="I25" i="422" s="1"/>
  <c r="P25" i="422" a="1"/>
  <c r="P25" i="422" s="1"/>
  <c r="G25" i="422" a="1"/>
  <c r="G25" i="422" s="1"/>
  <c r="N25" i="422" a="1"/>
  <c r="N25" i="422" s="1"/>
  <c r="C168" i="385"/>
  <c r="P168" i="385" s="1"/>
  <c r="O56" i="391"/>
  <c r="C167" i="386"/>
  <c r="P167" i="386" s="1"/>
  <c r="D168" i="386"/>
  <c r="C168" i="386" s="1"/>
  <c r="P168" i="386" s="1"/>
  <c r="G171" i="393"/>
  <c r="G165" i="404"/>
  <c r="I147" i="404"/>
  <c r="H147" i="404"/>
  <c r="I153" i="404"/>
  <c r="G148" i="392"/>
  <c r="I148" i="392" s="1"/>
  <c r="C57" i="391"/>
  <c r="D179" i="360"/>
  <c r="I178" i="360"/>
  <c r="D184" i="360"/>
  <c r="H178" i="360"/>
  <c r="N21" i="421" a="1"/>
  <c r="N21" i="421" s="1"/>
  <c r="M21" i="421" a="1"/>
  <c r="M21" i="421" s="1"/>
  <c r="C22" i="421"/>
  <c r="O21" i="421" a="1"/>
  <c r="O21" i="421" s="1"/>
  <c r="I21" i="421" a="1"/>
  <c r="I21" i="421" s="1"/>
  <c r="K21" i="421" a="1"/>
  <c r="K21" i="421" s="1"/>
  <c r="G21" i="421" a="1"/>
  <c r="G21" i="421" s="1"/>
  <c r="H21" i="421" a="1"/>
  <c r="H21" i="421" s="1"/>
  <c r="L21" i="421" a="1"/>
  <c r="L21" i="421" s="1"/>
  <c r="Q21" i="421" a="1"/>
  <c r="Q21" i="421" s="1"/>
  <c r="A21" i="421" a="1"/>
  <c r="A21" i="421" s="1"/>
  <c r="S24" i="422"/>
  <c r="H147" i="392"/>
  <c r="G165" i="392"/>
  <c r="I147" i="392"/>
  <c r="I153" i="408"/>
  <c r="H153" i="408"/>
  <c r="I149" i="389"/>
  <c r="H149" i="389"/>
  <c r="I153" i="395"/>
  <c r="H153" i="395"/>
  <c r="H171" i="360"/>
  <c r="I171" i="360"/>
  <c r="H148" i="360"/>
  <c r="I148" i="360"/>
  <c r="G152" i="360"/>
  <c r="H153" i="360"/>
  <c r="I153" i="360"/>
  <c r="G148" i="389"/>
  <c r="G148" i="408"/>
  <c r="Q44" i="391"/>
  <c r="P44" i="391"/>
  <c r="G178" i="395"/>
  <c r="H165" i="395"/>
  <c r="G171" i="395"/>
  <c r="G167" i="395"/>
  <c r="I165" i="395"/>
  <c r="G166" i="395"/>
  <c r="H167" i="360"/>
  <c r="I167" i="360"/>
  <c r="H149" i="360"/>
  <c r="I149" i="360"/>
  <c r="H147" i="389"/>
  <c r="I147" i="389"/>
  <c r="G165" i="389"/>
  <c r="I149" i="395"/>
  <c r="H149" i="395"/>
  <c r="I166" i="360"/>
  <c r="G170" i="360"/>
  <c r="H166" i="360"/>
  <c r="P11" i="391"/>
  <c r="Q11" i="391"/>
  <c r="G20" i="391"/>
  <c r="H149" i="392"/>
  <c r="I149" i="392"/>
  <c r="H147" i="408"/>
  <c r="I147" i="408"/>
  <c r="G165" i="408"/>
  <c r="G153" i="389"/>
  <c r="G149" i="408"/>
  <c r="H148" i="395"/>
  <c r="I148" i="395"/>
  <c r="G152" i="395"/>
  <c r="P56" i="391"/>
  <c r="Q56" i="391"/>
  <c r="Q58" i="391" s="1"/>
  <c r="G165" i="407"/>
  <c r="H147" i="407"/>
  <c r="I147" i="407"/>
  <c r="G153" i="407"/>
  <c r="G149" i="407"/>
  <c r="G148" i="407"/>
  <c r="I149" i="388"/>
  <c r="H149" i="388"/>
  <c r="G170" i="399"/>
  <c r="H166" i="399"/>
  <c r="I166" i="399"/>
  <c r="P29" i="391"/>
  <c r="Q29" i="391"/>
  <c r="P26" i="391"/>
  <c r="Q26" i="391"/>
  <c r="I147" i="402"/>
  <c r="H147" i="402"/>
  <c r="G165" i="402"/>
  <c r="G153" i="402"/>
  <c r="G148" i="402"/>
  <c r="G149" i="402"/>
  <c r="I149" i="401"/>
  <c r="H149" i="401"/>
  <c r="I148" i="401"/>
  <c r="G152" i="401"/>
  <c r="H148" i="401"/>
  <c r="H153" i="405"/>
  <c r="I153" i="405"/>
  <c r="I171" i="399"/>
  <c r="H171" i="399"/>
  <c r="H153" i="401"/>
  <c r="I153" i="401"/>
  <c r="H147" i="396"/>
  <c r="G165" i="396"/>
  <c r="I147" i="396"/>
  <c r="G148" i="396"/>
  <c r="G149" i="396"/>
  <c r="G153" i="396"/>
  <c r="G178" i="394"/>
  <c r="H165" i="394"/>
  <c r="I165" i="394"/>
  <c r="G171" i="394"/>
  <c r="G166" i="394"/>
  <c r="G167" i="394"/>
  <c r="H171" i="405"/>
  <c r="I171" i="405"/>
  <c r="G170" i="405"/>
  <c r="I166" i="405"/>
  <c r="H166" i="405"/>
  <c r="G178" i="393"/>
  <c r="H165" i="393"/>
  <c r="I165" i="393"/>
  <c r="C48" i="354"/>
  <c r="E41" i="354"/>
  <c r="H153" i="399"/>
  <c r="I153" i="399"/>
  <c r="I149" i="399"/>
  <c r="H149" i="399"/>
  <c r="G152" i="398"/>
  <c r="H148" i="398"/>
  <c r="I148" i="398"/>
  <c r="I167" i="405"/>
  <c r="H167" i="405"/>
  <c r="I148" i="388"/>
  <c r="G165" i="388"/>
  <c r="I147" i="388"/>
  <c r="H147" i="388"/>
  <c r="G152" i="399"/>
  <c r="I148" i="399"/>
  <c r="H148" i="399"/>
  <c r="G167" i="401"/>
  <c r="I165" i="401"/>
  <c r="H165" i="401"/>
  <c r="G166" i="401"/>
  <c r="G171" i="401"/>
  <c r="G178" i="401"/>
  <c r="Q32" i="391"/>
  <c r="P32" i="391"/>
  <c r="G152" i="405"/>
  <c r="I148" i="405"/>
  <c r="H148" i="405"/>
  <c r="Q50" i="391"/>
  <c r="P50" i="391"/>
  <c r="H149" i="405"/>
  <c r="I149" i="405"/>
  <c r="P47" i="391"/>
  <c r="Q47" i="391"/>
  <c r="E68" i="346"/>
  <c r="H60" i="346"/>
  <c r="C69" i="324"/>
  <c r="E62" i="324"/>
  <c r="H171" i="403"/>
  <c r="I171" i="403"/>
  <c r="D76" i="354"/>
  <c r="I171" i="393"/>
  <c r="H171" i="393"/>
  <c r="Q27" i="391"/>
  <c r="P27" i="391"/>
  <c r="I26" i="391"/>
  <c r="N26" i="391" s="1"/>
  <c r="O26" i="391"/>
  <c r="J26" i="391"/>
  <c r="H166" i="397"/>
  <c r="I166" i="397"/>
  <c r="G170" i="397"/>
  <c r="H17" i="391"/>
  <c r="I178" i="397"/>
  <c r="H178" i="397"/>
  <c r="G184" i="397"/>
  <c r="H184" i="397" s="1"/>
  <c r="G179" i="397"/>
  <c r="F108" i="346"/>
  <c r="H179" i="399"/>
  <c r="I179" i="399"/>
  <c r="G152" i="393"/>
  <c r="I148" i="393"/>
  <c r="H148" i="393"/>
  <c r="G35" i="391"/>
  <c r="P23" i="391"/>
  <c r="Q23" i="391"/>
  <c r="I179" i="398"/>
  <c r="H179" i="398"/>
  <c r="P30" i="391"/>
  <c r="Q30" i="391"/>
  <c r="I29" i="391"/>
  <c r="N29" i="391" s="1"/>
  <c r="O29" i="391"/>
  <c r="J29" i="391"/>
  <c r="I166" i="403"/>
  <c r="H166" i="403"/>
  <c r="G170" i="403"/>
  <c r="I166" i="393"/>
  <c r="G170" i="393"/>
  <c r="H166" i="393"/>
  <c r="I149" i="393"/>
  <c r="H149" i="393"/>
  <c r="I153" i="393"/>
  <c r="H153" i="393"/>
  <c r="D69" i="254"/>
  <c r="E62" i="254"/>
  <c r="H167" i="403"/>
  <c r="I167" i="403"/>
  <c r="H178" i="403"/>
  <c r="H44" i="391"/>
  <c r="I178" i="403"/>
  <c r="G179" i="403"/>
  <c r="G184" i="403"/>
  <c r="H152" i="397"/>
  <c r="I152" i="397"/>
  <c r="I167" i="393"/>
  <c r="H167" i="393"/>
  <c r="H170" i="398"/>
  <c r="I170" i="398"/>
  <c r="Q28" i="391" l="1"/>
  <c r="I153" i="388"/>
  <c r="I184" i="399"/>
  <c r="G152" i="388"/>
  <c r="H152" i="388" s="1"/>
  <c r="I152" i="394"/>
  <c r="H152" i="403"/>
  <c r="I153" i="392"/>
  <c r="R21" i="421"/>
  <c r="H50" i="391"/>
  <c r="I178" i="405"/>
  <c r="H178" i="405"/>
  <c r="G184" i="405"/>
  <c r="G179" i="405"/>
  <c r="G152" i="404"/>
  <c r="I148" i="404"/>
  <c r="H148" i="404"/>
  <c r="Q20" i="391"/>
  <c r="P20" i="391"/>
  <c r="G152" i="392"/>
  <c r="E55" i="339"/>
  <c r="C62" i="339"/>
  <c r="P28" i="391"/>
  <c r="P53" i="391"/>
  <c r="Q53" i="391"/>
  <c r="Q31" i="391"/>
  <c r="H22" i="421" a="1"/>
  <c r="H22" i="421" s="1"/>
  <c r="Q22" i="421" a="1"/>
  <c r="Q22" i="421" s="1"/>
  <c r="C23" i="421"/>
  <c r="K22" i="421" a="1"/>
  <c r="K22" i="421" s="1"/>
  <c r="A22" i="421" a="1"/>
  <c r="A22" i="421" s="1"/>
  <c r="L22" i="421" a="1"/>
  <c r="L22" i="421" s="1"/>
  <c r="G22" i="421" a="1"/>
  <c r="G22" i="421" s="1"/>
  <c r="M22" i="421" a="1"/>
  <c r="M22" i="421" s="1"/>
  <c r="I22" i="421" a="1"/>
  <c r="I22" i="421" s="1"/>
  <c r="O22" i="421" a="1"/>
  <c r="O22" i="421" s="1"/>
  <c r="N22" i="421" a="1"/>
  <c r="N22" i="421" s="1"/>
  <c r="H148" i="392"/>
  <c r="I184" i="360"/>
  <c r="H184" i="360"/>
  <c r="I179" i="360"/>
  <c r="H179" i="360"/>
  <c r="S25" i="422"/>
  <c r="C60" i="391"/>
  <c r="C61" i="391" s="1"/>
  <c r="C58" i="391"/>
  <c r="P57" i="391"/>
  <c r="P58" i="391" s="1"/>
  <c r="P31" i="391"/>
  <c r="N26" i="422" a="1"/>
  <c r="N26" i="422" s="1"/>
  <c r="C27" i="422"/>
  <c r="L26" i="422" a="1"/>
  <c r="L26" i="422" s="1"/>
  <c r="R26" i="422" a="1"/>
  <c r="R26" i="422" s="1"/>
  <c r="A26" i="422" a="1"/>
  <c r="A26" i="422" s="1"/>
  <c r="O26" i="422" a="1"/>
  <c r="O26" i="422" s="1"/>
  <c r="J26" i="422" a="1"/>
  <c r="J26" i="422" s="1"/>
  <c r="G26" i="422" a="1"/>
  <c r="G26" i="422" s="1"/>
  <c r="I26" i="422" a="1"/>
  <c r="I26" i="422" s="1"/>
  <c r="H26" i="422" a="1"/>
  <c r="H26" i="422" s="1"/>
  <c r="M26" i="422" a="1"/>
  <c r="M26" i="422" s="1"/>
  <c r="P26" i="422" a="1"/>
  <c r="P26" i="422" s="1"/>
  <c r="G178" i="404"/>
  <c r="G166" i="404"/>
  <c r="G167" i="404"/>
  <c r="H165" i="404"/>
  <c r="G171" i="404"/>
  <c r="I165" i="404"/>
  <c r="I165" i="392"/>
  <c r="G178" i="392"/>
  <c r="H165" i="392"/>
  <c r="G171" i="392"/>
  <c r="G166" i="392"/>
  <c r="G167" i="392"/>
  <c r="H170" i="360"/>
  <c r="I170" i="360"/>
  <c r="I165" i="389"/>
  <c r="G178" i="389"/>
  <c r="H165" i="389"/>
  <c r="G166" i="389"/>
  <c r="G171" i="389"/>
  <c r="G167" i="389"/>
  <c r="I167" i="395"/>
  <c r="H167" i="395"/>
  <c r="G152" i="389"/>
  <c r="H148" i="389"/>
  <c r="I148" i="389"/>
  <c r="G152" i="407"/>
  <c r="I148" i="407"/>
  <c r="H148" i="407"/>
  <c r="I152" i="395"/>
  <c r="H152" i="395"/>
  <c r="H149" i="408"/>
  <c r="I149" i="408"/>
  <c r="I152" i="392"/>
  <c r="H152" i="392"/>
  <c r="H171" i="395"/>
  <c r="I171" i="395"/>
  <c r="H149" i="407"/>
  <c r="I149" i="407"/>
  <c r="G178" i="407"/>
  <c r="G166" i="407"/>
  <c r="I165" i="407"/>
  <c r="G167" i="407"/>
  <c r="G171" i="407"/>
  <c r="H165" i="407"/>
  <c r="H153" i="389"/>
  <c r="I153" i="389"/>
  <c r="G170" i="395"/>
  <c r="I166" i="395"/>
  <c r="H166" i="395"/>
  <c r="I153" i="407"/>
  <c r="H153" i="407"/>
  <c r="H165" i="408"/>
  <c r="G166" i="408"/>
  <c r="I165" i="408"/>
  <c r="G178" i="408"/>
  <c r="G171" i="408"/>
  <c r="G167" i="408"/>
  <c r="G179" i="395"/>
  <c r="H178" i="395"/>
  <c r="G184" i="395"/>
  <c r="I178" i="395"/>
  <c r="H8" i="391"/>
  <c r="I148" i="408"/>
  <c r="G152" i="408"/>
  <c r="H148" i="408"/>
  <c r="H152" i="360"/>
  <c r="I152" i="360"/>
  <c r="I178" i="401"/>
  <c r="G179" i="401"/>
  <c r="H32" i="391"/>
  <c r="H178" i="401"/>
  <c r="G184" i="401"/>
  <c r="I152" i="399"/>
  <c r="H152" i="399"/>
  <c r="I178" i="393"/>
  <c r="G184" i="393"/>
  <c r="G179" i="393"/>
  <c r="H178" i="393"/>
  <c r="H23" i="391"/>
  <c r="I149" i="396"/>
  <c r="H149" i="396"/>
  <c r="H152" i="401"/>
  <c r="I152" i="401"/>
  <c r="H149" i="402"/>
  <c r="I149" i="402"/>
  <c r="H170" i="399"/>
  <c r="I170" i="399"/>
  <c r="H152" i="405"/>
  <c r="I152" i="405"/>
  <c r="I171" i="401"/>
  <c r="H171" i="401"/>
  <c r="I167" i="401"/>
  <c r="H167" i="401"/>
  <c r="I152" i="388"/>
  <c r="C55" i="354"/>
  <c r="E48" i="354"/>
  <c r="H167" i="394"/>
  <c r="I167" i="394"/>
  <c r="G152" i="396"/>
  <c r="I148" i="396"/>
  <c r="H148" i="396"/>
  <c r="H148" i="402"/>
  <c r="G152" i="402"/>
  <c r="I148" i="402"/>
  <c r="H166" i="401"/>
  <c r="I166" i="401"/>
  <c r="G170" i="401"/>
  <c r="I170" i="405"/>
  <c r="H170" i="405"/>
  <c r="G170" i="394"/>
  <c r="I166" i="394"/>
  <c r="H166" i="394"/>
  <c r="H178" i="394"/>
  <c r="I178" i="394"/>
  <c r="G179" i="394"/>
  <c r="G184" i="394"/>
  <c r="H38" i="391"/>
  <c r="I153" i="402"/>
  <c r="H153" i="402"/>
  <c r="G167" i="388"/>
  <c r="H165" i="388"/>
  <c r="G178" i="388"/>
  <c r="G166" i="388"/>
  <c r="I165" i="388"/>
  <c r="G171" i="388"/>
  <c r="I152" i="398"/>
  <c r="H152" i="398"/>
  <c r="H171" i="394"/>
  <c r="I171" i="394"/>
  <c r="H153" i="396"/>
  <c r="I153" i="396"/>
  <c r="H165" i="396"/>
  <c r="G166" i="396"/>
  <c r="G171" i="396"/>
  <c r="G178" i="396"/>
  <c r="G167" i="396"/>
  <c r="I165" i="396"/>
  <c r="I165" i="402"/>
  <c r="G178" i="402"/>
  <c r="H165" i="402"/>
  <c r="G171" i="402"/>
  <c r="G167" i="402"/>
  <c r="G166" i="402"/>
  <c r="E76" i="346"/>
  <c r="H68" i="346"/>
  <c r="C76" i="324"/>
  <c r="E69" i="324"/>
  <c r="I184" i="403"/>
  <c r="H184" i="403"/>
  <c r="I170" i="393"/>
  <c r="H170" i="393"/>
  <c r="Q35" i="391"/>
  <c r="H179" i="397"/>
  <c r="I179" i="397"/>
  <c r="Q18" i="391"/>
  <c r="P18" i="391"/>
  <c r="I17" i="391"/>
  <c r="J17" i="391"/>
  <c r="O17" i="391"/>
  <c r="H179" i="403"/>
  <c r="I179" i="403"/>
  <c r="P35" i="391"/>
  <c r="P59" i="391" s="1"/>
  <c r="I170" i="397"/>
  <c r="H170" i="397"/>
  <c r="D83" i="354"/>
  <c r="D76" i="254"/>
  <c r="E69" i="254"/>
  <c r="I170" i="403"/>
  <c r="H170" i="403"/>
  <c r="H152" i="393"/>
  <c r="I152" i="393"/>
  <c r="P45" i="391"/>
  <c r="Q45" i="391"/>
  <c r="O44" i="391"/>
  <c r="J44" i="391"/>
  <c r="I44" i="391"/>
  <c r="G59" i="391"/>
  <c r="Q59" i="391" l="1"/>
  <c r="H152" i="404"/>
  <c r="I152" i="404"/>
  <c r="I179" i="405"/>
  <c r="H179" i="405"/>
  <c r="H184" i="405"/>
  <c r="I184" i="405"/>
  <c r="O50" i="391"/>
  <c r="P51" i="391"/>
  <c r="P52" i="391" s="1"/>
  <c r="Q51" i="391"/>
  <c r="Q52" i="391" s="1"/>
  <c r="I50" i="391"/>
  <c r="J50" i="391"/>
  <c r="C69" i="339"/>
  <c r="E62" i="339"/>
  <c r="R22" i="421"/>
  <c r="O27" i="422" a="1"/>
  <c r="O27" i="422" s="1"/>
  <c r="C28" i="422"/>
  <c r="L27" i="422" a="1"/>
  <c r="L27" i="422" s="1"/>
  <c r="R27" i="422" a="1"/>
  <c r="R27" i="422" s="1"/>
  <c r="I27" i="422" a="1"/>
  <c r="I27" i="422" s="1"/>
  <c r="A27" i="422" a="1"/>
  <c r="A27" i="422" s="1"/>
  <c r="H27" i="422" a="1"/>
  <c r="H27" i="422" s="1"/>
  <c r="N27" i="422" a="1"/>
  <c r="N27" i="422" s="1"/>
  <c r="P27" i="422" a="1"/>
  <c r="P27" i="422" s="1"/>
  <c r="J27" i="422" a="1"/>
  <c r="J27" i="422" s="1"/>
  <c r="G27" i="422" a="1"/>
  <c r="G27" i="422" s="1"/>
  <c r="M27" i="422" a="1"/>
  <c r="M27" i="422" s="1"/>
  <c r="H171" i="404"/>
  <c r="I171" i="404"/>
  <c r="I167" i="404"/>
  <c r="H167" i="404"/>
  <c r="I166" i="404"/>
  <c r="G170" i="404"/>
  <c r="H166" i="404"/>
  <c r="N23" i="421" a="1"/>
  <c r="N23" i="421" s="1"/>
  <c r="K23" i="421" a="1"/>
  <c r="K23" i="421" s="1"/>
  <c r="Q23" i="421" a="1"/>
  <c r="Q23" i="421" s="1"/>
  <c r="M23" i="421" a="1"/>
  <c r="M23" i="421" s="1"/>
  <c r="G23" i="421" a="1"/>
  <c r="G23" i="421" s="1"/>
  <c r="L23" i="421" a="1"/>
  <c r="L23" i="421" s="1"/>
  <c r="C24" i="421"/>
  <c r="A23" i="421" a="1"/>
  <c r="A23" i="421" s="1"/>
  <c r="I23" i="421" a="1"/>
  <c r="I23" i="421" s="1"/>
  <c r="H23" i="421" a="1"/>
  <c r="H23" i="421" s="1"/>
  <c r="O23" i="421" a="1"/>
  <c r="O23" i="421" s="1"/>
  <c r="S26" i="422"/>
  <c r="S27" i="422" s="1"/>
  <c r="H178" i="404"/>
  <c r="G179" i="404"/>
  <c r="G184" i="404"/>
  <c r="H47" i="391"/>
  <c r="I178" i="404"/>
  <c r="H167" i="392"/>
  <c r="I167" i="392"/>
  <c r="G179" i="392"/>
  <c r="H11" i="391"/>
  <c r="G184" i="392"/>
  <c r="H178" i="392"/>
  <c r="I178" i="392"/>
  <c r="I166" i="392"/>
  <c r="G170" i="392"/>
  <c r="H166" i="392"/>
  <c r="H171" i="392"/>
  <c r="I171" i="392"/>
  <c r="I8" i="391"/>
  <c r="N8" i="391" s="1"/>
  <c r="J8" i="391"/>
  <c r="O8" i="391"/>
  <c r="P9" i="391"/>
  <c r="P10" i="391" s="1"/>
  <c r="Q9" i="391"/>
  <c r="Q10" i="391" s="1"/>
  <c r="H179" i="395"/>
  <c r="I179" i="395"/>
  <c r="I167" i="407"/>
  <c r="H167" i="407"/>
  <c r="I152" i="407"/>
  <c r="H152" i="407"/>
  <c r="H167" i="389"/>
  <c r="I167" i="389"/>
  <c r="G184" i="389"/>
  <c r="G179" i="389"/>
  <c r="I178" i="389"/>
  <c r="H178" i="389"/>
  <c r="I167" i="408"/>
  <c r="H167" i="408"/>
  <c r="I166" i="408"/>
  <c r="H166" i="408"/>
  <c r="G170" i="408"/>
  <c r="I152" i="389"/>
  <c r="H152" i="389"/>
  <c r="I171" i="389"/>
  <c r="H171" i="389"/>
  <c r="I152" i="408"/>
  <c r="H152" i="408"/>
  <c r="I184" i="395"/>
  <c r="H184" i="395"/>
  <c r="I171" i="408"/>
  <c r="H171" i="408"/>
  <c r="G170" i="407"/>
  <c r="I166" i="407"/>
  <c r="H166" i="407"/>
  <c r="H166" i="389"/>
  <c r="I166" i="389"/>
  <c r="G170" i="389"/>
  <c r="I178" i="408"/>
  <c r="G184" i="408"/>
  <c r="G179" i="408"/>
  <c r="H178" i="408"/>
  <c r="I170" i="395"/>
  <c r="H170" i="395"/>
  <c r="I171" i="407"/>
  <c r="H171" i="407"/>
  <c r="G184" i="407"/>
  <c r="G179" i="407"/>
  <c r="I178" i="407"/>
  <c r="H178" i="407"/>
  <c r="H167" i="402"/>
  <c r="I167" i="402"/>
  <c r="I171" i="396"/>
  <c r="H171" i="396"/>
  <c r="G179" i="388"/>
  <c r="I178" i="388"/>
  <c r="H178" i="388"/>
  <c r="G184" i="388"/>
  <c r="I170" i="394"/>
  <c r="H170" i="394"/>
  <c r="P24" i="391"/>
  <c r="I23" i="391"/>
  <c r="O23" i="391"/>
  <c r="Q24" i="391"/>
  <c r="H35" i="391"/>
  <c r="J23" i="391"/>
  <c r="H171" i="402"/>
  <c r="I171" i="402"/>
  <c r="I166" i="396"/>
  <c r="H166" i="396"/>
  <c r="G170" i="396"/>
  <c r="H171" i="388"/>
  <c r="I171" i="388"/>
  <c r="J38" i="391"/>
  <c r="P39" i="391"/>
  <c r="P40" i="391" s="1"/>
  <c r="Q39" i="391"/>
  <c r="Q40" i="391" s="1"/>
  <c r="O38" i="391"/>
  <c r="I38" i="391"/>
  <c r="N38" i="391" s="1"/>
  <c r="Q33" i="391"/>
  <c r="Q34" i="391" s="1"/>
  <c r="I32" i="391"/>
  <c r="J32" i="391"/>
  <c r="P33" i="391"/>
  <c r="P34" i="391" s="1"/>
  <c r="O32" i="391"/>
  <c r="H167" i="396"/>
  <c r="I167" i="396"/>
  <c r="H167" i="388"/>
  <c r="I167" i="388"/>
  <c r="I184" i="394"/>
  <c r="H184" i="394"/>
  <c r="H179" i="393"/>
  <c r="I179" i="393"/>
  <c r="H179" i="401"/>
  <c r="I179" i="401"/>
  <c r="H166" i="402"/>
  <c r="G170" i="402"/>
  <c r="I166" i="402"/>
  <c r="H178" i="402"/>
  <c r="I178" i="402"/>
  <c r="H41" i="391"/>
  <c r="G184" i="402"/>
  <c r="G179" i="402"/>
  <c r="G179" i="396"/>
  <c r="G184" i="396"/>
  <c r="H178" i="396"/>
  <c r="I178" i="396"/>
  <c r="H14" i="391"/>
  <c r="H166" i="388"/>
  <c r="I166" i="388"/>
  <c r="G170" i="388"/>
  <c r="I179" i="394"/>
  <c r="H179" i="394"/>
  <c r="H170" i="401"/>
  <c r="I170" i="401"/>
  <c r="H152" i="402"/>
  <c r="I152" i="402"/>
  <c r="I152" i="396"/>
  <c r="H152" i="396"/>
  <c r="C62" i="354"/>
  <c r="E55" i="354"/>
  <c r="I184" i="393"/>
  <c r="H184" i="393"/>
  <c r="H184" i="401"/>
  <c r="I184" i="401"/>
  <c r="C83" i="324"/>
  <c r="E76" i="324"/>
  <c r="E84" i="346"/>
  <c r="H76" i="346"/>
  <c r="P19" i="391"/>
  <c r="Q46" i="391"/>
  <c r="N44" i="391"/>
  <c r="P46" i="391"/>
  <c r="D90" i="354"/>
  <c r="Q19" i="391"/>
  <c r="D83" i="254"/>
  <c r="E76" i="254"/>
  <c r="C76" i="339" l="1"/>
  <c r="E69" i="339"/>
  <c r="R23" i="421"/>
  <c r="Q24" i="421" a="1"/>
  <c r="Q24" i="421" s="1"/>
  <c r="A24" i="421" a="1"/>
  <c r="A24" i="421" s="1"/>
  <c r="G24" i="421" a="1"/>
  <c r="G24" i="421" s="1"/>
  <c r="O24" i="421" a="1"/>
  <c r="O24" i="421" s="1"/>
  <c r="K24" i="421" a="1"/>
  <c r="K24" i="421" s="1"/>
  <c r="C25" i="421"/>
  <c r="M24" i="421" a="1"/>
  <c r="M24" i="421" s="1"/>
  <c r="L24" i="421" a="1"/>
  <c r="L24" i="421" s="1"/>
  <c r="I24" i="421" a="1"/>
  <c r="I24" i="421" s="1"/>
  <c r="H24" i="421" a="1"/>
  <c r="H24" i="421" s="1"/>
  <c r="N24" i="421" a="1"/>
  <c r="N24" i="421" s="1"/>
  <c r="H184" i="404"/>
  <c r="I184" i="404"/>
  <c r="I170" i="404"/>
  <c r="H170" i="404"/>
  <c r="G28" i="422" a="1"/>
  <c r="G28" i="422" s="1"/>
  <c r="P28" i="422" a="1"/>
  <c r="P28" i="422" s="1"/>
  <c r="M28" i="422" a="1"/>
  <c r="M28" i="422" s="1"/>
  <c r="R28" i="422" a="1"/>
  <c r="R28" i="422" s="1"/>
  <c r="S28" i="422" s="1"/>
  <c r="C29" i="422"/>
  <c r="N28" i="422" a="1"/>
  <c r="N28" i="422" s="1"/>
  <c r="I28" i="422" a="1"/>
  <c r="I28" i="422" s="1"/>
  <c r="L28" i="422" a="1"/>
  <c r="L28" i="422" s="1"/>
  <c r="O28" i="422" a="1"/>
  <c r="O28" i="422" s="1"/>
  <c r="J28" i="422" a="1"/>
  <c r="J28" i="422" s="1"/>
  <c r="H28" i="422" a="1"/>
  <c r="H28" i="422" s="1"/>
  <c r="A28" i="422" a="1"/>
  <c r="A28" i="422" s="1"/>
  <c r="H179" i="404"/>
  <c r="I179" i="404"/>
  <c r="I47" i="391"/>
  <c r="N47" i="391" s="1"/>
  <c r="P48" i="391"/>
  <c r="P49" i="391" s="1"/>
  <c r="Q48" i="391"/>
  <c r="Q49" i="391" s="1"/>
  <c r="O47" i="391"/>
  <c r="J47" i="391"/>
  <c r="Q12" i="391"/>
  <c r="Q13" i="391" s="1"/>
  <c r="P12" i="391"/>
  <c r="P13" i="391" s="1"/>
  <c r="O11" i="391"/>
  <c r="J11" i="391"/>
  <c r="I11" i="391"/>
  <c r="N11" i="391" s="1"/>
  <c r="I179" i="392"/>
  <c r="H179" i="392"/>
  <c r="H170" i="392"/>
  <c r="I170" i="392"/>
  <c r="H184" i="392"/>
  <c r="I184" i="392"/>
  <c r="H179" i="407"/>
  <c r="I179" i="407"/>
  <c r="I184" i="408"/>
  <c r="H184" i="408"/>
  <c r="I184" i="407"/>
  <c r="H184" i="407"/>
  <c r="H179" i="389"/>
  <c r="I179" i="389"/>
  <c r="H170" i="389"/>
  <c r="I170" i="389"/>
  <c r="H170" i="408"/>
  <c r="I170" i="408"/>
  <c r="H184" i="389"/>
  <c r="I184" i="389"/>
  <c r="H179" i="408"/>
  <c r="I179" i="408"/>
  <c r="H170" i="407"/>
  <c r="I170" i="407"/>
  <c r="I170" i="388"/>
  <c r="H170" i="388"/>
  <c r="I179" i="402"/>
  <c r="H179" i="402"/>
  <c r="I35" i="391"/>
  <c r="N23" i="391"/>
  <c r="N35" i="391" s="1"/>
  <c r="H184" i="388"/>
  <c r="I184" i="388"/>
  <c r="H184" i="402"/>
  <c r="I184" i="402"/>
  <c r="J35" i="391"/>
  <c r="O35" i="391"/>
  <c r="P25" i="391"/>
  <c r="P37" i="391" s="1"/>
  <c r="P36" i="391"/>
  <c r="H184" i="396"/>
  <c r="I184" i="396"/>
  <c r="Q42" i="391"/>
  <c r="P42" i="391"/>
  <c r="O41" i="391"/>
  <c r="J41" i="391"/>
  <c r="I41" i="391"/>
  <c r="H53" i="391"/>
  <c r="H170" i="402"/>
  <c r="I170" i="402"/>
  <c r="Q25" i="391"/>
  <c r="Q37" i="391" s="1"/>
  <c r="Q36" i="391"/>
  <c r="C69" i="354"/>
  <c r="E62" i="354"/>
  <c r="O14" i="391"/>
  <c r="J14" i="391"/>
  <c r="I14" i="391"/>
  <c r="P15" i="391"/>
  <c r="Q15" i="391"/>
  <c r="H20" i="391"/>
  <c r="I179" i="396"/>
  <c r="H179" i="396"/>
  <c r="H170" i="396"/>
  <c r="I170" i="396"/>
  <c r="H179" i="388"/>
  <c r="I179" i="388"/>
  <c r="E92" i="346"/>
  <c r="H84" i="346"/>
  <c r="C90" i="324"/>
  <c r="E90" i="324" s="1"/>
  <c r="E83" i="324"/>
  <c r="E83" i="254"/>
  <c r="D90" i="254"/>
  <c r="E90" i="254" s="1"/>
  <c r="E76" i="339" l="1"/>
  <c r="C83" i="339"/>
  <c r="R24" i="421"/>
  <c r="Q25" i="421" a="1"/>
  <c r="Q25" i="421" s="1"/>
  <c r="M25" i="421" a="1"/>
  <c r="M25" i="421" s="1"/>
  <c r="A25" i="421" a="1"/>
  <c r="A25" i="421" s="1"/>
  <c r="O25" i="421" a="1"/>
  <c r="O25" i="421" s="1"/>
  <c r="L25" i="421" a="1"/>
  <c r="L25" i="421" s="1"/>
  <c r="C26" i="421"/>
  <c r="I25" i="421" a="1"/>
  <c r="I25" i="421" s="1"/>
  <c r="H25" i="421" a="1"/>
  <c r="H25" i="421" s="1"/>
  <c r="N25" i="421" a="1"/>
  <c r="N25" i="421" s="1"/>
  <c r="K25" i="421" a="1"/>
  <c r="K25" i="421" s="1"/>
  <c r="G25" i="421" a="1"/>
  <c r="G25" i="421" s="1"/>
  <c r="I29" i="422" a="1"/>
  <c r="I29" i="422" s="1"/>
  <c r="O29" i="422" a="1"/>
  <c r="O29" i="422" s="1"/>
  <c r="R29" i="422" a="1"/>
  <c r="R29" i="422" s="1"/>
  <c r="S29" i="422" s="1"/>
  <c r="G29" i="422" a="1"/>
  <c r="G29" i="422" s="1"/>
  <c r="C30" i="422"/>
  <c r="H29" i="422" a="1"/>
  <c r="H29" i="422" s="1"/>
  <c r="P29" i="422" a="1"/>
  <c r="P29" i="422" s="1"/>
  <c r="J29" i="422" a="1"/>
  <c r="J29" i="422" s="1"/>
  <c r="A29" i="422" a="1"/>
  <c r="A29" i="422" s="1"/>
  <c r="L29" i="422" a="1"/>
  <c r="L29" i="422" s="1"/>
  <c r="N29" i="422" a="1"/>
  <c r="N29" i="422" s="1"/>
  <c r="M29" i="422" a="1"/>
  <c r="M29" i="422" s="1"/>
  <c r="N14" i="391"/>
  <c r="N20" i="391" s="1"/>
  <c r="I20" i="391"/>
  <c r="C76" i="354"/>
  <c r="E69" i="354"/>
  <c r="O20" i="391"/>
  <c r="H59" i="391"/>
  <c r="J20" i="391"/>
  <c r="Q16" i="391"/>
  <c r="Q22" i="391" s="1"/>
  <c r="Q21" i="391"/>
  <c r="J53" i="391"/>
  <c r="O53" i="391"/>
  <c r="P43" i="391"/>
  <c r="P55" i="391" s="1"/>
  <c r="P54" i="391"/>
  <c r="P16" i="391"/>
  <c r="P22" i="391" s="1"/>
  <c r="P21" i="391"/>
  <c r="N41" i="391"/>
  <c r="N53" i="391" s="1"/>
  <c r="I53" i="391"/>
  <c r="Q43" i="391"/>
  <c r="Q55" i="391" s="1"/>
  <c r="Q54" i="391"/>
  <c r="E100" i="346"/>
  <c r="H92" i="346"/>
  <c r="C90" i="339" l="1"/>
  <c r="E90" i="339" s="1"/>
  <c r="E83" i="339"/>
  <c r="R25" i="421"/>
  <c r="C27" i="421"/>
  <c r="M26" i="421" a="1"/>
  <c r="M26" i="421" s="1"/>
  <c r="G26" i="421" a="1"/>
  <c r="G26" i="421" s="1"/>
  <c r="A26" i="421" a="1"/>
  <c r="A26" i="421" s="1"/>
  <c r="I26" i="421" a="1"/>
  <c r="I26" i="421" s="1"/>
  <c r="Q26" i="421" a="1"/>
  <c r="Q26" i="421" s="1"/>
  <c r="N26" i="421" a="1"/>
  <c r="N26" i="421" s="1"/>
  <c r="K26" i="421" a="1"/>
  <c r="K26" i="421" s="1"/>
  <c r="O26" i="421" a="1"/>
  <c r="O26" i="421" s="1"/>
  <c r="H26" i="421" a="1"/>
  <c r="H26" i="421" s="1"/>
  <c r="L26" i="421" a="1"/>
  <c r="L26" i="421" s="1"/>
  <c r="N59" i="391"/>
  <c r="I59" i="391"/>
  <c r="P30" i="422" a="1"/>
  <c r="P30" i="422" s="1"/>
  <c r="L30" i="422" a="1"/>
  <c r="L30" i="422" s="1"/>
  <c r="H30" i="422" a="1"/>
  <c r="H30" i="422" s="1"/>
  <c r="R30" i="422" a="1"/>
  <c r="R30" i="422" s="1"/>
  <c r="S30" i="422" s="1"/>
  <c r="M30" i="422" a="1"/>
  <c r="M30" i="422" s="1"/>
  <c r="G30" i="422" a="1"/>
  <c r="G30" i="422" s="1"/>
  <c r="N30" i="422" a="1"/>
  <c r="N30" i="422" s="1"/>
  <c r="O30" i="422" a="1"/>
  <c r="O30" i="422" s="1"/>
  <c r="I30" i="422" a="1"/>
  <c r="I30" i="422" s="1"/>
  <c r="A30" i="422" a="1"/>
  <c r="A30" i="422" s="1"/>
  <c r="J30" i="422" a="1"/>
  <c r="J30" i="422" s="1"/>
  <c r="C31" i="422"/>
  <c r="Q61" i="391"/>
  <c r="P60" i="391"/>
  <c r="P61" i="391" s="1"/>
  <c r="E76" i="354"/>
  <c r="C83" i="354"/>
  <c r="J59" i="391"/>
  <c r="O59" i="391"/>
  <c r="Q60" i="391"/>
  <c r="E108" i="346"/>
  <c r="H108" i="346" s="1"/>
  <c r="H100" i="346"/>
  <c r="R26" i="421" l="1"/>
  <c r="G27" i="421" a="1"/>
  <c r="G27" i="421" s="1"/>
  <c r="L27" i="421" a="1"/>
  <c r="L27" i="421" s="1"/>
  <c r="Q27" i="421" a="1"/>
  <c r="Q27" i="421" s="1"/>
  <c r="K27" i="421" a="1"/>
  <c r="K27" i="421" s="1"/>
  <c r="A27" i="421" a="1"/>
  <c r="A27" i="421" s="1"/>
  <c r="O27" i="421" a="1"/>
  <c r="O27" i="421" s="1"/>
  <c r="I27" i="421" a="1"/>
  <c r="I27" i="421" s="1"/>
  <c r="H27" i="421" a="1"/>
  <c r="H27" i="421" s="1"/>
  <c r="M27" i="421" a="1"/>
  <c r="M27" i="421" s="1"/>
  <c r="C28" i="421"/>
  <c r="N27" i="421" a="1"/>
  <c r="N27" i="421" s="1"/>
  <c r="A31" i="422" a="1"/>
  <c r="A31" i="422" s="1"/>
  <c r="R31" i="422" a="1"/>
  <c r="R31" i="422" s="1"/>
  <c r="S31" i="422" s="1"/>
  <c r="H31" i="422" a="1"/>
  <c r="H31" i="422" s="1"/>
  <c r="M31" i="422" a="1"/>
  <c r="M31" i="422" s="1"/>
  <c r="P31" i="422" a="1"/>
  <c r="P31" i="422" s="1"/>
  <c r="O31" i="422" a="1"/>
  <c r="O31" i="422" s="1"/>
  <c r="I31" i="422" a="1"/>
  <c r="I31" i="422" s="1"/>
  <c r="G31" i="422" a="1"/>
  <c r="G31" i="422" s="1"/>
  <c r="J31" i="422" a="1"/>
  <c r="J31" i="422" s="1"/>
  <c r="N31" i="422" a="1"/>
  <c r="N31" i="422" s="1"/>
  <c r="C32" i="422"/>
  <c r="L31" i="422" a="1"/>
  <c r="L31" i="422" s="1"/>
  <c r="C90" i="354"/>
  <c r="E90" i="354" s="1"/>
  <c r="E83" i="354"/>
  <c r="R27" i="421" l="1"/>
  <c r="H28" i="421" a="1"/>
  <c r="H28" i="421" s="1"/>
  <c r="K28" i="421" a="1"/>
  <c r="K28" i="421" s="1"/>
  <c r="M28" i="421" a="1"/>
  <c r="M28" i="421" s="1"/>
  <c r="A28" i="421" a="1"/>
  <c r="A28" i="421" s="1"/>
  <c r="I28" i="421" a="1"/>
  <c r="I28" i="421" s="1"/>
  <c r="Q28" i="421" a="1"/>
  <c r="Q28" i="421" s="1"/>
  <c r="L28" i="421" a="1"/>
  <c r="L28" i="421" s="1"/>
  <c r="O28" i="421" a="1"/>
  <c r="O28" i="421" s="1"/>
  <c r="N28" i="421" a="1"/>
  <c r="N28" i="421" s="1"/>
  <c r="C29" i="421"/>
  <c r="G28" i="421" a="1"/>
  <c r="G28" i="421" s="1"/>
  <c r="R32" i="422" a="1"/>
  <c r="R32" i="422" s="1"/>
  <c r="S32" i="422" s="1"/>
  <c r="J32" i="422" a="1"/>
  <c r="J32" i="422" s="1"/>
  <c r="L32" i="422" a="1"/>
  <c r="L32" i="422" s="1"/>
  <c r="M32" i="422" a="1"/>
  <c r="M32" i="422" s="1"/>
  <c r="O32" i="422" a="1"/>
  <c r="O32" i="422" s="1"/>
  <c r="G32" i="422" a="1"/>
  <c r="G32" i="422" s="1"/>
  <c r="N32" i="422" a="1"/>
  <c r="N32" i="422" s="1"/>
  <c r="P32" i="422" a="1"/>
  <c r="P32" i="422" s="1"/>
  <c r="C33" i="422"/>
  <c r="H32" i="422" a="1"/>
  <c r="H32" i="422" s="1"/>
  <c r="I32" i="422" a="1"/>
  <c r="I32" i="422" s="1"/>
  <c r="A32" i="422" a="1"/>
  <c r="A32" i="422" s="1"/>
  <c r="R28" i="421" l="1"/>
  <c r="H29" i="421" a="1"/>
  <c r="H29" i="421" s="1"/>
  <c r="C30" i="421"/>
  <c r="L29" i="421" a="1"/>
  <c r="L29" i="421" s="1"/>
  <c r="M29" i="421" a="1"/>
  <c r="M29" i="421" s="1"/>
  <c r="A29" i="421" a="1"/>
  <c r="A29" i="421" s="1"/>
  <c r="N29" i="421" a="1"/>
  <c r="N29" i="421" s="1"/>
  <c r="I29" i="421" a="1"/>
  <c r="I29" i="421" s="1"/>
  <c r="O29" i="421" a="1"/>
  <c r="O29" i="421" s="1"/>
  <c r="K29" i="421" a="1"/>
  <c r="K29" i="421" s="1"/>
  <c r="Q29" i="421" a="1"/>
  <c r="Q29" i="421" s="1"/>
  <c r="G29" i="421" a="1"/>
  <c r="G29" i="421" s="1"/>
  <c r="N33" i="422" a="1"/>
  <c r="N33" i="422" s="1"/>
  <c r="L33" i="422" a="1"/>
  <c r="L33" i="422" s="1"/>
  <c r="R33" i="422" a="1"/>
  <c r="R33" i="422" s="1"/>
  <c r="S33" i="422" s="1"/>
  <c r="I33" i="422" a="1"/>
  <c r="I33" i="422" s="1"/>
  <c r="O33" i="422" a="1"/>
  <c r="O33" i="422" s="1"/>
  <c r="A33" i="422" a="1"/>
  <c r="A33" i="422" s="1"/>
  <c r="M33" i="422" a="1"/>
  <c r="M33" i="422" s="1"/>
  <c r="J33" i="422" a="1"/>
  <c r="J33" i="422" s="1"/>
  <c r="C34" i="422"/>
  <c r="P33" i="422" a="1"/>
  <c r="P33" i="422" s="1"/>
  <c r="H33" i="422" a="1"/>
  <c r="H33" i="422" s="1"/>
  <c r="G33" i="422" a="1"/>
  <c r="G33" i="422" s="1"/>
  <c r="R29" i="421" l="1"/>
  <c r="A34" i="422" a="1"/>
  <c r="A34" i="422" s="1"/>
  <c r="I34" i="422" a="1"/>
  <c r="I34" i="422" s="1"/>
  <c r="G34" i="422" a="1"/>
  <c r="G34" i="422" s="1"/>
  <c r="L34" i="422" a="1"/>
  <c r="L34" i="422" s="1"/>
  <c r="H34" i="422" a="1"/>
  <c r="H34" i="422" s="1"/>
  <c r="C35" i="422"/>
  <c r="R34" i="422" a="1"/>
  <c r="R34" i="422" s="1"/>
  <c r="S34" i="422" s="1"/>
  <c r="N34" i="422" a="1"/>
  <c r="N34" i="422" s="1"/>
  <c r="P34" i="422" a="1"/>
  <c r="P34" i="422" s="1"/>
  <c r="O34" i="422" a="1"/>
  <c r="O34" i="422" s="1"/>
  <c r="M34" i="422" a="1"/>
  <c r="M34" i="422" s="1"/>
  <c r="J34" i="422" a="1"/>
  <c r="J34" i="422" s="1"/>
  <c r="I30" i="421" a="1"/>
  <c r="I30" i="421" s="1"/>
  <c r="Q30" i="421" a="1"/>
  <c r="Q30" i="421" s="1"/>
  <c r="G30" i="421" a="1"/>
  <c r="G30" i="421" s="1"/>
  <c r="K30" i="421" a="1"/>
  <c r="K30" i="421" s="1"/>
  <c r="O30" i="421" a="1"/>
  <c r="O30" i="421" s="1"/>
  <c r="A30" i="421" a="1"/>
  <c r="A30" i="421" s="1"/>
  <c r="C31" i="421"/>
  <c r="H30" i="421" a="1"/>
  <c r="H30" i="421" s="1"/>
  <c r="M30" i="421" a="1"/>
  <c r="M30" i="421" s="1"/>
  <c r="L30" i="421" a="1"/>
  <c r="L30" i="421" s="1"/>
  <c r="N30" i="421" a="1"/>
  <c r="N30" i="421" s="1"/>
  <c r="R30" i="421" l="1"/>
  <c r="H35" i="422" a="1"/>
  <c r="H35" i="422" s="1"/>
  <c r="P35" i="422" a="1"/>
  <c r="P35" i="422" s="1"/>
  <c r="J35" i="422" a="1"/>
  <c r="J35" i="422" s="1"/>
  <c r="G35" i="422" a="1"/>
  <c r="G35" i="422" s="1"/>
  <c r="I35" i="422" a="1"/>
  <c r="I35" i="422" s="1"/>
  <c r="L35" i="422" a="1"/>
  <c r="L35" i="422" s="1"/>
  <c r="C36" i="422"/>
  <c r="R35" i="422" a="1"/>
  <c r="R35" i="422" s="1"/>
  <c r="S35" i="422" s="1"/>
  <c r="N35" i="422" a="1"/>
  <c r="N35" i="422" s="1"/>
  <c r="M35" i="422" a="1"/>
  <c r="M35" i="422" s="1"/>
  <c r="O35" i="422" a="1"/>
  <c r="O35" i="422" s="1"/>
  <c r="A35" i="422" a="1"/>
  <c r="A35" i="422" s="1"/>
  <c r="A31" i="421" a="1"/>
  <c r="A31" i="421" s="1"/>
  <c r="Q31" i="421" a="1"/>
  <c r="Q31" i="421" s="1"/>
  <c r="L31" i="421" a="1"/>
  <c r="L31" i="421" s="1"/>
  <c r="N31" i="421" a="1"/>
  <c r="N31" i="421" s="1"/>
  <c r="I31" i="421" a="1"/>
  <c r="I31" i="421" s="1"/>
  <c r="C32" i="421"/>
  <c r="H31" i="421" a="1"/>
  <c r="H31" i="421" s="1"/>
  <c r="K31" i="421" a="1"/>
  <c r="K31" i="421" s="1"/>
  <c r="O31" i="421" a="1"/>
  <c r="O31" i="421" s="1"/>
  <c r="G31" i="421" a="1"/>
  <c r="G31" i="421" s="1"/>
  <c r="M31" i="421" a="1"/>
  <c r="M31" i="421" s="1"/>
  <c r="R31" i="421" l="1"/>
  <c r="A36" i="422" a="1"/>
  <c r="A36" i="422" s="1"/>
  <c r="H36" i="422" a="1"/>
  <c r="H36" i="422" s="1"/>
  <c r="O36" i="422" a="1"/>
  <c r="O36" i="422" s="1"/>
  <c r="P36" i="422" a="1"/>
  <c r="P36" i="422" s="1"/>
  <c r="M36" i="422" a="1"/>
  <c r="M36" i="422" s="1"/>
  <c r="N36" i="422" a="1"/>
  <c r="N36" i="422" s="1"/>
  <c r="L36" i="422" a="1"/>
  <c r="L36" i="422" s="1"/>
  <c r="I36" i="422" a="1"/>
  <c r="I36" i="422" s="1"/>
  <c r="J36" i="422" a="1"/>
  <c r="J36" i="422" s="1"/>
  <c r="C37" i="422"/>
  <c r="G36" i="422" a="1"/>
  <c r="G36" i="422" s="1"/>
  <c r="R36" i="422" a="1"/>
  <c r="R36" i="422" s="1"/>
  <c r="S36" i="422" s="1"/>
  <c r="O32" i="421" a="1"/>
  <c r="O32" i="421" s="1"/>
  <c r="I32" i="421" a="1"/>
  <c r="I32" i="421" s="1"/>
  <c r="L32" i="421" a="1"/>
  <c r="L32" i="421" s="1"/>
  <c r="Q32" i="421" a="1"/>
  <c r="Q32" i="421" s="1"/>
  <c r="C33" i="421"/>
  <c r="H32" i="421" a="1"/>
  <c r="H32" i="421" s="1"/>
  <c r="M32" i="421" a="1"/>
  <c r="M32" i="421" s="1"/>
  <c r="A32" i="421" a="1"/>
  <c r="A32" i="421" s="1"/>
  <c r="N32" i="421" a="1"/>
  <c r="N32" i="421" s="1"/>
  <c r="K32" i="421" a="1"/>
  <c r="K32" i="421" s="1"/>
  <c r="G32" i="421" a="1"/>
  <c r="G32" i="421" s="1"/>
  <c r="R32" i="421" l="1"/>
  <c r="I37" i="422" a="1"/>
  <c r="I37" i="422" s="1"/>
  <c r="L37" i="422" a="1"/>
  <c r="L37" i="422" s="1"/>
  <c r="R37" i="422" a="1"/>
  <c r="R37" i="422" s="1"/>
  <c r="S37" i="422" s="1"/>
  <c r="C38" i="422"/>
  <c r="H37" i="422" a="1"/>
  <c r="H37" i="422" s="1"/>
  <c r="J37" i="422" a="1"/>
  <c r="J37" i="422" s="1"/>
  <c r="P37" i="422" a="1"/>
  <c r="P37" i="422" s="1"/>
  <c r="G37" i="422" a="1"/>
  <c r="G37" i="422" s="1"/>
  <c r="M37" i="422" a="1"/>
  <c r="M37" i="422" s="1"/>
  <c r="N37" i="422" a="1"/>
  <c r="N37" i="422" s="1"/>
  <c r="A37" i="422" a="1"/>
  <c r="A37" i="422" s="1"/>
  <c r="O37" i="422" a="1"/>
  <c r="O37" i="422" s="1"/>
  <c r="H33" i="421" a="1"/>
  <c r="H33" i="421" s="1"/>
  <c r="Q33" i="421" a="1"/>
  <c r="Q33" i="421" s="1"/>
  <c r="L33" i="421" a="1"/>
  <c r="L33" i="421" s="1"/>
  <c r="K33" i="421" a="1"/>
  <c r="K33" i="421" s="1"/>
  <c r="O33" i="421" a="1"/>
  <c r="O33" i="421" s="1"/>
  <c r="M33" i="421" a="1"/>
  <c r="M33" i="421" s="1"/>
  <c r="A33" i="421" a="1"/>
  <c r="A33" i="421" s="1"/>
  <c r="C34" i="421"/>
  <c r="I33" i="421" a="1"/>
  <c r="I33" i="421" s="1"/>
  <c r="N33" i="421" a="1"/>
  <c r="N33" i="421" s="1"/>
  <c r="G33" i="421" a="1"/>
  <c r="G33" i="421" s="1"/>
  <c r="R33" i="421" l="1"/>
  <c r="M34" i="421" a="1"/>
  <c r="M34" i="421" s="1"/>
  <c r="A34" i="421" a="1"/>
  <c r="A34" i="421" s="1"/>
  <c r="C35" i="421"/>
  <c r="L34" i="421" a="1"/>
  <c r="L34" i="421" s="1"/>
  <c r="N34" i="421" a="1"/>
  <c r="N34" i="421" s="1"/>
  <c r="H34" i="421" a="1"/>
  <c r="H34" i="421" s="1"/>
  <c r="O34" i="421" a="1"/>
  <c r="O34" i="421" s="1"/>
  <c r="Q34" i="421" a="1"/>
  <c r="Q34" i="421" s="1"/>
  <c r="I34" i="421" a="1"/>
  <c r="I34" i="421" s="1"/>
  <c r="G34" i="421" a="1"/>
  <c r="G34" i="421" s="1"/>
  <c r="K34" i="421" a="1"/>
  <c r="K34" i="421" s="1"/>
  <c r="I38" i="422" a="1"/>
  <c r="I38" i="422" s="1"/>
  <c r="A38" i="422" a="1"/>
  <c r="A38" i="422" s="1"/>
  <c r="J38" i="422" a="1"/>
  <c r="J38" i="422" s="1"/>
  <c r="L38" i="422" a="1"/>
  <c r="L38" i="422" s="1"/>
  <c r="C39" i="422"/>
  <c r="R38" i="422" a="1"/>
  <c r="R38" i="422" s="1"/>
  <c r="S38" i="422" s="1"/>
  <c r="N38" i="422" a="1"/>
  <c r="N38" i="422" s="1"/>
  <c r="M38" i="422" a="1"/>
  <c r="M38" i="422" s="1"/>
  <c r="P38" i="422" a="1"/>
  <c r="P38" i="422" s="1"/>
  <c r="H38" i="422" a="1"/>
  <c r="H38" i="422" s="1"/>
  <c r="G38" i="422" a="1"/>
  <c r="G38" i="422" s="1"/>
  <c r="O38" i="422" a="1"/>
  <c r="O38" i="422" s="1"/>
  <c r="R34" i="421" l="1"/>
  <c r="A35" i="421" a="1"/>
  <c r="A35" i="421" s="1"/>
  <c r="I35" i="421" a="1"/>
  <c r="I35" i="421" s="1"/>
  <c r="C36" i="421"/>
  <c r="G35" i="421" a="1"/>
  <c r="G35" i="421" s="1"/>
  <c r="M35" i="421" a="1"/>
  <c r="M35" i="421" s="1"/>
  <c r="N35" i="421" a="1"/>
  <c r="N35" i="421" s="1"/>
  <c r="H35" i="421" a="1"/>
  <c r="H35" i="421" s="1"/>
  <c r="L35" i="421" a="1"/>
  <c r="L35" i="421" s="1"/>
  <c r="Q35" i="421" a="1"/>
  <c r="Q35" i="421" s="1"/>
  <c r="K35" i="421" a="1"/>
  <c r="K35" i="421" s="1"/>
  <c r="O35" i="421" a="1"/>
  <c r="O35" i="421" s="1"/>
  <c r="G39" i="422" a="1"/>
  <c r="G39" i="422" s="1"/>
  <c r="P39" i="422" a="1"/>
  <c r="P39" i="422" s="1"/>
  <c r="L39" i="422" a="1"/>
  <c r="L39" i="422" s="1"/>
  <c r="A39" i="422" a="1"/>
  <c r="A39" i="422" s="1"/>
  <c r="J39" i="422" a="1"/>
  <c r="J39" i="422" s="1"/>
  <c r="C40" i="422"/>
  <c r="R39" i="422" a="1"/>
  <c r="R39" i="422" s="1"/>
  <c r="S39" i="422" s="1"/>
  <c r="H39" i="422" a="1"/>
  <c r="H39" i="422" s="1"/>
  <c r="N39" i="422" a="1"/>
  <c r="N39" i="422" s="1"/>
  <c r="M39" i="422" a="1"/>
  <c r="M39" i="422" s="1"/>
  <c r="I39" i="422" a="1"/>
  <c r="I39" i="422" s="1"/>
  <c r="O39" i="422" a="1"/>
  <c r="O39" i="422" s="1"/>
  <c r="R35" i="421" l="1"/>
  <c r="R40" i="422" a="1"/>
  <c r="R40" i="422" s="1"/>
  <c r="S40" i="422" s="1"/>
  <c r="I40" i="422" a="1"/>
  <c r="I40" i="422" s="1"/>
  <c r="A40" i="422" a="1"/>
  <c r="A40" i="422" s="1"/>
  <c r="O40" i="422" a="1"/>
  <c r="O40" i="422" s="1"/>
  <c r="J40" i="422" a="1"/>
  <c r="J40" i="422" s="1"/>
  <c r="M40" i="422" a="1"/>
  <c r="M40" i="422" s="1"/>
  <c r="P40" i="422" a="1"/>
  <c r="P40" i="422" s="1"/>
  <c r="C41" i="422"/>
  <c r="G40" i="422" a="1"/>
  <c r="G40" i="422" s="1"/>
  <c r="N40" i="422" a="1"/>
  <c r="N40" i="422" s="1"/>
  <c r="H40" i="422" a="1"/>
  <c r="H40" i="422" s="1"/>
  <c r="L40" i="422" a="1"/>
  <c r="L40" i="422" s="1"/>
  <c r="K36" i="421" a="1"/>
  <c r="K36" i="421" s="1"/>
  <c r="Q36" i="421" a="1"/>
  <c r="Q36" i="421" s="1"/>
  <c r="G36" i="421" a="1"/>
  <c r="G36" i="421" s="1"/>
  <c r="C37" i="421"/>
  <c r="A36" i="421" a="1"/>
  <c r="A36" i="421" s="1"/>
  <c r="H36" i="421" a="1"/>
  <c r="H36" i="421" s="1"/>
  <c r="I36" i="421" a="1"/>
  <c r="I36" i="421" s="1"/>
  <c r="L36" i="421" a="1"/>
  <c r="L36" i="421" s="1"/>
  <c r="M36" i="421" a="1"/>
  <c r="M36" i="421" s="1"/>
  <c r="O36" i="421" a="1"/>
  <c r="O36" i="421" s="1"/>
  <c r="N36" i="421" a="1"/>
  <c r="N36" i="421" s="1"/>
  <c r="R36" i="421" l="1"/>
  <c r="A41" i="422" a="1"/>
  <c r="A41" i="422" s="1"/>
  <c r="P41" i="422" a="1"/>
  <c r="P41" i="422" s="1"/>
  <c r="O41" i="422" a="1"/>
  <c r="O41" i="422" s="1"/>
  <c r="R41" i="422" a="1"/>
  <c r="R41" i="422" s="1"/>
  <c r="S41" i="422" s="1"/>
  <c r="I41" i="422" a="1"/>
  <c r="I41" i="422" s="1"/>
  <c r="L41" i="422" a="1"/>
  <c r="L41" i="422" s="1"/>
  <c r="H41" i="422" a="1"/>
  <c r="H41" i="422" s="1"/>
  <c r="C42" i="422"/>
  <c r="N41" i="422" a="1"/>
  <c r="N41" i="422" s="1"/>
  <c r="M41" i="422" a="1"/>
  <c r="M41" i="422" s="1"/>
  <c r="J41" i="422" a="1"/>
  <c r="J41" i="422" s="1"/>
  <c r="G41" i="422" a="1"/>
  <c r="G41" i="422" s="1"/>
  <c r="K37" i="421" a="1"/>
  <c r="K37" i="421" s="1"/>
  <c r="L37" i="421" a="1"/>
  <c r="L37" i="421" s="1"/>
  <c r="N37" i="421" a="1"/>
  <c r="N37" i="421" s="1"/>
  <c r="Q37" i="421" a="1"/>
  <c r="Q37" i="421" s="1"/>
  <c r="G37" i="421" a="1"/>
  <c r="G37" i="421" s="1"/>
  <c r="M37" i="421" a="1"/>
  <c r="M37" i="421" s="1"/>
  <c r="I37" i="421" a="1"/>
  <c r="I37" i="421" s="1"/>
  <c r="O37" i="421" a="1"/>
  <c r="O37" i="421" s="1"/>
  <c r="C38" i="421"/>
  <c r="H37" i="421" a="1"/>
  <c r="H37" i="421" s="1"/>
  <c r="A37" i="421" a="1"/>
  <c r="A37" i="421" s="1"/>
  <c r="R37" i="421" l="1"/>
  <c r="N42" i="422" a="1"/>
  <c r="N42" i="422" s="1"/>
  <c r="I42" i="422" a="1"/>
  <c r="I42" i="422" s="1"/>
  <c r="C43" i="422"/>
  <c r="L42" i="422" a="1"/>
  <c r="L42" i="422" s="1"/>
  <c r="M42" i="422" a="1"/>
  <c r="M42" i="422" s="1"/>
  <c r="R42" i="422" a="1"/>
  <c r="R42" i="422" s="1"/>
  <c r="S42" i="422" s="1"/>
  <c r="A42" i="422" a="1"/>
  <c r="A42" i="422" s="1"/>
  <c r="H42" i="422" a="1"/>
  <c r="H42" i="422" s="1"/>
  <c r="G42" i="422" a="1"/>
  <c r="G42" i="422" s="1"/>
  <c r="J42" i="422" a="1"/>
  <c r="J42" i="422" s="1"/>
  <c r="O42" i="422" a="1"/>
  <c r="O42" i="422" s="1"/>
  <c r="P42" i="422" a="1"/>
  <c r="P42" i="422" s="1"/>
  <c r="I38" i="421" a="1"/>
  <c r="I38" i="421" s="1"/>
  <c r="A38" i="421" a="1"/>
  <c r="A38" i="421" s="1"/>
  <c r="O38" i="421" a="1"/>
  <c r="O38" i="421" s="1"/>
  <c r="H38" i="421" a="1"/>
  <c r="H38" i="421" s="1"/>
  <c r="N38" i="421" a="1"/>
  <c r="N38" i="421" s="1"/>
  <c r="C39" i="421"/>
  <c r="Q38" i="421" a="1"/>
  <c r="Q38" i="421" s="1"/>
  <c r="M38" i="421" a="1"/>
  <c r="M38" i="421" s="1"/>
  <c r="K38" i="421" a="1"/>
  <c r="K38" i="421" s="1"/>
  <c r="G38" i="421" a="1"/>
  <c r="G38" i="421" s="1"/>
  <c r="L38" i="421" a="1"/>
  <c r="L38" i="421" s="1"/>
  <c r="R38" i="421" l="1"/>
  <c r="C40" i="421"/>
  <c r="A39" i="421" a="1"/>
  <c r="A39" i="421" s="1"/>
  <c r="K39" i="421" a="1"/>
  <c r="K39" i="421" s="1"/>
  <c r="Q39" i="421" a="1"/>
  <c r="Q39" i="421" s="1"/>
  <c r="R39" i="421" s="1"/>
  <c r="I39" i="421" a="1"/>
  <c r="I39" i="421" s="1"/>
  <c r="G39" i="421" a="1"/>
  <c r="G39" i="421" s="1"/>
  <c r="M39" i="421" a="1"/>
  <c r="M39" i="421" s="1"/>
  <c r="L39" i="421" a="1"/>
  <c r="L39" i="421" s="1"/>
  <c r="N39" i="421" a="1"/>
  <c r="N39" i="421" s="1"/>
  <c r="H39" i="421" a="1"/>
  <c r="H39" i="421" s="1"/>
  <c r="O39" i="421" a="1"/>
  <c r="O39" i="421" s="1"/>
  <c r="R43" i="422" a="1"/>
  <c r="R43" i="422" s="1"/>
  <c r="S43" i="422" s="1"/>
  <c r="I43" i="422" a="1"/>
  <c r="I43" i="422" s="1"/>
  <c r="C44" i="422"/>
  <c r="H43" i="422" a="1"/>
  <c r="H43" i="422" s="1"/>
  <c r="N43" i="422" a="1"/>
  <c r="N43" i="422" s="1"/>
  <c r="J43" i="422" a="1"/>
  <c r="J43" i="422" s="1"/>
  <c r="G43" i="422" a="1"/>
  <c r="G43" i="422" s="1"/>
  <c r="A43" i="422" a="1"/>
  <c r="A43" i="422" s="1"/>
  <c r="M43" i="422" a="1"/>
  <c r="M43" i="422" s="1"/>
  <c r="L43" i="422" a="1"/>
  <c r="L43" i="422" s="1"/>
  <c r="O43" i="422" a="1"/>
  <c r="O43" i="422" s="1"/>
  <c r="P43" i="422" a="1"/>
  <c r="P43" i="422" s="1"/>
  <c r="H44" i="422" l="1" a="1"/>
  <c r="H44" i="422" s="1"/>
  <c r="C45" i="422"/>
  <c r="N44" i="422" a="1"/>
  <c r="N44" i="422" s="1"/>
  <c r="R44" i="422" a="1"/>
  <c r="R44" i="422" s="1"/>
  <c r="S44" i="422" s="1"/>
  <c r="M44" i="422" a="1"/>
  <c r="M44" i="422" s="1"/>
  <c r="J44" i="422" a="1"/>
  <c r="J44" i="422" s="1"/>
  <c r="I44" i="422" a="1"/>
  <c r="I44" i="422" s="1"/>
  <c r="A44" i="422" a="1"/>
  <c r="A44" i="422" s="1"/>
  <c r="G44" i="422" a="1"/>
  <c r="G44" i="422" s="1"/>
  <c r="P44" i="422" a="1"/>
  <c r="P44" i="422" s="1"/>
  <c r="O44" i="422" a="1"/>
  <c r="O44" i="422" s="1"/>
  <c r="L44" i="422" a="1"/>
  <c r="L44" i="422" s="1"/>
  <c r="L40" i="421" a="1"/>
  <c r="L40" i="421" s="1"/>
  <c r="C41" i="421"/>
  <c r="M40" i="421" a="1"/>
  <c r="M40" i="421" s="1"/>
  <c r="N40" i="421" a="1"/>
  <c r="N40" i="421" s="1"/>
  <c r="Q40" i="421" a="1"/>
  <c r="Q40" i="421" s="1"/>
  <c r="H40" i="421" a="1"/>
  <c r="H40" i="421" s="1"/>
  <c r="G40" i="421" a="1"/>
  <c r="G40" i="421" s="1"/>
  <c r="A40" i="421" a="1"/>
  <c r="A40" i="421" s="1"/>
  <c r="K40" i="421" a="1"/>
  <c r="K40" i="421" s="1"/>
  <c r="O40" i="421" a="1"/>
  <c r="O40" i="421" s="1"/>
  <c r="I40" i="421" a="1"/>
  <c r="I40" i="421" s="1"/>
  <c r="R40" i="421" l="1"/>
  <c r="I41" i="421" a="1"/>
  <c r="I41" i="421" s="1"/>
  <c r="C42" i="421"/>
  <c r="Q41" i="421" a="1"/>
  <c r="Q41" i="421" s="1"/>
  <c r="O41" i="421" a="1"/>
  <c r="O41" i="421" s="1"/>
  <c r="H41" i="421" a="1"/>
  <c r="H41" i="421" s="1"/>
  <c r="G41" i="421" a="1"/>
  <c r="G41" i="421" s="1"/>
  <c r="K41" i="421" a="1"/>
  <c r="K41" i="421" s="1"/>
  <c r="L41" i="421" a="1"/>
  <c r="L41" i="421" s="1"/>
  <c r="M41" i="421" a="1"/>
  <c r="M41" i="421" s="1"/>
  <c r="A41" i="421" a="1"/>
  <c r="A41" i="421" s="1"/>
  <c r="N41" i="421" a="1"/>
  <c r="N41" i="421" s="1"/>
  <c r="P45" i="422" a="1"/>
  <c r="P45" i="422" s="1"/>
  <c r="J45" i="422" a="1"/>
  <c r="J45" i="422" s="1"/>
  <c r="R45" i="422" a="1"/>
  <c r="R45" i="422" s="1"/>
  <c r="S45" i="422" s="1"/>
  <c r="A45" i="422" a="1"/>
  <c r="A45" i="422" s="1"/>
  <c r="L45" i="422" a="1"/>
  <c r="L45" i="422" s="1"/>
  <c r="G45" i="422" a="1"/>
  <c r="G45" i="422" s="1"/>
  <c r="C46" i="422"/>
  <c r="I45" i="422" a="1"/>
  <c r="I45" i="422" s="1"/>
  <c r="O45" i="422" a="1"/>
  <c r="O45" i="422" s="1"/>
  <c r="H45" i="422" a="1"/>
  <c r="H45" i="422" s="1"/>
  <c r="N45" i="422" a="1"/>
  <c r="N45" i="422" s="1"/>
  <c r="M45" i="422" a="1"/>
  <c r="M45" i="422" s="1"/>
  <c r="R41" i="421" l="1"/>
  <c r="P46" i="422" a="1"/>
  <c r="P46" i="422" s="1"/>
  <c r="N46" i="422" a="1"/>
  <c r="N46" i="422" s="1"/>
  <c r="H46" i="422" a="1"/>
  <c r="H46" i="422" s="1"/>
  <c r="M46" i="422" a="1"/>
  <c r="M46" i="422" s="1"/>
  <c r="L46" i="422" a="1"/>
  <c r="L46" i="422" s="1"/>
  <c r="R46" i="422" a="1"/>
  <c r="R46" i="422" s="1"/>
  <c r="S46" i="422" s="1"/>
  <c r="J46" i="422" a="1"/>
  <c r="J46" i="422" s="1"/>
  <c r="C47" i="422"/>
  <c r="G46" i="422" a="1"/>
  <c r="G46" i="422" s="1"/>
  <c r="A46" i="422" a="1"/>
  <c r="A46" i="422" s="1"/>
  <c r="O46" i="422" a="1"/>
  <c r="O46" i="422" s="1"/>
  <c r="I46" i="422" a="1"/>
  <c r="I46" i="422" s="1"/>
  <c r="M42" i="421" a="1"/>
  <c r="M42" i="421" s="1"/>
  <c r="I42" i="421" a="1"/>
  <c r="I42" i="421" s="1"/>
  <c r="O42" i="421" a="1"/>
  <c r="O42" i="421" s="1"/>
  <c r="H42" i="421" a="1"/>
  <c r="H42" i="421" s="1"/>
  <c r="C43" i="421"/>
  <c r="A42" i="421" a="1"/>
  <c r="A42" i="421" s="1"/>
  <c r="K42" i="421" a="1"/>
  <c r="K42" i="421" s="1"/>
  <c r="L42" i="421" a="1"/>
  <c r="L42" i="421" s="1"/>
  <c r="N42" i="421" a="1"/>
  <c r="N42" i="421" s="1"/>
  <c r="Q42" i="421" a="1"/>
  <c r="Q42" i="421" s="1"/>
  <c r="G42" i="421" a="1"/>
  <c r="G42" i="421" s="1"/>
  <c r="R42" i="421" l="1"/>
  <c r="P47" i="422" a="1"/>
  <c r="P47" i="422" s="1"/>
  <c r="R47" i="422" a="1"/>
  <c r="R47" i="422" s="1"/>
  <c r="S47" i="422" s="1"/>
  <c r="A47" i="422" a="1"/>
  <c r="A47" i="422" s="1"/>
  <c r="O47" i="422" a="1"/>
  <c r="O47" i="422" s="1"/>
  <c r="C48" i="422"/>
  <c r="I47" i="422" a="1"/>
  <c r="I47" i="422" s="1"/>
  <c r="M47" i="422" a="1"/>
  <c r="M47" i="422" s="1"/>
  <c r="N47" i="422" a="1"/>
  <c r="N47" i="422" s="1"/>
  <c r="G47" i="422" a="1"/>
  <c r="G47" i="422" s="1"/>
  <c r="L47" i="422" a="1"/>
  <c r="L47" i="422" s="1"/>
  <c r="J47" i="422" a="1"/>
  <c r="J47" i="422" s="1"/>
  <c r="H47" i="422" a="1"/>
  <c r="H47" i="422" s="1"/>
  <c r="N43" i="421" a="1"/>
  <c r="N43" i="421" s="1"/>
  <c r="K43" i="421" a="1"/>
  <c r="K43" i="421" s="1"/>
  <c r="O43" i="421" a="1"/>
  <c r="O43" i="421" s="1"/>
  <c r="C44" i="421"/>
  <c r="A43" i="421" a="1"/>
  <c r="A43" i="421" s="1"/>
  <c r="I43" i="421" a="1"/>
  <c r="I43" i="421" s="1"/>
  <c r="M43" i="421" a="1"/>
  <c r="M43" i="421" s="1"/>
  <c r="G43" i="421" a="1"/>
  <c r="G43" i="421" s="1"/>
  <c r="Q43" i="421" a="1"/>
  <c r="Q43" i="421" s="1"/>
  <c r="L43" i="421" a="1"/>
  <c r="L43" i="421" s="1"/>
  <c r="H43" i="421" a="1"/>
  <c r="H43" i="421" s="1"/>
  <c r="R43" i="421" l="1"/>
  <c r="H48" i="422" a="1"/>
  <c r="H48" i="422" s="1"/>
  <c r="P48" i="422" a="1"/>
  <c r="P48" i="422" s="1"/>
  <c r="J48" i="422" a="1"/>
  <c r="J48" i="422" s="1"/>
  <c r="R48" i="422" a="1"/>
  <c r="R48" i="422" s="1"/>
  <c r="S48" i="422" s="1"/>
  <c r="A48" i="422" a="1"/>
  <c r="A48" i="422" s="1"/>
  <c r="N48" i="422" a="1"/>
  <c r="N48" i="422" s="1"/>
  <c r="G48" i="422" a="1"/>
  <c r="G48" i="422" s="1"/>
  <c r="C49" i="422"/>
  <c r="M48" i="422" a="1"/>
  <c r="M48" i="422" s="1"/>
  <c r="O48" i="422" a="1"/>
  <c r="O48" i="422" s="1"/>
  <c r="I48" i="422" a="1"/>
  <c r="I48" i="422" s="1"/>
  <c r="L48" i="422" a="1"/>
  <c r="L48" i="422" s="1"/>
  <c r="N44" i="421" a="1"/>
  <c r="N44" i="421" s="1"/>
  <c r="M44" i="421" a="1"/>
  <c r="M44" i="421" s="1"/>
  <c r="I44" i="421" a="1"/>
  <c r="I44" i="421" s="1"/>
  <c r="A44" i="421" a="1"/>
  <c r="A44" i="421" s="1"/>
  <c r="C45" i="421"/>
  <c r="K44" i="421" a="1"/>
  <c r="K44" i="421" s="1"/>
  <c r="L44" i="421" a="1"/>
  <c r="L44" i="421" s="1"/>
  <c r="H44" i="421" a="1"/>
  <c r="H44" i="421" s="1"/>
  <c r="G44" i="421" a="1"/>
  <c r="G44" i="421" s="1"/>
  <c r="Q44" i="421" a="1"/>
  <c r="Q44" i="421" s="1"/>
  <c r="O44" i="421" a="1"/>
  <c r="O44" i="421" s="1"/>
  <c r="R44" i="421" l="1"/>
  <c r="M49" i="422" a="1"/>
  <c r="M49" i="422" s="1"/>
  <c r="I49" i="422" a="1"/>
  <c r="I49" i="422" s="1"/>
  <c r="L49" i="422" a="1"/>
  <c r="L49" i="422" s="1"/>
  <c r="O49" i="422" a="1"/>
  <c r="O49" i="422" s="1"/>
  <c r="C50" i="422"/>
  <c r="R49" i="422" a="1"/>
  <c r="R49" i="422" s="1"/>
  <c r="S49" i="422" s="1"/>
  <c r="G49" i="422" a="1"/>
  <c r="G49" i="422" s="1"/>
  <c r="J49" i="422" a="1"/>
  <c r="J49" i="422" s="1"/>
  <c r="A49" i="422" a="1"/>
  <c r="A49" i="422" s="1"/>
  <c r="H49" i="422" a="1"/>
  <c r="H49" i="422" s="1"/>
  <c r="P49" i="422" a="1"/>
  <c r="P49" i="422" s="1"/>
  <c r="N49" i="422" a="1"/>
  <c r="N49" i="422" s="1"/>
  <c r="N45" i="421" a="1"/>
  <c r="N45" i="421" s="1"/>
  <c r="I45" i="421" a="1"/>
  <c r="I45" i="421" s="1"/>
  <c r="C46" i="421"/>
  <c r="O45" i="421" a="1"/>
  <c r="O45" i="421" s="1"/>
  <c r="M45" i="421" a="1"/>
  <c r="M45" i="421" s="1"/>
  <c r="K45" i="421" a="1"/>
  <c r="K45" i="421" s="1"/>
  <c r="Q45" i="421" a="1"/>
  <c r="Q45" i="421" s="1"/>
  <c r="L45" i="421" a="1"/>
  <c r="L45" i="421" s="1"/>
  <c r="H45" i="421" a="1"/>
  <c r="H45" i="421" s="1"/>
  <c r="G45" i="421" a="1"/>
  <c r="G45" i="421" s="1"/>
  <c r="A45" i="421" a="1"/>
  <c r="A45" i="421" s="1"/>
  <c r="R45" i="421" l="1"/>
  <c r="H50" i="422" a="1"/>
  <c r="H50" i="422" s="1"/>
  <c r="J50" i="422" a="1"/>
  <c r="J50" i="422" s="1"/>
  <c r="C51" i="422"/>
  <c r="P50" i="422" a="1"/>
  <c r="P50" i="422" s="1"/>
  <c r="O50" i="422" a="1"/>
  <c r="O50" i="422" s="1"/>
  <c r="A50" i="422" a="1"/>
  <c r="A50" i="422" s="1"/>
  <c r="I50" i="422" a="1"/>
  <c r="I50" i="422" s="1"/>
  <c r="G50" i="422" a="1"/>
  <c r="G50" i="422" s="1"/>
  <c r="L50" i="422" a="1"/>
  <c r="L50" i="422" s="1"/>
  <c r="N50" i="422" a="1"/>
  <c r="N50" i="422" s="1"/>
  <c r="R50" i="422" a="1"/>
  <c r="R50" i="422" s="1"/>
  <c r="S50" i="422" s="1"/>
  <c r="M50" i="422" a="1"/>
  <c r="M50" i="422" s="1"/>
  <c r="H46" i="421" a="1"/>
  <c r="H46" i="421" s="1"/>
  <c r="O46" i="421" a="1"/>
  <c r="O46" i="421" s="1"/>
  <c r="L46" i="421" a="1"/>
  <c r="L46" i="421" s="1"/>
  <c r="Q46" i="421" a="1"/>
  <c r="Q46" i="421" s="1"/>
  <c r="C47" i="421"/>
  <c r="K46" i="421" a="1"/>
  <c r="K46" i="421" s="1"/>
  <c r="N46" i="421" a="1"/>
  <c r="N46" i="421" s="1"/>
  <c r="G46" i="421" a="1"/>
  <c r="G46" i="421" s="1"/>
  <c r="M46" i="421" a="1"/>
  <c r="M46" i="421" s="1"/>
  <c r="A46" i="421" a="1"/>
  <c r="A46" i="421" s="1"/>
  <c r="I46" i="421" a="1"/>
  <c r="I46" i="421" s="1"/>
  <c r="R46" i="421" l="1"/>
  <c r="H51" i="422" a="1"/>
  <c r="H51" i="422" s="1"/>
  <c r="N51" i="422" a="1"/>
  <c r="N51" i="422" s="1"/>
  <c r="M51" i="422" a="1"/>
  <c r="M51" i="422" s="1"/>
  <c r="I51" i="422" a="1"/>
  <c r="I51" i="422" s="1"/>
  <c r="C52" i="422"/>
  <c r="L51" i="422" a="1"/>
  <c r="L51" i="422" s="1"/>
  <c r="J51" i="422" a="1"/>
  <c r="J51" i="422" s="1"/>
  <c r="O51" i="422" a="1"/>
  <c r="O51" i="422" s="1"/>
  <c r="P51" i="422" a="1"/>
  <c r="P51" i="422" s="1"/>
  <c r="G51" i="422" a="1"/>
  <c r="G51" i="422" s="1"/>
  <c r="R51" i="422" a="1"/>
  <c r="R51" i="422" s="1"/>
  <c r="S51" i="422" s="1"/>
  <c r="A51" i="422" a="1"/>
  <c r="A51" i="422" s="1"/>
  <c r="A47" i="421" a="1"/>
  <c r="A47" i="421" s="1"/>
  <c r="C48" i="421"/>
  <c r="G47" i="421" a="1"/>
  <c r="G47" i="421" s="1"/>
  <c r="Q47" i="421" a="1"/>
  <c r="Q47" i="421" s="1"/>
  <c r="O47" i="421" a="1"/>
  <c r="O47" i="421" s="1"/>
  <c r="K47" i="421" a="1"/>
  <c r="K47" i="421" s="1"/>
  <c r="I47" i="421" a="1"/>
  <c r="I47" i="421" s="1"/>
  <c r="L47" i="421" a="1"/>
  <c r="L47" i="421" s="1"/>
  <c r="M47" i="421" a="1"/>
  <c r="M47" i="421" s="1"/>
  <c r="N47" i="421" a="1"/>
  <c r="N47" i="421" s="1"/>
  <c r="H47" i="421" a="1"/>
  <c r="H47" i="421" s="1"/>
  <c r="R47" i="421" l="1"/>
  <c r="M48" i="421" a="1"/>
  <c r="M48" i="421" s="1"/>
  <c r="G48" i="421" a="1"/>
  <c r="G48" i="421" s="1"/>
  <c r="L48" i="421" a="1"/>
  <c r="L48" i="421" s="1"/>
  <c r="K48" i="421" a="1"/>
  <c r="K48" i="421" s="1"/>
  <c r="A48" i="421" a="1"/>
  <c r="A48" i="421" s="1"/>
  <c r="I48" i="421" a="1"/>
  <c r="I48" i="421" s="1"/>
  <c r="Q48" i="421" a="1"/>
  <c r="Q48" i="421" s="1"/>
  <c r="H48" i="421" a="1"/>
  <c r="H48" i="421" s="1"/>
  <c r="N48" i="421" a="1"/>
  <c r="N48" i="421" s="1"/>
  <c r="O48" i="421" a="1"/>
  <c r="O48" i="421" s="1"/>
  <c r="C49" i="421"/>
  <c r="N52" i="422" a="1"/>
  <c r="N52" i="422" s="1"/>
  <c r="R52" i="422" a="1"/>
  <c r="R52" i="422" s="1"/>
  <c r="S52" i="422" s="1"/>
  <c r="I52" i="422" a="1"/>
  <c r="I52" i="422" s="1"/>
  <c r="A52" i="422" a="1"/>
  <c r="A52" i="422" s="1"/>
  <c r="C53" i="422"/>
  <c r="M52" i="422" a="1"/>
  <c r="M52" i="422" s="1"/>
  <c r="L52" i="422" a="1"/>
  <c r="L52" i="422" s="1"/>
  <c r="G52" i="422" a="1"/>
  <c r="G52" i="422" s="1"/>
  <c r="O52" i="422" a="1"/>
  <c r="O52" i="422" s="1"/>
  <c r="P52" i="422" a="1"/>
  <c r="P52" i="422" s="1"/>
  <c r="J52" i="422" a="1"/>
  <c r="J52" i="422" s="1"/>
  <c r="H52" i="422" a="1"/>
  <c r="H52" i="422" s="1"/>
  <c r="R48" i="421" l="1"/>
  <c r="H49" i="421" a="1"/>
  <c r="H49" i="421" s="1"/>
  <c r="A49" i="421" a="1"/>
  <c r="A49" i="421" s="1"/>
  <c r="O49" i="421" a="1"/>
  <c r="O49" i="421" s="1"/>
  <c r="C50" i="421"/>
  <c r="K49" i="421" a="1"/>
  <c r="K49" i="421" s="1"/>
  <c r="Q49" i="421" a="1"/>
  <c r="Q49" i="421" s="1"/>
  <c r="N49" i="421" a="1"/>
  <c r="N49" i="421" s="1"/>
  <c r="I49" i="421" a="1"/>
  <c r="I49" i="421" s="1"/>
  <c r="M49" i="421" a="1"/>
  <c r="M49" i="421" s="1"/>
  <c r="L49" i="421" a="1"/>
  <c r="L49" i="421" s="1"/>
  <c r="G49" i="421" a="1"/>
  <c r="G49" i="421" s="1"/>
  <c r="M53" i="422" a="1"/>
  <c r="M53" i="422" s="1"/>
  <c r="O53" i="422" a="1"/>
  <c r="O53" i="422" s="1"/>
  <c r="J53" i="422" a="1"/>
  <c r="J53" i="422" s="1"/>
  <c r="R53" i="422" a="1"/>
  <c r="R53" i="422" s="1"/>
  <c r="S53" i="422" s="1"/>
  <c r="I53" i="422" a="1"/>
  <c r="I53" i="422" s="1"/>
  <c r="P53" i="422" a="1"/>
  <c r="P53" i="422" s="1"/>
  <c r="C54" i="422"/>
  <c r="L53" i="422" a="1"/>
  <c r="L53" i="422" s="1"/>
  <c r="H53" i="422" a="1"/>
  <c r="H53" i="422" s="1"/>
  <c r="A53" i="422" a="1"/>
  <c r="A53" i="422" s="1"/>
  <c r="N53" i="422" a="1"/>
  <c r="N53" i="422" s="1"/>
  <c r="G53" i="422" a="1"/>
  <c r="G53" i="422" s="1"/>
  <c r="R49" i="421" l="1"/>
  <c r="J54" i="422" a="1"/>
  <c r="J54" i="422" s="1"/>
  <c r="L54" i="422" a="1"/>
  <c r="L54" i="422" s="1"/>
  <c r="P54" i="422" a="1"/>
  <c r="P54" i="422" s="1"/>
  <c r="I54" i="422" a="1"/>
  <c r="I54" i="422" s="1"/>
  <c r="G54" i="422" a="1"/>
  <c r="G54" i="422" s="1"/>
  <c r="A54" i="422" a="1"/>
  <c r="A54" i="422" s="1"/>
  <c r="M54" i="422" a="1"/>
  <c r="M54" i="422" s="1"/>
  <c r="O54" i="422" a="1"/>
  <c r="O54" i="422" s="1"/>
  <c r="H54" i="422" a="1"/>
  <c r="H54" i="422" s="1"/>
  <c r="C55" i="422"/>
  <c r="R54" i="422" a="1"/>
  <c r="R54" i="422" s="1"/>
  <c r="S54" i="422" s="1"/>
  <c r="N54" i="422" a="1"/>
  <c r="N54" i="422" s="1"/>
  <c r="N50" i="421" a="1"/>
  <c r="N50" i="421" s="1"/>
  <c r="A50" i="421" a="1"/>
  <c r="A50" i="421" s="1"/>
  <c r="Q50" i="421" a="1"/>
  <c r="Q50" i="421" s="1"/>
  <c r="H50" i="421" a="1"/>
  <c r="H50" i="421" s="1"/>
  <c r="G50" i="421" a="1"/>
  <c r="G50" i="421" s="1"/>
  <c r="O50" i="421" a="1"/>
  <c r="O50" i="421" s="1"/>
  <c r="C51" i="421"/>
  <c r="M50" i="421" a="1"/>
  <c r="M50" i="421" s="1"/>
  <c r="L50" i="421" a="1"/>
  <c r="L50" i="421" s="1"/>
  <c r="I50" i="421" a="1"/>
  <c r="I50" i="421" s="1"/>
  <c r="K50" i="421" a="1"/>
  <c r="K50" i="421" s="1"/>
  <c r="R50" i="421" l="1"/>
  <c r="A55" i="422" a="1"/>
  <c r="A55" i="422" s="1"/>
  <c r="J55" i="422" a="1"/>
  <c r="J55" i="422" s="1"/>
  <c r="M55" i="422" a="1"/>
  <c r="M55" i="422" s="1"/>
  <c r="P55" i="422" a="1"/>
  <c r="P55" i="422" s="1"/>
  <c r="L55" i="422" a="1"/>
  <c r="L55" i="422" s="1"/>
  <c r="G55" i="422" a="1"/>
  <c r="G55" i="422" s="1"/>
  <c r="N55" i="422" a="1"/>
  <c r="N55" i="422" s="1"/>
  <c r="H55" i="422" a="1"/>
  <c r="H55" i="422" s="1"/>
  <c r="R55" i="422" a="1"/>
  <c r="R55" i="422" s="1"/>
  <c r="S55" i="422" s="1"/>
  <c r="O55" i="422" a="1"/>
  <c r="O55" i="422" s="1"/>
  <c r="I55" i="422" a="1"/>
  <c r="I55" i="422" s="1"/>
  <c r="I51" i="421" a="1"/>
  <c r="I51" i="421" s="1"/>
  <c r="H51" i="421" a="1"/>
  <c r="H51" i="421" s="1"/>
  <c r="N51" i="421" a="1"/>
  <c r="N51" i="421" s="1"/>
  <c r="L51" i="421" a="1"/>
  <c r="L51" i="421" s="1"/>
  <c r="Q51" i="421" a="1"/>
  <c r="Q51" i="421" s="1"/>
  <c r="G51" i="421" a="1"/>
  <c r="G51" i="421" s="1"/>
  <c r="K51" i="421" a="1"/>
  <c r="K51" i="421" s="1"/>
  <c r="A51" i="421" a="1"/>
  <c r="A51" i="421" s="1"/>
  <c r="C52" i="421"/>
  <c r="O51" i="421" a="1"/>
  <c r="O51" i="421" s="1"/>
  <c r="M51" i="421" a="1"/>
  <c r="M51" i="421" s="1"/>
  <c r="R51" i="421" l="1"/>
  <c r="C53" i="421"/>
  <c r="Q52" i="421" a="1"/>
  <c r="Q52" i="421" s="1"/>
  <c r="G52" i="421" a="1"/>
  <c r="G52" i="421" s="1"/>
  <c r="L52" i="421" a="1"/>
  <c r="L52" i="421" s="1"/>
  <c r="M52" i="421" a="1"/>
  <c r="M52" i="421" s="1"/>
  <c r="K52" i="421" a="1"/>
  <c r="K52" i="421" s="1"/>
  <c r="H52" i="421" a="1"/>
  <c r="H52" i="421" s="1"/>
  <c r="A52" i="421" a="1"/>
  <c r="A52" i="421" s="1"/>
  <c r="O52" i="421" a="1"/>
  <c r="O52" i="421" s="1"/>
  <c r="I52" i="421" a="1"/>
  <c r="I52" i="421" s="1"/>
  <c r="N52" i="421" a="1"/>
  <c r="N52" i="421" s="1"/>
  <c r="R52" i="421" l="1"/>
  <c r="I53" i="421" a="1"/>
  <c r="I53" i="421" s="1"/>
  <c r="O53" i="421" a="1"/>
  <c r="O53" i="421" s="1"/>
  <c r="N53" i="421" a="1"/>
  <c r="N53" i="421" s="1"/>
  <c r="A53" i="421" a="1"/>
  <c r="A53" i="421" s="1"/>
  <c r="C54" i="421"/>
  <c r="M53" i="421" a="1"/>
  <c r="M53" i="421" s="1"/>
  <c r="H53" i="421" a="1"/>
  <c r="H53" i="421" s="1"/>
  <c r="G53" i="421" a="1"/>
  <c r="G53" i="421" s="1"/>
  <c r="Q53" i="421" a="1"/>
  <c r="Q53" i="421" s="1"/>
  <c r="L53" i="421" a="1"/>
  <c r="L53" i="421" s="1"/>
  <c r="K53" i="421" a="1"/>
  <c r="K53" i="421" s="1"/>
  <c r="R53" i="421" l="1"/>
  <c r="C55" i="421"/>
  <c r="I54" i="421" a="1"/>
  <c r="I54" i="421" s="1"/>
  <c r="N54" i="421" a="1"/>
  <c r="N54" i="421" s="1"/>
  <c r="M54" i="421" a="1"/>
  <c r="M54" i="421" s="1"/>
  <c r="L54" i="421" a="1"/>
  <c r="L54" i="421" s="1"/>
  <c r="H54" i="421" a="1"/>
  <c r="H54" i="421" s="1"/>
  <c r="Q54" i="421" a="1"/>
  <c r="Q54" i="421" s="1"/>
  <c r="G54" i="421" a="1"/>
  <c r="G54" i="421" s="1"/>
  <c r="O54" i="421" a="1"/>
  <c r="O54" i="421" s="1"/>
  <c r="K54" i="421" a="1"/>
  <c r="K54" i="421" s="1"/>
  <c r="A54" i="421" a="1"/>
  <c r="A54" i="421" s="1"/>
  <c r="R54" i="421" l="1"/>
  <c r="C56" i="421"/>
  <c r="L55" i="421" a="1"/>
  <c r="L55" i="421" s="1"/>
  <c r="G55" i="421" a="1"/>
  <c r="G55" i="421" s="1"/>
  <c r="K55" i="421" a="1"/>
  <c r="K55" i="421" s="1"/>
  <c r="A55" i="421" a="1"/>
  <c r="A55" i="421" s="1"/>
  <c r="Q55" i="421" a="1"/>
  <c r="Q55" i="421" s="1"/>
  <c r="N55" i="421" a="1"/>
  <c r="N55" i="421" s="1"/>
  <c r="I55" i="421" a="1"/>
  <c r="I55" i="421" s="1"/>
  <c r="O55" i="421" a="1"/>
  <c r="O55" i="421" s="1"/>
  <c r="M55" i="421" a="1"/>
  <c r="M55" i="421" s="1"/>
  <c r="H55" i="421" a="1"/>
  <c r="H55" i="421" s="1"/>
  <c r="R55" i="421" l="1"/>
  <c r="O56" i="421" a="1"/>
  <c r="O56" i="421" s="1"/>
  <c r="L56" i="421" a="1"/>
  <c r="L56" i="421" s="1"/>
  <c r="H56" i="421" a="1"/>
  <c r="H56" i="421" s="1"/>
  <c r="M56" i="421" a="1"/>
  <c r="M56" i="421" s="1"/>
  <c r="K56" i="421" a="1"/>
  <c r="K56" i="421" s="1"/>
  <c r="G56" i="421" a="1"/>
  <c r="G56" i="421" s="1"/>
  <c r="C57" i="421"/>
  <c r="A56" i="421" a="1"/>
  <c r="A56" i="421" s="1"/>
  <c r="I56" i="421" a="1"/>
  <c r="I56" i="421" s="1"/>
  <c r="N56" i="421" a="1"/>
  <c r="N56" i="421" s="1"/>
  <c r="Q56" i="421" a="1"/>
  <c r="Q56" i="421" s="1"/>
  <c r="R56" i="421" l="1"/>
  <c r="K57" i="421" a="1"/>
  <c r="K57" i="421" s="1"/>
  <c r="Q57" i="421" a="1"/>
  <c r="Q57" i="421" s="1"/>
  <c r="I57" i="421" a="1"/>
  <c r="I57" i="421" s="1"/>
  <c r="C58" i="421"/>
  <c r="N57" i="421" a="1"/>
  <c r="N57" i="421" s="1"/>
  <c r="O57" i="421" a="1"/>
  <c r="O57" i="421" s="1"/>
  <c r="L57" i="421" a="1"/>
  <c r="L57" i="421" s="1"/>
  <c r="H57" i="421" a="1"/>
  <c r="H57" i="421" s="1"/>
  <c r="G57" i="421" a="1"/>
  <c r="G57" i="421" s="1"/>
  <c r="M57" i="421" a="1"/>
  <c r="M57" i="421" s="1"/>
  <c r="A57" i="421" a="1"/>
  <c r="A57" i="421" s="1"/>
  <c r="R57" i="421" l="1"/>
  <c r="G58" i="421" a="1"/>
  <c r="G58" i="421" s="1"/>
  <c r="Q58" i="421" a="1"/>
  <c r="Q58" i="421" s="1"/>
  <c r="H58" i="421" a="1"/>
  <c r="H58" i="421" s="1"/>
  <c r="A58" i="421" a="1"/>
  <c r="A58" i="421" s="1"/>
  <c r="I58" i="421" a="1"/>
  <c r="I58" i="421" s="1"/>
  <c r="O58" i="421" a="1"/>
  <c r="O58" i="421" s="1"/>
  <c r="C59" i="421"/>
  <c r="N58" i="421" a="1"/>
  <c r="N58" i="421" s="1"/>
  <c r="L58" i="421" a="1"/>
  <c r="L58" i="421" s="1"/>
  <c r="M58" i="421" a="1"/>
  <c r="M58" i="421" s="1"/>
  <c r="K58" i="421" a="1"/>
  <c r="K58" i="421" s="1"/>
  <c r="R58" i="421" l="1"/>
  <c r="H59" i="421" a="1"/>
  <c r="H59" i="421" s="1"/>
  <c r="I59" i="421" a="1"/>
  <c r="I59" i="421" s="1"/>
  <c r="L59" i="421" a="1"/>
  <c r="L59" i="421" s="1"/>
  <c r="Q59" i="421" a="1"/>
  <c r="Q59" i="421" s="1"/>
  <c r="N59" i="421" a="1"/>
  <c r="N59" i="421" s="1"/>
  <c r="O59" i="421" a="1"/>
  <c r="O59" i="421" s="1"/>
  <c r="G59" i="421" a="1"/>
  <c r="G59" i="421" s="1"/>
  <c r="A59" i="421" a="1"/>
  <c r="A59" i="421" s="1"/>
  <c r="C60" i="421"/>
  <c r="K59" i="421" a="1"/>
  <c r="K59" i="421" s="1"/>
  <c r="M59" i="421" a="1"/>
  <c r="M59" i="421" s="1"/>
  <c r="R59" i="421" l="1"/>
  <c r="L60" i="421" a="1"/>
  <c r="L60" i="421" s="1"/>
  <c r="Q60" i="421" a="1"/>
  <c r="Q60" i="421" s="1"/>
  <c r="O60" i="421" a="1"/>
  <c r="O60" i="421" s="1"/>
  <c r="A60" i="421" a="1"/>
  <c r="A60" i="421" s="1"/>
  <c r="M60" i="421" a="1"/>
  <c r="M60" i="421" s="1"/>
  <c r="C61" i="421"/>
  <c r="N60" i="421" a="1"/>
  <c r="N60" i="421" s="1"/>
  <c r="I60" i="421" a="1"/>
  <c r="I60" i="421" s="1"/>
  <c r="G60" i="421" a="1"/>
  <c r="G60" i="421" s="1"/>
  <c r="H60" i="421" a="1"/>
  <c r="H60" i="421" s="1"/>
  <c r="K60" i="421" a="1"/>
  <c r="K60" i="421" s="1"/>
  <c r="R60" i="421" l="1"/>
  <c r="H61" i="421" a="1"/>
  <c r="H61" i="421" s="1"/>
  <c r="O61" i="421" a="1"/>
  <c r="O61" i="421" s="1"/>
  <c r="M61" i="421" a="1"/>
  <c r="M61" i="421" s="1"/>
  <c r="N61" i="421" a="1"/>
  <c r="N61" i="421" s="1"/>
  <c r="I61" i="421" a="1"/>
  <c r="I61" i="421" s="1"/>
  <c r="L61" i="421" a="1"/>
  <c r="L61" i="421" s="1"/>
  <c r="K61" i="421" a="1"/>
  <c r="K61" i="421" s="1"/>
  <c r="Q61" i="421" a="1"/>
  <c r="Q61" i="421" s="1"/>
  <c r="G61" i="421" a="1"/>
  <c r="G61" i="421" s="1"/>
  <c r="A61" i="421" a="1"/>
  <c r="A61" i="421" s="1"/>
  <c r="C62" i="421"/>
  <c r="R61" i="421" l="1"/>
  <c r="C63" i="421"/>
  <c r="I62" i="421" a="1"/>
  <c r="I62" i="421" s="1"/>
  <c r="Q62" i="421" a="1"/>
  <c r="Q62" i="421" s="1"/>
  <c r="G62" i="421" a="1"/>
  <c r="G62" i="421" s="1"/>
  <c r="M62" i="421" a="1"/>
  <c r="M62" i="421" s="1"/>
  <c r="N62" i="421" a="1"/>
  <c r="N62" i="421" s="1"/>
  <c r="O62" i="421" a="1"/>
  <c r="O62" i="421" s="1"/>
  <c r="L62" i="421" a="1"/>
  <c r="L62" i="421" s="1"/>
  <c r="A62" i="421" a="1"/>
  <c r="A62" i="421" s="1"/>
  <c r="H62" i="421" a="1"/>
  <c r="H62" i="421" s="1"/>
  <c r="K62" i="421" a="1"/>
  <c r="K62" i="421" s="1"/>
  <c r="R62" i="421" l="1"/>
  <c r="H63" i="421" a="1"/>
  <c r="H63" i="421" s="1"/>
  <c r="G63" i="421" a="1"/>
  <c r="G63" i="421" s="1"/>
  <c r="L63" i="421" a="1"/>
  <c r="L63" i="421" s="1"/>
  <c r="Q63" i="421" a="1"/>
  <c r="Q63" i="421" s="1"/>
  <c r="I63" i="421" a="1"/>
  <c r="I63" i="421" s="1"/>
  <c r="A63" i="421" a="1"/>
  <c r="A63" i="421" s="1"/>
  <c r="O63" i="421" a="1"/>
  <c r="O63" i="421" s="1"/>
  <c r="C64" i="421"/>
  <c r="K63" i="421" a="1"/>
  <c r="K63" i="421" s="1"/>
  <c r="N63" i="421" a="1"/>
  <c r="N63" i="421" s="1"/>
  <c r="M63" i="421" a="1"/>
  <c r="M63" i="421" s="1"/>
  <c r="R63" i="421" l="1"/>
  <c r="Q64" i="421" a="1"/>
  <c r="Q64" i="421" s="1"/>
  <c r="K64" i="421" a="1"/>
  <c r="K64" i="421" s="1"/>
  <c r="O64" i="421" a="1"/>
  <c r="O64" i="421" s="1"/>
  <c r="I64" i="421" a="1"/>
  <c r="I64" i="421" s="1"/>
  <c r="N64" i="421" a="1"/>
  <c r="N64" i="421" s="1"/>
  <c r="C65" i="421"/>
  <c r="G64" i="421" a="1"/>
  <c r="G64" i="421" s="1"/>
  <c r="L64" i="421" a="1"/>
  <c r="L64" i="421" s="1"/>
  <c r="H64" i="421" a="1"/>
  <c r="H64" i="421" s="1"/>
  <c r="M64" i="421" a="1"/>
  <c r="M64" i="421" s="1"/>
  <c r="A64" i="421" a="1"/>
  <c r="A64" i="421" s="1"/>
  <c r="R64" i="421" l="1"/>
  <c r="I65" i="421" a="1"/>
  <c r="I65" i="421" s="1"/>
  <c r="M65" i="421" a="1"/>
  <c r="M65" i="421" s="1"/>
  <c r="O65" i="421" a="1"/>
  <c r="O65" i="421" s="1"/>
  <c r="L65" i="421" a="1"/>
  <c r="L65" i="421" s="1"/>
  <c r="C66" i="421"/>
  <c r="A65" i="421" a="1"/>
  <c r="A65" i="421" s="1"/>
  <c r="H65" i="421" a="1"/>
  <c r="H65" i="421" s="1"/>
  <c r="N65" i="421" a="1"/>
  <c r="N65" i="421" s="1"/>
  <c r="Q65" i="421" a="1"/>
  <c r="Q65" i="421" s="1"/>
  <c r="K65" i="421" a="1"/>
  <c r="K65" i="421" s="1"/>
  <c r="G65" i="421" a="1"/>
  <c r="G65" i="421" s="1"/>
  <c r="R65" i="421" l="1"/>
  <c r="I66" i="421" a="1"/>
  <c r="I66" i="421" s="1"/>
  <c r="G66" i="421" a="1"/>
  <c r="G66" i="421" s="1"/>
  <c r="L66" i="421" a="1"/>
  <c r="L66" i="421" s="1"/>
  <c r="Q66" i="421" a="1"/>
  <c r="Q66" i="421" s="1"/>
  <c r="K66" i="421" a="1"/>
  <c r="K66" i="421" s="1"/>
  <c r="N66" i="421" a="1"/>
  <c r="N66" i="421" s="1"/>
  <c r="M66" i="421" a="1"/>
  <c r="M66" i="421" s="1"/>
  <c r="A66" i="421" a="1"/>
  <c r="A66" i="421" s="1"/>
  <c r="C67" i="421"/>
  <c r="O66" i="421" a="1"/>
  <c r="O66" i="421" s="1"/>
  <c r="H66" i="421" a="1"/>
  <c r="H66" i="421" s="1"/>
  <c r="R66" i="421" l="1"/>
  <c r="G67" i="421" a="1"/>
  <c r="G67" i="421" s="1"/>
  <c r="A67" i="421" a="1"/>
  <c r="A67" i="421" s="1"/>
  <c r="L67" i="421" a="1"/>
  <c r="L67" i="421" s="1"/>
  <c r="N67" i="421" a="1"/>
  <c r="N67" i="421" s="1"/>
  <c r="C68" i="421"/>
  <c r="O67" i="421" a="1"/>
  <c r="O67" i="421" s="1"/>
  <c r="I67" i="421" a="1"/>
  <c r="I67" i="421" s="1"/>
  <c r="H67" i="421" a="1"/>
  <c r="H67" i="421" s="1"/>
  <c r="Q67" i="421" a="1"/>
  <c r="Q67" i="421" s="1"/>
  <c r="M67" i="421" a="1"/>
  <c r="M67" i="421" s="1"/>
  <c r="K67" i="421" a="1"/>
  <c r="K67" i="421" s="1"/>
  <c r="R67" i="421" l="1"/>
  <c r="A68" i="421" a="1"/>
  <c r="A68" i="421" s="1"/>
  <c r="I68" i="421" a="1"/>
  <c r="I68" i="421" s="1"/>
  <c r="G68" i="421" a="1"/>
  <c r="G68" i="421" s="1"/>
  <c r="K68" i="421" a="1"/>
  <c r="K68" i="421" s="1"/>
  <c r="O68" i="421" a="1"/>
  <c r="O68" i="421" s="1"/>
  <c r="L68" i="421" a="1"/>
  <c r="L68" i="421" s="1"/>
  <c r="C69" i="421"/>
  <c r="H68" i="421" a="1"/>
  <c r="H68" i="421" s="1"/>
  <c r="Q68" i="421" a="1"/>
  <c r="Q68" i="421" s="1"/>
  <c r="N68" i="421" a="1"/>
  <c r="N68" i="421" s="1"/>
  <c r="M68" i="421" a="1"/>
  <c r="M68" i="421" s="1"/>
  <c r="R68" i="421" l="1"/>
  <c r="L69" i="421" a="1"/>
  <c r="L69" i="421" s="1"/>
  <c r="O69" i="421" a="1"/>
  <c r="O69" i="421" s="1"/>
  <c r="K69" i="421" a="1"/>
  <c r="K69" i="421" s="1"/>
  <c r="M69" i="421" a="1"/>
  <c r="M69" i="421" s="1"/>
  <c r="I69" i="421" a="1"/>
  <c r="I69" i="421" s="1"/>
  <c r="H69" i="421" a="1"/>
  <c r="H69" i="421" s="1"/>
  <c r="N69" i="421" a="1"/>
  <c r="N69" i="421" s="1"/>
  <c r="C70" i="421"/>
  <c r="Q69" i="421" a="1"/>
  <c r="Q69" i="421" s="1"/>
  <c r="A69" i="421" a="1"/>
  <c r="A69" i="421" s="1"/>
  <c r="G69" i="421" a="1"/>
  <c r="G69" i="421" s="1"/>
  <c r="R69" i="421" l="1"/>
  <c r="Q70" i="421" a="1"/>
  <c r="Q70" i="421" s="1"/>
  <c r="C71" i="421"/>
  <c r="N70" i="421" a="1"/>
  <c r="N70" i="421" s="1"/>
  <c r="H70" i="421" a="1"/>
  <c r="H70" i="421" s="1"/>
  <c r="L70" i="421" a="1"/>
  <c r="L70" i="421" s="1"/>
  <c r="G70" i="421" a="1"/>
  <c r="G70" i="421" s="1"/>
  <c r="A70" i="421" a="1"/>
  <c r="A70" i="421" s="1"/>
  <c r="M70" i="421" a="1"/>
  <c r="M70" i="421" s="1"/>
  <c r="O70" i="421" a="1"/>
  <c r="O70" i="421" s="1"/>
  <c r="I70" i="421" a="1"/>
  <c r="I70" i="421" s="1"/>
  <c r="K70" i="421" a="1"/>
  <c r="K70" i="421" s="1"/>
  <c r="R70" i="421" l="1"/>
  <c r="A71" i="421" a="1"/>
  <c r="A71" i="421" s="1"/>
  <c r="G71" i="421" a="1"/>
  <c r="G71" i="421" s="1"/>
  <c r="L71" i="421" a="1"/>
  <c r="L71" i="421" s="1"/>
  <c r="I71" i="421" a="1"/>
  <c r="I71" i="421" s="1"/>
  <c r="C72" i="421"/>
  <c r="O71" i="421" a="1"/>
  <c r="O71" i="421" s="1"/>
  <c r="Q71" i="421" a="1"/>
  <c r="Q71" i="421" s="1"/>
  <c r="N71" i="421" a="1"/>
  <c r="N71" i="421" s="1"/>
  <c r="M71" i="421" a="1"/>
  <c r="M71" i="421" s="1"/>
  <c r="H71" i="421" a="1"/>
  <c r="H71" i="421" s="1"/>
  <c r="K71" i="421" a="1"/>
  <c r="K71" i="421" s="1"/>
  <c r="R71" i="421" l="1"/>
  <c r="M72" i="421" a="1"/>
  <c r="M72" i="421" s="1"/>
  <c r="I72" i="421" a="1"/>
  <c r="I72" i="421" s="1"/>
  <c r="N72" i="421" a="1"/>
  <c r="N72" i="421" s="1"/>
  <c r="G72" i="421" a="1"/>
  <c r="G72" i="421" s="1"/>
  <c r="L72" i="421" a="1"/>
  <c r="L72" i="421" s="1"/>
  <c r="A72" i="421" a="1"/>
  <c r="A72" i="421" s="1"/>
  <c r="C73" i="421"/>
  <c r="H72" i="421" a="1"/>
  <c r="H72" i="421" s="1"/>
  <c r="Q72" i="421" a="1"/>
  <c r="Q72" i="421" s="1"/>
  <c r="K72" i="421" a="1"/>
  <c r="K72" i="421" s="1"/>
  <c r="O72" i="421" a="1"/>
  <c r="O72" i="421" s="1"/>
  <c r="R72" i="421" l="1"/>
  <c r="K73" i="421" a="1"/>
  <c r="K73" i="421" s="1"/>
  <c r="Q73" i="421" a="1"/>
  <c r="Q73" i="421" s="1"/>
  <c r="O73" i="421" a="1"/>
  <c r="O73" i="421" s="1"/>
  <c r="L73" i="421" a="1"/>
  <c r="L73" i="421" s="1"/>
  <c r="N73" i="421" a="1"/>
  <c r="N73" i="421" s="1"/>
  <c r="I73" i="421" a="1"/>
  <c r="I73" i="421" s="1"/>
  <c r="A73" i="421" a="1"/>
  <c r="A73" i="421" s="1"/>
  <c r="C74" i="421"/>
  <c r="M73" i="421" a="1"/>
  <c r="M73" i="421" s="1"/>
  <c r="G73" i="421" a="1"/>
  <c r="G73" i="421" s="1"/>
  <c r="H73" i="421" a="1"/>
  <c r="H73" i="421" s="1"/>
  <c r="R73" i="421" l="1"/>
  <c r="A74" i="421" a="1"/>
  <c r="A74" i="421" s="1"/>
  <c r="C75" i="421"/>
  <c r="I74" i="421" a="1"/>
  <c r="I74" i="421" s="1"/>
  <c r="O74" i="421" a="1"/>
  <c r="O74" i="421" s="1"/>
  <c r="H74" i="421" a="1"/>
  <c r="H74" i="421" s="1"/>
  <c r="G74" i="421" a="1"/>
  <c r="G74" i="421" s="1"/>
  <c r="M74" i="421" a="1"/>
  <c r="M74" i="421" s="1"/>
  <c r="Q74" i="421" a="1"/>
  <c r="Q74" i="421" s="1"/>
  <c r="K74" i="421" a="1"/>
  <c r="K74" i="421" s="1"/>
  <c r="N74" i="421" a="1"/>
  <c r="N74" i="421" s="1"/>
  <c r="L74" i="421" a="1"/>
  <c r="L74" i="421" s="1"/>
  <c r="R74" i="421" l="1"/>
  <c r="M75" i="421" a="1"/>
  <c r="M75" i="421" s="1"/>
  <c r="O75" i="421" a="1"/>
  <c r="O75" i="421" s="1"/>
  <c r="N75" i="421" a="1"/>
  <c r="N75" i="421" s="1"/>
  <c r="H75" i="421" a="1"/>
  <c r="H75" i="421" s="1"/>
  <c r="Q75" i="421" a="1"/>
  <c r="Q75" i="421" s="1"/>
  <c r="R75" i="421" s="1"/>
  <c r="K75" i="421" a="1"/>
  <c r="K75" i="421" s="1"/>
  <c r="G75" i="421" a="1"/>
  <c r="G75" i="421" s="1"/>
  <c r="A75" i="421" a="1"/>
  <c r="A75" i="421" s="1"/>
  <c r="L75" i="421" a="1"/>
  <c r="L75" i="421" s="1"/>
  <c r="C76" i="421"/>
  <c r="I75" i="421" a="1"/>
  <c r="I75" i="421" s="1"/>
  <c r="H76" i="421" l="1" a="1"/>
  <c r="H76" i="421" s="1"/>
  <c r="Q76" i="421" a="1"/>
  <c r="Q76" i="421" s="1"/>
  <c r="G76" i="421" a="1"/>
  <c r="G76" i="421" s="1"/>
  <c r="N76" i="421" a="1"/>
  <c r="N76" i="421" s="1"/>
  <c r="O76" i="421" a="1"/>
  <c r="O76" i="421" s="1"/>
  <c r="L76" i="421" a="1"/>
  <c r="L76" i="421" s="1"/>
  <c r="K76" i="421" a="1"/>
  <c r="K76" i="421" s="1"/>
  <c r="C77" i="421"/>
  <c r="M76" i="421" a="1"/>
  <c r="M76" i="421" s="1"/>
  <c r="I76" i="421" a="1"/>
  <c r="I76" i="421" s="1"/>
  <c r="A76" i="421" a="1"/>
  <c r="A76" i="421" s="1"/>
  <c r="R76" i="421" l="1"/>
  <c r="I77" i="421" a="1"/>
  <c r="I77" i="421" s="1"/>
  <c r="A77" i="421" a="1"/>
  <c r="A77" i="421" s="1"/>
  <c r="O77" i="421" a="1"/>
  <c r="O77" i="421" s="1"/>
  <c r="C78" i="421"/>
  <c r="G77" i="421" a="1"/>
  <c r="G77" i="421" s="1"/>
  <c r="Q77" i="421" a="1"/>
  <c r="Q77" i="421" s="1"/>
  <c r="N77" i="421" a="1"/>
  <c r="N77" i="421" s="1"/>
  <c r="H77" i="421" a="1"/>
  <c r="H77" i="421" s="1"/>
  <c r="L77" i="421" a="1"/>
  <c r="L77" i="421" s="1"/>
  <c r="K77" i="421" a="1"/>
  <c r="K77" i="421" s="1"/>
  <c r="M77" i="421" a="1"/>
  <c r="M77" i="421" s="1"/>
  <c r="R77" i="421" l="1"/>
  <c r="C79" i="421"/>
  <c r="Q78" i="421" a="1"/>
  <c r="Q78" i="421" s="1"/>
  <c r="N78" i="421" a="1"/>
  <c r="N78" i="421" s="1"/>
  <c r="G78" i="421" a="1"/>
  <c r="G78" i="421" s="1"/>
  <c r="L78" i="421" a="1"/>
  <c r="L78" i="421" s="1"/>
  <c r="I78" i="421" a="1"/>
  <c r="I78" i="421" s="1"/>
  <c r="M78" i="421" a="1"/>
  <c r="M78" i="421" s="1"/>
  <c r="O78" i="421" a="1"/>
  <c r="O78" i="421" s="1"/>
  <c r="K78" i="421" a="1"/>
  <c r="K78" i="421" s="1"/>
  <c r="A78" i="421" a="1"/>
  <c r="A78" i="421" s="1"/>
  <c r="H78" i="421" a="1"/>
  <c r="H78" i="421" s="1"/>
  <c r="R78" i="421" l="1"/>
  <c r="C80" i="421"/>
  <c r="G79" i="421" a="1"/>
  <c r="G79" i="421" s="1"/>
  <c r="I79" i="421" a="1"/>
  <c r="I79" i="421" s="1"/>
  <c r="O79" i="421" a="1"/>
  <c r="O79" i="421" s="1"/>
  <c r="L79" i="421" a="1"/>
  <c r="L79" i="421" s="1"/>
  <c r="A79" i="421" a="1"/>
  <c r="A79" i="421" s="1"/>
  <c r="N79" i="421" a="1"/>
  <c r="N79" i="421" s="1"/>
  <c r="K79" i="421" a="1"/>
  <c r="K79" i="421" s="1"/>
  <c r="H79" i="421" a="1"/>
  <c r="H79" i="421" s="1"/>
  <c r="M79" i="421" a="1"/>
  <c r="M79" i="421" s="1"/>
  <c r="Q79" i="421" a="1"/>
  <c r="Q79" i="421" s="1"/>
  <c r="R79" i="421" l="1"/>
  <c r="G80" i="421" a="1"/>
  <c r="G80" i="421" s="1"/>
  <c r="I80" i="421" a="1"/>
  <c r="I80" i="421" s="1"/>
  <c r="M80" i="421" a="1"/>
  <c r="M80" i="421" s="1"/>
  <c r="O80" i="421" a="1"/>
  <c r="O80" i="421" s="1"/>
  <c r="K80" i="421" a="1"/>
  <c r="K80" i="421" s="1"/>
  <c r="Q80" i="421" a="1"/>
  <c r="Q80" i="421" s="1"/>
  <c r="R80" i="421" s="1"/>
  <c r="C81" i="421"/>
  <c r="A80" i="421" a="1"/>
  <c r="A80" i="421" s="1"/>
  <c r="L80" i="421" a="1"/>
  <c r="L80" i="421" s="1"/>
  <c r="N80" i="421" a="1"/>
  <c r="N80" i="421" s="1"/>
  <c r="H80" i="421" a="1"/>
  <c r="H80" i="421" s="1"/>
  <c r="M81" i="421" l="1" a="1"/>
  <c r="M81" i="421" s="1"/>
  <c r="O81" i="421" a="1"/>
  <c r="O81" i="421" s="1"/>
  <c r="I81" i="421" a="1"/>
  <c r="I81" i="421" s="1"/>
  <c r="N81" i="421" a="1"/>
  <c r="N81" i="421" s="1"/>
  <c r="C82" i="421"/>
  <c r="H81" i="421" a="1"/>
  <c r="H81" i="421" s="1"/>
  <c r="G81" i="421" a="1"/>
  <c r="G81" i="421" s="1"/>
  <c r="A81" i="421" a="1"/>
  <c r="A81" i="421" s="1"/>
  <c r="K81" i="421" a="1"/>
  <c r="K81" i="421" s="1"/>
  <c r="L81" i="421" a="1"/>
  <c r="L81" i="421" s="1"/>
  <c r="Q81" i="421" a="1"/>
  <c r="Q81" i="421" s="1"/>
  <c r="R81" i="421" l="1"/>
  <c r="O82" i="421" a="1"/>
  <c r="O82" i="421" s="1"/>
  <c r="I82" i="421" a="1"/>
  <c r="I82" i="421" s="1"/>
  <c r="L82" i="421" a="1"/>
  <c r="L82" i="421" s="1"/>
  <c r="G82" i="421" a="1"/>
  <c r="G82" i="421" s="1"/>
  <c r="M82" i="421" a="1"/>
  <c r="M82" i="421" s="1"/>
  <c r="N82" i="421" a="1"/>
  <c r="N82" i="421" s="1"/>
  <c r="C83" i="421"/>
  <c r="K82" i="421" a="1"/>
  <c r="K82" i="421" s="1"/>
  <c r="A82" i="421" a="1"/>
  <c r="A82" i="421" s="1"/>
  <c r="H82" i="421" a="1"/>
  <c r="H82" i="421" s="1"/>
  <c r="Q82" i="421" a="1"/>
  <c r="Q82" i="421" s="1"/>
  <c r="R82" i="421" l="1"/>
  <c r="G83" i="421" a="1"/>
  <c r="G83" i="421" s="1"/>
  <c r="K83" i="421" a="1"/>
  <c r="K83" i="421" s="1"/>
  <c r="A83" i="421" a="1"/>
  <c r="A83" i="421" s="1"/>
  <c r="L83" i="421" a="1"/>
  <c r="L83" i="421" s="1"/>
  <c r="I83" i="421" a="1"/>
  <c r="I83" i="421" s="1"/>
  <c r="C84" i="421"/>
  <c r="M83" i="421" a="1"/>
  <c r="M83" i="421" s="1"/>
  <c r="O83" i="421" a="1"/>
  <c r="O83" i="421" s="1"/>
  <c r="N83" i="421" a="1"/>
  <c r="N83" i="421" s="1"/>
  <c r="Q83" i="421" a="1"/>
  <c r="Q83" i="421" s="1"/>
  <c r="H83" i="421" a="1"/>
  <c r="H83" i="421" s="1"/>
  <c r="R83" i="421" l="1"/>
  <c r="G84" i="421" a="1"/>
  <c r="G84" i="421" s="1"/>
  <c r="A84" i="421" a="1"/>
  <c r="A84" i="421" s="1"/>
  <c r="C85" i="421"/>
  <c r="H84" i="421" a="1"/>
  <c r="H84" i="421" s="1"/>
  <c r="L84" i="421" a="1"/>
  <c r="L84" i="421" s="1"/>
  <c r="I84" i="421" a="1"/>
  <c r="I84" i="421" s="1"/>
  <c r="N84" i="421" a="1"/>
  <c r="N84" i="421" s="1"/>
  <c r="K84" i="421" a="1"/>
  <c r="K84" i="421" s="1"/>
  <c r="M84" i="421" a="1"/>
  <c r="M84" i="421" s="1"/>
  <c r="O84" i="421" a="1"/>
  <c r="O84" i="421" s="1"/>
  <c r="Q84" i="421" a="1"/>
  <c r="Q84" i="421" s="1"/>
  <c r="R84" i="421" l="1"/>
  <c r="N85" i="421" a="1"/>
  <c r="N85" i="421" s="1"/>
  <c r="M85" i="421" a="1"/>
  <c r="M85" i="421" s="1"/>
  <c r="L85" i="421" a="1"/>
  <c r="L85" i="421" s="1"/>
  <c r="I85" i="421" a="1"/>
  <c r="I85" i="421" s="1"/>
  <c r="K85" i="421" a="1"/>
  <c r="K85" i="421" s="1"/>
  <c r="H85" i="421" a="1"/>
  <c r="H85" i="421" s="1"/>
  <c r="O85" i="421" a="1"/>
  <c r="O85" i="421" s="1"/>
  <c r="Q85" i="421" a="1"/>
  <c r="Q85" i="421" s="1"/>
  <c r="G85" i="421" a="1"/>
  <c r="G85" i="421" s="1"/>
  <c r="A85" i="421" a="1"/>
  <c r="A85" i="421" s="1"/>
  <c r="C86" i="421"/>
  <c r="R85" i="421" l="1"/>
  <c r="K86" i="421" a="1"/>
  <c r="K86" i="421" s="1"/>
  <c r="Q86" i="421" a="1"/>
  <c r="Q86" i="421" s="1"/>
  <c r="L86" i="421" a="1"/>
  <c r="L86" i="421" s="1"/>
  <c r="A86" i="421" a="1"/>
  <c r="A86" i="421" s="1"/>
  <c r="C87" i="421"/>
  <c r="O86" i="421" a="1"/>
  <c r="O86" i="421" s="1"/>
  <c r="I86" i="421" a="1"/>
  <c r="I86" i="421" s="1"/>
  <c r="H86" i="421" a="1"/>
  <c r="H86" i="421" s="1"/>
  <c r="G86" i="421" a="1"/>
  <c r="G86" i="421" s="1"/>
  <c r="M86" i="421" a="1"/>
  <c r="M86" i="421" s="1"/>
  <c r="N86" i="421" a="1"/>
  <c r="N86" i="421" s="1"/>
  <c r="R86" i="421" l="1"/>
  <c r="A87" i="421" a="1"/>
  <c r="A87" i="421" s="1"/>
  <c r="O87" i="421" a="1"/>
  <c r="O87" i="421" s="1"/>
  <c r="N87" i="421" a="1"/>
  <c r="N87" i="421" s="1"/>
  <c r="I87" i="421" a="1"/>
  <c r="I87" i="421" s="1"/>
  <c r="K87" i="421" a="1"/>
  <c r="K87" i="421" s="1"/>
  <c r="Q87" i="421" a="1"/>
  <c r="Q87" i="421" s="1"/>
  <c r="L87" i="421" a="1"/>
  <c r="L87" i="421" s="1"/>
  <c r="M87" i="421" a="1"/>
  <c r="M87" i="421" s="1"/>
  <c r="H87" i="421" a="1"/>
  <c r="H87" i="421" s="1"/>
  <c r="G87" i="421" a="1"/>
  <c r="G87" i="421" s="1"/>
  <c r="C88" i="421"/>
  <c r="R87" i="421" l="1"/>
  <c r="O88" i="421" a="1"/>
  <c r="O88" i="421" s="1"/>
  <c r="N88" i="421" a="1"/>
  <c r="N88" i="421" s="1"/>
  <c r="G88" i="421" a="1"/>
  <c r="G88" i="421" s="1"/>
  <c r="Q88" i="421" a="1"/>
  <c r="Q88" i="421" s="1"/>
  <c r="A88" i="421" a="1"/>
  <c r="A88" i="421" s="1"/>
  <c r="H88" i="421" a="1"/>
  <c r="H88" i="421" s="1"/>
  <c r="L88" i="421" a="1"/>
  <c r="L88" i="421" s="1"/>
  <c r="C89" i="421"/>
  <c r="M88" i="421" a="1"/>
  <c r="M88" i="421" s="1"/>
  <c r="I88" i="421" a="1"/>
  <c r="I88" i="421" s="1"/>
  <c r="K88" i="421" a="1"/>
  <c r="K88" i="421" s="1"/>
  <c r="R88" i="421" l="1"/>
  <c r="H89" i="421" a="1"/>
  <c r="H89" i="421" s="1"/>
  <c r="N89" i="421" a="1"/>
  <c r="N89" i="421" s="1"/>
  <c r="G89" i="421" a="1"/>
  <c r="G89" i="421" s="1"/>
  <c r="L89" i="421" a="1"/>
  <c r="L89" i="421" s="1"/>
  <c r="Q89" i="421" a="1"/>
  <c r="Q89" i="421" s="1"/>
  <c r="M89" i="421" a="1"/>
  <c r="M89" i="421" s="1"/>
  <c r="A89" i="421" a="1"/>
  <c r="A89" i="421" s="1"/>
  <c r="O89" i="421" a="1"/>
  <c r="O89" i="421" s="1"/>
  <c r="I89" i="421" a="1"/>
  <c r="I89" i="421" s="1"/>
  <c r="C90" i="421"/>
  <c r="K89" i="421" a="1"/>
  <c r="K89" i="421" s="1"/>
  <c r="R89" i="421" l="1"/>
  <c r="A90" i="421" a="1"/>
  <c r="A90" i="421" s="1"/>
  <c r="N90" i="421" a="1"/>
  <c r="N90" i="421" s="1"/>
  <c r="I90" i="421" a="1"/>
  <c r="I90" i="421" s="1"/>
  <c r="M90" i="421" a="1"/>
  <c r="M90" i="421" s="1"/>
  <c r="C91" i="421"/>
  <c r="L90" i="421" a="1"/>
  <c r="L90" i="421" s="1"/>
  <c r="Q90" i="421" a="1"/>
  <c r="Q90" i="421" s="1"/>
  <c r="O90" i="421" a="1"/>
  <c r="O90" i="421" s="1"/>
  <c r="G90" i="421" a="1"/>
  <c r="G90" i="421" s="1"/>
  <c r="H90" i="421" a="1"/>
  <c r="H90" i="421" s="1"/>
  <c r="K90" i="421" a="1"/>
  <c r="K90" i="421" s="1"/>
  <c r="R90" i="421" l="1"/>
  <c r="M91" i="421" a="1"/>
  <c r="M91" i="421" s="1"/>
  <c r="N91" i="421" a="1"/>
  <c r="N91" i="421" s="1"/>
  <c r="O91" i="421" a="1"/>
  <c r="O91" i="421" s="1"/>
  <c r="L91" i="421" a="1"/>
  <c r="L91" i="421" s="1"/>
  <c r="G91" i="421" a="1"/>
  <c r="G91" i="421" s="1"/>
  <c r="H91" i="421" a="1"/>
  <c r="H91" i="421" s="1"/>
  <c r="A91" i="421" a="1"/>
  <c r="A91" i="421" s="1"/>
  <c r="C92" i="421"/>
  <c r="I91" i="421" a="1"/>
  <c r="I91" i="421" s="1"/>
  <c r="Q91" i="421" a="1"/>
  <c r="Q91" i="421" s="1"/>
  <c r="K91" i="421" a="1"/>
  <c r="K91" i="421" s="1"/>
  <c r="R91" i="421" l="1"/>
  <c r="G92" i="421" a="1"/>
  <c r="G92" i="421" s="1"/>
  <c r="O92" i="421" a="1"/>
  <c r="O92" i="421" s="1"/>
  <c r="N92" i="421" a="1"/>
  <c r="N92" i="421" s="1"/>
  <c r="A92" i="421" a="1"/>
  <c r="A92" i="421" s="1"/>
  <c r="Q92" i="421" a="1"/>
  <c r="Q92" i="421" s="1"/>
  <c r="I92" i="421" a="1"/>
  <c r="I92" i="421" s="1"/>
  <c r="M92" i="421" a="1"/>
  <c r="M92" i="421" s="1"/>
  <c r="L92" i="421" a="1"/>
  <c r="L92" i="421" s="1"/>
  <c r="H92" i="421" a="1"/>
  <c r="H92" i="421" s="1"/>
  <c r="C93" i="421"/>
  <c r="K92" i="421" a="1"/>
  <c r="K92" i="421" s="1"/>
  <c r="R92" i="421" l="1"/>
  <c r="M93" i="421" a="1"/>
  <c r="M93" i="421" s="1"/>
  <c r="L93" i="421" a="1"/>
  <c r="L93" i="421" s="1"/>
  <c r="I93" i="421" a="1"/>
  <c r="I93" i="421" s="1"/>
  <c r="C94" i="421"/>
  <c r="G93" i="421" a="1"/>
  <c r="G93" i="421" s="1"/>
  <c r="A93" i="421" a="1"/>
  <c r="A93" i="421" s="1"/>
  <c r="K93" i="421" a="1"/>
  <c r="K93" i="421" s="1"/>
  <c r="H93" i="421" a="1"/>
  <c r="H93" i="421" s="1"/>
  <c r="O93" i="421" a="1"/>
  <c r="O93" i="421" s="1"/>
  <c r="Q93" i="421" a="1"/>
  <c r="Q93" i="421" s="1"/>
  <c r="N93" i="421" a="1"/>
  <c r="N93" i="421" s="1"/>
  <c r="R93" i="421" l="1"/>
  <c r="A94" i="421" a="1"/>
  <c r="A94" i="421" s="1"/>
  <c r="H94" i="421" a="1"/>
  <c r="H94" i="421" s="1"/>
  <c r="O94" i="421" a="1"/>
  <c r="O94" i="421" s="1"/>
  <c r="L94" i="421" a="1"/>
  <c r="L94" i="421" s="1"/>
  <c r="C95" i="421"/>
  <c r="K94" i="421" a="1"/>
  <c r="K94" i="421" s="1"/>
  <c r="M94" i="421" a="1"/>
  <c r="M94" i="421" s="1"/>
  <c r="Q94" i="421" a="1"/>
  <c r="Q94" i="421" s="1"/>
  <c r="N94" i="421" a="1"/>
  <c r="N94" i="421" s="1"/>
  <c r="I94" i="421" a="1"/>
  <c r="I94" i="421" s="1"/>
  <c r="G94" i="421" a="1"/>
  <c r="G94" i="421" s="1"/>
  <c r="R94" i="421" l="1"/>
  <c r="I95" i="421" a="1"/>
  <c r="I95" i="421" s="1"/>
  <c r="O95" i="421" a="1"/>
  <c r="O95" i="421" s="1"/>
  <c r="C96" i="421"/>
  <c r="L95" i="421" a="1"/>
  <c r="L95" i="421" s="1"/>
  <c r="H95" i="421" a="1"/>
  <c r="H95" i="421" s="1"/>
  <c r="G95" i="421" a="1"/>
  <c r="G95" i="421" s="1"/>
  <c r="M95" i="421" a="1"/>
  <c r="M95" i="421" s="1"/>
  <c r="A95" i="421" a="1"/>
  <c r="A95" i="421" s="1"/>
  <c r="Q95" i="421" a="1"/>
  <c r="Q95" i="421" s="1"/>
  <c r="N95" i="421" a="1"/>
  <c r="N95" i="421" s="1"/>
  <c r="K95" i="421" a="1"/>
  <c r="K95" i="421" s="1"/>
  <c r="R95" i="421" l="1"/>
  <c r="K96" i="421" a="1"/>
  <c r="K96" i="421" s="1"/>
  <c r="G96" i="421" a="1"/>
  <c r="G96" i="421" s="1"/>
  <c r="Q96" i="421" a="1"/>
  <c r="Q96" i="421" s="1"/>
  <c r="N96" i="421" a="1"/>
  <c r="N96" i="421" s="1"/>
  <c r="L96" i="421" a="1"/>
  <c r="L96" i="421" s="1"/>
  <c r="O96" i="421" a="1"/>
  <c r="O96" i="421" s="1"/>
  <c r="C97" i="421"/>
  <c r="M96" i="421" a="1"/>
  <c r="M96" i="421" s="1"/>
  <c r="A96" i="421" a="1"/>
  <c r="A96" i="421" s="1"/>
  <c r="H96" i="421" a="1"/>
  <c r="H96" i="421" s="1"/>
  <c r="I96" i="421" a="1"/>
  <c r="I96" i="421" s="1"/>
  <c r="R96" i="421" l="1"/>
  <c r="A97" i="421" a="1"/>
  <c r="A97" i="421" s="1"/>
  <c r="L97" i="421" a="1"/>
  <c r="L97" i="421" s="1"/>
  <c r="O97" i="421" a="1"/>
  <c r="O97" i="421" s="1"/>
  <c r="I97" i="421" a="1"/>
  <c r="I97" i="421" s="1"/>
  <c r="C98" i="421"/>
  <c r="M97" i="421" a="1"/>
  <c r="M97" i="421" s="1"/>
  <c r="N97" i="421" a="1"/>
  <c r="N97" i="421" s="1"/>
  <c r="G97" i="421" a="1"/>
  <c r="G97" i="421" s="1"/>
  <c r="Q97" i="421" a="1"/>
  <c r="Q97" i="421" s="1"/>
  <c r="H97" i="421" a="1"/>
  <c r="H97" i="421" s="1"/>
  <c r="K97" i="421" a="1"/>
  <c r="K97" i="421" s="1"/>
  <c r="R97" i="421" l="1"/>
  <c r="N98" i="421" a="1"/>
  <c r="N98" i="421" s="1"/>
  <c r="A98" i="421" a="1"/>
  <c r="A98" i="421" s="1"/>
  <c r="O98" i="421" a="1"/>
  <c r="O98" i="421" s="1"/>
  <c r="C99" i="421"/>
  <c r="M98" i="421" a="1"/>
  <c r="M98" i="421" s="1"/>
  <c r="L98" i="421" a="1"/>
  <c r="L98" i="421" s="1"/>
  <c r="H98" i="421" a="1"/>
  <c r="H98" i="421" s="1"/>
  <c r="Q98" i="421" a="1"/>
  <c r="Q98" i="421" s="1"/>
  <c r="K98" i="421" a="1"/>
  <c r="K98" i="421" s="1"/>
  <c r="G98" i="421" a="1"/>
  <c r="G98" i="421" s="1"/>
  <c r="I98" i="421" a="1"/>
  <c r="I98" i="421" s="1"/>
  <c r="R98" i="421" l="1"/>
  <c r="G99" i="421" a="1"/>
  <c r="G99" i="421" s="1"/>
  <c r="Q99" i="421" a="1"/>
  <c r="Q99" i="421" s="1"/>
  <c r="K99" i="421" a="1"/>
  <c r="K99" i="421" s="1"/>
  <c r="L99" i="421" a="1"/>
  <c r="L99" i="421" s="1"/>
  <c r="O99" i="421" a="1"/>
  <c r="O99" i="421" s="1"/>
  <c r="H99" i="421" a="1"/>
  <c r="H99" i="421" s="1"/>
  <c r="A99" i="421" a="1"/>
  <c r="A99" i="421" s="1"/>
  <c r="C100" i="421"/>
  <c r="N99" i="421" a="1"/>
  <c r="N99" i="421" s="1"/>
  <c r="M99" i="421" a="1"/>
  <c r="M99" i="421" s="1"/>
  <c r="I99" i="421" a="1"/>
  <c r="I99" i="421" s="1"/>
  <c r="R99" i="421" l="1"/>
  <c r="G100" i="421" a="1"/>
  <c r="G100" i="421" s="1"/>
  <c r="A100" i="421" a="1"/>
  <c r="A100" i="421" s="1"/>
  <c r="I100" i="421" a="1"/>
  <c r="I100" i="421" s="1"/>
  <c r="N100" i="421" a="1"/>
  <c r="N100" i="421" s="1"/>
  <c r="L100" i="421" a="1"/>
  <c r="L100" i="421" s="1"/>
  <c r="M100" i="421" a="1"/>
  <c r="M100" i="421" s="1"/>
  <c r="K100" i="421" a="1"/>
  <c r="K100" i="421" s="1"/>
  <c r="O100" i="421" a="1"/>
  <c r="O100" i="421" s="1"/>
  <c r="C101" i="421"/>
  <c r="H100" i="421" a="1"/>
  <c r="H100" i="421" s="1"/>
  <c r="Q100" i="421" a="1"/>
  <c r="Q100" i="421" s="1"/>
  <c r="R100" i="421" l="1"/>
  <c r="O101" i="421" a="1"/>
  <c r="O101" i="421" s="1"/>
  <c r="H101" i="421" a="1"/>
  <c r="H101" i="421" s="1"/>
  <c r="M101" i="421" a="1"/>
  <c r="M101" i="421" s="1"/>
  <c r="G101" i="421" a="1"/>
  <c r="G101" i="421" s="1"/>
  <c r="I101" i="421" a="1"/>
  <c r="I101" i="421" s="1"/>
  <c r="A101" i="421" a="1"/>
  <c r="A101" i="421" s="1"/>
  <c r="C102" i="421"/>
  <c r="L101" i="421" a="1"/>
  <c r="L101" i="421" s="1"/>
  <c r="Q101" i="421" a="1"/>
  <c r="Q101" i="421" s="1"/>
  <c r="K101" i="421" a="1"/>
  <c r="K101" i="421" s="1"/>
  <c r="N101" i="421" a="1"/>
  <c r="N101" i="421" s="1"/>
  <c r="R101" i="421" l="1"/>
  <c r="Q102" i="421" a="1"/>
  <c r="Q102" i="421" s="1"/>
  <c r="A102" i="421" a="1"/>
  <c r="A102" i="421" s="1"/>
  <c r="G102" i="421" a="1"/>
  <c r="G102" i="421" s="1"/>
  <c r="H102" i="421" a="1"/>
  <c r="H102" i="421" s="1"/>
  <c r="N102" i="421" a="1"/>
  <c r="N102" i="421" s="1"/>
  <c r="M102" i="421" a="1"/>
  <c r="M102" i="421" s="1"/>
  <c r="I102" i="421" a="1"/>
  <c r="I102" i="421" s="1"/>
  <c r="O102" i="421" a="1"/>
  <c r="O102" i="421" s="1"/>
  <c r="L102" i="421" a="1"/>
  <c r="L102" i="421" s="1"/>
  <c r="C103" i="421"/>
  <c r="K102" i="421" a="1"/>
  <c r="K102" i="421" s="1"/>
  <c r="R102" i="421" l="1"/>
  <c r="G103" i="421" a="1"/>
  <c r="G103" i="421" s="1"/>
  <c r="C104" i="421"/>
  <c r="L103" i="421" a="1"/>
  <c r="L103" i="421" s="1"/>
  <c r="M103" i="421" a="1"/>
  <c r="M103" i="421" s="1"/>
  <c r="N103" i="421" a="1"/>
  <c r="N103" i="421" s="1"/>
  <c r="I103" i="421" a="1"/>
  <c r="I103" i="421" s="1"/>
  <c r="O103" i="421" a="1"/>
  <c r="O103" i="421" s="1"/>
  <c r="H103" i="421" a="1"/>
  <c r="H103" i="421" s="1"/>
  <c r="Q103" i="421" a="1"/>
  <c r="Q103" i="421" s="1"/>
  <c r="A103" i="421" a="1"/>
  <c r="A103" i="421" s="1"/>
  <c r="K103" i="421" a="1"/>
  <c r="K103" i="421" s="1"/>
  <c r="R103" i="421" l="1"/>
  <c r="L104" i="421" a="1"/>
  <c r="L104" i="421" s="1"/>
  <c r="O104" i="421" a="1"/>
  <c r="O104" i="421" s="1"/>
  <c r="K104" i="421" a="1"/>
  <c r="K104" i="421" s="1"/>
  <c r="Q104" i="421" a="1"/>
  <c r="Q104" i="421" s="1"/>
  <c r="A104" i="421" a="1"/>
  <c r="A104" i="421" s="1"/>
  <c r="C105" i="421"/>
  <c r="M104" i="421" a="1"/>
  <c r="M104" i="421" s="1"/>
  <c r="N104" i="421" a="1"/>
  <c r="N104" i="421" s="1"/>
  <c r="I104" i="421" a="1"/>
  <c r="I104" i="421" s="1"/>
  <c r="H104" i="421" a="1"/>
  <c r="H104" i="421" s="1"/>
  <c r="G104" i="421" a="1"/>
  <c r="G104" i="421" s="1"/>
  <c r="R104" i="421" l="1"/>
  <c r="G105" i="421" a="1"/>
  <c r="G105" i="421" s="1"/>
  <c r="N105" i="421" a="1"/>
  <c r="N105" i="421" s="1"/>
  <c r="I105" i="421" a="1"/>
  <c r="I105" i="421" s="1"/>
  <c r="C106" i="421"/>
  <c r="L105" i="421" a="1"/>
  <c r="L105" i="421" s="1"/>
  <c r="M105" i="421" a="1"/>
  <c r="M105" i="421" s="1"/>
  <c r="O105" i="421" a="1"/>
  <c r="O105" i="421" s="1"/>
  <c r="H105" i="421" a="1"/>
  <c r="H105" i="421" s="1"/>
  <c r="Q105" i="421" a="1"/>
  <c r="Q105" i="421" s="1"/>
  <c r="A105" i="421" a="1"/>
  <c r="A105" i="421" s="1"/>
  <c r="K105" i="421" a="1"/>
  <c r="K105" i="421" s="1"/>
  <c r="R105" i="421" l="1"/>
  <c r="K106" i="421" a="1"/>
  <c r="K106" i="421" s="1"/>
  <c r="N106" i="421" a="1"/>
  <c r="N106" i="421" s="1"/>
  <c r="L106" i="421" a="1"/>
  <c r="L106" i="421" s="1"/>
  <c r="Q106" i="421" a="1"/>
  <c r="Q106" i="421" s="1"/>
  <c r="M106" i="421" a="1"/>
  <c r="M106" i="421" s="1"/>
  <c r="G106" i="421" a="1"/>
  <c r="G106" i="421" s="1"/>
  <c r="A106" i="421" a="1"/>
  <c r="A106" i="421" s="1"/>
  <c r="C107" i="421"/>
  <c r="O106" i="421" a="1"/>
  <c r="O106" i="421" s="1"/>
  <c r="I106" i="421" a="1"/>
  <c r="I106" i="421" s="1"/>
  <c r="H106" i="421" a="1"/>
  <c r="H106" i="421" s="1"/>
  <c r="R106" i="421" l="1"/>
  <c r="A107" i="421" a="1"/>
  <c r="A107" i="421" s="1"/>
  <c r="K107" i="421" a="1"/>
  <c r="K107" i="421" s="1"/>
  <c r="C108" i="421"/>
  <c r="O107" i="421" a="1"/>
  <c r="O107" i="421" s="1"/>
  <c r="L107" i="421" a="1"/>
  <c r="L107" i="421" s="1"/>
  <c r="N107" i="421" a="1"/>
  <c r="N107" i="421" s="1"/>
  <c r="H107" i="421" a="1"/>
  <c r="H107" i="421" s="1"/>
  <c r="M107" i="421" a="1"/>
  <c r="M107" i="421" s="1"/>
  <c r="G107" i="421" a="1"/>
  <c r="G107" i="421" s="1"/>
  <c r="I107" i="421" a="1"/>
  <c r="I107" i="421" s="1"/>
  <c r="Q107" i="421" a="1"/>
  <c r="Q107" i="421" s="1"/>
  <c r="R107" i="421" s="1"/>
  <c r="L108" i="421" l="1" a="1"/>
  <c r="L108" i="421" s="1"/>
  <c r="I108" i="421" a="1"/>
  <c r="I108" i="421" s="1"/>
  <c r="M108" i="421" a="1"/>
  <c r="M108" i="421" s="1"/>
  <c r="Q108" i="421" a="1"/>
  <c r="Q108" i="421" s="1"/>
  <c r="K108" i="421" a="1"/>
  <c r="K108" i="421" s="1"/>
  <c r="A108" i="421" a="1"/>
  <c r="A108" i="421" s="1"/>
  <c r="C109" i="421"/>
  <c r="N108" i="421" a="1"/>
  <c r="N108" i="421" s="1"/>
  <c r="H108" i="421" a="1"/>
  <c r="H108" i="421" s="1"/>
  <c r="O108" i="421" a="1"/>
  <c r="O108" i="421" s="1"/>
  <c r="G108" i="421" a="1"/>
  <c r="G108" i="421" s="1"/>
  <c r="R108" i="421" l="1"/>
  <c r="K109" i="421" a="1"/>
  <c r="K109" i="421" s="1"/>
  <c r="Q109" i="421" a="1"/>
  <c r="Q109" i="421" s="1"/>
  <c r="C110" i="421"/>
  <c r="M109" i="421" a="1"/>
  <c r="M109" i="421" s="1"/>
  <c r="I109" i="421" a="1"/>
  <c r="I109" i="421" s="1"/>
  <c r="N109" i="421" a="1"/>
  <c r="N109" i="421" s="1"/>
  <c r="G109" i="421" a="1"/>
  <c r="G109" i="421" s="1"/>
  <c r="A109" i="421" a="1"/>
  <c r="A109" i="421" s="1"/>
  <c r="O109" i="421" a="1"/>
  <c r="O109" i="421" s="1"/>
  <c r="L109" i="421" a="1"/>
  <c r="L109" i="421" s="1"/>
  <c r="H109" i="421" a="1"/>
  <c r="H109" i="421" s="1"/>
  <c r="R109" i="421" l="1"/>
  <c r="I110" i="421" a="1"/>
  <c r="I110" i="421" s="1"/>
  <c r="O110" i="421" a="1"/>
  <c r="O110" i="421" s="1"/>
  <c r="A110" i="421" a="1"/>
  <c r="A110" i="421" s="1"/>
  <c r="M110" i="421" a="1"/>
  <c r="M110" i="421" s="1"/>
  <c r="C111" i="421"/>
  <c r="L110" i="421" a="1"/>
  <c r="L110" i="421" s="1"/>
  <c r="H110" i="421" a="1"/>
  <c r="H110" i="421" s="1"/>
  <c r="G110" i="421" a="1"/>
  <c r="G110" i="421" s="1"/>
  <c r="Q110" i="421" a="1"/>
  <c r="Q110" i="421" s="1"/>
  <c r="K110" i="421" a="1"/>
  <c r="K110" i="421" s="1"/>
  <c r="N110" i="421" a="1"/>
  <c r="N110" i="421" s="1"/>
  <c r="R110" i="421" l="1"/>
  <c r="M111" i="421" a="1"/>
  <c r="M111" i="421" s="1"/>
  <c r="H111" i="421" a="1"/>
  <c r="H111" i="421" s="1"/>
  <c r="C112" i="421"/>
  <c r="G111" i="421" a="1"/>
  <c r="G111" i="421" s="1"/>
  <c r="Q111" i="421" a="1"/>
  <c r="Q111" i="421" s="1"/>
  <c r="K111" i="421" a="1"/>
  <c r="K111" i="421" s="1"/>
  <c r="A111" i="421" a="1"/>
  <c r="A111" i="421" s="1"/>
  <c r="N111" i="421" a="1"/>
  <c r="N111" i="421" s="1"/>
  <c r="I111" i="421" a="1"/>
  <c r="I111" i="421" s="1"/>
  <c r="L111" i="421" a="1"/>
  <c r="L111" i="421" s="1"/>
  <c r="O111" i="421" a="1"/>
  <c r="O111" i="421" s="1"/>
  <c r="R111" i="421" l="1"/>
  <c r="O112" i="421" a="1"/>
  <c r="O112" i="421" s="1"/>
  <c r="Q112" i="421" a="1"/>
  <c r="Q112" i="421" s="1"/>
  <c r="K112" i="421" a="1"/>
  <c r="K112" i="421" s="1"/>
  <c r="N112" i="421" a="1"/>
  <c r="N112" i="421" s="1"/>
  <c r="I112" i="421" a="1"/>
  <c r="I112" i="421" s="1"/>
  <c r="A112" i="421" a="1"/>
  <c r="A112" i="421" s="1"/>
  <c r="C113" i="421"/>
  <c r="L112" i="421" a="1"/>
  <c r="L112" i="421" s="1"/>
  <c r="G112" i="421" a="1"/>
  <c r="G112" i="421" s="1"/>
  <c r="M112" i="421" a="1"/>
  <c r="M112" i="421" s="1"/>
  <c r="H112" i="421" a="1"/>
  <c r="H112" i="421" s="1"/>
  <c r="R112" i="421" l="1"/>
  <c r="N113" i="421" a="1"/>
  <c r="N113" i="421" s="1"/>
  <c r="Q113" i="421" a="1"/>
  <c r="Q113" i="421" s="1"/>
  <c r="H113" i="421" a="1"/>
  <c r="H113" i="421" s="1"/>
  <c r="G113" i="421" a="1"/>
  <c r="G113" i="421" s="1"/>
  <c r="M113" i="421" a="1"/>
  <c r="M113" i="421" s="1"/>
  <c r="L113" i="421" a="1"/>
  <c r="L113" i="421" s="1"/>
  <c r="A113" i="421" a="1"/>
  <c r="A113" i="421" s="1"/>
  <c r="C114" i="421"/>
  <c r="I113" i="421" a="1"/>
  <c r="I113" i="421" s="1"/>
  <c r="O113" i="421" a="1"/>
  <c r="O113" i="421" s="1"/>
  <c r="K113" i="421" a="1"/>
  <c r="K113" i="421" s="1"/>
  <c r="R113" i="421" l="1"/>
  <c r="N114" i="421" a="1"/>
  <c r="N114" i="421" s="1"/>
  <c r="I114" i="421" a="1"/>
  <c r="I114" i="421" s="1"/>
  <c r="O114" i="421" a="1"/>
  <c r="O114" i="421" s="1"/>
  <c r="M114" i="421" a="1"/>
  <c r="M114" i="421" s="1"/>
  <c r="C115" i="421"/>
  <c r="A114" i="421" a="1"/>
  <c r="A114" i="421" s="1"/>
  <c r="H114" i="421" a="1"/>
  <c r="H114" i="421" s="1"/>
  <c r="L114" i="421" a="1"/>
  <c r="L114" i="421" s="1"/>
  <c r="Q114" i="421" a="1"/>
  <c r="Q114" i="421" s="1"/>
  <c r="K114" i="421" a="1"/>
  <c r="K114" i="421" s="1"/>
  <c r="G114" i="421" a="1"/>
  <c r="G114" i="421" s="1"/>
  <c r="R114" i="421" l="1"/>
  <c r="L115" i="421" a="1"/>
  <c r="L115" i="421" s="1"/>
  <c r="M115" i="421" a="1"/>
  <c r="M115" i="421" s="1"/>
  <c r="C116" i="421"/>
  <c r="G115" i="421" a="1"/>
  <c r="G115" i="421" s="1"/>
  <c r="N115" i="421" a="1"/>
  <c r="N115" i="421" s="1"/>
  <c r="O115" i="421" a="1"/>
  <c r="O115" i="421" s="1"/>
  <c r="A115" i="421" a="1"/>
  <c r="A115" i="421" s="1"/>
  <c r="I115" i="421" a="1"/>
  <c r="I115" i="421" s="1"/>
  <c r="H115" i="421" a="1"/>
  <c r="H115" i="421" s="1"/>
  <c r="Q115" i="421" a="1"/>
  <c r="Q115" i="421" s="1"/>
  <c r="K115" i="421" a="1"/>
  <c r="K115" i="421" s="1"/>
  <c r="R115" i="421" l="1"/>
  <c r="O116" i="421" a="1"/>
  <c r="O116" i="421" s="1"/>
  <c r="L116" i="421" a="1"/>
  <c r="L116" i="421" s="1"/>
  <c r="H116" i="421" a="1"/>
  <c r="H116" i="421" s="1"/>
  <c r="C117" i="421"/>
  <c r="N116" i="421" a="1"/>
  <c r="N116" i="421" s="1"/>
  <c r="M116" i="421" a="1"/>
  <c r="M116" i="421" s="1"/>
  <c r="Q116" i="421" a="1"/>
  <c r="Q116" i="421" s="1"/>
  <c r="G116" i="421" a="1"/>
  <c r="G116" i="421" s="1"/>
  <c r="A116" i="421" a="1"/>
  <c r="A116" i="421" s="1"/>
  <c r="I116" i="421" a="1"/>
  <c r="I116" i="421" s="1"/>
  <c r="K116" i="421" a="1"/>
  <c r="K116" i="421" s="1"/>
  <c r="R116" i="421" l="1"/>
  <c r="C118" i="421"/>
  <c r="G117" i="421" a="1"/>
  <c r="G117" i="421" s="1"/>
  <c r="K117" i="421" a="1"/>
  <c r="K117" i="421" s="1"/>
  <c r="N117" i="421" a="1"/>
  <c r="N117" i="421" s="1"/>
  <c r="M117" i="421" a="1"/>
  <c r="M117" i="421" s="1"/>
  <c r="L117" i="421" a="1"/>
  <c r="L117" i="421" s="1"/>
  <c r="O117" i="421" a="1"/>
  <c r="O117" i="421" s="1"/>
  <c r="Q117" i="421" a="1"/>
  <c r="Q117" i="421" s="1"/>
  <c r="R117" i="421" s="1"/>
  <c r="I117" i="421" a="1"/>
  <c r="I117" i="421" s="1"/>
  <c r="A117" i="421" a="1"/>
  <c r="A117" i="421" s="1"/>
  <c r="H117" i="421" a="1"/>
  <c r="H117" i="421" s="1"/>
  <c r="N118" i="421" l="1" a="1"/>
  <c r="N118" i="421" s="1"/>
  <c r="G118" i="421" a="1"/>
  <c r="G118" i="421" s="1"/>
  <c r="C119" i="421"/>
  <c r="M118" i="421" a="1"/>
  <c r="M118" i="421" s="1"/>
  <c r="O118" i="421" a="1"/>
  <c r="O118" i="421" s="1"/>
  <c r="I118" i="421" a="1"/>
  <c r="I118" i="421" s="1"/>
  <c r="L118" i="421" a="1"/>
  <c r="L118" i="421" s="1"/>
  <c r="Q118" i="421" a="1"/>
  <c r="Q118" i="421" s="1"/>
  <c r="A118" i="421" a="1"/>
  <c r="A118" i="421" s="1"/>
  <c r="H118" i="421" a="1"/>
  <c r="H118" i="421" s="1"/>
  <c r="K118" i="421" a="1"/>
  <c r="K118" i="421" s="1"/>
  <c r="R118" i="421" l="1"/>
  <c r="H119" i="421" a="1"/>
  <c r="H119" i="421" s="1"/>
  <c r="G119" i="421" a="1"/>
  <c r="G119" i="421" s="1"/>
  <c r="A119" i="421" a="1"/>
  <c r="A119" i="421" s="1"/>
  <c r="M119" i="421" a="1"/>
  <c r="M119" i="421" s="1"/>
  <c r="C120" i="421"/>
  <c r="N119" i="421" a="1"/>
  <c r="N119" i="421" s="1"/>
  <c r="O119" i="421" a="1"/>
  <c r="O119" i="421" s="1"/>
  <c r="Q119" i="421" a="1"/>
  <c r="Q119" i="421" s="1"/>
  <c r="K119" i="421" a="1"/>
  <c r="K119" i="421" s="1"/>
  <c r="I119" i="421" a="1"/>
  <c r="I119" i="421" s="1"/>
  <c r="L119" i="421" a="1"/>
  <c r="L119" i="421" s="1"/>
  <c r="R119" i="421" l="1"/>
  <c r="A120" i="421" a="1"/>
  <c r="A120" i="421" s="1"/>
  <c r="C121" i="421"/>
  <c r="L120" i="421" a="1"/>
  <c r="L120" i="421" s="1"/>
  <c r="H120" i="421" a="1"/>
  <c r="H120" i="421" s="1"/>
  <c r="N120" i="421" a="1"/>
  <c r="N120" i="421" s="1"/>
  <c r="O120" i="421" a="1"/>
  <c r="O120" i="421" s="1"/>
  <c r="Q120" i="421" a="1"/>
  <c r="Q120" i="421" s="1"/>
  <c r="I120" i="421" a="1"/>
  <c r="I120" i="421" s="1"/>
  <c r="K120" i="421" a="1"/>
  <c r="K120" i="421" s="1"/>
  <c r="M120" i="421" a="1"/>
  <c r="M120" i="421" s="1"/>
  <c r="G120" i="421" a="1"/>
  <c r="G120" i="421" s="1"/>
  <c r="R120" i="421" l="1"/>
  <c r="I121" i="421" a="1"/>
  <c r="I121" i="421" s="1"/>
  <c r="N121" i="421" a="1"/>
  <c r="N121" i="421" s="1"/>
  <c r="C122" i="421"/>
  <c r="G121" i="421" a="1"/>
  <c r="G121" i="421" s="1"/>
  <c r="K121" i="421" a="1"/>
  <c r="K121" i="421" s="1"/>
  <c r="A121" i="421" a="1"/>
  <c r="A121" i="421" s="1"/>
  <c r="M121" i="421" a="1"/>
  <c r="M121" i="421" s="1"/>
  <c r="L121" i="421" a="1"/>
  <c r="L121" i="421" s="1"/>
  <c r="O121" i="421" a="1"/>
  <c r="O121" i="421" s="1"/>
  <c r="Q121" i="421" a="1"/>
  <c r="Q121" i="421" s="1"/>
  <c r="H121" i="421" a="1"/>
  <c r="H121" i="421" s="1"/>
  <c r="R121" i="421" l="1"/>
  <c r="K122" i="421" a="1"/>
  <c r="K122" i="421" s="1"/>
  <c r="H122" i="421" a="1"/>
  <c r="H122" i="421" s="1"/>
  <c r="N122" i="421" a="1"/>
  <c r="N122" i="421" s="1"/>
  <c r="C123" i="421"/>
  <c r="Q122" i="421" a="1"/>
  <c r="Q122" i="421" s="1"/>
  <c r="A122" i="421" a="1"/>
  <c r="A122" i="421" s="1"/>
  <c r="G122" i="421" a="1"/>
  <c r="G122" i="421" s="1"/>
  <c r="O122" i="421" a="1"/>
  <c r="O122" i="421" s="1"/>
  <c r="M122" i="421" a="1"/>
  <c r="M122" i="421" s="1"/>
  <c r="I122" i="421" a="1"/>
  <c r="I122" i="421" s="1"/>
  <c r="L122" i="421" a="1"/>
  <c r="L122" i="421" s="1"/>
  <c r="R122" i="421" l="1"/>
  <c r="A123" i="421" a="1"/>
  <c r="A123" i="421" s="1"/>
  <c r="G123" i="421" a="1"/>
  <c r="G123" i="421" s="1"/>
  <c r="N123" i="421" a="1"/>
  <c r="N123" i="421" s="1"/>
  <c r="K123" i="421" a="1"/>
  <c r="K123" i="421" s="1"/>
  <c r="C124" i="421"/>
  <c r="I123" i="421" a="1"/>
  <c r="I123" i="421" s="1"/>
  <c r="H123" i="421" a="1"/>
  <c r="H123" i="421" s="1"/>
  <c r="Q123" i="421" a="1"/>
  <c r="Q123" i="421" s="1"/>
  <c r="L123" i="421" a="1"/>
  <c r="L123" i="421" s="1"/>
  <c r="O123" i="421" a="1"/>
  <c r="O123" i="421" s="1"/>
  <c r="M123" i="421" a="1"/>
  <c r="M123" i="421" s="1"/>
  <c r="R123" i="421" l="1"/>
  <c r="I124" i="421" a="1"/>
  <c r="I124" i="421" s="1"/>
  <c r="O124" i="421" a="1"/>
  <c r="O124" i="421" s="1"/>
  <c r="K124" i="421" a="1"/>
  <c r="K124" i="421" s="1"/>
  <c r="A124" i="421" a="1"/>
  <c r="A124" i="421" s="1"/>
  <c r="N124" i="421" a="1"/>
  <c r="N124" i="421" s="1"/>
  <c r="C125" i="421"/>
  <c r="M124" i="421" a="1"/>
  <c r="M124" i="421" s="1"/>
  <c r="L124" i="421" a="1"/>
  <c r="L124" i="421" s="1"/>
  <c r="Q124" i="421" a="1"/>
  <c r="Q124" i="421" s="1"/>
  <c r="G124" i="421" a="1"/>
  <c r="G124" i="421" s="1"/>
  <c r="H124" i="421" a="1"/>
  <c r="H124" i="421" s="1"/>
  <c r="R124" i="421" l="1"/>
  <c r="K125" i="421" a="1"/>
  <c r="K125" i="421" s="1"/>
  <c r="Q125" i="421" a="1"/>
  <c r="Q125" i="421" s="1"/>
  <c r="H125" i="421" a="1"/>
  <c r="H125" i="421" s="1"/>
  <c r="I125" i="421" a="1"/>
  <c r="I125" i="421" s="1"/>
  <c r="A125" i="421" a="1"/>
  <c r="A125" i="421" s="1"/>
  <c r="N125" i="421" a="1"/>
  <c r="N125" i="421" s="1"/>
  <c r="O125" i="421" a="1"/>
  <c r="O125" i="421" s="1"/>
  <c r="G125" i="421" a="1"/>
  <c r="G125" i="421" s="1"/>
  <c r="L125" i="421" a="1"/>
  <c r="L125" i="421" s="1"/>
  <c r="M125" i="421" a="1"/>
  <c r="M125" i="421" s="1"/>
  <c r="C126" i="421"/>
  <c r="R125" i="421" l="1"/>
  <c r="L126" i="421" a="1"/>
  <c r="L126" i="421" s="1"/>
  <c r="A126" i="421" a="1"/>
  <c r="A126" i="421" s="1"/>
  <c r="K126" i="421" a="1"/>
  <c r="K126" i="421" s="1"/>
  <c r="I126" i="421" a="1"/>
  <c r="I126" i="421" s="1"/>
  <c r="M126" i="421" a="1"/>
  <c r="M126" i="421" s="1"/>
  <c r="Q126" i="421" a="1"/>
  <c r="Q126" i="421" s="1"/>
  <c r="H126" i="421" a="1"/>
  <c r="H126" i="421" s="1"/>
  <c r="N126" i="421" a="1"/>
  <c r="N126" i="421" s="1"/>
  <c r="G126" i="421" a="1"/>
  <c r="G126" i="421" s="1"/>
  <c r="C127" i="421"/>
  <c r="O126" i="421" a="1"/>
  <c r="O126" i="421" s="1"/>
  <c r="R126" i="421" l="1"/>
  <c r="L127" i="421" a="1"/>
  <c r="L127" i="421" s="1"/>
  <c r="H127" i="421" a="1"/>
  <c r="H127" i="421" s="1"/>
  <c r="I127" i="421" a="1"/>
  <c r="I127" i="421" s="1"/>
  <c r="M127" i="421" a="1"/>
  <c r="M127" i="421" s="1"/>
  <c r="A127" i="421" a="1"/>
  <c r="A127" i="421" s="1"/>
  <c r="C128" i="421"/>
  <c r="N127" i="421" a="1"/>
  <c r="N127" i="421" s="1"/>
  <c r="Q127" i="421" a="1"/>
  <c r="Q127" i="421" s="1"/>
  <c r="O127" i="421" a="1"/>
  <c r="O127" i="421" s="1"/>
  <c r="K127" i="421" a="1"/>
  <c r="K127" i="421" s="1"/>
  <c r="G127" i="421" a="1"/>
  <c r="G127" i="421" s="1"/>
  <c r="R127" i="421" l="1"/>
  <c r="O128" i="421" a="1"/>
  <c r="O128" i="421" s="1"/>
  <c r="Q128" i="421" a="1"/>
  <c r="Q128" i="421" s="1"/>
  <c r="H128" i="421" a="1"/>
  <c r="H128" i="421" s="1"/>
  <c r="M128" i="421" a="1"/>
  <c r="M128" i="421" s="1"/>
  <c r="G128" i="421" a="1"/>
  <c r="G128" i="421" s="1"/>
  <c r="C129" i="421"/>
  <c r="N128" i="421" a="1"/>
  <c r="N128" i="421" s="1"/>
  <c r="L128" i="421" a="1"/>
  <c r="L128" i="421" s="1"/>
  <c r="K128" i="421" a="1"/>
  <c r="K128" i="421" s="1"/>
  <c r="I128" i="421" a="1"/>
  <c r="I128" i="421" s="1"/>
  <c r="A128" i="421" a="1"/>
  <c r="A128" i="421" s="1"/>
  <c r="R128" i="421" l="1"/>
  <c r="M129" i="421" a="1"/>
  <c r="M129" i="421" s="1"/>
  <c r="L129" i="421" a="1"/>
  <c r="L129" i="421" s="1"/>
  <c r="C130" i="421"/>
  <c r="A129" i="421" a="1"/>
  <c r="A129" i="421" s="1"/>
  <c r="N129" i="421" a="1"/>
  <c r="N129" i="421" s="1"/>
  <c r="Q129" i="421" a="1"/>
  <c r="Q129" i="421" s="1"/>
  <c r="K129" i="421" a="1"/>
  <c r="K129" i="421" s="1"/>
  <c r="H129" i="421" a="1"/>
  <c r="H129" i="421" s="1"/>
  <c r="I129" i="421" a="1"/>
  <c r="I129" i="421" s="1"/>
  <c r="O129" i="421" a="1"/>
  <c r="O129" i="421" s="1"/>
  <c r="G129" i="421" a="1"/>
  <c r="G129" i="421" s="1"/>
  <c r="R129" i="421" l="1"/>
  <c r="A130" i="421" a="1"/>
  <c r="A130" i="421" s="1"/>
  <c r="Q130" i="421" a="1"/>
  <c r="Q130" i="421" s="1"/>
  <c r="C131" i="421"/>
  <c r="M130" i="421" a="1"/>
  <c r="M130" i="421" s="1"/>
  <c r="G130" i="421" a="1"/>
  <c r="G130" i="421" s="1"/>
  <c r="I130" i="421" a="1"/>
  <c r="I130" i="421" s="1"/>
  <c r="L130" i="421" a="1"/>
  <c r="L130" i="421" s="1"/>
  <c r="N130" i="421" a="1"/>
  <c r="N130" i="421" s="1"/>
  <c r="O130" i="421" a="1"/>
  <c r="O130" i="421" s="1"/>
  <c r="H130" i="421" a="1"/>
  <c r="H130" i="421" s="1"/>
  <c r="K130" i="421" a="1"/>
  <c r="K130" i="421" s="1"/>
  <c r="R130" i="421" l="1"/>
  <c r="L131" i="421" a="1"/>
  <c r="L131" i="421" s="1"/>
  <c r="O131" i="421" a="1"/>
  <c r="O131" i="421" s="1"/>
  <c r="K131" i="421" a="1"/>
  <c r="K131" i="421" s="1"/>
  <c r="H131" i="421" a="1"/>
  <c r="H131" i="421" s="1"/>
  <c r="I131" i="421" a="1"/>
  <c r="I131" i="421" s="1"/>
  <c r="A131" i="421" a="1"/>
  <c r="A131" i="421" s="1"/>
  <c r="M131" i="421" a="1"/>
  <c r="M131" i="421" s="1"/>
  <c r="C132" i="421"/>
  <c r="G131" i="421" a="1"/>
  <c r="G131" i="421" s="1"/>
  <c r="Q131" i="421" a="1"/>
  <c r="Q131" i="421" s="1"/>
  <c r="N131" i="421" a="1"/>
  <c r="N131" i="421" s="1"/>
  <c r="R131" i="421" l="1"/>
  <c r="Q132" i="421" a="1"/>
  <c r="Q132" i="421" s="1"/>
  <c r="K132" i="421" a="1"/>
  <c r="K132" i="421" s="1"/>
  <c r="L132" i="421" a="1"/>
  <c r="L132" i="421" s="1"/>
  <c r="H132" i="421" a="1"/>
  <c r="H132" i="421" s="1"/>
  <c r="C133" i="421"/>
  <c r="A132" i="421" a="1"/>
  <c r="A132" i="421" s="1"/>
  <c r="O132" i="421" a="1"/>
  <c r="O132" i="421" s="1"/>
  <c r="N132" i="421" a="1"/>
  <c r="N132" i="421" s="1"/>
  <c r="G132" i="421" a="1"/>
  <c r="G132" i="421" s="1"/>
  <c r="I132" i="421" a="1"/>
  <c r="I132" i="421" s="1"/>
  <c r="M132" i="421" a="1"/>
  <c r="M132" i="421" s="1"/>
  <c r="R132" i="421" l="1"/>
  <c r="M133" i="421" a="1"/>
  <c r="M133" i="421" s="1"/>
  <c r="H133" i="421" a="1"/>
  <c r="H133" i="421" s="1"/>
  <c r="A133" i="421" a="1"/>
  <c r="A133" i="421" s="1"/>
  <c r="N133" i="421" a="1"/>
  <c r="N133" i="421" s="1"/>
  <c r="I133" i="421" a="1"/>
  <c r="I133" i="421" s="1"/>
  <c r="C134" i="421"/>
  <c r="G133" i="421" a="1"/>
  <c r="G133" i="421" s="1"/>
  <c r="L133" i="421" a="1"/>
  <c r="L133" i="421" s="1"/>
  <c r="O133" i="421" a="1"/>
  <c r="O133" i="421" s="1"/>
  <c r="K133" i="421" a="1"/>
  <c r="K133" i="421" s="1"/>
  <c r="Q133" i="421" a="1"/>
  <c r="Q133" i="421" s="1"/>
  <c r="R133" i="421" l="1"/>
  <c r="I134" i="421" a="1"/>
  <c r="I134" i="421" s="1"/>
  <c r="H134" i="421" a="1"/>
  <c r="H134" i="421" s="1"/>
  <c r="O134" i="421" a="1"/>
  <c r="O134" i="421" s="1"/>
  <c r="N134" i="421" a="1"/>
  <c r="N134" i="421" s="1"/>
  <c r="M134" i="421" a="1"/>
  <c r="M134" i="421" s="1"/>
  <c r="G134" i="421" a="1"/>
  <c r="G134" i="421" s="1"/>
  <c r="C135" i="421"/>
  <c r="A134" i="421" a="1"/>
  <c r="A134" i="421" s="1"/>
  <c r="L134" i="421" a="1"/>
  <c r="L134" i="421" s="1"/>
  <c r="K134" i="421" a="1"/>
  <c r="K134" i="421" s="1"/>
  <c r="Q134" i="421" a="1"/>
  <c r="Q134" i="421" s="1"/>
  <c r="R134" i="421" l="1"/>
  <c r="A135" i="421" a="1"/>
  <c r="A135" i="421" s="1"/>
  <c r="H135" i="421" a="1"/>
  <c r="H135" i="421" s="1"/>
  <c r="O135" i="421" a="1"/>
  <c r="O135" i="421" s="1"/>
  <c r="N135" i="421" a="1"/>
  <c r="N135" i="421" s="1"/>
  <c r="M135" i="421" a="1"/>
  <c r="M135" i="421" s="1"/>
  <c r="L135" i="421" a="1"/>
  <c r="L135" i="421" s="1"/>
  <c r="K135" i="421" a="1"/>
  <c r="K135" i="421" s="1"/>
  <c r="Q135" i="421" a="1"/>
  <c r="Q135" i="421" s="1"/>
  <c r="G135" i="421" a="1"/>
  <c r="G135" i="421" s="1"/>
  <c r="C136" i="421"/>
  <c r="I135" i="421" a="1"/>
  <c r="I135" i="421" s="1"/>
  <c r="R135" i="421" l="1"/>
  <c r="A136" i="421" a="1"/>
  <c r="A136" i="421" s="1"/>
  <c r="C137" i="421"/>
  <c r="I136" i="421" a="1"/>
  <c r="I136" i="421" s="1"/>
  <c r="N136" i="421" a="1"/>
  <c r="N136" i="421" s="1"/>
  <c r="Q136" i="421" a="1"/>
  <c r="Q136" i="421" s="1"/>
  <c r="K136" i="421" a="1"/>
  <c r="K136" i="421" s="1"/>
  <c r="G136" i="421" a="1"/>
  <c r="G136" i="421" s="1"/>
  <c r="L136" i="421" a="1"/>
  <c r="L136" i="421" s="1"/>
  <c r="O136" i="421" a="1"/>
  <c r="O136" i="421" s="1"/>
  <c r="M136" i="421" a="1"/>
  <c r="M136" i="421" s="1"/>
  <c r="H136" i="421" a="1"/>
  <c r="H136" i="421" s="1"/>
  <c r="R136" i="421" l="1"/>
  <c r="M137" i="421" a="1"/>
  <c r="M137" i="421" s="1"/>
  <c r="O137" i="421" a="1"/>
  <c r="O137" i="421" s="1"/>
  <c r="K137" i="421" a="1"/>
  <c r="K137" i="421" s="1"/>
  <c r="A137" i="421" a="1"/>
  <c r="A137" i="421" s="1"/>
  <c r="L137" i="421" a="1"/>
  <c r="L137" i="421" s="1"/>
  <c r="G137" i="421" a="1"/>
  <c r="G137" i="421" s="1"/>
  <c r="C138" i="421"/>
  <c r="Q137" i="421" a="1"/>
  <c r="Q137" i="421" s="1"/>
  <c r="N137" i="421" a="1"/>
  <c r="N137" i="421" s="1"/>
  <c r="I137" i="421" a="1"/>
  <c r="I137" i="421" s="1"/>
  <c r="H137" i="421" a="1"/>
  <c r="H137" i="421" s="1"/>
  <c r="R137" i="421" l="1"/>
  <c r="K138" i="421" a="1"/>
  <c r="K138" i="421" s="1"/>
  <c r="A138" i="421" a="1"/>
  <c r="A138" i="421" s="1"/>
  <c r="L138" i="421" a="1"/>
  <c r="L138" i="421" s="1"/>
  <c r="I138" i="421" a="1"/>
  <c r="I138" i="421" s="1"/>
  <c r="Q138" i="421" a="1"/>
  <c r="Q138" i="421" s="1"/>
  <c r="H138" i="421" a="1"/>
  <c r="H138" i="421" s="1"/>
  <c r="C139" i="421"/>
  <c r="O138" i="421" a="1"/>
  <c r="O138" i="421" s="1"/>
  <c r="M138" i="421" a="1"/>
  <c r="M138" i="421" s="1"/>
  <c r="G138" i="421" a="1"/>
  <c r="G138" i="421" s="1"/>
  <c r="N138" i="421" a="1"/>
  <c r="N138" i="421" s="1"/>
  <c r="R138" i="421" l="1"/>
  <c r="A139" i="421" a="1"/>
  <c r="A139" i="421" s="1"/>
  <c r="L139" i="421" a="1"/>
  <c r="L139" i="421" s="1"/>
  <c r="O139" i="421" a="1"/>
  <c r="O139" i="421" s="1"/>
  <c r="C140" i="421"/>
  <c r="G139" i="421" a="1"/>
  <c r="G139" i="421" s="1"/>
  <c r="H139" i="421" a="1"/>
  <c r="H139" i="421" s="1"/>
  <c r="M139" i="421" a="1"/>
  <c r="M139" i="421" s="1"/>
  <c r="K139" i="421" a="1"/>
  <c r="K139" i="421" s="1"/>
  <c r="I139" i="421" a="1"/>
  <c r="I139" i="421" s="1"/>
  <c r="N139" i="421" a="1"/>
  <c r="N139" i="421" s="1"/>
  <c r="Q139" i="421" a="1"/>
  <c r="Q139" i="421" s="1"/>
  <c r="R139" i="421" l="1"/>
  <c r="N140" i="421" a="1"/>
  <c r="N140" i="421" s="1"/>
  <c r="L140" i="421" a="1"/>
  <c r="L140" i="421" s="1"/>
  <c r="H140" i="421" a="1"/>
  <c r="H140" i="421" s="1"/>
  <c r="M140" i="421" a="1"/>
  <c r="M140" i="421" s="1"/>
  <c r="Q140" i="421" a="1"/>
  <c r="Q140" i="421" s="1"/>
  <c r="A140" i="421" a="1"/>
  <c r="A140" i="421" s="1"/>
  <c r="G140" i="421" a="1"/>
  <c r="G140" i="421" s="1"/>
  <c r="C141" i="421"/>
  <c r="I140" i="421" a="1"/>
  <c r="I140" i="421" s="1"/>
  <c r="O140" i="421" a="1"/>
  <c r="O140" i="421" s="1"/>
  <c r="K140" i="421" a="1"/>
  <c r="K140" i="421" s="1"/>
  <c r="R140" i="421" l="1"/>
  <c r="K141" i="421" a="1"/>
  <c r="K141" i="421" s="1"/>
  <c r="Q141" i="421" a="1"/>
  <c r="Q141" i="421" s="1"/>
  <c r="H141" i="421" a="1"/>
  <c r="H141" i="421" s="1"/>
  <c r="A141" i="421" a="1"/>
  <c r="A141" i="421" s="1"/>
  <c r="C142" i="421"/>
  <c r="M141" i="421" a="1"/>
  <c r="M141" i="421" s="1"/>
  <c r="L141" i="421" a="1"/>
  <c r="L141" i="421" s="1"/>
  <c r="I141" i="421" a="1"/>
  <c r="I141" i="421" s="1"/>
  <c r="N141" i="421" a="1"/>
  <c r="N141" i="421" s="1"/>
  <c r="O141" i="421" a="1"/>
  <c r="O141" i="421" s="1"/>
  <c r="G141" i="421" a="1"/>
  <c r="G141" i="421" s="1"/>
  <c r="R141" i="421" l="1"/>
  <c r="G142" i="421" a="1"/>
  <c r="G142" i="421" s="1"/>
  <c r="Q142" i="421" a="1"/>
  <c r="Q142" i="421" s="1"/>
  <c r="K142" i="421" a="1"/>
  <c r="K142" i="421" s="1"/>
  <c r="M142" i="421" a="1"/>
  <c r="M142" i="421" s="1"/>
  <c r="C143" i="421"/>
  <c r="A142" i="421" a="1"/>
  <c r="A142" i="421" s="1"/>
  <c r="H142" i="421" a="1"/>
  <c r="H142" i="421" s="1"/>
  <c r="I142" i="421" a="1"/>
  <c r="I142" i="421" s="1"/>
  <c r="N142" i="421" a="1"/>
  <c r="N142" i="421" s="1"/>
  <c r="O142" i="421" a="1"/>
  <c r="O142" i="421" s="1"/>
  <c r="L142" i="421" a="1"/>
  <c r="L142" i="421" s="1"/>
  <c r="R142" i="421" l="1"/>
  <c r="I143" i="421" a="1"/>
  <c r="I143" i="421" s="1"/>
  <c r="M143" i="421" a="1"/>
  <c r="M143" i="421" s="1"/>
  <c r="G143" i="421" a="1"/>
  <c r="G143" i="421" s="1"/>
  <c r="A143" i="421" a="1"/>
  <c r="A143" i="421" s="1"/>
  <c r="K143" i="421" a="1"/>
  <c r="K143" i="421" s="1"/>
  <c r="Q143" i="421" a="1"/>
  <c r="Q143" i="421" s="1"/>
  <c r="N143" i="421" a="1"/>
  <c r="N143" i="421" s="1"/>
  <c r="H143" i="421" a="1"/>
  <c r="H143" i="421" s="1"/>
  <c r="C144" i="421"/>
  <c r="L143" i="421" a="1"/>
  <c r="L143" i="421" s="1"/>
  <c r="O143" i="421" a="1"/>
  <c r="O143" i="421" s="1"/>
  <c r="R143" i="421" l="1"/>
  <c r="O144" i="421" a="1"/>
  <c r="O144" i="421" s="1"/>
  <c r="L144" i="421" a="1"/>
  <c r="L144" i="421" s="1"/>
  <c r="M144" i="421" a="1"/>
  <c r="M144" i="421" s="1"/>
  <c r="I144" i="421" a="1"/>
  <c r="I144" i="421" s="1"/>
  <c r="N144" i="421" a="1"/>
  <c r="N144" i="421" s="1"/>
  <c r="H144" i="421" a="1"/>
  <c r="H144" i="421" s="1"/>
  <c r="K144" i="421" a="1"/>
  <c r="K144" i="421" s="1"/>
  <c r="G144" i="421" a="1"/>
  <c r="G144" i="421" s="1"/>
  <c r="A144" i="421" a="1"/>
  <c r="A144" i="421" s="1"/>
  <c r="C145" i="421"/>
  <c r="Q144" i="421" a="1"/>
  <c r="Q144" i="421" s="1"/>
  <c r="R144" i="421" l="1"/>
  <c r="C146" i="421"/>
  <c r="G145" i="421" a="1"/>
  <c r="G145" i="421" s="1"/>
  <c r="L145" i="421" a="1"/>
  <c r="L145" i="421" s="1"/>
  <c r="N145" i="421" a="1"/>
  <c r="N145" i="421" s="1"/>
  <c r="H145" i="421" a="1"/>
  <c r="H145" i="421" s="1"/>
  <c r="K145" i="421" a="1"/>
  <c r="K145" i="421" s="1"/>
  <c r="A145" i="421" a="1"/>
  <c r="A145" i="421" s="1"/>
  <c r="I145" i="421" a="1"/>
  <c r="I145" i="421" s="1"/>
  <c r="M145" i="421" a="1"/>
  <c r="M145" i="421" s="1"/>
  <c r="O145" i="421" a="1"/>
  <c r="O145" i="421" s="1"/>
  <c r="Q145" i="421" a="1"/>
  <c r="Q145" i="421" s="1"/>
  <c r="R145" i="421" l="1"/>
  <c r="A146" i="421" a="1"/>
  <c r="A146" i="421" s="1"/>
  <c r="C147" i="421"/>
  <c r="L146" i="421" a="1"/>
  <c r="L146" i="421" s="1"/>
  <c r="O146" i="421" a="1"/>
  <c r="O146" i="421" s="1"/>
  <c r="H146" i="421" a="1"/>
  <c r="H146" i="421" s="1"/>
  <c r="I146" i="421" a="1"/>
  <c r="I146" i="421" s="1"/>
  <c r="M146" i="421" a="1"/>
  <c r="M146" i="421" s="1"/>
  <c r="N146" i="421" a="1"/>
  <c r="N146" i="421" s="1"/>
  <c r="Q146" i="421" a="1"/>
  <c r="Q146" i="421" s="1"/>
  <c r="K146" i="421" a="1"/>
  <c r="K146" i="421" s="1"/>
  <c r="G146" i="421" a="1"/>
  <c r="G146" i="421" s="1"/>
  <c r="R146" i="421" l="1"/>
  <c r="G147" i="421" a="1"/>
  <c r="G147" i="421" s="1"/>
  <c r="M147" i="421" a="1"/>
  <c r="M147" i="421" s="1"/>
  <c r="H147" i="421" a="1"/>
  <c r="H147" i="421" s="1"/>
  <c r="K147" i="421" a="1"/>
  <c r="K147" i="421" s="1"/>
  <c r="I147" i="421" a="1"/>
  <c r="I147" i="421" s="1"/>
  <c r="N147" i="421" a="1"/>
  <c r="N147" i="421" s="1"/>
  <c r="C148" i="421"/>
  <c r="A147" i="421" a="1"/>
  <c r="A147" i="421" s="1"/>
  <c r="L147" i="421" a="1"/>
  <c r="L147" i="421" s="1"/>
  <c r="Q147" i="421" a="1"/>
  <c r="Q147" i="421" s="1"/>
  <c r="O147" i="421" a="1"/>
  <c r="O147" i="421" s="1"/>
  <c r="R147" i="421" l="1"/>
  <c r="O148" i="421" a="1"/>
  <c r="O148" i="421" s="1"/>
  <c r="M148" i="421" a="1"/>
  <c r="M148" i="421" s="1"/>
  <c r="I148" i="421" a="1"/>
  <c r="I148" i="421" s="1"/>
  <c r="C149" i="421"/>
  <c r="G148" i="421" a="1"/>
  <c r="G148" i="421" s="1"/>
  <c r="L148" i="421" a="1"/>
  <c r="L148" i="421" s="1"/>
  <c r="N148" i="421" a="1"/>
  <c r="N148" i="421" s="1"/>
  <c r="Q148" i="421" a="1"/>
  <c r="Q148" i="421" s="1"/>
  <c r="A148" i="421" a="1"/>
  <c r="A148" i="421" s="1"/>
  <c r="H148" i="421" a="1"/>
  <c r="H148" i="421" s="1"/>
  <c r="K148" i="421" a="1"/>
  <c r="K148" i="421" s="1"/>
  <c r="R148" i="421" l="1"/>
  <c r="H149" i="421" a="1"/>
  <c r="H149" i="421" s="1"/>
  <c r="A149" i="421" a="1"/>
  <c r="A149" i="421" s="1"/>
  <c r="L149" i="421" a="1"/>
  <c r="L149" i="421" s="1"/>
  <c r="C150" i="421"/>
  <c r="O149" i="421" a="1"/>
  <c r="O149" i="421" s="1"/>
  <c r="M149" i="421" a="1"/>
  <c r="M149" i="421" s="1"/>
  <c r="I149" i="421" a="1"/>
  <c r="I149" i="421" s="1"/>
  <c r="N149" i="421" a="1"/>
  <c r="N149" i="421" s="1"/>
  <c r="K149" i="421" a="1"/>
  <c r="K149" i="421" s="1"/>
  <c r="Q149" i="421" a="1"/>
  <c r="Q149" i="421" s="1"/>
  <c r="G149" i="421" a="1"/>
  <c r="G149" i="421" s="1"/>
  <c r="R149" i="421" l="1"/>
  <c r="H150" i="421" a="1"/>
  <c r="H150" i="421" s="1"/>
  <c r="L150" i="421" a="1"/>
  <c r="L150" i="421" s="1"/>
  <c r="A150" i="421" a="1"/>
  <c r="A150" i="421" s="1"/>
  <c r="M150" i="421" a="1"/>
  <c r="M150" i="421" s="1"/>
  <c r="C151" i="421"/>
  <c r="N150" i="421" a="1"/>
  <c r="N150" i="421" s="1"/>
  <c r="G150" i="421" a="1"/>
  <c r="G150" i="421" s="1"/>
  <c r="O150" i="421" a="1"/>
  <c r="O150" i="421" s="1"/>
  <c r="K150" i="421" a="1"/>
  <c r="K150" i="421" s="1"/>
  <c r="I150" i="421" a="1"/>
  <c r="I150" i="421" s="1"/>
  <c r="Q150" i="421" a="1"/>
  <c r="Q150" i="421" s="1"/>
  <c r="R150" i="421" l="1"/>
  <c r="K151" i="421" a="1"/>
  <c r="K151" i="421" s="1"/>
  <c r="O151" i="421" a="1"/>
  <c r="O151" i="421" s="1"/>
  <c r="C152" i="421"/>
  <c r="Q151" i="421" a="1"/>
  <c r="Q151" i="421" s="1"/>
  <c r="H151" i="421" a="1"/>
  <c r="H151" i="421" s="1"/>
  <c r="N151" i="421" a="1"/>
  <c r="N151" i="421" s="1"/>
  <c r="A151" i="421" a="1"/>
  <c r="A151" i="421" s="1"/>
  <c r="I151" i="421" a="1"/>
  <c r="I151" i="421" s="1"/>
  <c r="M151" i="421" a="1"/>
  <c r="M151" i="421" s="1"/>
  <c r="L151" i="421" a="1"/>
  <c r="L151" i="421" s="1"/>
  <c r="G151" i="421" a="1"/>
  <c r="G151" i="421" s="1"/>
  <c r="R151" i="421" l="1"/>
  <c r="A152" i="421" a="1"/>
  <c r="A152" i="421" s="1"/>
  <c r="N152" i="421" a="1"/>
  <c r="N152" i="421" s="1"/>
  <c r="Q152" i="421" a="1"/>
  <c r="Q152" i="421" s="1"/>
  <c r="H152" i="421" a="1"/>
  <c r="H152" i="421" s="1"/>
  <c r="M152" i="421" a="1"/>
  <c r="M152" i="421" s="1"/>
  <c r="I152" i="421" a="1"/>
  <c r="I152" i="421" s="1"/>
  <c r="O152" i="421" a="1"/>
  <c r="O152" i="421" s="1"/>
  <c r="C153" i="421"/>
  <c r="L152" i="421" a="1"/>
  <c r="L152" i="421" s="1"/>
  <c r="K152" i="421" a="1"/>
  <c r="K152" i="421" s="1"/>
  <c r="G152" i="421" a="1"/>
  <c r="G152" i="421" s="1"/>
  <c r="R152" i="421" l="1"/>
  <c r="O153" i="421" a="1"/>
  <c r="O153" i="421" s="1"/>
  <c r="L153" i="421" a="1"/>
  <c r="L153" i="421" s="1"/>
  <c r="Q153" i="421" a="1"/>
  <c r="Q153" i="421" s="1"/>
  <c r="K153" i="421" a="1"/>
  <c r="K153" i="421" s="1"/>
  <c r="I153" i="421" a="1"/>
  <c r="I153" i="421" s="1"/>
  <c r="G153" i="421" a="1"/>
  <c r="G153" i="421" s="1"/>
  <c r="M153" i="421" a="1"/>
  <c r="M153" i="421" s="1"/>
  <c r="C154" i="421"/>
  <c r="A153" i="421" a="1"/>
  <c r="A153" i="421" s="1"/>
  <c r="H153" i="421" a="1"/>
  <c r="H153" i="421" s="1"/>
  <c r="N153" i="421" a="1"/>
  <c r="N153" i="421" s="1"/>
  <c r="R153" i="421" l="1"/>
  <c r="K154" i="421" a="1"/>
  <c r="K154" i="421" s="1"/>
  <c r="Q154" i="421" a="1"/>
  <c r="Q154" i="421" s="1"/>
  <c r="O154" i="421" a="1"/>
  <c r="O154" i="421" s="1"/>
  <c r="I154" i="421" a="1"/>
  <c r="I154" i="421" s="1"/>
  <c r="A154" i="421" a="1"/>
  <c r="A154" i="421" s="1"/>
  <c r="N154" i="421" a="1"/>
  <c r="N154" i="421" s="1"/>
  <c r="G154" i="421" a="1"/>
  <c r="G154" i="421" s="1"/>
  <c r="L154" i="421" a="1"/>
  <c r="L154" i="421" s="1"/>
  <c r="C155" i="421"/>
  <c r="M154" i="421" a="1"/>
  <c r="M154" i="421" s="1"/>
  <c r="H154" i="421" a="1"/>
  <c r="H154" i="421" s="1"/>
  <c r="R154" i="421" l="1"/>
  <c r="M155" i="421" a="1"/>
  <c r="M155" i="421" s="1"/>
  <c r="I155" i="421" a="1"/>
  <c r="I155" i="421" s="1"/>
  <c r="K155" i="421" a="1"/>
  <c r="K155" i="421" s="1"/>
  <c r="G155" i="421" a="1"/>
  <c r="G155" i="421" s="1"/>
  <c r="A155" i="421" a="1"/>
  <c r="A155" i="421" s="1"/>
  <c r="C156" i="421"/>
  <c r="N155" i="421" a="1"/>
  <c r="N155" i="421" s="1"/>
  <c r="H155" i="421" a="1"/>
  <c r="H155" i="421" s="1"/>
  <c r="O155" i="421" a="1"/>
  <c r="O155" i="421" s="1"/>
  <c r="L155" i="421" a="1"/>
  <c r="L155" i="421" s="1"/>
  <c r="Q155" i="421" a="1"/>
  <c r="Q155" i="421" s="1"/>
  <c r="R155" i="421" l="1"/>
  <c r="L156" i="421" a="1"/>
  <c r="L156" i="421" s="1"/>
  <c r="A156" i="421" a="1"/>
  <c r="A156" i="421" s="1"/>
  <c r="N156" i="421" a="1"/>
  <c r="N156" i="421" s="1"/>
  <c r="C157" i="421"/>
  <c r="G156" i="421" a="1"/>
  <c r="G156" i="421" s="1"/>
  <c r="M156" i="421" a="1"/>
  <c r="M156" i="421" s="1"/>
  <c r="I156" i="421" a="1"/>
  <c r="I156" i="421" s="1"/>
  <c r="H156" i="421" a="1"/>
  <c r="H156" i="421" s="1"/>
  <c r="O156" i="421" a="1"/>
  <c r="O156" i="421" s="1"/>
  <c r="Q156" i="421" a="1"/>
  <c r="Q156" i="421" s="1"/>
  <c r="K156" i="421" a="1"/>
  <c r="K156" i="421" s="1"/>
  <c r="R156" i="421" l="1"/>
  <c r="G157" i="421" a="1"/>
  <c r="G157" i="421" s="1"/>
  <c r="N157" i="421" a="1"/>
  <c r="N157" i="421" s="1"/>
  <c r="K157" i="421" a="1"/>
  <c r="K157" i="421" s="1"/>
  <c r="O157" i="421" a="1"/>
  <c r="O157" i="421" s="1"/>
  <c r="Q157" i="421" a="1"/>
  <c r="Q157" i="421" s="1"/>
  <c r="I157" i="421" a="1"/>
  <c r="I157" i="421" s="1"/>
  <c r="A157" i="421" a="1"/>
  <c r="A157" i="421" s="1"/>
  <c r="C158" i="421"/>
  <c r="H157" i="421" a="1"/>
  <c r="H157" i="421" s="1"/>
  <c r="M157" i="421" a="1"/>
  <c r="M157" i="421" s="1"/>
  <c r="L157" i="421" a="1"/>
  <c r="L157" i="421" s="1"/>
  <c r="R157" i="421" l="1"/>
  <c r="C159" i="421"/>
  <c r="A158" i="421" a="1"/>
  <c r="A158" i="421" s="1"/>
  <c r="H158" i="421" a="1"/>
  <c r="H158" i="421" s="1"/>
  <c r="L158" i="421" a="1"/>
  <c r="L158" i="421" s="1"/>
  <c r="Q158" i="421" a="1"/>
  <c r="Q158" i="421" s="1"/>
  <c r="M158" i="421" a="1"/>
  <c r="M158" i="421" s="1"/>
  <c r="O158" i="421" a="1"/>
  <c r="O158" i="421" s="1"/>
  <c r="G158" i="421" a="1"/>
  <c r="G158" i="421" s="1"/>
  <c r="K158" i="421" a="1"/>
  <c r="K158" i="421" s="1"/>
  <c r="I158" i="421" a="1"/>
  <c r="I158" i="421" s="1"/>
  <c r="N158" i="421" a="1"/>
  <c r="N158" i="421" s="1"/>
  <c r="R158" i="421" l="1"/>
  <c r="O159" i="421" a="1"/>
  <c r="O159" i="421" s="1"/>
  <c r="H159" i="421" a="1"/>
  <c r="H159" i="421" s="1"/>
  <c r="M159" i="421" a="1"/>
  <c r="M159" i="421" s="1"/>
  <c r="I159" i="421" a="1"/>
  <c r="I159" i="421" s="1"/>
  <c r="N159" i="421" a="1"/>
  <c r="N159" i="421" s="1"/>
  <c r="K159" i="421" a="1"/>
  <c r="K159" i="421" s="1"/>
  <c r="G159" i="421" a="1"/>
  <c r="G159" i="421" s="1"/>
  <c r="A159" i="421" a="1"/>
  <c r="A159" i="421" s="1"/>
  <c r="L159" i="421" a="1"/>
  <c r="L159" i="421" s="1"/>
  <c r="C160" i="421"/>
  <c r="Q159" i="421" a="1"/>
  <c r="Q159" i="421" s="1"/>
  <c r="R159" i="421" l="1"/>
  <c r="H160" i="421" a="1"/>
  <c r="H160" i="421" s="1"/>
  <c r="L160" i="421" a="1"/>
  <c r="L160" i="421" s="1"/>
  <c r="G160" i="421" a="1"/>
  <c r="G160" i="421" s="1"/>
  <c r="A160" i="421" a="1"/>
  <c r="A160" i="421" s="1"/>
  <c r="K160" i="421" a="1"/>
  <c r="K160" i="421" s="1"/>
  <c r="O160" i="421" a="1"/>
  <c r="O160" i="421" s="1"/>
  <c r="M160" i="421" a="1"/>
  <c r="M160" i="421" s="1"/>
  <c r="C161" i="421"/>
  <c r="Q160" i="421" a="1"/>
  <c r="Q160" i="421" s="1"/>
  <c r="I160" i="421" a="1"/>
  <c r="I160" i="421" s="1"/>
  <c r="N160" i="421" a="1"/>
  <c r="N160" i="421" s="1"/>
  <c r="R160" i="421" l="1"/>
  <c r="I161" i="421" a="1"/>
  <c r="I161" i="421" s="1"/>
  <c r="L161" i="421" a="1"/>
  <c r="L161" i="421" s="1"/>
  <c r="M161" i="421" a="1"/>
  <c r="M161" i="421" s="1"/>
  <c r="O161" i="421" a="1"/>
  <c r="O161" i="421" s="1"/>
  <c r="C162" i="421"/>
  <c r="Q161" i="421" a="1"/>
  <c r="Q161" i="421" s="1"/>
  <c r="G161" i="421" a="1"/>
  <c r="G161" i="421" s="1"/>
  <c r="A161" i="421" a="1"/>
  <c r="A161" i="421" s="1"/>
  <c r="H161" i="421" a="1"/>
  <c r="H161" i="421" s="1"/>
  <c r="N161" i="421" a="1"/>
  <c r="N161" i="421" s="1"/>
  <c r="K161" i="421" a="1"/>
  <c r="K161" i="421" s="1"/>
  <c r="R161" i="421" l="1"/>
  <c r="O162" i="421" a="1"/>
  <c r="O162" i="421" s="1"/>
  <c r="L162" i="421" a="1"/>
  <c r="L162" i="421" s="1"/>
  <c r="N162" i="421" a="1"/>
  <c r="N162" i="421" s="1"/>
  <c r="Q162" i="421" a="1"/>
  <c r="Q162" i="421" s="1"/>
  <c r="M162" i="421" a="1"/>
  <c r="M162" i="421" s="1"/>
  <c r="A162" i="421" a="1"/>
  <c r="A162" i="421" s="1"/>
  <c r="C163" i="421"/>
  <c r="H162" i="421" a="1"/>
  <c r="H162" i="421" s="1"/>
  <c r="G162" i="421" a="1"/>
  <c r="G162" i="421" s="1"/>
  <c r="I162" i="421" a="1"/>
  <c r="I162" i="421" s="1"/>
  <c r="K162" i="421" a="1"/>
  <c r="K162" i="421" s="1"/>
  <c r="R162" i="421" l="1"/>
  <c r="I163" i="421" a="1"/>
  <c r="I163" i="421" s="1"/>
  <c r="H163" i="421" a="1"/>
  <c r="H163" i="421" s="1"/>
  <c r="O163" i="421" a="1"/>
  <c r="O163" i="421" s="1"/>
  <c r="C164" i="421"/>
  <c r="Q163" i="421" a="1"/>
  <c r="Q163" i="421" s="1"/>
  <c r="A163" i="421" a="1"/>
  <c r="A163" i="421" s="1"/>
  <c r="N163" i="421" a="1"/>
  <c r="N163" i="421" s="1"/>
  <c r="M163" i="421" a="1"/>
  <c r="M163" i="421" s="1"/>
  <c r="L163" i="421" a="1"/>
  <c r="L163" i="421" s="1"/>
  <c r="K163" i="421" a="1"/>
  <c r="K163" i="421" s="1"/>
  <c r="G163" i="421" a="1"/>
  <c r="G163" i="421" s="1"/>
  <c r="R163" i="421" l="1"/>
  <c r="I164" i="421" a="1"/>
  <c r="I164" i="421" s="1"/>
  <c r="M164" i="421" a="1"/>
  <c r="M164" i="421" s="1"/>
  <c r="G164" i="421" a="1"/>
  <c r="G164" i="421" s="1"/>
  <c r="N164" i="421" a="1"/>
  <c r="N164" i="421" s="1"/>
  <c r="A164" i="421" a="1"/>
  <c r="A164" i="421" s="1"/>
  <c r="L164" i="421" a="1"/>
  <c r="L164" i="421" s="1"/>
  <c r="K164" i="421" a="1"/>
  <c r="K164" i="421" s="1"/>
  <c r="C165" i="421"/>
  <c r="O164" i="421" a="1"/>
  <c r="O164" i="421" s="1"/>
  <c r="H164" i="421" a="1"/>
  <c r="H164" i="421" s="1"/>
  <c r="Q164" i="421" a="1"/>
  <c r="Q164" i="421" s="1"/>
  <c r="R164" i="421" l="1"/>
  <c r="A165" i="421" a="1"/>
  <c r="A165" i="421" s="1"/>
  <c r="C166" i="421"/>
  <c r="I165" i="421" a="1"/>
  <c r="I165" i="421" s="1"/>
  <c r="H165" i="421" a="1"/>
  <c r="H165" i="421" s="1"/>
  <c r="N165" i="421" a="1"/>
  <c r="N165" i="421" s="1"/>
  <c r="O165" i="421" a="1"/>
  <c r="O165" i="421" s="1"/>
  <c r="Q165" i="421" a="1"/>
  <c r="Q165" i="421" s="1"/>
  <c r="K165" i="421" a="1"/>
  <c r="K165" i="421" s="1"/>
  <c r="G165" i="421" a="1"/>
  <c r="G165" i="421" s="1"/>
  <c r="L165" i="421" a="1"/>
  <c r="L165" i="421" s="1"/>
  <c r="M165" i="421" a="1"/>
  <c r="M165" i="421" s="1"/>
  <c r="R165" i="421" l="1"/>
  <c r="H166" i="421" a="1"/>
  <c r="H166" i="421" s="1"/>
  <c r="I166" i="421" a="1"/>
  <c r="I166" i="421" s="1"/>
  <c r="C167" i="421"/>
  <c r="O166" i="421" a="1"/>
  <c r="O166" i="421" s="1"/>
  <c r="A166" i="421" a="1"/>
  <c r="A166" i="421" s="1"/>
  <c r="L166" i="421" a="1"/>
  <c r="L166" i="421" s="1"/>
  <c r="N166" i="421" a="1"/>
  <c r="N166" i="421" s="1"/>
  <c r="M166" i="421" a="1"/>
  <c r="M166" i="421" s="1"/>
  <c r="Q166" i="421" a="1"/>
  <c r="Q166" i="421" s="1"/>
  <c r="K166" i="421" a="1"/>
  <c r="K166" i="421" s="1"/>
  <c r="G166" i="421" a="1"/>
  <c r="G166" i="421" s="1"/>
  <c r="R166" i="421" l="1"/>
  <c r="H167" i="421" a="1"/>
  <c r="H167" i="421" s="1"/>
  <c r="Q167" i="421" a="1"/>
  <c r="Q167" i="421" s="1"/>
  <c r="G167" i="421" a="1"/>
  <c r="G167" i="421" s="1"/>
  <c r="O167" i="421" a="1"/>
  <c r="O167" i="421" s="1"/>
  <c r="A167" i="421" a="1"/>
  <c r="A167" i="421" s="1"/>
  <c r="M167" i="421" a="1"/>
  <c r="M167" i="421" s="1"/>
  <c r="K167" i="421" a="1"/>
  <c r="K167" i="421" s="1"/>
  <c r="I167" i="421" a="1"/>
  <c r="I167" i="421" s="1"/>
  <c r="N167" i="421" a="1"/>
  <c r="N167" i="421" s="1"/>
  <c r="C168" i="421"/>
  <c r="L167" i="421" a="1"/>
  <c r="L167" i="421" s="1"/>
  <c r="R167" i="421" l="1"/>
  <c r="A168" i="421" a="1"/>
  <c r="A168" i="421" s="1"/>
  <c r="G168" i="421" a="1"/>
  <c r="G168" i="421" s="1"/>
  <c r="K168" i="421" a="1"/>
  <c r="K168" i="421" s="1"/>
  <c r="O168" i="421" a="1"/>
  <c r="O168" i="421" s="1"/>
  <c r="I168" i="421" a="1"/>
  <c r="I168" i="421" s="1"/>
  <c r="M168" i="421" a="1"/>
  <c r="M168" i="421" s="1"/>
  <c r="N168" i="421" a="1"/>
  <c r="N168" i="421" s="1"/>
  <c r="Q168" i="421" a="1"/>
  <c r="Q168" i="421" s="1"/>
  <c r="L168" i="421" a="1"/>
  <c r="L168" i="421" s="1"/>
  <c r="H168" i="421" a="1"/>
  <c r="H168" i="421" s="1"/>
  <c r="C169" i="421"/>
  <c r="R168" i="421" l="1"/>
  <c r="O169" i="421" a="1"/>
  <c r="O169" i="421" s="1"/>
  <c r="L169" i="421" a="1"/>
  <c r="L169" i="421" s="1"/>
  <c r="M169" i="421" a="1"/>
  <c r="M169" i="421" s="1"/>
  <c r="A169" i="421" a="1"/>
  <c r="A169" i="421" s="1"/>
  <c r="I169" i="421" a="1"/>
  <c r="I169" i="421" s="1"/>
  <c r="C170" i="421"/>
  <c r="N169" i="421" a="1"/>
  <c r="N169" i="421" s="1"/>
  <c r="Q169" i="421" a="1"/>
  <c r="Q169" i="421" s="1"/>
  <c r="G169" i="421" a="1"/>
  <c r="G169" i="421" s="1"/>
  <c r="H169" i="421" a="1"/>
  <c r="H169" i="421" s="1"/>
  <c r="K169" i="421" a="1"/>
  <c r="K169" i="421" s="1"/>
  <c r="R169" i="421" l="1"/>
  <c r="K170" i="421" a="1"/>
  <c r="K170" i="421" s="1"/>
  <c r="Q170" i="421" a="1"/>
  <c r="Q170" i="421" s="1"/>
  <c r="I170" i="421" a="1"/>
  <c r="I170" i="421" s="1"/>
  <c r="O170" i="421" a="1"/>
  <c r="O170" i="421" s="1"/>
  <c r="G170" i="421" a="1"/>
  <c r="G170" i="421" s="1"/>
  <c r="N170" i="421" a="1"/>
  <c r="N170" i="421" s="1"/>
  <c r="H170" i="421" a="1"/>
  <c r="H170" i="421" s="1"/>
  <c r="C171" i="421"/>
  <c r="A170" i="421" a="1"/>
  <c r="A170" i="421" s="1"/>
  <c r="L170" i="421" a="1"/>
  <c r="L170" i="421" s="1"/>
  <c r="M170" i="421" a="1"/>
  <c r="M170" i="421" s="1"/>
  <c r="R170" i="421" l="1"/>
  <c r="G171" i="421" a="1"/>
  <c r="G171" i="421" s="1"/>
  <c r="A171" i="421" a="1"/>
  <c r="A171" i="421" s="1"/>
  <c r="C172" i="421"/>
  <c r="K171" i="421" a="1"/>
  <c r="K171" i="421" s="1"/>
  <c r="N171" i="421" a="1"/>
  <c r="N171" i="421" s="1"/>
  <c r="O171" i="421" a="1"/>
  <c r="O171" i="421" s="1"/>
  <c r="L171" i="421" a="1"/>
  <c r="L171" i="421" s="1"/>
  <c r="H171" i="421" a="1"/>
  <c r="H171" i="421" s="1"/>
  <c r="I171" i="421" a="1"/>
  <c r="I171" i="421" s="1"/>
  <c r="M171" i="421" a="1"/>
  <c r="M171" i="421" s="1"/>
  <c r="Q171" i="421" a="1"/>
  <c r="Q171" i="421" s="1"/>
  <c r="R171" i="421" s="1"/>
  <c r="A172" i="421" l="1" a="1"/>
  <c r="A172" i="421" s="1"/>
  <c r="I172" i="421" a="1"/>
  <c r="I172" i="421" s="1"/>
  <c r="M172" i="421" a="1"/>
  <c r="M172" i="421" s="1"/>
  <c r="O172" i="421" a="1"/>
  <c r="O172" i="421" s="1"/>
  <c r="L172" i="421" a="1"/>
  <c r="L172" i="421" s="1"/>
  <c r="Q172" i="421" a="1"/>
  <c r="Q172" i="421" s="1"/>
  <c r="G172" i="421" a="1"/>
  <c r="G172" i="421" s="1"/>
  <c r="N172" i="421" a="1"/>
  <c r="N172" i="421" s="1"/>
  <c r="H172" i="421" a="1"/>
  <c r="H172" i="421" s="1"/>
  <c r="K172" i="421" a="1"/>
  <c r="K172" i="421" s="1"/>
  <c r="C173" i="421"/>
  <c r="R172" i="421" l="1"/>
  <c r="I173" i="421" a="1"/>
  <c r="I173" i="421" s="1"/>
  <c r="O173" i="421" a="1"/>
  <c r="O173" i="421" s="1"/>
  <c r="H173" i="421" a="1"/>
  <c r="H173" i="421" s="1"/>
  <c r="N173" i="421" a="1"/>
  <c r="N173" i="421" s="1"/>
  <c r="L173" i="421" a="1"/>
  <c r="L173" i="421" s="1"/>
  <c r="M173" i="421" a="1"/>
  <c r="M173" i="421" s="1"/>
  <c r="K173" i="421" a="1"/>
  <c r="K173" i="421" s="1"/>
  <c r="A173" i="421" a="1"/>
  <c r="A173" i="421" s="1"/>
  <c r="C174" i="421"/>
  <c r="Q173" i="421" a="1"/>
  <c r="Q173" i="421" s="1"/>
  <c r="R173" i="421" s="1"/>
  <c r="G173" i="421" a="1"/>
  <c r="G173" i="421" s="1"/>
  <c r="L174" i="421" l="1" a="1"/>
  <c r="L174" i="421" s="1"/>
  <c r="C175" i="421"/>
  <c r="O174" i="421" a="1"/>
  <c r="O174" i="421" s="1"/>
  <c r="A174" i="421" a="1"/>
  <c r="A174" i="421" s="1"/>
  <c r="M174" i="421" a="1"/>
  <c r="M174" i="421" s="1"/>
  <c r="N174" i="421" a="1"/>
  <c r="N174" i="421" s="1"/>
  <c r="Q174" i="421" a="1"/>
  <c r="Q174" i="421" s="1"/>
  <c r="G174" i="421" a="1"/>
  <c r="G174" i="421" s="1"/>
  <c r="H174" i="421" a="1"/>
  <c r="H174" i="421" s="1"/>
  <c r="I174" i="421" a="1"/>
  <c r="I174" i="421" s="1"/>
  <c r="K174" i="421" a="1"/>
  <c r="K174" i="421" s="1"/>
  <c r="R174" i="421" l="1"/>
  <c r="C176" i="421"/>
  <c r="N175" i="421" a="1"/>
  <c r="N175" i="421" s="1"/>
  <c r="K175" i="421" a="1"/>
  <c r="K175" i="421" s="1"/>
  <c r="G175" i="421" a="1"/>
  <c r="G175" i="421" s="1"/>
  <c r="Q175" i="421" a="1"/>
  <c r="Q175" i="421" s="1"/>
  <c r="L175" i="421" a="1"/>
  <c r="L175" i="421" s="1"/>
  <c r="O175" i="421" a="1"/>
  <c r="O175" i="421" s="1"/>
  <c r="A175" i="421" a="1"/>
  <c r="A175" i="421" s="1"/>
  <c r="H175" i="421" a="1"/>
  <c r="H175" i="421" s="1"/>
  <c r="M175" i="421" a="1"/>
  <c r="M175" i="421" s="1"/>
  <c r="I175" i="421" a="1"/>
  <c r="I175" i="421" s="1"/>
  <c r="R175" i="421" l="1"/>
  <c r="I176" i="421" a="1"/>
  <c r="I176" i="421" s="1"/>
  <c r="G176" i="421" a="1"/>
  <c r="G176" i="421" s="1"/>
  <c r="H176" i="421" a="1"/>
  <c r="H176" i="421" s="1"/>
  <c r="C177" i="421"/>
  <c r="K176" i="421" a="1"/>
  <c r="K176" i="421" s="1"/>
  <c r="A176" i="421" a="1"/>
  <c r="A176" i="421" s="1"/>
  <c r="M176" i="421" a="1"/>
  <c r="M176" i="421" s="1"/>
  <c r="L176" i="421" a="1"/>
  <c r="L176" i="421" s="1"/>
  <c r="N176" i="421" a="1"/>
  <c r="N176" i="421" s="1"/>
  <c r="O176" i="421" a="1"/>
  <c r="O176" i="421" s="1"/>
  <c r="Q176" i="421" a="1"/>
  <c r="Q176" i="421" s="1"/>
  <c r="R176" i="421" l="1"/>
  <c r="M177" i="421" a="1"/>
  <c r="M177" i="421" s="1"/>
  <c r="O177" i="421" a="1"/>
  <c r="O177" i="421" s="1"/>
  <c r="H177" i="421" a="1"/>
  <c r="H177" i="421" s="1"/>
  <c r="I177" i="421" a="1"/>
  <c r="I177" i="421" s="1"/>
  <c r="G177" i="421" a="1"/>
  <c r="G177" i="421" s="1"/>
  <c r="A177" i="421" a="1"/>
  <c r="A177" i="421" s="1"/>
  <c r="L177" i="421" a="1"/>
  <c r="L177" i="421" s="1"/>
  <c r="N177" i="421" a="1"/>
  <c r="N177" i="421" s="1"/>
  <c r="C178" i="421"/>
  <c r="Q177" i="421" a="1"/>
  <c r="Q177" i="421" s="1"/>
  <c r="K177" i="421" a="1"/>
  <c r="K177" i="421" s="1"/>
  <c r="R177" i="421" l="1"/>
  <c r="N178" i="421" a="1"/>
  <c r="N178" i="421" s="1"/>
  <c r="L178" i="421" a="1"/>
  <c r="L178" i="421" s="1"/>
  <c r="K178" i="421" a="1"/>
  <c r="K178" i="421" s="1"/>
  <c r="H178" i="421" a="1"/>
  <c r="H178" i="421" s="1"/>
  <c r="I178" i="421" a="1"/>
  <c r="I178" i="421" s="1"/>
  <c r="M178" i="421" a="1"/>
  <c r="M178" i="421" s="1"/>
  <c r="O178" i="421" a="1"/>
  <c r="O178" i="421" s="1"/>
  <c r="Q178" i="421" a="1"/>
  <c r="Q178" i="421" s="1"/>
  <c r="G178" i="421" a="1"/>
  <c r="G178" i="421" s="1"/>
  <c r="A178" i="421" a="1"/>
  <c r="A178" i="421" s="1"/>
  <c r="C179" i="421"/>
  <c r="R178" i="421" l="1"/>
  <c r="L179" i="421" a="1"/>
  <c r="L179" i="421" s="1"/>
  <c r="I179" i="421" a="1"/>
  <c r="I179" i="421" s="1"/>
  <c r="A179" i="421" a="1"/>
  <c r="A179" i="421" s="1"/>
  <c r="N179" i="421" a="1"/>
  <c r="N179" i="421" s="1"/>
  <c r="C180" i="421"/>
  <c r="G179" i="421" a="1"/>
  <c r="G179" i="421" s="1"/>
  <c r="K179" i="421" a="1"/>
  <c r="K179" i="421" s="1"/>
  <c r="Q179" i="421" a="1"/>
  <c r="Q179" i="421" s="1"/>
  <c r="M179" i="421" a="1"/>
  <c r="M179" i="421" s="1"/>
  <c r="H179" i="421" a="1"/>
  <c r="H179" i="421" s="1"/>
  <c r="O179" i="421" a="1"/>
  <c r="O179" i="421" s="1"/>
  <c r="R179" i="421" l="1"/>
  <c r="K180" i="421" a="1"/>
  <c r="K180" i="421" s="1"/>
  <c r="O180" i="421" a="1"/>
  <c r="O180" i="421" s="1"/>
  <c r="N180" i="421" a="1"/>
  <c r="N180" i="421" s="1"/>
  <c r="L180" i="421" a="1"/>
  <c r="L180" i="421" s="1"/>
  <c r="C181" i="421"/>
  <c r="I180" i="421" a="1"/>
  <c r="I180" i="421" s="1"/>
  <c r="Q180" i="421" a="1"/>
  <c r="Q180" i="421" s="1"/>
  <c r="G180" i="421" a="1"/>
  <c r="G180" i="421" s="1"/>
  <c r="H180" i="421" a="1"/>
  <c r="H180" i="421" s="1"/>
  <c r="A180" i="421" a="1"/>
  <c r="A180" i="421" s="1"/>
  <c r="M180" i="421" a="1"/>
  <c r="M180" i="421" s="1"/>
  <c r="R180" i="421" l="1"/>
  <c r="A181" i="421" a="1"/>
  <c r="A181" i="421" s="1"/>
  <c r="C182" i="421"/>
  <c r="N181" i="421" a="1"/>
  <c r="N181" i="421" s="1"/>
  <c r="M181" i="421" a="1"/>
  <c r="M181" i="421" s="1"/>
  <c r="L181" i="421" a="1"/>
  <c r="L181" i="421" s="1"/>
  <c r="O181" i="421" a="1"/>
  <c r="O181" i="421" s="1"/>
  <c r="H181" i="421" a="1"/>
  <c r="H181" i="421" s="1"/>
  <c r="G181" i="421" a="1"/>
  <c r="G181" i="421" s="1"/>
  <c r="Q181" i="421" a="1"/>
  <c r="Q181" i="421" s="1"/>
  <c r="I181" i="421" a="1"/>
  <c r="I181" i="421" s="1"/>
  <c r="K181" i="421" a="1"/>
  <c r="K181" i="421" s="1"/>
  <c r="R181" i="421" l="1"/>
  <c r="A182" i="421" a="1"/>
  <c r="A182" i="421" s="1"/>
  <c r="L182" i="421" a="1"/>
  <c r="L182" i="421" s="1"/>
  <c r="I182" i="421" a="1"/>
  <c r="I182" i="421" s="1"/>
  <c r="O182" i="421" a="1"/>
  <c r="O182" i="421" s="1"/>
  <c r="H182" i="421" a="1"/>
  <c r="H182" i="421" s="1"/>
  <c r="M182" i="421" a="1"/>
  <c r="M182" i="421" s="1"/>
  <c r="G182" i="421" a="1"/>
  <c r="G182" i="421" s="1"/>
  <c r="C183" i="421"/>
  <c r="Q182" i="421" a="1"/>
  <c r="Q182" i="421" s="1"/>
  <c r="N182" i="421" a="1"/>
  <c r="N182" i="421" s="1"/>
  <c r="K182" i="421" a="1"/>
  <c r="K182" i="421" s="1"/>
  <c r="R182" i="421" l="1"/>
  <c r="L183" i="421" a="1"/>
  <c r="L183" i="421" s="1"/>
  <c r="H183" i="421" a="1"/>
  <c r="H183" i="421" s="1"/>
  <c r="O183" i="421" a="1"/>
  <c r="O183" i="421" s="1"/>
  <c r="A183" i="421" a="1"/>
  <c r="A183" i="421" s="1"/>
  <c r="Q183" i="421" a="1"/>
  <c r="Q183" i="421" s="1"/>
  <c r="N183" i="421" a="1"/>
  <c r="N183" i="421" s="1"/>
  <c r="M183" i="421" a="1"/>
  <c r="M183" i="421" s="1"/>
  <c r="K183" i="421" a="1"/>
  <c r="K183" i="421" s="1"/>
  <c r="G183" i="421" a="1"/>
  <c r="G183" i="421" s="1"/>
  <c r="C184" i="421"/>
  <c r="I183" i="421" a="1"/>
  <c r="I183" i="421" s="1"/>
  <c r="R183" i="421" l="1"/>
  <c r="L184" i="421" a="1"/>
  <c r="L184" i="421" s="1"/>
  <c r="N184" i="421" a="1"/>
  <c r="N184" i="421" s="1"/>
  <c r="A184" i="421" a="1"/>
  <c r="A184" i="421" s="1"/>
  <c r="G184" i="421" a="1"/>
  <c r="G184" i="421" s="1"/>
  <c r="C185" i="421"/>
  <c r="O184" i="421" a="1"/>
  <c r="O184" i="421" s="1"/>
  <c r="I184" i="421" a="1"/>
  <c r="I184" i="421" s="1"/>
  <c r="K184" i="421" a="1"/>
  <c r="K184" i="421" s="1"/>
  <c r="M184" i="421" a="1"/>
  <c r="M184" i="421" s="1"/>
  <c r="H184" i="421" a="1"/>
  <c r="H184" i="421" s="1"/>
  <c r="Q184" i="421" a="1"/>
  <c r="Q184" i="421" s="1"/>
  <c r="R184" i="421" l="1"/>
  <c r="L185" i="421" a="1"/>
  <c r="L185" i="421" s="1"/>
  <c r="C186" i="421"/>
  <c r="H185" i="421" a="1"/>
  <c r="H185" i="421" s="1"/>
  <c r="O185" i="421" a="1"/>
  <c r="O185" i="421" s="1"/>
  <c r="Q185" i="421" a="1"/>
  <c r="Q185" i="421" s="1"/>
  <c r="G185" i="421" a="1"/>
  <c r="G185" i="421" s="1"/>
  <c r="A185" i="421" a="1"/>
  <c r="A185" i="421" s="1"/>
  <c r="N185" i="421" a="1"/>
  <c r="N185" i="421" s="1"/>
  <c r="K185" i="421" a="1"/>
  <c r="K185" i="421" s="1"/>
  <c r="I185" i="421" a="1"/>
  <c r="I185" i="421" s="1"/>
  <c r="M185" i="421" a="1"/>
  <c r="M185" i="421" s="1"/>
  <c r="R185" i="421" l="1"/>
  <c r="M186" i="421" a="1"/>
  <c r="M186" i="421" s="1"/>
  <c r="Q186" i="421" a="1"/>
  <c r="Q186" i="421" s="1"/>
  <c r="A186" i="421" a="1"/>
  <c r="A186" i="421" s="1"/>
  <c r="L186" i="421" a="1"/>
  <c r="L186" i="421" s="1"/>
  <c r="G186" i="421" a="1"/>
  <c r="G186" i="421" s="1"/>
  <c r="C187" i="421"/>
  <c r="O186" i="421" a="1"/>
  <c r="O186" i="421" s="1"/>
  <c r="I186" i="421" a="1"/>
  <c r="I186" i="421" s="1"/>
  <c r="H186" i="421" a="1"/>
  <c r="H186" i="421" s="1"/>
  <c r="N186" i="421" a="1"/>
  <c r="N186" i="421" s="1"/>
  <c r="K186" i="421" a="1"/>
  <c r="K186" i="421" s="1"/>
  <c r="R186" i="421" l="1"/>
  <c r="A187" i="421" a="1"/>
  <c r="A187" i="421" s="1"/>
  <c r="I187" i="421" a="1"/>
  <c r="I187" i="421" s="1"/>
  <c r="M187" i="421" a="1"/>
  <c r="M187" i="421" s="1"/>
  <c r="K187" i="421" a="1"/>
  <c r="K187" i="421" s="1"/>
  <c r="G187" i="421" a="1"/>
  <c r="G187" i="421" s="1"/>
  <c r="O187" i="421" a="1"/>
  <c r="O187" i="421" s="1"/>
  <c r="H187" i="421" a="1"/>
  <c r="H187" i="421" s="1"/>
  <c r="N187" i="421" a="1"/>
  <c r="N187" i="421" s="1"/>
  <c r="Q187" i="421" a="1"/>
  <c r="Q187" i="421" s="1"/>
  <c r="C188" i="421"/>
  <c r="L187" i="421" a="1"/>
  <c r="L187" i="421" s="1"/>
  <c r="R187" i="421" l="1"/>
  <c r="C189" i="421"/>
  <c r="G188" i="421" a="1"/>
  <c r="G188" i="421" s="1"/>
  <c r="K188" i="421" a="1"/>
  <c r="K188" i="421" s="1"/>
  <c r="A188" i="421" a="1"/>
  <c r="A188" i="421" s="1"/>
  <c r="L188" i="421" a="1"/>
  <c r="L188" i="421" s="1"/>
  <c r="N188" i="421" a="1"/>
  <c r="N188" i="421" s="1"/>
  <c r="I188" i="421" a="1"/>
  <c r="I188" i="421" s="1"/>
  <c r="M188" i="421" a="1"/>
  <c r="M188" i="421" s="1"/>
  <c r="O188" i="421" a="1"/>
  <c r="O188" i="421" s="1"/>
  <c r="Q188" i="421" a="1"/>
  <c r="Q188" i="421" s="1"/>
  <c r="H188" i="421" a="1"/>
  <c r="H188" i="421" s="1"/>
  <c r="R188" i="421" l="1"/>
  <c r="G189" i="421" a="1"/>
  <c r="G189" i="421" s="1"/>
  <c r="M189" i="421" a="1"/>
  <c r="M189" i="421" s="1"/>
  <c r="H189" i="421" a="1"/>
  <c r="H189" i="421" s="1"/>
  <c r="N189" i="421" a="1"/>
  <c r="N189" i="421" s="1"/>
  <c r="L189" i="421" a="1"/>
  <c r="L189" i="421" s="1"/>
  <c r="I189" i="421" a="1"/>
  <c r="I189" i="421" s="1"/>
  <c r="C190" i="421"/>
  <c r="A189" i="421" a="1"/>
  <c r="A189" i="421" s="1"/>
  <c r="O189" i="421" a="1"/>
  <c r="O189" i="421" s="1"/>
  <c r="Q189" i="421" a="1"/>
  <c r="Q189" i="421" s="1"/>
  <c r="K189" i="421" a="1"/>
  <c r="K189" i="421" s="1"/>
  <c r="R189" i="421" l="1"/>
  <c r="G190" i="421" a="1"/>
  <c r="G190" i="421" s="1"/>
  <c r="C191" i="421"/>
  <c r="M190" i="421" a="1"/>
  <c r="M190" i="421" s="1"/>
  <c r="K190" i="421" a="1"/>
  <c r="K190" i="421" s="1"/>
  <c r="H190" i="421" a="1"/>
  <c r="H190" i="421" s="1"/>
  <c r="L190" i="421" a="1"/>
  <c r="L190" i="421" s="1"/>
  <c r="O190" i="421" a="1"/>
  <c r="O190" i="421" s="1"/>
  <c r="A190" i="421" a="1"/>
  <c r="A190" i="421" s="1"/>
  <c r="Q190" i="421" a="1"/>
  <c r="Q190" i="421" s="1"/>
  <c r="N190" i="421" a="1"/>
  <c r="N190" i="421" s="1"/>
  <c r="I190" i="421" a="1"/>
  <c r="I190" i="421" s="1"/>
  <c r="R190" i="421" l="1"/>
  <c r="H191" i="421" a="1"/>
  <c r="H191" i="421" s="1"/>
  <c r="L191" i="421" a="1"/>
  <c r="L191" i="421" s="1"/>
  <c r="G191" i="421" a="1"/>
  <c r="G191" i="421" s="1"/>
  <c r="N191" i="421" a="1"/>
  <c r="N191" i="421" s="1"/>
  <c r="A191" i="421" a="1"/>
  <c r="A191" i="421" s="1"/>
  <c r="C192" i="421"/>
  <c r="I191" i="421" a="1"/>
  <c r="I191" i="421" s="1"/>
  <c r="K191" i="421" a="1"/>
  <c r="K191" i="421" s="1"/>
  <c r="Q191" i="421" a="1"/>
  <c r="Q191" i="421" s="1"/>
  <c r="O191" i="421" a="1"/>
  <c r="O191" i="421" s="1"/>
  <c r="M191" i="421" a="1"/>
  <c r="M191" i="421" s="1"/>
  <c r="R191" i="421" l="1"/>
  <c r="L192" i="421" a="1"/>
  <c r="L192" i="421" s="1"/>
  <c r="M192" i="421" a="1"/>
  <c r="M192" i="421" s="1"/>
  <c r="O192" i="421" a="1"/>
  <c r="O192" i="421" s="1"/>
  <c r="C193" i="421"/>
  <c r="H192" i="421" a="1"/>
  <c r="H192" i="421" s="1"/>
  <c r="K192" i="421" a="1"/>
  <c r="K192" i="421" s="1"/>
  <c r="I192" i="421" a="1"/>
  <c r="I192" i="421" s="1"/>
  <c r="A192" i="421" a="1"/>
  <c r="A192" i="421" s="1"/>
  <c r="N192" i="421" a="1"/>
  <c r="N192" i="421" s="1"/>
  <c r="Q192" i="421" a="1"/>
  <c r="Q192" i="421" s="1"/>
  <c r="G192" i="421" a="1"/>
  <c r="G192" i="421" s="1"/>
  <c r="R192" i="421" l="1"/>
  <c r="Q193" i="421" a="1"/>
  <c r="Q193" i="421" s="1"/>
  <c r="K193" i="421" a="1"/>
  <c r="K193" i="421" s="1"/>
  <c r="G193" i="421" a="1"/>
  <c r="G193" i="421" s="1"/>
  <c r="A193" i="421" a="1"/>
  <c r="A193" i="421" s="1"/>
  <c r="M193" i="421" a="1"/>
  <c r="M193" i="421" s="1"/>
  <c r="N193" i="421" a="1"/>
  <c r="N193" i="421" s="1"/>
  <c r="I193" i="421" a="1"/>
  <c r="I193" i="421" s="1"/>
  <c r="C194" i="421"/>
  <c r="L193" i="421" a="1"/>
  <c r="L193" i="421" s="1"/>
  <c r="H193" i="421" a="1"/>
  <c r="H193" i="421" s="1"/>
  <c r="O193" i="421" a="1"/>
  <c r="O193" i="421" s="1"/>
  <c r="R193" i="421" l="1"/>
  <c r="I194" i="421" a="1"/>
  <c r="I194" i="421" s="1"/>
  <c r="O194" i="421" a="1"/>
  <c r="O194" i="421" s="1"/>
  <c r="A194" i="421" a="1"/>
  <c r="A194" i="421" s="1"/>
  <c r="L194" i="421" a="1"/>
  <c r="L194" i="421" s="1"/>
  <c r="G194" i="421" a="1"/>
  <c r="G194" i="421" s="1"/>
  <c r="C195" i="421"/>
  <c r="Q194" i="421" a="1"/>
  <c r="Q194" i="421" s="1"/>
  <c r="M194" i="421" a="1"/>
  <c r="M194" i="421" s="1"/>
  <c r="N194" i="421" a="1"/>
  <c r="N194" i="421" s="1"/>
  <c r="H194" i="421" a="1"/>
  <c r="H194" i="421" s="1"/>
  <c r="K194" i="421" a="1"/>
  <c r="K194" i="421" s="1"/>
  <c r="R194" i="421" l="1"/>
  <c r="H195" i="421" a="1"/>
  <c r="H195" i="421" s="1"/>
  <c r="M195" i="421" a="1"/>
  <c r="M195" i="421" s="1"/>
  <c r="O195" i="421" a="1"/>
  <c r="O195" i="421" s="1"/>
  <c r="K195" i="421" a="1"/>
  <c r="K195" i="421" s="1"/>
  <c r="C196" i="421"/>
  <c r="A195" i="421" a="1"/>
  <c r="A195" i="421" s="1"/>
  <c r="L195" i="421" a="1"/>
  <c r="L195" i="421" s="1"/>
  <c r="I195" i="421" a="1"/>
  <c r="I195" i="421" s="1"/>
  <c r="N195" i="421" a="1"/>
  <c r="N195" i="421" s="1"/>
  <c r="Q195" i="421" a="1"/>
  <c r="Q195" i="421" s="1"/>
  <c r="G195" i="421" a="1"/>
  <c r="G195" i="421" s="1"/>
  <c r="R195" i="421" l="1"/>
  <c r="I196" i="421" a="1"/>
  <c r="I196" i="421" s="1"/>
  <c r="C197" i="421"/>
  <c r="H196" i="421" a="1"/>
  <c r="H196" i="421" s="1"/>
  <c r="G196" i="421" a="1"/>
  <c r="G196" i="421" s="1"/>
  <c r="A196" i="421" a="1"/>
  <c r="A196" i="421" s="1"/>
  <c r="L196" i="421" a="1"/>
  <c r="L196" i="421" s="1"/>
  <c r="K196" i="421" a="1"/>
  <c r="K196" i="421" s="1"/>
  <c r="Q196" i="421" a="1"/>
  <c r="Q196" i="421" s="1"/>
  <c r="N196" i="421" a="1"/>
  <c r="N196" i="421" s="1"/>
  <c r="O196" i="421" a="1"/>
  <c r="O196" i="421" s="1"/>
  <c r="M196" i="421" a="1"/>
  <c r="M196" i="421" s="1"/>
  <c r="R196" i="421" l="1"/>
  <c r="I197" i="421" a="1"/>
  <c r="I197" i="421" s="1"/>
  <c r="O197" i="421" a="1"/>
  <c r="O197" i="421" s="1"/>
  <c r="A197" i="421" a="1"/>
  <c r="A197" i="421" s="1"/>
  <c r="H197" i="421" a="1"/>
  <c r="H197" i="421" s="1"/>
  <c r="L197" i="421" a="1"/>
  <c r="L197" i="421" s="1"/>
  <c r="N197" i="421" a="1"/>
  <c r="N197" i="421" s="1"/>
  <c r="Q197" i="421" a="1"/>
  <c r="Q197" i="421" s="1"/>
  <c r="K197" i="421" a="1"/>
  <c r="K197" i="421" s="1"/>
  <c r="M197" i="421" a="1"/>
  <c r="M197" i="421" s="1"/>
  <c r="G197" i="421" a="1"/>
  <c r="G197" i="421" s="1"/>
  <c r="C198" i="421"/>
  <c r="R197" i="421" l="1"/>
  <c r="C199" i="421"/>
  <c r="G198" i="421" a="1"/>
  <c r="G198" i="421" s="1"/>
  <c r="K198" i="421" a="1"/>
  <c r="K198" i="421" s="1"/>
  <c r="I198" i="421" a="1"/>
  <c r="I198" i="421" s="1"/>
  <c r="M198" i="421" a="1"/>
  <c r="M198" i="421" s="1"/>
  <c r="L198" i="421" a="1"/>
  <c r="L198" i="421" s="1"/>
  <c r="A198" i="421" a="1"/>
  <c r="A198" i="421" s="1"/>
  <c r="Q198" i="421" a="1"/>
  <c r="Q198" i="421" s="1"/>
  <c r="N198" i="421" a="1"/>
  <c r="N198" i="421" s="1"/>
  <c r="O198" i="421" a="1"/>
  <c r="O198" i="421" s="1"/>
  <c r="H198" i="421" a="1"/>
  <c r="H198" i="421" s="1"/>
  <c r="R198" i="421" l="1"/>
  <c r="M199" i="421" a="1"/>
  <c r="M199" i="421" s="1"/>
  <c r="G199" i="421" a="1"/>
  <c r="G199" i="421" s="1"/>
  <c r="Q199" i="421" a="1"/>
  <c r="Q199" i="421" s="1"/>
  <c r="I199" i="421" a="1"/>
  <c r="I199" i="421" s="1"/>
  <c r="A199" i="421" a="1"/>
  <c r="A199" i="421" s="1"/>
  <c r="N199" i="421" a="1"/>
  <c r="N199" i="421" s="1"/>
  <c r="H199" i="421" a="1"/>
  <c r="H199" i="421" s="1"/>
  <c r="K199" i="421" a="1"/>
  <c r="K199" i="421" s="1"/>
  <c r="L199" i="421" a="1"/>
  <c r="L199" i="421" s="1"/>
  <c r="C200" i="421"/>
  <c r="O199" i="421" a="1"/>
  <c r="O199" i="421" s="1"/>
  <c r="R199" i="421" l="1"/>
  <c r="O200" i="421" a="1"/>
  <c r="O200" i="421" s="1"/>
  <c r="I200" i="421" a="1"/>
  <c r="I200" i="421" s="1"/>
  <c r="G200" i="421" a="1"/>
  <c r="G200" i="421" s="1"/>
  <c r="Q200" i="421" a="1"/>
  <c r="Q200" i="421" s="1"/>
  <c r="C201" i="421"/>
  <c r="H200" i="421" a="1"/>
  <c r="H200" i="421" s="1"/>
  <c r="L200" i="421" a="1"/>
  <c r="L200" i="421" s="1"/>
  <c r="K200" i="421" a="1"/>
  <c r="K200" i="421" s="1"/>
  <c r="M200" i="421" a="1"/>
  <c r="M200" i="421" s="1"/>
  <c r="A200" i="421" a="1"/>
  <c r="A200" i="421" s="1"/>
  <c r="N200" i="421" a="1"/>
  <c r="N200" i="421" s="1"/>
  <c r="R200" i="421" l="1"/>
  <c r="M201" i="421" a="1"/>
  <c r="M201" i="421" s="1"/>
  <c r="N201" i="421" a="1"/>
  <c r="N201" i="421" s="1"/>
  <c r="O201" i="421" a="1"/>
  <c r="O201" i="421" s="1"/>
  <c r="H201" i="421" a="1"/>
  <c r="H201" i="421" s="1"/>
  <c r="Q201" i="421" a="1"/>
  <c r="Q201" i="421" s="1"/>
  <c r="K201" i="421" a="1"/>
  <c r="K201" i="421" s="1"/>
  <c r="G201" i="421" a="1"/>
  <c r="G201" i="421" s="1"/>
  <c r="I201" i="421" a="1"/>
  <c r="I201" i="421" s="1"/>
  <c r="A201" i="421" a="1"/>
  <c r="A201" i="421" s="1"/>
  <c r="C202" i="421"/>
  <c r="L201" i="421" a="1"/>
  <c r="L201" i="421" s="1"/>
  <c r="R201" i="421" l="1"/>
  <c r="I202" i="421" a="1"/>
  <c r="I202" i="421" s="1"/>
  <c r="O202" i="421" a="1"/>
  <c r="O202" i="421" s="1"/>
  <c r="C203" i="421"/>
  <c r="M202" i="421" a="1"/>
  <c r="M202" i="421" s="1"/>
  <c r="N202" i="421" a="1"/>
  <c r="N202" i="421" s="1"/>
  <c r="A202" i="421" a="1"/>
  <c r="A202" i="421" s="1"/>
  <c r="H202" i="421" a="1"/>
  <c r="H202" i="421" s="1"/>
  <c r="K202" i="421" a="1"/>
  <c r="K202" i="421" s="1"/>
  <c r="G202" i="421" a="1"/>
  <c r="G202" i="421" s="1"/>
  <c r="L202" i="421" a="1"/>
  <c r="L202" i="421" s="1"/>
  <c r="Q202" i="421" a="1"/>
  <c r="Q202" i="421" s="1"/>
  <c r="R202" i="421" l="1"/>
  <c r="L203" i="421" a="1"/>
  <c r="L203" i="421" s="1"/>
  <c r="K203" i="421" a="1"/>
  <c r="K203" i="421" s="1"/>
  <c r="O203" i="421" a="1"/>
  <c r="O203" i="421" s="1"/>
  <c r="Q203" i="421" a="1"/>
  <c r="Q203" i="421" s="1"/>
  <c r="G203" i="421" a="1"/>
  <c r="G203" i="421" s="1"/>
  <c r="C204" i="421"/>
  <c r="N203" i="421" a="1"/>
  <c r="N203" i="421" s="1"/>
  <c r="M203" i="421" a="1"/>
  <c r="M203" i="421" s="1"/>
  <c r="A203" i="421" a="1"/>
  <c r="A203" i="421" s="1"/>
  <c r="H203" i="421" a="1"/>
  <c r="H203" i="421" s="1"/>
  <c r="I203" i="421" a="1"/>
  <c r="I203" i="421" s="1"/>
  <c r="R203" i="421" l="1"/>
  <c r="I204" i="421" a="1"/>
  <c r="I204" i="421" s="1"/>
  <c r="L204" i="421" a="1"/>
  <c r="L204" i="421" s="1"/>
  <c r="K204" i="421" a="1"/>
  <c r="K204" i="421" s="1"/>
  <c r="C205" i="421"/>
  <c r="O204" i="421" a="1"/>
  <c r="O204" i="421" s="1"/>
  <c r="N204" i="421" a="1"/>
  <c r="N204" i="421" s="1"/>
  <c r="M204" i="421" a="1"/>
  <c r="M204" i="421" s="1"/>
  <c r="A204" i="421" a="1"/>
  <c r="A204" i="421" s="1"/>
  <c r="Q204" i="421" a="1"/>
  <c r="Q204" i="421" s="1"/>
  <c r="G204" i="421" a="1"/>
  <c r="G204" i="421" s="1"/>
  <c r="H204" i="421" a="1"/>
  <c r="H204" i="421" s="1"/>
  <c r="R204" i="421" l="1"/>
  <c r="G205" i="421" a="1"/>
  <c r="G205" i="421" s="1"/>
  <c r="I205" i="421" a="1"/>
  <c r="I205" i="421" s="1"/>
  <c r="M205" i="421" a="1"/>
  <c r="M205" i="421" s="1"/>
  <c r="L205" i="421" a="1"/>
  <c r="L205" i="421" s="1"/>
  <c r="H205" i="421" a="1"/>
  <c r="H205" i="421" s="1"/>
  <c r="O205" i="421" a="1"/>
  <c r="O205" i="421" s="1"/>
  <c r="A205" i="421" a="1"/>
  <c r="A205" i="421" s="1"/>
  <c r="N205" i="421" a="1"/>
  <c r="N205" i="421" s="1"/>
  <c r="C206" i="421"/>
  <c r="K205" i="421" a="1"/>
  <c r="K205" i="421" s="1"/>
  <c r="Q205" i="421" a="1"/>
  <c r="Q205" i="421" s="1"/>
  <c r="R205" i="421" l="1"/>
  <c r="M206" i="421" a="1"/>
  <c r="M206" i="421" s="1"/>
  <c r="H206" i="421" a="1"/>
  <c r="H206" i="421" s="1"/>
  <c r="A206" i="421" a="1"/>
  <c r="A206" i="421" s="1"/>
  <c r="L206" i="421" a="1"/>
  <c r="L206" i="421" s="1"/>
  <c r="N206" i="421" a="1"/>
  <c r="N206" i="421" s="1"/>
  <c r="C207" i="421"/>
  <c r="K206" i="421" a="1"/>
  <c r="K206" i="421" s="1"/>
  <c r="O206" i="421" a="1"/>
  <c r="O206" i="421" s="1"/>
  <c r="G206" i="421" a="1"/>
  <c r="G206" i="421" s="1"/>
  <c r="I206" i="421" a="1"/>
  <c r="I206" i="421" s="1"/>
  <c r="Q206" i="421" a="1"/>
  <c r="Q206" i="421" s="1"/>
  <c r="R206" i="421" l="1"/>
  <c r="L207" i="421" a="1"/>
  <c r="L207" i="421" s="1"/>
  <c r="I207" i="421" a="1"/>
  <c r="I207" i="421" s="1"/>
  <c r="N207" i="421" a="1"/>
  <c r="N207" i="421" s="1"/>
  <c r="C208" i="421"/>
  <c r="A207" i="421" a="1"/>
  <c r="A207" i="421" s="1"/>
  <c r="G207" i="421" a="1"/>
  <c r="G207" i="421" s="1"/>
  <c r="M207" i="421" a="1"/>
  <c r="M207" i="421" s="1"/>
  <c r="O207" i="421" a="1"/>
  <c r="O207" i="421" s="1"/>
  <c r="H207" i="421" a="1"/>
  <c r="H207" i="421" s="1"/>
  <c r="Q207" i="421" a="1"/>
  <c r="Q207" i="421" s="1"/>
  <c r="K207" i="421" a="1"/>
  <c r="K207" i="421" s="1"/>
  <c r="R207" i="421" l="1"/>
  <c r="N208" i="421" a="1"/>
  <c r="N208" i="421" s="1"/>
  <c r="A208" i="421" a="1"/>
  <c r="A208" i="421" s="1"/>
  <c r="K208" i="421" a="1"/>
  <c r="K208" i="421" s="1"/>
  <c r="I208" i="421" a="1"/>
  <c r="I208" i="421" s="1"/>
  <c r="L208" i="421" a="1"/>
  <c r="L208" i="421" s="1"/>
  <c r="H208" i="421" a="1"/>
  <c r="H208" i="421" s="1"/>
  <c r="O208" i="421" a="1"/>
  <c r="O208" i="421" s="1"/>
  <c r="M208" i="421" a="1"/>
  <c r="M208" i="421" s="1"/>
  <c r="Q208" i="421" a="1"/>
  <c r="Q208" i="421" s="1"/>
  <c r="R208" i="421" s="1"/>
  <c r="C209" i="421"/>
  <c r="G208" i="421" a="1"/>
  <c r="G208" i="421" s="1"/>
  <c r="K209" i="421" l="1" a="1"/>
  <c r="K209" i="421" s="1"/>
  <c r="Q209" i="421" a="1"/>
  <c r="Q209" i="421" s="1"/>
  <c r="O209" i="421" a="1"/>
  <c r="O209" i="421" s="1"/>
  <c r="M209" i="421" a="1"/>
  <c r="M209" i="421" s="1"/>
  <c r="I209" i="421" a="1"/>
  <c r="I209" i="421" s="1"/>
  <c r="A209" i="421" a="1"/>
  <c r="A209" i="421" s="1"/>
  <c r="L209" i="421" a="1"/>
  <c r="L209" i="421" s="1"/>
  <c r="H209" i="421" a="1"/>
  <c r="H209" i="421" s="1"/>
  <c r="G209" i="421" a="1"/>
  <c r="G209" i="421" s="1"/>
  <c r="C210" i="421"/>
  <c r="N209" i="421" a="1"/>
  <c r="N209" i="421" s="1"/>
  <c r="R209" i="421" l="1"/>
  <c r="C211" i="421"/>
  <c r="O210" i="421" a="1"/>
  <c r="O210" i="421" s="1"/>
  <c r="L210" i="421" a="1"/>
  <c r="L210" i="421" s="1"/>
  <c r="H210" i="421" a="1"/>
  <c r="H210" i="421" s="1"/>
  <c r="M210" i="421" a="1"/>
  <c r="M210" i="421" s="1"/>
  <c r="Q210" i="421" a="1"/>
  <c r="Q210" i="421" s="1"/>
  <c r="K210" i="421" a="1"/>
  <c r="K210" i="421" s="1"/>
  <c r="I210" i="421" a="1"/>
  <c r="I210" i="421" s="1"/>
  <c r="N210" i="421" a="1"/>
  <c r="N210" i="421" s="1"/>
  <c r="A210" i="421" a="1"/>
  <c r="A210" i="421" s="1"/>
  <c r="G210" i="421" a="1"/>
  <c r="G210" i="421" s="1"/>
  <c r="R210" i="421" l="1"/>
  <c r="O211" i="421" a="1"/>
  <c r="O211" i="421" s="1"/>
  <c r="N211" i="421" a="1"/>
  <c r="N211" i="421" s="1"/>
  <c r="K211" i="421" a="1"/>
  <c r="K211" i="421" s="1"/>
  <c r="G211" i="421" a="1"/>
  <c r="G211" i="421" s="1"/>
  <c r="I211" i="421" a="1"/>
  <c r="I211" i="421" s="1"/>
  <c r="C212" i="421"/>
  <c r="L211" i="421" a="1"/>
  <c r="L211" i="421" s="1"/>
  <c r="Q211" i="421" a="1"/>
  <c r="Q211" i="421" s="1"/>
  <c r="A211" i="421" a="1"/>
  <c r="A211" i="421" s="1"/>
  <c r="M211" i="421" a="1"/>
  <c r="M211" i="421" s="1"/>
  <c r="H211" i="421" a="1"/>
  <c r="H211" i="421" s="1"/>
  <c r="R211" i="421" l="1"/>
  <c r="O212" i="421" a="1"/>
  <c r="O212" i="421" s="1"/>
  <c r="A212" i="421" a="1"/>
  <c r="A212" i="421" s="1"/>
  <c r="C213" i="421"/>
  <c r="I212" i="421" a="1"/>
  <c r="I212" i="421" s="1"/>
  <c r="G212" i="421" a="1"/>
  <c r="G212" i="421" s="1"/>
  <c r="H212" i="421" a="1"/>
  <c r="H212" i="421" s="1"/>
  <c r="Q212" i="421" a="1"/>
  <c r="Q212" i="421" s="1"/>
  <c r="K212" i="421" a="1"/>
  <c r="K212" i="421" s="1"/>
  <c r="M212" i="421" a="1"/>
  <c r="M212" i="421" s="1"/>
  <c r="L212" i="421" a="1"/>
  <c r="L212" i="421" s="1"/>
  <c r="N212" i="421" a="1"/>
  <c r="N212" i="421" s="1"/>
  <c r="R212" i="421" l="1"/>
  <c r="H213" i="421" a="1"/>
  <c r="H213" i="421" s="1"/>
  <c r="L213" i="421" a="1"/>
  <c r="L213" i="421" s="1"/>
  <c r="K213" i="421" a="1"/>
  <c r="K213" i="421" s="1"/>
  <c r="C214" i="421"/>
  <c r="A213" i="421" a="1"/>
  <c r="A213" i="421" s="1"/>
  <c r="N213" i="421" a="1"/>
  <c r="N213" i="421" s="1"/>
  <c r="O213" i="421" a="1"/>
  <c r="O213" i="421" s="1"/>
  <c r="G213" i="421" a="1"/>
  <c r="G213" i="421" s="1"/>
  <c r="M213" i="421" a="1"/>
  <c r="M213" i="421" s="1"/>
  <c r="I213" i="421" a="1"/>
  <c r="I213" i="421" s="1"/>
  <c r="Q213" i="421" a="1"/>
  <c r="Q213" i="421" s="1"/>
  <c r="R213" i="421" l="1"/>
  <c r="A214" i="421" a="1"/>
  <c r="A214" i="421" s="1"/>
  <c r="G214" i="421" a="1"/>
  <c r="G214" i="421" s="1"/>
  <c r="H214" i="421" a="1"/>
  <c r="H214" i="421" s="1"/>
  <c r="K214" i="421" a="1"/>
  <c r="K214" i="421" s="1"/>
  <c r="I214" i="421" a="1"/>
  <c r="I214" i="421" s="1"/>
  <c r="C215" i="421"/>
  <c r="N214" i="421" a="1"/>
  <c r="N214" i="421" s="1"/>
  <c r="M214" i="421" a="1"/>
  <c r="M214" i="421" s="1"/>
  <c r="L214" i="421" a="1"/>
  <c r="L214" i="421" s="1"/>
  <c r="O214" i="421" a="1"/>
  <c r="O214" i="421" s="1"/>
  <c r="Q214" i="421" a="1"/>
  <c r="Q214" i="421" s="1"/>
  <c r="R214" i="421" l="1"/>
  <c r="G215" i="421" a="1"/>
  <c r="G215" i="421" s="1"/>
  <c r="L215" i="421" a="1"/>
  <c r="L215" i="421" s="1"/>
  <c r="C216" i="421"/>
  <c r="N215" i="421" a="1"/>
  <c r="N215" i="421" s="1"/>
  <c r="H215" i="421" a="1"/>
  <c r="H215" i="421" s="1"/>
  <c r="O215" i="421" a="1"/>
  <c r="O215" i="421" s="1"/>
  <c r="A215" i="421" a="1"/>
  <c r="A215" i="421" s="1"/>
  <c r="M215" i="421" a="1"/>
  <c r="M215" i="421" s="1"/>
  <c r="I215" i="421" a="1"/>
  <c r="I215" i="421" s="1"/>
  <c r="K215" i="421" a="1"/>
  <c r="K215" i="421" s="1"/>
  <c r="Q215" i="421" a="1"/>
  <c r="Q215" i="421" s="1"/>
  <c r="R215" i="421" l="1"/>
  <c r="Q216" i="421" a="1"/>
  <c r="Q216" i="421" s="1"/>
  <c r="G216" i="421" a="1"/>
  <c r="G216" i="421" s="1"/>
  <c r="A216" i="421" a="1"/>
  <c r="A216" i="421" s="1"/>
  <c r="K216" i="421" a="1"/>
  <c r="K216" i="421" s="1"/>
  <c r="M216" i="421" a="1"/>
  <c r="M216" i="421" s="1"/>
  <c r="L216" i="421" a="1"/>
  <c r="L216" i="421" s="1"/>
  <c r="I216" i="421" a="1"/>
  <c r="I216" i="421" s="1"/>
  <c r="C217" i="421"/>
  <c r="O216" i="421" a="1"/>
  <c r="O216" i="421" s="1"/>
  <c r="H216" i="421" a="1"/>
  <c r="H216" i="421" s="1"/>
  <c r="N216" i="421" a="1"/>
  <c r="N216" i="421" s="1"/>
  <c r="R216" i="421" l="1"/>
  <c r="L217" i="421" a="1"/>
  <c r="L217" i="421" s="1"/>
  <c r="O217" i="421" a="1"/>
  <c r="O217" i="421" s="1"/>
  <c r="C218" i="421"/>
  <c r="H217" i="421" a="1"/>
  <c r="H217" i="421" s="1"/>
  <c r="A217" i="421" a="1"/>
  <c r="A217" i="421" s="1"/>
  <c r="N217" i="421" a="1"/>
  <c r="N217" i="421" s="1"/>
  <c r="M217" i="421" a="1"/>
  <c r="M217" i="421" s="1"/>
  <c r="I217" i="421" a="1"/>
  <c r="I217" i="421" s="1"/>
  <c r="K217" i="421" a="1"/>
  <c r="K217" i="421" s="1"/>
  <c r="G217" i="421" a="1"/>
  <c r="G217" i="421" s="1"/>
  <c r="Q217" i="421" a="1"/>
  <c r="Q217" i="421" s="1"/>
  <c r="R217" i="421" l="1"/>
  <c r="N218" i="421" a="1"/>
  <c r="N218" i="421" s="1"/>
  <c r="O218" i="421" a="1"/>
  <c r="O218" i="421" s="1"/>
  <c r="C219" i="421"/>
  <c r="H218" i="421" a="1"/>
  <c r="H218" i="421" s="1"/>
  <c r="K218" i="421" a="1"/>
  <c r="K218" i="421" s="1"/>
  <c r="A218" i="421" a="1"/>
  <c r="A218" i="421" s="1"/>
  <c r="G218" i="421" a="1"/>
  <c r="G218" i="421" s="1"/>
  <c r="M218" i="421" a="1"/>
  <c r="M218" i="421" s="1"/>
  <c r="L218" i="421" a="1"/>
  <c r="L218" i="421" s="1"/>
  <c r="I218" i="421" a="1"/>
  <c r="I218" i="421" s="1"/>
  <c r="Q218" i="421" a="1"/>
  <c r="Q218" i="421" s="1"/>
  <c r="R218" i="421" l="1"/>
  <c r="Q219" i="421" a="1"/>
  <c r="Q219" i="421" s="1"/>
  <c r="K219" i="421" a="1"/>
  <c r="K219" i="421" s="1"/>
  <c r="L219" i="421" a="1"/>
  <c r="L219" i="421" s="1"/>
  <c r="M219" i="421" a="1"/>
  <c r="M219" i="421" s="1"/>
  <c r="A219" i="421" a="1"/>
  <c r="A219" i="421" s="1"/>
  <c r="C220" i="421"/>
  <c r="O219" i="421" a="1"/>
  <c r="O219" i="421" s="1"/>
  <c r="N219" i="421" a="1"/>
  <c r="N219" i="421" s="1"/>
  <c r="I219" i="421" a="1"/>
  <c r="I219" i="421" s="1"/>
  <c r="G219" i="421" a="1"/>
  <c r="G219" i="421" s="1"/>
  <c r="H219" i="421" a="1"/>
  <c r="H219" i="421" s="1"/>
  <c r="R219" i="421" l="1"/>
  <c r="H220" i="421" a="1"/>
  <c r="H220" i="421" s="1"/>
  <c r="O220" i="421" a="1"/>
  <c r="O220" i="421" s="1"/>
  <c r="G220" i="421" a="1"/>
  <c r="G220" i="421" s="1"/>
  <c r="C221" i="421"/>
  <c r="I220" i="421" a="1"/>
  <c r="I220" i="421" s="1"/>
  <c r="M220" i="421" a="1"/>
  <c r="M220" i="421" s="1"/>
  <c r="K220" i="421" a="1"/>
  <c r="K220" i="421" s="1"/>
  <c r="L220" i="421" a="1"/>
  <c r="L220" i="421" s="1"/>
  <c r="N220" i="421" a="1"/>
  <c r="N220" i="421" s="1"/>
  <c r="A220" i="421" a="1"/>
  <c r="A220" i="421" s="1"/>
  <c r="Q220" i="421" a="1"/>
  <c r="Q220" i="421" s="1"/>
  <c r="R220" i="421" s="1"/>
  <c r="M221" i="421" l="1" a="1"/>
  <c r="M221" i="421" s="1"/>
  <c r="C222" i="421"/>
  <c r="G221" i="421" a="1"/>
  <c r="G221" i="421" s="1"/>
  <c r="Q221" i="421" a="1"/>
  <c r="Q221" i="421" s="1"/>
  <c r="O221" i="421" a="1"/>
  <c r="O221" i="421" s="1"/>
  <c r="L221" i="421" a="1"/>
  <c r="L221" i="421" s="1"/>
  <c r="I221" i="421" a="1"/>
  <c r="I221" i="421" s="1"/>
  <c r="H221" i="421" a="1"/>
  <c r="H221" i="421" s="1"/>
  <c r="K221" i="421" a="1"/>
  <c r="K221" i="421" s="1"/>
  <c r="A221" i="421" a="1"/>
  <c r="A221" i="421" s="1"/>
  <c r="N221" i="421" a="1"/>
  <c r="N221" i="421" s="1"/>
  <c r="R221" i="421" l="1"/>
  <c r="H222" i="421" a="1"/>
  <c r="H222" i="421" s="1"/>
  <c r="K222" i="421" a="1"/>
  <c r="K222" i="421" s="1"/>
  <c r="N222" i="421" a="1"/>
  <c r="N222" i="421" s="1"/>
  <c r="C223" i="421"/>
  <c r="G222" i="421" a="1"/>
  <c r="G222" i="421" s="1"/>
  <c r="O222" i="421" a="1"/>
  <c r="O222" i="421" s="1"/>
  <c r="I222" i="421" a="1"/>
  <c r="I222" i="421" s="1"/>
  <c r="L222" i="421" a="1"/>
  <c r="L222" i="421" s="1"/>
  <c r="Q222" i="421" a="1"/>
  <c r="Q222" i="421" s="1"/>
  <c r="A222" i="421" a="1"/>
  <c r="A222" i="421" s="1"/>
  <c r="M222" i="421" a="1"/>
  <c r="M222" i="421" s="1"/>
  <c r="R222" i="421" l="1"/>
  <c r="H223" i="421" a="1"/>
  <c r="H223" i="421" s="1"/>
  <c r="A223" i="421" a="1"/>
  <c r="A223" i="421" s="1"/>
  <c r="K223" i="421" a="1"/>
  <c r="K223" i="421" s="1"/>
  <c r="C224" i="421"/>
  <c r="O223" i="421" a="1"/>
  <c r="O223" i="421" s="1"/>
  <c r="N223" i="421" a="1"/>
  <c r="N223" i="421" s="1"/>
  <c r="Q223" i="421" a="1"/>
  <c r="Q223" i="421" s="1"/>
  <c r="M223" i="421" a="1"/>
  <c r="M223" i="421" s="1"/>
  <c r="G223" i="421" a="1"/>
  <c r="G223" i="421" s="1"/>
  <c r="I223" i="421" a="1"/>
  <c r="I223" i="421" s="1"/>
  <c r="L223" i="421" a="1"/>
  <c r="L223" i="421" s="1"/>
  <c r="R223" i="421" l="1"/>
  <c r="A224" i="421" a="1"/>
  <c r="A224" i="421" s="1"/>
  <c r="O224" i="421" a="1"/>
  <c r="O224" i="421" s="1"/>
  <c r="I224" i="421" a="1"/>
  <c r="I224" i="421" s="1"/>
  <c r="C225" i="421"/>
  <c r="N224" i="421" a="1"/>
  <c r="N224" i="421" s="1"/>
  <c r="L224" i="421" a="1"/>
  <c r="L224" i="421" s="1"/>
  <c r="K224" i="421" a="1"/>
  <c r="K224" i="421" s="1"/>
  <c r="G224" i="421" a="1"/>
  <c r="G224" i="421" s="1"/>
  <c r="Q224" i="421" a="1"/>
  <c r="Q224" i="421" s="1"/>
  <c r="M224" i="421" a="1"/>
  <c r="M224" i="421" s="1"/>
  <c r="H224" i="421" a="1"/>
  <c r="H224" i="421" s="1"/>
  <c r="R224" i="421" l="1"/>
  <c r="C226" i="421"/>
  <c r="I225" i="421" a="1"/>
  <c r="I225" i="421" s="1"/>
  <c r="O225" i="421" a="1"/>
  <c r="O225" i="421" s="1"/>
  <c r="M225" i="421" a="1"/>
  <c r="M225" i="421" s="1"/>
  <c r="Q225" i="421" a="1"/>
  <c r="Q225" i="421" s="1"/>
  <c r="K225" i="421" a="1"/>
  <c r="K225" i="421" s="1"/>
  <c r="G225" i="421" a="1"/>
  <c r="G225" i="421" s="1"/>
  <c r="L225" i="421" a="1"/>
  <c r="L225" i="421" s="1"/>
  <c r="A225" i="421" a="1"/>
  <c r="A225" i="421" s="1"/>
  <c r="H225" i="421" a="1"/>
  <c r="H225" i="421" s="1"/>
  <c r="N225" i="421" a="1"/>
  <c r="N225" i="421" s="1"/>
  <c r="R225" i="421" l="1"/>
  <c r="Q226" i="421" a="1"/>
  <c r="Q226" i="421" s="1"/>
  <c r="O226" i="421" a="1"/>
  <c r="O226" i="421" s="1"/>
  <c r="M226" i="421" a="1"/>
  <c r="M226" i="421" s="1"/>
  <c r="N226" i="421" a="1"/>
  <c r="N226" i="421" s="1"/>
  <c r="H226" i="421" a="1"/>
  <c r="H226" i="421" s="1"/>
  <c r="I226" i="421" a="1"/>
  <c r="I226" i="421" s="1"/>
  <c r="C227" i="421"/>
  <c r="L226" i="421" a="1"/>
  <c r="L226" i="421" s="1"/>
  <c r="K226" i="421" a="1"/>
  <c r="K226" i="421" s="1"/>
  <c r="A226" i="421" a="1"/>
  <c r="A226" i="421" s="1"/>
  <c r="G226" i="421" a="1"/>
  <c r="G226" i="421" s="1"/>
  <c r="R226" i="421" l="1"/>
  <c r="A227" i="421" a="1"/>
  <c r="A227" i="421" s="1"/>
  <c r="N227" i="421" a="1"/>
  <c r="N227" i="421" s="1"/>
  <c r="G227" i="421" a="1"/>
  <c r="G227" i="421" s="1"/>
  <c r="M227" i="421" a="1"/>
  <c r="M227" i="421" s="1"/>
  <c r="Q227" i="421" a="1"/>
  <c r="Q227" i="421" s="1"/>
  <c r="K227" i="421" a="1"/>
  <c r="K227" i="421" s="1"/>
  <c r="H227" i="421" a="1"/>
  <c r="H227" i="421" s="1"/>
  <c r="L227" i="421" a="1"/>
  <c r="L227" i="421" s="1"/>
  <c r="I227" i="421" a="1"/>
  <c r="I227" i="421" s="1"/>
  <c r="O227" i="421" a="1"/>
  <c r="O227" i="421" s="1"/>
  <c r="C228" i="421"/>
  <c r="R227" i="421" l="1"/>
  <c r="H228" i="421" a="1"/>
  <c r="H228" i="421" s="1"/>
  <c r="A228" i="421" a="1"/>
  <c r="A228" i="421" s="1"/>
  <c r="C229" i="421"/>
  <c r="I228" i="421" a="1"/>
  <c r="I228" i="421" s="1"/>
  <c r="Q228" i="421" a="1"/>
  <c r="Q228" i="421" s="1"/>
  <c r="N228" i="421" a="1"/>
  <c r="N228" i="421" s="1"/>
  <c r="O228" i="421" a="1"/>
  <c r="O228" i="421" s="1"/>
  <c r="L228" i="421" a="1"/>
  <c r="L228" i="421" s="1"/>
  <c r="M228" i="421" a="1"/>
  <c r="M228" i="421" s="1"/>
  <c r="G228" i="421" a="1"/>
  <c r="G228" i="421" s="1"/>
  <c r="K228" i="421" a="1"/>
  <c r="K228" i="421" s="1"/>
  <c r="R228" i="421" l="1"/>
  <c r="K229" i="421" a="1"/>
  <c r="K229" i="421" s="1"/>
  <c r="C230" i="421"/>
  <c r="G229" i="421" a="1"/>
  <c r="G229" i="421" s="1"/>
  <c r="A229" i="421" a="1"/>
  <c r="A229" i="421" s="1"/>
  <c r="H229" i="421" a="1"/>
  <c r="H229" i="421" s="1"/>
  <c r="N229" i="421" a="1"/>
  <c r="N229" i="421" s="1"/>
  <c r="L229" i="421" a="1"/>
  <c r="L229" i="421" s="1"/>
  <c r="M229" i="421" a="1"/>
  <c r="M229" i="421" s="1"/>
  <c r="O229" i="421" a="1"/>
  <c r="O229" i="421" s="1"/>
  <c r="I229" i="421" a="1"/>
  <c r="I229" i="421" s="1"/>
  <c r="Q229" i="421" a="1"/>
  <c r="Q229" i="421" s="1"/>
  <c r="R229" i="421" l="1"/>
  <c r="H230" i="421" a="1"/>
  <c r="H230" i="421" s="1"/>
  <c r="A230" i="421" a="1"/>
  <c r="A230" i="421" s="1"/>
  <c r="C231" i="421"/>
  <c r="M230" i="421" a="1"/>
  <c r="M230" i="421" s="1"/>
  <c r="Q230" i="421" a="1"/>
  <c r="Q230" i="421" s="1"/>
  <c r="N230" i="421" a="1"/>
  <c r="N230" i="421" s="1"/>
  <c r="L230" i="421" a="1"/>
  <c r="L230" i="421" s="1"/>
  <c r="I230" i="421" a="1"/>
  <c r="I230" i="421" s="1"/>
  <c r="K230" i="421" a="1"/>
  <c r="K230" i="421" s="1"/>
  <c r="G230" i="421" a="1"/>
  <c r="G230" i="421" s="1"/>
  <c r="O230" i="421" a="1"/>
  <c r="O230" i="421" s="1"/>
  <c r="R230" i="421" l="1"/>
  <c r="I231" i="421" a="1"/>
  <c r="I231" i="421" s="1"/>
  <c r="H231" i="421" a="1"/>
  <c r="H231" i="421" s="1"/>
  <c r="M231" i="421" a="1"/>
  <c r="M231" i="421" s="1"/>
  <c r="Q231" i="421" a="1"/>
  <c r="Q231" i="421" s="1"/>
  <c r="G231" i="421" a="1"/>
  <c r="G231" i="421" s="1"/>
  <c r="A231" i="421" a="1"/>
  <c r="A231" i="421" s="1"/>
  <c r="N231" i="421" a="1"/>
  <c r="N231" i="421" s="1"/>
  <c r="L231" i="421" a="1"/>
  <c r="L231" i="421" s="1"/>
  <c r="K231" i="421" a="1"/>
  <c r="K231" i="421" s="1"/>
  <c r="O231" i="421" a="1"/>
  <c r="O231" i="421" s="1"/>
  <c r="R231" i="42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Mhelz</author>
  </authors>
  <commentList>
    <comment ref="B2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Mhelz: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18"/>
            <rFont val="Times New Roman"/>
            <family val="1"/>
          </rPr>
          <t>Type Account Code</t>
        </r>
      </text>
    </comment>
    <comment ref="E3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Mhelz: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18"/>
            <rFont val="Times New Roman"/>
            <family val="1"/>
          </rPr>
          <t>Type Sort Code</t>
        </r>
        <r>
          <rPr>
            <sz val="12"/>
            <color indexed="81"/>
            <rFont val="Times New Roman"/>
            <family val="1"/>
          </rPr>
          <t xml:space="preserve">
1 - Regional Office
2 - Ilocos Norte IMO
3 - Ilocos Sur IMO
4 - La Union IMO
5 - Pangasinan IMO
Blank - Regional Consolidated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Mhelz</author>
  </authors>
  <commentList>
    <comment ref="B2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Mhelz: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imes New Roman"/>
            <family val="1"/>
          </rPr>
          <t>Type Account Code</t>
        </r>
      </text>
    </comment>
    <comment ref="E3" authorId="0" shapeId="0" xr:uid="{00000000-0006-0000-1900-000002000000}">
      <text>
        <r>
          <rPr>
            <b/>
            <sz val="9"/>
            <color indexed="81"/>
            <rFont val="Tahoma"/>
            <family val="2"/>
          </rPr>
          <t>Mhelz: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18"/>
            <rFont val="Times New Roman"/>
            <family val="1"/>
          </rPr>
          <t>Type Sort/Ofc Code</t>
        </r>
        <r>
          <rPr>
            <sz val="12"/>
            <color indexed="81"/>
            <rFont val="Times New Roman"/>
            <family val="1"/>
          </rPr>
          <t xml:space="preserve">
1 - Regional Office
2 - BANE IMO
3 - PAMBAT IMO
4 - TARZAM IMO
Blank - Regional Consolidated</t>
        </r>
      </text>
    </comment>
  </commentList>
</comments>
</file>

<file path=xl/sharedStrings.xml><?xml version="1.0" encoding="utf-8"?>
<sst xmlns="http://schemas.openxmlformats.org/spreadsheetml/2006/main" count="26448" uniqueCount="2170">
  <si>
    <t>Date</t>
  </si>
  <si>
    <t>Debit</t>
  </si>
  <si>
    <t>Credit</t>
  </si>
  <si>
    <t>ROCHELLE R. CERVANTES</t>
  </si>
  <si>
    <t>Due to BIR</t>
  </si>
  <si>
    <t>719-1</t>
  </si>
  <si>
    <t>719-2</t>
  </si>
  <si>
    <t>719-3</t>
  </si>
  <si>
    <t>454-2</t>
  </si>
  <si>
    <t>102</t>
  </si>
  <si>
    <t>103</t>
  </si>
  <si>
    <t>104</t>
  </si>
  <si>
    <t>106</t>
  </si>
  <si>
    <t>111</t>
  </si>
  <si>
    <t>112</t>
  </si>
  <si>
    <t>113</t>
  </si>
  <si>
    <t>116</t>
  </si>
  <si>
    <t>117</t>
  </si>
  <si>
    <t>121-4</t>
  </si>
  <si>
    <t>121-3</t>
  </si>
  <si>
    <t>123</t>
  </si>
  <si>
    <t>136</t>
  </si>
  <si>
    <t>137</t>
  </si>
  <si>
    <t>138</t>
  </si>
  <si>
    <t>142</t>
  </si>
  <si>
    <t>144</t>
  </si>
  <si>
    <t>146</t>
  </si>
  <si>
    <t>148</t>
  </si>
  <si>
    <t>149</t>
  </si>
  <si>
    <t>154</t>
  </si>
  <si>
    <t>155</t>
  </si>
  <si>
    <t>161</t>
  </si>
  <si>
    <t>165</t>
  </si>
  <si>
    <t>177</t>
  </si>
  <si>
    <t>180</t>
  </si>
  <si>
    <t>181</t>
  </si>
  <si>
    <t>185</t>
  </si>
  <si>
    <t>186</t>
  </si>
  <si>
    <t>201</t>
  </si>
  <si>
    <t>202</t>
  </si>
  <si>
    <t>211</t>
  </si>
  <si>
    <t>215</t>
  </si>
  <si>
    <t>221</t>
  </si>
  <si>
    <t>222</t>
  </si>
  <si>
    <t>223</t>
  </si>
  <si>
    <t>224</t>
  </si>
  <si>
    <t>226</t>
  </si>
  <si>
    <t>227</t>
  </si>
  <si>
    <t>229</t>
  </si>
  <si>
    <t>230</t>
  </si>
  <si>
    <t>231</t>
  </si>
  <si>
    <t>234</t>
  </si>
  <si>
    <t>235</t>
  </si>
  <si>
    <t>236</t>
  </si>
  <si>
    <t>240</t>
  </si>
  <si>
    <t>241</t>
  </si>
  <si>
    <t>243</t>
  </si>
  <si>
    <t>244</t>
  </si>
  <si>
    <t>248</t>
  </si>
  <si>
    <t>250</t>
  </si>
  <si>
    <t>255</t>
  </si>
  <si>
    <t>264</t>
  </si>
  <si>
    <t>269</t>
  </si>
  <si>
    <t>Accounts Receivable - Others</t>
  </si>
  <si>
    <t>Due from Officers and Employees</t>
  </si>
  <si>
    <t>Due from Regional Offices</t>
  </si>
  <si>
    <t>Advances to Officers and Employees</t>
  </si>
  <si>
    <t>Merchandise Inventory</t>
  </si>
  <si>
    <t>Prepaid Rent</t>
  </si>
  <si>
    <t>Deposit on Letters of Credit</t>
  </si>
  <si>
    <t>Advances to Contractors</t>
  </si>
  <si>
    <t>Other Current Assets</t>
  </si>
  <si>
    <t>Land</t>
  </si>
  <si>
    <t>Other Structures</t>
  </si>
  <si>
    <t>Office Equipment</t>
  </si>
  <si>
    <t>Communication Equipment</t>
  </si>
  <si>
    <t>Sports Equipment</t>
  </si>
  <si>
    <t>Technical and Scientific Equipment</t>
  </si>
  <si>
    <t>Motor Vehicles</t>
  </si>
  <si>
    <t>Watercrafts</t>
  </si>
  <si>
    <t>Other Transportation Equipment</t>
  </si>
  <si>
    <t>Other Property, Plant and Equipment</t>
  </si>
  <si>
    <t>270</t>
  </si>
  <si>
    <t>290</t>
  </si>
  <si>
    <t>301</t>
  </si>
  <si>
    <t>302</t>
  </si>
  <si>
    <t>311</t>
  </si>
  <si>
    <t>315</t>
  </si>
  <si>
    <t>321</t>
  </si>
  <si>
    <t>322</t>
  </si>
  <si>
    <t>323</t>
  </si>
  <si>
    <t>324</t>
  </si>
  <si>
    <t>326</t>
  </si>
  <si>
    <t>327</t>
  </si>
  <si>
    <t>329</t>
  </si>
  <si>
    <t>330</t>
  </si>
  <si>
    <t>331</t>
  </si>
  <si>
    <t>334</t>
  </si>
  <si>
    <t>335</t>
  </si>
  <si>
    <t>336</t>
  </si>
  <si>
    <t>340</t>
  </si>
  <si>
    <t>341</t>
  </si>
  <si>
    <t>343</t>
  </si>
  <si>
    <t>344</t>
  </si>
  <si>
    <t>348</t>
  </si>
  <si>
    <t>350</t>
  </si>
  <si>
    <t>401</t>
  </si>
  <si>
    <t>402</t>
  </si>
  <si>
    <t>403</t>
  </si>
  <si>
    <t>412</t>
  </si>
  <si>
    <t>413</t>
  </si>
  <si>
    <t>414</t>
  </si>
  <si>
    <t>415</t>
  </si>
  <si>
    <t>416</t>
  </si>
  <si>
    <t>424</t>
  </si>
  <si>
    <t>426</t>
  </si>
  <si>
    <t>427</t>
  </si>
  <si>
    <t>439</t>
  </si>
  <si>
    <t>444</t>
  </si>
  <si>
    <t>445</t>
  </si>
  <si>
    <t>454-1</t>
  </si>
  <si>
    <t>455</t>
  </si>
  <si>
    <t>501</t>
  </si>
  <si>
    <t>510</t>
  </si>
  <si>
    <t>512</t>
  </si>
  <si>
    <t>625-1</t>
  </si>
  <si>
    <t>625-2</t>
  </si>
  <si>
    <t>627-1</t>
  </si>
  <si>
    <t>627-1A</t>
  </si>
  <si>
    <t>627-1B</t>
  </si>
  <si>
    <t>627-1C</t>
  </si>
  <si>
    <t>627-2A</t>
  </si>
  <si>
    <t>Other Assets</t>
  </si>
  <si>
    <t>Accounts Payable</t>
  </si>
  <si>
    <t>Notes Payable</t>
  </si>
  <si>
    <t>Due to Officers and Employees</t>
  </si>
  <si>
    <t>Due to GSIS</t>
  </si>
  <si>
    <t>Due to Central Office</t>
  </si>
  <si>
    <t>Other Payables</t>
  </si>
  <si>
    <t>CIS/CIP Equity</t>
  </si>
  <si>
    <t>627-2B</t>
  </si>
  <si>
    <t>627-2C</t>
  </si>
  <si>
    <t>627-2D</t>
  </si>
  <si>
    <t>629-1</t>
  </si>
  <si>
    <t>629-2</t>
  </si>
  <si>
    <t>629-3</t>
  </si>
  <si>
    <t>642-1A</t>
  </si>
  <si>
    <t>642-1B</t>
  </si>
  <si>
    <t>642-1C</t>
  </si>
  <si>
    <t>642-1D</t>
  </si>
  <si>
    <t>642-2</t>
  </si>
  <si>
    <t>651</t>
  </si>
  <si>
    <t>653</t>
  </si>
  <si>
    <t>662</t>
  </si>
  <si>
    <t>664</t>
  </si>
  <si>
    <t>678-1</t>
  </si>
  <si>
    <t>678-2</t>
  </si>
  <si>
    <t>678-3</t>
  </si>
  <si>
    <t>678-4</t>
  </si>
  <si>
    <t>678-12</t>
  </si>
  <si>
    <t>678-13</t>
  </si>
  <si>
    <t>682</t>
  </si>
  <si>
    <t>701</t>
  </si>
  <si>
    <t>705</t>
  </si>
  <si>
    <t>711</t>
  </si>
  <si>
    <t>713</t>
  </si>
  <si>
    <t>714</t>
  </si>
  <si>
    <t>715</t>
  </si>
  <si>
    <t>719-4</t>
  </si>
  <si>
    <t>719-7</t>
  </si>
  <si>
    <t>719-9</t>
  </si>
  <si>
    <t>717</t>
  </si>
  <si>
    <t>724</t>
  </si>
  <si>
    <t>720</t>
  </si>
  <si>
    <t>725</t>
  </si>
  <si>
    <t>731</t>
  </si>
  <si>
    <t>732</t>
  </si>
  <si>
    <t>733</t>
  </si>
  <si>
    <t>734</t>
  </si>
  <si>
    <t>740</t>
  </si>
  <si>
    <t>Pump Equity - (Current Account)</t>
  </si>
  <si>
    <t>Pump Equity - (Back Account)</t>
  </si>
  <si>
    <t>Equipment Rental - Internal (CA)</t>
  </si>
  <si>
    <t>Equipment Rental - External (CA)</t>
  </si>
  <si>
    <t>Equipment Rental - Internal (BA)</t>
  </si>
  <si>
    <t>Equipment Rental - External (BA)</t>
  </si>
  <si>
    <t>Rent Income from NIA Facilities</t>
  </si>
  <si>
    <t>Income from Grant and Donations</t>
  </si>
  <si>
    <t>Interest Income</t>
  </si>
  <si>
    <t>Miscellaneous Income - Bid Documents</t>
  </si>
  <si>
    <t>Miscellaneous Income - Hauling/Milling/Drying</t>
  </si>
  <si>
    <t>Miscellaneous Income - Disallowance</t>
  </si>
  <si>
    <t>Miscellaneous Income - Scrap of Fixed Assets</t>
  </si>
  <si>
    <t>Miscellaneous Income - Others</t>
  </si>
  <si>
    <t>Salaries and Wages - Regular</t>
  </si>
  <si>
    <t>Salaries and Wages - Casual</t>
  </si>
  <si>
    <t>Salaries and Wages - Contractual</t>
  </si>
  <si>
    <t>Personnel Economic Relief Allowance (PERA)</t>
  </si>
  <si>
    <t>Representation Allowance (RA)</t>
  </si>
  <si>
    <t>Transportation Allowance (TA)</t>
  </si>
  <si>
    <t>Clothing/Uniform Allowance</t>
  </si>
  <si>
    <t>Other Bonuses and Allowances - Medical Allowance</t>
  </si>
  <si>
    <t>Other Bonuses and Allowances - Meal Allowance</t>
  </si>
  <si>
    <t>Other Bonuses and Allowances - Children Allowance</t>
  </si>
  <si>
    <t>Productivity Incentive Allowance</t>
  </si>
  <si>
    <t>Cash Gift</t>
  </si>
  <si>
    <t>Honoraria</t>
  </si>
  <si>
    <t>Year End Bonus</t>
  </si>
  <si>
    <t>Life and Retirement Insurance Contributions</t>
  </si>
  <si>
    <t>PAG-IBIG Contributions</t>
  </si>
  <si>
    <t>PHILHEALTH Contributions</t>
  </si>
  <si>
    <t>ECC Contributions</t>
  </si>
  <si>
    <t>742</t>
  </si>
  <si>
    <t>749</t>
  </si>
  <si>
    <t>723</t>
  </si>
  <si>
    <t>721</t>
  </si>
  <si>
    <t>722</t>
  </si>
  <si>
    <t>Terminal Leave Benefits</t>
  </si>
  <si>
    <t>Other Personnel Benefits</t>
  </si>
  <si>
    <t>Overtime and Night Pay</t>
  </si>
  <si>
    <t>Hazard Pay</t>
  </si>
  <si>
    <t>Longevity Pay</t>
  </si>
  <si>
    <t>792</t>
  </si>
  <si>
    <t>751</t>
  </si>
  <si>
    <t>753</t>
  </si>
  <si>
    <t>755</t>
  </si>
  <si>
    <t>756</t>
  </si>
  <si>
    <t>759</t>
  </si>
  <si>
    <t>760</t>
  </si>
  <si>
    <t>761</t>
  </si>
  <si>
    <t>763</t>
  </si>
  <si>
    <t>765</t>
  </si>
  <si>
    <t>766</t>
  </si>
  <si>
    <t>767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</si>
  <si>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</si>
  <si>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</si>
  <si>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</si>
  <si>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</si>
  <si>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</si>
  <si>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</si>
  <si>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</si>
  <si>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</si>
  <si>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</si>
  <si>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</si>
  <si>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</si>
  <si>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788</t>
  </si>
  <si>
    <t>791</t>
  </si>
  <si>
    <t>793</t>
  </si>
  <si>
    <t>795</t>
  </si>
  <si>
    <t>796</t>
  </si>
  <si>
    <t>799</t>
  </si>
  <si>
    <t>811</t>
  </si>
  <si>
    <t>815</t>
  </si>
  <si>
    <t>821</t>
  </si>
  <si>
    <t>822</t>
  </si>
  <si>
    <t>823</t>
  </si>
  <si>
    <t>826</t>
  </si>
  <si>
    <t>829</t>
  </si>
  <si>
    <t>830</t>
  </si>
  <si>
    <t>831</t>
  </si>
  <si>
    <t>836</t>
  </si>
  <si>
    <t>840</t>
  </si>
  <si>
    <t>841</t>
  </si>
  <si>
    <t>844</t>
  </si>
  <si>
    <t>848</t>
  </si>
  <si>
    <t>850</t>
  </si>
  <si>
    <t>854</t>
  </si>
  <si>
    <t>855</t>
  </si>
  <si>
    <t>872</t>
  </si>
  <si>
    <t>878</t>
  </si>
  <si>
    <t>884-1</t>
  </si>
  <si>
    <t>884-3</t>
  </si>
  <si>
    <t>891</t>
  </si>
  <si>
    <t>892</t>
  </si>
  <si>
    <t>893</t>
  </si>
  <si>
    <t>902</t>
  </si>
  <si>
    <t>911</t>
  </si>
  <si>
    <t>915</t>
  </si>
  <si>
    <t>921</t>
  </si>
  <si>
    <t>922</t>
  </si>
  <si>
    <t>923</t>
  </si>
  <si>
    <t>924</t>
  </si>
  <si>
    <t>926</t>
  </si>
  <si>
    <t>927</t>
  </si>
  <si>
    <t>Travelling Expenses - Local</t>
  </si>
  <si>
    <t>Training Expenses</t>
  </si>
  <si>
    <t>Office Supplies Expenses</t>
  </si>
  <si>
    <t>Accountable Forms Expenses</t>
  </si>
  <si>
    <t>Drugs and Medicines Expenses</t>
  </si>
  <si>
    <t>Gasoline, Oil and Lubricants Expenses</t>
  </si>
  <si>
    <t>Textbooks and Instructional Materials Expenses</t>
  </si>
  <si>
    <t>Other Supplies Expenses</t>
  </si>
  <si>
    <t>Water Expenses</t>
  </si>
  <si>
    <t>Electricity Expenses</t>
  </si>
  <si>
    <t>Postage and Deliveries</t>
  </si>
  <si>
    <t>Telephone Expenses - Landline</t>
  </si>
  <si>
    <t>Telephone Expenses - Mobile</t>
  </si>
  <si>
    <t>Internet Expenses</t>
  </si>
  <si>
    <t>Cable, Satellite, Telegraph and Radio Expenses</t>
  </si>
  <si>
    <t>Printing and Binding Expenses</t>
  </si>
  <si>
    <t>Rent Expenses</t>
  </si>
  <si>
    <t>Representation Expenses</t>
  </si>
  <si>
    <t>Transportation and Delivery Expenses</t>
  </si>
  <si>
    <t>Legal Services</t>
  </si>
  <si>
    <t>Auditing Services</t>
  </si>
  <si>
    <t>Janitorial Services</t>
  </si>
  <si>
    <t>Other Professional Services</t>
  </si>
  <si>
    <t>Repairs and Maintenance - Office Equipment</t>
  </si>
  <si>
    <t>Repairs and Maintenance - Machineries</t>
  </si>
  <si>
    <t>Repairs and Maintenance - Construction and Heavy Equipment</t>
  </si>
  <si>
    <t>Repairs and Maintenance - Other Machineries and Equipment</t>
  </si>
  <si>
    <t>Repairs and Maintenance - Motor Vehicles</t>
  </si>
  <si>
    <t>Repairs and Maintenance - Other Transportation Equipt</t>
  </si>
  <si>
    <t>Repairs and Maintenance - Other Property, Plant &amp; Equipment</t>
  </si>
  <si>
    <t>Donations</t>
  </si>
  <si>
    <t>Miscellaneous Expenses - Sports</t>
  </si>
  <si>
    <t>Taxes, Duties and Licenses</t>
  </si>
  <si>
    <t>Fidelity Bond Premiums</t>
  </si>
  <si>
    <t>Insurance Expenses</t>
  </si>
  <si>
    <t>929</t>
  </si>
  <si>
    <t>930</t>
  </si>
  <si>
    <t>931</t>
  </si>
  <si>
    <t>934</t>
  </si>
  <si>
    <t>935</t>
  </si>
  <si>
    <t>936</t>
  </si>
  <si>
    <t>940</t>
  </si>
  <si>
    <t>941</t>
  </si>
  <si>
    <t>943</t>
  </si>
  <si>
    <t>944</t>
  </si>
  <si>
    <t>948</t>
  </si>
  <si>
    <t>950</t>
  </si>
  <si>
    <t>963</t>
  </si>
  <si>
    <t>964</t>
  </si>
  <si>
    <t>965</t>
  </si>
  <si>
    <t>966</t>
  </si>
  <si>
    <t>967</t>
  </si>
  <si>
    <t>969-3</t>
  </si>
  <si>
    <t>969-4</t>
  </si>
  <si>
    <t>785</t>
  </si>
  <si>
    <t>786</t>
  </si>
  <si>
    <t>971</t>
  </si>
  <si>
    <t>975</t>
  </si>
  <si>
    <t>Irrigator's Share</t>
  </si>
  <si>
    <t>10% Discount on ISF</t>
  </si>
  <si>
    <t>Loss on Sale of Palay</t>
  </si>
  <si>
    <t>Other MOOE - Contractual Services</t>
  </si>
  <si>
    <t>Other MOOE - Job Order</t>
  </si>
  <si>
    <t>Storage Expenses</t>
  </si>
  <si>
    <t>Subscription Expenses</t>
  </si>
  <si>
    <t>Bank Charges</t>
  </si>
  <si>
    <t>Interest Expenses</t>
  </si>
  <si>
    <t>121-1</t>
  </si>
  <si>
    <t>678-13A</t>
  </si>
  <si>
    <t>Certified Correct:</t>
  </si>
  <si>
    <t>Loyalty Award</t>
  </si>
  <si>
    <t>National Irrigation Administration</t>
  </si>
  <si>
    <t>CREDIT</t>
  </si>
  <si>
    <t>DEBIT</t>
  </si>
  <si>
    <t>TOTAL</t>
  </si>
  <si>
    <t>Regional Office</t>
  </si>
  <si>
    <t>BANE IMO</t>
  </si>
  <si>
    <t>PAMBAT IMO</t>
  </si>
  <si>
    <t>TARZAM IMO</t>
  </si>
  <si>
    <t>TRIAL BALANCE</t>
  </si>
  <si>
    <t>ACCOUNT TITLE</t>
  </si>
  <si>
    <t>Advances for Payroll</t>
  </si>
  <si>
    <t>Other Supplies and Materials Inventory</t>
  </si>
  <si>
    <t>Other Machinery and Equipment</t>
  </si>
  <si>
    <t>Other Maintenance and Operating Expenses</t>
  </si>
  <si>
    <t>Account Name</t>
  </si>
  <si>
    <t>Account Code</t>
  </si>
  <si>
    <t>Account Title</t>
  </si>
  <si>
    <t>Reference</t>
  </si>
  <si>
    <t>Beginning Balance</t>
  </si>
  <si>
    <t>Check Disbursement Journal</t>
  </si>
  <si>
    <t>Cash Disbursement Journal</t>
  </si>
  <si>
    <t>Cash Receipt and Deposit Journal</t>
  </si>
  <si>
    <t>General Journal</t>
  </si>
  <si>
    <t>Account
Code</t>
  </si>
  <si>
    <t>Balance</t>
  </si>
  <si>
    <t>EMILY G. ECHAVARRIA</t>
  </si>
  <si>
    <t>Chief Corporate Accountant B</t>
  </si>
  <si>
    <t>POST CLOSING TRIAL BALANCE</t>
  </si>
  <si>
    <t>DEBIT
TOTAL</t>
  </si>
  <si>
    <t>CREDIT
TOTAL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</si>
  <si>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</si>
  <si>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</si>
  <si>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</si>
  <si>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</si>
  <si>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</si>
  <si>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</si>
  <si>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</si>
  <si>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</si>
  <si>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</si>
  <si>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</si>
  <si>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</si>
  <si>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</si>
  <si>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Responsibility
Center</t>
  </si>
  <si>
    <t>PDRIS</t>
  </si>
  <si>
    <t>NBRIS</t>
  </si>
  <si>
    <t>Region 3</t>
  </si>
  <si>
    <t>A S S E T S</t>
  </si>
  <si>
    <t>PARTICULARS</t>
  </si>
  <si>
    <t>CODE</t>
  </si>
  <si>
    <t>AMOUNT</t>
  </si>
  <si>
    <t>969</t>
  </si>
  <si>
    <t>233</t>
  </si>
  <si>
    <t>421</t>
  </si>
  <si>
    <t>884</t>
  </si>
  <si>
    <t>Miscellaneous Expenses</t>
  </si>
  <si>
    <t>Cash and Cash Equivalents</t>
  </si>
  <si>
    <t>Receivables</t>
  </si>
  <si>
    <t>Inventories</t>
  </si>
  <si>
    <t>CURRENT ASSETS</t>
  </si>
  <si>
    <t>NON-CURRENT ASSETS</t>
  </si>
  <si>
    <t>LIABILITIES AND NET ASSETS/EQUITY</t>
  </si>
  <si>
    <t>LIABILITIES</t>
  </si>
  <si>
    <t>Current Liabilities</t>
  </si>
  <si>
    <t>Deferred Credits/Unearned Income</t>
  </si>
  <si>
    <t>TOTAL LIABILITIES AND NET ASSETS/EQUITY</t>
  </si>
  <si>
    <t>Total Net Assets/Equity</t>
  </si>
  <si>
    <t>Total Current Liabilities</t>
  </si>
  <si>
    <t>Non- Current Liabilities</t>
  </si>
  <si>
    <t>Total Current Assets</t>
  </si>
  <si>
    <t>Total Non-Current Assets</t>
  </si>
  <si>
    <t>TOTAL ASSETS</t>
  </si>
  <si>
    <t>Less: Current Operating Expenses</t>
  </si>
  <si>
    <t>Revenue</t>
  </si>
  <si>
    <t>Total Revenue</t>
  </si>
  <si>
    <t>Personal Services</t>
  </si>
  <si>
    <t>Total Personal Services</t>
  </si>
  <si>
    <t>Maintenance and Other Operating Expenses</t>
  </si>
  <si>
    <t>Total Maintenance and Other Operating Expenses</t>
  </si>
  <si>
    <t>Non-Cash Expenses</t>
  </si>
  <si>
    <t>Current Operating Expenses</t>
  </si>
  <si>
    <t>Surplus (Deficit) from Current Operations</t>
  </si>
  <si>
    <t>Total Financial Assistance/Subsidy</t>
  </si>
  <si>
    <t>Financial Assistance/Subsidy</t>
  </si>
  <si>
    <t>Surplus (Deficit) for the period</t>
  </si>
  <si>
    <t>Accumulated Surplus/(Deficit)</t>
  </si>
  <si>
    <t>Particulars</t>
  </si>
  <si>
    <t>JOURNAL ENTRY VOUCHER</t>
  </si>
  <si>
    <t>NIA Regional Office # 3, Tambubong, San Rafael, Bulacan</t>
  </si>
  <si>
    <t>No.</t>
  </si>
  <si>
    <t>Agency Name</t>
  </si>
  <si>
    <t>Collection</t>
  </si>
  <si>
    <t>X</t>
  </si>
  <si>
    <t>Check Disbursement</t>
  </si>
  <si>
    <t>Cash Disbursement</t>
  </si>
  <si>
    <t>Others</t>
  </si>
  <si>
    <t>ACCOUNTING ENTRIES</t>
  </si>
  <si>
    <t>Accounts and Explanation</t>
  </si>
  <si>
    <t>Ref.</t>
  </si>
  <si>
    <t>Amount</t>
  </si>
  <si>
    <t>Old</t>
  </si>
  <si>
    <t>New</t>
  </si>
  <si>
    <t>To take-up cash in bank register as follows:</t>
  </si>
  <si>
    <t>Reporting Period:</t>
  </si>
  <si>
    <t>Disbursing Officer:</t>
  </si>
  <si>
    <t>Office:</t>
  </si>
  <si>
    <t>Prepared/Posted by:</t>
  </si>
  <si>
    <t>Approved by:</t>
  </si>
  <si>
    <t>MARILYN U. TORRES</t>
  </si>
  <si>
    <t>Administrative Officer IV</t>
  </si>
  <si>
    <t>Manager, Administrative &amp; Finance Division</t>
  </si>
  <si>
    <t>/mhelz ®</t>
  </si>
  <si>
    <t>Debit (Array)</t>
  </si>
  <si>
    <t>Credit (Array)</t>
  </si>
  <si>
    <t>To take-up cash disbursement register as follows:</t>
  </si>
  <si>
    <t>Fund CODE:</t>
  </si>
  <si>
    <t>Accounting Form No. 74</t>
  </si>
  <si>
    <t>CHECK DISBURSEMENTS JOURNAL</t>
  </si>
  <si>
    <t>Revised Sept. '02</t>
  </si>
  <si>
    <t>DATE</t>
  </si>
  <si>
    <t>JEV
No.</t>
  </si>
  <si>
    <t>RCI/DV
No.</t>
  </si>
  <si>
    <t>Serial No. of
Checks</t>
  </si>
  <si>
    <t>Name of Disbursing Officer</t>
  </si>
  <si>
    <t>SUNDRY</t>
  </si>
  <si>
    <t>From</t>
  </si>
  <si>
    <t>To</t>
  </si>
  <si>
    <t>Acct. Code</t>
  </si>
  <si>
    <t>Prepared by:</t>
  </si>
  <si>
    <t>ROMMEL T. DE VERA</t>
  </si>
  <si>
    <t>2</t>
  </si>
  <si>
    <t>3</t>
  </si>
  <si>
    <t>4</t>
  </si>
  <si>
    <t>2-1</t>
  </si>
  <si>
    <t>2-2</t>
  </si>
  <si>
    <t>2-3</t>
  </si>
  <si>
    <t>3-1</t>
  </si>
  <si>
    <t>3-2</t>
  </si>
  <si>
    <t>3-3</t>
  </si>
  <si>
    <t>4-1</t>
  </si>
  <si>
    <t>1</t>
  </si>
  <si>
    <t>Appendix 5</t>
  </si>
  <si>
    <t>DEBIT/CREDIT</t>
  </si>
  <si>
    <t>COLLECTIONS</t>
  </si>
  <si>
    <t>DEPOSITS</t>
  </si>
  <si>
    <t>CASH RECEIPTS AND DEPOSITS JOURNAL</t>
  </si>
  <si>
    <t>Name of Collecting Officers</t>
  </si>
  <si>
    <t>To take-up Report of Collections and Deposits as follows:</t>
  </si>
  <si>
    <t>4-2</t>
  </si>
  <si>
    <t>4-3</t>
  </si>
  <si>
    <t>4-4</t>
  </si>
  <si>
    <t>2-4</t>
  </si>
  <si>
    <t>3-4</t>
  </si>
  <si>
    <t>4-5</t>
  </si>
  <si>
    <t>Fund Code</t>
  </si>
  <si>
    <t>355</t>
  </si>
  <si>
    <t>Total Non-Cash Expenses</t>
  </si>
  <si>
    <t>TOTAL LIABILITIES</t>
  </si>
  <si>
    <t>Total Non-Current Liabilities</t>
  </si>
  <si>
    <t>NET ASSETS/EQUITY</t>
  </si>
  <si>
    <t>STATEMENT OF CASH FLOW</t>
  </si>
  <si>
    <t>Total Cash Inflows</t>
  </si>
  <si>
    <t>Adjustments</t>
  </si>
  <si>
    <t>Total Cash Outflows</t>
  </si>
  <si>
    <t xml:space="preserve">Cash Flows from Operating Activites </t>
  </si>
  <si>
    <t>Cash Inflow</t>
  </si>
  <si>
    <t>Receipt of Notice of Cash Allocation</t>
  </si>
  <si>
    <t>Receipt of Notice of Transfer of Cash Allocation</t>
  </si>
  <si>
    <t>Receipt of NCA for Trust and other receipts</t>
  </si>
  <si>
    <t>Receipt of Working Fund for Foreign-Assisted Project</t>
  </si>
  <si>
    <t>Collection of Income/Revenues</t>
  </si>
  <si>
    <t>Collection of Tax revenue</t>
  </si>
  <si>
    <t>Collection of service and busines income</t>
  </si>
  <si>
    <t>Collection of other income</t>
  </si>
  <si>
    <t>Receipts of shares, grants and donations</t>
  </si>
  <si>
    <t>Receipt of prior years' income</t>
  </si>
  <si>
    <t>Receipt of Assistance and Subsidy from other NGAs, LGUs and GOCCs</t>
  </si>
  <si>
    <t>Susidy from other National Government Agencies</t>
  </si>
  <si>
    <t>Assistance from Local Government Units</t>
  </si>
  <si>
    <t>Assistance from Government -Owned and/or controlled Corporations</t>
  </si>
  <si>
    <t xml:space="preserve">Collective of Receivables </t>
  </si>
  <si>
    <t>Collection of loans and receivables</t>
  </si>
  <si>
    <t>Collection of lease receivables</t>
  </si>
  <si>
    <t>Collection of receivable from audit disallowances</t>
  </si>
  <si>
    <t>Collection of other receivables</t>
  </si>
  <si>
    <t>Receipt of Inter-Agency Fund Transfers</t>
  </si>
  <si>
    <t>Receipts of cah for the account of NGAs/LGUs/GOCCs</t>
  </si>
  <si>
    <t>Receipt of funds for the implementation of projects from NGAs/LGUs/GOCCs</t>
  </si>
  <si>
    <t>Receipts of funds for other Inter-agency transactions</t>
  </si>
  <si>
    <t>Receipts of Intra-Agency Fund Transfers</t>
  </si>
  <si>
    <t>Receipts of funds from CO/Bureaus/Ros/Ous for implementation of programs/projects</t>
  </si>
  <si>
    <t>Receipts of working fund for foreign-assisted projects</t>
  </si>
  <si>
    <t>Receipts of funds for other Intra- agency transactions</t>
  </si>
  <si>
    <t>Trust Receipts</t>
  </si>
  <si>
    <t>Receipt of Disaster Risk Reduction and management Fund</t>
  </si>
  <si>
    <t>Receipts of bail bonds</t>
  </si>
  <si>
    <t>Receipts of guaranty/security deposits</t>
  </si>
  <si>
    <t>Receipts of customers' deposits</t>
  </si>
  <si>
    <t>Collection of other trust receipts</t>
  </si>
  <si>
    <t xml:space="preserve">Other Receipts </t>
  </si>
  <si>
    <t>Advance collection of Income</t>
  </si>
  <si>
    <t>Receipts of deposits on letter of credits</t>
  </si>
  <si>
    <t>Receipts of refund of guaranty deposits</t>
  </si>
  <si>
    <t>Receipts of payment for liquidated damages</t>
  </si>
  <si>
    <t>Unused Petty Cash Fund</t>
  </si>
  <si>
    <t>Other deffered credits</t>
  </si>
  <si>
    <t>Refund of overpayment of Personnel Services</t>
  </si>
  <si>
    <t>Refund of overpayment of Maintenanace and Other Operating Expenses</t>
  </si>
  <si>
    <t>Receipts of refund of cash advances</t>
  </si>
  <si>
    <t>Proceeds from terminated treasury bill</t>
  </si>
  <si>
    <t>Collection from trust receipts from entities other than NGAs/LGUs/GOCCs</t>
  </si>
  <si>
    <t>Other miscellaneous receipts</t>
  </si>
  <si>
    <t>Restoration of cash for cancelled/lost/stale checks/ ADA</t>
  </si>
  <si>
    <t>Restoration of cash for unreleased checks</t>
  </si>
  <si>
    <t>Other adjustments- Inflow</t>
  </si>
  <si>
    <t>Cash Outflows</t>
  </si>
  <si>
    <t>Replenishment of Negotiated MDS CHECKS (for BTr)</t>
  </si>
  <si>
    <t>Remittance of National Treasury</t>
  </si>
  <si>
    <t xml:space="preserve">Payment of Personnel services </t>
  </si>
  <si>
    <t>Payment of maintenance and other operating expenses</t>
  </si>
  <si>
    <t>Payments of financial expenses</t>
  </si>
  <si>
    <t>Payment of expenses pertaining to/incured in the prior years</t>
  </si>
  <si>
    <t>Liquidation of prior year's cash advances</t>
  </si>
  <si>
    <t xml:space="preserve">Purchase of Inventories </t>
  </si>
  <si>
    <t>Purchase of Inventories for sale</t>
  </si>
  <si>
    <t xml:space="preserve">Purchase of Inventories for distribution </t>
  </si>
  <si>
    <t>Purchase of Inventory held for consumption</t>
  </si>
  <si>
    <t>Purchase of raw materials inventory</t>
  </si>
  <si>
    <t xml:space="preserve">Purchase of Consumable Biological Assets </t>
  </si>
  <si>
    <t>Purchase of livestocks held for consumptions/sale/distribution</t>
  </si>
  <si>
    <t>Purchase of trees, plants and crops held for consumption/sale/distribution</t>
  </si>
  <si>
    <t>Purchase of aquaculture</t>
  </si>
  <si>
    <t>Purchase of other consumable biological assets</t>
  </si>
  <si>
    <t>Grant of Cash Advances</t>
  </si>
  <si>
    <t>Advances for operating expenses</t>
  </si>
  <si>
    <t>Advances for payroll</t>
  </si>
  <si>
    <t>Advances for special purpose/time-bound undertakings</t>
  </si>
  <si>
    <t>Advances to officers and employees</t>
  </si>
  <si>
    <t>Prepayments</t>
  </si>
  <si>
    <t xml:space="preserve">Prepaid Registration </t>
  </si>
  <si>
    <t>Prepaid Interest</t>
  </si>
  <si>
    <t>Prepaid Insurance</t>
  </si>
  <si>
    <t>Other Prepayments</t>
  </si>
  <si>
    <t xml:space="preserve">Refund of deposits </t>
  </si>
  <si>
    <t>Payment of deposits on letter of ****</t>
  </si>
  <si>
    <t>Payment of other deposits</t>
  </si>
  <si>
    <t>Payment of Accounts Payables</t>
  </si>
  <si>
    <t>Remittance of Personnel Benefits Contributions and Mandatory Deductions</t>
  </si>
  <si>
    <t>Remittance taxes withheld not covered by TRA</t>
  </si>
  <si>
    <t>Remittance to GSIS/Pag-IBIG/PhilHealth</t>
  </si>
  <si>
    <t xml:space="preserve">Remittance of personnel benefits contributions  </t>
  </si>
  <si>
    <t>Remittance of other payables</t>
  </si>
  <si>
    <t>Grant of Financial Assistance/Subsidy</t>
  </si>
  <si>
    <t>Subsidy to NGAs</t>
  </si>
  <si>
    <t>Grant of financial assistance to NGOs/Pos</t>
  </si>
  <si>
    <t>Payment of Internal Revenue Allotment</t>
  </si>
  <si>
    <t>Grant of other subsidies</t>
  </si>
  <si>
    <t>Release of Inter-Agency Fund transfers</t>
  </si>
  <si>
    <t xml:space="preserve">Advances to Procurement Services </t>
  </si>
  <si>
    <t xml:space="preserve">Advances to other NGAs/GOCCs/LGUs for purchase of goods/services as authorized by law </t>
  </si>
  <si>
    <t>Release of funds to NGAs, GOCCs, LGUs for the implementation of Projects</t>
  </si>
  <si>
    <t>Release of other inter-agency fund transfers</t>
  </si>
  <si>
    <t>Release of Intra-Agency Fund Transfers</t>
  </si>
  <si>
    <t xml:space="preserve">Issuance of Working Fund to foreign services post and regional consular offices </t>
  </si>
  <si>
    <t>Issuance of NTCA by CO/Ros to Ros/Ous</t>
  </si>
  <si>
    <t>Issuance of funding chjecks by HO/ CO/Ros to Ros/Ous</t>
  </si>
  <si>
    <t>Other Disbursements</t>
  </si>
  <si>
    <t>Refund of excess income</t>
  </si>
  <si>
    <t>Refund of excess Working Fund/fund Transfers/Trust Fund</t>
  </si>
  <si>
    <t>Refund of bail bond</t>
  </si>
  <si>
    <t>Refund of guaranty/security deposits</t>
  </si>
  <si>
    <t>Refund of customers'deposits</t>
  </si>
  <si>
    <t>Refund of cash advances</t>
  </si>
  <si>
    <t>Reversal of Unutilized NCA</t>
  </si>
  <si>
    <t>Reversion/Return of unused NCA</t>
  </si>
  <si>
    <t>Adjustment for dishonored checks</t>
  </si>
  <si>
    <t>Adjustment for cash shortage</t>
  </si>
  <si>
    <t>Reversing entry for unreleased checks in previous year</t>
  </si>
  <si>
    <t>Other adjustments - Outflow</t>
  </si>
  <si>
    <t>Net Cash Provided by (Used in) Operating Activities</t>
  </si>
  <si>
    <t xml:space="preserve">Cash Flows from Investing Activities </t>
  </si>
  <si>
    <t>Proceeds from Sale of Investment Property</t>
  </si>
  <si>
    <t>Proceeds from Sale /Disposal of Property, Plant and Equipment</t>
  </si>
  <si>
    <t>Sale of Investments</t>
  </si>
  <si>
    <t xml:space="preserve">Proceeds from Sale of stocks/bonds/marketable securities </t>
  </si>
  <si>
    <t>Sale of investment in joint venture</t>
  </si>
  <si>
    <t>Sale of investment in associates</t>
  </si>
  <si>
    <t>Sale of other investments</t>
  </si>
  <si>
    <t>Receipt of Cash Dividends</t>
  </si>
  <si>
    <t>Proceeds from Matured/Return of Investments</t>
  </si>
  <si>
    <t>Redemption of long term investments</t>
  </si>
  <si>
    <t xml:space="preserve">Proceeds from matured investments </t>
  </si>
  <si>
    <t>Proceeds from the return on investment in joint venture</t>
  </si>
  <si>
    <t>Proceeds from the return on investment in associates</t>
  </si>
  <si>
    <t>Collection of Long-Term Loans</t>
  </si>
  <si>
    <t>Repayment of long term-loans by GOCC/GFI</t>
  </si>
  <si>
    <t>Collection of long-term loans</t>
  </si>
  <si>
    <t xml:space="preserve">Proceeds from Sale of other Assets </t>
  </si>
  <si>
    <t>Purchase/Construction of Investment Property</t>
  </si>
  <si>
    <t>Purchase/construction of property, plant and equipment</t>
  </si>
  <si>
    <t xml:space="preserve">Purchase of land </t>
  </si>
  <si>
    <t xml:space="preserve">Payment for land improvements </t>
  </si>
  <si>
    <t>Contruction of infrastructure assets</t>
  </si>
  <si>
    <t>Construction of buildings and other structures</t>
  </si>
  <si>
    <t>Purchase of machinery and equipment</t>
  </si>
  <si>
    <t>Purchase of transportation equipment</t>
  </si>
  <si>
    <t>Purchase of furnitures, fixtures and books</t>
  </si>
  <si>
    <t>Payments for leased assets improvement</t>
  </si>
  <si>
    <t>Construction in progress</t>
  </si>
  <si>
    <t>Construction/Acquistion of heritage assets</t>
  </si>
  <si>
    <t>Purchase of other property, plant and equipment\</t>
  </si>
  <si>
    <t>Payment of right-of-way</t>
  </si>
  <si>
    <t>Advances to contractors</t>
  </si>
  <si>
    <t>Payment of guaranty deposit</t>
  </si>
  <si>
    <t xml:space="preserve">Payment of retention fee to contractors </t>
  </si>
  <si>
    <t>Payment of other fees charged to the projects</t>
  </si>
  <si>
    <t>Payment of incidental expenses</t>
  </si>
  <si>
    <t>Payment for rehabilitation of property, plant and equipment (capitalized repair</t>
  </si>
  <si>
    <t>Payment of accounts payable for the construction of property,palant and equipment</t>
  </si>
  <si>
    <t>Investments</t>
  </si>
  <si>
    <t>Investment in stocks/bonds/marketable securities</t>
  </si>
  <si>
    <t>Investment in GOCC/GFI</t>
  </si>
  <si>
    <t xml:space="preserve">Investment in joint venture </t>
  </si>
  <si>
    <t>Investment in associates</t>
  </si>
  <si>
    <t>Other long-term investments</t>
  </si>
  <si>
    <t>Purchase of Bearer Biological Assets</t>
  </si>
  <si>
    <t>Purchase of breeding stocks</t>
  </si>
  <si>
    <t xml:space="preserve">Purchase of livestock </t>
  </si>
  <si>
    <t xml:space="preserve">Purchase of trees, plants and crops </t>
  </si>
  <si>
    <t>Purchase of other bearer biological assets</t>
  </si>
  <si>
    <t>Purchase of Intangible Assets</t>
  </si>
  <si>
    <t>Purchase of computer software</t>
  </si>
  <si>
    <t>Purchase of other intagible assets</t>
  </si>
  <si>
    <t>Release of funds for sub-loans</t>
  </si>
  <si>
    <t>Grants of loans</t>
  </si>
  <si>
    <t>Cash Flows from Financing Activities</t>
  </si>
  <si>
    <t>Cash Inflows</t>
  </si>
  <si>
    <t xml:space="preserve">Proceeds from issuance of bills and bonds </t>
  </si>
  <si>
    <t xml:space="preserve">Proceeds from issuance of bill </t>
  </si>
  <si>
    <t>Proceeds from issuance of bonds</t>
  </si>
  <si>
    <t>Proceeds from Domestic and Foreign Loans</t>
  </si>
  <si>
    <t>Proceeds from issuance of notes payable</t>
  </si>
  <si>
    <t>Proceeds from domestics loans</t>
  </si>
  <si>
    <t>Proceeds from foreign loans</t>
  </si>
  <si>
    <t xml:space="preserve">Total Cash Inflows </t>
  </si>
  <si>
    <t xml:space="preserve">Cash Outflows </t>
  </si>
  <si>
    <t>Payment of Long-Term Liabilities</t>
  </si>
  <si>
    <t>Payment of notes payable</t>
  </si>
  <si>
    <t>Payment of domestic loans</t>
  </si>
  <si>
    <t>Payment of foreign loans</t>
  </si>
  <si>
    <t>Payment of finance lease payable</t>
  </si>
  <si>
    <t>Payment of other long-term liabilities</t>
  </si>
  <si>
    <t>Redemption of Bills/Bonds Issued</t>
  </si>
  <si>
    <t xml:space="preserve">Payment for redemption of treasury bills </t>
  </si>
  <si>
    <t>Payment for redemption of bonds</t>
  </si>
  <si>
    <t>Payment of Interest Expenses (BTR/NG Debt)</t>
  </si>
  <si>
    <t>Net Cash Provided By (Used In) Financing Activities</t>
  </si>
  <si>
    <t>Increase (Decrese) in Cash and Cash Equivalents</t>
  </si>
  <si>
    <t>Effects of Exchange Rate Changes on Cash and Cash Equivalents</t>
  </si>
  <si>
    <t>Cash and Cash Equivalents, January 1, 2014</t>
  </si>
  <si>
    <t>Cash and Cash Equivalents, December 31, 2014</t>
  </si>
  <si>
    <t>ASA #</t>
  </si>
  <si>
    <t>Row Labels</t>
  </si>
  <si>
    <t>Grand Total</t>
  </si>
  <si>
    <t>Sort Code</t>
  </si>
  <si>
    <t>Collecting Officer/Office</t>
  </si>
  <si>
    <t>Collecting Officer/Office:</t>
  </si>
  <si>
    <t>625-2A</t>
  </si>
  <si>
    <t>JEV Number</t>
  </si>
  <si>
    <t>Sub Code</t>
  </si>
  <si>
    <t>Running Balance</t>
  </si>
  <si>
    <t>Account Code (Old)</t>
  </si>
  <si>
    <t>Account Code (New)</t>
  </si>
  <si>
    <t>Debit/Credit</t>
  </si>
  <si>
    <t>CF Code</t>
  </si>
  <si>
    <t>Advances to Contractors for repair and maintenance of property,plant and equipment</t>
  </si>
  <si>
    <t>Payment of Expenses</t>
  </si>
  <si>
    <t>Payment of guaranty deposits</t>
  </si>
  <si>
    <t>Grant of Financial assistance to NGAs/LGUs/GOCCs</t>
  </si>
  <si>
    <t xml:space="preserve">Grant of loans </t>
  </si>
  <si>
    <t xml:space="preserve">Collection of Receivables </t>
  </si>
  <si>
    <t>Check Date</t>
  </si>
  <si>
    <t>Check Number</t>
  </si>
  <si>
    <t>DV Date</t>
  </si>
  <si>
    <t>DV Number</t>
  </si>
  <si>
    <t>Responsibility Center</t>
  </si>
  <si>
    <t>Ofc Code</t>
  </si>
  <si>
    <t>Regional Irrigation Manager</t>
  </si>
  <si>
    <t>Financial Planning Specialist B</t>
  </si>
  <si>
    <t>Sr. Financial Planning Analyst</t>
  </si>
  <si>
    <t>JOSEPHINE B. SALAZAR</t>
  </si>
  <si>
    <t>MANUEL T. PADOLINA</t>
  </si>
  <si>
    <t xml:space="preserve">        Approved:</t>
  </si>
  <si>
    <t xml:space="preserve">                         Certified correct:</t>
  </si>
  <si>
    <t>Reviewed by:</t>
  </si>
  <si>
    <t>Viability Index</t>
  </si>
  <si>
    <t>NIS Share in IMO Expenses</t>
  </si>
  <si>
    <t>Total Net Income (Loss)</t>
  </si>
  <si>
    <t>NIS / PIO Share in RIO Expenses</t>
  </si>
  <si>
    <t>Net Income (Loss)</t>
  </si>
  <si>
    <t>Total Operating Expenses</t>
  </si>
  <si>
    <t>Total Expenses - MOOE</t>
  </si>
  <si>
    <t>.</t>
  </si>
  <si>
    <t>EXPENSES (MOOE)</t>
  </si>
  <si>
    <t>Total Expenses - Personal Services</t>
  </si>
  <si>
    <t>EXPENSES (PS)</t>
  </si>
  <si>
    <t>Total Income Earned</t>
  </si>
  <si>
    <t>INCOME</t>
  </si>
  <si>
    <t>5</t>
  </si>
  <si>
    <t>TOTAL
TARZAM IMO</t>
  </si>
  <si>
    <t>TARZAM PIO</t>
  </si>
  <si>
    <t>Nayom
Bayto RIS</t>
  </si>
  <si>
    <t>Bucao
RIS</t>
  </si>
  <si>
    <t>Camiling
RIS</t>
  </si>
  <si>
    <t>Tasmoris</t>
  </si>
  <si>
    <t>TOTAL PAMBAT  IMO</t>
  </si>
  <si>
    <t>PAMBAT PIO</t>
  </si>
  <si>
    <t>Colo
Caulaman RIS</t>
  </si>
  <si>
    <t>Pampanga Delta</t>
  </si>
  <si>
    <t>Porac
Gumain RIS</t>
  </si>
  <si>
    <t>TOTAL
BANE  IMO</t>
  </si>
  <si>
    <t>BANE PIO</t>
  </si>
  <si>
    <t>Disalit
RIS</t>
  </si>
  <si>
    <t>Angat
Maasim RIS</t>
  </si>
  <si>
    <t>T     A     R     Z     A     M   -   I   M   O</t>
  </si>
  <si>
    <t>P     A     M     B     A     T   -   I   M   O</t>
  </si>
  <si>
    <t>B     A     N     E   -   I   M   O</t>
  </si>
  <si>
    <t>Regional
Office</t>
  </si>
  <si>
    <t>Account    Code</t>
  </si>
  <si>
    <t>P A R T I C U L A R S</t>
  </si>
  <si>
    <t>Statement of Income and Expenses</t>
  </si>
  <si>
    <t>NET INCOME (DEFICIT)</t>
  </si>
  <si>
    <t>Amount of Share R.O.</t>
  </si>
  <si>
    <t>Amount of Share IMO</t>
  </si>
  <si>
    <t>Total Expenses w/Other Exp.</t>
  </si>
  <si>
    <t>Total Other Expenses</t>
  </si>
  <si>
    <t>Repair &amp; Maint. - Irrig. Canals &amp; Lats.</t>
  </si>
  <si>
    <t>E. Other Expenses not included in the computation of VIG</t>
  </si>
  <si>
    <t>Viability Index W/R.O. Expense</t>
  </si>
  <si>
    <t>Monetization</t>
  </si>
  <si>
    <t>Terminal leave-Regular Retirees</t>
  </si>
  <si>
    <t>Retirement Gratuity</t>
  </si>
  <si>
    <t>Collection Viability Incentives</t>
  </si>
  <si>
    <t>CNA</t>
  </si>
  <si>
    <t>PEI</t>
  </si>
  <si>
    <t>-</t>
  </si>
  <si>
    <t>PBB</t>
  </si>
  <si>
    <t>Other Expenses</t>
  </si>
  <si>
    <t>Amount of Share w/out Other Exp. R.O.</t>
  </si>
  <si>
    <t>Amount of Share w/out Other Exp. IMO</t>
  </si>
  <si>
    <t>D. TOTAL EXPENSES</t>
  </si>
  <si>
    <t>Un-paid</t>
  </si>
  <si>
    <t>Paid</t>
  </si>
  <si>
    <t>3. Power</t>
  </si>
  <si>
    <t>NIMF</t>
  </si>
  <si>
    <t>Regular</t>
  </si>
  <si>
    <t>2. MOOE</t>
  </si>
  <si>
    <t>1. Personal Services</t>
  </si>
  <si>
    <t>C. EXPENSES</t>
  </si>
  <si>
    <t>TOTAL INCOME</t>
  </si>
  <si>
    <t>SUB-TOTAL</t>
  </si>
  <si>
    <t>5. Budgetary Support</t>
  </si>
  <si>
    <t>4. Miscellaneous / Others</t>
  </si>
  <si>
    <t>3. CIP / CIS Equity</t>
  </si>
  <si>
    <t>Interest/Penalty</t>
  </si>
  <si>
    <t>Back</t>
  </si>
  <si>
    <t>Back Account</t>
  </si>
  <si>
    <t>Current Account</t>
  </si>
  <si>
    <t>2. CIS Amortization</t>
  </si>
  <si>
    <t>1. Power</t>
  </si>
  <si>
    <t>B. NON-OPERATING INCOME</t>
  </si>
  <si>
    <t>3. Pump Amortization</t>
  </si>
  <si>
    <t>2. Equipment Rental</t>
  </si>
  <si>
    <t>Penalty</t>
  </si>
  <si>
    <t>Incentive Policy</t>
  </si>
  <si>
    <t>1. Irrigation Service Fee</t>
  </si>
  <si>
    <t>A. OPERATING INCOME</t>
  </si>
  <si>
    <t>Total</t>
  </si>
  <si>
    <t>As of Last Month</t>
  </si>
  <si>
    <t>A vs C</t>
  </si>
  <si>
    <t>Accomplishment</t>
  </si>
  <si>
    <t>Total
Commitment as of</t>
  </si>
  <si>
    <t>Revenue Generation and Expenditures</t>
  </si>
  <si>
    <t>Sort Code/Ofc Code</t>
  </si>
  <si>
    <t>Payee</t>
  </si>
  <si>
    <t>Balance
for the Month</t>
  </si>
  <si>
    <t>Nueva Ecija</t>
  </si>
  <si>
    <t>Repairs and Maintenance - Buildings</t>
  </si>
  <si>
    <t>Other General Services</t>
  </si>
  <si>
    <t>Advances to Special Disbursing Officer</t>
  </si>
  <si>
    <t>Due from Other Funds</t>
  </si>
  <si>
    <t>Due from National Government Agencies</t>
  </si>
  <si>
    <t>Buildings</t>
  </si>
  <si>
    <t>Medical Equipment</t>
  </si>
  <si>
    <t>Due to NGAs</t>
  </si>
  <si>
    <t>Allowance for Impairment-Accounts Receivable</t>
  </si>
  <si>
    <t>(All)</t>
  </si>
  <si>
    <t>Values</t>
  </si>
  <si>
    <t>Sum of Debit</t>
  </si>
  <si>
    <t>Sum of Credit</t>
  </si>
  <si>
    <t>PS</t>
  </si>
  <si>
    <t>PARTICULAR</t>
  </si>
  <si>
    <t>A. INCOME</t>
  </si>
  <si>
    <t>OPERATING INCOME :</t>
  </si>
  <si>
    <t>Current</t>
  </si>
  <si>
    <t xml:space="preserve">     Regular</t>
  </si>
  <si>
    <t xml:space="preserve">     Incentive Policy</t>
  </si>
  <si>
    <t xml:space="preserve">     Penalty</t>
  </si>
  <si>
    <t>2.  Equipment Rental/ Rent Income</t>
  </si>
  <si>
    <t>Internal (Not Specified in source of data if Internal/External )</t>
  </si>
  <si>
    <t>External</t>
  </si>
  <si>
    <t>NON-OPERATING INCOME :</t>
  </si>
  <si>
    <t>1. 1st GEN</t>
  </si>
  <si>
    <t>2. BHEP Power Generation</t>
  </si>
  <si>
    <t>5. 5% Management Fee</t>
  </si>
  <si>
    <t>Subsidy for the Operating Requirements</t>
  </si>
  <si>
    <t xml:space="preserve">                       Total</t>
  </si>
  <si>
    <t>B.  EXPENSES</t>
  </si>
  <si>
    <t xml:space="preserve">       PERSONAL SERVICES</t>
  </si>
  <si>
    <t xml:space="preserve">           1. Salaries and Wages</t>
  </si>
  <si>
    <t xml:space="preserve">    a. Salaries</t>
  </si>
  <si>
    <t xml:space="preserve">    b. Wages-Daily/ Contractual Personnel</t>
  </si>
  <si>
    <t xml:space="preserve">           2. Other Compensation</t>
  </si>
  <si>
    <t>a. PERA/ ACA</t>
  </si>
  <si>
    <t>b. Representation Allowance</t>
  </si>
  <si>
    <t>c. Transportation Allowance</t>
  </si>
  <si>
    <t>d. Uniform /Clothing Allowance</t>
  </si>
  <si>
    <t>e. Productivity Incentive Bonus</t>
  </si>
  <si>
    <t>f. Honoraria</t>
  </si>
  <si>
    <t>g. Children Allowances</t>
  </si>
  <si>
    <t>h. Medical Allowances</t>
  </si>
  <si>
    <t>i. Meal Allowances</t>
  </si>
  <si>
    <t>j. Cash Gift</t>
  </si>
  <si>
    <t>k. PEI</t>
  </si>
  <si>
    <t>l.  C.N.A.</t>
  </si>
  <si>
    <t>m.  Year-End -Bonus</t>
  </si>
  <si>
    <t>n. Overtime Pay</t>
  </si>
  <si>
    <t xml:space="preserve">           3. Fixed Personal Expenditures</t>
  </si>
  <si>
    <t xml:space="preserve">a. GSIS Life &amp; Ret .Premium </t>
  </si>
  <si>
    <t>b.Pag-ibig/HDMF</t>
  </si>
  <si>
    <t>c.Philhealth</t>
  </si>
  <si>
    <t>d.Employee Comp.(ECC)</t>
  </si>
  <si>
    <t xml:space="preserve">           4. Other Personal Services Expenses</t>
  </si>
  <si>
    <t>a. Loyalty Award</t>
  </si>
  <si>
    <t>b. Performance Bonus</t>
  </si>
  <si>
    <t>c. Anniversary Bonus</t>
  </si>
  <si>
    <t>d. Monetization</t>
  </si>
  <si>
    <t xml:space="preserve">           5. Provident Fund</t>
  </si>
  <si>
    <t>Total Personal Services(Net TL &amp; RG)</t>
  </si>
  <si>
    <t xml:space="preserve">           6. Other Personal Services (Regular Retirees)</t>
  </si>
  <si>
    <t xml:space="preserve">a. Retirement Gratuity </t>
  </si>
  <si>
    <t>b. Terminal Leave</t>
  </si>
  <si>
    <t xml:space="preserve">         Total Personal Services</t>
  </si>
  <si>
    <t>Total PS less: Other PS Expenses</t>
  </si>
  <si>
    <t>MOOE</t>
  </si>
  <si>
    <t>1. Travelling Expenses</t>
  </si>
  <si>
    <t>2. Training and Scholarship Expenses</t>
  </si>
  <si>
    <t>3. Supplies and Materials</t>
  </si>
  <si>
    <t>a.Office Supplies</t>
  </si>
  <si>
    <t>b. Accountable Forms</t>
  </si>
  <si>
    <t>c.Drugs and Medicines</t>
  </si>
  <si>
    <t>d. Medical, Dental and Laboratory Supplies</t>
  </si>
  <si>
    <t>e. Gasoline, Oil and Lubricants</t>
  </si>
  <si>
    <t>f. Textbooks and Instructional Materials</t>
  </si>
  <si>
    <t>g. Other Supplies</t>
  </si>
  <si>
    <t>4. Utility Expense</t>
  </si>
  <si>
    <t>a. Water</t>
  </si>
  <si>
    <t>b. Electricity</t>
  </si>
  <si>
    <t xml:space="preserve">    b.1. Illumination</t>
  </si>
  <si>
    <t xml:space="preserve">    b.2.  Power for Pumps</t>
  </si>
  <si>
    <t>5. Communication Expenses</t>
  </si>
  <si>
    <t>a. Postage and Deliveries</t>
  </si>
  <si>
    <t>b.Telephone expenses -Landline</t>
  </si>
  <si>
    <t>c.Telephone Expenses- Mobile</t>
  </si>
  <si>
    <t xml:space="preserve">d.Internet Expenses </t>
  </si>
  <si>
    <t>e. Cable, Satellite, Telegraph and Radio Expenses</t>
  </si>
  <si>
    <t>6. Membership Dues and Contributions to Org.</t>
  </si>
  <si>
    <t>7. Advertising Expense</t>
  </si>
  <si>
    <t>8. Printing and Binding Expense</t>
  </si>
  <si>
    <t>9. Rent Expense</t>
  </si>
  <si>
    <t>10. Representation Expenses</t>
  </si>
  <si>
    <t>11. Transportation and Delivery Expense</t>
  </si>
  <si>
    <t>12. Storage Expenses</t>
  </si>
  <si>
    <t>13. Subscription Expenses</t>
  </si>
  <si>
    <t>14. Rewards and Other Claims</t>
  </si>
  <si>
    <t>15. Professional Services</t>
  </si>
  <si>
    <t>a. Legal Sevices</t>
  </si>
  <si>
    <t>b. Auditing Services</t>
  </si>
  <si>
    <t>c. Consultancy Services</t>
  </si>
  <si>
    <t>d. Environment &amp; Sanitary Services</t>
  </si>
  <si>
    <t>e. General Services</t>
  </si>
  <si>
    <t xml:space="preserve">f. Janitorial Services </t>
  </si>
  <si>
    <t>g. Security Services</t>
  </si>
  <si>
    <t>h. Other Prof. Serv.(Job Order, Cont.of Service etc.)</t>
  </si>
  <si>
    <t>16. Repairs and Maintenance</t>
  </si>
  <si>
    <t>a. Office Equip., Furn.&amp; Fix., IT Eqp't &amp; Software</t>
  </si>
  <si>
    <t>b. Macheniries and Equipment</t>
  </si>
  <si>
    <t>c. Transporation Equipment</t>
  </si>
  <si>
    <t>d. Building and Structures</t>
  </si>
  <si>
    <t>e. Public Insfractructure</t>
  </si>
  <si>
    <t>f. Other Property ,Plant and Equipment</t>
  </si>
  <si>
    <t>17. Subsidies and Donations</t>
  </si>
  <si>
    <t>18. Extraordinary &amp; Miscellaneous Expenses</t>
  </si>
  <si>
    <t>a. Extraordinary Expense</t>
  </si>
  <si>
    <t>b. Miscellaneous Expense</t>
  </si>
  <si>
    <t>19. Taxes Insurance Premiums and Other Fees</t>
  </si>
  <si>
    <t>a. Taxes ,Duties and Licenses</t>
  </si>
  <si>
    <t xml:space="preserve">b. Fedility Bond Premiums </t>
  </si>
  <si>
    <t>c. Insurance Expenses</t>
  </si>
  <si>
    <t>20. Other Maintenance &amp; Operating Expenses</t>
  </si>
  <si>
    <t>a. Collection Expense</t>
  </si>
  <si>
    <t>b. Collection Viability Bonus</t>
  </si>
  <si>
    <t>c. Athletics</t>
  </si>
  <si>
    <t>d. Motorcycle Allowance</t>
  </si>
  <si>
    <t>e. Others(Pls. Specify) Gender and Development and Meals &amp; Snacks</t>
  </si>
  <si>
    <t>21. 10% Discount on ISF Collection</t>
  </si>
  <si>
    <t>22. Loss on Sale of Palay</t>
  </si>
  <si>
    <t>Sub-Total Regular MOOE</t>
  </si>
  <si>
    <t>Total MOOE less: Other MOOE</t>
  </si>
  <si>
    <t>OTHER MOOE -NIMF</t>
  </si>
  <si>
    <t>1. IA Renumerations for Canal Clearing &amp; Maintenance</t>
  </si>
  <si>
    <t>2. IA Shares from Collection of ISF</t>
  </si>
  <si>
    <t>3.Power Cost for Pumps</t>
  </si>
  <si>
    <t>4.Training Expenses for IA's</t>
  </si>
  <si>
    <t>Total MOOE-NIMF</t>
  </si>
  <si>
    <t>Total NIMF less: Others</t>
  </si>
  <si>
    <t>TOTAL  MOOE</t>
  </si>
  <si>
    <t>TOTAL EXPENSES</t>
  </si>
  <si>
    <t>CAPITAL OUTLAY</t>
  </si>
  <si>
    <t>TOTAL REG. EXPENSES &amp; CAPITAL OUTLAY</t>
  </si>
  <si>
    <t>SURPLUS / DEFICIT</t>
  </si>
  <si>
    <t>735</t>
  </si>
  <si>
    <t>969-5</t>
  </si>
  <si>
    <t>969-6</t>
  </si>
  <si>
    <t>969-7</t>
  </si>
  <si>
    <t>969-8</t>
  </si>
  <si>
    <t>Other MOOE - Meals &amp; Snacks</t>
  </si>
  <si>
    <t>969-9</t>
  </si>
  <si>
    <t>969-10</t>
  </si>
  <si>
    <t>969-11</t>
  </si>
  <si>
    <t>Code</t>
  </si>
  <si>
    <t>Annual Cash Program CY 2017</t>
  </si>
  <si>
    <t>Current Operating Budget</t>
  </si>
  <si>
    <t>3. NPC Share in O&amp;M Cost of Magat Dam</t>
  </si>
  <si>
    <t>4. SN Aboitiz Power. Inc.</t>
  </si>
  <si>
    <t>6. CIP/ CIS Amortization</t>
  </si>
  <si>
    <t>7. CIP/ CIS/Pump Equity</t>
  </si>
  <si>
    <t>8. Miscellaneous Income (Pls.specify)</t>
  </si>
  <si>
    <t>9. Budgetary Support</t>
  </si>
  <si>
    <t>Bid Documents</t>
  </si>
  <si>
    <t>Scrap of Fixed Assets</t>
  </si>
  <si>
    <t>Others (Power)</t>
  </si>
  <si>
    <t>Disallowance</t>
  </si>
  <si>
    <t>1. Irrigation Service Fees</t>
  </si>
  <si>
    <t>e1. GAD</t>
  </si>
  <si>
    <t>e2. Meals &amp; Snacks</t>
  </si>
  <si>
    <t>5. Repair and Maintenance of Existing NIS</t>
  </si>
  <si>
    <t>6. Repair of Building</t>
  </si>
  <si>
    <t>CY 2017
Commitment</t>
  </si>
  <si>
    <t>706</t>
  </si>
  <si>
    <t>999</t>
  </si>
  <si>
    <t>Capital Outlay</t>
  </si>
  <si>
    <t>Provident Fund</t>
  </si>
  <si>
    <t>Drugs and Medicines</t>
  </si>
  <si>
    <t>Medical, Dental and Laboratory Supplies</t>
  </si>
  <si>
    <t>Membership Dues and Contributions to Org.</t>
  </si>
  <si>
    <t>Advertising Expense</t>
  </si>
  <si>
    <t>Rewards and Other Claims</t>
  </si>
  <si>
    <t>Legal Sevices</t>
  </si>
  <si>
    <t>Consultancy Services</t>
  </si>
  <si>
    <t>General Services</t>
  </si>
  <si>
    <t xml:space="preserve">Janitorial Services </t>
  </si>
  <si>
    <t>Repairs and Maintenance - Public Insfractructure</t>
  </si>
  <si>
    <t>Subsidies and Donations</t>
  </si>
  <si>
    <t>Collection Expense</t>
  </si>
  <si>
    <t>Other MOOE - Athletics</t>
  </si>
  <si>
    <t>Other MOOE - GAD</t>
  </si>
  <si>
    <t>IA Renumerations for Canal Clearing &amp; Maintenance</t>
  </si>
  <si>
    <t>Repair of Building</t>
  </si>
  <si>
    <t>Deviation
to date
A vs C</t>
  </si>
  <si>
    <t>REGION III</t>
  </si>
  <si>
    <t>OFFICE</t>
  </si>
  <si>
    <t>COMMITMENT</t>
  </si>
  <si>
    <t>ACTUAL</t>
  </si>
  <si>
    <t>IMO Share</t>
  </si>
  <si>
    <t>Share on
Regional Expenses</t>
  </si>
  <si>
    <t xml:space="preserve">Net Inc. (Loss)
VIG MC 20
s. 2007 </t>
  </si>
  <si>
    <t>VI</t>
  </si>
  <si>
    <t>Commitment
VS
Actual</t>
  </si>
  <si>
    <t>EXPENSES</t>
  </si>
  <si>
    <t>NET INCOME/
(LOSS)</t>
  </si>
  <si>
    <t>VS</t>
  </si>
  <si>
    <t>W/ RO SHARE</t>
  </si>
  <si>
    <t>AURORA           PIMO</t>
  </si>
  <si>
    <t>Income</t>
  </si>
  <si>
    <t>Expenses</t>
  </si>
  <si>
    <t>Net Inc./(Loss)</t>
  </si>
  <si>
    <t>BULACAN             PIMO</t>
  </si>
  <si>
    <t>NUEVA ECIJA PIMO</t>
  </si>
  <si>
    <t>IMO</t>
  </si>
  <si>
    <t>PAMPANGA           PIMO</t>
  </si>
  <si>
    <t>BATAAN           PIMO</t>
  </si>
  <si>
    <t>TARLAC           PIMO</t>
  </si>
  <si>
    <t>ZAMBALES         PIMO</t>
  </si>
  <si>
    <t>CAMILING RIS</t>
  </si>
  <si>
    <t>REGIONAL   OFFICE</t>
  </si>
  <si>
    <t>Monthly Monitoring Report-CY 2017</t>
  </si>
  <si>
    <t>Checked and verified:</t>
  </si>
  <si>
    <t>Noted:</t>
  </si>
  <si>
    <t>Republic of the Philippines</t>
  </si>
  <si>
    <t>(Pambansang Pangasiwaan ng Patubig)</t>
  </si>
  <si>
    <t>Regional Office No. III</t>
  </si>
  <si>
    <t>P  A  R  T  I  C  U  L  A  R  S</t>
  </si>
  <si>
    <t>ASA RECEIVED</t>
  </si>
  <si>
    <t>BALANCE</t>
  </si>
  <si>
    <t>I PERSONAL SERVICES</t>
  </si>
  <si>
    <t>1. Salaries and Wages</t>
  </si>
  <si>
    <t>a. Salaries</t>
  </si>
  <si>
    <t>b. Wages</t>
  </si>
  <si>
    <t>c. Contractual Personnel</t>
  </si>
  <si>
    <t>2. Other Compensation</t>
  </si>
  <si>
    <t>a. PERA</t>
  </si>
  <si>
    <t>b. CNA</t>
  </si>
  <si>
    <t>c. Representation Allowance</t>
  </si>
  <si>
    <t>d. Transportation Allowance</t>
  </si>
  <si>
    <t>e. Uniform / Clothing Allowance</t>
  </si>
  <si>
    <t>f. Productivity Incentive Bonus</t>
  </si>
  <si>
    <t>g. Honoraria</t>
  </si>
  <si>
    <t>h. Children Allowance</t>
  </si>
  <si>
    <t>i. Medical Allowance</t>
  </si>
  <si>
    <t>j. Meal Allowance</t>
  </si>
  <si>
    <t>l. Cash Gift</t>
  </si>
  <si>
    <t>m. Year-End Bonus</t>
  </si>
  <si>
    <t>3. Other Benefits</t>
  </si>
  <si>
    <t>a. Retirement Benefits</t>
  </si>
  <si>
    <t>b. Terminal Leave Benefits</t>
  </si>
  <si>
    <t>c. Others (1st 30 days)</t>
  </si>
  <si>
    <t>4. Fixed Personal Expenditures</t>
  </si>
  <si>
    <t>a. GSIS Ret. &amp; Life Insurance Premium</t>
  </si>
  <si>
    <t>b. PAG IBIG Contributions</t>
  </si>
  <si>
    <t>c. PHILHEALTH Contributions</t>
  </si>
  <si>
    <t>d. Employees Compensation Insurance Premium</t>
  </si>
  <si>
    <t>5. Other Personal Services Expenses</t>
  </si>
  <si>
    <t>TOTAL - PERSONAL SERVICES</t>
  </si>
  <si>
    <t>II. MAINTENANCE &amp; OTHER OPERATING EXPENSES</t>
  </si>
  <si>
    <t>2. Training &amp; ScholarshipExpenses</t>
  </si>
  <si>
    <t>3. Supplies &amp; Materials</t>
  </si>
  <si>
    <t>a. Office Supplies</t>
  </si>
  <si>
    <t>c. Drugs &amp; Medicines</t>
  </si>
  <si>
    <t>e. Gasoline, Oil &amp; Lubricants</t>
  </si>
  <si>
    <t>f. Textbooks &amp; Instructional Materials</t>
  </si>
  <si>
    <t>g. Other Supplies Expense</t>
  </si>
  <si>
    <t>h. Collection Expense</t>
  </si>
  <si>
    <t>b. Electicity</t>
  </si>
  <si>
    <t>a. Illumination</t>
  </si>
  <si>
    <t>b. Power for Pumps</t>
  </si>
  <si>
    <t>5. Communication Expense</t>
  </si>
  <si>
    <t>6. Membership Dues &amp; Contributions to Organizations</t>
  </si>
  <si>
    <t>8. Printing &amp; Binding Expense</t>
  </si>
  <si>
    <t>9. Rent Expenses</t>
  </si>
  <si>
    <t>14. Professional Services</t>
  </si>
  <si>
    <t>a. Legal Services</t>
  </si>
  <si>
    <t>d. Environmental &amp; Sanitary Services</t>
  </si>
  <si>
    <t>f. Janitorial Services</t>
  </si>
  <si>
    <t>h. Other Professional Services</t>
  </si>
  <si>
    <t>15. Repairs &amp; Maintenance</t>
  </si>
  <si>
    <t>16. Subsidies &amp; Donations</t>
  </si>
  <si>
    <t>17. Extraordinary &amp; Miscellaneous Expense</t>
  </si>
  <si>
    <t>a. Extraordinary Expenses</t>
  </si>
  <si>
    <t>b. Miscellaneous Expenses</t>
  </si>
  <si>
    <t>c. Viability Incentive  Grant</t>
  </si>
  <si>
    <t>d. Discretionary</t>
  </si>
  <si>
    <t>e. Athletics</t>
  </si>
  <si>
    <t>f. Other Miscellaneous Expenses</t>
  </si>
  <si>
    <t>18. Taxes, Insurance premiums &amp; Other Fees</t>
  </si>
  <si>
    <t>19. 10% Discount on ISF Collection</t>
  </si>
  <si>
    <t>20. Irrigator's Share</t>
  </si>
  <si>
    <t>21. Loss on Sale of Palay</t>
  </si>
  <si>
    <t>22. Motorcycle Allowance</t>
  </si>
  <si>
    <t>23. Contractual Services</t>
  </si>
  <si>
    <t>24. Job Order</t>
  </si>
  <si>
    <t>25. Bank Charges</t>
  </si>
  <si>
    <t>27. Other MOOE</t>
  </si>
  <si>
    <t>TOTAL - MOOE</t>
  </si>
  <si>
    <t>Prepared By:</t>
  </si>
  <si>
    <t>Certified Correct :</t>
  </si>
  <si>
    <t>Financial Planning Speacialist B</t>
  </si>
  <si>
    <t xml:space="preserve">                                         Noted:</t>
  </si>
  <si>
    <t>Regional Manager</t>
  </si>
  <si>
    <t>n. Overtime Services</t>
  </si>
  <si>
    <t>a. Telephone - Landline</t>
  </si>
  <si>
    <t>b. Telephone - Mobile</t>
  </si>
  <si>
    <t>26. GAD</t>
  </si>
  <si>
    <t>c. Internet Expenses</t>
  </si>
  <si>
    <t>a. Building</t>
  </si>
  <si>
    <t>b. Office Equipment</t>
  </si>
  <si>
    <t>c. Machineries</t>
  </si>
  <si>
    <t>d. Other Transportation Equipment</t>
  </si>
  <si>
    <t>e. Other Property, Plant and Equipment</t>
  </si>
  <si>
    <t>f. Irrigation, Canals and Laterals</t>
  </si>
  <si>
    <t>g. Construction and Heavy Equipment</t>
  </si>
  <si>
    <t>h. Other Machineries and Equipment</t>
  </si>
  <si>
    <t>i. Motor Vehicles</t>
  </si>
  <si>
    <t>156</t>
  </si>
  <si>
    <t>STATEMENT OF BUDGET UTILIZATION FOR CY 2017</t>
  </si>
  <si>
    <t>141</t>
  </si>
  <si>
    <t>11. Postage &amp; Deliveries</t>
  </si>
  <si>
    <t>DISBURSEMENT</t>
  </si>
  <si>
    <t>Statement of Revenue and Expenses</t>
  </si>
  <si>
    <t>4. Power</t>
  </si>
  <si>
    <t>5. CIS Amortization</t>
  </si>
  <si>
    <t>6. CIP / CIS Equity</t>
  </si>
  <si>
    <t>7. Miscellaneous / Others</t>
  </si>
  <si>
    <t>Terminal leave/Monetization</t>
  </si>
  <si>
    <t>Less: Disbursement for Capital Outlay</t>
  </si>
  <si>
    <t>NET REVENUE AFTER DEDUCTING C.O.</t>
  </si>
  <si>
    <t>REVENUE</t>
  </si>
  <si>
    <t>TOTAL REVENUE</t>
  </si>
  <si>
    <t>RIO</t>
  </si>
  <si>
    <t>Other Pesonnel Benefits</t>
  </si>
  <si>
    <t>Due to Other Funds</t>
  </si>
  <si>
    <t>NGAS CODE</t>
  </si>
  <si>
    <t>ACCOUNT NAME</t>
  </si>
  <si>
    <t>PPSAS CODE</t>
  </si>
  <si>
    <t>Cash-Collecting Officers</t>
  </si>
  <si>
    <t>Accounts Receivable - ISF (Current &amp; Back Accounts)</t>
  </si>
  <si>
    <t>Due from Local Government Units</t>
  </si>
  <si>
    <t>Due from Central Office</t>
  </si>
  <si>
    <t>Office Supplies Inventory</t>
  </si>
  <si>
    <t>Fuel, Oil and Lubricants Inventory</t>
  </si>
  <si>
    <t>Textbooks and Instructional Materials Inventory</t>
  </si>
  <si>
    <t>Construction Materials Inventory</t>
  </si>
  <si>
    <t>Semi-Expendable Office Equipment</t>
  </si>
  <si>
    <t>Semi-Expendable Agricultural and Forestry Equipment</t>
  </si>
  <si>
    <t>Semi-Expendable Marine and Fishery Equipment</t>
  </si>
  <si>
    <t>Semi-Expendable Disaster Response and Rescue Equipment</t>
  </si>
  <si>
    <t>Semi-Expendable Military, Police and Security Equipment</t>
  </si>
  <si>
    <t>Semi-Expendable Medical Equipment</t>
  </si>
  <si>
    <t>Semi-Expendable Printing Equipment</t>
  </si>
  <si>
    <t>Semi-Expendable Sports Equipment</t>
  </si>
  <si>
    <t>Semi-Expendable Technical and Scientific Equipment</t>
  </si>
  <si>
    <t>Semi-Expendable Furniture and Fixtures</t>
  </si>
  <si>
    <t>Semi-Expendable Books</t>
  </si>
  <si>
    <t>Power Supply Systems</t>
  </si>
  <si>
    <t>Marine and Fishery Equipment</t>
  </si>
  <si>
    <t>Disaster Response and Rescue Equipment</t>
  </si>
  <si>
    <t>Road Networks</t>
  </si>
  <si>
    <t>Water Supply Systems</t>
  </si>
  <si>
    <t>Bail Bonds Payable</t>
  </si>
  <si>
    <t>Salaries and Wages-Casual/Contractual</t>
  </si>
  <si>
    <t>Subsistence Allowance</t>
  </si>
  <si>
    <t>Quarters Allowance</t>
  </si>
  <si>
    <t>Retirement and Life Insurance Premiums</t>
  </si>
  <si>
    <t>Employees Compensation Insurance Premiums</t>
  </si>
  <si>
    <t>Scholarship Grants/Expenses</t>
  </si>
  <si>
    <t>Fuel, Oil and Lubricants Expenses</t>
  </si>
  <si>
    <t>Military, Police and Traffic Supplies Expenses</t>
  </si>
  <si>
    <t>Other Supplies and Materials Expenses</t>
  </si>
  <si>
    <t>Semi-Expendable Machinery and Equipment Expenses</t>
  </si>
  <si>
    <t>Semi-Expendable Furniture, Fixtures and Books Expenses</t>
  </si>
  <si>
    <t>Other Utility Expenses</t>
  </si>
  <si>
    <t>Internet Subscription Expenses</t>
  </si>
  <si>
    <t>Awards/Rewards Expenses</t>
  </si>
  <si>
    <t>Indemnities</t>
  </si>
  <si>
    <t>Printing and Publication Expenses</t>
  </si>
  <si>
    <t>Rent/Lease Expenses</t>
  </si>
  <si>
    <t>Security Services</t>
  </si>
  <si>
    <t>160</t>
  </si>
  <si>
    <t>163</t>
  </si>
  <si>
    <t>168</t>
  </si>
  <si>
    <t>178</t>
  </si>
  <si>
    <t>205</t>
  </si>
  <si>
    <t>251</t>
  </si>
  <si>
    <t>305</t>
  </si>
  <si>
    <t>333</t>
  </si>
  <si>
    <t>422</t>
  </si>
  <si>
    <t>656</t>
  </si>
  <si>
    <t>654</t>
  </si>
  <si>
    <t>657</t>
  </si>
  <si>
    <t>752</t>
  </si>
  <si>
    <t>754</t>
  </si>
  <si>
    <t>758</t>
  </si>
  <si>
    <t>764</t>
  </si>
  <si>
    <t>768</t>
  </si>
  <si>
    <t>779</t>
  </si>
  <si>
    <t>797</t>
  </si>
  <si>
    <t>802</t>
  </si>
  <si>
    <t>835</t>
  </si>
  <si>
    <t>ACCOUNT CODE (NGAS)</t>
  </si>
  <si>
    <t>ACCOUNT
CODE
(PPSAS)</t>
  </si>
  <si>
    <t>169-1</t>
  </si>
  <si>
    <t>169-2</t>
  </si>
  <si>
    <t>169-3</t>
  </si>
  <si>
    <t>169-4</t>
  </si>
  <si>
    <t>169-5</t>
  </si>
  <si>
    <t>169-6</t>
  </si>
  <si>
    <t>169-7</t>
  </si>
  <si>
    <t>169-8</t>
  </si>
  <si>
    <t>169-9</t>
  </si>
  <si>
    <t>169-10</t>
  </si>
  <si>
    <t>169-11</t>
  </si>
  <si>
    <t>169-12</t>
  </si>
  <si>
    <t>169-13</t>
  </si>
  <si>
    <t>169-14</t>
  </si>
  <si>
    <t>228</t>
  </si>
  <si>
    <t>328</t>
  </si>
  <si>
    <t>351</t>
  </si>
  <si>
    <t>352</t>
  </si>
  <si>
    <t>716-1</t>
  </si>
  <si>
    <t>716-2</t>
  </si>
  <si>
    <t>716-3</t>
  </si>
  <si>
    <t>769-1</t>
  </si>
  <si>
    <t>769-2</t>
  </si>
  <si>
    <t>779-1</t>
  </si>
  <si>
    <t>Normal Balance</t>
  </si>
  <si>
    <t>Miscellaneous Income - Sale of Goods &amp; Materials</t>
  </si>
  <si>
    <t>Miscellaneous Income - Sales of Goods and Materials</t>
  </si>
  <si>
    <t>Miscellaneous Income - Sale of Goods and Materials</t>
  </si>
  <si>
    <t>Petty Cash</t>
  </si>
  <si>
    <t>Cash in Bank-Local Currency, Current Account</t>
  </si>
  <si>
    <t>Cash in Bank-Local Currency, Current Account-Land Bank of the Philippines ( LBP)</t>
  </si>
  <si>
    <t>Cash in Bank-Local Currency, Current Account-Philippine National Bank (PNB)</t>
  </si>
  <si>
    <t>Cash in Bank-Local Currency, Savings Account</t>
  </si>
  <si>
    <t>Cash in Bank-Local Currency, Savings Accounts-LBP</t>
  </si>
  <si>
    <t>Cash in Bank-Local Currency, Savings Accounts-PNB</t>
  </si>
  <si>
    <t>Cash in Bank-Local Currency, Time Deposits</t>
  </si>
  <si>
    <t>Cash in Bank-Local Currency, Time Deposits-LBP</t>
  </si>
  <si>
    <t>Cash in Bank-Foreign Currency, Current Account</t>
  </si>
  <si>
    <t>Cash in Bank-Foreign Currency, Savings Account</t>
  </si>
  <si>
    <t>Cash in Bank-Foreign Currency, Savings Account-LBP</t>
  </si>
  <si>
    <t>Cash in Bank-Foreign Currency, Time Deposits</t>
  </si>
  <si>
    <t>Cash in Bank-Foreign Currency, Time Deposits-LBP</t>
  </si>
  <si>
    <t>Accounts Receivable</t>
  </si>
  <si>
    <t>Accounts Receivable - Pump/CIP/CIS Equity</t>
  </si>
  <si>
    <t>Due from Government-Owned or Controlled Corporations</t>
  </si>
  <si>
    <t>Receivables-Disallowances/Charges</t>
  </si>
  <si>
    <t>Other Receivables</t>
  </si>
  <si>
    <t>Accountable Forms, Plates and Stickers Inventory</t>
  </si>
  <si>
    <t>Medical, Dental and Laboratory Supplies Inventory</t>
  </si>
  <si>
    <t>Semi-Expendable Machinery</t>
  </si>
  <si>
    <t>Semi-Expendable Information and Communications Technology Equipment</t>
  </si>
  <si>
    <t>Semi-Expendable Airport Equipment</t>
  </si>
  <si>
    <t>Semi-Expendable Communications Equipment</t>
  </si>
  <si>
    <t>Semi-Expendable Other Machinery and Equipment</t>
  </si>
  <si>
    <t>Other Land Improvements</t>
  </si>
  <si>
    <t>Accumulated Depreciation-Other Land Improvements</t>
  </si>
  <si>
    <t>Accumulated Depreciation-Road Networks</t>
  </si>
  <si>
    <t>Accumulated Depreciation-Water Supply Systems</t>
  </si>
  <si>
    <t>Accumulated Depreciation-Power Supply Systems</t>
  </si>
  <si>
    <t>Accumulated Depreciation-Buildings</t>
  </si>
  <si>
    <t>Accumulated Depreciation-Other Structures</t>
  </si>
  <si>
    <t>Machinery</t>
  </si>
  <si>
    <t>Accumulated Depreciation-Machinery</t>
  </si>
  <si>
    <t>Accumulated Depreciation-Office Equipment</t>
  </si>
  <si>
    <t>Information and Communications Technology Equipment</t>
  </si>
  <si>
    <t>Accumulated Depreciation-Information and Communications Technology Equipment</t>
  </si>
  <si>
    <t>Agricultural and Forestry Equipment</t>
  </si>
  <si>
    <t>Accumulated Depreciation-Agricultural and Forestry Equipment</t>
  </si>
  <si>
    <t>Accumulated Depreciation-Marine and Fishery Equipment</t>
  </si>
  <si>
    <t>Accumulated Depreciation-Communication Equipment</t>
  </si>
  <si>
    <t>Construction and Heavy Equipment</t>
  </si>
  <si>
    <t>Accumulated Depreciation-Construction and Heavy Equipment</t>
  </si>
  <si>
    <t>Accumulated Depreciation-Disaster Response and Rescue Equipment</t>
  </si>
  <si>
    <t>Military, Police and Security Equipment</t>
  </si>
  <si>
    <t>Accumulated Depreciation-Military, Police and Security Equipment</t>
  </si>
  <si>
    <t>Accumulated Depreciation-Medical Equipment</t>
  </si>
  <si>
    <t>Accumulated Depreciation-Sports Equipment</t>
  </si>
  <si>
    <t>Accumulated Depreciation-Technical and Scientific Equipment</t>
  </si>
  <si>
    <t>Accumulated Depreciation-Other Machinery and Equipment</t>
  </si>
  <si>
    <t>Accumulated Depreciation-Motor Vehicles</t>
  </si>
  <si>
    <t>Aircrafts and Aircrafts Ground Equipment</t>
  </si>
  <si>
    <t>Accumulated Depreciation-Aircrafts and Aircrafts Ground Equipment</t>
  </si>
  <si>
    <t>Accumulated Depreciation-Watercrafts</t>
  </si>
  <si>
    <t>Accumulated Depreciation-Other Transportation Equipment</t>
  </si>
  <si>
    <t>Furniture and Fixtures</t>
  </si>
  <si>
    <t>Accumulated Depreciation-Furniture and Fixtures</t>
  </si>
  <si>
    <t>Books</t>
  </si>
  <si>
    <t>Accumulated Depreciation-Books</t>
  </si>
  <si>
    <t>Accumulated Depreciation-Other Property, Plant and Equipment</t>
  </si>
  <si>
    <t>Construction in Progress-Infrastructure Assets (Agency Assets)</t>
  </si>
  <si>
    <t>Construction in Progress-Infrastructure Assets (Artesian Wells, Reservoirs, Pumping Stations &amp; Conduits)</t>
  </si>
  <si>
    <t>Construction in Progress-Infrastructure Assets (Irrigation, Canals and Laterals)</t>
  </si>
  <si>
    <t>Guaranty Deposits</t>
  </si>
  <si>
    <t>Accumulated Impairment Losses-Other Assets</t>
  </si>
  <si>
    <t>Loans Payable-Domestic</t>
  </si>
  <si>
    <t>Loans Payable-Foreign</t>
  </si>
  <si>
    <t>Due to GSIS - Life and Retirement Premium</t>
  </si>
  <si>
    <t>Due to GSIS - ECC</t>
  </si>
  <si>
    <t>Due to GSIS - Salary Loan</t>
  </si>
  <si>
    <t>Due to GSIS - Policy Loan</t>
  </si>
  <si>
    <t>Due to Pag-IBIG</t>
  </si>
  <si>
    <t>Due to Pag-IBIG - Pag-IBIG Premium</t>
  </si>
  <si>
    <t>Due to Pag-IBIG - Pag-IBIG Multi-Purpose Loan</t>
  </si>
  <si>
    <t>Due to Pag-IBIG - Pag-IBIG Housing Loan</t>
  </si>
  <si>
    <t>Due to PhilHealth</t>
  </si>
  <si>
    <t>Due to Regional Offices</t>
  </si>
  <si>
    <t>Guaranty/Security Deposits Payable</t>
  </si>
  <si>
    <t>Other Deferred Credits (Irrigation Service Fee)</t>
  </si>
  <si>
    <t>Other Deferred Credits (PA/CIS/CIP Equity)</t>
  </si>
  <si>
    <t>Other Unearned Revenue</t>
  </si>
  <si>
    <t>Accumulated Surplus/(Deficit) (Government Equity)</t>
  </si>
  <si>
    <t>Accumulated Surplus/(Deficit) (Retained Earnings)</t>
  </si>
  <si>
    <t>Revenue and Expense Summary</t>
  </si>
  <si>
    <t>Other Service Income - Irrigation Service Fee (Back Account)</t>
  </si>
  <si>
    <t>Other Service Income - Irrigation Service Fee (Back Account) (MC # 54)</t>
  </si>
  <si>
    <t>Other Service Income - CIS Equity &amp; Amortization</t>
  </si>
  <si>
    <t>Other Service Income - CIS Amortization (Current Account)</t>
  </si>
  <si>
    <t>Other Service Income - CIS Amortization (Back Account)</t>
  </si>
  <si>
    <t>Other Service Income - Pump Amortization (Current Account)</t>
  </si>
  <si>
    <t>Other Service Income - Pump Amortization (Back Account)</t>
  </si>
  <si>
    <t>Income from Hostels/Dormitories and Other Like Facilities</t>
  </si>
  <si>
    <t>Fines and Penalties-Irrigation Service Fee</t>
  </si>
  <si>
    <t>Subsidy from National Government</t>
  </si>
  <si>
    <t>Subsidy from Other Funds</t>
  </si>
  <si>
    <t>Subsidy from Central Office</t>
  </si>
  <si>
    <t>Subsidy from Regional Office/Staff Bureau</t>
  </si>
  <si>
    <t>Sale of Unserviceable Property</t>
  </si>
  <si>
    <t>Miscellaneous Income (Bid Documents)</t>
  </si>
  <si>
    <t>Miscellaneous Income (Others)</t>
  </si>
  <si>
    <t>Miscellaneous Income (Power)</t>
  </si>
  <si>
    <t>Salaries and Wages-Regular</t>
  </si>
  <si>
    <t>Laundry Allowance</t>
  </si>
  <si>
    <t>Other Bonuses and Allowances - Collective Negotiation Agreement Incentive-Civilian</t>
  </si>
  <si>
    <t>Other Bonuses and Allowances - Productivity Enhancement Incentive-Civilian</t>
  </si>
  <si>
    <t>Other Bonuses and Allowances - Anniversary Bonus</t>
  </si>
  <si>
    <t>Pag-IBIG Contributions</t>
  </si>
  <si>
    <t>PhilHealth Contributions</t>
  </si>
  <si>
    <t>Traveling Expenses-Local</t>
  </si>
  <si>
    <t>Traveling Expenses-Foreign</t>
  </si>
  <si>
    <t>Food Supplies Expenses</t>
  </si>
  <si>
    <t>Medical, Dental and Laboratory Supplies Expenses</t>
  </si>
  <si>
    <t>Postage and Courier Expenses</t>
  </si>
  <si>
    <t>Repairs and Maintenance-Land Improvements</t>
  </si>
  <si>
    <t>Repairs and Maintenance-Infrastructure Assets - Other Infrastructure Assets (Artesian Wells, Reservoirs, Pumps)</t>
  </si>
  <si>
    <t>Repairs and Maintenance-Infrastructure Assets - Other Infrastructure Assets (Irrigation Canal &amp; Laterals)</t>
  </si>
  <si>
    <t>Repairs and Maintenance-Buildings and Other Structures - Buildings</t>
  </si>
  <si>
    <t>Repairs and Maintenance-Buildings and Other Structures - Other Structures</t>
  </si>
  <si>
    <t>Repairs and Maintenance-Machinery and Equipment - Machinery</t>
  </si>
  <si>
    <t>Repairs and Maintenance-Machinery and Equipment - Office Equipment</t>
  </si>
  <si>
    <t>Repairs and Maintenance-Machinery and Equipment - ICT Equipment</t>
  </si>
  <si>
    <t>Repairs and Maintenance-Machinery and Equipment - Communication Equipment</t>
  </si>
  <si>
    <t>Repairs and Maintenance-Machinery and Equipment - Construction and Heavy Equipment</t>
  </si>
  <si>
    <t>Repairs and Maintenance-Machinery and Equipment - Disaster Response and Rescue Equipment</t>
  </si>
  <si>
    <t>Repairs and Maintenance-Machinery and Equipment - Military, Police and Security Equipment</t>
  </si>
  <si>
    <t>Repairs and Maintenance-Machinery and Equipment - Medical Equipment</t>
  </si>
  <si>
    <t>Repairs and Maintenance-Machinery and Equipment - Printing Equipment</t>
  </si>
  <si>
    <t>Repairs and Maintenance-Machinery and Equipment - Sports Equipment</t>
  </si>
  <si>
    <t>Repairs and Maintenance-Machinery and Equipment - Technical and Scientific Equipment</t>
  </si>
  <si>
    <t>Repairs and Maintenance-Machinery and Equipment - Other Machinery and Equipment</t>
  </si>
  <si>
    <t>Repairs and Maintenance-Transportation Equipment - Motor Vehicles</t>
  </si>
  <si>
    <t>Repairs and Maintenance-Transportation Equipment - Trains</t>
  </si>
  <si>
    <t>Repairs and Maintenance-Transportation Equipment - Aircrafts and Aircrafts Ground Equipment</t>
  </si>
  <si>
    <t>Repairs and Maintenance-Transportation Equipment - Watercrafts</t>
  </si>
  <si>
    <t>Repairs and Maintenance-Transportation Equipment - Other Transportation Equipment</t>
  </si>
  <si>
    <t>Repairs and Maintenance-Furniture and Fixtures</t>
  </si>
  <si>
    <t>Repairs and Maintenance-Other Property, Plant and Equipment - Other Property, Plant and Equipment</t>
  </si>
  <si>
    <t>Subsidy to Regional Offices/Staff Bureaus</t>
  </si>
  <si>
    <t>Advertising Expenses</t>
  </si>
  <si>
    <t>Other Maintenance and Operating Expenses - Other Maintenance and Operating Expenses</t>
  </si>
  <si>
    <t>Other Maintenance and Operating Expenses (Irrigator's Share/Remuneration/Subsidy)</t>
  </si>
  <si>
    <t>Depreciation-Land Improvements</t>
  </si>
  <si>
    <t>Depreciation-Infrastructure Assets - Other Infrastructure Assets (Irrigation Canals &amp; Laterals)</t>
  </si>
  <si>
    <t>Depreciation-Buildings and Other Structures - Buildings</t>
  </si>
  <si>
    <t>Depreciation-Buildings and Other Structures - Other Structures</t>
  </si>
  <si>
    <t>Depreciation-Machinery and Equipment - Machinery</t>
  </si>
  <si>
    <t>Depreciation-Machinery and Equipment - Office Equipment</t>
  </si>
  <si>
    <t>Depreciation-Machinery and Equipment - ICT Equipment</t>
  </si>
  <si>
    <t>Depreciation-Machinery and Equipment - Agricultural and Forestry Equipment</t>
  </si>
  <si>
    <t>Depreciation-Machinery and Equipment - Communication Equipment</t>
  </si>
  <si>
    <t>Depreciation-Machinery and Equipment - Construction and Heavy Equipment</t>
  </si>
  <si>
    <t>Depreciation-Machinery and Equipment - Disaster Response and Rescue Equipment</t>
  </si>
  <si>
    <t>Depreciation-Machinery and Equipment - Military, Police and Security Equipment</t>
  </si>
  <si>
    <t>Depreciation-Machinery and Equipment - Sports Equipment</t>
  </si>
  <si>
    <t>Depreciation-Machinery and Equipment - Technical and Scientific Equipment</t>
  </si>
  <si>
    <t>Depreciation-Machinery and Equipment - Other Machinery and Equipment</t>
  </si>
  <si>
    <t>Depreciation-Transportation Equipment - Motor Vehicles</t>
  </si>
  <si>
    <t>Depreciation-Transportation Equipment - Trains</t>
  </si>
  <si>
    <t>Depreciation-Transportation Equipment - Aircrafts and Aircrafts Ground Equipment</t>
  </si>
  <si>
    <t>Depreciation-Transportation Equipment - Watercrafts</t>
  </si>
  <si>
    <t>Depreciation-Transportation Equipment - Other Transportation Equipment</t>
  </si>
  <si>
    <t>Depreciation-Furniture, Fixtures and Books - Furniture and Fixtures</t>
  </si>
  <si>
    <t>Depreciation-Furniture, Fixtures and Books - Books</t>
  </si>
  <si>
    <t>Depreciation-Other Property, Plant and Equipment</t>
  </si>
  <si>
    <t>121</t>
  </si>
  <si>
    <t>169-15</t>
  </si>
  <si>
    <t>169-16</t>
  </si>
  <si>
    <t>413-1</t>
  </si>
  <si>
    <t>413-2</t>
  </si>
  <si>
    <t>413-4</t>
  </si>
  <si>
    <t>413-5</t>
  </si>
  <si>
    <t>414-1</t>
  </si>
  <si>
    <t>414-2</t>
  </si>
  <si>
    <t>414-3</t>
  </si>
  <si>
    <t>832</t>
  </si>
  <si>
    <t>833</t>
  </si>
  <si>
    <t>834</t>
  </si>
  <si>
    <t>842</t>
  </si>
  <si>
    <t>843</t>
  </si>
  <si>
    <t>955</t>
  </si>
  <si>
    <t>942</t>
  </si>
  <si>
    <t>Other Service Income - Pump Equity (Current Account)</t>
  </si>
  <si>
    <t>Other Service Income - Pump Equity (Back Account)</t>
  </si>
  <si>
    <t>Mid-Year/Year End Bonus</t>
  </si>
  <si>
    <t>Membership Dues and Contributions to Organizations</t>
  </si>
  <si>
    <t>Other Maintenance and Operating Expenses (Power Cost for Pumps)</t>
  </si>
  <si>
    <t>JEV No.</t>
  </si>
  <si>
    <t>JEV</t>
  </si>
  <si>
    <t>Name of CO</t>
  </si>
  <si>
    <t>Sundry</t>
  </si>
  <si>
    <t>Name</t>
  </si>
  <si>
    <t>Office</t>
  </si>
  <si>
    <t>CashierCode</t>
  </si>
  <si>
    <t xml:space="preserve">JEV
</t>
  </si>
  <si>
    <t>TO</t>
  </si>
  <si>
    <t>Column1</t>
  </si>
  <si>
    <t>Column2</t>
  </si>
  <si>
    <t>102C</t>
  </si>
  <si>
    <t>102D</t>
  </si>
  <si>
    <t>Amount2</t>
  </si>
  <si>
    <t>Sundry2</t>
  </si>
  <si>
    <t>Other Bonuses and Allowances - Productivity Enhancement Incentive</t>
  </si>
  <si>
    <t>Semi-Expendable</t>
  </si>
  <si>
    <t>Subsistence Allownce</t>
  </si>
  <si>
    <t>Travelling Expenses - Foreign</t>
  </si>
  <si>
    <t>111RO</t>
  </si>
  <si>
    <t>111FO</t>
  </si>
  <si>
    <t>Cash in Bank-Local Currency, Current Account - RO</t>
  </si>
  <si>
    <t>Cash in Bank-Local Currency, Current Account - FO</t>
  </si>
  <si>
    <t>111ROSCO</t>
  </si>
  <si>
    <t>Cash in Bank-Local Currency, Current Account - RO Subsidy/Capital Outlay</t>
  </si>
  <si>
    <t>111ROBA</t>
  </si>
  <si>
    <t>Cash in Bank-Local Currency, Current Account - RO Back Accounts</t>
  </si>
  <si>
    <t>111RONIMF</t>
  </si>
  <si>
    <t>Cash in Bank-Local Currency, Current Account - RO NIMF</t>
  </si>
  <si>
    <t>111RO-PC</t>
  </si>
  <si>
    <t>Cash in Bank-Local Currency, Current Account - RO - PC</t>
  </si>
  <si>
    <t>111RO-LP</t>
  </si>
  <si>
    <t>Cash in Bank-Local Currency, Current Account - RO - LP</t>
  </si>
  <si>
    <t>111FO-PC</t>
  </si>
  <si>
    <t>Cash in Bank-Local Currency, Current Account - FO - PC</t>
  </si>
  <si>
    <t>111FO-LP</t>
  </si>
  <si>
    <t>Cash in Bank-Local Currency, Current Account - FO - LP</t>
  </si>
  <si>
    <t>411</t>
  </si>
  <si>
    <t>Due to the Treasurer of the Philippines</t>
  </si>
  <si>
    <t>413-3</t>
  </si>
  <si>
    <t>Due to GSIS - Educ Assist Loan</t>
  </si>
  <si>
    <t>413-6</t>
  </si>
  <si>
    <t>Due to GSIS - Emergency Loan</t>
  </si>
  <si>
    <t>413-7</t>
  </si>
  <si>
    <t>Due to GSIS - Calamity Loan</t>
  </si>
  <si>
    <t>413-8</t>
  </si>
  <si>
    <t>Due to GSIS - Housing Loan</t>
  </si>
  <si>
    <t>414-4</t>
  </si>
  <si>
    <t>Due to Pag-IBIG - Calamity Loan</t>
  </si>
  <si>
    <t>414-5</t>
  </si>
  <si>
    <t>Due to Pag-IBIG - MP2</t>
  </si>
  <si>
    <t>719-14</t>
  </si>
  <si>
    <t>Other Bonuses and Allowances - Performance Based Bonus-Civilian</t>
  </si>
  <si>
    <t>Ilocos Norte IMO</t>
  </si>
  <si>
    <t>Ilocos Sur IMO</t>
  </si>
  <si>
    <t>La Union</t>
  </si>
  <si>
    <t>Pangasinan IMO</t>
  </si>
  <si>
    <t>Ilocos Norte PIO</t>
  </si>
  <si>
    <t>Ilocos Norte INIS</t>
  </si>
  <si>
    <t>Ilocos Norte NISRIP</t>
  </si>
  <si>
    <t>Ilocos Norte SULVEC</t>
  </si>
  <si>
    <t>Ilocos Sur PIO</t>
  </si>
  <si>
    <t>Ilocos Sur RIS</t>
  </si>
  <si>
    <t>Ilocos Sur BPIS</t>
  </si>
  <si>
    <t>La Union PIO</t>
  </si>
  <si>
    <t>La Union MASLIP RIS</t>
  </si>
  <si>
    <t>La Union AMBURAYAN RIS</t>
  </si>
  <si>
    <t>5-1</t>
  </si>
  <si>
    <t>Pangasinan PIO</t>
  </si>
  <si>
    <t>5-2</t>
  </si>
  <si>
    <t>Pangasinan ARIS</t>
  </si>
  <si>
    <t>5-3</t>
  </si>
  <si>
    <t>Pangasinan SFDRIS</t>
  </si>
  <si>
    <t>5-4</t>
  </si>
  <si>
    <t>Pangasinan LARIS</t>
  </si>
  <si>
    <t>5-5</t>
  </si>
  <si>
    <t>Pangasinan ADRIS</t>
  </si>
  <si>
    <t>5-6</t>
  </si>
  <si>
    <t>Pangasinan NISRIP</t>
  </si>
  <si>
    <t>Region 1</t>
  </si>
  <si>
    <t>Urdaneta City</t>
  </si>
  <si>
    <t>642-1</t>
  </si>
  <si>
    <t>Equipment Rental</t>
  </si>
  <si>
    <t>Miscellaneous Income (Scrap of Fixed Assets)</t>
  </si>
  <si>
    <t>Cesar E. Ferrer</t>
  </si>
  <si>
    <t>Rosalita M. Ubando</t>
  </si>
  <si>
    <t>FUND 501 CARP</t>
  </si>
  <si>
    <t>412-1</t>
  </si>
  <si>
    <t>Due to BIR - Compensation</t>
  </si>
  <si>
    <t>412-2</t>
  </si>
  <si>
    <t>412-3</t>
  </si>
  <si>
    <t>412-4</t>
  </si>
  <si>
    <t>Due to BIR - 5%</t>
  </si>
  <si>
    <t>Due to BIR - 3%</t>
  </si>
  <si>
    <t>Due to BIR - 2%</t>
  </si>
  <si>
    <t>412-5</t>
  </si>
  <si>
    <t>Due to BIR - 1%</t>
  </si>
  <si>
    <t>111ro</t>
  </si>
  <si>
    <t>NIA Regional Office # 1, Bayaoas, Urdaneta City, Pangasinan</t>
  </si>
  <si>
    <t>NIA Regional Office # 1,  Bayaoas, Urdaneta City, Pangasinan</t>
  </si>
  <si>
    <t>RHODA S. ECHANES</t>
  </si>
  <si>
    <t>Administrative Officer II</t>
  </si>
  <si>
    <t>EDGAR M. BUTED, CPA</t>
  </si>
  <si>
    <t>VANESSA C. MOULIC, CPA</t>
  </si>
  <si>
    <t>NIA Regional Office # 1, Bayaoas, Urdaneta City, Pangsinan</t>
  </si>
  <si>
    <t>19-01-004</t>
  </si>
  <si>
    <t>19-01-005</t>
  </si>
  <si>
    <t>111fo</t>
  </si>
  <si>
    <t>716</t>
  </si>
  <si>
    <t>719</t>
  </si>
  <si>
    <t>CASH DISBURSEMENTS JOURNAL</t>
  </si>
  <si>
    <t>Division Manager A- AFD</t>
  </si>
  <si>
    <t>RHODA S. ECHANES                                                    EDGAR M. BUTED, CPA</t>
  </si>
  <si>
    <t>Administrative Officer II                                              Chief Corporate Accountant B</t>
  </si>
  <si>
    <t>Preparer:                                                         Certified Correct:</t>
  </si>
  <si>
    <t>ps</t>
  </si>
  <si>
    <t>mooe</t>
  </si>
  <si>
    <t>finance</t>
  </si>
  <si>
    <t>Salaries &amp; Wages</t>
  </si>
  <si>
    <t>Personal Economic Relief Allowance (PERA)</t>
  </si>
  <si>
    <t>Other Compensation</t>
  </si>
  <si>
    <t>Personnel Benefit Contributions</t>
  </si>
  <si>
    <t xml:space="preserve">Other Personnel Benefit </t>
  </si>
  <si>
    <t>Traveling Expenses</t>
  </si>
  <si>
    <t>Utility Expenses</t>
  </si>
  <si>
    <t>Communication Expenses</t>
  </si>
  <si>
    <t>Professional Services</t>
  </si>
  <si>
    <t>Repairs and Maintenance</t>
  </si>
  <si>
    <t>Property, Plant and Equipment</t>
  </si>
  <si>
    <t>Maria Luisa M. Tolledo</t>
  </si>
  <si>
    <t>Prepared by:                                                         Certified Correct:</t>
  </si>
  <si>
    <t>VANESSA C. MOULIC, CPA,MBA</t>
  </si>
  <si>
    <t>VANESSA C. MOULIC, CPA, MBA</t>
  </si>
  <si>
    <t>PREPARED BY:</t>
  </si>
  <si>
    <t>Marilou Lorenzo</t>
  </si>
  <si>
    <t xml:space="preserve"> </t>
  </si>
  <si>
    <t>19-10-127</t>
  </si>
  <si>
    <t>non-cash</t>
  </si>
  <si>
    <t>1010202000RO</t>
  </si>
  <si>
    <t>1010202000ROSCO</t>
  </si>
  <si>
    <t>1010202000ROBA</t>
  </si>
  <si>
    <t>1010202000RONIMF</t>
  </si>
  <si>
    <t>1010202000ROPC</t>
  </si>
  <si>
    <t>1010202000ROLP</t>
  </si>
  <si>
    <t>1010202000FO</t>
  </si>
  <si>
    <t>1010202000FOPC</t>
  </si>
  <si>
    <t>1010202000FOLP</t>
  </si>
  <si>
    <t>Noted :</t>
  </si>
  <si>
    <t>(blank)</t>
  </si>
  <si>
    <t>20-01-001</t>
  </si>
  <si>
    <t>Mario N. Raboy, et. Al</t>
  </si>
  <si>
    <t>Payment of salaries and allowances of  Monthly Co-Terminus CARP employees for the period January 1-31, 2020</t>
  </si>
  <si>
    <t>01-501CARP-2020-01-001</t>
  </si>
  <si>
    <t>20-01-004</t>
  </si>
  <si>
    <t>Working Paper</t>
  </si>
  <si>
    <t>working paper</t>
  </si>
  <si>
    <t>WORKING PAPER</t>
  </si>
  <si>
    <t>MARIA LUISA M. TOLLEDO</t>
  </si>
  <si>
    <t>Supplies and Materials Expenses</t>
  </si>
  <si>
    <t>20-12-111</t>
  </si>
  <si>
    <t xml:space="preserve">Financial Planning Specialist B                                            </t>
  </si>
  <si>
    <t>Award/Rewards Expenses</t>
  </si>
  <si>
    <t>Taxes, Insurance Premiums and Other Fees</t>
  </si>
  <si>
    <t>DETAILED STATEMENT OF FINANCIAL PERFORMANCE</t>
  </si>
  <si>
    <t>DETAILED STATEMENT OF FINANCIAL POSITION</t>
  </si>
  <si>
    <t>157</t>
  </si>
  <si>
    <t>Property and Equipment for Distribution</t>
  </si>
  <si>
    <t>158</t>
  </si>
  <si>
    <t>Non-Accountable Forms Inventory</t>
  </si>
  <si>
    <t>159</t>
  </si>
  <si>
    <t>Drugs and Medicines Inventory</t>
  </si>
  <si>
    <t>162</t>
  </si>
  <si>
    <t>Agricultural and Marine Supplies Inventory</t>
  </si>
  <si>
    <t>164</t>
  </si>
  <si>
    <t>Military, Police and Traffic Supplies Inventory</t>
  </si>
  <si>
    <t xml:space="preserve">WORKING PAPER </t>
  </si>
  <si>
    <t>OIC- Finance Section</t>
  </si>
  <si>
    <t>Philippine Health Insurance Corporation</t>
  </si>
  <si>
    <t>G.S.I.S</t>
  </si>
  <si>
    <t>LBP for the account of BIR</t>
  </si>
  <si>
    <t>H.D.M.F</t>
  </si>
  <si>
    <t>Vyragus Construction</t>
  </si>
  <si>
    <t xml:space="preserve">G.S.I.S </t>
  </si>
  <si>
    <t>NIA PANGASINAN IMO, Bayaoas, Urdaneta City, Pangasinan</t>
  </si>
  <si>
    <t>Emerson A. Delos Santos</t>
  </si>
  <si>
    <t>CHARITO A. TABOBO</t>
  </si>
  <si>
    <t>Sr. Accounting Processor A</t>
  </si>
  <si>
    <t>428</t>
  </si>
  <si>
    <t>Trust Liabilities - Disallowances / Charges</t>
  </si>
  <si>
    <t>726</t>
  </si>
  <si>
    <t>Mid-Year Bonus</t>
  </si>
  <si>
    <t>NIA - PIMO - 501 Trust</t>
  </si>
  <si>
    <t xml:space="preserve">NIA-PIMO 501 Trust </t>
  </si>
  <si>
    <t>ROCHELLE E. RABANAL, CPA</t>
  </si>
  <si>
    <t>ROCHELLE E. RABANAL</t>
  </si>
  <si>
    <t xml:space="preserve">RLK Construction &amp; Builders </t>
  </si>
  <si>
    <t>Charito A. Tabobo</t>
  </si>
  <si>
    <t>1475697</t>
  </si>
  <si>
    <t>22-01-001</t>
  </si>
  <si>
    <t>5th &amp; Final Payment of Contract (R1-PIMO-20-03-032 Laoag CIS at Aguilar)</t>
  </si>
  <si>
    <t>Payment Of Retention (1st payment R1-PIMO-20-11-008 Luna Este SIP- Carp IC CY 2020)</t>
  </si>
  <si>
    <t>1475698</t>
  </si>
  <si>
    <t>1475699</t>
  </si>
  <si>
    <t>Reimbursement of traning expenses PCR</t>
  </si>
  <si>
    <t>1475700</t>
  </si>
  <si>
    <t>De Luna Catering Services</t>
  </si>
  <si>
    <t>Payment of Meals &amp; Snacks ( SPPF of Luna Lipit Creek IA, Inc. on November 17-19, 2021)</t>
  </si>
  <si>
    <t>Payoll2201001</t>
  </si>
  <si>
    <t>Emerson A. Delos Santos &amp; 2 others</t>
  </si>
  <si>
    <t>Payment of Wages &amp;  Allowances (Jan. 1-15, 2021)</t>
  </si>
  <si>
    <t>Payment of Wages &amp;  Allowances (Jan. 16-31, 2021)</t>
  </si>
  <si>
    <t>1475701</t>
  </si>
  <si>
    <t>Payment of GSIS Premiums (January, 2022)</t>
  </si>
  <si>
    <t>1475702</t>
  </si>
  <si>
    <t>Payment of HDMF Premiums (Jan. 2022)</t>
  </si>
  <si>
    <t>1475703</t>
  </si>
  <si>
    <t>Payment of HDMF M2 (Jan. 2022)</t>
  </si>
  <si>
    <t>1475706</t>
  </si>
  <si>
    <t>Payment of Disallowance (Jan. 2021)</t>
  </si>
  <si>
    <t>1475707</t>
  </si>
  <si>
    <t>1475708</t>
  </si>
  <si>
    <t>TAXES 2%</t>
  </si>
  <si>
    <t>TAXES 5%</t>
  </si>
  <si>
    <t>1475704</t>
  </si>
  <si>
    <t>Payment of PHIC Premiums (Jan. 2022)</t>
  </si>
  <si>
    <t>1475705</t>
  </si>
  <si>
    <t>Payment of withholding TAX (Jan. 2022)</t>
  </si>
  <si>
    <t>TAXES 1%</t>
  </si>
  <si>
    <t>1475709</t>
  </si>
  <si>
    <t>Procurement Service</t>
  </si>
  <si>
    <t>Payment of Office Supplies (300 reams Paper, A4 PIMO Engineering)</t>
  </si>
  <si>
    <t>1475710</t>
  </si>
  <si>
    <t xml:space="preserve">Vyragus Construction </t>
  </si>
  <si>
    <t>Payment of Retention (1st partial R1-PIMO-20-03-032 Laoag CIS)</t>
  </si>
  <si>
    <t>1475711</t>
  </si>
  <si>
    <t xml:space="preserve">Echimesco Office Solutions Marketing </t>
  </si>
  <si>
    <t>Payment of 1 unit Executive Chair (High back PIMO)</t>
  </si>
  <si>
    <t>1475712</t>
  </si>
  <si>
    <t>Reimbursement of Meals &amp; Snacks (Admin &amp; Finance Section Coordination Meeting Jan. 24, 2022)</t>
  </si>
  <si>
    <t>1475713</t>
  </si>
  <si>
    <t>Payment of C.N.A Disallowance (Feb. 2022)</t>
  </si>
  <si>
    <t>1475714</t>
  </si>
  <si>
    <t>Payment of withholding tax on Compensation (Feb. 2022)</t>
  </si>
  <si>
    <t>1475715</t>
  </si>
  <si>
    <t>Payment of hdmf m2 (Feb. 2022)</t>
  </si>
  <si>
    <t>1475716</t>
  </si>
  <si>
    <t>Payment of PHIC Premiums (Feb. 2022)</t>
  </si>
  <si>
    <t>1475717</t>
  </si>
  <si>
    <t>Payment of HDMF Premiums (Feb. 2022)</t>
  </si>
  <si>
    <t>1475718</t>
  </si>
  <si>
    <t>Payment of GSIS Premiums  (Feb. 2022)</t>
  </si>
  <si>
    <t>22-02-001</t>
  </si>
  <si>
    <t>Payoll2201002</t>
  </si>
  <si>
    <t>Payment of Wages (Feb. 1-15, 2022)</t>
  </si>
  <si>
    <t>Payoll2201002a</t>
  </si>
  <si>
    <t>1475719</t>
  </si>
  <si>
    <t>Payment of withholding of final VAT (5% Various suppliers/contractors Nov. 2021)</t>
  </si>
  <si>
    <t>1475720</t>
  </si>
  <si>
    <t>Payment of withholding of final VAT (2% Various suppliers/contractors Nov. 2021)</t>
  </si>
  <si>
    <t>Payoll2201003</t>
  </si>
  <si>
    <t>Emerson A. Delos Santos &amp; 1 others</t>
  </si>
  <si>
    <t>Payment of Uniform Allowance</t>
  </si>
  <si>
    <t>To take up receipt of ADA for the month of Feb 2022</t>
  </si>
  <si>
    <t>1475721</t>
  </si>
  <si>
    <t>Bitstop, Inc.</t>
  </si>
  <si>
    <t>Payment of IT Equipment (1 laptop &amp; 1 unit Printer, Multifunction  PIMO)</t>
  </si>
  <si>
    <t>22-03-001</t>
  </si>
  <si>
    <t>Payoll2203004</t>
  </si>
  <si>
    <t>Payment of Wages &amp; Allowances (March 1-15, 2021)</t>
  </si>
  <si>
    <t>Payoll2203004A</t>
  </si>
  <si>
    <t>Payment of Wages &amp; Allowances (March 16-31, 2021)</t>
  </si>
  <si>
    <t>1475722</t>
  </si>
  <si>
    <t xml:space="preserve">Marigold Store </t>
  </si>
  <si>
    <t>Payment of Office Supplies (300 reams paper, legal size PIMO Engineering Section CARP IC)</t>
  </si>
  <si>
    <t>1475723</t>
  </si>
  <si>
    <t>Payment of HDMF Premiums (March, 2022)</t>
  </si>
  <si>
    <t>1475724</t>
  </si>
  <si>
    <t>Payment of HDMF M2 (March, 2022)</t>
  </si>
  <si>
    <t>1475725</t>
  </si>
  <si>
    <t>Payment of GSIS Premiums (PIMO March, 2022)</t>
  </si>
  <si>
    <t>1475726</t>
  </si>
  <si>
    <t>Payment of PHIC Premiums (PIMO March, 2022)</t>
  </si>
  <si>
    <t>1475727</t>
  </si>
  <si>
    <t xml:space="preserve">LBP for the account of BIR </t>
  </si>
  <si>
    <t>Payment of Withholding TAX on Compensation (PIMO March,2022)</t>
  </si>
  <si>
    <t>1475728</t>
  </si>
  <si>
    <t>Payment of withholding final VAT 5% (PIMO March,2022)</t>
  </si>
  <si>
    <t>Payment of withholding final VAT 1% (PIMO March,2022)</t>
  </si>
  <si>
    <t>1475730</t>
  </si>
  <si>
    <t>To recognize interest Income earned for 1th QTR of cy 2022</t>
  </si>
  <si>
    <t>SR. ACCOUNTING PROCESSOR A</t>
  </si>
  <si>
    <t>To take up receipt of ADA for the month of Mar 2022</t>
  </si>
  <si>
    <t>22-03-</t>
  </si>
  <si>
    <t>1475731</t>
  </si>
  <si>
    <t>22-04-</t>
  </si>
  <si>
    <t xml:space="preserve">Charito A. Tabobo </t>
  </si>
  <si>
    <t>Reimbursement for the certification of BIR Registration,Docs Stamp &amp; others (PIMO Office)</t>
  </si>
  <si>
    <t>Payoll2204005</t>
  </si>
  <si>
    <t>Emerson A. Delos Santos  &amp; 2 others</t>
  </si>
  <si>
    <t>Payment of Wages &amp; Allowances (March 1-31, 2022)</t>
  </si>
  <si>
    <t>200056 MOOE</t>
  </si>
  <si>
    <t>1475732</t>
  </si>
  <si>
    <t>Payment of GSIS Premiums (April, 2022)</t>
  </si>
  <si>
    <t>1475733</t>
  </si>
  <si>
    <t>Payment of HDMF Premiums (April, 2022)</t>
  </si>
  <si>
    <t>1475734</t>
  </si>
  <si>
    <t xml:space="preserve">Philippine Health Insurance Corporation </t>
  </si>
  <si>
    <t>1475735</t>
  </si>
  <si>
    <t>Payment of withholding TAX on Compensation (PIMO April,2022)</t>
  </si>
  <si>
    <t>1475736</t>
  </si>
  <si>
    <t>Payment of M2 (PIMO April, 2022)</t>
  </si>
  <si>
    <t>1475737</t>
  </si>
  <si>
    <t xml:space="preserve">Bureau of Treasury </t>
  </si>
  <si>
    <t>Intersest Income (1st Quarter CY 2022)</t>
  </si>
  <si>
    <t>To take up receipt of ADA for the month of Apr 2022</t>
  </si>
  <si>
    <t>To record accumulated depreciation of Office Equipment -1st quarter of year 2022</t>
  </si>
  <si>
    <t>To record accumulated depreciation of ICT Equipment -1st quarter of year 2022</t>
  </si>
  <si>
    <t>Sr. Accounting Processor B</t>
  </si>
  <si>
    <t>1475738</t>
  </si>
  <si>
    <t>22-05-</t>
  </si>
  <si>
    <t xml:space="preserve">Emerson A. Delos Santos </t>
  </si>
  <si>
    <t>Reimbursement of Plane Ticket (CPES in Palawan IMO (Apurawaan CIS; Palimo Ibato-Iraan SRIP-tribal Hall CY 2020 March 13-19, 2022)</t>
  </si>
  <si>
    <t>1475739</t>
  </si>
  <si>
    <t>Jonalyn A. Julian</t>
  </si>
  <si>
    <t xml:space="preserve">Reimbursement of snacks Project Information / Dissemination &amp; IA Organization of Malimpin SPPIP at Dasol Pangasinan </t>
  </si>
  <si>
    <t>Payoll2205006</t>
  </si>
  <si>
    <t>Payment of Wages &amp; Allowances (May 1-15, 2022)</t>
  </si>
  <si>
    <t>Payoll2205006a</t>
  </si>
  <si>
    <t>Payment of Wages &amp; Allowances (May 16-31, 2022)</t>
  </si>
  <si>
    <t>Payment of Midyear Bonus (PIMO)</t>
  </si>
  <si>
    <t>1475740</t>
  </si>
  <si>
    <t xml:space="preserve">Verje's Catering Services </t>
  </si>
  <si>
    <t>Payment of Meals &amp; Snacks (CDT for Effective Management  of Malinta Farmers IA Inc. March 23-25, 2022 Natividad, Pang.)</t>
  </si>
  <si>
    <t>Payoll2205008</t>
  </si>
  <si>
    <t>Payment of Year End Differential</t>
  </si>
  <si>
    <t>Payment of Year End Bonus Differential</t>
  </si>
  <si>
    <t>Payoll2205009</t>
  </si>
  <si>
    <t>Payment of Salary Differential (Nov. 2021 to May, 2022</t>
  </si>
  <si>
    <t>Payoll2205010</t>
  </si>
  <si>
    <t>Payment of Salary Differential (Oct. 5-31, 2022)</t>
  </si>
  <si>
    <t>1475742</t>
  </si>
  <si>
    <t>Payment of HDMF Premiums (CARP May, 2022)</t>
  </si>
  <si>
    <t>1475743</t>
  </si>
  <si>
    <t>Payment of PHIC Premiums (CARP May, 2022)</t>
  </si>
  <si>
    <t>1475744</t>
  </si>
  <si>
    <t>Payment of GSIS Premiums (May, 2022)</t>
  </si>
  <si>
    <t>1475745</t>
  </si>
  <si>
    <t>Payment of withholding TAX (May, 2022)</t>
  </si>
  <si>
    <t>1475746</t>
  </si>
  <si>
    <t>1475747</t>
  </si>
  <si>
    <t>Payment of withholding of Final VAT(5% &amp; 1% May, 2022)</t>
  </si>
  <si>
    <t>Payment of withholding of Final VAT various suppliers / contractors (1% &amp; 2% May, 2022)</t>
  </si>
  <si>
    <t>1475741</t>
  </si>
  <si>
    <t>mp2 May 2022</t>
  </si>
  <si>
    <t xml:space="preserve">To set up accounts payable for the payment of salary differential &amp; year end bonus 2021 from FUND 501 TRUST </t>
  </si>
  <si>
    <t>To take up receipt of ADA for the month of May 2022</t>
  </si>
  <si>
    <t>1475748</t>
  </si>
  <si>
    <t>22-06-</t>
  </si>
  <si>
    <t>Payment of IT Equipment (2 units Laptop Core I5 PIMO CARP IC)</t>
  </si>
  <si>
    <t>Payoll2206011</t>
  </si>
  <si>
    <t>Payment of Salaries &amp; Allowances (June 1-15, 2022)</t>
  </si>
  <si>
    <t>Payoll2206011a</t>
  </si>
  <si>
    <t>Payment of Salaries &amp; Allowances (June 16-30, 2022)</t>
  </si>
  <si>
    <t>1475749</t>
  </si>
  <si>
    <t>Payment of GSIS Premiums (June, 2022)</t>
  </si>
  <si>
    <t>1475750</t>
  </si>
  <si>
    <t>Payment of HDMF Premiums (June, 2022)</t>
  </si>
  <si>
    <t>1475751</t>
  </si>
  <si>
    <t>Payment of HDMF M2 (June, 2022)</t>
  </si>
  <si>
    <t>220080</t>
  </si>
  <si>
    <t>200070</t>
  </si>
  <si>
    <t>1475752</t>
  </si>
  <si>
    <t>Payment of withholding TAX on Compensation (PIMO June, 2022)</t>
  </si>
  <si>
    <t>1475753</t>
  </si>
  <si>
    <t>1475754</t>
  </si>
  <si>
    <t>Payment of GSIS Premiums (Oct 2021 - May, 2022)</t>
  </si>
  <si>
    <t>1475755</t>
  </si>
  <si>
    <t>1475756</t>
  </si>
  <si>
    <t>Payment of withholding of Final VAT 5% &amp; 1% (PIMO June, 2022)</t>
  </si>
  <si>
    <t>Payment of withholding of Final VAT 1% &amp; 2% (PIMO June, 2022)</t>
  </si>
  <si>
    <t>Payoll2206012</t>
  </si>
  <si>
    <t xml:space="preserve">June Marlowe A. Soria </t>
  </si>
  <si>
    <t xml:space="preserve">Payment of Uniform Allowance </t>
  </si>
  <si>
    <t>1475757</t>
  </si>
  <si>
    <t>Payment of Interest Income (2nd Quarter)</t>
  </si>
  <si>
    <t>To take up receipt of ADA for the month of Jun 2022</t>
  </si>
  <si>
    <t>To record accumulated depreciation of Office Equipment -2nd quarter of year 2022</t>
  </si>
  <si>
    <t>To record accumulated depreciation of ICT Equipment -2nd quarter of year 2022</t>
  </si>
  <si>
    <t>22-07-</t>
  </si>
  <si>
    <t>To reclassify completed projects to Water Supply System(R1-PIMO-21-01-020 Luna Este CY 2021)</t>
  </si>
  <si>
    <t>1475758</t>
  </si>
  <si>
    <t>Bitstop Inc.</t>
  </si>
  <si>
    <t>Payment of ICT Equipment (1unit Laptop Core i3) PIMO Finance Unit</t>
  </si>
  <si>
    <t>Payroll2207013</t>
  </si>
  <si>
    <t>Payroll2207013A</t>
  </si>
  <si>
    <t>Payment for Salaries &amp; Allowances of E.A Delos Santos &amp; 2 others NIA PIMO (CARP), July 1-30, 2022</t>
  </si>
  <si>
    <t>200017/ 200070</t>
  </si>
  <si>
    <t>1475759</t>
  </si>
  <si>
    <t>To Payment GSIS Premiums NIA PIMO(CARP) June 2022</t>
  </si>
  <si>
    <t>1475760</t>
  </si>
  <si>
    <t>PHILIPPINE HEALTH INSURANCE CORPORATION</t>
  </si>
  <si>
    <t>To Paymrnt PHIC Premiums NIA PIMO(CARP) July 2022</t>
  </si>
  <si>
    <t>To Paymrnt PHIC Premiums NIA PIMO(CARP) June 2022</t>
  </si>
  <si>
    <t>1475761</t>
  </si>
  <si>
    <t>To payment  HDMF Premiums NIA PIMO(CARP) July 2022</t>
  </si>
  <si>
    <t>1475762</t>
  </si>
  <si>
    <t>To Payment Withholding Tax NIA PIMO (CARP) July 2022</t>
  </si>
  <si>
    <t>1475763</t>
  </si>
  <si>
    <t>To Payment HDMF M2 NIA PIMO (CARP) July 2022</t>
  </si>
  <si>
    <t>1475764</t>
  </si>
  <si>
    <t>NIA CARP-IC 501-COB</t>
  </si>
  <si>
    <t>To return unused cash balance of FUND 501 CARP PIMO with current account no.1872-1040-50 at LBP</t>
  </si>
  <si>
    <t>To record office supplies expenses as of july 2022</t>
  </si>
  <si>
    <t>To recognize receive of cash for the payment of salary differential &amp; year end bonus</t>
  </si>
  <si>
    <t>1475765</t>
  </si>
  <si>
    <t>1475766</t>
  </si>
  <si>
    <t>Remit Collection of Withholding of Final VAT(1%-2%) Suppliers/Contractors of PIMO July 2022</t>
  </si>
  <si>
    <t>Remit Collection of Withholding of Final VAT(5%-1%) Suppliers/Contractors of PIMO July 2022</t>
  </si>
  <si>
    <t>To take up receipt of ADA for the month of Jul 2022</t>
  </si>
  <si>
    <t>To record Accumulated Depreciation of Water Supply System for the 1st quarter of 2022</t>
  </si>
  <si>
    <t>To record Accumulated Depreciation of Water Supply System for the 2nd quarter of 2022</t>
  </si>
  <si>
    <t>1475767</t>
  </si>
  <si>
    <t>22-08-</t>
  </si>
  <si>
    <t>Eduardo T. Santos Construction and Supplies</t>
  </si>
  <si>
    <t>To payment 15% mobilization of contract under R1-PIMO-22-01-015 in connection with the CONSTRUCTION OF MALIMPIN SPIP(CARP IC CY 2022) located at Dasol,Pangasinan</t>
  </si>
  <si>
    <t>Payroll202207014</t>
  </si>
  <si>
    <t>Payment of Salaries and Allowances of E.Delos Santos &amp; 2 others of NIA-PIMO(CARP) August 2022</t>
  </si>
  <si>
    <t>Payroll202207014A</t>
  </si>
  <si>
    <t>1475768</t>
  </si>
  <si>
    <t>1475769</t>
  </si>
  <si>
    <t>Remit monthly HDMF M2 of NIA-PIMO CARP August 2022</t>
  </si>
  <si>
    <t>Remit monthly HDMF Premiums of NIA-PIMO CARP August 2022</t>
  </si>
  <si>
    <t>1475770</t>
  </si>
  <si>
    <t>Remit monthly Philheatlh Premiums of NIA-PIMO CARP August 2022</t>
  </si>
  <si>
    <t>1475771</t>
  </si>
  <si>
    <t>Remit monthly GSIS Premiums of NIA-PIMO CARP August 2022</t>
  </si>
  <si>
    <t>1475772</t>
  </si>
  <si>
    <t>LBP fot the account of BIR</t>
  </si>
  <si>
    <t>Remit Witholding Tax on Compensation of NIA-PIMO CARP August 2022</t>
  </si>
  <si>
    <t>1475773</t>
  </si>
  <si>
    <t>June Marlowe A. Soria</t>
  </si>
  <si>
    <t>Reimburse the amount paid for the Electronic Filing and Payment System(EFPS) under various account of NIA-PPIO(PIMO)</t>
  </si>
  <si>
    <t>1475774</t>
  </si>
  <si>
    <t>Celbros Construction and Supplies</t>
  </si>
  <si>
    <t>To Payment of Contract under R1-PIMO-22-03-041 in connection with the MINOSICUAN CIS-CARP IC CY 2022 located in Umingan,Pangasinan</t>
  </si>
  <si>
    <t>To take up receipt of ADA for the month of Aug 2022</t>
  </si>
  <si>
    <t>To reclassify below P50,000.00  Ppe Office equipment and accumulated depreciation</t>
  </si>
  <si>
    <t>To reclassify below P50,000.00  Ppe ICTequipment and accumulated depreciation</t>
  </si>
  <si>
    <t>To set up understatement of CIP Account (Dau CIP)</t>
  </si>
  <si>
    <t>To recognize adjustment necessary to reclassify expense erroneous debit to CIP-Pangasinan IMO</t>
  </si>
  <si>
    <t>To record accumulated depreciation of Various PPE as of July 2022</t>
  </si>
  <si>
    <t>To record accumulated depreciation of Various PPE as of August 2022</t>
  </si>
  <si>
    <t>To take up depreciation for the completed projects(July &amp; August, 2022)</t>
  </si>
  <si>
    <t>Payroll20220915</t>
  </si>
  <si>
    <t>22-09-</t>
  </si>
  <si>
    <t>Emerson De Los Santos &amp; 2 others</t>
  </si>
  <si>
    <t>Payment of Salaries and Allowances of E.Delos Santos &amp; 2 others of NIA-PIMO(CARP) September 2022</t>
  </si>
  <si>
    <t>Payroll20220915A</t>
  </si>
  <si>
    <t>E.Delos santos &amp; 2 others</t>
  </si>
  <si>
    <t>1475775</t>
  </si>
  <si>
    <t>To payment of travelling expenses used to proceed to NIA Region 2 &amp; Crodillera Administrative Region in the conduct of Inspection and Assesment of NIA Projects for the Period of August 12, 202</t>
  </si>
  <si>
    <t>To payment of travelling expenses used to proceed to NIA Region 2 &amp; Crodillera Administrative Region in the conduct of Inspection and Assesment of NIA Projects for the Period of August 12, 203</t>
  </si>
  <si>
    <t>ASA 210099</t>
  </si>
  <si>
    <t>1475776</t>
  </si>
  <si>
    <t>To reimburse the amount paid for meals and snacks served during the conduct of IA Organization and Pre-Construction Conference of Malimpin SPIP on June 1,2022 at Brgy.Malimpin,Dasol,Pangasinan</t>
  </si>
  <si>
    <t>1475777</t>
  </si>
  <si>
    <t>To payment of TEV/Per Diem during the conduct of Constructors Performance Evaluation System(CPES) for civil works contracts administered by Palawan IMO on March 13-19,2022</t>
  </si>
  <si>
    <t>ASA 210072</t>
  </si>
  <si>
    <t>1475778</t>
  </si>
  <si>
    <t>Gertrudes A. Viado</t>
  </si>
  <si>
    <t>To reimburse the amount paid for Plane Ticket for the CY 2022 Midyear Assessment and Planning of CARP-IC project Batch 1</t>
  </si>
  <si>
    <t>1475779</t>
  </si>
  <si>
    <t>To payment of ICT Equipment(1 Unit Printer) for use of PIMO-CARP-IC</t>
  </si>
  <si>
    <t>1475780</t>
  </si>
  <si>
    <t>Marigold Store</t>
  </si>
  <si>
    <t>To payment of Furniture(Steel Cabinet, Vertical 4 drawer) use for PIMO-CARP-IC</t>
  </si>
  <si>
    <t>1475781</t>
  </si>
  <si>
    <t>To remit Withholding Tax on Compensation of E.Delos Santos &amp; 1 other of NIA-PIMO(CARP) Urdaneta City,Pangasinan Period of September 2022</t>
  </si>
  <si>
    <t>1475782</t>
  </si>
  <si>
    <t>To remit monthly M2 E.Delos Santos &amp; 1 other  of NIA-PIMO(CARP),Urdaneta City,Pangasinan Period of September 2022</t>
  </si>
  <si>
    <t>ASA 200120</t>
  </si>
  <si>
    <t>ASA 210099 / 210179</t>
  </si>
  <si>
    <t>ASA 200070</t>
  </si>
  <si>
    <t>1475783</t>
  </si>
  <si>
    <t>Bitstop,Inc.</t>
  </si>
  <si>
    <t>To payment of ICT Equipment(1 Set Desktop i7) for ude of PIMO-CARP-IC</t>
  </si>
  <si>
    <t>ASA 200070 / 210017</t>
  </si>
  <si>
    <t>1475784</t>
  </si>
  <si>
    <t>Xaviery Computer Center</t>
  </si>
  <si>
    <t>To payment of Office Supplies(Ink Epson) for used of PIMO-CARP</t>
  </si>
  <si>
    <t>1475785</t>
  </si>
  <si>
    <t>Casa Del Camba Hotel &amp; Restaurant</t>
  </si>
  <si>
    <t>1475786</t>
  </si>
  <si>
    <t>ASA 220062 / 210072</t>
  </si>
  <si>
    <t>ASA 220062</t>
  </si>
  <si>
    <t>1475787</t>
  </si>
  <si>
    <t>To payment of meals and snacks served during the conduct of Membership orientation of Calmay</t>
  </si>
  <si>
    <t>To Payment of meals and snacks served during the conduct of Membership orientation and Pre-Construction Conference of Minosicuan CIS</t>
  </si>
  <si>
    <t xml:space="preserve">To payment of meals and snacks served during the conduct of Membership orientation of Malimpin </t>
  </si>
  <si>
    <t>1475788</t>
  </si>
  <si>
    <t>Dagupan Audio Electronics &amp; Electrical MDSG.</t>
  </si>
  <si>
    <t>To Payment of Office Equipment(Drone Camera) for use of CARP-IC</t>
  </si>
  <si>
    <t>1475789</t>
  </si>
  <si>
    <t>1475790</t>
  </si>
  <si>
    <t>To remit monthly HDMF premiums both personal &amp; government share (CARP-PIMO) for the period of September 2022</t>
  </si>
  <si>
    <t>To remit monthly GSIS premiums both personal &amp; government share (CARP-PIMO) period of September 2022</t>
  </si>
  <si>
    <t>ASA 210179/ 200120</t>
  </si>
  <si>
    <t>ASA 210017</t>
  </si>
  <si>
    <t>1475791</t>
  </si>
  <si>
    <t>To Remit monthly PHIC premiums both personal &amp; government share of PIMO(CARP) september 2022</t>
  </si>
  <si>
    <t>1475792</t>
  </si>
  <si>
    <t>Payment of withholding final VAT 2%-1% (PIMO March,2022)</t>
  </si>
  <si>
    <t>1475793</t>
  </si>
  <si>
    <t>Payment of withholding final VAT 5%-1% (PIMO March,2022)</t>
  </si>
  <si>
    <t>To take up receipt of ADA PS for the month of Sept 2022</t>
  </si>
  <si>
    <t>To take up receipt of ADA CW for the month of Sept 2022</t>
  </si>
  <si>
    <t>To record accumulated depreciation of Various PPE as of Sept 2022</t>
  </si>
  <si>
    <t>1475794</t>
  </si>
  <si>
    <t>To remit Interest Income under Fund 501 CARP for the 3rd Quarter CY 2022</t>
  </si>
  <si>
    <t>Interest Income under Fund 501 CARP (3rd Quarter CY 2022)</t>
  </si>
  <si>
    <t>To recognize interest Income earned for 3rd QTR of cy 2022</t>
  </si>
  <si>
    <t>To record issuance of  A3 printer and Steel Cabinet</t>
  </si>
  <si>
    <t>Francis Carlo L. Zacarias</t>
  </si>
  <si>
    <t>To take up depreciation for the completed projects(September, 2022)</t>
  </si>
  <si>
    <t>To record office supplies expenses as of October 2022</t>
  </si>
  <si>
    <t>22-10-</t>
  </si>
  <si>
    <t>To establish Accounts Payable with 100% physical accomplishment of LUNA ESTE SIP 2021 and to reclass corresponding CIP to WSS(PIMO)</t>
  </si>
  <si>
    <t>1475795</t>
  </si>
  <si>
    <t>D' Brothers International Trading Corporation</t>
  </si>
  <si>
    <t>To first(1st) partial payment of contract under R1-PIMO-22-01-016 CALMAY SPIP located in Laoac</t>
  </si>
  <si>
    <t>1475797</t>
  </si>
  <si>
    <t>To Payment of ICT Equipment(Laptop Core i7)</t>
  </si>
  <si>
    <t>ASA 220052</t>
  </si>
  <si>
    <t>ASA 220052 cw</t>
  </si>
  <si>
    <t>ASA 210017 CW</t>
  </si>
  <si>
    <t>1475798</t>
  </si>
  <si>
    <t>To Payment of meals and snacks served of Malimpin Farmers Agriculture Cooperative(MFAC) on September 21-23, 2022</t>
  </si>
  <si>
    <t>220062/ 210099/ 220136</t>
  </si>
  <si>
    <t>ASA 220062 IDP</t>
  </si>
  <si>
    <t>Payroll202210016</t>
  </si>
  <si>
    <t>E.Delos Santos &amp; 2 others</t>
  </si>
  <si>
    <t>Payment of Salaries and Allowances of E.Delos Santos &amp; 2 others of NIA-PIMO(CARP) October 2022</t>
  </si>
  <si>
    <t>PS 220121</t>
  </si>
  <si>
    <t>1475799</t>
  </si>
  <si>
    <t>To Remit monthly GSIS premiums E.Delos Santos &amp; 2 others of NIA Pangasinan IMO(CARP),October 2022</t>
  </si>
  <si>
    <t>1475800</t>
  </si>
  <si>
    <t>To Remit monthly HDMF premiums (CARP) October 2022</t>
  </si>
  <si>
    <t>1475801</t>
  </si>
  <si>
    <t>To remit monthly HDMF M2 E(CARP) October 2022</t>
  </si>
  <si>
    <t>1475802</t>
  </si>
  <si>
    <t>To remit monthly PHIC premiums(CARP), October 2022</t>
  </si>
  <si>
    <t>1475803</t>
  </si>
  <si>
    <t>To remit Witholding Tax on Compensation of E.Delos Santos &amp; 2 others of NIA Pangasinan IMO(CARP),Urdaneta City Pangasinan for the period of October 2022</t>
  </si>
  <si>
    <t>1475804</t>
  </si>
  <si>
    <t>To reimburse the amount paid for accommodation used for final inspection of Luna Este SIP</t>
  </si>
  <si>
    <t>1475805</t>
  </si>
  <si>
    <t>To remit of collection of Witholding of Final VAT(1%-2%) of various suppliers/contractors for the month of October 2022</t>
  </si>
  <si>
    <t>1475806</t>
  </si>
  <si>
    <t>To remit of collection of Witholding of Final VAT(5%-1%) of various suppliers/contractors for the month of October 2022</t>
  </si>
  <si>
    <t>Payroll202210016A</t>
  </si>
  <si>
    <t>Cost of Check Booklet</t>
  </si>
  <si>
    <t>To take up receipt of ADA PS for the month of Oct 2022</t>
  </si>
  <si>
    <t>To take up depreciation for the completed projects(October, 2022)</t>
  </si>
  <si>
    <t>To record accumulated depreciation of Various PPE as of Oct 2022</t>
  </si>
  <si>
    <t>Payroll202211017</t>
  </si>
  <si>
    <t>J.Bergado &amp; 8 Others</t>
  </si>
  <si>
    <t>To Payment of wages of John R. Bergado &amp; 8 others (Job Order) October 16-31,2022</t>
  </si>
  <si>
    <t>Payroll202211018</t>
  </si>
  <si>
    <t>Gereme Oculto</t>
  </si>
  <si>
    <t>To Payment of wages of Gereme D. Oculto (Job Order) October 16-31,2022</t>
  </si>
  <si>
    <t>1475807</t>
  </si>
  <si>
    <t>Celbros construction and Supplies</t>
  </si>
  <si>
    <t>To Payment of another 7.5% mobilization Contract under R1-PIMO-22-03-041 in connection with the MINOSICUAN CIS (CARP IC CY 2022) located at Umingan,Pangasinan</t>
  </si>
  <si>
    <t>Payroll202211019</t>
  </si>
  <si>
    <t>Payment of Salaries and Allowances of E.Delos Santos &amp; 2 others of NIA-PIMO(CARP) November 2022</t>
  </si>
  <si>
    <t>Payroll202211019A</t>
  </si>
  <si>
    <t>1475808</t>
  </si>
  <si>
    <t>To payment of ICT Equipment(Computer Monitor 22" &amp; 2 others) to be used by CARP IC</t>
  </si>
  <si>
    <t>1475809</t>
  </si>
  <si>
    <t>To payment of Office Equipment(Projector with white screen &amp; tripod stand) for the use of CARP=IC</t>
  </si>
  <si>
    <t>To payment of Office Equipment(Projector with white screen &amp; tripod stand) for the use of CARP-IC</t>
  </si>
  <si>
    <t>1475810</t>
  </si>
  <si>
    <t>NIA Region 1 Employees Multi Purpose Cooperative</t>
  </si>
  <si>
    <t>To payment for NIA Multi-purpose cooperative loan of Richard De Guzman &amp; 3 others(Job order)  October 16-31,2022</t>
  </si>
  <si>
    <t>Payroll202211020</t>
  </si>
  <si>
    <t>To payment of Year-End Bonus &amp; Cash Gift CY 2022 of E.Delos Santos &amp; 2 others of NIA Pangasinan IMO</t>
  </si>
  <si>
    <t>ASA 220121 PS</t>
  </si>
  <si>
    <t>1475811</t>
  </si>
  <si>
    <t>To remit Monthly HDMF M2 E.delos santos &amp;1 other PIMO CARP, November 2022</t>
  </si>
  <si>
    <t>1475812</t>
  </si>
  <si>
    <t>To remit monthly HDMF premiums both personal &amp; government share of E.Delos Santos &amp; 2 others of PIMO CARP,November 2022</t>
  </si>
  <si>
    <t>1475813</t>
  </si>
  <si>
    <t>To remit Witholding Tax on Compensation of E.Delos Santos &amp; 2 others of PIMO CARP,November 2022</t>
  </si>
  <si>
    <t>1475814</t>
  </si>
  <si>
    <t>To remit monthly PHIC premiums of both personal &amp; government share of E.Delos Santos &amp; 2 others of PIMO CARP,November 2022</t>
  </si>
  <si>
    <t>1475815</t>
  </si>
  <si>
    <t>To remit monthly GSIS premiums both peronal &amp; government share of E.Delos Santos &amp; 2others of PIMO CARP,November 2022</t>
  </si>
  <si>
    <t>Payroll202211021</t>
  </si>
  <si>
    <t>Richard D. De Guzman &amp; 4 others</t>
  </si>
  <si>
    <t>To Payment of Wages of R.De Guzman &amp; 4 others (Job Order) of NIA-PIMO Urdaneta city,Pang. For the Period of November 1-15,2024</t>
  </si>
  <si>
    <t>To Payment of Wages of R.De Guzman &amp; 4 others (Job Order) of NIA-PIMO Urdaneta city,Pang. For the Period of November 1-15,2025</t>
  </si>
  <si>
    <t>To Payment of Wages of R.De Guzman &amp; 4 others (Job Order) of NIA-PIMO Urdaneta city,Pang. For the Period of November 1-15,2026</t>
  </si>
  <si>
    <t>To Payment of Wages of R.De Guzman &amp; 4 others (Job Order) of NIA-PIMO Urdaneta city,Pang. For the Period of November 1-15,2027</t>
  </si>
  <si>
    <t>1475816</t>
  </si>
  <si>
    <t>Rivbros Construction Factors &amp; Development</t>
  </si>
  <si>
    <t>To second (2nd) and Final payment of contract under R1-PIMO-21-01-020 in connection with the LUNA ESTE (CARP CY 2021) located in Umingan,Pangasinan</t>
  </si>
  <si>
    <t>Payroll202211022</t>
  </si>
  <si>
    <t>John R. Bergado &amp; 4 others</t>
  </si>
  <si>
    <t>To payment of wages of John R. Bergado &amp; 4 others(Job Order) of NIA-PIMO for the period November 1-15,2022</t>
  </si>
  <si>
    <t>1475817</t>
  </si>
  <si>
    <t>To remit 1% differential of PHIC Premiums both personal &amp; government share of E.Delos Santos &amp; 2 others of NIA-PIMO(CARP) for the Period of January2022</t>
  </si>
  <si>
    <t>1475818</t>
  </si>
  <si>
    <t>To remit 1% differential of PHIC Premiums both personal &amp; government share of E.Delos Santos &amp; 2 others of NIA-PIMO(CARP) for the Period of February2022</t>
  </si>
  <si>
    <t>1475819</t>
  </si>
  <si>
    <t>To remit 1% differential of PHIC Premiums both personal &amp; government share of E.Delos Santos &amp; 2 others of NIA-PIMO(CARP) for the Period of March 2022</t>
  </si>
  <si>
    <t>1475820</t>
  </si>
  <si>
    <t>To remit 1% differential of PHIC Premiums both personal &amp; government share of E.Delos Santos &amp; 2 others of NIA-PIMO(CARP) for the Period of April 2022</t>
  </si>
  <si>
    <t>1475821</t>
  </si>
  <si>
    <t>1475822</t>
  </si>
  <si>
    <t>To payment of Retention deducted on the 1st partial payment of RIVBROSConstruction Factors and Development under contract in connection with the LUNA ESTE (CARP 2021) located in Umingan,Pangasinan</t>
  </si>
  <si>
    <t>ASA 210017 CW Luna Este SIP</t>
  </si>
  <si>
    <t>1475823</t>
  </si>
  <si>
    <t>To payment of Office Equipment ( Whiteboard Tray &amp; File box with cover) for use of CARP-IC</t>
  </si>
  <si>
    <t>ASA 220136 MOOE</t>
  </si>
  <si>
    <t>1475824</t>
  </si>
  <si>
    <t>1475825</t>
  </si>
  <si>
    <t>To remit HDMF Loan(MPL) of Richard De Guzman &amp; 2 others  (Job Order) of NIA-PIMO,November 2022</t>
  </si>
  <si>
    <t>To remit HDMF Premiums for personalshare of John R. Bergado &amp; 9 others (Job Order) of NIA-PIMO,November 2022</t>
  </si>
  <si>
    <t>1475826</t>
  </si>
  <si>
    <t>To payment for NIA Multi-purpose loan of Richerd C. De Guzman &amp; 2 others (Job Order) of NIA-PIMO,November 1-15, 2022</t>
  </si>
  <si>
    <t>1475827</t>
  </si>
  <si>
    <t>To remit the monthly contribution of PHIC Premiums of John R. Bergado &amp; 7 others (Job Order) of NIA-PIMO,November 2022</t>
  </si>
  <si>
    <t>1475828</t>
  </si>
  <si>
    <t>To remit collection of Witholding of Final VAT(5%-1%) of various suppliers/contractors of PIMO,for the period of November 2022</t>
  </si>
  <si>
    <t>1475829</t>
  </si>
  <si>
    <t>To remit collection of witholding of Final (1%-2%) of various suppliers/contractors of PIMO,for the period of November 2022</t>
  </si>
  <si>
    <t>22-11-</t>
  </si>
  <si>
    <t>ASA 220076 CW Minisicuan CIS</t>
  </si>
  <si>
    <t>210017 CW</t>
  </si>
  <si>
    <t>ASA 220080 PS</t>
  </si>
  <si>
    <t>220136 MOOE</t>
  </si>
  <si>
    <t>To take up receipt of ADA PS for the month of Nov 2022 &amp; year end bonus</t>
  </si>
  <si>
    <t>To take up receipt of ADA for the month of Nov 2022</t>
  </si>
  <si>
    <t>To record issuances of semi-expendable property in the Regional Office for the month of November</t>
  </si>
  <si>
    <t>22-12-</t>
  </si>
  <si>
    <t>To correct overstated issuance of semi expandable office supplies and ict equipment</t>
  </si>
  <si>
    <t>1475830</t>
  </si>
  <si>
    <t>To first(1st) partial payment of contract under R1-PIMO-22-01-015 in connection with MALIMPIN SPIP(CARP IC CY 2022) located in Dasol</t>
  </si>
  <si>
    <t>220044 Malimpin SPIP</t>
  </si>
  <si>
    <t>Payroll202212023</t>
  </si>
  <si>
    <t>J.Bergado &amp; 7 others</t>
  </si>
  <si>
    <t>Payroll202212024</t>
  </si>
  <si>
    <t>R. De Guzman &amp; 2 others</t>
  </si>
  <si>
    <t>To payment of wages of John R. Bergado &amp; 7 others(Job Order) of NIA-PIMO for the period November 16-30,2022</t>
  </si>
  <si>
    <t>To payment of wages of R.De Guzman &amp; 2 others(Job Order) of NIA-PIMO for the period November 16-30,2022</t>
  </si>
  <si>
    <t>210017 Luna Este SIP</t>
  </si>
  <si>
    <t>210017 Luna Este SIP &amp; 220044 Malimpin SPIP</t>
  </si>
  <si>
    <t>Payroll202212025</t>
  </si>
  <si>
    <t>E. Delos Santos &amp; 2 others</t>
  </si>
  <si>
    <t>Payroll202212025A</t>
  </si>
  <si>
    <t>Payment of Salaries and Allowances of E.Delos Santos &amp; 2 others of NIA-PIMO(CARP) December 2022</t>
  </si>
  <si>
    <t>220169 PS, 220121 PS, &amp; 220080 PS</t>
  </si>
  <si>
    <t>Payroll202212026</t>
  </si>
  <si>
    <t>220169 PS</t>
  </si>
  <si>
    <t>1475832</t>
  </si>
  <si>
    <t>To remit monthly GSIS premiums both personal &amp; government shares of E.Delos Santos &amp; 2 Others of NIA-PIMO(CARP),Decemebr 2022</t>
  </si>
  <si>
    <t>1475833</t>
  </si>
  <si>
    <t>To remit monthly PHIC premiums both personal &amp; government shares of E.Delos Santos &amp; 2 others,NIA-PIMO(CARP),Decemebr 2022</t>
  </si>
  <si>
    <t>1475834</t>
  </si>
  <si>
    <t>To remit monthly HDMF premiums both personal &amp; government shares of E.Delos Santos &amp; 2 others of NIA-PIMO(CARP),December 2022</t>
  </si>
  <si>
    <t>1475835</t>
  </si>
  <si>
    <t>To remit monthly HDMF M2 E.Delos Santos &amp; 1 other of NIA-PIMO(CARP),December 2022</t>
  </si>
  <si>
    <t>Payroll202212027</t>
  </si>
  <si>
    <t>To payment for the grant  of SRI CY 2022 of E.Delos Santos &amp; 2 others of NIA CARP</t>
  </si>
  <si>
    <t>1475836</t>
  </si>
  <si>
    <t>To payment of TEV/Per Diem durin the conduct of CARP-IC Mid year CY 2022 IDP Assessment and Planning workshop on August 9-12,2022 at NIA-Region 8,Marasbaras,Tacloban City</t>
  </si>
  <si>
    <t>1475837</t>
  </si>
  <si>
    <t>To payment of TEV/Per Diem during the conduct of Training the Trainers on Designing and Managing Training Program (CARP-IC) on November 21-25,2022 at Gateway Hotel,Pavia,Ilo-ilo City</t>
  </si>
  <si>
    <t>1475838</t>
  </si>
  <si>
    <t>To first (1st) partial payment of contract under R1-PIMO-22-03-041 in connection with the MINOSICUAN CIS(CARP IC CY 2022) located in Umingan,Pangasinan</t>
  </si>
  <si>
    <t>1475839</t>
  </si>
  <si>
    <t>To remit witolding tax on compensation of E.Delos santos &amp; 2 others of NIA-PIMO (CARP),fro the period of December 2022</t>
  </si>
  <si>
    <t>1475840</t>
  </si>
  <si>
    <t>Cipriano Y. Yabut</t>
  </si>
  <si>
    <t>To reimburse the amount paid of tire vulcanizing(payloader pdf-1902),halogen bulb, &amp; Car stereo,oring replacement &amp; freon charge,tire vulcanizing for the use of service vehicle &amp; heavy equipment of NIA Agno-sinocalan RIS..</t>
  </si>
  <si>
    <t>220197 PS</t>
  </si>
  <si>
    <t>220076 Minosicuan CIS</t>
  </si>
  <si>
    <t>1475841</t>
  </si>
  <si>
    <t>1475842</t>
  </si>
  <si>
    <t>Izbarinos Corporation</t>
  </si>
  <si>
    <t>To payment of diesel fuel for use of various vehicles asssigned for Project of Irrigation System NIA PIMO,for the period of November 16-30,2022</t>
  </si>
  <si>
    <t>Majodo Office &amp; School Supplies</t>
  </si>
  <si>
    <t>To payment of Office Supplies( Folder,Notepad and 4 others) for use of PIMO-AFS &amp; Field Offices …</t>
  </si>
  <si>
    <t>220136 MOOE &amp; 220044 Malimpin SPIP(GESA)</t>
  </si>
  <si>
    <t>1475831</t>
  </si>
  <si>
    <t>NIA-Region 1 Employees Multi-Purpose Cooperative</t>
  </si>
  <si>
    <t>To Payment for NIA Multi-Purpose loan of R.De Guzman &amp; 2 others(Job-Order) of NIA-PIMO for the Month 0f November 16-30,2022</t>
  </si>
  <si>
    <t>To payment for the grant of Productivity Enhancement Incentive for CY 2022</t>
  </si>
  <si>
    <t>1475843</t>
  </si>
  <si>
    <t>Bureau of Treasury</t>
  </si>
  <si>
    <t>To remit interest income under Fund 501 CARP for the 4th quarter of CY 2022</t>
  </si>
  <si>
    <t>1475844</t>
  </si>
  <si>
    <t>to remit collection of witholdin of Final Vat (1%-2%)  for the Month of December</t>
  </si>
  <si>
    <t>1475845</t>
  </si>
  <si>
    <t>to remit collection of witholdin of Final Vat (5%-1%) Month of December</t>
  </si>
  <si>
    <t>To take up receipt of ADA PS for the month of Dec 2022 &amp;PEI</t>
  </si>
  <si>
    <t>To take up receipt of ADA for the month of Dec 2022</t>
  </si>
  <si>
    <t>To take up receipt of ADA PS for the month of SRI</t>
  </si>
  <si>
    <t>To record accumulated depreciation of Various PPE as of Nov 2022</t>
  </si>
  <si>
    <t>To record accumulated depreciation of Various PPE as of Dec 2022</t>
  </si>
  <si>
    <t>SHALIMAR E. VELASCO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</si>
</sst>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3" formatCode="_-* #,##0.00_-;\-* #,##0.00_-;_-* &quot;-&quot;??_-;_-@_-"/>
    <numFmt numFmtId="164" formatCode="_(* #,##0.00_);_(* \(#,##0.00\);_(* &quot;-&quot;??_);_(@_)"/>
    <numFmt numFmtId="165" formatCode="&quot;P&quot;#,##0.00_);\(&quot;P&quot;#,##0.00\)"/>
    <numFmt numFmtId="166" formatCode="&quot;For the month ended&quot;\ mmmm\ d\,\ yyyy"/>
    <numFmt numFmtId="167" formatCode="&quot;Total for the month &quot;mmmm\ yyyy"/>
    <numFmt numFmtId="168" formatCode="&quot;Ending Balance&quot;\ mm/dd/yy"/>
    <numFmt numFmtId="169" formatCode="&quot;As of&quot;\ mmmm\ dd\,\ yyyy"/>
    <numFmt numFmtId="170" formatCode="mmmm\ &quot;01-&quot;dd\,\ yyyy"/>
    <numFmt numFmtId="171" formatCode="[$-3409]mmmm\ dd\,\ yyyy;@"/>
    <numFmt numFmtId="172" formatCode="mmmm\ yyyy"/>
    <numFmt numFmtId="173" formatCode="mm/dd/yy;@"/>
    <numFmt numFmtId="174" formatCode="&quot;As of &quot;mmmm\ dd\,\ yyyy"/>
    <numFmt numFmtId="175" formatCode="&quot;Add: Cash Balance Beginning,&quot;\ mmmm\ &quot;01,&quot;\ yyyy"/>
    <numFmt numFmtId="176" formatCode="&quot;Add: Cash Balance,&quot;\ mmmm\ &quot;01,&quot;\ yyyy"/>
    <numFmt numFmtId="177" formatCode="&quot;Cash Balance,&quot;\ mmmm\ dd\,\ yyyy"/>
    <numFmt numFmtId="178" formatCode="&quot;For the Month of &quot;mmmm\ yyyy"/>
    <numFmt numFmtId="179" formatCode="dd\-mmm\-yyyy"/>
    <numFmt numFmtId="180" formatCode="mmmm\ dd\,\ yyyy"/>
    <numFmt numFmtId="181" formatCode="&quot;Total Commitment as of&quot;\ mm/dd/yy"/>
    <numFmt numFmtId="182" formatCode="&quot;Total for the Year &quot;yyyy"/>
    <numFmt numFmtId="183" formatCode="&quot;Ending Balance&quot;\ mmmm\ dd\,\ yyyy"/>
    <numFmt numFmtId="184" formatCode="mmmm"/>
    <numFmt numFmtId="185" formatCode="&quot;ACTUAL&quot;\ mmmm\ dd\,\ yyyy"/>
    <numFmt numFmtId="186" formatCode="_(* #,##0_);_(* \(#,##0\);_(* &quot;-&quot;??_);_(@_)"/>
    <numFmt numFmtId="187" formatCode="mm/dd/yyyy;@"/>
    <numFmt numFmtId="188" formatCode="mmm\ dd\,\ yyyy"/>
    <numFmt numFmtId="189" formatCode="_(* #,##0.0_);_(* \(#,##0.0\);_(* &quot;-&quot;??_);_(@_)"/>
    <numFmt numFmtId="190" formatCode="_(&quot;P&quot;* #,##0.00_);_(&quot;P&quot;* \(#,##0.00\);_(&quot;P&quot;* &quot;-&quot;??_);_(@_)"/>
    <numFmt numFmtId="191" formatCode="[$-3409]dd\-mmm\-yy;@"/>
  </numFmts>
  <fonts count="119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5"/>
      <name val="Matura MT Script Capitals"/>
      <family val="4"/>
    </font>
    <font>
      <b/>
      <sz val="18"/>
      <name val="Monotype Corsiva"/>
      <family val="4"/>
    </font>
    <font>
      <b/>
      <sz val="12"/>
      <color indexed="18"/>
      <name val="Times New Roman"/>
      <family val="1"/>
    </font>
    <font>
      <b/>
      <sz val="25"/>
      <color indexed="10"/>
      <name val="Matura MT Script Capitals"/>
      <family val="4"/>
    </font>
    <font>
      <b/>
      <sz val="18"/>
      <color indexed="17"/>
      <name val="Script MT Bold"/>
      <family val="4"/>
    </font>
    <font>
      <b/>
      <sz val="12"/>
      <color indexed="12"/>
      <name val="Times New Roman"/>
      <family val="1"/>
    </font>
    <font>
      <sz val="12"/>
      <color indexed="12"/>
      <name val="Times New Roman"/>
      <family val="1"/>
    </font>
    <font>
      <b/>
      <sz val="12"/>
      <color rgb="FF002060"/>
      <name val="Times New Roman"/>
      <family val="1"/>
    </font>
    <font>
      <b/>
      <sz val="12"/>
      <color rgb="FFFF0000"/>
      <name val="Times New Roman"/>
      <family val="1"/>
    </font>
    <font>
      <b/>
      <sz val="18"/>
      <color indexed="17"/>
      <name val="Baskerville Old Face"/>
      <family val="1"/>
    </font>
    <font>
      <sz val="15"/>
      <color indexed="17"/>
      <name val="Matura MT Script Capitals"/>
      <family val="4"/>
    </font>
    <font>
      <b/>
      <sz val="13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8"/>
      <name val="Times New Roman"/>
      <family val="1"/>
    </font>
    <font>
      <b/>
      <sz val="15"/>
      <name val="Times New Roman"/>
      <family val="1"/>
    </font>
    <font>
      <b/>
      <u/>
      <sz val="12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u/>
      <sz val="13"/>
      <name val="Times New Roman"/>
      <family val="1"/>
    </font>
    <font>
      <sz val="15"/>
      <color indexed="17"/>
      <name val="Script MT Bold"/>
      <family val="4"/>
    </font>
    <font>
      <sz val="15"/>
      <name val="Times New Roman"/>
      <family val="1"/>
    </font>
    <font>
      <b/>
      <sz val="25"/>
      <color theme="1"/>
      <name val="Constantia"/>
      <family val="1"/>
    </font>
    <font>
      <sz val="10"/>
      <name val="Times New Roman"/>
      <family val="1"/>
    </font>
    <font>
      <sz val="12"/>
      <color rgb="FFFF0000"/>
      <name val="Times New Roman"/>
      <family val="1"/>
    </font>
    <font>
      <b/>
      <sz val="10"/>
      <name val="Times New Roman"/>
      <family val="1"/>
    </font>
    <font>
      <b/>
      <sz val="15"/>
      <name val="Matura MT Script Capitals"/>
      <family val="4"/>
    </font>
    <font>
      <b/>
      <sz val="11"/>
      <name val="Cambria"/>
      <family val="1"/>
      <scheme val="major"/>
    </font>
    <font>
      <sz val="11"/>
      <name val="Cambria"/>
      <family val="1"/>
      <scheme val="major"/>
    </font>
    <font>
      <sz val="12"/>
      <color rgb="FF002060"/>
      <name val="Times New Roman"/>
      <family val="1"/>
    </font>
    <font>
      <sz val="11"/>
      <color theme="0"/>
      <name val="Times New Roman"/>
      <family val="1"/>
    </font>
    <font>
      <sz val="10"/>
      <color theme="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0"/>
      <color indexed="81"/>
      <name val="Times New Roman"/>
      <family val="1"/>
    </font>
    <font>
      <sz val="12"/>
      <color indexed="81"/>
      <name val="Times New Roman"/>
      <family val="1"/>
    </font>
    <font>
      <sz val="20"/>
      <color indexed="18"/>
      <name val="Times New Roman"/>
      <family val="1"/>
    </font>
    <font>
      <b/>
      <sz val="11"/>
      <color rgb="FFFF0000"/>
      <name val="Cambria"/>
      <family val="1"/>
      <scheme val="major"/>
    </font>
    <font>
      <b/>
      <sz val="12"/>
      <color rgb="FF000066"/>
      <name val="Times New Roman"/>
      <family val="1"/>
    </font>
    <font>
      <b/>
      <sz val="11"/>
      <color rgb="FF000066"/>
      <name val="Times New Roman"/>
      <family val="1"/>
    </font>
    <font>
      <b/>
      <sz val="10"/>
      <color rgb="FF000066"/>
      <name val="Times New Roman"/>
      <family val="1"/>
    </font>
    <font>
      <sz val="12"/>
      <color theme="1"/>
      <name val="Times New Roman"/>
      <family val="2"/>
    </font>
    <font>
      <sz val="12"/>
      <name val="Times New Roman"/>
      <family val="2"/>
    </font>
    <font>
      <b/>
      <sz val="8"/>
      <color theme="1"/>
      <name val="Times New Roman"/>
      <family val="1"/>
    </font>
    <font>
      <b/>
      <sz val="12"/>
      <name val="Times New Roman"/>
      <family val="2"/>
    </font>
    <font>
      <sz val="15"/>
      <color rgb="FF008000"/>
      <name val="Matura MT Script Capitals"/>
      <family val="4"/>
    </font>
    <font>
      <b/>
      <sz val="12"/>
      <color rgb="FFFF0000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8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b/>
      <sz val="13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sz val="12"/>
      <name val="Arial"/>
      <family val="2"/>
    </font>
    <font>
      <b/>
      <sz val="20"/>
      <color rgb="FF008000"/>
      <name val="Mistral"/>
      <family val="4"/>
    </font>
    <font>
      <sz val="20"/>
      <color indexed="17"/>
      <name val="Mistral"/>
      <family val="4"/>
    </font>
    <font>
      <b/>
      <sz val="20"/>
      <color indexed="17"/>
      <name val="Mistral"/>
      <family val="4"/>
    </font>
    <font>
      <b/>
      <sz val="13"/>
      <name val="Calibri"/>
      <family val="2"/>
    </font>
    <font>
      <sz val="12"/>
      <name val="Calibri"/>
      <family val="2"/>
    </font>
    <font>
      <b/>
      <sz val="15"/>
      <name val="Calibri"/>
      <family val="2"/>
    </font>
    <font>
      <b/>
      <u/>
      <sz val="13"/>
      <name val="Calibri"/>
      <family val="2"/>
    </font>
    <font>
      <b/>
      <sz val="15"/>
      <name val="Calibri"/>
      <family val="2"/>
      <scheme val="minor"/>
    </font>
    <font>
      <b/>
      <u/>
      <sz val="13"/>
      <name val="Calibri"/>
      <family val="2"/>
      <scheme val="minor"/>
    </font>
    <font>
      <b/>
      <sz val="24"/>
      <color indexed="17"/>
      <name val="Mistral"/>
      <family val="4"/>
    </font>
    <font>
      <b/>
      <sz val="12"/>
      <name val="Calibri"/>
      <family val="2"/>
    </font>
    <font>
      <b/>
      <sz val="26"/>
      <color rgb="FF008000"/>
      <name val="Mistral"/>
      <family val="4"/>
    </font>
    <font>
      <sz val="20"/>
      <name val="Mistral"/>
      <family val="4"/>
    </font>
    <font>
      <b/>
      <sz val="25"/>
      <color indexed="10"/>
      <name val="Calibri"/>
      <family val="2"/>
      <scheme val="minor"/>
    </font>
    <font>
      <b/>
      <sz val="12"/>
      <name val="Times New Roman"/>
      <family val="1"/>
    </font>
    <font>
      <sz val="12"/>
      <name val="Calibri"/>
      <family val="2"/>
      <scheme val="minor"/>
    </font>
    <font>
      <b/>
      <sz val="12"/>
      <name val="Times New Roman"/>
      <family val="1"/>
    </font>
    <font>
      <sz val="14"/>
      <name val="Times New Roman"/>
      <family val="1"/>
    </font>
    <font>
      <b/>
      <sz val="12"/>
      <name val="Times New Roman"/>
      <family val="1"/>
    </font>
    <font>
      <b/>
      <sz val="12"/>
      <name val="Times New Roman"/>
      <family val="1"/>
    </font>
    <font>
      <b/>
      <sz val="12"/>
      <name val="Times New Roman"/>
      <family val="1"/>
    </font>
    <font>
      <sz val="14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Calibri"/>
      <family val="2"/>
      <scheme val="minor"/>
    </font>
    <font>
      <b/>
      <sz val="12"/>
      <color theme="0"/>
      <name val="Times New Roman"/>
      <family val="1"/>
    </font>
    <font>
      <sz val="12"/>
      <color theme="0"/>
      <name val="Times New Roman"/>
      <family val="1"/>
    </font>
    <font>
      <b/>
      <sz val="18"/>
      <color rgb="FF008000"/>
      <name val="Trajan Pro"/>
      <family val="1"/>
    </font>
    <font>
      <sz val="18"/>
      <name val="Times New Roman"/>
      <family val="1"/>
    </font>
    <font>
      <b/>
      <sz val="16"/>
      <color rgb="FF008000"/>
      <name val="Trajan Pro"/>
      <family val="1"/>
    </font>
    <font>
      <b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sz val="12"/>
      <color indexed="8"/>
      <name val="Bookman Old Style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8"/>
      <name val="Trajan Pro"/>
      <family val="1"/>
    </font>
    <font>
      <sz val="12"/>
      <name val="Calibri"/>
      <family val="2"/>
      <scheme val="minor"/>
    </font>
    <font>
      <sz val="12"/>
      <name val="Calibri"/>
      <family val="2"/>
      <scheme val="minor"/>
    </font>
    <font>
      <sz val="8"/>
      <name val="Times New Roman"/>
      <family val="1"/>
    </font>
    <font>
      <b/>
      <sz val="12"/>
      <color theme="1"/>
      <name val="Times New Roman"/>
      <family val="1"/>
    </font>
    <font>
      <sz val="12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Times New Roman"/>
      <family val="1"/>
    </font>
    <font>
      <sz val="12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name val="Calibri"/>
      <family val="2"/>
      <scheme val="minor"/>
    </font>
    <font>
      <b/>
      <sz val="12"/>
      <color rgb="FFFF0000"/>
      <name val="Times New Roman"/>
      <family val="1"/>
    </font>
    <font>
      <sz val="8"/>
      <name val="Times New Roman"/>
      <family val="1"/>
    </font>
    <font>
      <sz val="12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gray0625">
        <fgColor indexed="15"/>
      </patternFill>
    </fill>
    <fill>
      <patternFill patternType="gray0625">
        <fgColor indexed="8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gray0625">
        <fgColor indexed="15"/>
        <bgColor theme="9" tint="0.5999938962981048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71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AFEAFF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CDF2FF"/>
        <bgColor indexed="64"/>
      </patternFill>
    </fill>
    <fill>
      <patternFill patternType="solid">
        <fgColor rgb="FFFFFFD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9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/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 style="thin">
        <color indexed="12"/>
      </left>
      <right/>
      <top style="thin">
        <color indexed="12"/>
      </top>
      <bottom style="thin">
        <color indexed="12"/>
      </bottom>
      <diagonal/>
    </border>
    <border>
      <left style="thin">
        <color indexed="12"/>
      </left>
      <right/>
      <top/>
      <bottom/>
      <diagonal/>
    </border>
    <border>
      <left style="thin">
        <color indexed="12"/>
      </left>
      <right style="thin">
        <color indexed="12"/>
      </right>
      <top/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/>
      <diagonal/>
    </border>
    <border>
      <left/>
      <right/>
      <top style="thin">
        <color indexed="12"/>
      </top>
      <bottom/>
      <diagonal/>
    </border>
    <border>
      <left style="thin">
        <color indexed="12"/>
      </left>
      <right/>
      <top style="thin">
        <color indexed="12"/>
      </top>
      <bottom/>
      <diagonal/>
    </border>
    <border>
      <left/>
      <right style="thin">
        <color indexed="12"/>
      </right>
      <top/>
      <bottom/>
      <diagonal/>
    </border>
    <border>
      <left/>
      <right/>
      <top/>
      <bottom style="double">
        <color rgb="FFC00000"/>
      </bottom>
      <diagonal/>
    </border>
    <border>
      <left style="double">
        <color rgb="FFC00000"/>
      </left>
      <right style="thin">
        <color indexed="64"/>
      </right>
      <top style="double">
        <color rgb="FFC00000"/>
      </top>
      <bottom/>
      <diagonal/>
    </border>
    <border>
      <left style="thin">
        <color indexed="64"/>
      </left>
      <right/>
      <top style="double">
        <color rgb="FFC00000"/>
      </top>
      <bottom/>
      <diagonal/>
    </border>
    <border>
      <left/>
      <right style="thin">
        <color indexed="64"/>
      </right>
      <top style="double">
        <color rgb="FFC00000"/>
      </top>
      <bottom/>
      <diagonal/>
    </border>
    <border>
      <left style="thin">
        <color indexed="64"/>
      </left>
      <right style="thin">
        <color indexed="64"/>
      </right>
      <top style="double">
        <color rgb="FFC00000"/>
      </top>
      <bottom/>
      <diagonal/>
    </border>
    <border>
      <left style="thin">
        <color indexed="64"/>
      </left>
      <right/>
      <top style="double">
        <color rgb="FFC00000"/>
      </top>
      <bottom style="thin">
        <color indexed="64"/>
      </bottom>
      <diagonal/>
    </border>
    <border>
      <left/>
      <right/>
      <top style="double">
        <color rgb="FFC00000"/>
      </top>
      <bottom style="thin">
        <color indexed="64"/>
      </bottom>
      <diagonal/>
    </border>
    <border>
      <left/>
      <right style="thin">
        <color indexed="64"/>
      </right>
      <top style="double">
        <color rgb="FFC00000"/>
      </top>
      <bottom style="thin">
        <color indexed="64"/>
      </bottom>
      <diagonal/>
    </border>
    <border>
      <left style="thin">
        <color indexed="64"/>
      </left>
      <right style="double">
        <color rgb="FFC00000"/>
      </right>
      <top style="double">
        <color rgb="FFC00000"/>
      </top>
      <bottom/>
      <diagonal/>
    </border>
    <border>
      <left style="double">
        <color rgb="FFC00000"/>
      </left>
      <right style="double">
        <color rgb="FFC00000"/>
      </right>
      <top style="double">
        <color rgb="FFC00000"/>
      </top>
      <bottom/>
      <diagonal/>
    </border>
    <border>
      <left style="double">
        <color rgb="FFC00000"/>
      </left>
      <right style="thin">
        <color indexed="64"/>
      </right>
      <top/>
      <bottom/>
      <diagonal/>
    </border>
    <border>
      <left style="thin">
        <color indexed="64"/>
      </left>
      <right style="double">
        <color rgb="FFC00000"/>
      </right>
      <top/>
      <bottom/>
      <diagonal/>
    </border>
    <border>
      <left style="double">
        <color rgb="FFC00000"/>
      </left>
      <right style="double">
        <color rgb="FFC00000"/>
      </right>
      <top/>
      <bottom/>
      <diagonal/>
    </border>
    <border>
      <left style="double">
        <color rgb="FFC00000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/>
      <top/>
      <bottom style="medium">
        <color rgb="FFC00000"/>
      </bottom>
      <diagonal/>
    </border>
    <border>
      <left/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double">
        <color rgb="FFC00000"/>
      </right>
      <top/>
      <bottom style="medium">
        <color rgb="FFC00000"/>
      </bottom>
      <diagonal/>
    </border>
    <border>
      <left style="double">
        <color rgb="FFC00000"/>
      </left>
      <right style="double">
        <color rgb="FFC00000"/>
      </right>
      <top/>
      <bottom style="medium">
        <color rgb="FFC00000"/>
      </bottom>
      <diagonal/>
    </border>
    <border>
      <left style="double">
        <color rgb="FFC00000"/>
      </left>
      <right style="thin">
        <color indexed="64"/>
      </right>
      <top style="medium">
        <color rgb="FFC00000"/>
      </top>
      <bottom/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 style="thin">
        <color indexed="64"/>
      </left>
      <right/>
      <top style="medium">
        <color rgb="FFC00000"/>
      </top>
      <bottom/>
      <diagonal/>
    </border>
    <border>
      <left style="thin">
        <color indexed="64"/>
      </left>
      <right style="thin">
        <color indexed="64"/>
      </right>
      <top style="medium">
        <color rgb="FFC00000"/>
      </top>
      <bottom/>
      <diagonal/>
    </border>
    <border>
      <left/>
      <right style="double">
        <color rgb="FFC00000"/>
      </right>
      <top style="medium">
        <color rgb="FFC00000"/>
      </top>
      <bottom style="thin">
        <color indexed="64"/>
      </bottom>
      <diagonal/>
    </border>
    <border>
      <left/>
      <right style="double">
        <color rgb="FFC00000"/>
      </right>
      <top style="thin">
        <color indexed="64"/>
      </top>
      <bottom style="thin">
        <color indexed="64"/>
      </bottom>
      <diagonal/>
    </border>
    <border>
      <left/>
      <right style="double">
        <color rgb="FFC00000"/>
      </right>
      <top/>
      <bottom style="medium">
        <color rgb="FFC00000"/>
      </bottom>
      <diagonal/>
    </border>
    <border>
      <left/>
      <right style="double">
        <color rgb="FFC00000"/>
      </right>
      <top/>
      <bottom style="thin">
        <color indexed="64"/>
      </bottom>
      <diagonal/>
    </border>
    <border>
      <left style="double">
        <color rgb="FFC00000"/>
      </left>
      <right style="thin">
        <color indexed="64"/>
      </right>
      <top/>
      <bottom style="double">
        <color rgb="FFC00000"/>
      </bottom>
      <diagonal/>
    </border>
    <border>
      <left style="thin">
        <color indexed="64"/>
      </left>
      <right style="thin">
        <color indexed="64"/>
      </right>
      <top/>
      <bottom style="double">
        <color rgb="FFC00000"/>
      </bottom>
      <diagonal/>
    </border>
    <border>
      <left style="thin">
        <color indexed="64"/>
      </left>
      <right/>
      <top/>
      <bottom style="double">
        <color rgb="FFC00000"/>
      </bottom>
      <diagonal/>
    </border>
    <border>
      <left/>
      <right style="double">
        <color rgb="FFC00000"/>
      </right>
      <top style="thin">
        <color indexed="64"/>
      </top>
      <bottom style="double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1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164" fontId="2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164" fontId="4" fillId="0" borderId="0" applyFont="0" applyFill="0" applyBorder="0" applyAlignment="0" applyProtection="0"/>
    <xf numFmtId="190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309">
    <xf numFmtId="0" fontId="0" fillId="0" borderId="0" xfId="0"/>
    <xf numFmtId="0" fontId="2" fillId="0" borderId="0" xfId="0" applyFont="1" applyProtection="1">
      <protection locked="0"/>
    </xf>
    <xf numFmtId="164" fontId="3" fillId="0" borderId="0" xfId="0" applyNumberFormat="1" applyFont="1" applyAlignment="1">
      <alignment horizontal="centerContinuous"/>
    </xf>
    <xf numFmtId="0" fontId="2" fillId="0" borderId="2" xfId="0" applyFont="1" applyBorder="1" applyAlignment="1">
      <alignment shrinkToFit="1"/>
    </xf>
    <xf numFmtId="164" fontId="2" fillId="0" borderId="2" xfId="1" applyFont="1" applyBorder="1" applyAlignment="1" applyProtection="1">
      <protection locked="0"/>
    </xf>
    <xf numFmtId="14" fontId="7" fillId="0" borderId="0" xfId="0" applyNumberFormat="1" applyFont="1"/>
    <xf numFmtId="14" fontId="0" fillId="0" borderId="0" xfId="0" applyNumberFormat="1" applyAlignment="1">
      <alignment horizontal="center"/>
    </xf>
    <xf numFmtId="164" fontId="2" fillId="0" borderId="0" xfId="1"/>
    <xf numFmtId="164" fontId="9" fillId="0" borderId="0" xfId="1" applyFont="1"/>
    <xf numFmtId="164" fontId="2" fillId="0" borderId="0" xfId="1" applyFont="1" applyProtection="1">
      <protection locked="0"/>
    </xf>
    <xf numFmtId="164" fontId="10" fillId="0" borderId="2" xfId="1" applyFont="1" applyBorder="1"/>
    <xf numFmtId="14" fontId="0" fillId="0" borderId="2" xfId="0" applyNumberFormat="1" applyBorder="1" applyAlignment="1">
      <alignment horizontal="center"/>
    </xf>
    <xf numFmtId="0" fontId="0" fillId="0" borderId="2" xfId="0" applyBorder="1"/>
    <xf numFmtId="164" fontId="2" fillId="0" borderId="2" xfId="1" applyBorder="1"/>
    <xf numFmtId="0" fontId="2" fillId="0" borderId="2" xfId="0" applyFont="1" applyBorder="1"/>
    <xf numFmtId="167" fontId="2" fillId="0" borderId="2" xfId="0" applyNumberFormat="1" applyFont="1" applyBorder="1" applyAlignment="1">
      <alignment horizontal="left"/>
    </xf>
    <xf numFmtId="168" fontId="2" fillId="0" borderId="2" xfId="0" applyNumberFormat="1" applyFont="1" applyBorder="1" applyAlignment="1">
      <alignment horizontal="left"/>
    </xf>
    <xf numFmtId="164" fontId="2" fillId="0" borderId="2" xfId="1" quotePrefix="1" applyBorder="1"/>
    <xf numFmtId="0" fontId="7" fillId="2" borderId="5" xfId="0" applyFont="1" applyFill="1" applyBorder="1" applyAlignment="1">
      <alignment horizontal="center" vertical="center"/>
    </xf>
    <xf numFmtId="168" fontId="11" fillId="0" borderId="2" xfId="0" applyNumberFormat="1" applyFont="1" applyBorder="1" applyAlignment="1">
      <alignment horizontal="center"/>
    </xf>
    <xf numFmtId="164" fontId="12" fillId="0" borderId="2" xfId="1" applyFont="1" applyBorder="1"/>
    <xf numFmtId="14" fontId="12" fillId="0" borderId="2" xfId="0" applyNumberFormat="1" applyFont="1" applyBorder="1" applyAlignment="1">
      <alignment horizontal="center"/>
    </xf>
    <xf numFmtId="49" fontId="12" fillId="0" borderId="2" xfId="0" applyNumberFormat="1" applyFont="1" applyBorder="1"/>
    <xf numFmtId="164" fontId="13" fillId="0" borderId="2" xfId="1" applyFont="1" applyBorder="1"/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/>
    <xf numFmtId="49" fontId="8" fillId="0" borderId="0" xfId="1" applyNumberFormat="1" applyFont="1" applyProtection="1">
      <protection locked="0"/>
    </xf>
    <xf numFmtId="164" fontId="15" fillId="0" borderId="0" xfId="0" applyNumberFormat="1" applyFont="1" applyAlignment="1">
      <alignment horizontal="centerContinuous"/>
    </xf>
    <xf numFmtId="164" fontId="7" fillId="0" borderId="0" xfId="0" applyNumberFormat="1" applyFont="1" applyAlignment="1">
      <alignment horizontal="centerContinuous"/>
    </xf>
    <xf numFmtId="164" fontId="3" fillId="0" borderId="0" xfId="0" applyNumberFormat="1" applyFont="1"/>
    <xf numFmtId="164" fontId="0" fillId="0" borderId="0" xfId="0" applyNumberFormat="1"/>
    <xf numFmtId="0" fontId="19" fillId="0" borderId="10" xfId="0" applyFont="1" applyBorder="1" applyAlignment="1">
      <alignment horizontal="centerContinuous" vertical="center"/>
    </xf>
    <xf numFmtId="0" fontId="20" fillId="0" borderId="11" xfId="0" applyFont="1" applyBorder="1" applyAlignment="1">
      <alignment horizontal="centerContinuous" vertical="center"/>
    </xf>
    <xf numFmtId="0" fontId="20" fillId="0" borderId="12" xfId="0" applyFont="1" applyBorder="1" applyAlignment="1">
      <alignment horizontal="centerContinuous" vertical="center"/>
    </xf>
    <xf numFmtId="0" fontId="21" fillId="0" borderId="1" xfId="0" applyFont="1" applyBorder="1" applyAlignment="1" applyProtection="1">
      <alignment horizontal="centerContinuous"/>
      <protection locked="0"/>
    </xf>
    <xf numFmtId="0" fontId="0" fillId="0" borderId="0" xfId="0" applyAlignment="1">
      <alignment horizontal="centerContinuous"/>
    </xf>
    <xf numFmtId="0" fontId="0" fillId="0" borderId="13" xfId="0" applyBorder="1" applyAlignment="1">
      <alignment horizontal="centerContinuous"/>
    </xf>
    <xf numFmtId="0" fontId="0" fillId="0" borderId="1" xfId="0" applyBorder="1"/>
    <xf numFmtId="0" fontId="2" fillId="0" borderId="1" xfId="0" applyFont="1" applyBorder="1" applyAlignment="1">
      <alignment horizontal="centerContinuous"/>
    </xf>
    <xf numFmtId="0" fontId="0" fillId="0" borderId="17" xfId="0" applyBorder="1" applyAlignment="1">
      <alignment horizontal="centerContinuous"/>
    </xf>
    <xf numFmtId="0" fontId="0" fillId="0" borderId="18" xfId="0" applyBorder="1" applyAlignment="1">
      <alignment horizontal="centerContinuous"/>
    </xf>
    <xf numFmtId="0" fontId="0" fillId="0" borderId="19" xfId="0" applyBorder="1" applyAlignment="1">
      <alignment horizontal="centerContinuous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10" xfId="0" applyFont="1" applyBorder="1"/>
    <xf numFmtId="0" fontId="2" fillId="0" borderId="11" xfId="0" applyFont="1" applyBorder="1"/>
    <xf numFmtId="0" fontId="2" fillId="0" borderId="11" xfId="0" applyFont="1" applyBorder="1" applyAlignment="1">
      <alignment horizontal="center"/>
    </xf>
    <xf numFmtId="0" fontId="2" fillId="0" borderId="12" xfId="0" applyFont="1" applyBorder="1"/>
    <xf numFmtId="0" fontId="2" fillId="0" borderId="1" xfId="0" applyFont="1" applyBorder="1"/>
    <xf numFmtId="0" fontId="2" fillId="0" borderId="0" xfId="0" applyFont="1" applyAlignment="1">
      <alignment horizontal="left" indent="1"/>
    </xf>
    <xf numFmtId="0" fontId="2" fillId="0" borderId="2" xfId="0" applyFont="1" applyBorder="1" applyAlignment="1" applyProtection="1">
      <alignment horizontal="center"/>
      <protection locked="0"/>
    </xf>
    <xf numFmtId="0" fontId="2" fillId="0" borderId="0" xfId="0" applyFont="1" applyAlignment="1">
      <alignment horizontal="left"/>
    </xf>
    <xf numFmtId="0" fontId="2" fillId="0" borderId="13" xfId="0" applyFont="1" applyBorder="1"/>
    <xf numFmtId="0" fontId="2" fillId="0" borderId="17" xfId="0" applyFont="1" applyBorder="1"/>
    <xf numFmtId="0" fontId="2" fillId="0" borderId="18" xfId="0" applyFont="1" applyBorder="1"/>
    <xf numFmtId="0" fontId="2" fillId="0" borderId="18" xfId="0" applyFont="1" applyBorder="1" applyAlignment="1">
      <alignment horizontal="center"/>
    </xf>
    <xf numFmtId="0" fontId="2" fillId="0" borderId="19" xfId="0" applyFont="1" applyBorder="1"/>
    <xf numFmtId="0" fontId="3" fillId="0" borderId="26" xfId="0" applyFont="1" applyBorder="1" applyAlignment="1">
      <alignment horizontal="center" vertical="center" wrapText="1"/>
    </xf>
    <xf numFmtId="49" fontId="2" fillId="0" borderId="5" xfId="0" applyNumberFormat="1" applyFont="1" applyBorder="1" applyAlignment="1">
      <alignment horizontal="center"/>
    </xf>
    <xf numFmtId="0" fontId="2" fillId="0" borderId="5" xfId="0" applyFont="1" applyBorder="1"/>
    <xf numFmtId="49" fontId="2" fillId="0" borderId="2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 shrinkToFit="1"/>
    </xf>
    <xf numFmtId="0" fontId="3" fillId="0" borderId="10" xfId="0" applyFont="1" applyBorder="1"/>
    <xf numFmtId="0" fontId="0" fillId="0" borderId="11" xfId="0" applyBorder="1"/>
    <xf numFmtId="0" fontId="0" fillId="0" borderId="39" xfId="0" applyBorder="1"/>
    <xf numFmtId="0" fontId="0" fillId="0" borderId="11" xfId="0" applyBorder="1" applyAlignment="1">
      <alignment horizontal="left" indent="1"/>
    </xf>
    <xf numFmtId="0" fontId="2" fillId="0" borderId="1" xfId="0" applyFont="1" applyBorder="1" applyAlignment="1">
      <alignment horizontal="left" indent="1"/>
    </xf>
    <xf numFmtId="0" fontId="0" fillId="0" borderId="40" xfId="0" applyBorder="1" applyAlignment="1">
      <alignment horizontal="left" indent="1"/>
    </xf>
    <xf numFmtId="0" fontId="0" fillId="0" borderId="0" xfId="0" applyAlignment="1">
      <alignment horizontal="left" indent="1"/>
    </xf>
    <xf numFmtId="39" fontId="2" fillId="0" borderId="0" xfId="1" applyNumberFormat="1" applyFont="1" applyBorder="1" applyProtection="1"/>
    <xf numFmtId="39" fontId="2" fillId="0" borderId="13" xfId="1" applyNumberFormat="1" applyFont="1" applyBorder="1" applyProtection="1"/>
    <xf numFmtId="0" fontId="0" fillId="0" borderId="40" xfId="0" applyBorder="1"/>
    <xf numFmtId="0" fontId="0" fillId="0" borderId="13" xfId="0" applyBorder="1"/>
    <xf numFmtId="0" fontId="3" fillId="0" borderId="1" xfId="0" applyFont="1" applyBorder="1" applyAlignment="1" applyProtection="1">
      <alignment horizontal="centerContinuous"/>
      <protection locked="0"/>
    </xf>
    <xf numFmtId="0" fontId="3" fillId="0" borderId="0" xfId="0" applyFont="1" applyAlignment="1" applyProtection="1">
      <alignment horizontal="centerContinuous"/>
      <protection locked="0"/>
    </xf>
    <xf numFmtId="0" fontId="0" fillId="0" borderId="0" xfId="0" applyAlignment="1" applyProtection="1">
      <alignment horizontal="centerContinuous"/>
      <protection locked="0"/>
    </xf>
    <xf numFmtId="0" fontId="3" fillId="0" borderId="40" xfId="0" applyFont="1" applyBorder="1" applyAlignment="1" applyProtection="1">
      <alignment horizontal="centerContinuous"/>
      <protection locked="0"/>
    </xf>
    <xf numFmtId="0" fontId="0" fillId="0" borderId="13" xfId="0" applyBorder="1" applyAlignment="1" applyProtection="1">
      <alignment horizontal="centerContinuous"/>
      <protection locked="0"/>
    </xf>
    <xf numFmtId="0" fontId="22" fillId="0" borderId="1" xfId="0" applyFont="1" applyBorder="1" applyAlignment="1" applyProtection="1">
      <alignment horizontal="centerContinuous"/>
      <protection locked="0"/>
    </xf>
    <xf numFmtId="0" fontId="22" fillId="0" borderId="0" xfId="0" applyFont="1" applyAlignment="1" applyProtection="1">
      <alignment horizontal="centerContinuous"/>
      <protection locked="0"/>
    </xf>
    <xf numFmtId="0" fontId="22" fillId="0" borderId="40" xfId="0" applyFont="1" applyBorder="1" applyAlignment="1" applyProtection="1">
      <alignment horizontal="centerContinuous"/>
      <protection locked="0"/>
    </xf>
    <xf numFmtId="0" fontId="23" fillId="0" borderId="0" xfId="0" applyFont="1" applyAlignment="1" applyProtection="1">
      <alignment horizontal="centerContinuous"/>
      <protection locked="0"/>
    </xf>
    <xf numFmtId="0" fontId="22" fillId="0" borderId="13" xfId="0" applyFont="1" applyBorder="1" applyAlignment="1" applyProtection="1">
      <alignment horizontal="centerContinuous"/>
      <protection locked="0"/>
    </xf>
    <xf numFmtId="0" fontId="3" fillId="0" borderId="17" xfId="0" applyFont="1" applyBorder="1"/>
    <xf numFmtId="0" fontId="0" fillId="0" borderId="41" xfId="0" applyBorder="1"/>
    <xf numFmtId="0" fontId="2" fillId="0" borderId="0" xfId="0" applyFont="1" applyAlignment="1">
      <alignment horizontal="center"/>
    </xf>
    <xf numFmtId="0" fontId="3" fillId="0" borderId="27" xfId="0" applyFont="1" applyBorder="1" applyAlignment="1">
      <alignment horizontal="center" vertical="center"/>
    </xf>
    <xf numFmtId="0" fontId="3" fillId="3" borderId="29" xfId="0" applyFont="1" applyFill="1" applyBorder="1" applyAlignment="1">
      <alignment horizontal="center"/>
    </xf>
    <xf numFmtId="164" fontId="2" fillId="0" borderId="2" xfId="1" applyFont="1" applyBorder="1" applyProtection="1"/>
    <xf numFmtId="0" fontId="0" fillId="0" borderId="0" xfId="0" applyAlignment="1">
      <alignment vertical="center"/>
    </xf>
    <xf numFmtId="0" fontId="0" fillId="0" borderId="0" xfId="0" applyAlignment="1">
      <alignment horizontal="centerContinuous" vertical="center"/>
    </xf>
    <xf numFmtId="173" fontId="2" fillId="0" borderId="2" xfId="0" applyNumberFormat="1" applyFont="1" applyBorder="1" applyAlignment="1">
      <alignment horizontal="center" vertical="center"/>
    </xf>
    <xf numFmtId="49" fontId="2" fillId="0" borderId="2" xfId="1" applyNumberFormat="1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164" fontId="2" fillId="0" borderId="2" xfId="1" applyFont="1" applyBorder="1" applyAlignment="1">
      <alignment vertical="center"/>
    </xf>
    <xf numFmtId="0" fontId="25" fillId="0" borderId="0" xfId="0" applyFont="1" applyAlignment="1">
      <alignment horizontal="centerContinuous" vertical="center"/>
    </xf>
    <xf numFmtId="0" fontId="26" fillId="0" borderId="0" xfId="0" applyFont="1" applyAlignment="1">
      <alignment horizontal="centerContinuous" vertical="center"/>
    </xf>
    <xf numFmtId="173" fontId="2" fillId="0" borderId="2" xfId="0" applyNumberFormat="1" applyFont="1" applyBorder="1" applyAlignment="1">
      <alignment horizontal="center" vertical="center" shrinkToFit="1"/>
    </xf>
    <xf numFmtId="49" fontId="2" fillId="0" borderId="2" xfId="1" applyNumberFormat="1" applyFont="1" applyBorder="1" applyAlignment="1">
      <alignment horizontal="center" vertical="center" shrinkToFit="1"/>
    </xf>
    <xf numFmtId="164" fontId="2" fillId="0" borderId="2" xfId="1" applyFont="1" applyBorder="1" applyAlignment="1">
      <alignment vertical="center" shrinkToFit="1"/>
    </xf>
    <xf numFmtId="49" fontId="2" fillId="0" borderId="0" xfId="0" applyNumberFormat="1" applyFont="1" applyAlignment="1" applyProtection="1">
      <alignment horizontal="centerContinuous"/>
      <protection locked="0"/>
    </xf>
    <xf numFmtId="0" fontId="2" fillId="0" borderId="0" xfId="0" applyFont="1" applyAlignment="1">
      <alignment horizontal="centerContinuous"/>
    </xf>
    <xf numFmtId="164" fontId="2" fillId="0" borderId="0" xfId="1" applyFont="1" applyAlignment="1" applyProtection="1">
      <alignment horizontal="centerContinuous"/>
      <protection locked="0"/>
    </xf>
    <xf numFmtId="164" fontId="27" fillId="0" borderId="0" xfId="1" applyFont="1" applyProtection="1"/>
    <xf numFmtId="49" fontId="2" fillId="0" borderId="2" xfId="0" applyNumberFormat="1" applyFont="1" applyBorder="1" applyAlignment="1" applyProtection="1">
      <alignment horizontal="center" shrinkToFit="1"/>
      <protection locked="0"/>
    </xf>
    <xf numFmtId="164" fontId="16" fillId="0" borderId="0" xfId="0" applyNumberFormat="1" applyFont="1" applyAlignment="1">
      <alignment horizontal="centerContinuous"/>
    </xf>
    <xf numFmtId="174" fontId="7" fillId="0" borderId="0" xfId="0" applyNumberFormat="1" applyFont="1" applyAlignment="1">
      <alignment horizontal="centerContinuous"/>
    </xf>
    <xf numFmtId="164" fontId="2" fillId="0" borderId="0" xfId="0" applyNumberFormat="1" applyFont="1"/>
    <xf numFmtId="175" fontId="0" fillId="0" borderId="0" xfId="0" applyNumberFormat="1"/>
    <xf numFmtId="164" fontId="2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justify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justify" vertical="center" wrapText="1"/>
    </xf>
    <xf numFmtId="164" fontId="0" fillId="0" borderId="0" xfId="0" applyNumberFormat="1" applyAlignment="1">
      <alignment vertical="center"/>
    </xf>
    <xf numFmtId="176" fontId="0" fillId="0" borderId="0" xfId="1" applyNumberFormat="1" applyFont="1" applyBorder="1" applyAlignment="1"/>
    <xf numFmtId="177" fontId="3" fillId="0" borderId="0" xfId="0" applyNumberFormat="1" applyFont="1"/>
    <xf numFmtId="0" fontId="3" fillId="0" borderId="0" xfId="2" applyFont="1"/>
    <xf numFmtId="0" fontId="2" fillId="0" borderId="0" xfId="2" applyFont="1"/>
    <xf numFmtId="0" fontId="1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8" fillId="0" borderId="0" xfId="0" applyFont="1" applyAlignment="1">
      <alignment horizontal="left" indent="2"/>
    </xf>
    <xf numFmtId="0" fontId="17" fillId="0" borderId="0" xfId="0" applyFont="1" applyAlignment="1">
      <alignment horizontal="left" indent="2"/>
    </xf>
    <xf numFmtId="0" fontId="17" fillId="0" borderId="0" xfId="0" applyFont="1" applyAlignment="1">
      <alignment horizontal="left" indent="4"/>
    </xf>
    <xf numFmtId="0" fontId="18" fillId="0" borderId="0" xfId="0" applyFont="1"/>
    <xf numFmtId="0" fontId="18" fillId="0" borderId="0" xfId="0" applyFont="1" applyAlignment="1">
      <alignment horizontal="left" indent="1"/>
    </xf>
    <xf numFmtId="0" fontId="17" fillId="0" borderId="0" xfId="0" applyFont="1"/>
    <xf numFmtId="165" fontId="2" fillId="0" borderId="0" xfId="0" applyNumberFormat="1" applyFont="1" applyAlignment="1">
      <alignment vertical="center"/>
    </xf>
    <xf numFmtId="164" fontId="2" fillId="0" borderId="0" xfId="0" applyNumberFormat="1" applyFont="1" applyAlignment="1">
      <alignment horizontal="centerContinuous"/>
    </xf>
    <xf numFmtId="49" fontId="2" fillId="0" borderId="0" xfId="0" applyNumberFormat="1" applyFont="1" applyAlignment="1">
      <alignment horizontal="center"/>
    </xf>
    <xf numFmtId="164" fontId="2" fillId="0" borderId="0" xfId="1" applyFont="1" applyBorder="1"/>
    <xf numFmtId="164" fontId="2" fillId="0" borderId="0" xfId="0" applyNumberFormat="1" applyFont="1" applyAlignment="1">
      <alignment vertical="center"/>
    </xf>
    <xf numFmtId="0" fontId="3" fillId="0" borderId="2" xfId="0" applyFont="1" applyBorder="1" applyAlignment="1">
      <alignment horizontal="center"/>
    </xf>
    <xf numFmtId="49" fontId="2" fillId="0" borderId="2" xfId="0" applyNumberFormat="1" applyFont="1" applyBorder="1" applyAlignment="1" applyProtection="1">
      <alignment horizontal="center"/>
      <protection locked="0"/>
    </xf>
    <xf numFmtId="49" fontId="2" fillId="0" borderId="3" xfId="0" applyNumberFormat="1" applyFont="1" applyBorder="1" applyAlignment="1" applyProtection="1">
      <alignment horizont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49" fontId="2" fillId="0" borderId="2" xfId="0" applyNumberFormat="1" applyFont="1" applyBorder="1" applyAlignment="1" applyProtection="1">
      <alignment horizontal="center" vertical="center"/>
      <protection locked="0"/>
    </xf>
    <xf numFmtId="49" fontId="3" fillId="0" borderId="2" xfId="1" applyNumberFormat="1" applyFont="1" applyBorder="1" applyAlignment="1" applyProtection="1">
      <alignment horizontal="center" vertical="center"/>
      <protection locked="0"/>
    </xf>
    <xf numFmtId="49" fontId="14" fillId="0" borderId="0" xfId="1" applyNumberFormat="1" applyFont="1" applyAlignment="1">
      <alignment horizontal="center"/>
    </xf>
    <xf numFmtId="0" fontId="4" fillId="0" borderId="0" xfId="2" applyAlignment="1">
      <alignment horizontal="centerContinuous"/>
    </xf>
    <xf numFmtId="0" fontId="4" fillId="0" borderId="1" xfId="2" applyBorder="1" applyAlignment="1">
      <alignment horizontal="centerContinuous"/>
    </xf>
    <xf numFmtId="0" fontId="4" fillId="0" borderId="0" xfId="2"/>
    <xf numFmtId="49" fontId="28" fillId="0" borderId="2" xfId="0" applyNumberFormat="1" applyFont="1" applyBorder="1" applyAlignment="1" applyProtection="1">
      <alignment horizontal="justify" vertical="center" wrapText="1"/>
      <protection locked="0"/>
    </xf>
    <xf numFmtId="164" fontId="2" fillId="0" borderId="2" xfId="1" applyFont="1" applyBorder="1" applyAlignment="1" applyProtection="1">
      <alignment vertical="center"/>
      <protection locked="0"/>
    </xf>
    <xf numFmtId="49" fontId="2" fillId="0" borderId="2" xfId="0" applyNumberFormat="1" applyFont="1" applyBorder="1" applyAlignment="1" applyProtection="1">
      <alignment horizontal="center" vertical="center" shrinkToFit="1"/>
      <protection locked="0"/>
    </xf>
    <xf numFmtId="49" fontId="2" fillId="0" borderId="47" xfId="0" applyNumberFormat="1" applyFont="1" applyBorder="1" applyAlignment="1" applyProtection="1">
      <alignment horizontal="center" shrinkToFit="1"/>
      <protection locked="0"/>
    </xf>
    <xf numFmtId="49" fontId="2" fillId="0" borderId="4" xfId="0" applyNumberFormat="1" applyFont="1" applyBorder="1" applyAlignment="1" applyProtection="1">
      <alignment horizontal="center"/>
      <protection locked="0"/>
    </xf>
    <xf numFmtId="0" fontId="2" fillId="0" borderId="4" xfId="0" applyFont="1" applyBorder="1" applyAlignment="1">
      <alignment shrinkToFit="1"/>
    </xf>
    <xf numFmtId="164" fontId="2" fillId="0" borderId="4" xfId="1" applyFont="1" applyBorder="1" applyAlignment="1" applyProtection="1">
      <protection locked="0"/>
    </xf>
    <xf numFmtId="39" fontId="13" fillId="0" borderId="3" xfId="0" applyNumberFormat="1" applyFont="1" applyBorder="1" applyAlignment="1">
      <alignment vertical="center"/>
    </xf>
    <xf numFmtId="49" fontId="2" fillId="0" borderId="4" xfId="0" applyNumberFormat="1" applyFont="1" applyBorder="1" applyAlignment="1" applyProtection="1">
      <alignment horizontal="center" shrinkToFit="1"/>
      <protection locked="0"/>
    </xf>
    <xf numFmtId="39" fontId="13" fillId="0" borderId="45" xfId="0" applyNumberFormat="1" applyFont="1" applyBorder="1" applyAlignment="1">
      <alignment vertical="center"/>
    </xf>
    <xf numFmtId="0" fontId="3" fillId="0" borderId="5" xfId="0" applyFont="1" applyBorder="1" applyAlignment="1">
      <alignment horizontal="center" vertical="center" wrapText="1"/>
    </xf>
    <xf numFmtId="164" fontId="3" fillId="0" borderId="5" xfId="1" applyFont="1" applyFill="1" applyBorder="1" applyAlignment="1" applyProtection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164" fontId="3" fillId="0" borderId="5" xfId="1" applyFont="1" applyFill="1" applyBorder="1" applyAlignment="1" applyProtection="1">
      <alignment horizontal="center" vertical="center"/>
    </xf>
    <xf numFmtId="39" fontId="13" fillId="0" borderId="2" xfId="0" applyNumberFormat="1" applyFont="1" applyBorder="1" applyAlignment="1">
      <alignment vertical="center"/>
    </xf>
    <xf numFmtId="0" fontId="29" fillId="0" borderId="0" xfId="0" applyFont="1" applyAlignment="1">
      <alignment horizontal="left" indent="4"/>
    </xf>
    <xf numFmtId="0" fontId="29" fillId="0" borderId="0" xfId="0" applyFont="1" applyAlignment="1">
      <alignment horizontal="left" indent="2"/>
    </xf>
    <xf numFmtId="0" fontId="6" fillId="0" borderId="0" xfId="2" applyFont="1" applyAlignment="1">
      <alignment horizontal="centerContinuous"/>
    </xf>
    <xf numFmtId="164" fontId="4" fillId="0" borderId="0" xfId="1" applyFont="1" applyProtection="1"/>
    <xf numFmtId="164" fontId="17" fillId="0" borderId="0" xfId="0" applyNumberFormat="1" applyFont="1"/>
    <xf numFmtId="164" fontId="5" fillId="0" borderId="0" xfId="0" applyNumberFormat="1" applyFont="1" applyAlignment="1">
      <alignment horizontal="centerContinuous"/>
    </xf>
    <xf numFmtId="164" fontId="2" fillId="0" borderId="0" xfId="1" applyFont="1" applyBorder="1" applyProtection="1"/>
    <xf numFmtId="17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2"/>
    </xf>
    <xf numFmtId="0" fontId="2" fillId="0" borderId="0" xfId="0" applyFont="1" applyAlignment="1">
      <alignment horizontal="left" indent="2"/>
    </xf>
    <xf numFmtId="0" fontId="2" fillId="0" borderId="0" xfId="0" applyFont="1" applyAlignment="1">
      <alignment horizontal="left" indent="4"/>
    </xf>
    <xf numFmtId="0" fontId="3" fillId="0" borderId="0" xfId="0" applyFont="1"/>
    <xf numFmtId="0" fontId="3" fillId="0" borderId="0" xfId="0" applyFont="1" applyAlignment="1">
      <alignment horizontal="left" indent="1"/>
    </xf>
    <xf numFmtId="164" fontId="2" fillId="0" borderId="0" xfId="1" applyProtection="1"/>
    <xf numFmtId="164" fontId="9" fillId="0" borderId="0" xfId="1" applyFont="1" applyProtection="1"/>
    <xf numFmtId="0" fontId="7" fillId="2" borderId="4" xfId="0" applyFont="1" applyFill="1" applyBorder="1" applyAlignment="1">
      <alignment horizontal="center" vertical="center" wrapText="1"/>
    </xf>
    <xf numFmtId="164" fontId="12" fillId="0" borderId="2" xfId="1" applyFont="1" applyBorder="1" applyProtection="1"/>
    <xf numFmtId="164" fontId="2" fillId="0" borderId="2" xfId="1" applyBorder="1" applyProtection="1"/>
    <xf numFmtId="164" fontId="10" fillId="0" borderId="2" xfId="1" applyFont="1" applyBorder="1" applyProtection="1"/>
    <xf numFmtId="164" fontId="13" fillId="0" borderId="2" xfId="1" applyFont="1" applyBorder="1" applyProtection="1"/>
    <xf numFmtId="49" fontId="14" fillId="0" borderId="0" xfId="1" applyNumberFormat="1" applyFont="1" applyAlignment="1" applyProtection="1">
      <alignment horizontal="center"/>
      <protection locked="0"/>
    </xf>
    <xf numFmtId="49" fontId="3" fillId="0" borderId="5" xfId="0" applyNumberFormat="1" applyFont="1" applyBorder="1" applyAlignment="1">
      <alignment horizontal="center" vertical="center" wrapText="1"/>
    </xf>
    <xf numFmtId="49" fontId="2" fillId="0" borderId="2" xfId="1" applyNumberFormat="1" applyFont="1" applyBorder="1" applyAlignment="1" applyProtection="1">
      <alignment horizontal="center"/>
      <protection locked="0"/>
    </xf>
    <xf numFmtId="49" fontId="2" fillId="0" borderId="0" xfId="1" applyNumberFormat="1" applyFont="1" applyAlignment="1" applyProtection="1">
      <alignment horizontal="centerContinuous"/>
      <protection locked="0"/>
    </xf>
    <xf numFmtId="49" fontId="3" fillId="0" borderId="5" xfId="1" applyNumberFormat="1" applyFont="1" applyFill="1" applyBorder="1" applyAlignment="1" applyProtection="1">
      <alignment horizontal="center" vertical="center" wrapText="1"/>
    </xf>
    <xf numFmtId="49" fontId="2" fillId="0" borderId="2" xfId="1" applyNumberFormat="1" applyFont="1" applyBorder="1" applyAlignment="1" applyProtection="1">
      <alignment horizontal="center" vertical="center"/>
      <protection locked="0"/>
    </xf>
    <xf numFmtId="49" fontId="2" fillId="0" borderId="0" xfId="1" applyNumberFormat="1" applyFont="1" applyAlignment="1" applyProtection="1">
      <alignment horizontal="center"/>
      <protection locked="0"/>
    </xf>
    <xf numFmtId="0" fontId="7" fillId="2" borderId="5" xfId="0" applyFont="1" applyFill="1" applyBorder="1" applyAlignment="1">
      <alignment horizontal="center" vertical="center" wrapText="1"/>
    </xf>
    <xf numFmtId="14" fontId="0" fillId="0" borderId="2" xfId="0" applyNumberFormat="1" applyBorder="1" applyAlignment="1">
      <alignment horizontal="left"/>
    </xf>
    <xf numFmtId="14" fontId="2" fillId="0" borderId="2" xfId="0" applyNumberFormat="1" applyFont="1" applyBorder="1" applyAlignment="1">
      <alignment horizontal="left"/>
    </xf>
    <xf numFmtId="49" fontId="0" fillId="0" borderId="2" xfId="0" applyNumberFormat="1" applyBorder="1" applyAlignment="1">
      <alignment horizontal="center"/>
    </xf>
    <xf numFmtId="164" fontId="13" fillId="0" borderId="2" xfId="0" applyNumberFormat="1" applyFont="1" applyBorder="1"/>
    <xf numFmtId="0" fontId="28" fillId="0" borderId="0" xfId="0" applyFont="1"/>
    <xf numFmtId="49" fontId="28" fillId="0" borderId="0" xfId="0" applyNumberFormat="1" applyFont="1"/>
    <xf numFmtId="0" fontId="22" fillId="0" borderId="0" xfId="0" applyFont="1"/>
    <xf numFmtId="0" fontId="3" fillId="0" borderId="0" xfId="0" applyFont="1" applyAlignment="1">
      <alignment horizontal="center"/>
    </xf>
    <xf numFmtId="49" fontId="22" fillId="0" borderId="0" xfId="0" applyNumberFormat="1" applyFont="1" applyProtection="1">
      <protection locked="0"/>
    </xf>
    <xf numFmtId="0" fontId="22" fillId="0" borderId="0" xfId="0" applyFont="1" applyProtection="1">
      <protection locked="0"/>
    </xf>
    <xf numFmtId="49" fontId="2" fillId="0" borderId="0" xfId="0" applyNumberFormat="1" applyFont="1"/>
    <xf numFmtId="0" fontId="30" fillId="0" borderId="0" xfId="0" applyFont="1"/>
    <xf numFmtId="164" fontId="23" fillId="0" borderId="48" xfId="0" applyNumberFormat="1" applyFont="1" applyBorder="1"/>
    <xf numFmtId="49" fontId="23" fillId="0" borderId="48" xfId="0" applyNumberFormat="1" applyFont="1" applyBorder="1" applyAlignment="1">
      <alignment horizontal="center"/>
    </xf>
    <xf numFmtId="164" fontId="22" fillId="0" borderId="5" xfId="0" applyNumberFormat="1" applyFont="1" applyBorder="1"/>
    <xf numFmtId="49" fontId="22" fillId="0" borderId="5" xfId="0" applyNumberFormat="1" applyFont="1" applyBorder="1" applyAlignment="1">
      <alignment horizontal="center"/>
    </xf>
    <xf numFmtId="164" fontId="22" fillId="0" borderId="2" xfId="0" applyNumberFormat="1" applyFont="1" applyBorder="1"/>
    <xf numFmtId="49" fontId="22" fillId="0" borderId="2" xfId="0" applyNumberFormat="1" applyFont="1" applyBorder="1" applyAlignment="1">
      <alignment horizontal="center"/>
    </xf>
    <xf numFmtId="164" fontId="22" fillId="0" borderId="47" xfId="0" applyNumberFormat="1" applyFont="1" applyBorder="1"/>
    <xf numFmtId="49" fontId="22" fillId="0" borderId="47" xfId="0" applyNumberFormat="1" applyFont="1" applyBorder="1" applyAlignment="1">
      <alignment horizontal="center"/>
    </xf>
    <xf numFmtId="164" fontId="22" fillId="0" borderId="2" xfId="1" applyFont="1" applyFill="1" applyBorder="1"/>
    <xf numFmtId="49" fontId="23" fillId="0" borderId="2" xfId="0" applyNumberFormat="1" applyFont="1" applyBorder="1" applyAlignment="1">
      <alignment horizontal="center"/>
    </xf>
    <xf numFmtId="49" fontId="23" fillId="0" borderId="4" xfId="0" applyNumberFormat="1" applyFont="1" applyBorder="1" applyAlignment="1">
      <alignment horizontal="center"/>
    </xf>
    <xf numFmtId="164" fontId="22" fillId="0" borderId="47" xfId="1" applyFont="1" applyFill="1" applyBorder="1"/>
    <xf numFmtId="0" fontId="22" fillId="0" borderId="40" xfId="0" applyFont="1" applyBorder="1"/>
    <xf numFmtId="164" fontId="28" fillId="0" borderId="0" xfId="0" applyNumberFormat="1" applyFont="1"/>
    <xf numFmtId="0" fontId="22" fillId="0" borderId="0" xfId="0" quotePrefix="1" applyFont="1"/>
    <xf numFmtId="0" fontId="22" fillId="0" borderId="47" xfId="0" applyFont="1" applyBorder="1" applyAlignment="1">
      <alignment horizontal="center"/>
    </xf>
    <xf numFmtId="164" fontId="22" fillId="0" borderId="23" xfId="1" applyFont="1" applyFill="1" applyBorder="1"/>
    <xf numFmtId="4" fontId="4" fillId="0" borderId="23" xfId="0" applyNumberFormat="1" applyFont="1" applyBorder="1" applyAlignment="1">
      <alignment horizontal="right"/>
    </xf>
    <xf numFmtId="164" fontId="4" fillId="0" borderId="47" xfId="1" applyFont="1" applyFill="1" applyBorder="1" applyAlignment="1">
      <alignment horizontal="center"/>
    </xf>
    <xf numFmtId="4" fontId="4" fillId="0" borderId="0" xfId="0" applyNumberFormat="1" applyFont="1" applyAlignment="1">
      <alignment horizontal="right"/>
    </xf>
    <xf numFmtId="4" fontId="4" fillId="0" borderId="47" xfId="0" applyNumberFormat="1" applyFont="1" applyBorder="1" applyAlignment="1">
      <alignment horizontal="right"/>
    </xf>
    <xf numFmtId="164" fontId="22" fillId="0" borderId="40" xfId="1" applyFont="1" applyFill="1" applyBorder="1"/>
    <xf numFmtId="0" fontId="22" fillId="0" borderId="47" xfId="0" applyFont="1" applyBorder="1"/>
    <xf numFmtId="49" fontId="22" fillId="0" borderId="47" xfId="0" applyNumberFormat="1" applyFont="1" applyBorder="1"/>
    <xf numFmtId="0" fontId="23" fillId="0" borderId="40" xfId="0" applyFont="1" applyBorder="1"/>
    <xf numFmtId="0" fontId="23" fillId="0" borderId="0" xfId="0" applyFont="1"/>
    <xf numFmtId="0" fontId="23" fillId="0" borderId="2" xfId="0" applyFont="1" applyBorder="1" applyAlignment="1">
      <alignment horizontal="center" vertical="center" wrapText="1"/>
    </xf>
    <xf numFmtId="0" fontId="22" fillId="0" borderId="0" xfId="0" applyFont="1" applyAlignment="1">
      <alignment horizontal="centerContinuous"/>
    </xf>
    <xf numFmtId="0" fontId="23" fillId="0" borderId="0" xfId="0" applyFont="1" applyAlignment="1">
      <alignment horizontal="centerContinuous"/>
    </xf>
    <xf numFmtId="49" fontId="23" fillId="0" borderId="0" xfId="0" applyNumberFormat="1" applyFont="1" applyAlignment="1">
      <alignment horizontal="center"/>
    </xf>
    <xf numFmtId="0" fontId="31" fillId="0" borderId="0" xfId="0" applyFont="1"/>
    <xf numFmtId="49" fontId="22" fillId="0" borderId="0" xfId="0" applyNumberFormat="1" applyFont="1"/>
    <xf numFmtId="0" fontId="32" fillId="0" borderId="0" xfId="0" applyFont="1" applyAlignment="1" applyProtection="1">
      <alignment horizontal="centerContinuous"/>
      <protection locked="0"/>
    </xf>
    <xf numFmtId="0" fontId="33" fillId="0" borderId="0" xfId="0" applyFont="1" applyProtection="1">
      <protection locked="0"/>
    </xf>
    <xf numFmtId="169" fontId="32" fillId="0" borderId="0" xfId="0" applyNumberFormat="1" applyFont="1" applyAlignment="1" applyProtection="1">
      <alignment horizontal="centerContinuous"/>
      <protection locked="0"/>
    </xf>
    <xf numFmtId="164" fontId="32" fillId="0" borderId="0" xfId="1" applyFont="1" applyFill="1" applyProtection="1">
      <protection locked="0"/>
    </xf>
    <xf numFmtId="164" fontId="33" fillId="0" borderId="0" xfId="1" applyFont="1" applyProtection="1">
      <protection locked="0"/>
    </xf>
    <xf numFmtId="164" fontId="33" fillId="0" borderId="0" xfId="1" applyFont="1" applyFill="1" applyProtection="1">
      <protection locked="0"/>
    </xf>
    <xf numFmtId="180" fontId="32" fillId="6" borderId="57" xfId="0" applyNumberFormat="1" applyFont="1" applyFill="1" applyBorder="1" applyAlignment="1">
      <alignment horizontal="center"/>
    </xf>
    <xf numFmtId="0" fontId="32" fillId="0" borderId="51" xfId="0" applyFont="1" applyBorder="1"/>
    <xf numFmtId="164" fontId="33" fillId="0" borderId="51" xfId="1" applyFont="1" applyFill="1" applyBorder="1" applyProtection="1">
      <protection locked="0"/>
    </xf>
    <xf numFmtId="0" fontId="32" fillId="0" borderId="51" xfId="0" applyFont="1" applyBorder="1" applyAlignment="1">
      <alignment horizontal="left" indent="1"/>
    </xf>
    <xf numFmtId="164" fontId="32" fillId="0" borderId="51" xfId="1" applyFont="1" applyFill="1" applyBorder="1" applyProtection="1"/>
    <xf numFmtId="0" fontId="33" fillId="0" borderId="51" xfId="0" applyFont="1" applyBorder="1" applyAlignment="1">
      <alignment horizontal="left" indent="3"/>
    </xf>
    <xf numFmtId="164" fontId="33" fillId="0" borderId="51" xfId="1" applyFont="1" applyBorder="1" applyAlignment="1" applyProtection="1">
      <alignment horizontal="left" indent="1"/>
      <protection locked="0"/>
    </xf>
    <xf numFmtId="164" fontId="33" fillId="0" borderId="51" xfId="1" applyFont="1" applyFill="1" applyBorder="1" applyAlignment="1" applyProtection="1">
      <alignment horizontal="left" indent="1"/>
      <protection locked="0"/>
    </xf>
    <xf numFmtId="164" fontId="33" fillId="0" borderId="51" xfId="1" applyFont="1" applyFill="1" applyBorder="1" applyProtection="1"/>
    <xf numFmtId="0" fontId="33" fillId="0" borderId="51" xfId="0" applyFont="1" applyBorder="1" applyAlignment="1">
      <alignment horizontal="left" indent="5"/>
    </xf>
    <xf numFmtId="164" fontId="32" fillId="0" borderId="51" xfId="1" applyFont="1" applyFill="1" applyBorder="1" applyAlignment="1" applyProtection="1">
      <alignment horizontal="left" indent="1"/>
      <protection locked="0"/>
    </xf>
    <xf numFmtId="0" fontId="32" fillId="0" borderId="50" xfId="0" applyFont="1" applyBorder="1" applyAlignment="1">
      <alignment horizontal="center"/>
    </xf>
    <xf numFmtId="164" fontId="32" fillId="0" borderId="50" xfId="1" applyFont="1" applyFill="1" applyBorder="1" applyProtection="1"/>
    <xf numFmtId="0" fontId="32" fillId="0" borderId="50" xfId="0" applyFont="1" applyBorder="1"/>
    <xf numFmtId="164" fontId="32" fillId="0" borderId="51" xfId="1" applyFont="1" applyFill="1" applyBorder="1" applyAlignment="1" applyProtection="1">
      <alignment horizontal="left" indent="1"/>
    </xf>
    <xf numFmtId="0" fontId="33" fillId="0" borderId="51" xfId="0" applyFont="1" applyBorder="1" applyAlignment="1">
      <alignment horizontal="left" indent="2"/>
    </xf>
    <xf numFmtId="164" fontId="33" fillId="0" borderId="51" xfId="1" applyFont="1" applyFill="1" applyBorder="1" applyAlignment="1" applyProtection="1">
      <alignment horizontal="left" indent="1"/>
    </xf>
    <xf numFmtId="0" fontId="33" fillId="0" borderId="51" xfId="0" applyFont="1" applyBorder="1" applyAlignment="1">
      <alignment horizontal="left" indent="4"/>
    </xf>
    <xf numFmtId="0" fontId="33" fillId="0" borderId="51" xfId="0" applyFont="1" applyBorder="1" applyAlignment="1">
      <alignment horizontal="left" indent="6"/>
    </xf>
    <xf numFmtId="0" fontId="32" fillId="0" borderId="52" xfId="0" applyFont="1" applyBorder="1"/>
    <xf numFmtId="164" fontId="33" fillId="0" borderId="52" xfId="1" applyFont="1" applyBorder="1" applyProtection="1">
      <protection locked="0"/>
    </xf>
    <xf numFmtId="0" fontId="32" fillId="0" borderId="56" xfId="0" applyFont="1" applyBorder="1" applyProtection="1">
      <protection locked="0"/>
    </xf>
    <xf numFmtId="164" fontId="33" fillId="0" borderId="0" xfId="1" applyFont="1" applyBorder="1" applyProtection="1">
      <protection locked="0"/>
    </xf>
    <xf numFmtId="0" fontId="33" fillId="0" borderId="52" xfId="0" applyFont="1" applyBorder="1" applyAlignment="1">
      <alignment horizontal="left" indent="2"/>
    </xf>
    <xf numFmtId="164" fontId="33" fillId="0" borderId="52" xfId="1" applyFont="1" applyBorder="1" applyAlignment="1" applyProtection="1">
      <alignment horizontal="left" indent="1"/>
      <protection locked="0"/>
    </xf>
    <xf numFmtId="164" fontId="33" fillId="0" borderId="52" xfId="1" applyFont="1" applyFill="1" applyBorder="1" applyProtection="1"/>
    <xf numFmtId="0" fontId="32" fillId="4" borderId="50" xfId="0" applyFont="1" applyFill="1" applyBorder="1"/>
    <xf numFmtId="164" fontId="32" fillId="4" borderId="50" xfId="1" applyFont="1" applyFill="1" applyBorder="1" applyProtection="1"/>
    <xf numFmtId="14" fontId="7" fillId="0" borderId="0" xfId="0" applyNumberFormat="1" applyFont="1" applyAlignment="1">
      <alignment shrinkToFit="1"/>
    </xf>
    <xf numFmtId="49" fontId="2" fillId="0" borderId="2" xfId="0" applyNumberFormat="1" applyFont="1" applyBorder="1" applyAlignment="1" applyProtection="1">
      <alignment horizontal="left" shrinkToFit="1"/>
      <protection locked="0"/>
    </xf>
    <xf numFmtId="49" fontId="2" fillId="0" borderId="2" xfId="1" applyNumberFormat="1" applyFont="1" applyBorder="1" applyAlignment="1" applyProtection="1">
      <alignment horizontal="center"/>
    </xf>
    <xf numFmtId="164" fontId="2" fillId="0" borderId="2" xfId="1" quotePrefix="1" applyBorder="1" applyProtection="1"/>
    <xf numFmtId="49" fontId="12" fillId="0" borderId="2" xfId="1" applyNumberFormat="1" applyFont="1" applyBorder="1" applyAlignment="1" applyProtection="1">
      <alignment horizontal="center"/>
      <protection locked="0"/>
    </xf>
    <xf numFmtId="164" fontId="33" fillId="0" borderId="52" xfId="1" applyFont="1" applyFill="1" applyBorder="1" applyProtection="1">
      <protection locked="0"/>
    </xf>
    <xf numFmtId="0" fontId="33" fillId="0" borderId="56" xfId="0" applyFont="1" applyBorder="1" applyAlignment="1">
      <alignment horizontal="left" indent="3"/>
    </xf>
    <xf numFmtId="14" fontId="7" fillId="0" borderId="0" xfId="0" applyNumberFormat="1" applyFont="1" applyAlignment="1">
      <alignment vertical="center"/>
    </xf>
    <xf numFmtId="164" fontId="27" fillId="0" borderId="0" xfId="1" applyFont="1" applyAlignment="1" applyProtection="1">
      <alignment vertical="center"/>
    </xf>
    <xf numFmtId="164" fontId="2" fillId="0" borderId="0" xfId="1" applyAlignment="1">
      <alignment vertical="center"/>
    </xf>
    <xf numFmtId="14" fontId="12" fillId="0" borderId="2" xfId="0" applyNumberFormat="1" applyFont="1" applyBorder="1" applyAlignment="1">
      <alignment horizontal="center" vertical="center"/>
    </xf>
    <xf numFmtId="49" fontId="12" fillId="0" borderId="2" xfId="0" applyNumberFormat="1" applyFont="1" applyBorder="1" applyAlignment="1">
      <alignment vertical="center"/>
    </xf>
    <xf numFmtId="164" fontId="12" fillId="0" borderId="2" xfId="1" applyFont="1" applyBorder="1" applyAlignment="1">
      <alignment vertical="center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164" fontId="2" fillId="0" borderId="2" xfId="1" applyBorder="1" applyAlignment="1">
      <alignment vertical="center"/>
    </xf>
    <xf numFmtId="167" fontId="2" fillId="0" borderId="2" xfId="0" applyNumberFormat="1" applyFont="1" applyBorder="1" applyAlignment="1">
      <alignment horizontal="left" vertical="center"/>
    </xf>
    <xf numFmtId="168" fontId="2" fillId="0" borderId="2" xfId="0" applyNumberFormat="1" applyFont="1" applyBorder="1" applyAlignment="1">
      <alignment horizontal="left" vertical="center"/>
    </xf>
    <xf numFmtId="164" fontId="10" fillId="0" borderId="2" xfId="1" applyFont="1" applyBorder="1" applyAlignment="1">
      <alignment vertical="center"/>
    </xf>
    <xf numFmtId="164" fontId="13" fillId="0" borderId="2" xfId="1" applyFont="1" applyBorder="1" applyAlignment="1">
      <alignment vertical="center"/>
    </xf>
    <xf numFmtId="168" fontId="11" fillId="0" borderId="2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4" fontId="34" fillId="0" borderId="2" xfId="0" applyNumberFormat="1" applyFont="1" applyBorder="1" applyAlignment="1">
      <alignment horizontal="center"/>
    </xf>
    <xf numFmtId="164" fontId="34" fillId="0" borderId="2" xfId="1" applyFont="1" applyBorder="1"/>
    <xf numFmtId="164" fontId="2" fillId="0" borderId="2" xfId="1" applyFont="1" applyBorder="1"/>
    <xf numFmtId="14" fontId="12" fillId="0" borderId="2" xfId="0" applyNumberFormat="1" applyFont="1" applyBorder="1" applyAlignment="1">
      <alignment horizontal="left"/>
    </xf>
    <xf numFmtId="164" fontId="29" fillId="0" borderId="2" xfId="1" applyFont="1" applyBorder="1" applyProtection="1"/>
    <xf numFmtId="164" fontId="34" fillId="8" borderId="2" xfId="1" applyFont="1" applyFill="1" applyBorder="1"/>
    <xf numFmtId="164" fontId="12" fillId="8" borderId="2" xfId="1" applyFont="1" applyFill="1" applyBorder="1"/>
    <xf numFmtId="164" fontId="2" fillId="8" borderId="2" xfId="1" applyFill="1" applyBorder="1"/>
    <xf numFmtId="164" fontId="13" fillId="8" borderId="2" xfId="0" applyNumberFormat="1" applyFont="1" applyFill="1" applyBorder="1"/>
    <xf numFmtId="0" fontId="35" fillId="0" borderId="0" xfId="0" applyFont="1"/>
    <xf numFmtId="0" fontId="36" fillId="0" borderId="0" xfId="0" applyFont="1"/>
    <xf numFmtId="164" fontId="32" fillId="5" borderId="52" xfId="1" applyFont="1" applyFill="1" applyBorder="1" applyAlignment="1" applyProtection="1">
      <alignment horizontal="center" vertical="center" wrapText="1"/>
    </xf>
    <xf numFmtId="164" fontId="0" fillId="0" borderId="2" xfId="0" pivotButton="1" applyNumberFormat="1" applyBorder="1"/>
    <xf numFmtId="164" fontId="0" fillId="0" borderId="2" xfId="0" applyNumberFormat="1" applyBorder="1"/>
    <xf numFmtId="0" fontId="0" fillId="0" borderId="2" xfId="0" pivotButton="1" applyBorder="1"/>
    <xf numFmtId="14" fontId="32" fillId="5" borderId="57" xfId="1" applyNumberFormat="1" applyFont="1" applyFill="1" applyBorder="1" applyAlignment="1" applyProtection="1">
      <alignment horizontal="center" vertical="center" wrapText="1"/>
    </xf>
    <xf numFmtId="173" fontId="0" fillId="0" borderId="5" xfId="0" applyNumberFormat="1" applyBorder="1" applyAlignment="1" applyProtection="1">
      <alignment horizontal="center"/>
      <protection locked="0"/>
    </xf>
    <xf numFmtId="49" fontId="0" fillId="0" borderId="5" xfId="0" applyNumberForma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3" fontId="0" fillId="0" borderId="0" xfId="0" applyNumberFormat="1" applyAlignment="1" applyProtection="1">
      <alignment horizontal="center"/>
      <protection locked="0"/>
    </xf>
    <xf numFmtId="49" fontId="0" fillId="0" borderId="0" xfId="0" applyNumberFormat="1" applyAlignment="1" applyProtection="1">
      <alignment horizontal="center"/>
      <protection locked="0"/>
    </xf>
    <xf numFmtId="49" fontId="0" fillId="0" borderId="0" xfId="0" applyNumberFormat="1" applyProtection="1">
      <protection locked="0"/>
    </xf>
    <xf numFmtId="164" fontId="0" fillId="0" borderId="0" xfId="1" applyFont="1" applyProtection="1">
      <protection locked="0"/>
    </xf>
    <xf numFmtId="164" fontId="2" fillId="0" borderId="5" xfId="1" applyFont="1" applyBorder="1" applyAlignment="1" applyProtection="1">
      <alignment horizontal="center"/>
      <protection locked="0"/>
    </xf>
    <xf numFmtId="0" fontId="5" fillId="0" borderId="0" xfId="0" applyFont="1"/>
    <xf numFmtId="0" fontId="12" fillId="0" borderId="0" xfId="0" applyFont="1"/>
    <xf numFmtId="49" fontId="13" fillId="8" borderId="0" xfId="0" applyNumberFormat="1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49" fontId="13" fillId="8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64" fontId="2" fillId="0" borderId="2" xfId="1" applyFont="1" applyFill="1" applyBorder="1"/>
    <xf numFmtId="0" fontId="3" fillId="0" borderId="2" xfId="0" applyFont="1" applyBorder="1"/>
    <xf numFmtId="0" fontId="3" fillId="0" borderId="2" xfId="0" applyFont="1" applyBorder="1" applyAlignment="1">
      <alignment horizontal="left" indent="2"/>
    </xf>
    <xf numFmtId="164" fontId="3" fillId="0" borderId="2" xfId="1" applyFont="1" applyFill="1" applyBorder="1"/>
    <xf numFmtId="0" fontId="2" fillId="0" borderId="2" xfId="0" applyFont="1" applyBorder="1" applyAlignment="1">
      <alignment horizontal="left" indent="4"/>
    </xf>
    <xf numFmtId="49" fontId="13" fillId="8" borderId="2" xfId="1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indent="6"/>
    </xf>
    <xf numFmtId="164" fontId="3" fillId="0" borderId="2" xfId="1" applyFont="1" applyFill="1" applyBorder="1" applyAlignment="1"/>
    <xf numFmtId="0" fontId="3" fillId="0" borderId="2" xfId="0" applyFont="1" applyBorder="1" applyAlignment="1">
      <alignment horizontal="left" indent="3"/>
    </xf>
    <xf numFmtId="184" fontId="3" fillId="0" borderId="2" xfId="0" applyNumberFormat="1" applyFont="1" applyBorder="1" applyAlignment="1">
      <alignment horizontal="center" vertical="center" wrapText="1"/>
    </xf>
    <xf numFmtId="0" fontId="2" fillId="0" borderId="0" xfId="0" quotePrefix="1" applyFont="1"/>
    <xf numFmtId="0" fontId="2" fillId="0" borderId="2" xfId="0" applyFont="1" applyBorder="1" applyAlignment="1">
      <alignment horizontal="left" indent="2"/>
    </xf>
    <xf numFmtId="49" fontId="42" fillId="0" borderId="0" xfId="0" applyNumberFormat="1" applyFont="1" applyAlignment="1" applyProtection="1">
      <alignment horizontal="center"/>
      <protection locked="0"/>
    </xf>
    <xf numFmtId="164" fontId="33" fillId="0" borderId="0" xfId="1" quotePrefix="1" applyFont="1" applyProtection="1">
      <protection locked="0"/>
    </xf>
    <xf numFmtId="0" fontId="32" fillId="0" borderId="55" xfId="0" applyFont="1" applyBorder="1"/>
    <xf numFmtId="0" fontId="32" fillId="0" borderId="54" xfId="0" applyFont="1" applyBorder="1"/>
    <xf numFmtId="49" fontId="32" fillId="8" borderId="0" xfId="0" applyNumberFormat="1" applyFont="1" applyFill="1" applyAlignment="1" applyProtection="1">
      <alignment horizontal="centerContinuous"/>
      <protection locked="0"/>
    </xf>
    <xf numFmtId="49" fontId="32" fillId="8" borderId="0" xfId="0" applyNumberFormat="1" applyFont="1" applyFill="1" applyAlignment="1" applyProtection="1">
      <alignment horizontal="center"/>
      <protection locked="0"/>
    </xf>
    <xf numFmtId="49" fontId="32" fillId="8" borderId="51" xfId="0" applyNumberFormat="1" applyFont="1" applyFill="1" applyBorder="1" applyAlignment="1">
      <alignment horizontal="center"/>
    </xf>
    <xf numFmtId="49" fontId="32" fillId="8" borderId="50" xfId="0" applyNumberFormat="1" applyFont="1" applyFill="1" applyBorder="1" applyAlignment="1">
      <alignment horizontal="center"/>
    </xf>
    <xf numFmtId="49" fontId="32" fillId="8" borderId="47" xfId="0" applyNumberFormat="1" applyFont="1" applyFill="1" applyBorder="1" applyAlignment="1">
      <alignment horizontal="center"/>
    </xf>
    <xf numFmtId="49" fontId="32" fillId="8" borderId="52" xfId="0" applyNumberFormat="1" applyFont="1" applyFill="1" applyBorder="1" applyAlignment="1">
      <alignment horizontal="center"/>
    </xf>
    <xf numFmtId="49" fontId="32" fillId="8" borderId="54" xfId="0" applyNumberFormat="1" applyFont="1" applyFill="1" applyBorder="1"/>
    <xf numFmtId="0" fontId="4" fillId="0" borderId="0" xfId="2" quotePrefix="1" applyAlignment="1">
      <alignment horizontal="centerContinuous"/>
    </xf>
    <xf numFmtId="164" fontId="33" fillId="0" borderId="61" xfId="1" applyFont="1" applyFill="1" applyBorder="1"/>
    <xf numFmtId="164" fontId="33" fillId="0" borderId="56" xfId="1" applyFont="1" applyFill="1" applyBorder="1"/>
    <xf numFmtId="164" fontId="33" fillId="0" borderId="0" xfId="1" applyFont="1" applyFill="1" applyBorder="1" applyProtection="1">
      <protection locked="0"/>
    </xf>
    <xf numFmtId="164" fontId="33" fillId="0" borderId="61" xfId="1" applyFont="1" applyFill="1" applyBorder="1" applyProtection="1">
      <protection locked="0"/>
    </xf>
    <xf numFmtId="0" fontId="32" fillId="0" borderId="53" xfId="0" applyFont="1" applyBorder="1"/>
    <xf numFmtId="164" fontId="33" fillId="0" borderId="52" xfId="1" applyFont="1" applyFill="1" applyBorder="1" applyAlignment="1" applyProtection="1">
      <alignment horizontal="left" indent="1"/>
      <protection locked="0"/>
    </xf>
    <xf numFmtId="164" fontId="32" fillId="0" borderId="61" xfId="1" applyFont="1" applyFill="1" applyBorder="1"/>
    <xf numFmtId="169" fontId="3" fillId="0" borderId="62" xfId="0" applyNumberFormat="1" applyFont="1" applyBorder="1" applyAlignment="1" applyProtection="1">
      <alignment horizontal="centerContinuous"/>
      <protection locked="0"/>
    </xf>
    <xf numFmtId="0" fontId="3" fillId="0" borderId="62" xfId="0" applyFont="1" applyBorder="1" applyAlignment="1" applyProtection="1">
      <alignment horizontal="centerContinuous"/>
      <protection locked="0"/>
    </xf>
    <xf numFmtId="0" fontId="44" fillId="11" borderId="66" xfId="0" applyFont="1" applyFill="1" applyBorder="1" applyAlignment="1">
      <alignment horizontal="center" vertical="center" wrapText="1"/>
    </xf>
    <xf numFmtId="0" fontId="43" fillId="11" borderId="64" xfId="0" applyFont="1" applyFill="1" applyBorder="1" applyAlignment="1">
      <alignment horizontal="center" vertical="center" wrapText="1"/>
    </xf>
    <xf numFmtId="187" fontId="43" fillId="14" borderId="71" xfId="0" applyNumberFormat="1" applyFont="1" applyFill="1" applyBorder="1" applyAlignment="1">
      <alignment horizontal="center" vertical="center" wrapText="1"/>
    </xf>
    <xf numFmtId="188" fontId="44" fillId="11" borderId="47" xfId="0" applyNumberFormat="1" applyFont="1" applyFill="1" applyBorder="1" applyAlignment="1">
      <alignment horizontal="center" vertical="center"/>
    </xf>
    <xf numFmtId="0" fontId="43" fillId="11" borderId="40" xfId="0" applyFont="1" applyFill="1" applyBorder="1" applyAlignment="1">
      <alignment horizontal="center" vertical="center" wrapText="1"/>
    </xf>
    <xf numFmtId="0" fontId="43" fillId="12" borderId="4" xfId="0" applyFont="1" applyFill="1" applyBorder="1" applyAlignment="1">
      <alignment vertical="center" wrapText="1"/>
    </xf>
    <xf numFmtId="0" fontId="43" fillId="14" borderId="74" xfId="0" applyFont="1" applyFill="1" applyBorder="1" applyAlignment="1">
      <alignment horizontal="center" vertical="center" wrapText="1"/>
    </xf>
    <xf numFmtId="0" fontId="43" fillId="12" borderId="4" xfId="0" applyFont="1" applyFill="1" applyBorder="1" applyAlignment="1" applyProtection="1">
      <alignment vertical="center" wrapText="1"/>
      <protection locked="0"/>
    </xf>
    <xf numFmtId="0" fontId="44" fillId="11" borderId="78" xfId="0" applyFont="1" applyFill="1" applyBorder="1" applyAlignment="1">
      <alignment horizontal="center" vertical="center" wrapText="1"/>
    </xf>
    <xf numFmtId="0" fontId="43" fillId="11" borderId="76" xfId="0" applyFont="1" applyFill="1" applyBorder="1" applyAlignment="1">
      <alignment horizontal="center" vertical="center" wrapText="1"/>
    </xf>
    <xf numFmtId="0" fontId="43" fillId="12" borderId="78" xfId="0" applyFont="1" applyFill="1" applyBorder="1" applyAlignment="1">
      <alignment horizontal="center" vertical="center" wrapText="1"/>
    </xf>
    <xf numFmtId="187" fontId="43" fillId="14" borderId="80" xfId="0" applyNumberFormat="1" applyFont="1" applyFill="1" applyBorder="1" applyAlignment="1">
      <alignment horizontal="center" vertical="center" wrapText="1"/>
    </xf>
    <xf numFmtId="0" fontId="43" fillId="12" borderId="78" xfId="0" applyFont="1" applyFill="1" applyBorder="1" applyAlignment="1" applyProtection="1">
      <alignment horizontal="center" vertical="center" wrapText="1"/>
      <protection locked="0"/>
    </xf>
    <xf numFmtId="0" fontId="17" fillId="10" borderId="82" xfId="0" applyFont="1" applyFill="1" applyBorder="1" applyAlignment="1" applyProtection="1">
      <alignment horizontal="center" vertical="center" wrapText="1"/>
      <protection locked="0"/>
    </xf>
    <xf numFmtId="186" fontId="46" fillId="10" borderId="82" xfId="1" applyNumberFormat="1" applyFont="1" applyFill="1" applyBorder="1" applyProtection="1"/>
    <xf numFmtId="186" fontId="47" fillId="14" borderId="86" xfId="0" applyNumberFormat="1" applyFont="1" applyFill="1" applyBorder="1"/>
    <xf numFmtId="0" fontId="17" fillId="16" borderId="2" xfId="0" applyFont="1" applyFill="1" applyBorder="1" applyAlignment="1" applyProtection="1">
      <alignment horizontal="center" vertical="center" wrapText="1"/>
      <protection locked="0"/>
    </xf>
    <xf numFmtId="186" fontId="46" fillId="16" borderId="2" xfId="1" applyNumberFormat="1" applyFont="1" applyFill="1" applyBorder="1" applyProtection="1"/>
    <xf numFmtId="186" fontId="47" fillId="17" borderId="87" xfId="0" applyNumberFormat="1" applyFont="1" applyFill="1" applyBorder="1"/>
    <xf numFmtId="0" fontId="48" fillId="18" borderId="78" xfId="0" applyFont="1" applyFill="1" applyBorder="1" applyAlignment="1" applyProtection="1">
      <alignment horizontal="center" vertical="center" wrapText="1"/>
      <protection locked="0"/>
    </xf>
    <xf numFmtId="186" fontId="46" fillId="18" borderId="78" xfId="1" applyNumberFormat="1" applyFont="1" applyFill="1" applyBorder="1" applyProtection="1"/>
    <xf numFmtId="186" fontId="47" fillId="19" borderId="88" xfId="1" applyNumberFormat="1" applyFont="1" applyFill="1" applyBorder="1" applyProtection="1"/>
    <xf numFmtId="0" fontId="18" fillId="20" borderId="82" xfId="0" applyFont="1" applyFill="1" applyBorder="1" applyAlignment="1" applyProtection="1">
      <alignment horizontal="center" vertical="center" wrapText="1"/>
      <protection locked="0"/>
    </xf>
    <xf numFmtId="186" fontId="18" fillId="20" borderId="82" xfId="1" applyNumberFormat="1" applyFont="1" applyFill="1" applyBorder="1" applyProtection="1"/>
    <xf numFmtId="186" fontId="49" fillId="20" borderId="86" xfId="0" applyNumberFormat="1" applyFont="1" applyFill="1" applyBorder="1"/>
    <xf numFmtId="0" fontId="18" fillId="20" borderId="2" xfId="0" applyFont="1" applyFill="1" applyBorder="1" applyAlignment="1" applyProtection="1">
      <alignment horizontal="center" vertical="center" wrapText="1"/>
      <protection locked="0"/>
    </xf>
    <xf numFmtId="186" fontId="18" fillId="20" borderId="2" xfId="1" applyNumberFormat="1" applyFont="1" applyFill="1" applyBorder="1" applyProtection="1"/>
    <xf numFmtId="186" fontId="49" fillId="20" borderId="87" xfId="0" applyNumberFormat="1" applyFont="1" applyFill="1" applyBorder="1"/>
    <xf numFmtId="0" fontId="48" fillId="20" borderId="78" xfId="0" applyFont="1" applyFill="1" applyBorder="1" applyAlignment="1" applyProtection="1">
      <alignment horizontal="center" vertical="center" wrapText="1"/>
      <protection locked="0"/>
    </xf>
    <xf numFmtId="186" fontId="18" fillId="20" borderId="78" xfId="1" applyNumberFormat="1" applyFont="1" applyFill="1" applyBorder="1" applyProtection="1"/>
    <xf numFmtId="186" fontId="49" fillId="20" borderId="88" xfId="1" applyNumberFormat="1" applyFont="1" applyFill="1" applyBorder="1" applyProtection="1"/>
    <xf numFmtId="186" fontId="47" fillId="14" borderId="89" xfId="0" applyNumberFormat="1" applyFont="1" applyFill="1" applyBorder="1"/>
    <xf numFmtId="0" fontId="18" fillId="21" borderId="5" xfId="0" applyFont="1" applyFill="1" applyBorder="1" applyAlignment="1" applyProtection="1">
      <alignment horizontal="center" vertical="center" wrapText="1"/>
      <protection locked="0"/>
    </xf>
    <xf numFmtId="186" fontId="18" fillId="21" borderId="5" xfId="1" applyNumberFormat="1" applyFont="1" applyFill="1" applyBorder="1" applyProtection="1">
      <protection locked="0"/>
    </xf>
    <xf numFmtId="186" fontId="49" fillId="21" borderId="86" xfId="0" applyNumberFormat="1" applyFont="1" applyFill="1" applyBorder="1"/>
    <xf numFmtId="0" fontId="18" fillId="21" borderId="2" xfId="0" applyFont="1" applyFill="1" applyBorder="1" applyAlignment="1" applyProtection="1">
      <alignment horizontal="center" vertical="center" wrapText="1"/>
      <protection locked="0"/>
    </xf>
    <xf numFmtId="186" fontId="18" fillId="21" borderId="2" xfId="1" applyNumberFormat="1" applyFont="1" applyFill="1" applyBorder="1" applyProtection="1">
      <protection locked="0"/>
    </xf>
    <xf numFmtId="186" fontId="49" fillId="21" borderId="87" xfId="0" applyNumberFormat="1" applyFont="1" applyFill="1" applyBorder="1"/>
    <xf numFmtId="0" fontId="48" fillId="21" borderId="91" xfId="0" applyFont="1" applyFill="1" applyBorder="1" applyAlignment="1" applyProtection="1">
      <alignment horizontal="center" vertical="center" wrapText="1"/>
      <protection locked="0"/>
    </xf>
    <xf numFmtId="186" fontId="18" fillId="21" borderId="91" xfId="1" applyNumberFormat="1" applyFont="1" applyFill="1" applyBorder="1" applyProtection="1">
      <protection locked="0"/>
    </xf>
    <xf numFmtId="186" fontId="49" fillId="21" borderId="93" xfId="1" applyNumberFormat="1" applyFont="1" applyFill="1" applyBorder="1" applyProtection="1"/>
    <xf numFmtId="186" fontId="0" fillId="0" borderId="0" xfId="0" applyNumberFormat="1" applyProtection="1">
      <protection locked="0"/>
    </xf>
    <xf numFmtId="0" fontId="29" fillId="0" borderId="0" xfId="0" applyFont="1" applyProtection="1">
      <protection locked="0"/>
    </xf>
    <xf numFmtId="186" fontId="46" fillId="0" borderId="0" xfId="1" applyNumberFormat="1" applyFont="1" applyProtection="1">
      <protection locked="0"/>
    </xf>
    <xf numFmtId="164" fontId="46" fillId="0" borderId="0" xfId="1" applyFont="1" applyProtection="1">
      <protection locked="0"/>
    </xf>
    <xf numFmtId="0" fontId="33" fillId="0" borderId="0" xfId="0" applyFont="1"/>
    <xf numFmtId="189" fontId="46" fillId="10" borderId="82" xfId="1" applyNumberFormat="1" applyFont="1" applyFill="1" applyBorder="1" applyProtection="1"/>
    <xf numFmtId="189" fontId="46" fillId="11" borderId="83" xfId="1" applyNumberFormat="1" applyFont="1" applyFill="1" applyBorder="1" applyProtection="1">
      <protection locked="0"/>
    </xf>
    <xf numFmtId="189" fontId="46" fillId="11" borderId="84" xfId="1" applyNumberFormat="1" applyFont="1" applyFill="1" applyBorder="1" applyProtection="1">
      <protection locked="0"/>
    </xf>
    <xf numFmtId="189" fontId="46" fillId="16" borderId="2" xfId="1" applyNumberFormat="1" applyFont="1" applyFill="1" applyBorder="1" applyProtection="1"/>
    <xf numFmtId="189" fontId="46" fillId="17" borderId="2" xfId="1" applyNumberFormat="1" applyFont="1" applyFill="1" applyBorder="1" applyProtection="1">
      <protection locked="0"/>
    </xf>
    <xf numFmtId="189" fontId="46" fillId="17" borderId="47" xfId="1" applyNumberFormat="1" applyFont="1" applyFill="1" applyBorder="1" applyProtection="1">
      <protection locked="0"/>
    </xf>
    <xf numFmtId="189" fontId="46" fillId="18" borderId="78" xfId="1" applyNumberFormat="1" applyFont="1" applyFill="1" applyBorder="1" applyProtection="1"/>
    <xf numFmtId="189" fontId="46" fillId="19" borderId="76" xfId="1" applyNumberFormat="1" applyFont="1" applyFill="1" applyBorder="1" applyProtection="1"/>
    <xf numFmtId="189" fontId="46" fillId="19" borderId="76" xfId="1" applyNumberFormat="1" applyFont="1" applyFill="1" applyBorder="1" applyProtection="1">
      <protection locked="0"/>
    </xf>
    <xf numFmtId="189" fontId="46" fillId="17" borderId="40" xfId="1" applyNumberFormat="1" applyFont="1" applyFill="1" applyBorder="1" applyProtection="1">
      <protection locked="0"/>
    </xf>
    <xf numFmtId="189" fontId="18" fillId="20" borderId="82" xfId="1" applyNumberFormat="1" applyFont="1" applyFill="1" applyBorder="1" applyProtection="1"/>
    <xf numFmtId="189" fontId="18" fillId="20" borderId="83" xfId="1" applyNumberFormat="1" applyFont="1" applyFill="1" applyBorder="1" applyProtection="1"/>
    <xf numFmtId="189" fontId="18" fillId="20" borderId="84" xfId="1" applyNumberFormat="1" applyFont="1" applyFill="1" applyBorder="1" applyProtection="1">
      <protection locked="0"/>
    </xf>
    <xf numFmtId="189" fontId="18" fillId="20" borderId="2" xfId="1" applyNumberFormat="1" applyFont="1" applyFill="1" applyBorder="1" applyProtection="1"/>
    <xf numFmtId="189" fontId="18" fillId="20" borderId="40" xfId="1" applyNumberFormat="1" applyFont="1" applyFill="1" applyBorder="1" applyProtection="1">
      <protection locked="0"/>
    </xf>
    <xf numFmtId="189" fontId="18" fillId="20" borderId="78" xfId="1" applyNumberFormat="1" applyFont="1" applyFill="1" applyBorder="1" applyProtection="1"/>
    <xf numFmtId="189" fontId="18" fillId="20" borderId="76" xfId="1" applyNumberFormat="1" applyFont="1" applyFill="1" applyBorder="1" applyProtection="1">
      <protection locked="0"/>
    </xf>
    <xf numFmtId="189" fontId="46" fillId="11" borderId="40" xfId="1" applyNumberFormat="1" applyFont="1" applyFill="1" applyBorder="1" applyProtection="1">
      <protection locked="0"/>
    </xf>
    <xf numFmtId="189" fontId="46" fillId="19" borderId="40" xfId="1" applyNumberFormat="1" applyFont="1" applyFill="1" applyBorder="1" applyProtection="1"/>
    <xf numFmtId="189" fontId="46" fillId="11" borderId="42" xfId="1" applyNumberFormat="1" applyFont="1" applyFill="1" applyBorder="1" applyProtection="1">
      <protection locked="0"/>
    </xf>
    <xf numFmtId="189" fontId="18" fillId="21" borderId="5" xfId="1" applyNumberFormat="1" applyFont="1" applyFill="1" applyBorder="1" applyProtection="1">
      <protection locked="0"/>
    </xf>
    <xf numFmtId="189" fontId="18" fillId="21" borderId="5" xfId="1" applyNumberFormat="1" applyFont="1" applyFill="1" applyBorder="1" applyProtection="1"/>
    <xf numFmtId="189" fontId="18" fillId="21" borderId="2" xfId="1" applyNumberFormat="1" applyFont="1" applyFill="1" applyBorder="1" applyProtection="1">
      <protection locked="0"/>
    </xf>
    <xf numFmtId="189" fontId="18" fillId="21" borderId="2" xfId="1" applyNumberFormat="1" applyFont="1" applyFill="1" applyBorder="1" applyProtection="1"/>
    <xf numFmtId="189" fontId="18" fillId="21" borderId="91" xfId="1" applyNumberFormat="1" applyFont="1" applyFill="1" applyBorder="1" applyProtection="1">
      <protection locked="0"/>
    </xf>
    <xf numFmtId="189" fontId="18" fillId="21" borderId="92" xfId="1" applyNumberFormat="1" applyFont="1" applyFill="1" applyBorder="1" applyProtection="1"/>
    <xf numFmtId="189" fontId="18" fillId="21" borderId="92" xfId="1" applyNumberFormat="1" applyFont="1" applyFill="1" applyBorder="1" applyProtection="1">
      <protection locked="0"/>
    </xf>
    <xf numFmtId="164" fontId="33" fillId="0" borderId="0" xfId="1" applyFont="1" applyProtection="1"/>
    <xf numFmtId="164" fontId="3" fillId="0" borderId="0" xfId="1" applyFont="1" applyProtection="1"/>
    <xf numFmtId="0" fontId="3" fillId="0" borderId="0" xfId="0" applyFont="1" applyAlignment="1">
      <alignment horizontal="centerContinuous"/>
    </xf>
    <xf numFmtId="164" fontId="3" fillId="0" borderId="0" xfId="1" applyFont="1" applyAlignment="1" applyProtection="1">
      <alignment horizontal="centerContinuous"/>
    </xf>
    <xf numFmtId="164" fontId="22" fillId="0" borderId="0" xfId="1" applyFont="1" applyAlignment="1" applyProtection="1">
      <alignment horizontal="centerContinuous"/>
    </xf>
    <xf numFmtId="0" fontId="18" fillId="0" borderId="0" xfId="0" applyFont="1" applyAlignment="1">
      <alignment horizontal="centerContinuous" vertical="center"/>
    </xf>
    <xf numFmtId="49" fontId="18" fillId="0" borderId="0" xfId="0" applyNumberFormat="1" applyFont="1" applyAlignment="1">
      <alignment horizontal="centerContinuous" vertical="center"/>
    </xf>
    <xf numFmtId="0" fontId="50" fillId="0" borderId="0" xfId="0" applyFont="1" applyAlignment="1">
      <alignment horizontal="centerContinuous" vertical="center"/>
    </xf>
    <xf numFmtId="49" fontId="50" fillId="0" borderId="0" xfId="0" applyNumberFormat="1" applyFont="1" applyAlignment="1">
      <alignment horizontal="centerContinuous" vertical="center"/>
    </xf>
    <xf numFmtId="169" fontId="32" fillId="0" borderId="0" xfId="0" applyNumberFormat="1" applyFont="1" applyAlignment="1">
      <alignment horizontal="centerContinuous"/>
    </xf>
    <xf numFmtId="49" fontId="32" fillId="0" borderId="0" xfId="0" applyNumberFormat="1" applyFont="1" applyAlignment="1">
      <alignment horizontal="centerContinuous"/>
    </xf>
    <xf numFmtId="49" fontId="17" fillId="0" borderId="0" xfId="0" applyNumberFormat="1" applyFont="1"/>
    <xf numFmtId="49" fontId="3" fillId="0" borderId="2" xfId="0" applyNumberFormat="1" applyFont="1" applyBorder="1" applyAlignment="1">
      <alignment horizontal="center"/>
    </xf>
    <xf numFmtId="164" fontId="2" fillId="0" borderId="2" xfId="1" applyFont="1" applyFill="1" applyBorder="1" applyProtection="1"/>
    <xf numFmtId="164" fontId="3" fillId="0" borderId="2" xfId="1" applyFont="1" applyFill="1" applyBorder="1" applyProtection="1"/>
    <xf numFmtId="0" fontId="17" fillId="0" borderId="2" xfId="0" applyFont="1" applyBorder="1" applyAlignment="1">
      <alignment horizontal="left" indent="2"/>
    </xf>
    <xf numFmtId="49" fontId="17" fillId="0" borderId="2" xfId="0" applyNumberFormat="1" applyFont="1" applyBorder="1" applyAlignment="1">
      <alignment horizontal="center"/>
    </xf>
    <xf numFmtId="164" fontId="17" fillId="0" borderId="2" xfId="1" applyFont="1" applyBorder="1" applyProtection="1"/>
    <xf numFmtId="164" fontId="18" fillId="0" borderId="2" xfId="1" applyFont="1" applyFill="1" applyBorder="1" applyAlignment="1" applyProtection="1"/>
    <xf numFmtId="0" fontId="3" fillId="0" borderId="2" xfId="0" applyFont="1" applyBorder="1" applyAlignment="1">
      <alignment vertical="center"/>
    </xf>
    <xf numFmtId="49" fontId="3" fillId="0" borderId="2" xfId="0" applyNumberFormat="1" applyFont="1" applyBorder="1" applyAlignment="1">
      <alignment horizontal="center" vertical="center"/>
    </xf>
    <xf numFmtId="164" fontId="18" fillId="0" borderId="2" xfId="1" applyFont="1" applyBorder="1" applyAlignment="1" applyProtection="1">
      <alignment vertical="center"/>
    </xf>
    <xf numFmtId="164" fontId="3" fillId="0" borderId="2" xfId="1" applyFont="1" applyFill="1" applyBorder="1" applyAlignment="1" applyProtection="1">
      <alignment vertical="center"/>
    </xf>
    <xf numFmtId="0" fontId="17" fillId="0" borderId="2" xfId="0" applyFont="1" applyBorder="1"/>
    <xf numFmtId="164" fontId="17" fillId="0" borderId="2" xfId="1" applyFont="1" applyFill="1" applyBorder="1" applyProtection="1"/>
    <xf numFmtId="164" fontId="18" fillId="0" borderId="2" xfId="1" applyFont="1" applyFill="1" applyBorder="1" applyProtection="1"/>
    <xf numFmtId="0" fontId="17" fillId="0" borderId="2" xfId="0" applyFont="1" applyBorder="1" applyAlignment="1">
      <alignment horizontal="left" indent="4"/>
    </xf>
    <xf numFmtId="0" fontId="3" fillId="0" borderId="2" xfId="0" applyFont="1" applyBorder="1" applyAlignment="1">
      <alignment horizontal="left"/>
    </xf>
    <xf numFmtId="0" fontId="18" fillId="0" borderId="2" xfId="0" applyFont="1" applyBorder="1" applyAlignment="1">
      <alignment horizontal="left"/>
    </xf>
    <xf numFmtId="49" fontId="18" fillId="0" borderId="2" xfId="0" applyNumberFormat="1" applyFont="1" applyBorder="1" applyAlignment="1">
      <alignment horizontal="center"/>
    </xf>
    <xf numFmtId="0" fontId="3" fillId="0" borderId="2" xfId="0" applyFont="1" applyBorder="1" applyAlignment="1">
      <alignment horizontal="left" vertical="center"/>
    </xf>
    <xf numFmtId="164" fontId="18" fillId="0" borderId="2" xfId="1" applyFont="1" applyFill="1" applyBorder="1" applyAlignment="1" applyProtection="1">
      <alignment vertical="center"/>
    </xf>
    <xf numFmtId="164" fontId="17" fillId="0" borderId="0" xfId="1" applyFont="1" applyProtection="1"/>
    <xf numFmtId="49" fontId="3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49" fontId="17" fillId="0" borderId="0" xfId="0" applyNumberFormat="1" applyFont="1" applyAlignment="1">
      <alignment horizontal="center"/>
    </xf>
    <xf numFmtId="0" fontId="18" fillId="0" borderId="0" xfId="0" applyFont="1" applyAlignment="1">
      <alignment horizontal="centerContinuous"/>
    </xf>
    <xf numFmtId="0" fontId="17" fillId="0" borderId="0" xfId="0" applyFont="1" applyAlignment="1">
      <alignment horizontal="centerContinuous"/>
    </xf>
    <xf numFmtId="164" fontId="23" fillId="0" borderId="2" xfId="1" applyFont="1" applyFill="1" applyBorder="1"/>
    <xf numFmtId="164" fontId="18" fillId="0" borderId="2" xfId="1" applyFont="1" applyBorder="1" applyProtection="1"/>
    <xf numFmtId="14" fontId="32" fillId="5" borderId="5" xfId="1" applyNumberFormat="1" applyFont="1" applyFill="1" applyBorder="1" applyAlignment="1" applyProtection="1">
      <alignment horizontal="center" vertical="center" wrapText="1"/>
    </xf>
    <xf numFmtId="164" fontId="33" fillId="0" borderId="47" xfId="1" applyFont="1" applyFill="1" applyBorder="1" applyAlignment="1" applyProtection="1">
      <alignment horizontal="left" indent="1"/>
      <protection locked="0"/>
    </xf>
    <xf numFmtId="164" fontId="33" fillId="0" borderId="47" xfId="1" applyFont="1" applyFill="1" applyBorder="1"/>
    <xf numFmtId="0" fontId="32" fillId="0" borderId="2" xfId="0" applyFont="1" applyBorder="1"/>
    <xf numFmtId="49" fontId="32" fillId="8" borderId="2" xfId="0" applyNumberFormat="1" applyFont="1" applyFill="1" applyBorder="1" applyAlignment="1">
      <alignment horizontal="center"/>
    </xf>
    <xf numFmtId="164" fontId="32" fillId="0" borderId="2" xfId="1" applyFont="1" applyFill="1" applyBorder="1" applyProtection="1"/>
    <xf numFmtId="0" fontId="32" fillId="0" borderId="47" xfId="0" applyFont="1" applyBorder="1"/>
    <xf numFmtId="164" fontId="33" fillId="0" borderId="47" xfId="1" applyFont="1" applyFill="1" applyBorder="1" applyProtection="1">
      <protection locked="0"/>
    </xf>
    <xf numFmtId="0" fontId="32" fillId="0" borderId="47" xfId="0" applyFont="1" applyBorder="1" applyAlignment="1">
      <alignment horizontal="left" indent="1"/>
    </xf>
    <xf numFmtId="164" fontId="32" fillId="0" borderId="47" xfId="1" applyFont="1" applyFill="1" applyBorder="1" applyProtection="1"/>
    <xf numFmtId="0" fontId="33" fillId="0" borderId="47" xfId="0" applyFont="1" applyBorder="1" applyAlignment="1">
      <alignment horizontal="left" indent="3"/>
    </xf>
    <xf numFmtId="0" fontId="33" fillId="0" borderId="47" xfId="0" applyFont="1" applyBorder="1" applyAlignment="1">
      <alignment horizontal="left" indent="5"/>
    </xf>
    <xf numFmtId="164" fontId="32" fillId="0" borderId="47" xfId="1" applyFont="1" applyFill="1" applyBorder="1" applyAlignment="1" applyProtection="1">
      <alignment horizontal="left" indent="1"/>
      <protection locked="0"/>
    </xf>
    <xf numFmtId="164" fontId="32" fillId="0" borderId="47" xfId="1" applyFont="1" applyFill="1" applyBorder="1"/>
    <xf numFmtId="164" fontId="33" fillId="0" borderId="47" xfId="1" applyFont="1" applyFill="1" applyBorder="1" applyProtection="1"/>
    <xf numFmtId="164" fontId="32" fillId="0" borderId="47" xfId="1" applyFont="1" applyFill="1" applyBorder="1" applyAlignment="1" applyProtection="1">
      <alignment horizontal="left" indent="1"/>
    </xf>
    <xf numFmtId="0" fontId="33" fillId="0" borderId="5" xfId="0" applyFont="1" applyBorder="1" applyAlignment="1">
      <alignment horizontal="left" indent="5"/>
    </xf>
    <xf numFmtId="49" fontId="32" fillId="8" borderId="5" xfId="0" applyNumberFormat="1" applyFont="1" applyFill="1" applyBorder="1" applyAlignment="1">
      <alignment horizontal="center"/>
    </xf>
    <xf numFmtId="164" fontId="33" fillId="0" borderId="5" xfId="1" applyFont="1" applyFill="1" applyBorder="1" applyAlignment="1" applyProtection="1">
      <alignment horizontal="left" indent="1"/>
      <protection locked="0"/>
    </xf>
    <xf numFmtId="164" fontId="33" fillId="0" borderId="5" xfId="1" applyFont="1" applyFill="1" applyBorder="1"/>
    <xf numFmtId="164" fontId="33" fillId="0" borderId="94" xfId="1" applyFont="1" applyFill="1" applyBorder="1" applyProtection="1">
      <protection locked="0"/>
    </xf>
    <xf numFmtId="0" fontId="3" fillId="0" borderId="5" xfId="2" applyFont="1" applyBorder="1" applyAlignment="1">
      <alignment horizontal="center" vertical="center" wrapText="1"/>
    </xf>
    <xf numFmtId="0" fontId="3" fillId="0" borderId="42" xfId="2" applyFont="1" applyBorder="1" applyAlignment="1">
      <alignment horizontal="center" vertical="center" wrapText="1"/>
    </xf>
    <xf numFmtId="164" fontId="2" fillId="0" borderId="4" xfId="1" applyFont="1" applyFill="1" applyBorder="1" applyAlignment="1" applyProtection="1">
      <alignment horizontal="center"/>
    </xf>
    <xf numFmtId="164" fontId="2" fillId="0" borderId="4" xfId="1" quotePrefix="1" applyFont="1" applyFill="1" applyBorder="1" applyAlignment="1" applyProtection="1">
      <alignment horizontal="center"/>
    </xf>
    <xf numFmtId="164" fontId="2" fillId="0" borderId="4" xfId="3" applyFont="1" applyFill="1" applyBorder="1" applyAlignment="1" applyProtection="1">
      <alignment horizontal="center"/>
    </xf>
    <xf numFmtId="164" fontId="9" fillId="0" borderId="14" xfId="1" applyFont="1" applyBorder="1" applyAlignment="1">
      <alignment vertical="center" shrinkToFit="1"/>
    </xf>
    <xf numFmtId="164" fontId="9" fillId="0" borderId="14" xfId="1" applyFont="1" applyBorder="1" applyAlignment="1">
      <alignment vertical="center"/>
    </xf>
    <xf numFmtId="0" fontId="2" fillId="0" borderId="5" xfId="0" applyFont="1" applyBorder="1" applyAlignment="1" applyProtection="1">
      <alignment horizontal="center"/>
      <protection locked="0"/>
    </xf>
    <xf numFmtId="49" fontId="0" fillId="0" borderId="2" xfId="0" applyNumberFormat="1" applyBorder="1" applyAlignment="1" applyProtection="1">
      <alignment horizontal="center" vertical="center" shrinkToFit="1"/>
      <protection locked="0"/>
    </xf>
    <xf numFmtId="49" fontId="0" fillId="0" borderId="2" xfId="0" applyNumberFormat="1" applyBorder="1" applyAlignment="1" applyProtection="1">
      <alignment horizontal="center" vertical="center"/>
      <protection locked="0"/>
    </xf>
    <xf numFmtId="0" fontId="0" fillId="0" borderId="2" xfId="0" applyBorder="1" applyAlignment="1">
      <alignment shrinkToFit="1"/>
    </xf>
    <xf numFmtId="164" fontId="0" fillId="0" borderId="2" xfId="1" applyFont="1" applyBorder="1" applyAlignment="1" applyProtection="1">
      <alignment vertical="center"/>
      <protection locked="0"/>
    </xf>
    <xf numFmtId="39" fontId="51" fillId="0" borderId="3" xfId="0" applyNumberFormat="1" applyFont="1" applyBorder="1" applyAlignment="1">
      <alignment vertical="center"/>
    </xf>
    <xf numFmtId="49" fontId="0" fillId="0" borderId="2" xfId="0" applyNumberFormat="1" applyBorder="1" applyAlignment="1" applyProtection="1">
      <alignment horizontal="center" shrinkToFit="1"/>
      <protection locked="0"/>
    </xf>
    <xf numFmtId="164" fontId="0" fillId="0" borderId="2" xfId="1" applyFont="1" applyBorder="1" applyAlignment="1" applyProtection="1">
      <protection locked="0"/>
    </xf>
    <xf numFmtId="164" fontId="0" fillId="0" borderId="0" xfId="1" applyFont="1" applyBorder="1" applyProtection="1">
      <protection locked="0"/>
    </xf>
    <xf numFmtId="164" fontId="2" fillId="0" borderId="0" xfId="1" applyFont="1" applyBorder="1" applyProtection="1">
      <protection locked="0"/>
    </xf>
    <xf numFmtId="0" fontId="0" fillId="0" borderId="0" xfId="0" quotePrefix="1" applyAlignment="1">
      <alignment vertical="center"/>
    </xf>
    <xf numFmtId="49" fontId="0" fillId="0" borderId="2" xfId="1" applyNumberFormat="1" applyFont="1" applyBorder="1" applyAlignment="1">
      <alignment horizontal="center" vertical="center" shrinkToFit="1"/>
    </xf>
    <xf numFmtId="164" fontId="0" fillId="0" borderId="2" xfId="1" applyFont="1" applyBorder="1" applyAlignment="1">
      <alignment vertical="center" shrinkToFit="1"/>
    </xf>
    <xf numFmtId="0" fontId="2" fillId="0" borderId="2" xfId="0" applyFont="1" applyBorder="1" applyAlignment="1">
      <alignment vertical="center" shrinkToFit="1"/>
    </xf>
    <xf numFmtId="49" fontId="3" fillId="0" borderId="2" xfId="1" applyNumberFormat="1" applyFont="1" applyBorder="1" applyAlignment="1" applyProtection="1">
      <alignment horizontal="center" vertical="center" shrinkToFit="1"/>
      <protection locked="0"/>
    </xf>
    <xf numFmtId="164" fontId="2" fillId="0" borderId="2" xfId="1" applyFont="1" applyBorder="1" applyAlignment="1" applyProtection="1">
      <alignment vertical="center" shrinkToFit="1"/>
    </xf>
    <xf numFmtId="164" fontId="2" fillId="0" borderId="2" xfId="1" applyFont="1" applyBorder="1" applyAlignment="1" applyProtection="1">
      <alignment vertical="center" shrinkToFit="1"/>
      <protection locked="0"/>
    </xf>
    <xf numFmtId="173" fontId="0" fillId="0" borderId="2" xfId="0" applyNumberFormat="1" applyBorder="1" applyAlignment="1">
      <alignment horizontal="center" vertical="center" shrinkToFit="1"/>
    </xf>
    <xf numFmtId="0" fontId="0" fillId="0" borderId="2" xfId="0" applyBorder="1" applyAlignment="1">
      <alignment vertical="center" shrinkToFit="1"/>
    </xf>
    <xf numFmtId="49" fontId="52" fillId="0" borderId="2" xfId="1" applyNumberFormat="1" applyFont="1" applyBorder="1" applyAlignment="1" applyProtection="1">
      <alignment horizontal="center" vertical="center" shrinkToFit="1"/>
      <protection locked="0"/>
    </xf>
    <xf numFmtId="164" fontId="0" fillId="0" borderId="2" xfId="1" applyFont="1" applyBorder="1" applyAlignment="1" applyProtection="1">
      <alignment vertical="center" shrinkToFit="1"/>
      <protection locked="0"/>
    </xf>
    <xf numFmtId="164" fontId="2" fillId="8" borderId="2" xfId="0" applyNumberFormat="1" applyFont="1" applyFill="1" applyBorder="1" applyAlignment="1">
      <alignment vertical="center"/>
    </xf>
    <xf numFmtId="49" fontId="2" fillId="0" borderId="2" xfId="1" applyNumberFormat="1" applyFont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/>
    </xf>
    <xf numFmtId="164" fontId="2" fillId="0" borderId="2" xfId="1" applyFont="1" applyBorder="1" applyAlignment="1" applyProtection="1">
      <alignment vertical="center"/>
    </xf>
    <xf numFmtId="0" fontId="2" fillId="0" borderId="2" xfId="1" applyNumberFormat="1" applyFont="1" applyBorder="1" applyAlignment="1">
      <alignment horizontal="center" vertical="center"/>
    </xf>
    <xf numFmtId="164" fontId="0" fillId="0" borderId="2" xfId="0" applyNumberFormat="1" applyBorder="1" applyAlignment="1">
      <alignment vertical="center"/>
    </xf>
    <xf numFmtId="49" fontId="2" fillId="0" borderId="2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 wrapText="1"/>
    </xf>
    <xf numFmtId="49" fontId="2" fillId="0" borderId="2" xfId="1" applyNumberFormat="1" applyFont="1" applyBorder="1" applyAlignment="1" applyProtection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73" fontId="0" fillId="0" borderId="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3" fillId="0" borderId="2" xfId="1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  <xf numFmtId="49" fontId="3" fillId="23" borderId="2" xfId="0" applyNumberFormat="1" applyFont="1" applyFill="1" applyBorder="1" applyAlignment="1">
      <alignment horizontal="center" vertical="center"/>
    </xf>
    <xf numFmtId="0" fontId="3" fillId="23" borderId="2" xfId="0" applyFont="1" applyFill="1" applyBorder="1" applyAlignment="1">
      <alignment horizontal="center" vertical="center"/>
    </xf>
    <xf numFmtId="49" fontId="2" fillId="8" borderId="2" xfId="1" applyNumberFormat="1" applyFont="1" applyFill="1" applyBorder="1" applyAlignment="1">
      <alignment horizontal="center" vertical="center"/>
    </xf>
    <xf numFmtId="164" fontId="0" fillId="8" borderId="2" xfId="0" applyNumberFormat="1" applyFill="1" applyBorder="1" applyAlignment="1">
      <alignment vertical="center"/>
    </xf>
    <xf numFmtId="49" fontId="8" fillId="0" borderId="0" xfId="1" applyNumberFormat="1" applyFont="1" applyAlignment="1" applyProtection="1"/>
    <xf numFmtId="191" fontId="3" fillId="0" borderId="43" xfId="0" applyNumberFormat="1" applyFont="1" applyBorder="1" applyAlignment="1">
      <alignment horizontal="center" vertical="center" wrapText="1"/>
    </xf>
    <xf numFmtId="191" fontId="0" fillId="0" borderId="6" xfId="0" applyNumberFormat="1" applyBorder="1" applyAlignment="1" applyProtection="1">
      <alignment horizontal="center"/>
      <protection locked="0"/>
    </xf>
    <xf numFmtId="191" fontId="2" fillId="0" borderId="6" xfId="0" applyNumberFormat="1" applyFont="1" applyBorder="1" applyAlignment="1" applyProtection="1">
      <alignment horizontal="center"/>
      <protection locked="0"/>
    </xf>
    <xf numFmtId="191" fontId="2" fillId="0" borderId="0" xfId="0" applyNumberFormat="1" applyFont="1" applyProtection="1">
      <protection locked="0"/>
    </xf>
    <xf numFmtId="191" fontId="20" fillId="0" borderId="0" xfId="0" applyNumberFormat="1" applyFont="1" applyAlignment="1" applyProtection="1">
      <alignment horizontal="centerContinuous"/>
      <protection locked="0"/>
    </xf>
    <xf numFmtId="191" fontId="16" fillId="0" borderId="0" xfId="0" applyNumberFormat="1" applyFont="1" applyAlignment="1">
      <alignment horizontal="centerContinuous" vertical="center"/>
    </xf>
    <xf numFmtId="191" fontId="0" fillId="0" borderId="6" xfId="0" applyNumberFormat="1" applyBorder="1" applyAlignment="1" applyProtection="1">
      <alignment horizontal="center" vertical="center"/>
      <protection locked="0"/>
    </xf>
    <xf numFmtId="164" fontId="2" fillId="0" borderId="0" xfId="1" applyFont="1" applyFill="1" applyProtection="1">
      <protection locked="0"/>
    </xf>
    <xf numFmtId="0" fontId="3" fillId="8" borderId="2" xfId="0" applyFont="1" applyFill="1" applyBorder="1" applyAlignment="1">
      <alignment horizontal="center" vertical="center"/>
    </xf>
    <xf numFmtId="49" fontId="3" fillId="8" borderId="2" xfId="1" applyNumberFormat="1" applyFont="1" applyFill="1" applyBorder="1" applyAlignment="1">
      <alignment horizontal="center" vertical="center" wrapText="1"/>
    </xf>
    <xf numFmtId="49" fontId="3" fillId="8" borderId="2" xfId="1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shrinkToFit="1"/>
    </xf>
    <xf numFmtId="0" fontId="2" fillId="8" borderId="4" xfId="0" applyFont="1" applyFill="1" applyBorder="1" applyAlignment="1">
      <alignment shrinkToFit="1"/>
    </xf>
    <xf numFmtId="173" fontId="2" fillId="8" borderId="2" xfId="0" applyNumberFormat="1" applyFont="1" applyFill="1" applyBorder="1" applyAlignment="1">
      <alignment horizontal="center" vertical="center" shrinkToFit="1"/>
    </xf>
    <xf numFmtId="49" fontId="2" fillId="8" borderId="2" xfId="1" applyNumberFormat="1" applyFont="1" applyFill="1" applyBorder="1" applyAlignment="1">
      <alignment horizontal="center" vertical="center" shrinkToFit="1"/>
    </xf>
    <xf numFmtId="173" fontId="0" fillId="8" borderId="2" xfId="0" applyNumberFormat="1" applyFill="1" applyBorder="1" applyAlignment="1">
      <alignment horizontal="center" vertical="center" shrinkToFit="1"/>
    </xf>
    <xf numFmtId="0" fontId="3" fillId="8" borderId="5" xfId="0" applyFont="1" applyFill="1" applyBorder="1" applyAlignment="1">
      <alignment horizontal="center" vertical="center" wrapText="1"/>
    </xf>
    <xf numFmtId="0" fontId="0" fillId="2" borderId="4" xfId="0" applyFill="1" applyBorder="1" applyAlignment="1" applyProtection="1">
      <alignment horizontal="center" vertical="center" wrapText="1"/>
      <protection locked="0"/>
    </xf>
    <xf numFmtId="49" fontId="8" fillId="24" borderId="0" xfId="1" applyNumberFormat="1" applyFont="1" applyFill="1" applyBorder="1" applyAlignment="1" applyProtection="1">
      <alignment vertical="center"/>
      <protection locked="0"/>
    </xf>
    <xf numFmtId="49" fontId="14" fillId="24" borderId="0" xfId="1" applyNumberFormat="1" applyFont="1" applyFill="1" applyBorder="1" applyAlignment="1" applyProtection="1">
      <alignment horizontal="center" vertical="center"/>
      <protection locked="0"/>
    </xf>
    <xf numFmtId="49" fontId="3" fillId="0" borderId="43" xfId="0" applyNumberFormat="1" applyFont="1" applyBorder="1" applyAlignment="1">
      <alignment horizontal="center" vertical="center" wrapText="1"/>
    </xf>
    <xf numFmtId="49" fontId="2" fillId="0" borderId="0" xfId="0" applyNumberFormat="1" applyFont="1" applyProtection="1">
      <protection locked="0"/>
    </xf>
    <xf numFmtId="39" fontId="53" fillId="0" borderId="3" xfId="0" applyNumberFormat="1" applyFont="1" applyBorder="1" applyAlignment="1">
      <alignment vertical="center"/>
    </xf>
    <xf numFmtId="191" fontId="2" fillId="0" borderId="2" xfId="0" applyNumberFormat="1" applyFont="1" applyBorder="1" applyAlignment="1" applyProtection="1">
      <alignment horizontal="center" vertical="center" shrinkToFit="1"/>
      <protection locked="0"/>
    </xf>
    <xf numFmtId="49" fontId="2" fillId="0" borderId="2" xfId="0" applyNumberFormat="1" applyFont="1" applyBorder="1" applyAlignment="1" applyProtection="1">
      <alignment horizontal="left" vertical="center" wrapText="1" shrinkToFit="1"/>
      <protection locked="0"/>
    </xf>
    <xf numFmtId="49" fontId="55" fillId="0" borderId="43" xfId="0" applyNumberFormat="1" applyFont="1" applyBorder="1" applyAlignment="1">
      <alignment horizontal="center"/>
    </xf>
    <xf numFmtId="0" fontId="55" fillId="0" borderId="5" xfId="0" applyFont="1" applyBorder="1" applyAlignment="1">
      <alignment horizontal="center"/>
    </xf>
    <xf numFmtId="0" fontId="55" fillId="0" borderId="5" xfId="0" applyFont="1" applyBorder="1" applyAlignment="1" applyProtection="1">
      <alignment horizontal="center"/>
      <protection locked="0"/>
    </xf>
    <xf numFmtId="0" fontId="55" fillId="0" borderId="42" xfId="0" applyFont="1" applyBorder="1" applyAlignment="1">
      <alignment horizontal="center"/>
    </xf>
    <xf numFmtId="0" fontId="54" fillId="0" borderId="0" xfId="0" applyFont="1" applyAlignment="1">
      <alignment horizontal="center"/>
    </xf>
    <xf numFmtId="0" fontId="56" fillId="0" borderId="0" xfId="0" applyFont="1"/>
    <xf numFmtId="0" fontId="57" fillId="0" borderId="0" xfId="0" applyFont="1" applyProtection="1">
      <protection locked="0"/>
    </xf>
    <xf numFmtId="0" fontId="54" fillId="0" borderId="0" xfId="0" applyFont="1"/>
    <xf numFmtId="49" fontId="54" fillId="0" borderId="6" xfId="0" applyNumberFormat="1" applyFont="1" applyBorder="1" applyAlignment="1">
      <alignment horizontal="left"/>
    </xf>
    <xf numFmtId="0" fontId="54" fillId="0" borderId="2" xfId="0" applyFont="1" applyBorder="1"/>
    <xf numFmtId="0" fontId="54" fillId="0" borderId="2" xfId="0" applyFont="1" applyBorder="1" applyAlignment="1" applyProtection="1">
      <alignment horizontal="center"/>
      <protection locked="0"/>
    </xf>
    <xf numFmtId="49" fontId="54" fillId="0" borderId="3" xfId="0" applyNumberFormat="1" applyFont="1" applyBorder="1" applyAlignment="1">
      <alignment horizontal="center"/>
    </xf>
    <xf numFmtId="171" fontId="57" fillId="0" borderId="0" xfId="0" applyNumberFormat="1" applyFont="1" applyAlignment="1" applyProtection="1">
      <alignment horizontal="left"/>
      <protection locked="0"/>
    </xf>
    <xf numFmtId="0" fontId="54" fillId="0" borderId="43" xfId="0" applyFont="1" applyBorder="1" applyAlignment="1">
      <alignment horizontal="center"/>
    </xf>
    <xf numFmtId="0" fontId="54" fillId="0" borderId="5" xfId="0" applyFont="1" applyBorder="1" applyAlignment="1">
      <alignment horizontal="center"/>
    </xf>
    <xf numFmtId="0" fontId="54" fillId="0" borderId="42" xfId="0" applyFont="1" applyBorder="1"/>
    <xf numFmtId="0" fontId="54" fillId="0" borderId="6" xfId="0" applyFont="1" applyBorder="1" applyProtection="1">
      <protection locked="0"/>
    </xf>
    <xf numFmtId="0" fontId="54" fillId="0" borderId="2" xfId="0" applyFont="1" applyBorder="1" applyProtection="1">
      <protection locked="0"/>
    </xf>
    <xf numFmtId="49" fontId="54" fillId="0" borderId="3" xfId="0" applyNumberFormat="1" applyFont="1" applyBorder="1" applyAlignment="1" applyProtection="1">
      <alignment horizontal="center"/>
      <protection locked="0"/>
    </xf>
    <xf numFmtId="0" fontId="54" fillId="0" borderId="44" xfId="0" applyFont="1" applyBorder="1" applyProtection="1">
      <protection locked="0"/>
    </xf>
    <xf numFmtId="0" fontId="54" fillId="0" borderId="4" xfId="0" applyFont="1" applyBorder="1" applyProtection="1">
      <protection locked="0"/>
    </xf>
    <xf numFmtId="49" fontId="54" fillId="0" borderId="45" xfId="0" applyNumberFormat="1" applyFont="1" applyBorder="1" applyAlignment="1" applyProtection="1">
      <alignment horizontal="center"/>
      <protection locked="0"/>
    </xf>
    <xf numFmtId="14" fontId="54" fillId="0" borderId="2" xfId="0" applyNumberFormat="1" applyFont="1" applyBorder="1" applyAlignment="1">
      <alignment horizontal="center"/>
    </xf>
    <xf numFmtId="49" fontId="54" fillId="0" borderId="2" xfId="0" applyNumberFormat="1" applyFont="1" applyBorder="1" applyAlignment="1" applyProtection="1">
      <alignment horizontal="center"/>
      <protection locked="0"/>
    </xf>
    <xf numFmtId="0" fontId="54" fillId="0" borderId="0" xfId="0" applyFont="1" applyProtection="1">
      <protection locked="0"/>
    </xf>
    <xf numFmtId="49" fontId="54" fillId="0" borderId="0" xfId="0" applyNumberFormat="1" applyFont="1" applyAlignment="1" applyProtection="1">
      <alignment horizontal="center"/>
      <protection locked="0"/>
    </xf>
    <xf numFmtId="49" fontId="54" fillId="0" borderId="0" xfId="0" applyNumberFormat="1" applyFont="1" applyAlignment="1">
      <alignment horizontal="left"/>
    </xf>
    <xf numFmtId="0" fontId="54" fillId="0" borderId="0" xfId="0" applyFont="1" applyAlignment="1" applyProtection="1">
      <alignment horizontal="center"/>
      <protection locked="0"/>
    </xf>
    <xf numFmtId="0" fontId="55" fillId="0" borderId="0" xfId="2" applyFont="1" applyAlignment="1">
      <alignment horizontal="centerContinuous"/>
    </xf>
    <xf numFmtId="0" fontId="59" fillId="0" borderId="0" xfId="2" applyFont="1" applyAlignment="1">
      <alignment horizontal="centerContinuous"/>
    </xf>
    <xf numFmtId="0" fontId="59" fillId="0" borderId="1" xfId="2" applyFont="1" applyBorder="1" applyAlignment="1">
      <alignment horizontal="centerContinuous"/>
    </xf>
    <xf numFmtId="166" fontId="54" fillId="0" borderId="0" xfId="0" applyNumberFormat="1" applyFont="1" applyAlignment="1" applyProtection="1">
      <alignment horizontal="centerContinuous" vertical="center"/>
      <protection locked="0"/>
    </xf>
    <xf numFmtId="0" fontId="55" fillId="0" borderId="43" xfId="2" applyFont="1" applyBorder="1" applyAlignment="1">
      <alignment horizontal="center" vertical="center" wrapText="1"/>
    </xf>
    <xf numFmtId="0" fontId="55" fillId="0" borderId="5" xfId="2" applyFont="1" applyBorder="1" applyAlignment="1">
      <alignment horizontal="center" vertical="center" wrapText="1"/>
    </xf>
    <xf numFmtId="0" fontId="55" fillId="0" borderId="42" xfId="2" applyFont="1" applyBorder="1" applyAlignment="1">
      <alignment horizontal="center" vertical="center" wrapText="1"/>
    </xf>
    <xf numFmtId="0" fontId="54" fillId="0" borderId="6" xfId="2" applyFont="1" applyBorder="1" applyAlignment="1">
      <alignment horizontal="left"/>
    </xf>
    <xf numFmtId="49" fontId="54" fillId="0" borderId="2" xfId="2" applyNumberFormat="1" applyFont="1" applyBorder="1" applyAlignment="1">
      <alignment horizontal="center"/>
    </xf>
    <xf numFmtId="0" fontId="54" fillId="0" borderId="2" xfId="1" applyNumberFormat="1" applyFont="1" applyBorder="1" applyAlignment="1" applyProtection="1">
      <alignment horizontal="center"/>
    </xf>
    <xf numFmtId="164" fontId="54" fillId="0" borderId="2" xfId="1" applyFont="1" applyBorder="1" applyAlignment="1" applyProtection="1">
      <alignment horizontal="center"/>
      <protection locked="0"/>
    </xf>
    <xf numFmtId="164" fontId="54" fillId="0" borderId="2" xfId="3" applyFont="1" applyBorder="1" applyAlignment="1" applyProtection="1">
      <alignment horizontal="center"/>
      <protection locked="0"/>
    </xf>
    <xf numFmtId="164" fontId="54" fillId="0" borderId="3" xfId="3" applyFont="1" applyBorder="1" applyAlignment="1" applyProtection="1">
      <alignment horizontal="center"/>
    </xf>
    <xf numFmtId="49" fontId="54" fillId="0" borderId="4" xfId="2" applyNumberFormat="1" applyFont="1" applyBorder="1" applyAlignment="1">
      <alignment horizontal="center"/>
    </xf>
    <xf numFmtId="49" fontId="54" fillId="0" borderId="4" xfId="2" applyNumberFormat="1" applyFont="1" applyBorder="1" applyAlignment="1" applyProtection="1">
      <alignment horizontal="center"/>
      <protection locked="0"/>
    </xf>
    <xf numFmtId="0" fontId="59" fillId="0" borderId="0" xfId="2" applyFont="1"/>
    <xf numFmtId="49" fontId="60" fillId="0" borderId="0" xfId="2" applyNumberFormat="1" applyFont="1" applyAlignment="1">
      <alignment horizontal="centerContinuous"/>
    </xf>
    <xf numFmtId="0" fontId="60" fillId="0" borderId="0" xfId="2" applyFont="1" applyAlignment="1">
      <alignment horizontal="centerContinuous"/>
    </xf>
    <xf numFmtId="0" fontId="54" fillId="0" borderId="0" xfId="2" applyFont="1" applyAlignment="1">
      <alignment horizontal="centerContinuous"/>
    </xf>
    <xf numFmtId="49" fontId="59" fillId="0" borderId="0" xfId="2" applyNumberFormat="1" applyFont="1" applyAlignment="1">
      <alignment horizontal="centerContinuous"/>
    </xf>
    <xf numFmtId="169" fontId="55" fillId="0" borderId="0" xfId="0" applyNumberFormat="1" applyFont="1" applyAlignment="1">
      <alignment horizontal="centerContinuous"/>
    </xf>
    <xf numFmtId="0" fontId="59" fillId="0" borderId="0" xfId="2" quotePrefix="1" applyFont="1" applyAlignment="1">
      <alignment horizontal="centerContinuous"/>
    </xf>
    <xf numFmtId="0" fontId="61" fillId="0" borderId="0" xfId="2" applyFont="1" applyAlignment="1">
      <alignment horizontal="centerContinuous"/>
    </xf>
    <xf numFmtId="0" fontId="59" fillId="0" borderId="0" xfId="2" quotePrefix="1" applyFont="1" applyAlignment="1">
      <alignment horizontal="left"/>
    </xf>
    <xf numFmtId="0" fontId="54" fillId="0" borderId="44" xfId="2" applyFont="1" applyBorder="1" applyAlignment="1">
      <alignment horizontal="left" indent="1" shrinkToFit="1"/>
    </xf>
    <xf numFmtId="49" fontId="54" fillId="0" borderId="4" xfId="0" applyNumberFormat="1" applyFont="1" applyBorder="1" applyAlignment="1">
      <alignment horizontal="center"/>
    </xf>
    <xf numFmtId="0" fontId="54" fillId="0" borderId="4" xfId="1" applyNumberFormat="1" applyFont="1" applyFill="1" applyBorder="1" applyAlignment="1" applyProtection="1">
      <alignment horizontal="center"/>
    </xf>
    <xf numFmtId="164" fontId="54" fillId="0" borderId="4" xfId="1" applyFont="1" applyFill="1" applyBorder="1" applyAlignment="1" applyProtection="1">
      <alignment horizontal="center"/>
    </xf>
    <xf numFmtId="49" fontId="54" fillId="0" borderId="44" xfId="2" applyNumberFormat="1" applyFont="1" applyBorder="1" applyAlignment="1">
      <alignment horizontal="center"/>
    </xf>
    <xf numFmtId="0" fontId="54" fillId="0" borderId="23" xfId="2" applyFont="1" applyBorder="1" applyAlignment="1">
      <alignment horizontal="left" indent="1" shrinkToFit="1"/>
    </xf>
    <xf numFmtId="49" fontId="59" fillId="0" borderId="0" xfId="2" applyNumberFormat="1" applyFont="1"/>
    <xf numFmtId="164" fontId="54" fillId="0" borderId="4" xfId="3" applyFont="1" applyFill="1" applyBorder="1" applyAlignment="1" applyProtection="1">
      <alignment horizontal="center"/>
    </xf>
    <xf numFmtId="164" fontId="54" fillId="0" borderId="45" xfId="1" applyFont="1" applyFill="1" applyBorder="1" applyAlignment="1" applyProtection="1">
      <alignment horizontal="center"/>
    </xf>
    <xf numFmtId="164" fontId="59" fillId="0" borderId="0" xfId="1" applyFont="1" applyProtection="1"/>
    <xf numFmtId="0" fontId="54" fillId="0" borderId="2" xfId="2" applyFont="1" applyBorder="1" applyAlignment="1">
      <alignment horizontal="left" indent="1" shrinkToFit="1"/>
    </xf>
    <xf numFmtId="49" fontId="54" fillId="0" borderId="2" xfId="0" applyNumberFormat="1" applyFont="1" applyBorder="1" applyAlignment="1">
      <alignment horizontal="center"/>
    </xf>
    <xf numFmtId="0" fontId="54" fillId="0" borderId="2" xfId="1" applyNumberFormat="1" applyFont="1" applyFill="1" applyBorder="1" applyAlignment="1" applyProtection="1">
      <alignment horizontal="center"/>
    </xf>
    <xf numFmtId="164" fontId="54" fillId="0" borderId="2" xfId="1" applyFont="1" applyFill="1" applyBorder="1" applyAlignment="1" applyProtection="1">
      <alignment horizontal="center"/>
    </xf>
    <xf numFmtId="164" fontId="54" fillId="0" borderId="2" xfId="3" applyFont="1" applyFill="1" applyBorder="1" applyAlignment="1" applyProtection="1">
      <alignment horizontal="center"/>
    </xf>
    <xf numFmtId="49" fontId="54" fillId="0" borderId="6" xfId="2" applyNumberFormat="1" applyFont="1" applyBorder="1" applyAlignment="1">
      <alignment horizontal="center"/>
    </xf>
    <xf numFmtId="164" fontId="54" fillId="0" borderId="0" xfId="1" applyFont="1" applyProtection="1"/>
    <xf numFmtId="49" fontId="64" fillId="0" borderId="6" xfId="0" applyNumberFormat="1" applyFont="1" applyBorder="1" applyAlignment="1">
      <alignment horizontal="left"/>
    </xf>
    <xf numFmtId="49" fontId="64" fillId="0" borderId="6" xfId="2" applyNumberFormat="1" applyFont="1" applyBorder="1" applyAlignment="1">
      <alignment horizontal="center"/>
    </xf>
    <xf numFmtId="0" fontId="64" fillId="0" borderId="2" xfId="1" applyNumberFormat="1" applyFont="1" applyFill="1" applyBorder="1" applyAlignment="1" applyProtection="1">
      <alignment horizontal="center"/>
    </xf>
    <xf numFmtId="164" fontId="64" fillId="0" borderId="2" xfId="1" applyFont="1" applyFill="1" applyBorder="1" applyAlignment="1" applyProtection="1">
      <alignment horizontal="center"/>
    </xf>
    <xf numFmtId="164" fontId="64" fillId="0" borderId="2" xfId="3" applyFont="1" applyFill="1" applyBorder="1" applyAlignment="1" applyProtection="1">
      <alignment horizontal="center"/>
    </xf>
    <xf numFmtId="0" fontId="64" fillId="0" borderId="2" xfId="2" applyFont="1" applyBorder="1" applyAlignment="1">
      <alignment horizontal="left" indent="1" shrinkToFit="1"/>
    </xf>
    <xf numFmtId="49" fontId="64" fillId="0" borderId="44" xfId="2" applyNumberFormat="1" applyFont="1" applyBorder="1" applyAlignment="1">
      <alignment horizontal="center"/>
    </xf>
    <xf numFmtId="0" fontId="64" fillId="0" borderId="4" xfId="1" applyNumberFormat="1" applyFont="1" applyFill="1" applyBorder="1" applyAlignment="1" applyProtection="1">
      <alignment horizontal="center"/>
    </xf>
    <xf numFmtId="164" fontId="64" fillId="0" borderId="4" xfId="1" applyFont="1" applyFill="1" applyBorder="1" applyAlignment="1" applyProtection="1">
      <alignment horizontal="center"/>
    </xf>
    <xf numFmtId="164" fontId="0" fillId="0" borderId="4" xfId="1" applyFont="1" applyFill="1" applyBorder="1" applyAlignment="1" applyProtection="1">
      <alignment horizontal="center"/>
    </xf>
    <xf numFmtId="164" fontId="0" fillId="0" borderId="4" xfId="3" applyFont="1" applyFill="1" applyBorder="1" applyAlignment="1" applyProtection="1">
      <alignment horizontal="center"/>
    </xf>
    <xf numFmtId="164" fontId="64" fillId="0" borderId="4" xfId="3" applyFont="1" applyFill="1" applyBorder="1" applyAlignment="1" applyProtection="1">
      <alignment horizontal="center"/>
    </xf>
    <xf numFmtId="164" fontId="64" fillId="0" borderId="45" xfId="1" applyFont="1" applyFill="1" applyBorder="1" applyAlignment="1" applyProtection="1">
      <alignment horizontal="center"/>
    </xf>
    <xf numFmtId="0" fontId="64" fillId="0" borderId="44" xfId="2" applyFont="1" applyBorder="1" applyAlignment="1">
      <alignment horizontal="left" indent="1" shrinkToFit="1"/>
    </xf>
    <xf numFmtId="0" fontId="64" fillId="0" borderId="4" xfId="1" applyNumberFormat="1" applyFont="1" applyFill="1" applyBorder="1" applyAlignment="1" applyProtection="1">
      <alignment horizontal="left" indent="1"/>
    </xf>
    <xf numFmtId="164" fontId="64" fillId="0" borderId="4" xfId="1" applyFont="1" applyFill="1" applyBorder="1" applyAlignment="1" applyProtection="1">
      <alignment horizontal="left" indent="1"/>
    </xf>
    <xf numFmtId="164" fontId="0" fillId="0" borderId="4" xfId="1" applyFont="1" applyFill="1" applyBorder="1" applyAlignment="1" applyProtection="1">
      <alignment horizontal="left" indent="1"/>
    </xf>
    <xf numFmtId="164" fontId="0" fillId="0" borderId="4" xfId="3" applyFont="1" applyFill="1" applyBorder="1" applyAlignment="1" applyProtection="1">
      <alignment horizontal="left" indent="1"/>
    </xf>
    <xf numFmtId="164" fontId="64" fillId="0" borderId="4" xfId="3" applyFont="1" applyFill="1" applyBorder="1" applyAlignment="1" applyProtection="1">
      <alignment horizontal="left" indent="1"/>
    </xf>
    <xf numFmtId="164" fontId="64" fillId="0" borderId="45" xfId="1" applyFont="1" applyFill="1" applyBorder="1" applyAlignment="1" applyProtection="1">
      <alignment horizontal="left" indent="1"/>
    </xf>
    <xf numFmtId="0" fontId="64" fillId="0" borderId="4" xfId="0" applyFont="1" applyBorder="1" applyAlignment="1">
      <alignment horizontal="left" shrinkToFit="1"/>
    </xf>
    <xf numFmtId="0" fontId="64" fillId="0" borderId="4" xfId="0" applyFont="1" applyBorder="1" applyAlignment="1">
      <alignment horizontal="center"/>
    </xf>
    <xf numFmtId="164" fontId="64" fillId="0" borderId="4" xfId="0" applyNumberFormat="1" applyFont="1" applyBorder="1" applyAlignment="1">
      <alignment horizontal="center"/>
    </xf>
    <xf numFmtId="0" fontId="64" fillId="0" borderId="2" xfId="1" applyNumberFormat="1" applyFont="1" applyFill="1" applyBorder="1" applyAlignment="1" applyProtection="1">
      <alignment horizontal="left" indent="1"/>
    </xf>
    <xf numFmtId="164" fontId="64" fillId="0" borderId="2" xfId="1" applyFont="1" applyFill="1" applyBorder="1" applyAlignment="1" applyProtection="1">
      <alignment horizontal="left" indent="1"/>
    </xf>
    <xf numFmtId="164" fontId="64" fillId="0" borderId="2" xfId="3" applyFont="1" applyFill="1" applyBorder="1" applyAlignment="1" applyProtection="1">
      <alignment horizontal="left" indent="1"/>
    </xf>
    <xf numFmtId="0" fontId="64" fillId="0" borderId="44" xfId="0" applyFont="1" applyBorder="1" applyAlignment="1">
      <alignment horizontal="left" shrinkToFit="1"/>
    </xf>
    <xf numFmtId="0" fontId="64" fillId="0" borderId="44" xfId="0" applyFon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45" xfId="0" applyNumberFormat="1" applyBorder="1" applyAlignment="1">
      <alignment horizontal="center"/>
    </xf>
    <xf numFmtId="49" fontId="17" fillId="26" borderId="2" xfId="1" applyNumberFormat="1" applyFont="1" applyFill="1" applyBorder="1" applyAlignment="1">
      <alignment horizontal="center" vertical="center"/>
    </xf>
    <xf numFmtId="164" fontId="2" fillId="0" borderId="2" xfId="1" quotePrefix="1" applyFont="1" applyBorder="1" applyAlignment="1" applyProtection="1">
      <protection locked="0"/>
    </xf>
    <xf numFmtId="0" fontId="18" fillId="0" borderId="2" xfId="0" applyFont="1" applyBorder="1" applyProtection="1">
      <protection locked="0"/>
    </xf>
    <xf numFmtId="49" fontId="2" fillId="0" borderId="4" xfId="0" applyNumberFormat="1" applyFont="1" applyBorder="1" applyAlignment="1" applyProtection="1">
      <alignment horizontal="center" vertical="center" shrinkToFit="1"/>
      <protection locked="0"/>
    </xf>
    <xf numFmtId="49" fontId="2" fillId="0" borderId="4" xfId="0" applyNumberFormat="1" applyFont="1" applyBorder="1" applyAlignment="1" applyProtection="1">
      <alignment horizontal="center" vertical="center"/>
      <protection locked="0"/>
    </xf>
    <xf numFmtId="49" fontId="28" fillId="0" borderId="4" xfId="0" applyNumberFormat="1" applyFont="1" applyBorder="1" applyAlignment="1" applyProtection="1">
      <alignment horizontal="justify" vertical="center" wrapText="1"/>
      <protection locked="0"/>
    </xf>
    <xf numFmtId="49" fontId="2" fillId="0" borderId="4" xfId="1" applyNumberFormat="1" applyFont="1" applyBorder="1" applyAlignment="1" applyProtection="1">
      <alignment horizontal="center" vertical="center"/>
      <protection locked="0"/>
    </xf>
    <xf numFmtId="164" fontId="2" fillId="0" borderId="4" xfId="1" applyFont="1" applyBorder="1" applyAlignment="1" applyProtection="1">
      <alignment vertical="center"/>
      <protection locked="0"/>
    </xf>
    <xf numFmtId="49" fontId="17" fillId="27" borderId="95" xfId="1" applyNumberFormat="1" applyFont="1" applyFill="1" applyBorder="1" applyAlignment="1">
      <alignment horizontal="center" vertical="center"/>
    </xf>
    <xf numFmtId="49" fontId="17" fillId="26" borderId="95" xfId="1" applyNumberFormat="1" applyFont="1" applyFill="1" applyBorder="1" applyAlignment="1">
      <alignment horizontal="center" vertical="center"/>
    </xf>
    <xf numFmtId="164" fontId="2" fillId="0" borderId="2" xfId="1" applyFont="1" applyFill="1" applyBorder="1" applyAlignment="1" applyProtection="1">
      <protection locked="0"/>
    </xf>
    <xf numFmtId="49" fontId="0" fillId="0" borderId="2" xfId="0" applyNumberFormat="1" applyBorder="1" applyAlignment="1" applyProtection="1">
      <alignment horizontal="left" vertical="center" wrapText="1" shrinkToFit="1"/>
      <protection locked="0"/>
    </xf>
    <xf numFmtId="49" fontId="54" fillId="0" borderId="2" xfId="2" applyNumberFormat="1" applyFont="1" applyBorder="1" applyAlignment="1" applyProtection="1">
      <alignment horizontal="center"/>
      <protection locked="0"/>
    </xf>
    <xf numFmtId="173" fontId="0" fillId="0" borderId="44" xfId="0" applyNumberFormat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164" fontId="2" fillId="0" borderId="4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horizontal="center" vertical="center"/>
    </xf>
    <xf numFmtId="164" fontId="2" fillId="8" borderId="45" xfId="0" applyNumberFormat="1" applyFont="1" applyFill="1" applyBorder="1" applyAlignment="1">
      <alignment vertical="center"/>
    </xf>
    <xf numFmtId="0" fontId="0" fillId="8" borderId="2" xfId="0" applyFill="1" applyBorder="1" applyAlignment="1">
      <alignment vertical="center" shrinkToFit="1"/>
    </xf>
    <xf numFmtId="0" fontId="2" fillId="0" borderId="0" xfId="0" applyFont="1" applyAlignment="1">
      <alignment vertical="center"/>
    </xf>
    <xf numFmtId="0" fontId="0" fillId="8" borderId="2" xfId="0" applyFill="1" applyBorder="1" applyAlignment="1">
      <alignment horizontal="left" vertical="center" shrinkToFit="1"/>
    </xf>
    <xf numFmtId="0" fontId="2" fillId="0" borderId="0" xfId="0" applyFont="1" applyAlignment="1">
      <alignment horizontal="left" vertical="center"/>
    </xf>
    <xf numFmtId="164" fontId="59" fillId="0" borderId="0" xfId="2" applyNumberFormat="1" applyFont="1"/>
    <xf numFmtId="43" fontId="59" fillId="0" borderId="0" xfId="2" applyNumberFormat="1" applyFont="1"/>
    <xf numFmtId="49" fontId="2" fillId="0" borderId="44" xfId="0" applyNumberFormat="1" applyFont="1" applyBorder="1" applyAlignment="1" applyProtection="1">
      <alignment horizontal="center"/>
      <protection locked="0"/>
    </xf>
    <xf numFmtId="49" fontId="2" fillId="0" borderId="4" xfId="0" applyNumberFormat="1" applyFont="1" applyBorder="1" applyAlignment="1" applyProtection="1">
      <alignment horizontal="left" shrinkToFit="1"/>
      <protection locked="0"/>
    </xf>
    <xf numFmtId="0" fontId="54" fillId="0" borderId="40" xfId="0" applyFont="1" applyBorder="1" applyAlignment="1">
      <alignment horizontal="center"/>
    </xf>
    <xf numFmtId="49" fontId="65" fillId="8" borderId="4" xfId="0" applyNumberFormat="1" applyFont="1" applyFill="1" applyBorder="1" applyAlignment="1" applyProtection="1">
      <alignment horizontal="center" vertical="center"/>
      <protection locked="0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164" fontId="0" fillId="0" borderId="4" xfId="0" applyNumberFormat="1" applyBorder="1" applyAlignment="1">
      <alignment vertical="center"/>
    </xf>
    <xf numFmtId="49" fontId="65" fillId="0" borderId="4" xfId="0" applyNumberFormat="1" applyFont="1" applyBorder="1" applyAlignment="1">
      <alignment horizontal="center" vertical="center"/>
    </xf>
    <xf numFmtId="164" fontId="0" fillId="8" borderId="45" xfId="0" applyNumberFormat="1" applyFill="1" applyBorder="1" applyAlignment="1">
      <alignment vertical="center"/>
    </xf>
    <xf numFmtId="0" fontId="65" fillId="8" borderId="4" xfId="0" applyFont="1" applyFill="1" applyBorder="1" applyAlignment="1">
      <alignment horizontal="center" vertical="center"/>
    </xf>
    <xf numFmtId="0" fontId="65" fillId="0" borderId="4" xfId="0" quotePrefix="1" applyFont="1" applyBorder="1" applyAlignment="1">
      <alignment horizontal="center" vertical="center"/>
    </xf>
    <xf numFmtId="49" fontId="65" fillId="0" borderId="4" xfId="0" quotePrefix="1" applyNumberFormat="1" applyFont="1" applyBorder="1" applyAlignment="1">
      <alignment horizontal="center" vertical="center"/>
    </xf>
    <xf numFmtId="0" fontId="65" fillId="0" borderId="4" xfId="0" applyFont="1" applyBorder="1" applyAlignment="1">
      <alignment horizontal="center" vertical="center"/>
    </xf>
    <xf numFmtId="49" fontId="3" fillId="0" borderId="2" xfId="1" quotePrefix="1" applyNumberFormat="1" applyFont="1" applyBorder="1" applyAlignment="1" applyProtection="1">
      <alignment horizontal="center" vertical="center"/>
      <protection locked="0"/>
    </xf>
    <xf numFmtId="164" fontId="4" fillId="0" borderId="0" xfId="2" applyNumberFormat="1"/>
    <xf numFmtId="43" fontId="4" fillId="0" borderId="0" xfId="2" applyNumberFormat="1"/>
    <xf numFmtId="0" fontId="0" fillId="0" borderId="4" xfId="0" applyBorder="1" applyAlignment="1">
      <alignment shrinkToFit="1"/>
    </xf>
    <xf numFmtId="39" fontId="53" fillId="0" borderId="45" xfId="0" applyNumberFormat="1" applyFont="1" applyBorder="1" applyAlignment="1">
      <alignment vertical="center"/>
    </xf>
    <xf numFmtId="0" fontId="2" fillId="8" borderId="2" xfId="0" applyFont="1" applyFill="1" applyBorder="1" applyAlignment="1">
      <alignment vertical="center" shrinkToFit="1"/>
    </xf>
    <xf numFmtId="0" fontId="2" fillId="8" borderId="4" xfId="0" applyFont="1" applyFill="1" applyBorder="1" applyAlignment="1">
      <alignment vertical="center" wrapText="1" shrinkToFit="1"/>
    </xf>
    <xf numFmtId="191" fontId="2" fillId="0" borderId="0" xfId="0" applyNumberFormat="1" applyFont="1" applyAlignment="1" applyProtection="1">
      <alignment vertical="center"/>
      <protection locked="0"/>
    </xf>
    <xf numFmtId="49" fontId="2" fillId="0" borderId="0" xfId="0" applyNumberFormat="1" applyFont="1" applyAlignment="1" applyProtection="1">
      <alignment vertical="center"/>
      <protection locked="0"/>
    </xf>
    <xf numFmtId="49" fontId="2" fillId="0" borderId="0" xfId="0" applyNumberFormat="1" applyFont="1" applyAlignment="1" applyProtection="1">
      <alignment horizontal="center" vertical="center"/>
      <protection locked="0"/>
    </xf>
    <xf numFmtId="49" fontId="2" fillId="0" borderId="0" xfId="1" applyNumberFormat="1" applyFont="1" applyAlignment="1" applyProtection="1">
      <alignment horizontal="center" vertical="center"/>
      <protection locked="0"/>
    </xf>
    <xf numFmtId="164" fontId="2" fillId="0" borderId="0" xfId="1" applyFont="1" applyFill="1" applyAlignment="1" applyProtection="1">
      <alignment vertical="center"/>
      <protection locked="0"/>
    </xf>
    <xf numFmtId="0" fontId="62" fillId="0" borderId="0" xfId="0" applyFont="1" applyAlignment="1">
      <alignment vertical="center"/>
    </xf>
    <xf numFmtId="49" fontId="2" fillId="0" borderId="0" xfId="0" applyNumberFormat="1" applyFont="1" applyAlignment="1" applyProtection="1">
      <alignment horizontal="centerContinuous" wrapText="1"/>
      <protection locked="0"/>
    </xf>
    <xf numFmtId="49" fontId="2" fillId="0" borderId="0" xfId="0" applyNumberFormat="1" applyFont="1" applyAlignment="1" applyProtection="1">
      <alignment horizontal="center" wrapText="1"/>
      <protection locked="0"/>
    </xf>
    <xf numFmtId="191" fontId="2" fillId="0" borderId="44" xfId="0" applyNumberFormat="1" applyFont="1" applyBorder="1" applyAlignment="1" applyProtection="1">
      <alignment horizontal="center" vertical="center"/>
      <protection locked="0"/>
    </xf>
    <xf numFmtId="39" fontId="66" fillId="0" borderId="3" xfId="0" applyNumberFormat="1" applyFont="1" applyBorder="1" applyAlignment="1">
      <alignment vertical="center"/>
    </xf>
    <xf numFmtId="191" fontId="2" fillId="0" borderId="2" xfId="0" applyNumberFormat="1" applyFont="1" applyBorder="1" applyAlignment="1" applyProtection="1">
      <alignment horizontal="center"/>
      <protection locked="0"/>
    </xf>
    <xf numFmtId="49" fontId="0" fillId="0" borderId="2" xfId="0" applyNumberFormat="1" applyBorder="1" applyAlignment="1" applyProtection="1">
      <alignment horizontal="center"/>
      <protection locked="0"/>
    </xf>
    <xf numFmtId="49" fontId="0" fillId="0" borderId="4" xfId="0" applyNumberFormat="1" applyBorder="1" applyAlignment="1" applyProtection="1">
      <alignment horizontal="center" shrinkToFit="1"/>
      <protection locked="0"/>
    </xf>
    <xf numFmtId="49" fontId="0" fillId="0" borderId="4" xfId="0" applyNumberFormat="1" applyBorder="1" applyAlignment="1" applyProtection="1">
      <alignment horizontal="center"/>
      <protection locked="0"/>
    </xf>
    <xf numFmtId="191" fontId="0" fillId="0" borderId="2" xfId="0" applyNumberFormat="1" applyBorder="1" applyAlignment="1" applyProtection="1">
      <alignment horizontal="center" vertical="center" shrinkToFit="1"/>
      <protection locked="0"/>
    </xf>
    <xf numFmtId="173" fontId="0" fillId="0" borderId="6" xfId="0" applyNumberFormat="1" applyBorder="1" applyAlignment="1">
      <alignment horizontal="center" vertical="center"/>
    </xf>
    <xf numFmtId="164" fontId="2" fillId="0" borderId="2" xfId="0" applyNumberFormat="1" applyFont="1" applyBorder="1" applyAlignment="1">
      <alignment vertical="center"/>
    </xf>
    <xf numFmtId="164" fontId="2" fillId="8" borderId="3" xfId="0" applyNumberFormat="1" applyFont="1" applyFill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2" xfId="0" quotePrefix="1" applyFont="1" applyBorder="1" applyAlignment="1">
      <alignment horizontal="center" vertical="center"/>
    </xf>
    <xf numFmtId="0" fontId="3" fillId="0" borderId="4" xfId="0" quotePrefix="1" applyFont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49" fontId="3" fillId="0" borderId="4" xfId="0" quotePrefix="1" applyNumberFormat="1" applyFont="1" applyBorder="1" applyAlignment="1">
      <alignment horizontal="center" vertical="center"/>
    </xf>
    <xf numFmtId="0" fontId="54" fillId="0" borderId="0" xfId="2" applyFont="1"/>
    <xf numFmtId="0" fontId="67" fillId="0" borderId="0" xfId="2" applyFont="1"/>
    <xf numFmtId="0" fontId="54" fillId="0" borderId="0" xfId="2" applyFont="1" applyAlignment="1">
      <alignment horizontal="left"/>
    </xf>
    <xf numFmtId="0" fontId="55" fillId="0" borderId="0" xfId="2" applyFont="1" applyAlignment="1">
      <alignment horizontal="left" indent="5"/>
    </xf>
    <xf numFmtId="0" fontId="54" fillId="0" borderId="0" xfId="2" applyFont="1" applyAlignment="1">
      <alignment horizontal="left" indent="5"/>
    </xf>
    <xf numFmtId="0" fontId="55" fillId="0" borderId="0" xfId="2" applyFont="1" applyAlignment="1">
      <alignment horizontal="left" indent="7"/>
    </xf>
    <xf numFmtId="0" fontId="54" fillId="0" borderId="0" xfId="2" applyFont="1" applyAlignment="1">
      <alignment horizontal="left" indent="8"/>
    </xf>
    <xf numFmtId="0" fontId="68" fillId="0" borderId="0" xfId="2" applyFont="1" applyAlignment="1">
      <alignment horizontal="centerContinuous"/>
    </xf>
    <xf numFmtId="0" fontId="55" fillId="0" borderId="0" xfId="2" applyFont="1" applyAlignment="1">
      <alignment horizontal="left"/>
    </xf>
    <xf numFmtId="164" fontId="4" fillId="0" borderId="14" xfId="1" applyFont="1" applyBorder="1" applyProtection="1"/>
    <xf numFmtId="0" fontId="54" fillId="0" borderId="0" xfId="2" applyFont="1" applyAlignment="1">
      <alignment horizontal="left" indent="6"/>
    </xf>
    <xf numFmtId="0" fontId="0" fillId="0" borderId="0" xfId="0" applyAlignment="1">
      <alignment horizontal="left" vertical="center"/>
    </xf>
    <xf numFmtId="49" fontId="2" fillId="0" borderId="0" xfId="0" applyNumberFormat="1" applyFont="1" applyAlignment="1" applyProtection="1">
      <alignment horizontal="left"/>
      <protection locked="0"/>
    </xf>
    <xf numFmtId="0" fontId="70" fillId="0" borderId="0" xfId="0" applyFont="1" applyAlignment="1">
      <alignment horizontal="centerContinuous" vertical="center"/>
    </xf>
    <xf numFmtId="0" fontId="71" fillId="0" borderId="0" xfId="0" applyFont="1" applyAlignment="1">
      <alignment horizontal="centerContinuous" vertical="center"/>
    </xf>
    <xf numFmtId="0" fontId="72" fillId="0" borderId="0" xfId="0" applyFont="1" applyAlignment="1">
      <alignment horizontal="centerContinuous" vertical="center"/>
    </xf>
    <xf numFmtId="172" fontId="74" fillId="0" borderId="0" xfId="0" applyNumberFormat="1" applyFont="1" applyAlignment="1">
      <alignment horizontal="centerContinuous" vertical="center"/>
    </xf>
    <xf numFmtId="0" fontId="63" fillId="0" borderId="0" xfId="0" applyFont="1" applyAlignment="1">
      <alignment horizontal="centerContinuous" vertical="center"/>
    </xf>
    <xf numFmtId="0" fontId="54" fillId="0" borderId="0" xfId="0" applyFont="1" applyAlignment="1">
      <alignment horizontal="centerContinuous" vertical="center"/>
    </xf>
    <xf numFmtId="0" fontId="54" fillId="0" borderId="0" xfId="0" applyFont="1" applyAlignment="1">
      <alignment vertical="center"/>
    </xf>
    <xf numFmtId="0" fontId="75" fillId="0" borderId="0" xfId="0" applyFont="1" applyAlignment="1">
      <alignment horizontal="centerContinuous" vertical="center"/>
    </xf>
    <xf numFmtId="172" fontId="76" fillId="0" borderId="0" xfId="0" applyNumberFormat="1" applyFont="1" applyAlignment="1">
      <alignment horizontal="centerContinuous" vertical="center"/>
    </xf>
    <xf numFmtId="49" fontId="78" fillId="0" borderId="0" xfId="0" applyNumberFormat="1" applyFont="1" applyAlignment="1">
      <alignment horizontal="centerContinuous" vertical="center"/>
    </xf>
    <xf numFmtId="49" fontId="55" fillId="0" borderId="0" xfId="0" applyNumberFormat="1" applyFont="1" applyAlignment="1">
      <alignment horizontal="centerContinuous" vertical="center"/>
    </xf>
    <xf numFmtId="191" fontId="69" fillId="0" borderId="0" xfId="0" applyNumberFormat="1" applyFont="1" applyAlignment="1">
      <alignment horizontal="centerContinuous" vertical="center"/>
    </xf>
    <xf numFmtId="49" fontId="80" fillId="0" borderId="0" xfId="0" applyNumberFormat="1" applyFont="1" applyAlignment="1" applyProtection="1">
      <alignment horizontal="centerContinuous"/>
      <protection locked="0"/>
    </xf>
    <xf numFmtId="49" fontId="80" fillId="0" borderId="0" xfId="0" applyNumberFormat="1" applyFont="1" applyAlignment="1" applyProtection="1">
      <alignment horizontal="centerContinuous" wrapText="1"/>
      <protection locked="0"/>
    </xf>
    <xf numFmtId="0" fontId="80" fillId="0" borderId="0" xfId="0" applyFont="1" applyAlignment="1">
      <alignment horizontal="centerContinuous"/>
    </xf>
    <xf numFmtId="49" fontId="80" fillId="0" borderId="0" xfId="1" applyNumberFormat="1" applyFont="1" applyAlignment="1" applyProtection="1">
      <alignment horizontal="centerContinuous"/>
      <protection locked="0"/>
    </xf>
    <xf numFmtId="164" fontId="80" fillId="0" borderId="0" xfId="1" applyFont="1" applyAlignment="1" applyProtection="1">
      <alignment horizontal="centerContinuous"/>
      <protection locked="0"/>
    </xf>
    <xf numFmtId="0" fontId="80" fillId="0" borderId="0" xfId="0" applyFont="1"/>
    <xf numFmtId="14" fontId="2" fillId="0" borderId="0" xfId="0" applyNumberFormat="1" applyFont="1" applyAlignment="1">
      <alignment horizontal="center"/>
    </xf>
    <xf numFmtId="0" fontId="82" fillId="8" borderId="2" xfId="0" applyFont="1" applyFill="1" applyBorder="1" applyAlignment="1">
      <alignment horizontal="center" vertical="center"/>
    </xf>
    <xf numFmtId="164" fontId="0" fillId="8" borderId="3" xfId="0" applyNumberFormat="1" applyFill="1" applyBorder="1" applyAlignment="1">
      <alignment vertical="center"/>
    </xf>
    <xf numFmtId="0" fontId="82" fillId="8" borderId="4" xfId="0" applyFont="1" applyFill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83" fillId="0" borderId="6" xfId="2" applyFont="1" applyBorder="1" applyAlignment="1">
      <alignment horizontal="left"/>
    </xf>
    <xf numFmtId="49" fontId="83" fillId="0" borderId="2" xfId="2" applyNumberFormat="1" applyFont="1" applyBorder="1" applyAlignment="1">
      <alignment horizontal="center"/>
    </xf>
    <xf numFmtId="0" fontId="83" fillId="0" borderId="2" xfId="1" applyNumberFormat="1" applyFont="1" applyBorder="1" applyAlignment="1" applyProtection="1">
      <alignment horizontal="center"/>
    </xf>
    <xf numFmtId="164" fontId="83" fillId="0" borderId="2" xfId="3" applyFont="1" applyBorder="1" applyAlignment="1" applyProtection="1">
      <alignment horizontal="center"/>
      <protection locked="0"/>
    </xf>
    <xf numFmtId="164" fontId="83" fillId="0" borderId="2" xfId="1" applyFont="1" applyBorder="1" applyAlignment="1" applyProtection="1">
      <alignment horizontal="center"/>
      <protection locked="0"/>
    </xf>
    <xf numFmtId="164" fontId="83" fillId="0" borderId="3" xfId="3" applyFont="1" applyBorder="1" applyAlignment="1" applyProtection="1">
      <alignment horizontal="center"/>
    </xf>
    <xf numFmtId="164" fontId="62" fillId="0" borderId="2" xfId="1" applyFont="1" applyFill="1" applyBorder="1" applyAlignment="1" applyProtection="1">
      <protection locked="0"/>
    </xf>
    <xf numFmtId="0" fontId="3" fillId="0" borderId="2" xfId="0" quotePrefix="1" applyFont="1" applyBorder="1" applyAlignment="1">
      <alignment horizontal="center"/>
    </xf>
    <xf numFmtId="0" fontId="55" fillId="0" borderId="0" xfId="2" applyFont="1" applyAlignment="1">
      <alignment horizontal="left" indent="4"/>
    </xf>
    <xf numFmtId="164" fontId="22" fillId="0" borderId="2" xfId="0" applyNumberFormat="1" applyFont="1" applyBorder="1" applyAlignment="1">
      <alignment vertical="center"/>
    </xf>
    <xf numFmtId="173" fontId="29" fillId="0" borderId="6" xfId="0" applyNumberFormat="1" applyFont="1" applyBorder="1" applyAlignment="1">
      <alignment horizontal="center" vertical="center"/>
    </xf>
    <xf numFmtId="173" fontId="29" fillId="0" borderId="44" xfId="0" applyNumberFormat="1" applyFont="1" applyBorder="1" applyAlignment="1">
      <alignment horizontal="center" vertical="center"/>
    </xf>
    <xf numFmtId="164" fontId="22" fillId="0" borderId="4" xfId="0" applyNumberFormat="1" applyFont="1" applyBorder="1" applyAlignment="1">
      <alignment vertical="center"/>
    </xf>
    <xf numFmtId="49" fontId="84" fillId="0" borderId="4" xfId="0" quotePrefix="1" applyNumberFormat="1" applyFont="1" applyBorder="1" applyAlignment="1">
      <alignment horizontal="center" vertical="center"/>
    </xf>
    <xf numFmtId="0" fontId="84" fillId="0" borderId="4" xfId="0" quotePrefix="1" applyFont="1" applyBorder="1" applyAlignment="1">
      <alignment horizontal="center" vertical="center"/>
    </xf>
    <xf numFmtId="0" fontId="3" fillId="0" borderId="0" xfId="0" quotePrefix="1" applyFont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0" fontId="29" fillId="0" borderId="4" xfId="0" applyFont="1" applyBorder="1" applyAlignment="1">
      <alignment vertical="center"/>
    </xf>
    <xf numFmtId="164" fontId="29" fillId="0" borderId="4" xfId="0" applyNumberFormat="1" applyFont="1" applyBorder="1" applyAlignment="1">
      <alignment vertical="center"/>
    </xf>
    <xf numFmtId="49" fontId="13" fillId="0" borderId="4" xfId="0" quotePrefix="1" applyNumberFormat="1" applyFont="1" applyBorder="1" applyAlignment="1">
      <alignment horizontal="center" vertical="center"/>
    </xf>
    <xf numFmtId="0" fontId="13" fillId="0" borderId="4" xfId="0" quotePrefix="1" applyFont="1" applyBorder="1" applyAlignment="1">
      <alignment horizontal="center" vertical="center"/>
    </xf>
    <xf numFmtId="164" fontId="29" fillId="8" borderId="45" xfId="0" applyNumberFormat="1" applyFont="1" applyFill="1" applyBorder="1" applyAlignment="1">
      <alignment vertical="center"/>
    </xf>
    <xf numFmtId="0" fontId="29" fillId="0" borderId="0" xfId="0" applyFont="1" applyAlignment="1">
      <alignment vertical="center"/>
    </xf>
    <xf numFmtId="49" fontId="61" fillId="0" borderId="2" xfId="0" applyNumberFormat="1" applyFont="1" applyBorder="1" applyAlignment="1" applyProtection="1">
      <alignment horizontal="left" vertical="center" shrinkToFit="1"/>
      <protection locked="0"/>
    </xf>
    <xf numFmtId="49" fontId="61" fillId="0" borderId="2" xfId="0" applyNumberFormat="1" applyFont="1" applyBorder="1" applyAlignment="1" applyProtection="1">
      <alignment horizontal="left" vertical="center" wrapText="1"/>
      <protection locked="0"/>
    </xf>
    <xf numFmtId="49" fontId="61" fillId="0" borderId="4" xfId="0" applyNumberFormat="1" applyFont="1" applyBorder="1" applyAlignment="1" applyProtection="1">
      <alignment horizontal="left" vertical="center" shrinkToFit="1"/>
      <protection locked="0"/>
    </xf>
    <xf numFmtId="191" fontId="61" fillId="0" borderId="2" xfId="0" applyNumberFormat="1" applyFont="1" applyBorder="1" applyAlignment="1" applyProtection="1">
      <alignment horizontal="center" vertical="center"/>
      <protection locked="0"/>
    </xf>
    <xf numFmtId="49" fontId="61" fillId="0" borderId="2" xfId="0" applyNumberFormat="1" applyFont="1" applyBorder="1" applyAlignment="1" applyProtection="1">
      <alignment horizontal="center" vertical="center" shrinkToFit="1"/>
      <protection locked="0"/>
    </xf>
    <xf numFmtId="0" fontId="86" fillId="0" borderId="2" xfId="0" applyFont="1" applyBorder="1" applyAlignment="1">
      <alignment horizontal="center" vertical="center"/>
    </xf>
    <xf numFmtId="0" fontId="86" fillId="0" borderId="4" xfId="0" applyFont="1" applyBorder="1" applyAlignment="1">
      <alignment horizontal="center" vertical="center"/>
    </xf>
    <xf numFmtId="0" fontId="0" fillId="8" borderId="2" xfId="0" applyFill="1" applyBorder="1" applyAlignment="1">
      <alignment shrinkToFit="1"/>
    </xf>
    <xf numFmtId="0" fontId="0" fillId="8" borderId="4" xfId="0" applyFill="1" applyBorder="1" applyAlignment="1">
      <alignment shrinkToFit="1"/>
    </xf>
    <xf numFmtId="0" fontId="87" fillId="0" borderId="2" xfId="0" applyFont="1" applyBorder="1" applyAlignment="1">
      <alignment horizontal="center" vertical="center"/>
    </xf>
    <xf numFmtId="171" fontId="24" fillId="0" borderId="0" xfId="0" applyNumberFormat="1" applyFont="1" applyAlignment="1">
      <alignment horizontal="centerContinuous" vertical="center"/>
    </xf>
    <xf numFmtId="0" fontId="2" fillId="0" borderId="2" xfId="0" quotePrefix="1" applyFont="1" applyBorder="1" applyAlignment="1" applyProtection="1">
      <alignment horizontal="center" vertical="center" shrinkToFit="1"/>
      <protection locked="0"/>
    </xf>
    <xf numFmtId="43" fontId="0" fillId="0" borderId="0" xfId="0" applyNumberFormat="1"/>
    <xf numFmtId="0" fontId="88" fillId="0" borderId="2" xfId="0" applyFont="1" applyBorder="1" applyAlignment="1">
      <alignment horizontal="center" vertical="center"/>
    </xf>
    <xf numFmtId="0" fontId="88" fillId="0" borderId="4" xfId="0" applyFont="1" applyBorder="1" applyAlignment="1">
      <alignment horizontal="center" vertical="center"/>
    </xf>
    <xf numFmtId="49" fontId="88" fillId="0" borderId="4" xfId="0" applyNumberFormat="1" applyFont="1" applyBorder="1" applyAlignment="1">
      <alignment horizontal="center" vertical="center"/>
    </xf>
    <xf numFmtId="49" fontId="81" fillId="0" borderId="0" xfId="1" quotePrefix="1" applyNumberFormat="1" applyFont="1" applyProtection="1">
      <protection locked="0"/>
    </xf>
    <xf numFmtId="49" fontId="61" fillId="0" borderId="2" xfId="0" applyNumberFormat="1" applyFont="1" applyBorder="1" applyAlignment="1" applyProtection="1">
      <alignment horizontal="center" vertical="center"/>
      <protection locked="0"/>
    </xf>
    <xf numFmtId="164" fontId="61" fillId="0" borderId="2" xfId="1" applyFont="1" applyBorder="1" applyAlignment="1" applyProtection="1">
      <alignment vertical="center"/>
      <protection locked="0"/>
    </xf>
    <xf numFmtId="0" fontId="89" fillId="0" borderId="2" xfId="0" applyFont="1" applyBorder="1" applyAlignment="1">
      <alignment horizontal="left" vertical="center"/>
    </xf>
    <xf numFmtId="49" fontId="61" fillId="0" borderId="4" xfId="0" applyNumberFormat="1" applyFont="1" applyBorder="1" applyAlignment="1" applyProtection="1">
      <alignment horizontal="center" vertical="center"/>
      <protection locked="0"/>
    </xf>
    <xf numFmtId="164" fontId="61" fillId="0" borderId="4" xfId="1" applyFont="1" applyFill="1" applyBorder="1" applyAlignment="1" applyProtection="1">
      <alignment vertical="center"/>
      <protection locked="0"/>
    </xf>
    <xf numFmtId="164" fontId="61" fillId="0" borderId="2" xfId="1" applyFont="1" applyFill="1" applyBorder="1" applyAlignment="1" applyProtection="1">
      <alignment vertical="center"/>
      <protection locked="0"/>
    </xf>
    <xf numFmtId="0" fontId="0" fillId="0" borderId="2" xfId="0" applyBorder="1" applyAlignment="1">
      <alignment horizontal="left"/>
    </xf>
    <xf numFmtId="0" fontId="90" fillId="0" borderId="4" xfId="0" quotePrefix="1" applyFont="1" applyBorder="1" applyAlignment="1">
      <alignment horizontal="center" vertical="center"/>
    </xf>
    <xf numFmtId="0" fontId="90" fillId="8" borderId="0" xfId="0" applyFont="1" applyFill="1" applyAlignment="1">
      <alignment horizontal="center" vertical="center"/>
    </xf>
    <xf numFmtId="49" fontId="90" fillId="0" borderId="0" xfId="0" applyNumberFormat="1" applyFont="1" applyAlignment="1">
      <alignment horizontal="center" vertical="center"/>
    </xf>
    <xf numFmtId="0" fontId="90" fillId="0" borderId="0" xfId="0" quotePrefix="1" applyFont="1" applyAlignment="1">
      <alignment horizontal="center" vertical="center"/>
    </xf>
    <xf numFmtId="164" fontId="0" fillId="8" borderId="0" xfId="0" applyNumberFormat="1" applyFill="1" applyAlignment="1">
      <alignment vertical="center"/>
    </xf>
    <xf numFmtId="164" fontId="22" fillId="0" borderId="2" xfId="1" applyFont="1" applyBorder="1" applyAlignment="1" applyProtection="1">
      <alignment vertical="center"/>
      <protection locked="0"/>
    </xf>
    <xf numFmtId="0" fontId="91" fillId="0" borderId="6" xfId="2" applyFont="1" applyBorder="1" applyAlignment="1">
      <alignment horizontal="left"/>
    </xf>
    <xf numFmtId="49" fontId="91" fillId="0" borderId="2" xfId="2" applyNumberFormat="1" applyFont="1" applyBorder="1" applyAlignment="1">
      <alignment horizontal="center"/>
    </xf>
    <xf numFmtId="49" fontId="91" fillId="0" borderId="2" xfId="2" applyNumberFormat="1" applyFont="1" applyBorder="1" applyAlignment="1" applyProtection="1">
      <alignment horizontal="center"/>
      <protection locked="0"/>
    </xf>
    <xf numFmtId="0" fontId="91" fillId="0" borderId="2" xfId="1" applyNumberFormat="1" applyFont="1" applyBorder="1" applyAlignment="1" applyProtection="1">
      <alignment horizontal="center"/>
    </xf>
    <xf numFmtId="164" fontId="91" fillId="0" borderId="2" xfId="3" applyFont="1" applyBorder="1" applyAlignment="1" applyProtection="1">
      <alignment horizontal="center"/>
      <protection locked="0"/>
    </xf>
    <xf numFmtId="164" fontId="91" fillId="0" borderId="2" xfId="1" applyFont="1" applyBorder="1" applyAlignment="1" applyProtection="1">
      <alignment horizontal="center"/>
      <protection locked="0"/>
    </xf>
    <xf numFmtId="164" fontId="91" fillId="0" borderId="3" xfId="3" applyFont="1" applyBorder="1" applyAlignment="1" applyProtection="1">
      <alignment horizontal="center"/>
    </xf>
    <xf numFmtId="49" fontId="0" fillId="0" borderId="6" xfId="0" applyNumberFormat="1" applyBorder="1" applyAlignment="1">
      <alignment horizontal="center"/>
    </xf>
    <xf numFmtId="0" fontId="29" fillId="0" borderId="0" xfId="0" applyFont="1"/>
    <xf numFmtId="43" fontId="2" fillId="0" borderId="2" xfId="11" applyFont="1" applyBorder="1" applyAlignment="1" applyProtection="1">
      <alignment vertical="center" shrinkToFit="1"/>
      <protection locked="0"/>
    </xf>
    <xf numFmtId="0" fontId="2" fillId="0" borderId="2" xfId="10" quotePrefix="1" applyBorder="1" applyAlignment="1" applyProtection="1">
      <alignment horizontal="center" vertical="center" shrinkToFit="1"/>
      <protection locked="0"/>
    </xf>
    <xf numFmtId="43" fontId="2" fillId="0" borderId="4" xfId="11" applyFont="1" applyBorder="1" applyAlignment="1" applyProtection="1">
      <alignment vertical="center" shrinkToFit="1"/>
      <protection locked="0"/>
    </xf>
    <xf numFmtId="49" fontId="2" fillId="0" borderId="2" xfId="10" applyNumberFormat="1" applyBorder="1" applyAlignment="1" applyProtection="1">
      <alignment horizontal="left" vertical="center" wrapText="1" shrinkToFit="1"/>
      <protection locked="0"/>
    </xf>
    <xf numFmtId="191" fontId="2" fillId="0" borderId="2" xfId="10" applyNumberFormat="1" applyBorder="1" applyAlignment="1" applyProtection="1">
      <alignment horizontal="center" vertical="center" shrinkToFit="1"/>
      <protection locked="0"/>
    </xf>
    <xf numFmtId="49" fontId="2" fillId="0" borderId="2" xfId="10" applyNumberFormat="1" applyBorder="1" applyAlignment="1" applyProtection="1">
      <alignment horizontal="center" vertical="center" shrinkToFit="1"/>
      <protection locked="0"/>
    </xf>
    <xf numFmtId="49" fontId="3" fillId="8" borderId="4" xfId="0" applyNumberFormat="1" applyFont="1" applyFill="1" applyBorder="1" applyAlignment="1" applyProtection="1">
      <alignment horizontal="center" vertical="center"/>
      <protection locked="0"/>
    </xf>
    <xf numFmtId="49" fontId="2" fillId="0" borderId="6" xfId="0" applyNumberFormat="1" applyFont="1" applyBorder="1" applyAlignment="1" applyProtection="1">
      <alignment horizontal="center"/>
      <protection locked="0"/>
    </xf>
    <xf numFmtId="0" fontId="2" fillId="0" borderId="3" xfId="0" applyFont="1" applyBorder="1" applyAlignment="1">
      <alignment shrinkToFit="1"/>
    </xf>
    <xf numFmtId="0" fontId="2" fillId="0" borderId="7" xfId="0" applyFont="1" applyBorder="1" applyAlignment="1">
      <alignment shrinkToFit="1"/>
    </xf>
    <xf numFmtId="0" fontId="2" fillId="0" borderId="6" xfId="0" applyFont="1" applyBorder="1" applyAlignment="1">
      <alignment shrinkToFit="1"/>
    </xf>
    <xf numFmtId="164" fontId="2" fillId="0" borderId="3" xfId="1" applyFont="1" applyBorder="1" applyProtection="1">
      <protection locked="0"/>
    </xf>
    <xf numFmtId="164" fontId="2" fillId="0" borderId="7" xfId="1" applyFont="1" applyBorder="1" applyProtection="1">
      <protection locked="0"/>
    </xf>
    <xf numFmtId="164" fontId="2" fillId="0" borderId="6" xfId="1" applyFont="1" applyBorder="1" applyProtection="1">
      <protection locked="0"/>
    </xf>
    <xf numFmtId="164" fontId="2" fillId="0" borderId="16" xfId="1" applyFont="1" applyBorder="1" applyProtection="1">
      <protection locked="0"/>
    </xf>
    <xf numFmtId="0" fontId="2" fillId="0" borderId="96" xfId="0" applyFont="1" applyBorder="1"/>
    <xf numFmtId="0" fontId="2" fillId="0" borderId="7" xfId="0" applyFont="1" applyBorder="1"/>
    <xf numFmtId="0" fontId="2" fillId="0" borderId="6" xfId="0" applyFont="1" applyBorder="1"/>
    <xf numFmtId="49" fontId="61" fillId="0" borderId="2" xfId="0" quotePrefix="1" applyNumberFormat="1" applyFont="1" applyBorder="1" applyAlignment="1" applyProtection="1">
      <alignment horizontal="center" vertical="center"/>
      <protection locked="0"/>
    </xf>
    <xf numFmtId="49" fontId="54" fillId="0" borderId="2" xfId="0" applyNumberFormat="1" applyFont="1" applyBorder="1" applyAlignment="1" applyProtection="1">
      <alignment horizontal="left" vertical="center" wrapText="1"/>
      <protection locked="0"/>
    </xf>
    <xf numFmtId="49" fontId="61" fillId="0" borderId="2" xfId="1" applyNumberFormat="1" applyFont="1" applyBorder="1" applyAlignment="1" applyProtection="1">
      <alignment horizontal="center" vertical="center"/>
      <protection locked="0"/>
    </xf>
    <xf numFmtId="49" fontId="62" fillId="0" borderId="2" xfId="1" applyNumberFormat="1" applyFont="1" applyBorder="1" applyAlignment="1" applyProtection="1">
      <alignment horizontal="center"/>
      <protection locked="0"/>
    </xf>
    <xf numFmtId="49" fontId="3" fillId="28" borderId="2" xfId="1" applyNumberFormat="1" applyFont="1" applyFill="1" applyBorder="1" applyAlignment="1">
      <alignment horizontal="center" vertical="center"/>
    </xf>
    <xf numFmtId="0" fontId="3" fillId="28" borderId="2" xfId="0" applyFont="1" applyFill="1" applyBorder="1" applyAlignment="1">
      <alignment horizontal="center" vertical="center"/>
    </xf>
    <xf numFmtId="0" fontId="65" fillId="28" borderId="4" xfId="0" applyFont="1" applyFill="1" applyBorder="1" applyAlignment="1">
      <alignment horizontal="center" vertical="center"/>
    </xf>
    <xf numFmtId="0" fontId="3" fillId="28" borderId="4" xfId="0" applyFont="1" applyFill="1" applyBorder="1" applyAlignment="1">
      <alignment horizontal="center" vertical="center"/>
    </xf>
    <xf numFmtId="49" fontId="65" fillId="28" borderId="4" xfId="0" applyNumberFormat="1" applyFont="1" applyFill="1" applyBorder="1" applyAlignment="1" applyProtection="1">
      <alignment horizontal="center" vertical="center"/>
      <protection locked="0"/>
    </xf>
    <xf numFmtId="0" fontId="84" fillId="28" borderId="4" xfId="0" applyFont="1" applyFill="1" applyBorder="1" applyAlignment="1">
      <alignment horizontal="center" vertical="center"/>
    </xf>
    <xf numFmtId="0" fontId="13" fillId="28" borderId="4" xfId="0" applyFont="1" applyFill="1" applyBorder="1" applyAlignment="1">
      <alignment horizontal="center" vertical="center"/>
    </xf>
    <xf numFmtId="0" fontId="86" fillId="28" borderId="4" xfId="0" applyFont="1" applyFill="1" applyBorder="1" applyAlignment="1">
      <alignment horizontal="center" vertical="center"/>
    </xf>
    <xf numFmtId="0" fontId="86" fillId="28" borderId="2" xfId="0" applyFont="1" applyFill="1" applyBorder="1" applyAlignment="1">
      <alignment horizontal="center" vertical="center"/>
    </xf>
    <xf numFmtId="0" fontId="87" fillId="28" borderId="2" xfId="0" applyFont="1" applyFill="1" applyBorder="1" applyAlignment="1">
      <alignment horizontal="center" vertical="center"/>
    </xf>
    <xf numFmtId="0" fontId="88" fillId="28" borderId="4" xfId="0" applyFont="1" applyFill="1" applyBorder="1" applyAlignment="1">
      <alignment horizontal="center" vertical="center"/>
    </xf>
    <xf numFmtId="0" fontId="88" fillId="28" borderId="2" xfId="0" applyFont="1" applyFill="1" applyBorder="1" applyAlignment="1">
      <alignment horizontal="center" vertical="center"/>
    </xf>
    <xf numFmtId="0" fontId="90" fillId="28" borderId="4" xfId="0" applyFont="1" applyFill="1" applyBorder="1" applyAlignment="1">
      <alignment horizontal="center" vertical="center"/>
    </xf>
    <xf numFmtId="0" fontId="94" fillId="0" borderId="0" xfId="2" applyFont="1" applyAlignment="1">
      <alignment horizontal="centerContinuous"/>
    </xf>
    <xf numFmtId="164" fontId="95" fillId="0" borderId="0" xfId="0" applyNumberFormat="1" applyFont="1"/>
    <xf numFmtId="0" fontId="96" fillId="0" borderId="0" xfId="2" applyFont="1" applyAlignment="1">
      <alignment horizontal="centerContinuous"/>
    </xf>
    <xf numFmtId="191" fontId="54" fillId="0" borderId="2" xfId="0" applyNumberFormat="1" applyFont="1" applyBorder="1" applyAlignment="1" applyProtection="1">
      <alignment horizontal="center" vertical="center"/>
      <protection locked="0"/>
    </xf>
    <xf numFmtId="49" fontId="54" fillId="0" borderId="2" xfId="0" applyNumberFormat="1" applyFont="1" applyBorder="1" applyAlignment="1" applyProtection="1">
      <alignment horizontal="center" vertical="center" shrinkToFit="1"/>
      <protection locked="0"/>
    </xf>
    <xf numFmtId="49" fontId="54" fillId="0" borderId="2" xfId="0" applyNumberFormat="1" applyFont="1" applyBorder="1" applyAlignment="1" applyProtection="1">
      <alignment horizontal="center" vertical="center"/>
      <protection locked="0"/>
    </xf>
    <xf numFmtId="164" fontId="54" fillId="0" borderId="2" xfId="1" applyFont="1" applyFill="1" applyBorder="1" applyAlignment="1" applyProtection="1">
      <alignment vertical="center"/>
      <protection locked="0"/>
    </xf>
    <xf numFmtId="49" fontId="54" fillId="0" borderId="4" xfId="0" applyNumberFormat="1" applyFont="1" applyBorder="1" applyAlignment="1" applyProtection="1">
      <alignment horizontal="center" vertical="center"/>
      <protection locked="0"/>
    </xf>
    <xf numFmtId="49" fontId="54" fillId="0" borderId="2" xfId="0" applyNumberFormat="1" applyFont="1" applyBorder="1" applyAlignment="1" applyProtection="1">
      <alignment horizontal="left" vertical="center" shrinkToFit="1"/>
      <protection locked="0"/>
    </xf>
    <xf numFmtId="0" fontId="18" fillId="0" borderId="2" xfId="0" applyFont="1" applyBorder="1"/>
    <xf numFmtId="164" fontId="2" fillId="0" borderId="4" xfId="1" applyFont="1" applyFill="1" applyBorder="1" applyAlignment="1" applyProtection="1">
      <protection locked="0"/>
    </xf>
    <xf numFmtId="0" fontId="0" fillId="0" borderId="0" xfId="0" quotePrefix="1"/>
    <xf numFmtId="0" fontId="3" fillId="2" borderId="4" xfId="0" applyFont="1" applyFill="1" applyBorder="1" applyAlignment="1">
      <alignment horizontal="center" vertical="center" wrapText="1"/>
    </xf>
    <xf numFmtId="0" fontId="97" fillId="0" borderId="2" xfId="0" applyFont="1" applyBorder="1"/>
    <xf numFmtId="0" fontId="2" fillId="0" borderId="2" xfId="0" quotePrefix="1" applyFont="1" applyBorder="1" applyAlignment="1">
      <alignment horizontal="left"/>
    </xf>
    <xf numFmtId="0" fontId="98" fillId="0" borderId="2" xfId="0" applyFont="1" applyBorder="1"/>
    <xf numFmtId="191" fontId="0" fillId="0" borderId="44" xfId="0" applyNumberFormat="1" applyBorder="1" applyAlignment="1" applyProtection="1">
      <alignment horizontal="center"/>
      <protection locked="0"/>
    </xf>
    <xf numFmtId="164" fontId="0" fillId="0" borderId="4" xfId="1" applyFont="1" applyFill="1" applyBorder="1" applyAlignment="1" applyProtection="1">
      <protection locked="0"/>
    </xf>
    <xf numFmtId="164" fontId="0" fillId="0" borderId="4" xfId="1" applyFont="1" applyBorder="1" applyAlignment="1" applyProtection="1">
      <protection locked="0"/>
    </xf>
    <xf numFmtId="39" fontId="99" fillId="0" borderId="45" xfId="0" applyNumberFormat="1" applyFont="1" applyBorder="1" applyAlignment="1">
      <alignment vertical="center"/>
    </xf>
    <xf numFmtId="49" fontId="28" fillId="0" borderId="44" xfId="0" applyNumberFormat="1" applyFont="1" applyBorder="1" applyAlignment="1" applyProtection="1">
      <alignment horizontal="center"/>
      <protection locked="0"/>
    </xf>
    <xf numFmtId="49" fontId="85" fillId="0" borderId="4" xfId="0" applyNumberFormat="1" applyFont="1" applyBorder="1" applyAlignment="1" applyProtection="1">
      <alignment horizontal="left" shrinkToFit="1"/>
      <protection locked="0"/>
    </xf>
    <xf numFmtId="49" fontId="100" fillId="25" borderId="4" xfId="2" applyNumberFormat="1" applyFont="1" applyFill="1" applyBorder="1" applyAlignment="1" applyProtection="1">
      <alignment vertical="center"/>
      <protection locked="0"/>
    </xf>
    <xf numFmtId="49" fontId="100" fillId="25" borderId="2" xfId="2" applyNumberFormat="1" applyFont="1" applyFill="1" applyBorder="1" applyAlignment="1" applyProtection="1">
      <alignment vertical="center"/>
      <protection locked="0"/>
    </xf>
    <xf numFmtId="191" fontId="2" fillId="0" borderId="44" xfId="0" applyNumberFormat="1" applyFont="1" applyBorder="1" applyAlignment="1" applyProtection="1">
      <alignment horizontal="center"/>
      <protection locked="0"/>
    </xf>
    <xf numFmtId="49" fontId="28" fillId="0" borderId="6" xfId="0" applyNumberFormat="1" applyFont="1" applyBorder="1" applyAlignment="1" applyProtection="1">
      <alignment horizontal="center"/>
      <protection locked="0"/>
    </xf>
    <xf numFmtId="0" fontId="2" fillId="0" borderId="0" xfId="0" quotePrefix="1" applyFont="1" applyAlignment="1">
      <alignment horizontal="left"/>
    </xf>
    <xf numFmtId="43" fontId="67" fillId="0" borderId="0" xfId="2" applyNumberFormat="1" applyFont="1"/>
    <xf numFmtId="164" fontId="95" fillId="0" borderId="0" xfId="0" applyNumberFormat="1" applyFont="1" applyAlignment="1">
      <alignment horizontal="centerContinuous"/>
    </xf>
    <xf numFmtId="49" fontId="95" fillId="0" borderId="0" xfId="0" applyNumberFormat="1" applyFont="1" applyAlignment="1">
      <alignment horizontal="centerContinuous"/>
    </xf>
    <xf numFmtId="0" fontId="2" fillId="0" borderId="0" xfId="2" applyFont="1" applyAlignment="1">
      <alignment horizontal="centerContinuous"/>
    </xf>
    <xf numFmtId="49" fontId="2" fillId="0" borderId="0" xfId="0" applyNumberFormat="1" applyFont="1" applyAlignment="1">
      <alignment horizontal="centerContinuous"/>
    </xf>
    <xf numFmtId="169" fontId="3" fillId="0" borderId="0" xfId="0" applyNumberFormat="1" applyFont="1" applyAlignment="1">
      <alignment horizontal="centerContinuous"/>
    </xf>
    <xf numFmtId="49" fontId="3" fillId="0" borderId="0" xfId="0" applyNumberFormat="1" applyFont="1" applyAlignment="1">
      <alignment horizontal="centerContinuous"/>
    </xf>
    <xf numFmtId="164" fontId="102" fillId="0" borderId="2" xfId="0" applyNumberFormat="1" applyFont="1" applyBorder="1" applyAlignment="1">
      <alignment horizontal="centerContinuous"/>
    </xf>
    <xf numFmtId="49" fontId="18" fillId="0" borderId="2" xfId="0" applyNumberFormat="1" applyFont="1" applyBorder="1" applyAlignment="1">
      <alignment horizontal="centerContinuous"/>
    </xf>
    <xf numFmtId="164" fontId="17" fillId="0" borderId="0" xfId="0" applyNumberFormat="1" applyFont="1" applyAlignment="1">
      <alignment horizontal="left" indent="3"/>
    </xf>
    <xf numFmtId="164" fontId="101" fillId="0" borderId="0" xfId="0" applyNumberFormat="1" applyFont="1"/>
    <xf numFmtId="164" fontId="17" fillId="0" borderId="0" xfId="1" applyFont="1" applyBorder="1" applyProtection="1"/>
    <xf numFmtId="164" fontId="12" fillId="0" borderId="7" xfId="0" applyNumberFormat="1" applyFont="1" applyBorder="1"/>
    <xf numFmtId="164" fontId="3" fillId="0" borderId="0" xfId="0" applyNumberFormat="1" applyFont="1" applyAlignment="1">
      <alignment horizontal="left" indent="2"/>
    </xf>
    <xf numFmtId="164" fontId="12" fillId="0" borderId="7" xfId="1" applyFont="1" applyBorder="1" applyProtection="1"/>
    <xf numFmtId="164" fontId="2" fillId="0" borderId="0" xfId="1" applyFont="1" applyProtection="1"/>
    <xf numFmtId="49" fontId="2" fillId="0" borderId="0" xfId="0" quotePrefix="1" applyNumberFormat="1" applyFont="1" applyAlignment="1">
      <alignment horizontal="center"/>
    </xf>
    <xf numFmtId="164" fontId="3" fillId="0" borderId="7" xfId="0" applyNumberFormat="1" applyFont="1" applyBorder="1"/>
    <xf numFmtId="164" fontId="12" fillId="0" borderId="9" xfId="0" applyNumberFormat="1" applyFont="1" applyBorder="1"/>
    <xf numFmtId="0" fontId="2" fillId="0" borderId="0" xfId="2" applyFont="1" applyAlignment="1">
      <alignment horizontal="left"/>
    </xf>
    <xf numFmtId="0" fontId="93" fillId="0" borderId="0" xfId="2" applyFont="1"/>
    <xf numFmtId="0" fontId="3" fillId="0" borderId="0" xfId="2" applyFont="1" applyAlignment="1">
      <alignment horizontal="left" indent="5"/>
    </xf>
    <xf numFmtId="0" fontId="3" fillId="0" borderId="0" xfId="2" applyFont="1" applyAlignment="1">
      <alignment horizontal="left"/>
    </xf>
    <xf numFmtId="0" fontId="92" fillId="0" borderId="0" xfId="2" applyFont="1" applyAlignment="1">
      <alignment horizontal="left" indent="7"/>
    </xf>
    <xf numFmtId="0" fontId="2" fillId="0" borderId="0" xfId="2" applyFont="1" applyAlignment="1">
      <alignment horizontal="left" indent="3"/>
    </xf>
    <xf numFmtId="0" fontId="93" fillId="0" borderId="0" xfId="2" applyFont="1" applyAlignment="1">
      <alignment horizontal="left" indent="6"/>
    </xf>
    <xf numFmtId="164" fontId="103" fillId="0" borderId="0" xfId="0" applyNumberFormat="1" applyFont="1" applyAlignment="1">
      <alignment horizontal="centerContinuous"/>
    </xf>
    <xf numFmtId="164" fontId="2" fillId="0" borderId="0" xfId="0" applyNumberFormat="1" applyFont="1" applyAlignment="1">
      <alignment horizontal="centerContinuous" shrinkToFit="1"/>
    </xf>
    <xf numFmtId="164" fontId="3" fillId="0" borderId="0" xfId="0" applyNumberFormat="1" applyFont="1" applyAlignment="1">
      <alignment horizontal="centerContinuous" shrinkToFit="1"/>
    </xf>
    <xf numFmtId="49" fontId="3" fillId="0" borderId="2" xfId="0" applyNumberFormat="1" applyFont="1" applyBorder="1" applyAlignment="1">
      <alignment horizontal="centerContinuous"/>
    </xf>
    <xf numFmtId="164" fontId="3" fillId="0" borderId="2" xfId="0" applyNumberFormat="1" applyFont="1" applyBorder="1" applyAlignment="1">
      <alignment horizontal="centerContinuous" shrinkToFit="1"/>
    </xf>
    <xf numFmtId="164" fontId="2" fillId="0" borderId="0" xfId="0" applyNumberFormat="1" applyFont="1" applyAlignment="1">
      <alignment shrinkToFit="1"/>
    </xf>
    <xf numFmtId="164" fontId="2" fillId="0" borderId="0" xfId="0" applyNumberFormat="1" applyFont="1" applyAlignment="1">
      <alignment horizontal="left" indent="3"/>
    </xf>
    <xf numFmtId="164" fontId="2" fillId="0" borderId="0" xfId="1" applyFont="1" applyBorder="1" applyAlignment="1" applyProtection="1">
      <alignment shrinkToFit="1"/>
    </xf>
    <xf numFmtId="164" fontId="2" fillId="0" borderId="0" xfId="1" applyFont="1" applyAlignment="1" applyProtection="1">
      <alignment shrinkToFit="1"/>
    </xf>
    <xf numFmtId="164" fontId="2" fillId="0" borderId="14" xfId="1" applyFont="1" applyBorder="1" applyAlignment="1" applyProtection="1">
      <alignment shrinkToFit="1"/>
    </xf>
    <xf numFmtId="164" fontId="3" fillId="0" borderId="0" xfId="0" applyNumberFormat="1" applyFont="1" applyAlignment="1">
      <alignment horizontal="left"/>
    </xf>
    <xf numFmtId="164" fontId="3" fillId="0" borderId="7" xfId="1" applyFont="1" applyBorder="1" applyAlignment="1" applyProtection="1">
      <alignment shrinkToFit="1"/>
    </xf>
    <xf numFmtId="164" fontId="3" fillId="0" borderId="8" xfId="1" applyFont="1" applyBorder="1" applyAlignment="1" applyProtection="1">
      <alignment shrinkToFit="1"/>
    </xf>
    <xf numFmtId="164" fontId="3" fillId="0" borderId="0" xfId="1" applyFont="1" applyBorder="1" applyAlignment="1" applyProtection="1">
      <alignment shrinkToFit="1"/>
    </xf>
    <xf numFmtId="164" fontId="3" fillId="0" borderId="7" xfId="0" applyNumberFormat="1" applyFont="1" applyBorder="1" applyAlignment="1">
      <alignment shrinkToFit="1"/>
    </xf>
    <xf numFmtId="164" fontId="3" fillId="0" borderId="0" xfId="0" applyNumberFormat="1" applyFont="1" applyAlignment="1" applyProtection="1">
      <alignment horizontal="centerContinuous" vertical="center"/>
      <protection locked="0"/>
    </xf>
    <xf numFmtId="164" fontId="2" fillId="0" borderId="0" xfId="0" applyNumberFormat="1" applyFont="1" applyAlignment="1" applyProtection="1">
      <alignment horizontal="centerContinuous" vertical="center"/>
      <protection locked="0"/>
    </xf>
    <xf numFmtId="0" fontId="2" fillId="0" borderId="0" xfId="2" applyFont="1" applyAlignment="1">
      <alignment horizontal="left" indent="4"/>
    </xf>
    <xf numFmtId="0" fontId="2" fillId="0" borderId="0" xfId="2" applyFont="1" applyAlignment="1">
      <alignment horizontal="left" indent="5"/>
    </xf>
    <xf numFmtId="164" fontId="3" fillId="0" borderId="2" xfId="0" applyNumberFormat="1" applyFont="1" applyBorder="1" applyAlignment="1">
      <alignment horizontal="centerContinuous"/>
    </xf>
    <xf numFmtId="49" fontId="104" fillId="0" borderId="6" xfId="0" applyNumberFormat="1" applyFont="1" applyBorder="1" applyAlignment="1">
      <alignment horizontal="left"/>
    </xf>
    <xf numFmtId="0" fontId="104" fillId="0" borderId="2" xfId="0" applyFont="1" applyBorder="1"/>
    <xf numFmtId="0" fontId="104" fillId="0" borderId="2" xfId="0" applyFont="1" applyBorder="1" applyAlignment="1" applyProtection="1">
      <alignment horizontal="center"/>
      <protection locked="0"/>
    </xf>
    <xf numFmtId="49" fontId="104" fillId="0" borderId="6" xfId="0" quotePrefix="1" applyNumberFormat="1" applyFont="1" applyBorder="1" applyAlignment="1">
      <alignment horizontal="left"/>
    </xf>
    <xf numFmtId="0" fontId="104" fillId="0" borderId="6" xfId="2" applyFont="1" applyBorder="1" applyAlignment="1">
      <alignment horizontal="left"/>
    </xf>
    <xf numFmtId="49" fontId="104" fillId="0" borderId="2" xfId="2" applyNumberFormat="1" applyFont="1" applyBorder="1" applyAlignment="1">
      <alignment horizontal="center"/>
    </xf>
    <xf numFmtId="49" fontId="104" fillId="0" borderId="2" xfId="2" applyNumberFormat="1" applyFont="1" applyBorder="1" applyAlignment="1" applyProtection="1">
      <alignment horizontal="center"/>
      <protection locked="0"/>
    </xf>
    <xf numFmtId="0" fontId="104" fillId="0" borderId="2" xfId="1" applyNumberFormat="1" applyFont="1" applyBorder="1" applyAlignment="1" applyProtection="1">
      <alignment horizontal="center"/>
    </xf>
    <xf numFmtId="164" fontId="104" fillId="0" borderId="2" xfId="3" applyFont="1" applyBorder="1" applyAlignment="1" applyProtection="1">
      <alignment horizontal="center"/>
      <protection locked="0"/>
    </xf>
    <xf numFmtId="164" fontId="104" fillId="0" borderId="2" xfId="1" applyFont="1" applyBorder="1" applyAlignment="1" applyProtection="1">
      <alignment horizontal="center"/>
      <protection locked="0"/>
    </xf>
    <xf numFmtId="164" fontId="104" fillId="0" borderId="3" xfId="3" applyFont="1" applyBorder="1" applyAlignment="1" applyProtection="1">
      <alignment horizontal="center"/>
    </xf>
    <xf numFmtId="39" fontId="53" fillId="0" borderId="3" xfId="0" applyNumberFormat="1" applyFont="1" applyBorder="1" applyAlignment="1">
      <alignment horizontal="right" vertical="center"/>
    </xf>
    <xf numFmtId="0" fontId="2" fillId="0" borderId="40" xfId="0" applyFont="1" applyBorder="1" applyAlignment="1">
      <alignment horizontal="left" indent="1"/>
    </xf>
    <xf numFmtId="0" fontId="2" fillId="0" borderId="40" xfId="0" applyFont="1" applyBorder="1"/>
    <xf numFmtId="0" fontId="2" fillId="0" borderId="0" xfId="0" applyFont="1" applyAlignment="1" applyProtection="1">
      <alignment horizontal="centerContinuous"/>
      <protection locked="0"/>
    </xf>
    <xf numFmtId="0" fontId="2" fillId="0" borderId="41" xfId="0" applyFont="1" applyBorder="1"/>
    <xf numFmtId="191" fontId="2" fillId="0" borderId="6" xfId="0" applyNumberFormat="1" applyFont="1" applyBorder="1" applyAlignment="1" applyProtection="1">
      <alignment horizontal="center" vertical="center"/>
      <protection locked="0"/>
    </xf>
    <xf numFmtId="49" fontId="54" fillId="0" borderId="2" xfId="2" applyNumberFormat="1" applyFont="1" applyBorder="1" applyAlignment="1" applyProtection="1">
      <alignment horizontal="left" vertical="center" wrapText="1"/>
      <protection locked="0"/>
    </xf>
    <xf numFmtId="49" fontId="2" fillId="0" borderId="6" xfId="0" applyNumberFormat="1" applyFont="1" applyBorder="1" applyAlignment="1">
      <alignment horizontal="center" vertical="center"/>
    </xf>
    <xf numFmtId="49" fontId="105" fillId="0" borderId="2" xfId="2" applyNumberFormat="1" applyFont="1" applyBorder="1" applyAlignment="1" applyProtection="1">
      <alignment horizontal="left" vertical="center" wrapText="1"/>
      <protection locked="0"/>
    </xf>
    <xf numFmtId="49" fontId="0" fillId="0" borderId="6" xfId="0" applyNumberFormat="1" applyBorder="1" applyAlignment="1">
      <alignment horizontal="center" vertical="center"/>
    </xf>
    <xf numFmtId="164" fontId="0" fillId="0" borderId="2" xfId="1" applyFont="1" applyFill="1" applyBorder="1" applyAlignment="1" applyProtection="1">
      <alignment vertical="center" shrinkToFit="1"/>
      <protection locked="0"/>
    </xf>
    <xf numFmtId="49" fontId="0" fillId="0" borderId="2" xfId="1" applyNumberFormat="1" applyFont="1" applyBorder="1" applyAlignment="1" applyProtection="1">
      <alignment horizontal="center" vertical="center"/>
      <protection locked="0"/>
    </xf>
    <xf numFmtId="191" fontId="0" fillId="0" borderId="44" xfId="0" applyNumberFormat="1" applyBorder="1" applyAlignment="1" applyProtection="1">
      <alignment horizontal="center" vertical="center"/>
      <protection locked="0"/>
    </xf>
    <xf numFmtId="191" fontId="0" fillId="0" borderId="4" xfId="0" applyNumberFormat="1" applyBorder="1" applyAlignment="1" applyProtection="1">
      <alignment horizontal="center" vertical="center" shrinkToFit="1"/>
      <protection locked="0"/>
    </xf>
    <xf numFmtId="49" fontId="0" fillId="0" borderId="4" xfId="0" applyNumberFormat="1" applyBorder="1" applyAlignment="1" applyProtection="1">
      <alignment horizontal="center" vertical="center" shrinkToFit="1"/>
      <protection locked="0"/>
    </xf>
    <xf numFmtId="49" fontId="0" fillId="0" borderId="4" xfId="1" applyNumberFormat="1" applyFont="1" applyBorder="1" applyAlignment="1" applyProtection="1">
      <alignment horizontal="center" vertical="center"/>
      <protection locked="0"/>
    </xf>
    <xf numFmtId="49" fontId="0" fillId="0" borderId="4" xfId="0" applyNumberFormat="1" applyBorder="1" applyAlignment="1" applyProtection="1">
      <alignment horizontal="center" vertical="center"/>
      <protection locked="0"/>
    </xf>
    <xf numFmtId="49" fontId="0" fillId="0" borderId="4" xfId="0" applyNumberFormat="1" applyBorder="1" applyAlignment="1" applyProtection="1">
      <alignment horizontal="left" vertical="center" wrapText="1" shrinkToFit="1"/>
      <protection locked="0"/>
    </xf>
    <xf numFmtId="49" fontId="105" fillId="0" borderId="4" xfId="2" applyNumberFormat="1" applyFont="1" applyBorder="1" applyAlignment="1" applyProtection="1">
      <alignment horizontal="left" vertical="center" wrapText="1"/>
      <protection locked="0"/>
    </xf>
    <xf numFmtId="0" fontId="0" fillId="8" borderId="4" xfId="0" applyFill="1" applyBorder="1" applyAlignment="1">
      <alignment vertical="center" shrinkToFit="1"/>
    </xf>
    <xf numFmtId="49" fontId="0" fillId="0" borderId="44" xfId="0" applyNumberFormat="1" applyBorder="1" applyAlignment="1">
      <alignment horizontal="center" vertical="center"/>
    </xf>
    <xf numFmtId="164" fontId="0" fillId="0" borderId="4" xfId="1" applyFont="1" applyFill="1" applyBorder="1" applyAlignment="1" applyProtection="1">
      <alignment vertical="center" shrinkToFit="1"/>
      <protection locked="0"/>
    </xf>
    <xf numFmtId="0" fontId="107" fillId="0" borderId="2" xfId="0" applyFont="1" applyBorder="1"/>
    <xf numFmtId="49" fontId="105" fillId="0" borderId="6" xfId="0" applyNumberFormat="1" applyFont="1" applyBorder="1" applyAlignment="1">
      <alignment horizontal="left"/>
    </xf>
    <xf numFmtId="0" fontId="105" fillId="0" borderId="2" xfId="0" applyFont="1" applyBorder="1"/>
    <xf numFmtId="0" fontId="105" fillId="0" borderId="2" xfId="0" applyFont="1" applyBorder="1" applyAlignment="1" applyProtection="1">
      <alignment horizontal="center"/>
      <protection locked="0"/>
    </xf>
    <xf numFmtId="49" fontId="108" fillId="0" borderId="2" xfId="2" applyNumberFormat="1" applyFont="1" applyBorder="1" applyAlignment="1" applyProtection="1">
      <alignment horizontal="left" vertical="center" wrapText="1"/>
      <protection locked="0"/>
    </xf>
    <xf numFmtId="49" fontId="108" fillId="0" borderId="4" xfId="2" applyNumberFormat="1" applyFont="1" applyBorder="1" applyAlignment="1" applyProtection="1">
      <alignment horizontal="left" vertical="center" wrapText="1"/>
      <protection locked="0"/>
    </xf>
    <xf numFmtId="49" fontId="54" fillId="0" borderId="4" xfId="2" applyNumberFormat="1" applyFont="1" applyBorder="1" applyAlignment="1" applyProtection="1">
      <alignment horizontal="left" vertical="center" wrapText="1"/>
      <protection locked="0"/>
    </xf>
    <xf numFmtId="191" fontId="2" fillId="0" borderId="4" xfId="0" applyNumberFormat="1" applyFont="1" applyBorder="1" applyAlignment="1" applyProtection="1">
      <alignment horizontal="center" vertical="center" shrinkToFit="1"/>
      <protection locked="0"/>
    </xf>
    <xf numFmtId="49" fontId="2" fillId="0" borderId="4" xfId="0" applyNumberFormat="1" applyFont="1" applyBorder="1" applyAlignment="1" applyProtection="1">
      <alignment horizontal="left" vertical="center" wrapText="1" shrinkToFit="1"/>
      <protection locked="0"/>
    </xf>
    <xf numFmtId="0" fontId="2" fillId="8" borderId="4" xfId="0" applyFont="1" applyFill="1" applyBorder="1" applyAlignment="1">
      <alignment vertical="center" shrinkToFit="1"/>
    </xf>
    <xf numFmtId="49" fontId="2" fillId="0" borderId="44" xfId="0" applyNumberFormat="1" applyFont="1" applyBorder="1" applyAlignment="1">
      <alignment horizontal="center" vertical="center"/>
    </xf>
    <xf numFmtId="164" fontId="2" fillId="0" borderId="4" xfId="1" applyFont="1" applyFill="1" applyBorder="1" applyAlignment="1" applyProtection="1">
      <alignment vertical="center" shrinkToFit="1"/>
      <protection locked="0"/>
    </xf>
    <xf numFmtId="49" fontId="109" fillId="0" borderId="2" xfId="2" applyNumberFormat="1" applyFont="1" applyBorder="1" applyAlignment="1" applyProtection="1">
      <alignment horizontal="left" vertical="center" wrapText="1"/>
      <protection locked="0"/>
    </xf>
    <xf numFmtId="49" fontId="109" fillId="0" borderId="4" xfId="2" applyNumberFormat="1" applyFont="1" applyBorder="1" applyAlignment="1" applyProtection="1">
      <alignment horizontal="left" vertical="center" wrapText="1"/>
      <protection locked="0"/>
    </xf>
    <xf numFmtId="164" fontId="2" fillId="0" borderId="2" xfId="1" applyFont="1" applyFill="1" applyBorder="1" applyAlignment="1" applyProtection="1">
      <alignment vertical="center" shrinkToFit="1"/>
      <protection locked="0"/>
    </xf>
    <xf numFmtId="0" fontId="110" fillId="0" borderId="2" xfId="0" applyFont="1" applyBorder="1"/>
    <xf numFmtId="0" fontId="2" fillId="0" borderId="2" xfId="1" applyNumberFormat="1" applyFont="1" applyBorder="1" applyAlignment="1" applyProtection="1">
      <alignment vertical="center"/>
      <protection locked="0"/>
    </xf>
    <xf numFmtId="49" fontId="111" fillId="0" borderId="2" xfId="2" applyNumberFormat="1" applyFont="1" applyBorder="1" applyAlignment="1" applyProtection="1">
      <alignment horizontal="left" vertical="center" wrapText="1"/>
      <protection locked="0"/>
    </xf>
    <xf numFmtId="49" fontId="111" fillId="0" borderId="4" xfId="2" applyNumberFormat="1" applyFont="1" applyBorder="1" applyAlignment="1" applyProtection="1">
      <alignment horizontal="left" vertical="center" wrapText="1"/>
      <protection locked="0"/>
    </xf>
    <xf numFmtId="39" fontId="112" fillId="0" borderId="3" xfId="0" applyNumberFormat="1" applyFont="1" applyBorder="1" applyAlignment="1">
      <alignment vertical="center"/>
    </xf>
    <xf numFmtId="49" fontId="113" fillId="0" borderId="2" xfId="2" applyNumberFormat="1" applyFont="1" applyBorder="1" applyAlignment="1" applyProtection="1">
      <alignment horizontal="left" vertical="center" wrapText="1"/>
      <protection locked="0"/>
    </xf>
    <xf numFmtId="39" fontId="114" fillId="0" borderId="3" xfId="0" applyNumberFormat="1" applyFont="1" applyBorder="1" applyAlignment="1">
      <alignment vertical="center"/>
    </xf>
    <xf numFmtId="49" fontId="113" fillId="0" borderId="4" xfId="2" applyNumberFormat="1" applyFont="1" applyBorder="1" applyAlignment="1" applyProtection="1">
      <alignment horizontal="left" vertical="center" wrapText="1"/>
      <protection locked="0"/>
    </xf>
    <xf numFmtId="164" fontId="0" fillId="29" borderId="2" xfId="1" applyFont="1" applyFill="1" applyBorder="1" applyAlignment="1" applyProtection="1">
      <alignment vertical="center" shrinkToFit="1"/>
      <protection locked="0"/>
    </xf>
    <xf numFmtId="49" fontId="2" fillId="0" borderId="2" xfId="1" applyNumberFormat="1" applyFont="1" applyFill="1" applyBorder="1" applyAlignment="1" applyProtection="1">
      <alignment horizontal="center" vertical="center"/>
      <protection locked="0"/>
    </xf>
    <xf numFmtId="191" fontId="95" fillId="0" borderId="2" xfId="0" applyNumberFormat="1" applyFont="1" applyBorder="1" applyAlignment="1" applyProtection="1">
      <alignment horizontal="center" vertical="center" shrinkToFit="1"/>
      <protection locked="0"/>
    </xf>
    <xf numFmtId="49" fontId="95" fillId="0" borderId="2" xfId="0" applyNumberFormat="1" applyFont="1" applyBorder="1" applyAlignment="1" applyProtection="1">
      <alignment horizontal="center" vertical="center" shrinkToFit="1"/>
      <protection locked="0"/>
    </xf>
    <xf numFmtId="49" fontId="0" fillId="0" borderId="4" xfId="1" applyNumberFormat="1" applyFont="1" applyFill="1" applyBorder="1" applyAlignment="1" applyProtection="1">
      <alignment horizontal="center" vertical="center"/>
      <protection locked="0"/>
    </xf>
    <xf numFmtId="49" fontId="0" fillId="0" borderId="2" xfId="1" applyNumberFormat="1" applyFont="1" applyFill="1" applyBorder="1" applyAlignment="1" applyProtection="1">
      <alignment horizontal="center" vertical="center"/>
      <protection locked="0"/>
    </xf>
    <xf numFmtId="0" fontId="2" fillId="0" borderId="2" xfId="0" applyFont="1" applyBorder="1" applyAlignment="1">
      <alignment horizontal="left" vertical="center" shrinkToFit="1"/>
    </xf>
    <xf numFmtId="0" fontId="116" fillId="0" borderId="6" xfId="2" applyFont="1" applyBorder="1" applyAlignment="1">
      <alignment horizontal="left"/>
    </xf>
    <xf numFmtId="49" fontId="116" fillId="0" borderId="2" xfId="2" applyNumberFormat="1" applyFont="1" applyBorder="1" applyAlignment="1">
      <alignment horizontal="center"/>
    </xf>
    <xf numFmtId="49" fontId="116" fillId="0" borderId="2" xfId="2" applyNumberFormat="1" applyFont="1" applyBorder="1" applyAlignment="1" applyProtection="1">
      <alignment horizontal="center"/>
      <protection locked="0"/>
    </xf>
    <xf numFmtId="0" fontId="116" fillId="0" borderId="2" xfId="1" applyNumberFormat="1" applyFont="1" applyBorder="1" applyAlignment="1" applyProtection="1">
      <alignment horizontal="center"/>
    </xf>
    <xf numFmtId="164" fontId="116" fillId="0" borderId="2" xfId="3" applyFont="1" applyBorder="1" applyAlignment="1" applyProtection="1">
      <alignment horizontal="center"/>
      <protection locked="0"/>
    </xf>
    <xf numFmtId="164" fontId="116" fillId="0" borderId="2" xfId="1" applyFont="1" applyBorder="1" applyAlignment="1" applyProtection="1">
      <alignment horizontal="center"/>
      <protection locked="0"/>
    </xf>
    <xf numFmtId="164" fontId="116" fillId="0" borderId="3" xfId="3" applyFont="1" applyBorder="1" applyAlignment="1" applyProtection="1">
      <alignment horizontal="center"/>
    </xf>
    <xf numFmtId="49" fontId="0" fillId="29" borderId="6" xfId="0" applyNumberFormat="1" applyFill="1" applyBorder="1" applyAlignment="1">
      <alignment horizontal="center" vertical="center"/>
    </xf>
    <xf numFmtId="191" fontId="2" fillId="29" borderId="6" xfId="0" applyNumberFormat="1" applyFont="1" applyFill="1" applyBorder="1" applyAlignment="1" applyProtection="1">
      <alignment horizontal="center" vertical="center"/>
      <protection locked="0"/>
    </xf>
    <xf numFmtId="49" fontId="2" fillId="29" borderId="4" xfId="0" applyNumberFormat="1" applyFont="1" applyFill="1" applyBorder="1" applyAlignment="1" applyProtection="1">
      <alignment horizontal="center" vertical="center" shrinkToFit="1"/>
      <protection locked="0"/>
    </xf>
    <xf numFmtId="49" fontId="2" fillId="29" borderId="2" xfId="0" applyNumberFormat="1" applyFont="1" applyFill="1" applyBorder="1" applyAlignment="1" applyProtection="1">
      <alignment horizontal="center" vertical="center"/>
      <protection locked="0"/>
    </xf>
    <xf numFmtId="49" fontId="2" fillId="29" borderId="4" xfId="0" applyNumberFormat="1" applyFont="1" applyFill="1" applyBorder="1" applyAlignment="1" applyProtection="1">
      <alignment horizontal="center" vertical="center"/>
      <protection locked="0"/>
    </xf>
    <xf numFmtId="49" fontId="28" fillId="29" borderId="2" xfId="0" applyNumberFormat="1" applyFont="1" applyFill="1" applyBorder="1" applyAlignment="1" applyProtection="1">
      <alignment horizontal="justify" vertical="center" wrapText="1"/>
      <protection locked="0"/>
    </xf>
    <xf numFmtId="0" fontId="2" fillId="29" borderId="2" xfId="0" applyFont="1" applyFill="1" applyBorder="1" applyAlignment="1">
      <alignment shrinkToFit="1"/>
    </xf>
    <xf numFmtId="49" fontId="2" fillId="29" borderId="2" xfId="1" applyNumberFormat="1" applyFont="1" applyFill="1" applyBorder="1" applyAlignment="1" applyProtection="1">
      <alignment horizontal="center" vertical="center"/>
      <protection locked="0"/>
    </xf>
    <xf numFmtId="49" fontId="117" fillId="0" borderId="2" xfId="2" applyNumberFormat="1" applyFont="1" applyBorder="1" applyAlignment="1" applyProtection="1">
      <alignment horizontal="left" vertical="center" wrapText="1"/>
      <protection locked="0"/>
    </xf>
    <xf numFmtId="0" fontId="3" fillId="0" borderId="5" xfId="1" applyNumberFormat="1" applyFont="1" applyFill="1" applyBorder="1" applyAlignment="1" applyProtection="1">
      <alignment horizontal="center" vertical="center" wrapText="1"/>
    </xf>
    <xf numFmtId="0" fontId="2" fillId="0" borderId="2" xfId="1" applyNumberFormat="1" applyFont="1" applyBorder="1" applyAlignment="1" applyProtection="1">
      <alignment horizontal="center" vertical="center" shrinkToFit="1"/>
      <protection locked="0"/>
    </xf>
    <xf numFmtId="0" fontId="0" fillId="0" borderId="2" xfId="1" applyNumberFormat="1" applyFont="1" applyBorder="1" applyAlignment="1" applyProtection="1">
      <alignment horizontal="center" vertical="center" shrinkToFit="1"/>
      <protection locked="0"/>
    </xf>
    <xf numFmtId="0" fontId="0" fillId="0" borderId="2" xfId="1" applyNumberFormat="1" applyFont="1" applyBorder="1" applyAlignment="1" applyProtection="1">
      <alignment vertical="center"/>
      <protection locked="0"/>
    </xf>
    <xf numFmtId="0" fontId="0" fillId="0" borderId="4" xfId="1" applyNumberFormat="1" applyFont="1" applyBorder="1" applyAlignment="1" applyProtection="1">
      <alignment vertical="center"/>
      <protection locked="0"/>
    </xf>
    <xf numFmtId="0" fontId="2" fillId="0" borderId="4" xfId="1" applyNumberFormat="1" applyFont="1" applyBorder="1" applyAlignment="1" applyProtection="1">
      <alignment vertical="center"/>
      <protection locked="0"/>
    </xf>
    <xf numFmtId="0" fontId="0" fillId="0" borderId="2" xfId="1" quotePrefix="1" applyNumberFormat="1" applyFont="1" applyBorder="1" applyAlignment="1" applyProtection="1">
      <alignment vertical="center"/>
      <protection locked="0"/>
    </xf>
    <xf numFmtId="0" fontId="0" fillId="0" borderId="2" xfId="1" applyNumberFormat="1" applyFont="1" applyBorder="1" applyAlignment="1" applyProtection="1">
      <alignment vertical="center" wrapText="1"/>
      <protection locked="0"/>
    </xf>
    <xf numFmtId="0" fontId="2" fillId="0" borderId="0" xfId="1" applyNumberFormat="1" applyFont="1" applyAlignment="1" applyProtection="1">
      <alignment vertical="center"/>
      <protection locked="0"/>
    </xf>
    <xf numFmtId="191" fontId="0" fillId="30" borderId="6" xfId="0" applyNumberFormat="1" applyFill="1" applyBorder="1" applyAlignment="1" applyProtection="1">
      <alignment horizontal="center" vertical="center"/>
      <protection locked="0"/>
    </xf>
    <xf numFmtId="49" fontId="2" fillId="30" borderId="4" xfId="0" applyNumberFormat="1" applyFont="1" applyFill="1" applyBorder="1" applyAlignment="1" applyProtection="1">
      <alignment horizontal="center" vertical="center" shrinkToFit="1"/>
      <protection locked="0"/>
    </xf>
    <xf numFmtId="49" fontId="2" fillId="30" borderId="4" xfId="0" applyNumberFormat="1" applyFont="1" applyFill="1" applyBorder="1" applyAlignment="1" applyProtection="1">
      <alignment horizontal="center" vertical="center"/>
      <protection locked="0"/>
    </xf>
    <xf numFmtId="49" fontId="28" fillId="30" borderId="2" xfId="0" applyNumberFormat="1" applyFont="1" applyFill="1" applyBorder="1" applyAlignment="1" applyProtection="1">
      <alignment horizontal="justify" vertical="center" wrapText="1"/>
      <protection locked="0"/>
    </xf>
    <xf numFmtId="0" fontId="0" fillId="30" borderId="2" xfId="0" applyFill="1" applyBorder="1" applyAlignment="1">
      <alignment shrinkToFit="1"/>
    </xf>
    <xf numFmtId="0" fontId="0" fillId="30" borderId="2" xfId="0" applyFill="1" applyBorder="1" applyAlignment="1">
      <alignment vertical="center" shrinkToFit="1"/>
    </xf>
    <xf numFmtId="0" fontId="3" fillId="0" borderId="2" xfId="1" applyNumberFormat="1" applyFont="1" applyBorder="1" applyAlignment="1" applyProtection="1">
      <alignment vertical="center"/>
      <protection locked="0"/>
    </xf>
    <xf numFmtId="0" fontId="3" fillId="0" borderId="4" xfId="1" applyNumberFormat="1" applyFont="1" applyBorder="1" applyAlignment="1" applyProtection="1">
      <alignment vertical="center"/>
      <protection locked="0"/>
    </xf>
    <xf numFmtId="0" fontId="3" fillId="0" borderId="2" xfId="1" applyNumberFormat="1" applyFont="1" applyBorder="1" applyAlignment="1" applyProtection="1">
      <alignment vertical="center" wrapText="1"/>
      <protection locked="0"/>
    </xf>
    <xf numFmtId="49" fontId="118" fillId="0" borderId="2" xfId="2" applyNumberFormat="1" applyFont="1" applyBorder="1" applyAlignment="1" applyProtection="1">
      <alignment horizontal="left" vertical="center" wrapText="1"/>
      <protection locked="0"/>
    </xf>
    <xf numFmtId="164" fontId="3" fillId="0" borderId="0" xfId="1" applyFont="1"/>
    <xf numFmtId="0" fontId="3" fillId="0" borderId="0" xfId="2" applyFont="1" applyAlignment="1">
      <alignment horizontal="center"/>
    </xf>
    <xf numFmtId="0" fontId="2" fillId="0" borderId="0" xfId="2" applyFont="1" applyAlignment="1">
      <alignment horizontal="center"/>
    </xf>
    <xf numFmtId="0" fontId="58" fillId="22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36" xfId="0" applyFont="1" applyBorder="1"/>
    <xf numFmtId="0" fontId="2" fillId="0" borderId="2" xfId="0" applyFont="1" applyBorder="1"/>
    <xf numFmtId="164" fontId="2" fillId="0" borderId="2" xfId="1" applyFont="1" applyBorder="1" applyProtection="1">
      <protection locked="0"/>
    </xf>
    <xf numFmtId="164" fontId="2" fillId="0" borderId="24" xfId="1" applyFont="1" applyBorder="1" applyProtection="1">
      <protection locked="0"/>
    </xf>
    <xf numFmtId="0" fontId="2" fillId="0" borderId="3" xfId="0" applyFont="1" applyBorder="1" applyAlignment="1">
      <alignment horizontal="left" shrinkToFit="1"/>
    </xf>
    <xf numFmtId="0" fontId="2" fillId="0" borderId="7" xfId="0" applyFont="1" applyBorder="1" applyAlignment="1">
      <alignment horizontal="left" shrinkToFit="1"/>
    </xf>
    <xf numFmtId="0" fontId="2" fillId="0" borderId="6" xfId="0" applyFont="1" applyBorder="1" applyAlignment="1">
      <alignment horizontal="left" shrinkToFit="1"/>
    </xf>
    <xf numFmtId="0" fontId="2" fillId="0" borderId="3" xfId="0" applyFont="1" applyBorder="1" applyAlignment="1">
      <alignment shrinkToFit="1"/>
    </xf>
    <xf numFmtId="0" fontId="2" fillId="0" borderId="7" xfId="0" applyFont="1" applyBorder="1" applyAlignment="1">
      <alignment shrinkToFit="1"/>
    </xf>
    <xf numFmtId="0" fontId="2" fillId="0" borderId="6" xfId="0" applyFont="1" applyBorder="1" applyAlignment="1">
      <alignment shrinkToFit="1"/>
    </xf>
    <xf numFmtId="0" fontId="2" fillId="0" borderId="3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170" fontId="2" fillId="0" borderId="7" xfId="0" applyNumberFormat="1" applyFont="1" applyBorder="1" applyAlignment="1">
      <alignment horizontal="left" shrinkToFit="1"/>
    </xf>
    <xf numFmtId="170" fontId="2" fillId="0" borderId="6" xfId="0" applyNumberFormat="1" applyFont="1" applyBorder="1" applyAlignment="1">
      <alignment horizontal="left" shrinkToFit="1"/>
    </xf>
    <xf numFmtId="39" fontId="13" fillId="0" borderId="10" xfId="0" applyNumberFormat="1" applyFont="1" applyBorder="1" applyAlignment="1">
      <alignment horizontal="center" vertical="center"/>
    </xf>
    <xf numFmtId="39" fontId="13" fillId="0" borderId="11" xfId="0" applyNumberFormat="1" applyFont="1" applyBorder="1" applyAlignment="1">
      <alignment horizontal="center" vertical="center"/>
    </xf>
    <xf numFmtId="39" fontId="13" fillId="0" borderId="12" xfId="0" applyNumberFormat="1" applyFont="1" applyBorder="1" applyAlignment="1">
      <alignment horizontal="center" vertical="center"/>
    </xf>
    <xf numFmtId="49" fontId="3" fillId="0" borderId="14" xfId="1" applyNumberFormat="1" applyFont="1" applyBorder="1" applyAlignment="1" applyProtection="1">
      <alignment horizontal="center"/>
      <protection locked="0"/>
    </xf>
    <xf numFmtId="49" fontId="3" fillId="0" borderId="15" xfId="1" applyNumberFormat="1" applyFont="1" applyBorder="1" applyAlignment="1" applyProtection="1">
      <alignment horizontal="center"/>
      <protection locked="0"/>
    </xf>
    <xf numFmtId="14" fontId="0" fillId="0" borderId="7" xfId="0" applyNumberForma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2" fillId="0" borderId="2" xfId="0" applyFont="1" applyBorder="1" applyAlignment="1" applyProtection="1">
      <alignment horizontal="center"/>
      <protection locked="0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1" fontId="13" fillId="0" borderId="31" xfId="0" applyNumberFormat="1" applyFont="1" applyBorder="1"/>
    <xf numFmtId="1" fontId="13" fillId="0" borderId="5" xfId="0" applyNumberFormat="1" applyFont="1" applyBorder="1"/>
    <xf numFmtId="0" fontId="20" fillId="0" borderId="3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34" xfId="0" applyFont="1" applyBorder="1" applyAlignment="1" applyProtection="1">
      <alignment horizontal="center"/>
      <protection locked="0"/>
    </xf>
    <xf numFmtId="0" fontId="2" fillId="0" borderId="5" xfId="0" applyFont="1" applyBorder="1"/>
    <xf numFmtId="0" fontId="2" fillId="0" borderId="35" xfId="0" applyFont="1" applyBorder="1"/>
    <xf numFmtId="0" fontId="2" fillId="0" borderId="24" xfId="0" applyFont="1" applyBorder="1"/>
    <xf numFmtId="39" fontId="2" fillId="0" borderId="11" xfId="1" applyNumberFormat="1" applyFont="1" applyBorder="1" applyProtection="1"/>
    <xf numFmtId="0" fontId="3" fillId="3" borderId="37" xfId="0" applyFont="1" applyFill="1" applyBorder="1" applyAlignment="1">
      <alignment horizontal="center"/>
    </xf>
    <xf numFmtId="0" fontId="3" fillId="3" borderId="28" xfId="0" applyFont="1" applyFill="1" applyBorder="1" applyAlignment="1">
      <alignment horizontal="center"/>
    </xf>
    <xf numFmtId="0" fontId="3" fillId="3" borderId="29" xfId="0" applyFont="1" applyFill="1" applyBorder="1" applyAlignment="1">
      <alignment horizontal="center"/>
    </xf>
    <xf numFmtId="164" fontId="3" fillId="0" borderId="26" xfId="1" applyFont="1" applyBorder="1" applyProtection="1"/>
    <xf numFmtId="164" fontId="3" fillId="0" borderId="38" xfId="1" applyFont="1" applyBorder="1" applyProtection="1"/>
    <xf numFmtId="39" fontId="2" fillId="0" borderId="12" xfId="1" applyNumberFormat="1" applyFont="1" applyBorder="1" applyProtection="1"/>
    <xf numFmtId="49" fontId="3" fillId="23" borderId="2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/>
    </xf>
    <xf numFmtId="0" fontId="3" fillId="23" borderId="2" xfId="0" applyFont="1" applyFill="1" applyBorder="1" applyAlignment="1">
      <alignment horizontal="center" vertical="center"/>
    </xf>
    <xf numFmtId="0" fontId="3" fillId="23" borderId="2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" xfId="0" applyFont="1" applyBorder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0" borderId="23" xfId="0" applyFont="1" applyBorder="1" applyAlignment="1" applyProtection="1">
      <alignment horizontal="center"/>
      <protection locked="0"/>
    </xf>
    <xf numFmtId="0" fontId="2" fillId="0" borderId="7" xfId="0" applyFont="1" applyBorder="1" applyAlignment="1" applyProtection="1">
      <alignment horizontal="left"/>
      <protection locked="0"/>
    </xf>
    <xf numFmtId="0" fontId="2" fillId="0" borderId="6" xfId="0" applyFont="1" applyBorder="1" applyAlignment="1" applyProtection="1">
      <alignment horizontal="left"/>
      <protection locked="0"/>
    </xf>
    <xf numFmtId="0" fontId="2" fillId="0" borderId="3" xfId="0" applyFont="1" applyBorder="1" applyAlignment="1" applyProtection="1">
      <alignment horizontal="left" shrinkToFit="1"/>
      <protection locked="0"/>
    </xf>
    <xf numFmtId="0" fontId="2" fillId="0" borderId="7" xfId="0" applyFont="1" applyBorder="1" applyAlignment="1" applyProtection="1">
      <alignment horizontal="left" shrinkToFit="1"/>
      <protection locked="0"/>
    </xf>
    <xf numFmtId="0" fontId="2" fillId="0" borderId="6" xfId="0" applyFont="1" applyBorder="1" applyAlignment="1" applyProtection="1">
      <alignment horizontal="left" shrinkToFit="1"/>
      <protection locked="0"/>
    </xf>
    <xf numFmtId="164" fontId="2" fillId="0" borderId="3" xfId="1" applyFont="1" applyBorder="1" applyProtection="1">
      <protection locked="0"/>
    </xf>
    <xf numFmtId="164" fontId="2" fillId="0" borderId="7" xfId="1" applyFont="1" applyBorder="1" applyProtection="1">
      <protection locked="0"/>
    </xf>
    <xf numFmtId="164" fontId="2" fillId="0" borderId="6" xfId="1" applyFont="1" applyBorder="1" applyProtection="1">
      <protection locked="0"/>
    </xf>
    <xf numFmtId="164" fontId="2" fillId="0" borderId="16" xfId="1" applyFont="1" applyBorder="1" applyProtection="1">
      <protection locked="0"/>
    </xf>
    <xf numFmtId="49" fontId="3" fillId="8" borderId="2" xfId="0" applyNumberFormat="1" applyFont="1" applyFill="1" applyBorder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75" fillId="0" borderId="0" xfId="0" applyFont="1" applyAlignment="1">
      <alignment horizontal="center" vertical="center"/>
    </xf>
    <xf numFmtId="49" fontId="3" fillId="8" borderId="2" xfId="0" applyNumberFormat="1" applyFont="1" applyFill="1" applyBorder="1" applyAlignment="1">
      <alignment horizontal="center" vertical="center" wrapText="1"/>
    </xf>
    <xf numFmtId="49" fontId="3" fillId="23" borderId="2" xfId="0" applyNumberFormat="1" applyFont="1" applyFill="1" applyBorder="1" applyAlignment="1">
      <alignment horizontal="center" vertical="center" wrapText="1"/>
    </xf>
    <xf numFmtId="0" fontId="0" fillId="0" borderId="2" xfId="0" applyBorder="1"/>
    <xf numFmtId="0" fontId="79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49" fontId="2" fillId="0" borderId="0" xfId="0" applyNumberFormat="1" applyFont="1" applyAlignment="1" applyProtection="1">
      <alignment horizontal="center" wrapText="1"/>
      <protection locked="0"/>
    </xf>
    <xf numFmtId="0" fontId="2" fillId="0" borderId="45" xfId="0" applyFont="1" applyBorder="1" applyAlignment="1">
      <alignment horizontal="justify" vertical="top" wrapText="1"/>
    </xf>
    <xf numFmtId="0" fontId="2" fillId="0" borderId="46" xfId="0" applyFont="1" applyBorder="1" applyAlignment="1">
      <alignment horizontal="justify" vertical="top" wrapText="1"/>
    </xf>
    <xf numFmtId="0" fontId="2" fillId="0" borderId="44" xfId="0" applyFont="1" applyBorder="1" applyAlignment="1">
      <alignment horizontal="justify" vertical="top" wrapText="1"/>
    </xf>
    <xf numFmtId="0" fontId="2" fillId="0" borderId="40" xfId="0" applyFont="1" applyBorder="1" applyAlignment="1">
      <alignment horizontal="justify" vertical="top" wrapText="1"/>
    </xf>
    <xf numFmtId="0" fontId="2" fillId="0" borderId="0" xfId="0" applyFont="1" applyAlignment="1">
      <alignment horizontal="justify" vertical="top" wrapText="1"/>
    </xf>
    <xf numFmtId="0" fontId="2" fillId="0" borderId="23" xfId="0" applyFont="1" applyBorder="1" applyAlignment="1">
      <alignment horizontal="justify" vertical="top" wrapText="1"/>
    </xf>
    <xf numFmtId="0" fontId="2" fillId="0" borderId="42" xfId="0" applyFont="1" applyBorder="1" applyAlignment="1">
      <alignment horizontal="justify" vertical="top" wrapText="1"/>
    </xf>
    <xf numFmtId="0" fontId="2" fillId="0" borderId="14" xfId="0" applyFont="1" applyBorder="1" applyAlignment="1">
      <alignment horizontal="justify" vertical="top" wrapText="1"/>
    </xf>
    <xf numFmtId="0" fontId="2" fillId="0" borderId="43" xfId="0" applyFont="1" applyBorder="1" applyAlignment="1">
      <alignment horizontal="justify" vertical="top" wrapText="1"/>
    </xf>
    <xf numFmtId="0" fontId="8" fillId="0" borderId="0" xfId="1" applyNumberFormat="1" applyFont="1" applyAlignment="1">
      <alignment horizontal="left" vertical="center"/>
    </xf>
    <xf numFmtId="183" fontId="12" fillId="0" borderId="3" xfId="0" applyNumberFormat="1" applyFont="1" applyBorder="1" applyAlignment="1">
      <alignment horizontal="center" vertical="center"/>
    </xf>
    <xf numFmtId="183" fontId="12" fillId="0" borderId="6" xfId="0" applyNumberFormat="1" applyFont="1" applyBorder="1" applyAlignment="1">
      <alignment horizontal="center" vertical="center"/>
    </xf>
    <xf numFmtId="167" fontId="13" fillId="0" borderId="3" xfId="0" applyNumberFormat="1" applyFont="1" applyBorder="1" applyAlignment="1">
      <alignment horizontal="center" vertical="center"/>
    </xf>
    <xf numFmtId="167" fontId="13" fillId="0" borderId="6" xfId="0" applyNumberFormat="1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14" fontId="7" fillId="2" borderId="2" xfId="0" applyNumberFormat="1" applyFont="1" applyFill="1" applyBorder="1" applyAlignment="1">
      <alignment horizontal="center" vertical="center"/>
    </xf>
    <xf numFmtId="167" fontId="13" fillId="0" borderId="3" xfId="0" applyNumberFormat="1" applyFont="1" applyBorder="1" applyAlignment="1">
      <alignment horizontal="center"/>
    </xf>
    <xf numFmtId="167" fontId="13" fillId="0" borderId="6" xfId="0" applyNumberFormat="1" applyFont="1" applyBorder="1" applyAlignment="1">
      <alignment horizontal="center"/>
    </xf>
    <xf numFmtId="183" fontId="12" fillId="0" borderId="3" xfId="0" applyNumberFormat="1" applyFont="1" applyBorder="1" applyAlignment="1">
      <alignment horizontal="center"/>
    </xf>
    <xf numFmtId="183" fontId="12" fillId="0" borderId="6" xfId="0" applyNumberFormat="1" applyFont="1" applyBorder="1" applyAlignment="1">
      <alignment horizontal="center"/>
    </xf>
    <xf numFmtId="0" fontId="7" fillId="7" borderId="2" xfId="0" applyFont="1" applyFill="1" applyBorder="1" applyAlignment="1">
      <alignment horizontal="center" vertical="center" wrapText="1"/>
    </xf>
    <xf numFmtId="168" fontId="12" fillId="0" borderId="3" xfId="0" applyNumberFormat="1" applyFont="1" applyBorder="1" applyAlignment="1">
      <alignment horizontal="center"/>
    </xf>
    <xf numFmtId="168" fontId="12" fillId="0" borderId="7" xfId="0" applyNumberFormat="1" applyFont="1" applyBorder="1" applyAlignment="1">
      <alignment horizontal="center"/>
    </xf>
    <xf numFmtId="168" fontId="12" fillId="0" borderId="6" xfId="0" applyNumberFormat="1" applyFont="1" applyBorder="1" applyAlignment="1">
      <alignment horizontal="center"/>
    </xf>
    <xf numFmtId="167" fontId="13" fillId="0" borderId="7" xfId="0" applyNumberFormat="1" applyFont="1" applyBorder="1" applyAlignment="1">
      <alignment horizontal="center"/>
    </xf>
    <xf numFmtId="0" fontId="7" fillId="2" borderId="2" xfId="0" applyFont="1" applyFill="1" applyBorder="1" applyAlignment="1">
      <alignment horizontal="center" vertical="center" wrapText="1"/>
    </xf>
    <xf numFmtId="14" fontId="7" fillId="2" borderId="2" xfId="0" applyNumberFormat="1" applyFont="1" applyFill="1" applyBorder="1" applyAlignment="1">
      <alignment horizontal="center" vertical="center" wrapText="1"/>
    </xf>
    <xf numFmtId="0" fontId="81" fillId="0" borderId="0" xfId="1" applyNumberFormat="1" applyFont="1" applyAlignment="1">
      <alignment horizontal="left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8" fillId="0" borderId="0" xfId="1" applyNumberFormat="1" applyFont="1" applyAlignment="1" applyProtection="1">
      <alignment horizontal="center"/>
    </xf>
    <xf numFmtId="182" fontId="13" fillId="0" borderId="3" xfId="0" applyNumberFormat="1" applyFont="1" applyBorder="1" applyAlignment="1">
      <alignment horizontal="center"/>
    </xf>
    <xf numFmtId="182" fontId="13" fillId="0" borderId="7" xfId="0" applyNumberFormat="1" applyFont="1" applyBorder="1" applyAlignment="1">
      <alignment horizontal="center"/>
    </xf>
    <xf numFmtId="182" fontId="13" fillId="0" borderId="6" xfId="0" applyNumberFormat="1" applyFont="1" applyBorder="1" applyAlignment="1">
      <alignment horizontal="center"/>
    </xf>
    <xf numFmtId="168" fontId="12" fillId="0" borderId="2" xfId="0" applyNumberFormat="1" applyFont="1" applyBorder="1" applyAlignment="1">
      <alignment horizontal="center"/>
    </xf>
    <xf numFmtId="182" fontId="1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49" fontId="3" fillId="0" borderId="2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3" fillId="0" borderId="3" xfId="0" applyFont="1" applyBorder="1"/>
    <xf numFmtId="0" fontId="23" fillId="0" borderId="7" xfId="0" applyFont="1" applyBorder="1"/>
    <xf numFmtId="0" fontId="2" fillId="0" borderId="0" xfId="0" applyFont="1" applyAlignment="1" applyProtection="1">
      <alignment horizontal="center"/>
      <protection locked="0"/>
    </xf>
    <xf numFmtId="0" fontId="23" fillId="0" borderId="49" xfId="0" applyFont="1" applyBorder="1"/>
    <xf numFmtId="0" fontId="23" fillId="0" borderId="9" xfId="0" applyFont="1" applyBorder="1"/>
    <xf numFmtId="0" fontId="23" fillId="0" borderId="3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3" fillId="0" borderId="2" xfId="0" applyFont="1" applyBorder="1" applyAlignment="1">
      <alignment horizontal="center" vertical="center" wrapText="1"/>
    </xf>
    <xf numFmtId="49" fontId="2" fillId="0" borderId="3" xfId="0" applyNumberFormat="1" applyFont="1" applyBorder="1" applyAlignment="1" applyProtection="1">
      <alignment horizontal="center"/>
      <protection locked="0"/>
    </xf>
    <xf numFmtId="49" fontId="2" fillId="0" borderId="7" xfId="0" applyNumberFormat="1" applyFont="1" applyBorder="1" applyAlignment="1" applyProtection="1">
      <alignment horizontal="center"/>
      <protection locked="0"/>
    </xf>
    <xf numFmtId="49" fontId="2" fillId="0" borderId="6" xfId="0" applyNumberFormat="1" applyFont="1" applyBorder="1" applyAlignment="1" applyProtection="1">
      <alignment horizontal="center"/>
      <protection locked="0"/>
    </xf>
    <xf numFmtId="0" fontId="16" fillId="0" borderId="0" xfId="0" applyFont="1" applyAlignment="1">
      <alignment horizontal="left"/>
    </xf>
    <xf numFmtId="174" fontId="16" fillId="0" borderId="0" xfId="0" applyNumberFormat="1" applyFont="1" applyAlignment="1">
      <alignment horizontal="left"/>
    </xf>
    <xf numFmtId="0" fontId="23" fillId="0" borderId="2" xfId="0" applyFont="1" applyBorder="1" applyAlignment="1">
      <alignment horizontal="center" vertical="center"/>
    </xf>
    <xf numFmtId="49" fontId="23" fillId="0" borderId="2" xfId="0" applyNumberFormat="1" applyFont="1" applyBorder="1" applyAlignment="1">
      <alignment horizontal="center" vertical="center" wrapText="1"/>
    </xf>
    <xf numFmtId="0" fontId="23" fillId="0" borderId="40" xfId="0" applyFont="1" applyBorder="1"/>
    <xf numFmtId="0" fontId="23" fillId="0" borderId="0" xfId="0" applyFont="1"/>
    <xf numFmtId="0" fontId="23" fillId="0" borderId="42" xfId="0" applyFont="1" applyBorder="1" applyAlignment="1">
      <alignment horizontal="left"/>
    </xf>
    <xf numFmtId="0" fontId="23" fillId="0" borderId="14" xfId="0" applyFont="1" applyBorder="1" applyAlignment="1">
      <alignment horizontal="left"/>
    </xf>
    <xf numFmtId="178" fontId="16" fillId="0" borderId="0" xfId="0" applyNumberFormat="1" applyFont="1" applyAlignment="1">
      <alignment horizontal="left"/>
    </xf>
    <xf numFmtId="164" fontId="32" fillId="5" borderId="52" xfId="1" applyFont="1" applyFill="1" applyBorder="1" applyAlignment="1" applyProtection="1">
      <alignment horizontal="center" vertical="center" wrapText="1"/>
    </xf>
    <xf numFmtId="164" fontId="32" fillId="5" borderId="51" xfId="1" applyFont="1" applyFill="1" applyBorder="1" applyAlignment="1" applyProtection="1">
      <alignment horizontal="center" vertical="center" wrapText="1"/>
    </xf>
    <xf numFmtId="164" fontId="32" fillId="5" borderId="57" xfId="1" applyFont="1" applyFill="1" applyBorder="1" applyAlignment="1" applyProtection="1">
      <alignment horizontal="center" vertical="center" wrapText="1"/>
    </xf>
    <xf numFmtId="179" fontId="32" fillId="5" borderId="52" xfId="0" applyNumberFormat="1" applyFont="1" applyFill="1" applyBorder="1" applyAlignment="1">
      <alignment horizontal="center" vertical="center" wrapText="1"/>
    </xf>
    <xf numFmtId="179" fontId="32" fillId="5" borderId="57" xfId="0" applyNumberFormat="1" applyFont="1" applyFill="1" applyBorder="1" applyAlignment="1">
      <alignment horizontal="center" vertical="center" wrapText="1"/>
    </xf>
    <xf numFmtId="0" fontId="32" fillId="5" borderId="52" xfId="0" applyFont="1" applyFill="1" applyBorder="1" applyAlignment="1">
      <alignment horizontal="center" vertical="center" wrapText="1"/>
    </xf>
    <xf numFmtId="0" fontId="32" fillId="5" borderId="51" xfId="0" applyFont="1" applyFill="1" applyBorder="1" applyAlignment="1">
      <alignment horizontal="center" vertical="center" wrapText="1"/>
    </xf>
    <xf numFmtId="0" fontId="32" fillId="5" borderId="57" xfId="0" applyFont="1" applyFill="1" applyBorder="1" applyAlignment="1">
      <alignment horizontal="center" vertical="center" wrapText="1"/>
    </xf>
    <xf numFmtId="49" fontId="32" fillId="8" borderId="52" xfId="0" applyNumberFormat="1" applyFont="1" applyFill="1" applyBorder="1" applyAlignment="1">
      <alignment horizontal="center" vertical="center" wrapText="1"/>
    </xf>
    <xf numFmtId="49" fontId="32" fillId="8" borderId="51" xfId="0" applyNumberFormat="1" applyFont="1" applyFill="1" applyBorder="1" applyAlignment="1">
      <alignment horizontal="center" vertical="center" wrapText="1"/>
    </xf>
    <xf numFmtId="49" fontId="32" fillId="8" borderId="57" xfId="0" applyNumberFormat="1" applyFont="1" applyFill="1" applyBorder="1" applyAlignment="1">
      <alignment horizontal="center" vertical="center" wrapText="1"/>
    </xf>
    <xf numFmtId="181" fontId="32" fillId="5" borderId="52" xfId="0" applyNumberFormat="1" applyFont="1" applyFill="1" applyBorder="1" applyAlignment="1" applyProtection="1">
      <alignment horizontal="center" vertical="center" wrapText="1"/>
      <protection locked="0"/>
    </xf>
    <xf numFmtId="181" fontId="32" fillId="5" borderId="51" xfId="0" applyNumberFormat="1" applyFont="1" applyFill="1" applyBorder="1" applyAlignment="1" applyProtection="1">
      <alignment horizontal="center" vertical="center" wrapText="1"/>
      <protection locked="0"/>
    </xf>
    <xf numFmtId="164" fontId="32" fillId="5" borderId="60" xfId="1" applyFont="1" applyFill="1" applyBorder="1" applyAlignment="1" applyProtection="1">
      <alignment horizontal="center" vertical="center" wrapText="1"/>
    </xf>
    <xf numFmtId="164" fontId="32" fillId="5" borderId="59" xfId="1" applyFont="1" applyFill="1" applyBorder="1" applyAlignment="1" applyProtection="1">
      <alignment horizontal="center" vertical="center" wrapText="1"/>
    </xf>
    <xf numFmtId="164" fontId="32" fillId="5" borderId="58" xfId="1" applyFont="1" applyFill="1" applyBorder="1" applyAlignment="1" applyProtection="1">
      <alignment horizontal="center" vertical="center" wrapText="1"/>
    </xf>
    <xf numFmtId="186" fontId="49" fillId="21" borderId="40" xfId="1" applyNumberFormat="1" applyFont="1" applyFill="1" applyBorder="1" applyAlignment="1" applyProtection="1">
      <alignment horizontal="center" vertical="center"/>
    </xf>
    <xf numFmtId="186" fontId="49" fillId="21" borderId="92" xfId="1" applyNumberFormat="1" applyFont="1" applyFill="1" applyBorder="1" applyAlignment="1" applyProtection="1">
      <alignment horizontal="center" vertical="center"/>
    </xf>
    <xf numFmtId="2" fontId="49" fillId="21" borderId="47" xfId="0" applyNumberFormat="1" applyFont="1" applyFill="1" applyBorder="1" applyAlignment="1">
      <alignment horizontal="center" vertical="center"/>
    </xf>
    <xf numFmtId="2" fontId="49" fillId="21" borderId="91" xfId="0" applyNumberFormat="1" applyFont="1" applyFill="1" applyBorder="1" applyAlignment="1">
      <alignment horizontal="center" vertical="center"/>
    </xf>
    <xf numFmtId="164" fontId="49" fillId="21" borderId="85" xfId="1" applyFont="1" applyFill="1" applyBorder="1" applyAlignment="1" applyProtection="1">
      <alignment horizontal="center" vertical="center"/>
    </xf>
    <xf numFmtId="164" fontId="49" fillId="21" borderId="47" xfId="1" applyFont="1" applyFill="1" applyBorder="1" applyAlignment="1" applyProtection="1">
      <alignment horizontal="center" vertical="center"/>
    </xf>
    <xf numFmtId="164" fontId="49" fillId="21" borderId="91" xfId="1" applyFont="1" applyFill="1" applyBorder="1" applyAlignment="1" applyProtection="1">
      <alignment horizontal="center" vertical="center"/>
    </xf>
    <xf numFmtId="0" fontId="43" fillId="21" borderId="72" xfId="0" applyFont="1" applyFill="1" applyBorder="1" applyAlignment="1" applyProtection="1">
      <alignment horizontal="center" vertical="center" wrapText="1"/>
      <protection locked="0"/>
    </xf>
    <xf numFmtId="0" fontId="43" fillId="21" borderId="90" xfId="0" applyFont="1" applyFill="1" applyBorder="1" applyAlignment="1" applyProtection="1">
      <alignment horizontal="center" vertical="center" wrapText="1"/>
      <protection locked="0"/>
    </xf>
    <xf numFmtId="189" fontId="49" fillId="21" borderId="40" xfId="1" applyNumberFormat="1" applyFont="1" applyFill="1" applyBorder="1" applyAlignment="1" applyProtection="1">
      <alignment horizontal="center" vertical="center"/>
    </xf>
    <xf numFmtId="189" fontId="49" fillId="21" borderId="92" xfId="1" applyNumberFormat="1" applyFont="1" applyFill="1" applyBorder="1" applyAlignment="1" applyProtection="1">
      <alignment horizontal="center" vertical="center"/>
    </xf>
    <xf numFmtId="186" fontId="47" fillId="15" borderId="85" xfId="1" applyNumberFormat="1" applyFont="1" applyFill="1" applyBorder="1" applyAlignment="1" applyProtection="1">
      <alignment horizontal="center" vertical="center"/>
    </xf>
    <xf numFmtId="186" fontId="47" fillId="15" borderId="47" xfId="1" applyNumberFormat="1" applyFont="1" applyFill="1" applyBorder="1" applyAlignment="1" applyProtection="1">
      <alignment horizontal="center" vertical="center"/>
    </xf>
    <xf numFmtId="186" fontId="47" fillId="15" borderId="78" xfId="1" applyNumberFormat="1" applyFont="1" applyFill="1" applyBorder="1" applyAlignment="1" applyProtection="1">
      <alignment horizontal="center" vertical="center"/>
    </xf>
    <xf numFmtId="164" fontId="47" fillId="15" borderId="85" xfId="1" applyFont="1" applyFill="1" applyBorder="1" applyAlignment="1" applyProtection="1">
      <alignment horizontal="center" vertical="center"/>
    </xf>
    <xf numFmtId="164" fontId="47" fillId="15" borderId="47" xfId="1" applyFont="1" applyFill="1" applyBorder="1" applyAlignment="1" applyProtection="1">
      <alignment horizontal="center" vertical="center"/>
    </xf>
    <xf numFmtId="164" fontId="47" fillId="15" borderId="78" xfId="1" applyFont="1" applyFill="1" applyBorder="1" applyAlignment="1" applyProtection="1">
      <alignment horizontal="center" vertical="center"/>
    </xf>
    <xf numFmtId="186" fontId="46" fillId="12" borderId="85" xfId="1" applyNumberFormat="1" applyFont="1" applyFill="1" applyBorder="1" applyAlignment="1" applyProtection="1">
      <alignment horizontal="center" vertical="center"/>
      <protection locked="0"/>
    </xf>
    <xf numFmtId="186" fontId="46" fillId="12" borderId="47" xfId="1" applyNumberFormat="1" applyFont="1" applyFill="1" applyBorder="1" applyAlignment="1" applyProtection="1">
      <alignment horizontal="center" vertical="center"/>
      <protection locked="0"/>
    </xf>
    <xf numFmtId="186" fontId="46" fillId="12" borderId="78" xfId="1" applyNumberFormat="1" applyFont="1" applyFill="1" applyBorder="1" applyAlignment="1" applyProtection="1">
      <alignment horizontal="center" vertical="center"/>
      <protection locked="0"/>
    </xf>
    <xf numFmtId="186" fontId="47" fillId="12" borderId="85" xfId="1" applyNumberFormat="1" applyFont="1" applyFill="1" applyBorder="1" applyAlignment="1" applyProtection="1">
      <alignment horizontal="center" vertical="center"/>
    </xf>
    <xf numFmtId="0" fontId="47" fillId="0" borderId="47" xfId="0" applyFont="1" applyBorder="1"/>
    <xf numFmtId="0" fontId="47" fillId="0" borderId="78" xfId="0" applyFont="1" applyBorder="1"/>
    <xf numFmtId="2" fontId="47" fillId="12" borderId="85" xfId="0" applyNumberFormat="1" applyFont="1" applyFill="1" applyBorder="1" applyAlignment="1">
      <alignment horizontal="center" vertical="center"/>
    </xf>
    <xf numFmtId="2" fontId="47" fillId="12" borderId="47" xfId="0" applyNumberFormat="1" applyFont="1" applyFill="1" applyBorder="1" applyAlignment="1">
      <alignment horizontal="center" vertical="center"/>
    </xf>
    <xf numFmtId="2" fontId="47" fillId="12" borderId="78" xfId="0" applyNumberFormat="1" applyFont="1" applyFill="1" applyBorder="1" applyAlignment="1">
      <alignment horizontal="center" vertical="center"/>
    </xf>
    <xf numFmtId="186" fontId="49" fillId="20" borderId="84" xfId="1" applyNumberFormat="1" applyFont="1" applyFill="1" applyBorder="1" applyAlignment="1" applyProtection="1">
      <alignment horizontal="center" vertical="center"/>
    </xf>
    <xf numFmtId="186" fontId="49" fillId="20" borderId="40" xfId="1" applyNumberFormat="1" applyFont="1" applyFill="1" applyBorder="1" applyAlignment="1" applyProtection="1">
      <alignment horizontal="center" vertical="center"/>
    </xf>
    <xf numFmtId="186" fontId="49" fillId="20" borderId="76" xfId="1" applyNumberFormat="1" applyFont="1" applyFill="1" applyBorder="1" applyAlignment="1" applyProtection="1">
      <alignment horizontal="center" vertical="center"/>
    </xf>
    <xf numFmtId="2" fontId="49" fillId="20" borderId="85" xfId="0" applyNumberFormat="1" applyFont="1" applyFill="1" applyBorder="1" applyAlignment="1">
      <alignment horizontal="center" vertical="center"/>
    </xf>
    <xf numFmtId="2" fontId="49" fillId="20" borderId="47" xfId="0" applyNumberFormat="1" applyFont="1" applyFill="1" applyBorder="1" applyAlignment="1">
      <alignment horizontal="center" vertical="center"/>
    </xf>
    <xf numFmtId="2" fontId="49" fillId="20" borderId="78" xfId="0" applyNumberFormat="1" applyFont="1" applyFill="1" applyBorder="1" applyAlignment="1">
      <alignment horizontal="center" vertical="center"/>
    </xf>
    <xf numFmtId="0" fontId="43" fillId="9" borderId="81" xfId="0" applyFont="1" applyFill="1" applyBorder="1" applyAlignment="1" applyProtection="1">
      <alignment horizontal="center" vertical="center" wrapText="1"/>
      <protection locked="0"/>
    </xf>
    <xf numFmtId="0" fontId="43" fillId="9" borderId="72" xfId="0" applyFont="1" applyFill="1" applyBorder="1" applyAlignment="1" applyProtection="1">
      <alignment horizontal="center" vertical="center" wrapText="1"/>
      <protection locked="0"/>
    </xf>
    <xf numFmtId="0" fontId="43" fillId="9" borderId="75" xfId="0" applyFont="1" applyFill="1" applyBorder="1" applyAlignment="1" applyProtection="1">
      <alignment horizontal="center" vertical="center" wrapText="1"/>
      <protection locked="0"/>
    </xf>
    <xf numFmtId="189" fontId="47" fillId="12" borderId="85" xfId="1" applyNumberFormat="1" applyFont="1" applyFill="1" applyBorder="1" applyAlignment="1" applyProtection="1">
      <alignment horizontal="center" vertical="center"/>
    </xf>
    <xf numFmtId="189" fontId="47" fillId="12" borderId="47" xfId="1" applyNumberFormat="1" applyFont="1" applyFill="1" applyBorder="1" applyAlignment="1" applyProtection="1">
      <alignment horizontal="center" vertical="center"/>
    </xf>
    <xf numFmtId="189" fontId="47" fillId="12" borderId="78" xfId="1" applyNumberFormat="1" applyFont="1" applyFill="1" applyBorder="1" applyAlignment="1" applyProtection="1">
      <alignment horizontal="center" vertical="center"/>
    </xf>
    <xf numFmtId="186" fontId="49" fillId="20" borderId="85" xfId="1" applyNumberFormat="1" applyFont="1" applyFill="1" applyBorder="1" applyAlignment="1" applyProtection="1">
      <alignment horizontal="center" vertical="center"/>
    </xf>
    <xf numFmtId="186" fontId="49" fillId="20" borderId="47" xfId="1" applyNumberFormat="1" applyFont="1" applyFill="1" applyBorder="1" applyAlignment="1" applyProtection="1">
      <alignment horizontal="center" vertical="center"/>
    </xf>
    <xf numFmtId="186" fontId="49" fillId="20" borderId="78" xfId="1" applyNumberFormat="1" applyFont="1" applyFill="1" applyBorder="1" applyAlignment="1" applyProtection="1">
      <alignment horizontal="center" vertical="center"/>
    </xf>
    <xf numFmtId="164" fontId="49" fillId="20" borderId="85" xfId="1" applyFont="1" applyFill="1" applyBorder="1" applyAlignment="1" applyProtection="1">
      <alignment horizontal="center" vertical="center"/>
    </xf>
    <xf numFmtId="164" fontId="49" fillId="20" borderId="47" xfId="1" applyFont="1" applyFill="1" applyBorder="1" applyAlignment="1" applyProtection="1">
      <alignment horizontal="center" vertical="center"/>
    </xf>
    <xf numFmtId="164" fontId="49" fillId="20" borderId="78" xfId="1" applyFont="1" applyFill="1" applyBorder="1" applyAlignment="1" applyProtection="1">
      <alignment horizontal="center" vertical="center"/>
    </xf>
    <xf numFmtId="0" fontId="43" fillId="20" borderId="81" xfId="0" applyFont="1" applyFill="1" applyBorder="1" applyAlignment="1" applyProtection="1">
      <alignment horizontal="center" vertical="center" wrapText="1"/>
      <protection locked="0"/>
    </xf>
    <xf numFmtId="0" fontId="43" fillId="20" borderId="72" xfId="0" applyFont="1" applyFill="1" applyBorder="1" applyAlignment="1" applyProtection="1">
      <alignment horizontal="center" vertical="center" wrapText="1"/>
      <protection locked="0"/>
    </xf>
    <xf numFmtId="0" fontId="43" fillId="20" borderId="75" xfId="0" applyFont="1" applyFill="1" applyBorder="1" applyAlignment="1" applyProtection="1">
      <alignment horizontal="center" vertical="center" wrapText="1"/>
      <protection locked="0"/>
    </xf>
    <xf numFmtId="189" fontId="49" fillId="20" borderId="84" xfId="1" applyNumberFormat="1" applyFont="1" applyFill="1" applyBorder="1" applyAlignment="1" applyProtection="1">
      <alignment horizontal="center" vertical="center"/>
    </xf>
    <xf numFmtId="189" fontId="49" fillId="20" borderId="40" xfId="1" applyNumberFormat="1" applyFont="1" applyFill="1" applyBorder="1" applyAlignment="1" applyProtection="1">
      <alignment horizontal="center" vertical="center"/>
    </xf>
    <xf numFmtId="189" fontId="49" fillId="20" borderId="76" xfId="1" applyNumberFormat="1" applyFont="1" applyFill="1" applyBorder="1" applyAlignment="1" applyProtection="1">
      <alignment horizontal="center" vertical="center"/>
    </xf>
    <xf numFmtId="186" fontId="47" fillId="12" borderId="85" xfId="1" applyNumberFormat="1" applyFont="1" applyFill="1" applyBorder="1" applyAlignment="1" applyProtection="1">
      <alignment horizontal="center" vertical="center"/>
      <protection locked="0"/>
    </xf>
    <xf numFmtId="186" fontId="47" fillId="12" borderId="47" xfId="1" applyNumberFormat="1" applyFont="1" applyFill="1" applyBorder="1" applyAlignment="1" applyProtection="1">
      <alignment horizontal="center" vertical="center"/>
      <protection locked="0"/>
    </xf>
    <xf numFmtId="186" fontId="47" fillId="12" borderId="78" xfId="1" applyNumberFormat="1" applyFont="1" applyFill="1" applyBorder="1" applyAlignment="1" applyProtection="1">
      <alignment horizontal="center" vertical="center"/>
      <protection locked="0"/>
    </xf>
    <xf numFmtId="189" fontId="47" fillId="0" borderId="47" xfId="0" applyNumberFormat="1" applyFont="1" applyBorder="1"/>
    <xf numFmtId="189" fontId="47" fillId="0" borderId="78" xfId="0" applyNumberFormat="1" applyFont="1" applyBorder="1"/>
    <xf numFmtId="189" fontId="49" fillId="20" borderId="85" xfId="1" applyNumberFormat="1" applyFont="1" applyFill="1" applyBorder="1" applyAlignment="1" applyProtection="1">
      <alignment horizontal="center" vertical="center"/>
    </xf>
    <xf numFmtId="189" fontId="49" fillId="20" borderId="47" xfId="1" applyNumberFormat="1" applyFont="1" applyFill="1" applyBorder="1" applyAlignment="1" applyProtection="1">
      <alignment horizontal="center" vertical="center"/>
    </xf>
    <xf numFmtId="189" fontId="49" fillId="20" borderId="78" xfId="1" applyNumberFormat="1" applyFont="1" applyFill="1" applyBorder="1" applyAlignment="1" applyProtection="1">
      <alignment horizontal="center" vertical="center"/>
    </xf>
    <xf numFmtId="186" fontId="43" fillId="13" borderId="64" xfId="1" applyNumberFormat="1" applyFont="1" applyFill="1" applyBorder="1" applyAlignment="1" applyProtection="1">
      <alignment horizontal="center" vertical="center" wrapText="1"/>
    </xf>
    <xf numFmtId="186" fontId="43" fillId="13" borderId="40" xfId="1" applyNumberFormat="1" applyFont="1" applyFill="1" applyBorder="1" applyAlignment="1" applyProtection="1">
      <alignment horizontal="center" vertical="center" wrapText="1"/>
    </xf>
    <xf numFmtId="186" fontId="43" fillId="13" borderId="76" xfId="1" applyNumberFormat="1" applyFont="1" applyFill="1" applyBorder="1" applyAlignment="1" applyProtection="1">
      <alignment horizontal="center" vertical="center" wrapText="1"/>
    </xf>
    <xf numFmtId="180" fontId="43" fillId="10" borderId="40" xfId="0" applyNumberFormat="1" applyFont="1" applyFill="1" applyBorder="1" applyAlignment="1">
      <alignment horizontal="center" vertical="center" wrapText="1"/>
    </xf>
    <xf numFmtId="180" fontId="43" fillId="10" borderId="23" xfId="0" applyNumberFormat="1" applyFont="1" applyFill="1" applyBorder="1" applyAlignment="1">
      <alignment horizontal="center" vertical="center" wrapText="1"/>
    </xf>
    <xf numFmtId="180" fontId="43" fillId="10" borderId="76" xfId="0" applyNumberFormat="1" applyFont="1" applyFill="1" applyBorder="1" applyAlignment="1">
      <alignment horizontal="center" vertical="center" wrapText="1"/>
    </xf>
    <xf numFmtId="180" fontId="43" fillId="10" borderId="77" xfId="0" applyNumberFormat="1" applyFont="1" applyFill="1" applyBorder="1" applyAlignment="1">
      <alignment horizontal="center" vertical="center" wrapText="1"/>
    </xf>
    <xf numFmtId="188" fontId="44" fillId="11" borderId="47" xfId="0" applyNumberFormat="1" applyFont="1" applyFill="1" applyBorder="1" applyAlignment="1">
      <alignment horizontal="center" vertical="center"/>
    </xf>
    <xf numFmtId="188" fontId="44" fillId="11" borderId="78" xfId="0" applyNumberFormat="1" applyFont="1" applyFill="1" applyBorder="1" applyAlignment="1">
      <alignment horizontal="center" vertical="center"/>
    </xf>
    <xf numFmtId="0" fontId="43" fillId="12" borderId="4" xfId="0" applyFont="1" applyFill="1" applyBorder="1" applyAlignment="1">
      <alignment horizontal="center" vertical="center" wrapText="1"/>
    </xf>
    <xf numFmtId="0" fontId="43" fillId="12" borderId="78" xfId="0" applyFont="1" applyFill="1" applyBorder="1" applyAlignment="1">
      <alignment horizontal="center" vertical="center" wrapText="1"/>
    </xf>
    <xf numFmtId="0" fontId="45" fillId="12" borderId="4" xfId="0" applyFont="1" applyFill="1" applyBorder="1" applyAlignment="1">
      <alignment horizontal="center" vertical="center" wrapText="1"/>
    </xf>
    <xf numFmtId="0" fontId="45" fillId="12" borderId="78" xfId="0" applyFont="1" applyFill="1" applyBorder="1" applyAlignment="1">
      <alignment horizontal="center" vertical="center" wrapText="1"/>
    </xf>
    <xf numFmtId="0" fontId="43" fillId="9" borderId="63" xfId="0" applyFont="1" applyFill="1" applyBorder="1" applyAlignment="1">
      <alignment horizontal="center" vertical="center" wrapText="1"/>
    </xf>
    <xf numFmtId="0" fontId="43" fillId="9" borderId="72" xfId="0" applyFont="1" applyFill="1" applyBorder="1" applyAlignment="1">
      <alignment horizontal="center" vertical="center" wrapText="1"/>
    </xf>
    <xf numFmtId="0" fontId="43" fillId="9" borderId="75" xfId="0" applyFont="1" applyFill="1" applyBorder="1" applyAlignment="1">
      <alignment horizontal="center" vertical="center" wrapText="1"/>
    </xf>
    <xf numFmtId="0" fontId="43" fillId="10" borderId="64" xfId="0" applyFont="1" applyFill="1" applyBorder="1" applyAlignment="1">
      <alignment horizontal="center" vertical="center" wrapText="1"/>
    </xf>
    <xf numFmtId="0" fontId="43" fillId="10" borderId="65" xfId="0" applyFont="1" applyFill="1" applyBorder="1" applyAlignment="1">
      <alignment horizontal="center" vertical="center" wrapText="1"/>
    </xf>
    <xf numFmtId="185" fontId="43" fillId="12" borderId="67" xfId="0" applyNumberFormat="1" applyFont="1" applyFill="1" applyBorder="1" applyAlignment="1">
      <alignment horizontal="center" vertical="center" wrapText="1"/>
    </xf>
    <xf numFmtId="185" fontId="43" fillId="12" borderId="68" xfId="0" applyNumberFormat="1" applyFont="1" applyFill="1" applyBorder="1" applyAlignment="1">
      <alignment horizontal="center" vertical="center" wrapText="1"/>
    </xf>
    <xf numFmtId="185" fontId="43" fillId="12" borderId="69" xfId="0" applyNumberFormat="1" applyFont="1" applyFill="1" applyBorder="1" applyAlignment="1">
      <alignment horizontal="center" vertical="center" wrapText="1"/>
    </xf>
    <xf numFmtId="186" fontId="43" fillId="13" borderId="66" xfId="1" applyNumberFormat="1" applyFont="1" applyFill="1" applyBorder="1" applyAlignment="1" applyProtection="1">
      <alignment horizontal="center" vertical="center" wrapText="1"/>
    </xf>
    <xf numFmtId="186" fontId="43" fillId="13" borderId="47" xfId="1" applyNumberFormat="1" applyFont="1" applyFill="1" applyBorder="1" applyAlignment="1" applyProtection="1">
      <alignment horizontal="center" vertical="center" wrapText="1"/>
    </xf>
    <xf numFmtId="186" fontId="43" fillId="13" borderId="78" xfId="1" applyNumberFormat="1" applyFont="1" applyFill="1" applyBorder="1" applyAlignment="1" applyProtection="1">
      <alignment horizontal="center" vertical="center" wrapText="1"/>
    </xf>
    <xf numFmtId="0" fontId="43" fillId="12" borderId="4" xfId="0" applyFont="1" applyFill="1" applyBorder="1" applyAlignment="1" applyProtection="1">
      <alignment horizontal="center" vertical="center" wrapText="1"/>
      <protection locked="0"/>
    </xf>
    <xf numFmtId="0" fontId="43" fillId="12" borderId="78" xfId="0" applyFont="1" applyFill="1" applyBorder="1" applyAlignment="1" applyProtection="1">
      <alignment horizontal="center" vertical="center" wrapText="1"/>
      <protection locked="0"/>
    </xf>
    <xf numFmtId="0" fontId="45" fillId="12" borderId="4" xfId="0" applyFont="1" applyFill="1" applyBorder="1" applyAlignment="1" applyProtection="1">
      <alignment horizontal="center" vertical="center" wrapText="1"/>
      <protection locked="0"/>
    </xf>
    <xf numFmtId="0" fontId="45" fillId="12" borderId="78" xfId="0" applyFont="1" applyFill="1" applyBorder="1" applyAlignment="1" applyProtection="1">
      <alignment horizontal="center" vertical="center" wrapText="1"/>
      <protection locked="0"/>
    </xf>
    <xf numFmtId="164" fontId="43" fillId="13" borderId="66" xfId="1" applyFont="1" applyFill="1" applyBorder="1" applyAlignment="1" applyProtection="1">
      <alignment horizontal="center" vertical="center" wrapText="1"/>
    </xf>
    <xf numFmtId="164" fontId="43" fillId="13" borderId="47" xfId="1" applyFont="1" applyFill="1" applyBorder="1" applyAlignment="1" applyProtection="1">
      <alignment horizontal="center" vertical="center" wrapText="1"/>
    </xf>
    <xf numFmtId="164" fontId="43" fillId="13" borderId="78" xfId="1" applyFont="1" applyFill="1" applyBorder="1" applyAlignment="1" applyProtection="1">
      <alignment horizontal="center" vertical="center" wrapText="1"/>
    </xf>
    <xf numFmtId="0" fontId="43" fillId="10" borderId="70" xfId="0" applyFont="1" applyFill="1" applyBorder="1" applyAlignment="1">
      <alignment horizontal="center" vertical="center" wrapText="1"/>
    </xf>
    <xf numFmtId="0" fontId="43" fillId="10" borderId="73" xfId="0" applyFont="1" applyFill="1" applyBorder="1" applyAlignment="1">
      <alignment horizontal="center" vertical="center" wrapText="1"/>
    </xf>
    <xf numFmtId="0" fontId="43" fillId="10" borderId="79" xfId="0" applyFont="1" applyFill="1" applyBorder="1" applyAlignment="1">
      <alignment horizontal="center" vertical="center" wrapText="1"/>
    </xf>
    <xf numFmtId="185" fontId="43" fillId="12" borderId="67" xfId="0" applyNumberFormat="1" applyFont="1" applyFill="1" applyBorder="1" applyAlignment="1" applyProtection="1">
      <alignment horizontal="center" vertical="center" wrapText="1"/>
      <protection locked="0"/>
    </xf>
    <xf numFmtId="185" fontId="43" fillId="12" borderId="68" xfId="0" applyNumberFormat="1" applyFont="1" applyFill="1" applyBorder="1" applyAlignment="1" applyProtection="1">
      <alignment horizontal="center" vertical="center" wrapText="1"/>
      <protection locked="0"/>
    </xf>
    <xf numFmtId="185" fontId="43" fillId="12" borderId="69" xfId="0" applyNumberFormat="1" applyFont="1" applyFill="1" applyBorder="1" applyAlignment="1" applyProtection="1">
      <alignment horizontal="center" vertical="center" wrapText="1"/>
      <protection locked="0"/>
    </xf>
    <xf numFmtId="0" fontId="32" fillId="5" borderId="4" xfId="0" applyFont="1" applyFill="1" applyBorder="1" applyAlignment="1">
      <alignment horizontal="center" vertical="center" wrapText="1"/>
    </xf>
    <xf numFmtId="0" fontId="32" fillId="5" borderId="47" xfId="0" applyFont="1" applyFill="1" applyBorder="1" applyAlignment="1">
      <alignment horizontal="center" vertical="center" wrapText="1"/>
    </xf>
    <xf numFmtId="0" fontId="32" fillId="5" borderId="5" xfId="0" applyFont="1" applyFill="1" applyBorder="1" applyAlignment="1">
      <alignment horizontal="center" vertical="center" wrapText="1"/>
    </xf>
    <xf numFmtId="49" fontId="32" fillId="8" borderId="2" xfId="0" applyNumberFormat="1" applyFont="1" applyFill="1" applyBorder="1" applyAlignment="1">
      <alignment horizontal="center" vertical="center" wrapText="1"/>
    </xf>
    <xf numFmtId="164" fontId="32" fillId="5" borderId="4" xfId="1" applyFont="1" applyFill="1" applyBorder="1" applyAlignment="1" applyProtection="1">
      <alignment horizontal="center" vertical="center" wrapText="1"/>
    </xf>
    <xf numFmtId="164" fontId="32" fillId="5" borderId="47" xfId="1" applyFont="1" applyFill="1" applyBorder="1" applyAlignment="1" applyProtection="1">
      <alignment horizontal="center" vertical="center" wrapText="1"/>
    </xf>
    <xf numFmtId="179" fontId="32" fillId="5" borderId="4" xfId="0" applyNumberFormat="1" applyFont="1" applyFill="1" applyBorder="1" applyAlignment="1">
      <alignment horizontal="center" vertical="center" wrapText="1"/>
    </xf>
    <xf numFmtId="179" fontId="32" fillId="5" borderId="47" xfId="0" applyNumberFormat="1" applyFont="1" applyFill="1" applyBorder="1" applyAlignment="1">
      <alignment horizontal="center" vertical="center" wrapText="1"/>
    </xf>
    <xf numFmtId="179" fontId="32" fillId="5" borderId="5" xfId="0" applyNumberFormat="1" applyFont="1" applyFill="1" applyBorder="1" applyAlignment="1">
      <alignment horizontal="center" vertical="center" wrapText="1"/>
    </xf>
    <xf numFmtId="164" fontId="32" fillId="5" borderId="5" xfId="1" applyFont="1" applyFill="1" applyBorder="1" applyAlignment="1" applyProtection="1">
      <alignment horizontal="center" vertical="center" wrapText="1"/>
    </xf>
  </cellXfs>
  <cellStyles count="13">
    <cellStyle name="Comma" xfId="1" builtinId="3"/>
    <cellStyle name="Comma 10" xfId="6" xr:uid="{00000000-0005-0000-0000-000001000000}"/>
    <cellStyle name="Comma 2" xfId="3" xr:uid="{00000000-0005-0000-0000-000002000000}"/>
    <cellStyle name="Comma 2 2" xfId="12" xr:uid="{00000000-0005-0000-0000-000003000000}"/>
    <cellStyle name="Comma 3" xfId="9" xr:uid="{00000000-0005-0000-0000-000004000000}"/>
    <cellStyle name="Comma 4" xfId="4" xr:uid="{00000000-0005-0000-0000-000005000000}"/>
    <cellStyle name="Comma 5" xfId="11" xr:uid="{00000000-0005-0000-0000-000006000000}"/>
    <cellStyle name="Currency 2" xfId="7" xr:uid="{00000000-0005-0000-0000-000007000000}"/>
    <cellStyle name="Normal" xfId="0" builtinId="0"/>
    <cellStyle name="Normal 2" xfId="2" xr:uid="{00000000-0005-0000-0000-000009000000}"/>
    <cellStyle name="Normal 2 2" xfId="8" xr:uid="{00000000-0005-0000-0000-00000A000000}"/>
    <cellStyle name="Normal 3" xfId="10" xr:uid="{00000000-0005-0000-0000-00000B000000}"/>
    <cellStyle name="Normal 4" xfId="5" xr:uid="{00000000-0005-0000-0000-00000C000000}"/>
  </cellStyles>
  <dxfs count="2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protection locked="0" hidden="0"/>
    </dxf>
    <dxf>
      <numFmt numFmtId="30" formatCode="@"/>
      <alignment horizontal="center" vertical="bottom" textRotation="0" wrapText="0" indent="0" justifyLastLine="0" shrinkToFit="0" readingOrder="0"/>
      <protection locked="0" hidden="0"/>
    </dxf>
    <dxf>
      <numFmt numFmtId="0" formatCode="General"/>
      <alignment horizontal="left" vertical="bottom" textRotation="0" wrapText="0" indent="0" justifyLastLine="0" shrinkToFit="0" readingOrder="0"/>
      <protection locked="1" hidden="0"/>
    </dxf>
    <dxf>
      <numFmt numFmtId="30" formatCode="@"/>
      <alignment horizontal="center" vertical="bottom" textRotation="0" wrapText="0" relativeIndent="0" justifyLastLine="0" shrinkToFit="0" readingOrder="0"/>
      <protection locked="0" hidden="0"/>
    </dxf>
    <dxf>
      <numFmt numFmtId="30" formatCode="@"/>
      <alignment horizontal="center" vertical="bottom" textRotation="0" wrapText="0" relativeIndent="0" justifyLastLine="0" shrinkToFit="0" readingOrder="0"/>
      <protection locked="0" hidden="0"/>
    </dxf>
    <dxf>
      <numFmt numFmtId="173" formatCode="mm/dd/yy;@"/>
      <alignment horizontal="center" vertical="bottom" textRotation="0" wrapText="0" relativeIndent="0" justifyLastLine="0" shrinkToFit="0" readingOrder="0"/>
      <protection locked="0" hidden="0"/>
    </dxf>
    <dxf>
      <border outline="0">
        <top style="thin">
          <color rgb="FF000000"/>
        </top>
      </border>
    </dxf>
    <dxf>
      <protection locked="0" hidden="0"/>
    </dxf>
    <dxf>
      <border outline="0">
        <bottom style="thin">
          <color rgb="FF000000"/>
        </bottom>
      </border>
    </dxf>
    <dxf>
      <numFmt numFmtId="30" formatCode="@"/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Times New Roman"/>
        <scheme val="none"/>
      </font>
      <numFmt numFmtId="192" formatCode="#,##0.00_);\(#,##0.00\)"/>
      <alignment horizontal="general" vertical="center" textRotation="0" wrapText="0" relative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general" vertical="bottom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30" formatCode="@"/>
      <alignment horizontal="justify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91" formatCode="[$-3409]dd\-mmm\-yy;@"/>
      <alignment horizontal="center" vertical="center" textRotation="0" wrapText="0" relative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4" formatCode="_(* #,##0.00_);_(* \(#,##0.0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theme="9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3" formatCode="mm/dd/yy;@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Times New Roman"/>
        <scheme val="none"/>
      </font>
      <numFmt numFmtId="192" formatCode="#,##0.00_);\(#,##0.00\)"/>
      <alignment horizontal="general" vertical="center" textRotation="0" wrapText="0" relative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general" vertical="bottom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Bookman Old Style"/>
        <scheme val="none"/>
      </font>
      <numFmt numFmtId="30" formatCode="@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left" vertical="bottom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91" formatCode="[$-3409]dd\-mmm\-yy;@"/>
      <alignment horizontal="center" vertical="bottom" textRotation="0" wrapText="0" relative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91" formatCode="[$-3409]dd\-mmm\-yy;@"/>
      <alignment horizontal="center" vertical="bottom" textRotation="0" wrapText="0" relative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relative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fill>
        <patternFill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4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3" formatCode="mm/dd/yy;@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Times New Roman"/>
        <scheme val="none"/>
      </font>
      <numFmt numFmtId="192" formatCode="#,##0.00_);\(#,##0.00\)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fill>
        <patternFill>
          <fgColor indexed="64"/>
          <bgColor theme="9" tint="0.59999389629810485"/>
        </patternFill>
      </fill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91" formatCode="[$-3409]dd\-mmm\-yy;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91" formatCode="[$-3409]dd\-mmm\-yy;@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center" textRotation="0" wrapText="0" indent="0" justifyLastLine="0" shrinkToFit="0" readingOrder="0"/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fill>
        <patternFill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general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73" formatCode="mm/dd/yy;@"/>
      <fill>
        <patternFill>
          <fgColor indexed="64"/>
          <bgColor theme="9" tint="0.59999389629810485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1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73" formatCode="mm/dd/yy;@"/>
      <alignment horizontal="center" vertical="center" textRotation="0" wrapText="0" indent="0" justifyLastLine="0" shrinkToFit="1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ck">
          <color indexed="64"/>
        </right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Times New Roman"/>
        <scheme val="none"/>
      </font>
      <numFmt numFmtId="192" formatCode="#,##0.00_);\(#,##0.00\)"/>
      <alignment horizontal="general" vertical="center" textRotation="0" wrapText="0" relative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fill>
        <patternFill patternType="solid">
          <fgColor indexed="64"/>
          <bgColor theme="9" tint="0.59999389629810485"/>
        </patternFill>
      </fill>
      <alignment horizontal="general" vertical="bottom" textRotation="0" wrapText="0" relative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relative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91" formatCode="[$-3409]dd\-mmm\-yy;@"/>
      <alignment horizontal="center" vertical="bottom" textRotation="0" wrapText="0" relative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alignment horizontal="left" vertical="bottom" textRotation="0" wrapText="0" relative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>
        <top style="thin">
          <color indexed="64"/>
        </top>
        <vertical/>
        <horizontal/>
      </border>
    </dxf>
    <dxf>
      <font>
        <strike val="0"/>
        <outline val="0"/>
        <shadow val="0"/>
        <u val="none"/>
        <vertAlign val="baseline"/>
        <color auto="1"/>
      </font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scheme val="minor"/>
      </font>
    </dxf>
    <dxf>
      <border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1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1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_(* #,##0.00_);_(* \(#,##0.00\);_(* &quot;-&quot;??_);_(@_)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relative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relativeIndent="1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font>
        <strike val="0"/>
        <outline val="0"/>
        <shadow val="0"/>
        <u val="none"/>
        <vertAlign val="baseline"/>
        <name val="Calibri"/>
        <scheme val="minor"/>
      </font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alibri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</dxfs>
  <tableStyles count="0" defaultTableStyle="TableStyleMedium9" defaultPivotStyle="PivotStyleLight16"/>
  <colors>
    <mruColors>
      <color rgb="FFFF99FF"/>
      <color rgb="FFFF5050"/>
      <color rgb="FF008000"/>
      <color rgb="FF663300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1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2057400</xdr:colOff>
      <xdr:row>0</xdr:row>
      <xdr:rowOff>9525</xdr:rowOff>
    </xdr:from>
    <xdr:to>
      <xdr:col>0</xdr:col>
      <xdr:colOff>2819400</xdr:colOff>
      <xdr:row>2</xdr:row>
      <xdr:rowOff>144734</xdr:rowOff>
    </xdr:to>
    <xdr:pic>
      <xdr:nvPicPr>
        <xdr:cNvPr id="2" name="Picture 1" descr="nia-log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9525"/>
          <a:ext cx="762000" cy="687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2076450</xdr:colOff>
      <xdr:row>0</xdr:row>
      <xdr:rowOff>38100</xdr:rowOff>
    </xdr:from>
    <xdr:to>
      <xdr:col>0</xdr:col>
      <xdr:colOff>2800350</xdr:colOff>
      <xdr:row>2</xdr:row>
      <xdr:rowOff>131956</xdr:rowOff>
    </xdr:to>
    <xdr:pic>
      <xdr:nvPicPr>
        <xdr:cNvPr id="3" name="Picture 2" descr="nia-logo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38100"/>
          <a:ext cx="723900" cy="741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2057400</xdr:colOff>
      <xdr:row>1</xdr:row>
      <xdr:rowOff>9525</xdr:rowOff>
    </xdr:from>
    <xdr:to>
      <xdr:col>0</xdr:col>
      <xdr:colOff>2819400</xdr:colOff>
      <xdr:row>3</xdr:row>
      <xdr:rowOff>144734</xdr:rowOff>
    </xdr:to>
    <xdr:pic>
      <xdr:nvPicPr>
        <xdr:cNvPr id="5" name="Picture 4" descr="nia-logo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9525"/>
          <a:ext cx="762000" cy="687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76200</xdr:colOff>
      <xdr:row>0</xdr:row>
      <xdr:rowOff>95250</xdr:rowOff>
    </xdr:from>
    <xdr:to>
      <xdr:col>2</xdr:col>
      <xdr:colOff>114300</xdr:colOff>
      <xdr:row>2</xdr:row>
      <xdr:rowOff>160531</xdr:rowOff>
    </xdr:to>
    <xdr:pic>
      <xdr:nvPicPr>
        <xdr:cNvPr id="6" name="Picture 5" descr="nia-logo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5250"/>
          <a:ext cx="723900" cy="570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2057400</xdr:colOff>
      <xdr:row>1</xdr:row>
      <xdr:rowOff>9525</xdr:rowOff>
    </xdr:from>
    <xdr:to>
      <xdr:col>0</xdr:col>
      <xdr:colOff>2819400</xdr:colOff>
      <xdr:row>4</xdr:row>
      <xdr:rowOff>144734</xdr:rowOff>
    </xdr:to>
    <xdr:pic>
      <xdr:nvPicPr>
        <xdr:cNvPr id="4" name="Picture 3" descr="nia-logo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9525"/>
          <a:ext cx="762000" cy="687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691596</xdr:colOff>
      <xdr:row>0</xdr:row>
      <xdr:rowOff>52915</xdr:rowOff>
    </xdr:from>
    <xdr:to>
      <xdr:col>1</xdr:col>
      <xdr:colOff>455083</xdr:colOff>
      <xdr:row>2</xdr:row>
      <xdr:rowOff>190499</xdr:rowOff>
    </xdr:to>
    <xdr:pic>
      <xdr:nvPicPr>
        <xdr:cNvPr id="5" name="Picture 4" descr="nia-logo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96" y="52915"/>
          <a:ext cx="790070" cy="603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512969</xdr:colOff>
      <xdr:row>0</xdr:row>
      <xdr:rowOff>1</xdr:rowOff>
    </xdr:from>
    <xdr:to>
      <xdr:col>7</xdr:col>
      <xdr:colOff>619126</xdr:colOff>
      <xdr:row>2</xdr:row>
      <xdr:rowOff>179886</xdr:rowOff>
    </xdr:to>
    <xdr:pic>
      <xdr:nvPicPr>
        <xdr:cNvPr id="2" name="Picture 1" descr="nia-logo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0744" y="1"/>
          <a:ext cx="725282" cy="741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440532</xdr:colOff>
      <xdr:row>0</xdr:row>
      <xdr:rowOff>0</xdr:rowOff>
    </xdr:from>
    <xdr:to>
      <xdr:col>8</xdr:col>
      <xdr:colOff>141877</xdr:colOff>
      <xdr:row>2</xdr:row>
      <xdr:rowOff>144166</xdr:rowOff>
    </xdr:to>
    <xdr:pic>
      <xdr:nvPicPr>
        <xdr:cNvPr id="2" name="Picture 1" descr="nia-logo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1" y="0"/>
          <a:ext cx="725282" cy="751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464344</xdr:colOff>
      <xdr:row>0</xdr:row>
      <xdr:rowOff>0</xdr:rowOff>
    </xdr:from>
    <xdr:to>
      <xdr:col>8</xdr:col>
      <xdr:colOff>309562</xdr:colOff>
      <xdr:row>4</xdr:row>
      <xdr:rowOff>94632</xdr:rowOff>
    </xdr:to>
    <xdr:pic>
      <xdr:nvPicPr>
        <xdr:cNvPr id="2" name="Picture 1" descr="nia-logo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6469" y="0"/>
          <a:ext cx="869156" cy="91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7</xdr:row>
      <xdr:rowOff>76200</xdr:rowOff>
    </xdr:from>
    <xdr:to>
      <xdr:col>2</xdr:col>
      <xdr:colOff>66675</xdr:colOff>
      <xdr:row>9</xdr:row>
      <xdr:rowOff>200025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 txBox="1"/>
      </xdr:nvSpPr>
      <xdr:spPr>
        <a:xfrm>
          <a:off x="47625" y="1562100"/>
          <a:ext cx="379095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900">
              <a:ln>
                <a:noFill/>
              </a:ln>
              <a:latin typeface="+mj-lt"/>
            </a:rPr>
            <a:t>Office</a:t>
          </a:r>
          <a:r>
            <a:rPr lang="en-US" sz="900" baseline="0">
              <a:ln>
                <a:noFill/>
              </a:ln>
              <a:latin typeface="+mj-lt"/>
            </a:rPr>
            <a:t>  Address	: Tambubong, San Rafael, Bulacan</a:t>
          </a:r>
        </a:p>
        <a:p>
          <a:r>
            <a:rPr lang="en-US" sz="900" baseline="0">
              <a:ln>
                <a:noFill/>
              </a:ln>
              <a:latin typeface="+mj-lt"/>
            </a:rPr>
            <a:t>Telephone Nos.	: (044) 766-2467, 766-4839, 816-6808</a:t>
          </a:r>
        </a:p>
        <a:p>
          <a:r>
            <a:rPr lang="en-US" sz="900" baseline="0">
              <a:ln>
                <a:noFill/>
              </a:ln>
              <a:latin typeface="+mj-lt"/>
            </a:rPr>
            <a:t>Website	: www.region3.nia.gov.ph</a:t>
          </a:r>
          <a:endParaRPr lang="en-US" sz="900">
            <a:ln>
              <a:noFill/>
            </a:ln>
            <a:latin typeface="+mj-lt"/>
          </a:endParaRPr>
        </a:p>
      </xdr:txBody>
    </xdr:sp>
    <xdr:clientData/>
  </xdr:twoCellAnchor>
  <xdr:twoCellAnchor>
    <xdr:from>
      <xdr:col>3</xdr:col>
      <xdr:colOff>409575</xdr:colOff>
      <xdr:row>7</xdr:row>
      <xdr:rowOff>76200</xdr:rowOff>
    </xdr:from>
    <xdr:to>
      <xdr:col>4</xdr:col>
      <xdr:colOff>1247775</xdr:colOff>
      <xdr:row>9</xdr:row>
      <xdr:rowOff>190500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 txBox="1"/>
      </xdr:nvSpPr>
      <xdr:spPr>
        <a:xfrm>
          <a:off x="5486400" y="1562100"/>
          <a:ext cx="214312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900">
              <a:ln>
                <a:noFill/>
              </a:ln>
              <a:latin typeface="+mj-lt"/>
            </a:rPr>
            <a:t>E-mail Address</a:t>
          </a:r>
          <a:r>
            <a:rPr lang="en-US" sz="900" baseline="0">
              <a:ln>
                <a:noFill/>
              </a:ln>
              <a:latin typeface="+mj-lt"/>
            </a:rPr>
            <a:t>       : niar03@yahoo.com</a:t>
          </a:r>
          <a:endParaRPr lang="en-US" sz="900">
            <a:ln>
              <a:noFill/>
            </a:ln>
            <a:latin typeface="+mj-lt"/>
          </a:endParaRPr>
        </a:p>
        <a:p>
          <a:r>
            <a:rPr lang="en-US" sz="900">
              <a:ln>
                <a:noFill/>
              </a:ln>
              <a:latin typeface="+mj-lt"/>
            </a:rPr>
            <a:t>Telefax</a:t>
          </a:r>
          <a:r>
            <a:rPr lang="en-US" sz="900" baseline="0">
              <a:ln>
                <a:noFill/>
              </a:ln>
              <a:latin typeface="+mj-lt"/>
            </a:rPr>
            <a:t> No.	: (044) 766-2467</a:t>
          </a:r>
        </a:p>
        <a:p>
          <a:r>
            <a:rPr lang="en-US" sz="900" baseline="0">
              <a:ln>
                <a:noFill/>
              </a:ln>
              <a:latin typeface="+mj-lt"/>
            </a:rPr>
            <a:t>TIN No.	: 000-979-570-000</a:t>
          </a:r>
          <a:endParaRPr lang="en-US" sz="900">
            <a:ln>
              <a:noFill/>
            </a:ln>
            <a:latin typeface="+mj-lt"/>
          </a:endParaRPr>
        </a:p>
      </xdr:txBody>
    </xdr:sp>
    <xdr:clientData/>
  </xdr:twoCellAnchor>
  <xdr:twoCellAnchor editAs="absolute">
    <xdr:from>
      <xdr:col>0</xdr:col>
      <xdr:colOff>1152525</xdr:colOff>
      <xdr:row>0</xdr:row>
      <xdr:rowOff>0</xdr:rowOff>
    </xdr:from>
    <xdr:to>
      <xdr:col>0</xdr:col>
      <xdr:colOff>2009774</xdr:colOff>
      <xdr:row>3</xdr:row>
      <xdr:rowOff>171449</xdr:rowOff>
    </xdr:to>
    <xdr:pic>
      <xdr:nvPicPr>
        <xdr:cNvPr id="4" name="Picture 3" descr="nia-logo.png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52525" y="0"/>
          <a:ext cx="857249" cy="8572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7</xdr:row>
      <xdr:rowOff>76200</xdr:rowOff>
    </xdr:from>
    <xdr:to>
      <xdr:col>2</xdr:col>
      <xdr:colOff>66675</xdr:colOff>
      <xdr:row>9</xdr:row>
      <xdr:rowOff>200025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47625" y="1562100"/>
          <a:ext cx="432435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900">
              <a:ln>
                <a:noFill/>
              </a:ln>
              <a:latin typeface="+mj-lt"/>
            </a:rPr>
            <a:t>Office</a:t>
          </a:r>
          <a:r>
            <a:rPr lang="en-US" sz="900" baseline="0">
              <a:ln>
                <a:noFill/>
              </a:ln>
              <a:latin typeface="+mj-lt"/>
            </a:rPr>
            <a:t>  Address	: Tambubong, San Rafael, Bulacan</a:t>
          </a:r>
        </a:p>
        <a:p>
          <a:r>
            <a:rPr lang="en-US" sz="900" baseline="0">
              <a:ln>
                <a:noFill/>
              </a:ln>
              <a:latin typeface="+mj-lt"/>
            </a:rPr>
            <a:t>Telephone Nos.	: (044) 766-2467, 766-4839, 816-6808</a:t>
          </a:r>
        </a:p>
        <a:p>
          <a:r>
            <a:rPr lang="en-US" sz="900" baseline="0">
              <a:ln>
                <a:noFill/>
              </a:ln>
              <a:latin typeface="+mj-lt"/>
            </a:rPr>
            <a:t>Website	: www.region3.nia.gov.ph</a:t>
          </a:r>
          <a:endParaRPr lang="en-US" sz="900">
            <a:ln>
              <a:noFill/>
            </a:ln>
            <a:latin typeface="+mj-lt"/>
          </a:endParaRPr>
        </a:p>
      </xdr:txBody>
    </xdr:sp>
    <xdr:clientData/>
  </xdr:twoCellAnchor>
  <xdr:twoCellAnchor>
    <xdr:from>
      <xdr:col>3</xdr:col>
      <xdr:colOff>409575</xdr:colOff>
      <xdr:row>7</xdr:row>
      <xdr:rowOff>76200</xdr:rowOff>
    </xdr:from>
    <xdr:to>
      <xdr:col>4</xdr:col>
      <xdr:colOff>1247775</xdr:colOff>
      <xdr:row>9</xdr:row>
      <xdr:rowOff>190500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 txBox="1"/>
      </xdr:nvSpPr>
      <xdr:spPr>
        <a:xfrm>
          <a:off x="6019800" y="1562100"/>
          <a:ext cx="214312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900">
              <a:ln>
                <a:noFill/>
              </a:ln>
              <a:latin typeface="+mj-lt"/>
            </a:rPr>
            <a:t>E-mail Address</a:t>
          </a:r>
          <a:r>
            <a:rPr lang="en-US" sz="900" baseline="0">
              <a:ln>
                <a:noFill/>
              </a:ln>
              <a:latin typeface="+mj-lt"/>
            </a:rPr>
            <a:t>       : niar03@yahoo.com</a:t>
          </a:r>
          <a:endParaRPr lang="en-US" sz="900">
            <a:ln>
              <a:noFill/>
            </a:ln>
            <a:latin typeface="+mj-lt"/>
          </a:endParaRPr>
        </a:p>
        <a:p>
          <a:r>
            <a:rPr lang="en-US" sz="900">
              <a:ln>
                <a:noFill/>
              </a:ln>
              <a:latin typeface="+mj-lt"/>
            </a:rPr>
            <a:t>Telefax</a:t>
          </a:r>
          <a:r>
            <a:rPr lang="en-US" sz="900" baseline="0">
              <a:ln>
                <a:noFill/>
              </a:ln>
              <a:latin typeface="+mj-lt"/>
            </a:rPr>
            <a:t> No.	: (044) 766-2467</a:t>
          </a:r>
        </a:p>
        <a:p>
          <a:r>
            <a:rPr lang="en-US" sz="900" baseline="0">
              <a:ln>
                <a:noFill/>
              </a:ln>
              <a:latin typeface="+mj-lt"/>
            </a:rPr>
            <a:t>TIN No.	: 000-979-570-000</a:t>
          </a:r>
          <a:endParaRPr lang="en-US" sz="900">
            <a:ln>
              <a:noFill/>
            </a:ln>
            <a:latin typeface="+mj-lt"/>
          </a:endParaRPr>
        </a:p>
      </xdr:txBody>
    </xdr:sp>
    <xdr:clientData/>
  </xdr:twoCellAnchor>
  <xdr:twoCellAnchor editAs="absolute">
    <xdr:from>
      <xdr:col>0</xdr:col>
      <xdr:colOff>1152525</xdr:colOff>
      <xdr:row>0</xdr:row>
      <xdr:rowOff>0</xdr:rowOff>
    </xdr:from>
    <xdr:to>
      <xdr:col>0</xdr:col>
      <xdr:colOff>2009774</xdr:colOff>
      <xdr:row>3</xdr:row>
      <xdr:rowOff>171449</xdr:rowOff>
    </xdr:to>
    <xdr:pic>
      <xdr:nvPicPr>
        <xdr:cNvPr id="4" name="Picture 3" descr="nia-logo.png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52525" y="0"/>
          <a:ext cx="857249" cy="8572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7</xdr:row>
      <xdr:rowOff>76200</xdr:rowOff>
    </xdr:from>
    <xdr:to>
      <xdr:col>2</xdr:col>
      <xdr:colOff>66675</xdr:colOff>
      <xdr:row>9</xdr:row>
      <xdr:rowOff>200025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 txBox="1"/>
      </xdr:nvSpPr>
      <xdr:spPr>
        <a:xfrm>
          <a:off x="47625" y="1562100"/>
          <a:ext cx="432435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900">
              <a:ln>
                <a:noFill/>
              </a:ln>
              <a:latin typeface="+mj-lt"/>
            </a:rPr>
            <a:t>Office</a:t>
          </a:r>
          <a:r>
            <a:rPr lang="en-US" sz="900" baseline="0">
              <a:ln>
                <a:noFill/>
              </a:ln>
              <a:latin typeface="+mj-lt"/>
            </a:rPr>
            <a:t>  Address	: Tambubong, San Rafael, Bulacan</a:t>
          </a:r>
        </a:p>
        <a:p>
          <a:r>
            <a:rPr lang="en-US" sz="900" baseline="0">
              <a:ln>
                <a:noFill/>
              </a:ln>
              <a:latin typeface="+mj-lt"/>
            </a:rPr>
            <a:t>Telephone Nos.	: (044) 766-2467, 766-4839, 816-6808</a:t>
          </a:r>
        </a:p>
        <a:p>
          <a:r>
            <a:rPr lang="en-US" sz="900" baseline="0">
              <a:ln>
                <a:noFill/>
              </a:ln>
              <a:latin typeface="+mj-lt"/>
            </a:rPr>
            <a:t>Website	: www.region3.nia.gov.ph</a:t>
          </a:r>
          <a:endParaRPr lang="en-US" sz="900">
            <a:ln>
              <a:noFill/>
            </a:ln>
            <a:latin typeface="+mj-lt"/>
          </a:endParaRPr>
        </a:p>
      </xdr:txBody>
    </xdr:sp>
    <xdr:clientData/>
  </xdr:twoCellAnchor>
  <xdr:twoCellAnchor>
    <xdr:from>
      <xdr:col>3</xdr:col>
      <xdr:colOff>409575</xdr:colOff>
      <xdr:row>7</xdr:row>
      <xdr:rowOff>76200</xdr:rowOff>
    </xdr:from>
    <xdr:to>
      <xdr:col>4</xdr:col>
      <xdr:colOff>1247775</xdr:colOff>
      <xdr:row>9</xdr:row>
      <xdr:rowOff>190500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 txBox="1"/>
      </xdr:nvSpPr>
      <xdr:spPr>
        <a:xfrm>
          <a:off x="6019800" y="1562100"/>
          <a:ext cx="214312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900">
              <a:ln>
                <a:noFill/>
              </a:ln>
              <a:latin typeface="+mj-lt"/>
            </a:rPr>
            <a:t>E-mail Address</a:t>
          </a:r>
          <a:r>
            <a:rPr lang="en-US" sz="900" baseline="0">
              <a:ln>
                <a:noFill/>
              </a:ln>
              <a:latin typeface="+mj-lt"/>
            </a:rPr>
            <a:t>       : niar03@yahoo.com</a:t>
          </a:r>
          <a:endParaRPr lang="en-US" sz="900">
            <a:ln>
              <a:noFill/>
            </a:ln>
            <a:latin typeface="+mj-lt"/>
          </a:endParaRPr>
        </a:p>
        <a:p>
          <a:r>
            <a:rPr lang="en-US" sz="900">
              <a:ln>
                <a:noFill/>
              </a:ln>
              <a:latin typeface="+mj-lt"/>
            </a:rPr>
            <a:t>Telefax</a:t>
          </a:r>
          <a:r>
            <a:rPr lang="en-US" sz="900" baseline="0">
              <a:ln>
                <a:noFill/>
              </a:ln>
              <a:latin typeface="+mj-lt"/>
            </a:rPr>
            <a:t> No.	: (044) 766-2467</a:t>
          </a:r>
        </a:p>
        <a:p>
          <a:r>
            <a:rPr lang="en-US" sz="900" baseline="0">
              <a:ln>
                <a:noFill/>
              </a:ln>
              <a:latin typeface="+mj-lt"/>
            </a:rPr>
            <a:t>TIN No.	: 000-979-570-000</a:t>
          </a:r>
          <a:endParaRPr lang="en-US" sz="900">
            <a:ln>
              <a:noFill/>
            </a:ln>
            <a:latin typeface="+mj-lt"/>
          </a:endParaRPr>
        </a:p>
      </xdr:txBody>
    </xdr:sp>
    <xdr:clientData/>
  </xdr:twoCellAnchor>
  <xdr:twoCellAnchor editAs="absolute">
    <xdr:from>
      <xdr:col>0</xdr:col>
      <xdr:colOff>1152525</xdr:colOff>
      <xdr:row>0</xdr:row>
      <xdr:rowOff>0</xdr:rowOff>
    </xdr:from>
    <xdr:to>
      <xdr:col>0</xdr:col>
      <xdr:colOff>2009774</xdr:colOff>
      <xdr:row>3</xdr:row>
      <xdr:rowOff>171449</xdr:rowOff>
    </xdr:to>
    <xdr:pic>
      <xdr:nvPicPr>
        <xdr:cNvPr id="4" name="Picture 3" descr="nia-logo.png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52525" y="0"/>
          <a:ext cx="857249" cy="8572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d\g\Users\Mhelz\Documents\RevGen\2017\REVGEN%202017-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"/>
      <sheetName val="AU"/>
      <sheetName val="BUL"/>
      <sheetName val="NE"/>
      <sheetName val="BNE"/>
      <sheetName val="BANE"/>
      <sheetName val="PAM"/>
      <sheetName val="BAT"/>
      <sheetName val="PDRIS"/>
      <sheetName val="PMBT"/>
      <sheetName val="PAMBAT"/>
      <sheetName val="TAR"/>
      <sheetName val="CAMRIS"/>
      <sheetName val="ZAM"/>
      <sheetName val="Nayom"/>
      <sheetName val="TRZM"/>
      <sheetName val="TARZAM"/>
      <sheetName val="Summary"/>
      <sheetName val="Overall"/>
      <sheetName val="ISF "/>
      <sheetName val="Comparative"/>
      <sheetName val="Notes"/>
    </sheetNames>
    <sheetDataSet>
      <sheetData sheetId="0">
        <row r="31">
          <cell r="F31">
            <v>3451925.64</v>
          </cell>
        </row>
      </sheetData>
      <sheetData sheetId="1">
        <row r="31">
          <cell r="F31">
            <v>196001.5</v>
          </cell>
        </row>
        <row r="63">
          <cell r="F63">
            <v>-93553.41</v>
          </cell>
        </row>
        <row r="64">
          <cell r="F64">
            <v>-73393</v>
          </cell>
        </row>
      </sheetData>
      <sheetData sheetId="2">
        <row r="31">
          <cell r="F31">
            <v>2132649.7599999998</v>
          </cell>
        </row>
        <row r="63">
          <cell r="F63">
            <v>-1017934.29</v>
          </cell>
        </row>
        <row r="64">
          <cell r="F64">
            <v>-798573.27</v>
          </cell>
        </row>
      </sheetData>
      <sheetData sheetId="3">
        <row r="31">
          <cell r="F31">
            <v>67059.78</v>
          </cell>
        </row>
        <row r="63">
          <cell r="F63">
            <v>-32008.28</v>
          </cell>
        </row>
        <row r="64">
          <cell r="F64">
            <v>-25110.62</v>
          </cell>
        </row>
      </sheetData>
      <sheetData sheetId="4">
        <row r="31">
          <cell r="F31">
            <v>1011562.13</v>
          </cell>
        </row>
        <row r="62">
          <cell r="F62">
            <v>0</v>
          </cell>
        </row>
      </sheetData>
      <sheetData sheetId="5" refreshError="1"/>
      <sheetData sheetId="6">
        <row r="31">
          <cell r="F31">
            <v>510170.64</v>
          </cell>
        </row>
        <row r="63">
          <cell r="F63">
            <v>-66135.149999999994</v>
          </cell>
        </row>
        <row r="64">
          <cell r="F64">
            <v>-191034.01</v>
          </cell>
        </row>
      </sheetData>
      <sheetData sheetId="7">
        <row r="31">
          <cell r="F31">
            <v>127161.92</v>
          </cell>
        </row>
        <row r="63">
          <cell r="F63">
            <v>-16484.43</v>
          </cell>
        </row>
        <row r="64">
          <cell r="F64">
            <v>-47615.93</v>
          </cell>
        </row>
      </sheetData>
      <sheetData sheetId="8">
        <row r="31">
          <cell r="F31">
            <v>836799.64</v>
          </cell>
        </row>
        <row r="63">
          <cell r="F63">
            <v>-108477.17</v>
          </cell>
        </row>
        <row r="64">
          <cell r="F64">
            <v>-313340.63</v>
          </cell>
        </row>
      </sheetData>
      <sheetData sheetId="9">
        <row r="31">
          <cell r="F31">
            <v>826765.54</v>
          </cell>
        </row>
        <row r="62">
          <cell r="F62">
            <v>0</v>
          </cell>
        </row>
      </sheetData>
      <sheetData sheetId="10" refreshError="1"/>
      <sheetData sheetId="11">
        <row r="31">
          <cell r="F31">
            <v>592479.98</v>
          </cell>
        </row>
        <row r="63">
          <cell r="F63">
            <v>-427371.67</v>
          </cell>
        </row>
        <row r="64">
          <cell r="F64">
            <v>-221854.84</v>
          </cell>
        </row>
      </sheetData>
      <sheetData sheetId="12">
        <row r="31">
          <cell r="F31">
            <v>736181.58</v>
          </cell>
        </row>
        <row r="63">
          <cell r="F63">
            <v>-531027.49</v>
          </cell>
        </row>
        <row r="64">
          <cell r="F64">
            <v>-275664.08</v>
          </cell>
        </row>
      </sheetData>
      <sheetData sheetId="13">
        <row r="31">
          <cell r="F31">
            <v>272432.56</v>
          </cell>
        </row>
        <row r="63">
          <cell r="F63">
            <v>-196512.9</v>
          </cell>
        </row>
        <row r="64">
          <cell r="F64">
            <v>-102012.7</v>
          </cell>
        </row>
      </sheetData>
      <sheetData sheetId="14">
        <row r="31">
          <cell r="F31">
            <v>300661.71999999997</v>
          </cell>
        </row>
        <row r="63">
          <cell r="F63">
            <v>-216875.35</v>
          </cell>
        </row>
        <row r="64">
          <cell r="F64">
            <v>-112583.14</v>
          </cell>
        </row>
      </sheetData>
      <sheetData sheetId="15">
        <row r="31">
          <cell r="F31">
            <v>944352.41</v>
          </cell>
        </row>
        <row r="62">
          <cell r="F62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887.651840393519" createdVersion="3" refreshedVersion="5" minRefreshableVersion="3" recordCount="12" xr:uid="{00000000-000A-0000-FFFF-FFFF14000000}">
  <cacheSource type="worksheet">
    <worksheetSource name="CRDJ"/>
  </cacheSource>
  <cacheFields count="12">
    <cacheField name="Date" numFmtId="191">
      <sharedItems containsSemiMixedTypes="0" containsNonDate="0" containsDate="1" containsString="0" minDate="2018-01-31T00:00:00" maxDate="2019-11-01T00:00:00" count="13">
        <d v="2019-06-30T00:00:00"/>
        <d v="2019-08-31T00:00:00"/>
        <d v="2019-10-31T00:00:00"/>
        <d v="2018-05-31T00:00:00" u="1"/>
        <d v="2018-02-28T00:00:00" u="1"/>
        <d v="2018-09-30T00:00:00" u="1"/>
        <d v="2018-03-31T00:00:00" u="1"/>
        <d v="2018-01-31T00:00:00" u="1"/>
        <d v="2018-06-30T00:00:00" u="1"/>
        <d v="2018-10-31T00:00:00" u="1"/>
        <d v="2018-04-30T00:00:00" u="1"/>
        <d v="2018-08-31T00:00:00" u="1"/>
        <d v="2018-07-31T00:00:00" u="1"/>
      </sharedItems>
    </cacheField>
    <cacheField name="JEV Number" numFmtId="49">
      <sharedItems containsBlank="1" count="71">
        <s v="19-06-075"/>
        <m/>
        <s v="19-08-100" u="1"/>
        <s v="18-01-003B" u="1"/>
        <s v="18-08-198A" u="1"/>
        <s v="18-08-199" u="1"/>
        <s v="18-06-128B" u="1"/>
        <s v="18-08-198" u="1"/>
        <s v="18-03-054C" u="1"/>
        <s v="18-08-197" u="1"/>
        <s v="18-08-196" u="1"/>
        <s v="18-02-031A" u="1"/>
        <s v="18-04-079C" u="1"/>
        <s v="18-02-030A" u="1"/>
        <s v="18-02-031" u="1"/>
        <s v="18-07-159" u="1"/>
        <s v="18-02-030" u="1"/>
        <s v="18-07-158" u="1"/>
        <s v="18-10-269A" u="1"/>
        <s v="18-03-054A" u="1"/>
        <s v="18-10-269" u="1"/>
        <s v="18-09-222" u="1"/>
        <s v="18-10-268" u="1"/>
        <s v="18-09-221" u="1"/>
        <s v="18-03-054" u="1"/>
        <s v="18-10-267" u="1"/>
        <s v="18-09-220" u="1"/>
        <s v="18-03-053" u="1"/>
        <s v="18-10-266" u="1"/>
        <s v="18-03-052" u="1"/>
        <s v="18-02-031D" u="1"/>
        <s v="18-04-079A" u="1"/>
        <s v="18-03-051" u="1"/>
        <s v="18-01-004C" u="1"/>
        <s v="18-04-078A" u="1"/>
        <s v="18-04-079" u="1"/>
        <s v="18-04-078" u="1"/>
        <s v="18-04-077" u="1"/>
        <s v="18-08-198B" u="1"/>
        <s v="18-04-076" u="1"/>
        <s v="18-05-108A" u="1"/>
        <s v="18-05-108" u="1"/>
        <s v="18-05-107" u="1"/>
        <s v="18-05-106" u="1"/>
        <s v="18-02-031B" u="1"/>
        <s v="18-05-105" u="1"/>
        <s v="18-01-004A" u="1"/>
        <s v="18-01-003A" u="1"/>
        <s v="18-01-004" u="1"/>
        <s v="18-01-003" u="1"/>
        <s v="18-07-162A" u="1"/>
        <s v="18-01-002" u="1"/>
        <s v="18-06-128A" u="1"/>
        <s v="18-07-162" u="1"/>
        <s v="18-01-001" u="1"/>
        <s v="18-03-054B" u="1"/>
        <s v="18-07-161" u="1"/>
        <s v="18-06-128" u="1"/>
        <s v="18-02-029" u="1"/>
        <s v="18-07-160" u="1"/>
        <s v="18-06-127" u="1"/>
        <s v="18-02-028" u="1"/>
        <s v="18-06-126" u="1"/>
        <s v="18-06-125" u="1"/>
        <s v="18-04-079B" u="1"/>
        <s v="19-10-128" u="1"/>
        <s v="18-01-004D" u="1"/>
        <s v="18-09-219" u="1"/>
        <s v="18-05-108B" u="1"/>
        <s v="18-02-031C" u="1"/>
        <s v="18-01-004B" u="1"/>
      </sharedItems>
    </cacheField>
    <cacheField name="Sort Code" numFmtId="49">
      <sharedItems containsNonDate="0" containsString="0" containsBlank="1"/>
    </cacheField>
    <cacheField name="Ofc Code" numFmtId="49">
      <sharedItems containsNonDate="0" containsString="0" containsBlank="1"/>
    </cacheField>
    <cacheField name="Sub Code" numFmtId="49">
      <sharedItems containsNonDate="0" containsString="0" containsBlank="1"/>
    </cacheField>
    <cacheField name="CF Code" numFmtId="49">
      <sharedItems containsNonDate="0" containsString="0" containsBlank="1"/>
    </cacheField>
    <cacheField name="Collecting Officer/Office" numFmtId="49">
      <sharedItems containsNonDate="0" containsString="0" containsBlank="1"/>
    </cacheField>
    <cacheField name="Account Name" numFmtId="0">
      <sharedItems count="25">
        <s v=""/>
        <s v="Income from Hostels/Dormitories and Other Like Facilities" u="1"/>
        <s v="Sale of Unserviceable Property" u="1"/>
        <s v="Other Service Income - Irrigation Service Fee (Back Account) (MC # 54)" u="1"/>
        <s v="Cash-Collecting Officers" u="1"/>
        <s v="Advances to Officers and Employees" u="1"/>
        <s v="Bail Bonds Payable" u="1"/>
        <s v="Due to Officers and Employees" u="1"/>
        <s v="Equipment Rental - External (CA)" u="1"/>
        <s v="Equipment Rental - Internal (CA)" u="1"/>
        <s v="Salaries and Wages-Casual/Contractual" u="1"/>
        <s v="Other Service Income - CIS Amortization (Back Account)" u="1"/>
        <s v="Other Service Income - Irrigation Service Fee (Back Account)" u="1"/>
        <s v="Fines and Penalties-Irrigation Service Fee" u="1"/>
        <s v="Other Service Income - Pump Amortization (Current Account)" u="1"/>
        <s v="Subsidy from Central Office" u="1"/>
        <s v="Accounts Receivable - ISF (Current &amp; Back Accounts)" u="1"/>
        <s v="Other Service Income - CIS Amortization (Current Account)" u="1"/>
        <s v="Cash in Bank-Local Currency, Current Account - RO" u="1"/>
        <s v="Other Service Income - Pump Equity (Back Account)" u="1"/>
        <s v="Cash in Bank-Local Currency, Current Account" u="1"/>
        <s v="Other Service Income - Pump Equity (Current Account)" u="1"/>
        <s v="Miscellaneous Income (Others)" u="1"/>
        <s v="Miscellaneous Income (Bid Documents)" u="1"/>
        <s v="Other Deferred Credits (Irrigation Service Fee)" u="1"/>
      </sharedItems>
    </cacheField>
    <cacheField name="Account Code" numFmtId="49">
      <sharedItems containsNonDate="0" containsBlank="1" count="26">
        <m/>
        <s v="625-2A" u="1"/>
        <s v="102" u="1"/>
        <s v="627-2A" u="1"/>
        <s v="454-1" u="1"/>
        <s v="678-1" u="1"/>
        <s v="642-1A" u="1"/>
        <s v="627-2C" u="1"/>
        <s v="642-1B" u="1"/>
        <s v="121-1" u="1"/>
        <s v="627-2D" u="1"/>
        <s v="642-2" u="1"/>
        <s v="627-1A" u="1"/>
        <s v="111ro" u="1"/>
        <s v="625-2" u="1"/>
        <s v="627-1B" u="1"/>
        <s v="148" u="1"/>
        <s v="403" u="1"/>
        <s v="627-1" u="1"/>
        <s v="427" u="1"/>
        <s v="629-1" u="1"/>
        <s v="111" u="1"/>
        <s v="705" u="1"/>
        <s v="653" u="1"/>
        <s v="678-13" u="1"/>
        <s v="678-2" u="1"/>
      </sharedItems>
    </cacheField>
    <cacheField name="Debit" numFmtId="164">
      <sharedItems containsNonDate="0" containsString="0" containsBlank="1"/>
    </cacheField>
    <cacheField name="Credit" numFmtId="164">
      <sharedItems containsNonDate="0" containsString="0" containsBlank="1"/>
    </cacheField>
    <cacheField name="Running Balance" numFmtId="3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267.584920023146" createdVersion="3" refreshedVersion="5" minRefreshableVersion="3" recordCount="108" xr:uid="{00000000-000A-0000-FFFF-FFFF15000000}">
  <cacheSource type="worksheet">
    <worksheetSource name="CsDJ"/>
  </cacheSource>
  <cacheFields count="16">
    <cacheField name="Date" numFmtId="191">
      <sharedItems containsNonDate="0" containsDate="1" containsString="0" containsBlank="1" minDate="2020-01-31T00:00:00" maxDate="2020-02-01T00:00:00"/>
    </cacheField>
    <cacheField name="DV Date" numFmtId="191">
      <sharedItems containsNonDate="0" containsDate="1" containsString="0" containsBlank="1" minDate="2020-01-23T00:00:00" maxDate="2020-01-24T00:00:00"/>
    </cacheField>
    <cacheField name="DV Number" numFmtId="49">
      <sharedItems containsBlank="1"/>
    </cacheField>
    <cacheField name="JEV Number" numFmtId="49">
      <sharedItems containsBlank="1" count="99">
        <s v="20-01-004"/>
        <m/>
        <s v="18-01-012" u="1"/>
        <s v="18-08-208" u="1"/>
        <s v="18-06-138A" u="1"/>
        <s v="18-07-172" u="1"/>
        <s v="18-02-039A" u="1"/>
        <s v="18-01-011" u="1"/>
        <s v="18-08-207" u="1"/>
        <s v="18-06-137A" u="1"/>
        <s v="18-07-171" u="1"/>
        <s v="18-01-010" u="1"/>
        <s v="18-06-138" u="1"/>
        <s v="18-08-206" u="1"/>
        <s v="19-11-143" u="1"/>
        <s v="18-02-039" u="1"/>
        <s v="18-07-170" u="1"/>
        <s v="19-09-126" u="1"/>
        <s v="18-06-137" u="1"/>
        <s v="18-08-205" u="1"/>
        <s v="18-02-038" u="1"/>
        <s v="19-09-125" u="1"/>
        <s v="18-06-136" u="1"/>
        <s v="18-08-204" u="1"/>
        <s v="18-02-037" u="1"/>
        <s v="18-06-135" u="1"/>
        <s v="18-02-036" u="1"/>
        <s v="18-06-134" u="1"/>
        <s v="20-12-109" u="1"/>
        <s v="19-10-136" u="1"/>
        <s v="18-09-229" u="1"/>
        <s v="18-09-228" u="1"/>
        <s v="18-04-094" u="1"/>
        <s v="18-09-227" u="1"/>
        <s v="18-04-093" u="1"/>
        <s v="20-03-025" u="1"/>
        <s v="18-04-092" u="1"/>
        <s v="18-03-059" u="1"/>
        <s v="18-04-091" u="1"/>
        <s v="19-03-050" u="1"/>
        <s v="18-04-090" u="1"/>
        <s v="19-08-111" u="1"/>
        <s v="20-10-093" u="1"/>
        <s v="17-01-028" u="1"/>
        <s v="20-06-044" u="1"/>
        <s v="19-05-069" u="1"/>
        <s v="17-01-027" u="1"/>
        <s v="18-06-138B" u="1"/>
        <s v="17-01-026" u="1"/>
        <s v="19-07-098" u="1"/>
        <s v="17-01-025" u="1"/>
        <s v="17-01-024" u="1"/>
        <s v="20-02-011" u="1"/>
        <s v="20-05-039" u="1"/>
        <s v="17-01-023" u="1"/>
        <s v="19-01-003" u="1"/>
        <s v="18-01-009" u="1"/>
        <s v="18-07-169" u="1"/>
        <s v="19-02-029" u="1"/>
        <s v="18-02-040" u="1"/>
        <s v="18-07-168" u="1"/>
        <s v="19-04-059" u="1"/>
        <s v="19-02-026" u="1"/>
        <s v="19-06-086" u="1"/>
        <s v="20-04-029" u="1"/>
        <s v="20-12-111" u="1"/>
        <s v="19-02-024" u="1"/>
        <s v="19-06-085" u="1"/>
        <s v="20-12-110" u="1"/>
        <s v="18-03-062A" u="1"/>
        <s v="18-10-277" u="1"/>
        <s v="18-09-230" u="1"/>
        <s v="18-03-063" u="1"/>
        <s v="18-10-276" u="1"/>
        <s v="18-03-062" u="1"/>
        <s v="18-10-275" u="1"/>
        <s v="18-03-061" u="1"/>
        <s v="18-10-274" u="1"/>
        <s v="18-03-060" u="1"/>
        <s v="19-01-018" u="1"/>
        <s v="18-04-089" u="1"/>
        <s v="18-04-088" u="1"/>
        <s v="20-11-097" u="1"/>
        <s v="19-01-016" u="1"/>
        <s v="20-09-078" u="1"/>
        <s v="19-12-156" u="1"/>
        <s v="19-03-044" u="1"/>
        <s v="19-01-013" u="1"/>
        <s v="20-03-017" u="1"/>
        <s v="18-05-116A" u="1"/>
        <s v="18-05-117" u="1"/>
        <s v="19-01-010" u="1"/>
        <s v="18-05-116" u="1"/>
        <s v="18-05-115" u="1"/>
        <s v="18-05-114" u="1"/>
        <s v="18-01-013A" u="1"/>
        <s v="18-05-113" u="1"/>
        <s v="18-01-012A" u="1"/>
        <s v="18-01-013" u="1"/>
      </sharedItems>
    </cacheField>
    <cacheField name="Sort Code" numFmtId="49">
      <sharedItems containsBlank="1"/>
    </cacheField>
    <cacheField name="Ofc Code" numFmtId="49">
      <sharedItems containsNonDate="0" containsString="0" containsBlank="1"/>
    </cacheField>
    <cacheField name="Sub Code" numFmtId="49">
      <sharedItems containsNonDate="0" containsString="0" containsBlank="1"/>
    </cacheField>
    <cacheField name="CF Code" numFmtId="49">
      <sharedItems containsNonDate="0" containsString="0" containsBlank="1"/>
    </cacheField>
    <cacheField name="Payee" numFmtId="49">
      <sharedItems containsBlank="1"/>
    </cacheField>
    <cacheField name="Particulars" numFmtId="49">
      <sharedItems containsBlank="1"/>
    </cacheField>
    <cacheField name="Account Name" numFmtId="0">
      <sharedItems count="43">
        <s v="Salaries and Wages-Regular"/>
        <s v=""/>
        <s v="Due to GSIS - Life and Retirement Premium" u="1"/>
        <s v="Other Bonuses and Allowances - Anniversary Bonus" u="1"/>
        <s v="Due from Officers and Employees" u="1"/>
        <s v="Due to PhilHealth" u="1"/>
        <s v="Overtime and Night Pay" u="1"/>
        <s v="Other Bonuses and Allowances - Meal Allowance" u="1"/>
        <s v="Due to GSIS - Salary Loan" u="1"/>
        <s v="Other Compensation Personal Economic Relief Allowance (PERA)" u="1"/>
        <s v="Other Payables" u="1"/>
        <s v="Due to Officers and Employees" u="1"/>
        <s v="Honoraria" u="1"/>
        <s v="Due to GSIS" u="1"/>
        <s v="Mid-Year/Year End Bonus" u="1"/>
        <s v="Other Bonuses and Allowances - Children Allowance" u="1"/>
        <s v="Hazard Pay" u="1"/>
        <s v="Clothing/Uniform Allowance" u="1"/>
        <s v="Salaries and Wages-Casual/Contractual" u="1"/>
        <s v="Other Bonuses and Allowances - Medical Allowance" u="1"/>
        <s v="Advances to Special Disbursing Officer" u="1"/>
        <s v="Personal Economic Relief Allowance (PERA)" u="1"/>
        <s v="Due to BIR - Compensation" u="1"/>
        <s v="Due to Pag-IBIG - Pag-IBIG Premium" u="1"/>
        <s v="Productivity Incentive Allowance" u="1"/>
        <s v="Other Maintenance and Operating Expenses - Other Maintenance and Operating Expenses" u="1"/>
        <s v="Other Personnel Benefits - Other Personnel Benefits" u="1"/>
        <s v="Advances for Payroll" u="1"/>
        <s v="Cash in Bank-Local Currency, Current Account - FO" u="1"/>
        <s v="Cash in Bank-Local Currency, Current Account - RO" u="1"/>
        <s v="Due to Pag-IBIG" u="1"/>
        <s v="Due to BIR" u="1"/>
        <s v="Due to Pag-IBIG - Calamity Loan" u="1"/>
        <s v="Cash in Bank-Local Currency, Current Account" u="1"/>
        <s v="Due to Pag-IBIG - Pag-IBIG Multi-Purpose Loan" u="1"/>
        <s v="Longevity Pay" u="1"/>
        <s v="Construction in Progress-Infrastructure Assets (Irrigation, Canals and Laterals)" u="1"/>
        <s v="Cash Gift" u="1"/>
        <s v="Representation Allowance (RA)" u="1"/>
        <s v="Accounts Payable" u="1"/>
        <s v="Due to Central Office" u="1"/>
        <s v="Terminal Leave Benefits" u="1"/>
        <s v="Due to GSIS - Emergency Loan" u="1"/>
      </sharedItems>
    </cacheField>
    <cacheField name="Account Code" numFmtId="0">
      <sharedItems containsBlank="1" count="47">
        <s v="701"/>
        <m/>
        <s v="413-1" u="1"/>
        <s v="414-1" u="1"/>
        <s v="270" u="1"/>
        <s v="103" u="1"/>
        <s v="439" u="1"/>
        <s v="711" u="1"/>
        <s v="719-3" u="1"/>
        <s v="123" u="1"/>
        <s v="713" u="1"/>
        <s v="106" u="1"/>
        <s v="715" u="1"/>
        <s v="413-6" u="1"/>
        <s v="717" u="1"/>
        <s v="111RO" u="1"/>
        <s v="719-2" u="1"/>
        <s v="2010102000" u="1"/>
        <s v="401" u="1"/>
        <s v="421" u="1"/>
        <s v="403" u="1"/>
        <s v="413-5" u="1"/>
        <s v="719-1" u="1"/>
        <s v="111FO" u="1"/>
        <s v="719-7" u="1"/>
        <s v="413-4" u="1"/>
        <s v="111" u="1"/>
        <s v="414-4" u="1"/>
        <s v="720" u="1"/>
        <s v="721" u="1"/>
        <s v="722" u="1"/>
        <s v="723" u="1"/>
        <s v="705" u="1"/>
        <s v="742" u="1"/>
        <s v="413-3" u="1"/>
        <s v="724" u="1"/>
        <s v="725" u="1"/>
        <s v="969" u="1"/>
        <s v="1990102000" u="1"/>
        <s v="412" u="1"/>
        <s v="414-2" u="1"/>
        <s v="413" u="1"/>
        <s v="749" u="1"/>
        <s v="414" u="1"/>
        <s v="415" u="1"/>
        <s v="412-1" u="1"/>
        <s v="719-4" u="1"/>
      </sharedItems>
    </cacheField>
    <cacheField name="Debit" numFmtId="0">
      <sharedItems containsString="0" containsBlank="1" containsNumber="1" containsInteger="1" minValue="50693" maxValue="50693"/>
    </cacheField>
    <cacheField name="Credit" numFmtId="0">
      <sharedItems containsNonDate="0" containsString="0" containsBlank="1"/>
    </cacheField>
    <cacheField name="ASA #" numFmtId="0">
      <sharedItems containsNonDate="0" containsString="0" containsBlank="1"/>
    </cacheField>
    <cacheField name="Running Balance" numFmtId="0">
      <sharedItems containsSemiMixedTypes="0" containsString="0" containsNumber="1" containsInteger="1" minValue="50693" maxValue="506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I" refreshedDate="44854.657506249998" createdVersion="3" refreshedVersion="8" minRefreshableVersion="3" recordCount="106" xr:uid="{00000000-000A-0000-FFFF-FFFF16000000}">
  <cacheSource type="worksheet">
    <worksheetSource name="GJ"/>
  </cacheSource>
  <cacheFields count="12">
    <cacheField name="Date" numFmtId="191">
      <sharedItems containsNonDate="0" containsDate="1" containsString="0" containsBlank="1" minDate="2022-02-28T00:00:00" maxDate="2022-11-01T00:00:00"/>
    </cacheField>
    <cacheField name="JEV Number" numFmtId="49">
      <sharedItems containsBlank="1" count="171">
        <s v="22-02-001"/>
        <s v="22-03-"/>
        <s v="22-04-"/>
        <s v="22-05-"/>
        <s v="22-06-"/>
        <s v="22-07-"/>
        <s v="22-08-"/>
        <s v="22-09-"/>
        <s v="22-10-"/>
        <m/>
        <s v="19-01-004" u="1"/>
        <s v="19-05-065" u="1"/>
        <s v="21-01-001" u="1"/>
        <s v="20-12-119" u="1"/>
        <s v="19-05-064" u="1"/>
        <s v="20-12-118" u="1"/>
        <s v="19-05-063" u="1"/>
        <s v="19-07-093" u="1"/>
        <s v="19-01-001" u="1"/>
        <s v="19-12-175" u="1"/>
        <s v="20-12-117" u="1"/>
        <s v="19-07-092" u="1"/>
        <s v="19-12-174" u="1"/>
        <s v="20-12-116" u="1"/>
        <s v="19-07-091" u="1"/>
        <s v="19-12-173" u="1"/>
        <s v="20-12-115" u="1"/>
        <s v="19-07-090" u="1"/>
        <s v="19-12-172" u="1"/>
        <s v="20-12-114" u="1"/>
        <s v="19-11-139" u="1"/>
        <s v="19-02-027" u="1"/>
        <s v="19-12-171" u="1"/>
        <s v="20-12-113" u="1"/>
        <s v="19-11-138" u="1"/>
        <s v="19-12-170" u="1"/>
        <s v="20-12-112" u="1"/>
        <s v="19-11-137" u="1"/>
        <s v="20-07-061" u="1"/>
        <s v="19-04-055" u="1"/>
        <s v="20-07-060" u="1"/>
        <s v="19-04-054" u="1"/>
        <s v="19-09-118" u="1"/>
        <s v="22-09" u="1"/>
        <s v="19-02-022" u="1"/>
        <s v="19-09-117" u="1"/>
        <s v="19-04-052" u="1"/>
        <s v="19-02-021" u="1"/>
        <s v="19-06-082" u="1"/>
        <s v="19-09-116" u="1"/>
        <s v="22-05" u="1"/>
        <s v="19-09-115" u="1"/>
        <s v="20-11-099" u="1"/>
        <s v="19-06-080" u="1"/>
        <s v="19-03-048" u="1"/>
        <s v="19-09-114" u="1"/>
        <s v="19-10-129" u="1"/>
        <s v="20-06-053" u="1"/>
        <s v="19-12-159" u="1"/>
        <s v="19-03-047" u="1"/>
        <s v="19-09-113" u="1"/>
        <s v="19-10-128" u="1"/>
        <s v="20-06-052" u="1"/>
        <s v="19-10-127" u="1"/>
        <s v="19-12-157" u="1"/>
        <s v="19-03-045" u="1"/>
        <s v="20-06-050" u="1"/>
        <s v="19-01-014" u="1"/>
        <s v="20-12-129" u="1"/>
        <s v="20-12-128" u="1"/>
        <s v="19-05-073" u="1"/>
        <s v="19-08-107" u="1"/>
        <s v="19-12-154" u="1"/>
        <s v="19-03-042" u="1"/>
        <s v="19-01-011" u="1"/>
        <s v="20-12-127" u="1"/>
        <s v="20-09-075" u="1"/>
        <s v="19-12-153" u="1"/>
        <s v="19-03-041" u="1"/>
        <s v="20-12-126" u="1"/>
        <s v="20-09-074" u="1"/>
        <s v="19-08-105" u="1"/>
        <s v="20-12-125" u="1"/>
        <s v="19-05-070" u="1"/>
        <s v="19-08-104" u="1"/>
        <s v="19-12-151" u="1"/>
        <s v="20-10-088" u="1"/>
        <s v="20-12-124" u="1"/>
        <s v="19-11-149" u="1"/>
        <s v="19-08-103" u="1"/>
        <s v="19-12-150" u="1"/>
        <s v="20-10-087" u="1"/>
        <s v="20-12-123" u="1"/>
        <s v="19-11-148" u="1"/>
        <s v="19-08-102" u="1"/>
        <s v="20-10-086" u="1"/>
        <s v="20-12-122" u="1"/>
        <s v="21-02-001" u="1"/>
        <s v="19-11-147" u="1"/>
        <s v="19-02-035" u="1"/>
        <s v="20-02-008" u="1"/>
        <s v="20-12-121" u="1"/>
        <s v="19-11-146" u="1"/>
        <s v="19-02-034" u="1"/>
        <s v="20-12-120" u="1"/>
        <s v="19-11-145" u="1"/>
        <s v="19-02-033" u="1"/>
        <s v="20-08-066" u="1"/>
        <s v="19-02-032" u="1"/>
        <s v="20-08-065" u="1"/>
        <s v="19-04-061" u="1"/>
        <s v="19-02-030" u="1"/>
        <s v="19-07-089" u="1"/>
        <s v="19-07-088" u="1"/>
        <s v="19-09-124" u="1"/>
        <s v="19-07-087" u="1"/>
        <s v="20-04-032" u="1"/>
        <s v="19-12-169" u="1"/>
        <s v="19-09-123" u="1"/>
        <s v="19-12-168" u="1"/>
        <s v="19-09-122" u="1"/>
        <s v="20-07-059" u="1"/>
        <s v="19-12-167" u="1"/>
        <s v="19-12-166" u="1"/>
        <s v="20-07-057" u="1"/>
        <s v="19-12-165" u="1"/>
        <s v="20-07-056" u="1"/>
        <s v="22-08" u="1"/>
        <s v="19-12-164" u="1"/>
        <s v="20-07-055" u="1"/>
        <s v="19-02-019" u="1"/>
        <s v="19-12-163" u="1"/>
        <s v="19-03-051" u="1"/>
        <s v="20-03-024" u="1"/>
        <s v="20-09-084" u="1"/>
        <s v="20-12-104" u="1"/>
        <s v="19-10-131" u="1"/>
        <s v="19-06-078" u="1"/>
        <s v="20-03-023" u="1"/>
        <s v="20-09-083" u="1"/>
        <s v="19-12-161" u="1"/>
        <s v="20-12-103" u="1"/>
        <s v="19-06-077" u="1"/>
        <s v="20-03-022" u="1"/>
        <s v="19-12-160" u="1"/>
        <s v="20-12-102" u="1"/>
        <s v="19-06-076" u="1"/>
        <s v="20-03-021" u="1"/>
        <s v="20-09-081" u="1"/>
        <s v="22-03-001" u="1"/>
        <s v="19-06-075" u="1"/>
        <s v="20-03-020" u="1"/>
        <s v="20-09-080" u="1"/>
        <s v="20-06-048" u="1"/>
        <s v="19-06-074" u="1"/>
        <s v="20-12-131" u="1"/>
        <s v="20-06-047" u="1"/>
        <s v="20-12-130" u="1"/>
        <s v="20-06-046" u="1"/>
        <s v="20-06-045" u="1"/>
        <s v="19-03-039" u="1"/>
        <s v="21-09-001" u="1"/>
        <s v="19-03-038" u="1"/>
        <s v="19-01-007" u="1"/>
        <s v="20-06-074" u="1"/>
        <s v="19-01-006" u="1"/>
        <s v="20-08-072" u="1"/>
        <s v="19-03-036" u="1"/>
        <s v="19-11-150" u="1"/>
        <s v="20-06-041" u="1"/>
        <s v="19-01-005" u="1"/>
      </sharedItems>
    </cacheField>
    <cacheField name="Sort Code" numFmtId="49">
      <sharedItems containsBlank="1"/>
    </cacheField>
    <cacheField name="Ofc Code" numFmtId="49">
      <sharedItems containsBlank="1"/>
    </cacheField>
    <cacheField name="Sub Code" numFmtId="49">
      <sharedItems containsNonDate="0" containsString="0" containsBlank="1"/>
    </cacheField>
    <cacheField name="CF Code" numFmtId="49">
      <sharedItems containsNonDate="0" containsString="0" containsBlank="1"/>
    </cacheField>
    <cacheField name="Particulars" numFmtId="49">
      <sharedItems containsBlank="1"/>
    </cacheField>
    <cacheField name="Account Name" numFmtId="0">
      <sharedItems/>
    </cacheField>
    <cacheField name="Account Code" numFmtId="49">
      <sharedItems containsBlank="1" count="89">
        <s v="111fo"/>
        <s v="111ro"/>
        <s v="411"/>
        <s v="921"/>
        <s v="321"/>
        <s v="923"/>
        <s v="323"/>
        <s v="144"/>
        <s v="403"/>
        <s v="255"/>
        <s v="270"/>
        <s v="401"/>
        <s v="755"/>
        <s v="155"/>
        <s v="955"/>
        <s v="352"/>
        <s v="501"/>
        <s v="221"/>
        <s v="223"/>
        <s v="769-1"/>
        <s v="769-2"/>
        <s v="169-3"/>
        <s v="169-15"/>
        <m/>
        <s v="771" u="1"/>
        <s v="772" u="1"/>
        <s v="773" u="1"/>
        <s v="148" u="1"/>
        <s v="774" u="1"/>
        <s v="779" u="1"/>
        <s v="701" u="1"/>
        <s v="705" u="1"/>
        <s v="761" u="1"/>
        <s v="765" u="1"/>
        <s v="766" u="1"/>
        <s v="169-13" u="1"/>
        <s v="767" u="1"/>
        <s v="926" u="1"/>
        <s v="123" u="1"/>
        <s v="751" u="1"/>
        <s v="753" u="1"/>
        <s v="756" u="1"/>
        <s v="759" u="1"/>
        <s v="884-3" u="1"/>
        <s v="412-5" u="1"/>
        <s v="439" u="1"/>
        <s v="414-5" u="1"/>
        <s v="512" u="1"/>
        <s v="412-3" u="1"/>
        <s v="413-3" u="1"/>
        <s v="412-1" u="1"/>
        <s v="413-1" u="1"/>
        <s v="414-1" u="1"/>
        <s v="892" u="1"/>
        <s v="742" u="1"/>
        <s v="893" u="1"/>
        <s v="971" u="1"/>
        <s v="821" u="1"/>
        <s v="424" u="1"/>
        <s v="426" u="1"/>
        <s v="651" u="1"/>
        <s v="653" u="1"/>
        <s v="104" u="1"/>
        <s v="731" u="1"/>
        <s v="106" u="1"/>
        <s v="732" u="1"/>
        <s v="733" u="1"/>
        <s v="734" u="1"/>
        <s v="719-9" u="1"/>
        <s v="412" u="1"/>
        <s v="413" u="1"/>
        <s v="414" u="1"/>
        <s v="969" u="1"/>
        <s v="415" u="1"/>
        <s v="799" u="1"/>
        <s v="724" u="1"/>
        <s v="725" u="1"/>
        <s v="878" u="1"/>
        <s v="784" u="1"/>
        <s v="236" u="1"/>
        <s v="711" u="1"/>
        <s v="412-4" u="1"/>
        <s v="414-4" u="1"/>
        <s v="715" u="1"/>
        <s v="412-2" u="1"/>
        <s v="717" u="1"/>
        <s v="414-2" u="1"/>
        <s v="290" u="1"/>
        <s v="169-2" u="1"/>
      </sharedItems>
    </cacheField>
    <cacheField name="Debit" numFmtId="164">
      <sharedItems containsString="0" containsBlank="1" containsNumber="1" minValue="332.86" maxValue="7134233.5"/>
    </cacheField>
    <cacheField name="Credit" numFmtId="164">
      <sharedItems containsString="0" containsBlank="1" containsNumber="1" minValue="332.86" maxValue="7134233.5"/>
    </cacheField>
    <cacheField name="Running Balance" numFmtId="39">
      <sharedItems containsSemiMixedTypes="0" containsString="0" containsNumber="1" minValue="0" maxValue="713423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930.692951504629" createdVersion="3" refreshedVersion="5" minRefreshableVersion="3" recordCount="589" xr:uid="{00000000-000A-0000-FFFF-FFFF17000000}">
  <cacheSource type="worksheet">
    <worksheetSource name="CkDJ"/>
  </cacheSource>
  <cacheFields count="16">
    <cacheField name="Date" numFmtId="191">
      <sharedItems containsNonDate="0" containsDate="1" containsString="0" containsBlank="1" minDate="2022-01-31T00:00:00" maxDate="2023-01-01T00:00:00"/>
    </cacheField>
    <cacheField name="Check Date" numFmtId="191">
      <sharedItems containsNonDate="0" containsDate="1" containsString="0" containsBlank="1" minDate="2022-01-14T00:00:00" maxDate="2022-12-30T00:00:00"/>
    </cacheField>
    <cacheField name="Check Number" numFmtId="49">
      <sharedItems containsBlank="1"/>
    </cacheField>
    <cacheField name="JEV Number" numFmtId="49">
      <sharedItems containsBlank="1" count="284">
        <s v="22-01-001"/>
        <s v="22-02-001"/>
        <s v="22-03-001"/>
        <s v="22-04-"/>
        <s v="22-05-"/>
        <s v="22-06-"/>
        <s v="22-07-"/>
        <s v="22-08-"/>
        <s v="22-09-"/>
        <s v="22-10-"/>
        <s v="22-11-"/>
        <s v="22-12-"/>
        <m/>
        <s v="20-03-014" u="1"/>
        <s v="19-12-155" u="1"/>
        <s v="18-04-087" u="1"/>
        <s v="20-02-007" u="1"/>
        <s v="20-12-106" u="1"/>
        <s v="20-04-030" u="1"/>
        <s v="19-05-071" u="1"/>
        <s v="20-03-015" u="1"/>
        <s v="19-04-056" u="1"/>
        <s v="20-12-107" u="1"/>
        <s v="2019-08-160" u="1"/>
        <s v="19-03-049" u="1"/>
        <s v="20-04-031" u="1"/>
        <s v="2019-08-161" u="1"/>
        <s v="2019-08-162" u="1"/>
        <s v="19-05-072" u="1"/>
        <s v="2019-08-163" u="1"/>
        <s v="21-01-001" u="1"/>
        <s v="20-03-016" u="1"/>
        <s v="2019-08-164" u="1"/>
        <s v="2019-08-150" u="1"/>
        <s v="19-04-057" u="1"/>
        <s v="2019-08-151" u="1"/>
        <s v="2019-02-020" u="1"/>
        <s v="2019-08-152" u="1"/>
        <s v="20-02-009" u="1"/>
        <s v="21-02-001" u="1"/>
        <s v="2019-08-153" u="1"/>
        <s v="21-10-001" u="1"/>
        <s v="20-12-108" u="1"/>
        <s v="2019-08-154" u="1"/>
        <s v="2019-08-155" u="1"/>
        <s v="2019-08-156" u="1"/>
        <s v="21-03-001" u="1"/>
        <s v="21-11-001" u="1"/>
        <s v="17-01-021A" u="1"/>
        <s v="2019-08-157" u="1"/>
        <s v="2019-08-158" u="1"/>
        <s v="19-04-058" u="1"/>
        <s v="2019-08-159" u="1"/>
        <s v="19-12-158" u="1"/>
        <s v="19-06-081" u="1"/>
        <s v="21-04-001" u="1"/>
        <s v="21-12-001" u="1"/>
        <s v="17-04-110" u="1"/>
        <s v="20-04-033" u="1"/>
        <s v="20-06-040" u="1"/>
        <s v="19-05-066" u="1"/>
        <s v="21-05-001" u="1"/>
        <s v="20-03-018" u="1"/>
        <s v="17-01-020" u="1"/>
        <s v="19-12-159" u="1"/>
        <s v="21-06-001" u="1"/>
        <s v="17-04-111" u="1"/>
        <s v="20-04-026" u="1"/>
        <s v="19-05-067" u="1"/>
        <s v="21-07-001" u="1"/>
        <s v="17-01-013" u="1"/>
        <s v="20-03-019" u="1"/>
        <s v="17-01-021" u="1"/>
        <s v="20-05-034" u="1"/>
        <s v="19-06-083" u="1"/>
        <s v="21-08-001" u="1"/>
        <s v="17-04-112" u="1"/>
        <s v="20-04-027" u="1"/>
        <s v="20-06-042" u="1"/>
        <s v="19-05-068" u="1"/>
        <s v="21-09-001" u="1"/>
        <s v="17-01-014" u="1"/>
        <s v="17-01-022" u="1"/>
        <s v="20-05-035" u="1"/>
        <s v="19-06-084" u="1"/>
        <s v="17-04-113" u="1"/>
        <s v="20-04-028" u="1"/>
        <s v="20-06-043" u="1"/>
        <s v="20-06-051" u="1"/>
        <s v="17-01-015" u="1"/>
        <s v="20-05-036" u="1"/>
        <s v="19-06-085" u="1"/>
        <s v="17-04-114" u="1"/>
        <s v="17-01-016" u="1"/>
        <s v="20-05-037" u="1"/>
        <s v="20-07-060" u="1"/>
        <s v="17-04-115" u="1"/>
        <s v="19-07-094" u="1"/>
        <s v="17-01-017" u="1"/>
        <s v="20-05-038" u="1"/>
        <s v="19-06-079" u="1"/>
        <s v="18-05-110B" u="1"/>
        <s v="17-04-116" u="1"/>
        <s v="19-07-095" u="1"/>
        <s v="17-01-018" u="1"/>
        <s v="18-05-110A" u="1"/>
        <s v="20-07-054" u="1"/>
        <s v="20-07-062" u="1"/>
        <s v="17-04-117" u="1"/>
        <s v="17-02-050" u="1"/>
        <s v="20-08-070" u="1"/>
        <s v="19-07-096" u="1"/>
        <s v="17-01-019" u="1"/>
        <s v="20-07-063" u="1"/>
        <s v="17-04-118" u="1"/>
        <s v="18-08-200" u="1"/>
        <s v="17-02-051" u="1"/>
        <s v="18-01-006A" u="1"/>
        <s v="20-08-071" u="1"/>
        <s v="19-07-097" u="1"/>
        <s v="18-05-110" u="1"/>
        <s v="20-10-090" u="1"/>
        <s v="20-07-064" u="1"/>
        <s v="17-04-119" u="1"/>
        <s v="18-08-201" u="1"/>
        <s v="18-18-200" u="1"/>
        <s v="20-06-049" u="1"/>
        <s v="17-02-052" u="1"/>
        <s v="18-01-005" u="1"/>
        <s v="18-05-111" u="1"/>
        <s v="20-10-091" u="1"/>
        <s v="18-08-202" u="1"/>
        <s v="17-02-053" u="1"/>
        <s v="18-01-006" u="1"/>
        <s v="19-07-099" u="1"/>
        <s v="18-05-112" u="1"/>
        <s v="20-10-092" u="1"/>
        <s v="22-07" u="1"/>
        <s v="20-07-058" u="1"/>
        <s v="20-09-073" u="1"/>
        <s v="18-08-203" u="1"/>
        <s v="18-06-130A" u="1"/>
        <s v="17-02-054" u="1"/>
        <s v="1475741" u="1"/>
        <s v="18-01-007" u="1"/>
        <s v="20-10-085" u="1"/>
        <s v="1475746" u="1"/>
        <s v="1475747" u="1"/>
        <s v="20-09-082" u="1"/>
        <s v="18-02-033A" u="1"/>
        <s v="18-06-131A" u="1"/>
        <s v="17-02-055" u="1"/>
        <s v="20-08-067" u="1"/>
        <s v="18-01-008" u="1"/>
        <s v="20-11-094" u="1"/>
        <s v="18-02-032" u="1"/>
        <s v="17-02-048" u="1"/>
        <s v="18-06-130" u="1"/>
        <s v="17-02-056" u="1"/>
        <s v="20-08-068" u="1"/>
        <s v="19-01-001" u="1"/>
        <s v="20-09-076" u="1"/>
        <s v="17-03-080" u="1"/>
        <s v="20-11-095" u="1"/>
        <s v="18-02-033" u="1"/>
        <s v="17-02-049" u="1"/>
        <s v="18-06-131" u="1"/>
        <s v="17-02-057" u="1"/>
        <s v="20-08-069" u="1"/>
        <s v="19-01-002" u="1"/>
        <s v="20-09-077" u="1"/>
        <s v="17-03-081" u="1"/>
        <s v="20-11-096" u="1"/>
        <s v="18-02-034" u="1"/>
        <s v="18-06-132" u="1"/>
        <s v="18-05-109" u="1"/>
        <s v="20-10-089" u="1"/>
        <s v="18-09-223" u="1"/>
        <s v="17-03-082" u="1"/>
        <s v="18-02-035" u="1"/>
        <s v="18-06-133" u="1"/>
        <s v="19-01-012" u="1"/>
        <s v="18-09-224" u="1"/>
        <s v="20-09-079" u="1"/>
        <s v="17-03-083" u="1"/>
        <s v="19-08-101" u="1"/>
        <s v="19-02-020" u="1"/>
        <s v="20-11-098" u="1"/>
        <s v="19-09-101" u="1"/>
        <s v="18-09-225" u="1"/>
        <s v="17-03-084" u="1"/>
        <s v="19-08-110" u="1"/>
        <s v="18-09-226" u="1"/>
        <s v="17-03-077" u="1"/>
        <s v="17-03-085" u="1"/>
        <s v="2019-7-010" u="1"/>
        <s v="18-03-056B" u="1"/>
        <s v="19-10-130" u="1"/>
        <s v="19-01-015" u="1"/>
        <s v="18-10-270" u="1"/>
        <s v="18-03-056A" u="1"/>
        <s v="17-03-078" u="1"/>
        <s v="17-03-086" u="1"/>
        <s v="19-02-023" u="1"/>
        <s v="18-06-129" u="1"/>
        <s v="19-02-031" u="1"/>
        <s v="19-01-008" u="1"/>
        <s v="18-10-271" u="1"/>
        <s v="19-09-112" u="1"/>
        <s v="19-09-120" u="1"/>
        <s v="18-03-055" u="1"/>
        <s v="17-03-079" u="1"/>
        <s v="19-10-132" u="1"/>
        <s v="19-01-017" u="1"/>
        <s v="18-10-272" u="1"/>
        <s v="19-09-121" u="1"/>
        <s v="19-03-040" u="1"/>
        <s v="18-03-056" u="1"/>
        <s v="19-11-140" u="1"/>
        <s v="18-07-164A" u="1"/>
        <s v="19-08-106" u="1"/>
        <s v="19-02-025" u="1"/>
        <s v="19-10-133" u="1"/>
        <s v="18-04-080" u="1"/>
        <s v="21-12-0001" u="1"/>
        <s v="18-10-273" u="1"/>
        <s v="18-03-057" u="1"/>
        <s v="19-11-141" u="1"/>
        <s v="18-07-163" u="1"/>
        <s v="19-08-107" u="1"/>
        <s v="20-01-001" u="1"/>
        <s v="20-11-100" u="1"/>
        <s v="19-10-134" u="1"/>
        <s v="18-04-081" u="1"/>
        <s v="20-02-001" u="1"/>
        <s v="18-03-058" u="1"/>
        <s v="19-11-142" u="1"/>
        <s v="18-07-164" u="1"/>
        <s v="19-08-108" u="1"/>
        <s v="20-01-002" u="1"/>
        <s v="2022-02-020" u="1"/>
        <s v="19-10-135" u="1"/>
        <s v="2022-02-021" u="1"/>
        <s v="2022-02-022" u="1"/>
        <s v="18-04-082" u="1"/>
        <s v="20-02-010" u="1"/>
        <s v="20-12-101" u="1"/>
        <s v="19-03-043" u="1"/>
        <s v="5-1" u="1"/>
        <s v="18-07-165" u="1"/>
        <s v="19-08-109" u="1"/>
        <s v="20-01-003" u="1"/>
        <s v="19-02-028" u="1"/>
        <s v="2022-02-013" u="1"/>
        <s v="2022-02-014" u="1"/>
        <s v="2022-02-015" u="1"/>
        <s v="18-04-083" u="1"/>
        <s v="2022-02-016" u="1"/>
        <s v="19-09-109" u="1"/>
        <s v="2022-02-017" u="1"/>
        <s v="19-09-125" u="1"/>
        <s v="2022-02-018" u="1"/>
        <s v="19-11-144" u="1"/>
        <s v="2022-02-019" u="1"/>
        <s v="18-07-166" u="1"/>
        <s v="19-04-060" u="1"/>
        <s v="19-12-152" u="1"/>
        <s v="18-04-084" u="1"/>
        <s v="19-09-118" u="1"/>
        <s v="20-02-012" u="1"/>
        <s v="19-03-037" u="1"/>
        <s v="18-07-167" u="1"/>
        <s v="20-01-005" u="1"/>
        <s v="19-04-053" u="1"/>
        <s v="18-04-085" u="1"/>
        <s v="19-09-119" u="1"/>
        <s v="20-02-013" u="1"/>
        <s v="19-03-046" u="1"/>
        <s v="19-11-146" u="1"/>
        <s v="20-01-006" u="1"/>
        <s v="19-04-062" u="1"/>
        <s v="19-12-162" u="1"/>
        <s v="18-04-086" u="1"/>
        <s v="20-12-105" u="1"/>
      </sharedItems>
    </cacheField>
    <cacheField name="Sort Code" numFmtId="49">
      <sharedItems containsBlank="1"/>
    </cacheField>
    <cacheField name="Ofc Code" numFmtId="49">
      <sharedItems containsBlank="1"/>
    </cacheField>
    <cacheField name="Sub Code" numFmtId="49">
      <sharedItems containsNonDate="0" containsString="0" containsBlank="1"/>
    </cacheField>
    <cacheField name="CF Code" numFmtId="49">
      <sharedItems containsNonDate="0" containsString="0" containsBlank="1"/>
    </cacheField>
    <cacheField name="Payee" numFmtId="0">
      <sharedItems containsBlank="1"/>
    </cacheField>
    <cacheField name="Particulars" numFmtId="49">
      <sharedItems containsBlank="1"/>
    </cacheField>
    <cacheField name="Account Name" numFmtId="0">
      <sharedItems count="118">
        <s v="Accounts Payable"/>
        <s v="Due to BIR - 5%"/>
        <s v="Due to BIR - 2%"/>
        <s v="Cash in Bank-Local Currency, Current Account - FO"/>
        <s v="Guaranty/Security Deposits Payable"/>
        <s v="Training Expenses"/>
        <s v="Due to BIR - 1%"/>
        <s v="Salaries and Wages-Regular"/>
        <s v="Personal Economic Relief Allowance (PERA)"/>
        <s v="Due to BIR - Compensation"/>
        <s v="Due to GSIS - Life and Retirement Premium"/>
        <s v="Due to Pag-IBIG - Pag-IBIG Premium"/>
        <s v="Due to Pag-IBIG - MP2"/>
        <s v="Due to PhilHealth"/>
        <s v="Trust Liabilities - Disallowances / Charges"/>
        <s v="Retirement and Life Insurance Premiums"/>
        <s v="Employees Compensation Insurance Premiums"/>
        <s v="Pag-IBIG Contributions"/>
        <s v="PhilHealth Contributions"/>
        <s v="Office Supplies Expenses"/>
        <s v="Semi-Expendable Furniture, Fixtures and Books Expenses"/>
        <s v="Clothing/Uniform Allowance"/>
        <s v="Information and Communications Technology Equipment"/>
        <s v="Semi-Expendable Machinery and Equipment Expenses"/>
        <s v="Office Supplies Inventory"/>
        <s v="Other Maintenance and Operating Expenses - Other Maintenance and Operating Expenses"/>
        <s v="Due to the Treasurer of the Philippines"/>
        <s v="Traveling Expenses-Local"/>
        <s v="Mid-Year/Year End Bonus"/>
        <s v="Due to Officers and Employees"/>
        <s v="Semi-Expendable Information and Communications Technology Equipment"/>
        <s v="Accumulated Surplus/(Deficit) (Government Equity)"/>
        <s v="Advances to Contractors"/>
        <s v="Semi-Expendable Furniture and Fixtures"/>
        <s v="Office Equipment"/>
        <s v="Construction in Progress-Infrastructure Assets (Irrigation, Canals and Laterals)"/>
        <s v="Bank Charges"/>
        <s v="Other Payables"/>
        <s v="Due to BIR"/>
        <s v="Semi-Expendable Office Equipment"/>
        <s v="Cash Gift"/>
        <s v="Due to Pag-IBIG"/>
        <s v="Due to Pag-IBIG - Pag-IBIG Multi-Purpose Loan"/>
        <s v="Productivity Incentive Allowance"/>
        <s v="Other Bonuses and Allowances - Productivity Enhancement Incentive-Civilian"/>
        <s v="Other Supplies and Materials Expenses"/>
        <s v="Fuel, Oil and Lubricants Expenses"/>
        <s v=""/>
        <s v="Water Expenses" u="1"/>
        <s v="Petty Cash" u="1"/>
        <s v="Cash in Bank-Local Currency, Current Account - RO" u="1"/>
        <s v="Repairs and Maintenance-Buildings and Other Structures - Other Structures" u="1"/>
        <s v="Other Compensation Personal Economic Relief Allowance (PERA)" u="1"/>
        <s v="Other Personnel Benefits - Other Personnel Benefits" u="1"/>
        <s v="Insurance Expenses" u="1"/>
        <e v="#N/A" u="1"/>
        <s v="Other Utility Expenses" u="1"/>
        <s v="Due to GSIS - ECC" u="1"/>
        <s v="Hazard Pay" u="1"/>
        <s v="Due to BIR - 3%" u="1"/>
        <s v="Telephone Expenses - Mobile" u="1"/>
        <s v="Due to Pag-IBIG - Calamity Loan" u="1"/>
        <s v="Honoraria" u="1"/>
        <s v="Due from Officers and Employees" u="1"/>
        <s v="Subsidy from Central Office" u="1"/>
        <s v="Transportation and Delivery Expenses" u="1"/>
        <s v="Advances for Payroll" u="1"/>
        <s v="Due from Other Funds" u="1"/>
        <s v="Cash in Bank-Local Currency, Current Account" u="1"/>
        <s v="Repairs and Maintenance-Machinery and Equipment - Other Machinery and Equipment" u="1"/>
        <s v="Internet Subscription Expenses" u="1"/>
        <s v="Due to GSIS - Policy Loan" u="1"/>
        <s v="Drugs and Medicines Expenses" u="1"/>
        <s v="Longevity Pay" u="1"/>
        <s v="Awards/Rewards Expenses" u="1"/>
        <s v="Terminal Leave Benefits" u="1"/>
        <s v="Cash in Bank-Local Currency, Current Account F.O" u="1"/>
        <s v="Membership Dues and Contributions to Organizations" u="1"/>
        <s v="Other Maintenance and Operating Expenses" u="1"/>
        <s v="Repairs and Maintenance-Transportation Equipment - Motor Vehicles" u="1"/>
        <s v="Communication Equipment" u="1"/>
        <s v="Repairs and Maintenance-Buildings and Other Structures - Buildings" u="1"/>
        <s v="Other Receivables" u="1"/>
        <s v="Bail Bonds Payable" u="1"/>
        <s v="Accountable Forms Expenses" u="1"/>
        <s v="Overtime and Night Pay" u="1"/>
        <s v="Printing and Publication Expenses" u="1"/>
        <s v="Due to GSIS" u="1"/>
        <s v="Mid-Year Bonus" u="1"/>
        <s v="Due to GSIS - Emergency Loan" u="1"/>
        <s v="Repairs and Maintenance-Machinery and Equipment - Construction and Heavy Equipment" u="1"/>
        <s v="Interest Income" u="1"/>
        <s v="Other Bonuses and Allowances - Children Allowance" u="1"/>
        <s v="Other Bonuses and Allowances - Meal Allowance" u="1"/>
        <s v="Due to Other Funds" u="1"/>
        <s v="Due to GSIS - Salary Loan" u="1"/>
        <s v="Repairs and Maintenance-Machinery and Equipment - Machinery" u="1"/>
        <s v="Other Bonuses and Allowances - Performance Based Bonus-Civilian" u="1"/>
        <s v="Salaries and Wages-Casual/Contractual" u="1"/>
        <s v="Rent/Lease Expenses" u="1"/>
        <s v="Repairs and Maintenance-Transportation Equipment - Other Transportation Equipment" u="1"/>
        <s v="Other Bonuses and Allowances - Medical Allowance" u="1"/>
        <s v="Traveling Expenses-Foreign" u="1"/>
        <s v="Taxes, Duties and Licenses" u="1"/>
        <s v="Cable, Satellite, Telegraph and Radio Expenses" u="1"/>
        <s v="Repairs and Maintenance-Machinery and Equipment - Office Equipment" u="1"/>
        <s v="Advances to Special Disbursing Officer" u="1"/>
        <s v="Advances to Officers and Employees" u="1"/>
        <s v="Representation Expenses" u="1"/>
        <s v="Other Maintenance and Operating Expenses (Irrigator's Share/Remuneration/Subsidy)" u="1"/>
        <s v="Other Personnel Benefits" u="1"/>
        <s v="Representation Allowance (RA)" u="1"/>
        <s v="Electricity Expenses" u="1"/>
        <s v="Telephone Expenses - Landline" u="1"/>
        <s v="Postage and Courier Expenses" u="1"/>
        <s v="Auditing Services" u="1"/>
        <s v="Due to NGAs" u="1"/>
        <s v="Fidelity Bond Premiums" u="1"/>
      </sharedItems>
    </cacheField>
    <cacheField name="Account Code" numFmtId="49">
      <sharedItems containsBlank="1" containsMixedTypes="1" containsNumber="1" containsInteger="1" minValue="0" maxValue="965" count="84">
        <s v="401"/>
        <s v="412-2"/>
        <s v="412-4"/>
        <s v="111fo"/>
        <s v="426"/>
        <s v="753"/>
        <s v="412-5"/>
        <s v="701"/>
        <s v="711"/>
        <s v="412-1"/>
        <s v="413-1"/>
        <s v="414-1"/>
        <s v="414-5"/>
        <s v="415"/>
        <s v="428"/>
        <s v="731"/>
        <s v="734"/>
        <s v="732"/>
        <s v="733"/>
        <s v="755"/>
        <s v="769-2"/>
        <s v="715"/>
        <s v="223"/>
        <s v="769-1"/>
        <s v="155"/>
        <s v="969"/>
        <s v="411"/>
        <s v="751"/>
        <s v="725"/>
        <s v="403"/>
        <s v="169-3"/>
        <s v="501"/>
        <s v="181"/>
        <s v="169-15"/>
        <s v="221"/>
        <s v="270"/>
        <s v="971"/>
        <s v="439"/>
        <s v="412"/>
        <s v="169-2"/>
        <s v="724"/>
        <s v="414"/>
        <s v="414-2"/>
        <s v="717"/>
        <s v="719-9"/>
        <s v="765"/>
        <s v="761"/>
        <m/>
        <n v="0" u="1"/>
        <n v="403" u="1"/>
        <n v="773" u="1"/>
        <n v="401" u="1"/>
        <n v="767" u="1"/>
        <n v="759" u="1"/>
        <n v="753" u="1"/>
        <n v="965" u="1"/>
        <n v="751" u="1"/>
        <n v="106" u="1"/>
        <n v="439" u="1"/>
        <n v="792" u="1"/>
        <n v="841" u="1"/>
        <n v="733" u="1"/>
        <n v="731" u="1"/>
        <n v="103" u="1"/>
        <n v="723" u="1"/>
        <n v="774" u="1"/>
        <n v="772" u="1"/>
        <n v="715" u="1"/>
        <n v="426" u="1"/>
        <n v="713" u="1"/>
        <n v="766" u="1"/>
        <n v="711" u="1"/>
        <n v="705" u="1"/>
        <n v="701" u="1"/>
        <n v="415" u="1"/>
        <n v="414" u="1"/>
        <n v="742" u="1"/>
        <n v="148" u="1"/>
        <n v="413" u="1"/>
        <n v="412" u="1"/>
        <n v="111" u="1"/>
        <n v="734" u="1"/>
        <n v="893" u="1"/>
        <n v="732" u="1"/>
      </sharedItems>
    </cacheField>
    <cacheField name="Debit" numFmtId="164">
      <sharedItems containsString="0" containsBlank="1" containsNumber="1" minValue="62.37" maxValue="3950004.55"/>
    </cacheField>
    <cacheField name="Credit" numFmtId="164">
      <sharedItems containsString="0" containsBlank="1" containsNumber="1" minValue="62.37" maxValue="2715681.89"/>
    </cacheField>
    <cacheField name="ASA #" numFmtId="0">
      <sharedItems containsBlank="1" containsMixedTypes="1" containsNumber="1" containsInteger="1" minValue="200120" maxValue="220136"/>
    </cacheField>
    <cacheField name="Running Balance" numFmtId="39">
      <sharedItems containsSemiMixedTypes="0" containsString="0" containsNumber="1" minValue="0" maxValue="3950004.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">
  <r>
    <x v="0"/>
    <x v="0"/>
    <m/>
    <m/>
    <m/>
    <m/>
    <m/>
    <x v="0"/>
    <x v="0"/>
    <m/>
    <m/>
    <n v="0"/>
  </r>
  <r>
    <x v="0"/>
    <x v="1"/>
    <m/>
    <m/>
    <m/>
    <m/>
    <m/>
    <x v="0"/>
    <x v="0"/>
    <m/>
    <m/>
    <n v="0"/>
  </r>
  <r>
    <x v="0"/>
    <x v="1"/>
    <m/>
    <m/>
    <m/>
    <m/>
    <m/>
    <x v="0"/>
    <x v="0"/>
    <m/>
    <m/>
    <n v="0"/>
  </r>
  <r>
    <x v="0"/>
    <x v="1"/>
    <m/>
    <m/>
    <m/>
    <m/>
    <m/>
    <x v="0"/>
    <x v="0"/>
    <m/>
    <m/>
    <n v="0"/>
  </r>
  <r>
    <x v="1"/>
    <x v="1"/>
    <m/>
    <m/>
    <m/>
    <m/>
    <m/>
    <x v="0"/>
    <x v="0"/>
    <m/>
    <m/>
    <n v="0"/>
  </r>
  <r>
    <x v="1"/>
    <x v="1"/>
    <m/>
    <m/>
    <m/>
    <m/>
    <m/>
    <x v="0"/>
    <x v="0"/>
    <m/>
    <m/>
    <n v="0"/>
  </r>
  <r>
    <x v="1"/>
    <x v="1"/>
    <m/>
    <m/>
    <m/>
    <m/>
    <m/>
    <x v="0"/>
    <x v="0"/>
    <m/>
    <m/>
    <n v="0"/>
  </r>
  <r>
    <x v="1"/>
    <x v="1"/>
    <m/>
    <m/>
    <m/>
    <m/>
    <m/>
    <x v="0"/>
    <x v="0"/>
    <m/>
    <m/>
    <n v="0"/>
  </r>
  <r>
    <x v="2"/>
    <x v="1"/>
    <m/>
    <m/>
    <m/>
    <m/>
    <m/>
    <x v="0"/>
    <x v="0"/>
    <m/>
    <m/>
    <n v="0"/>
  </r>
  <r>
    <x v="2"/>
    <x v="1"/>
    <m/>
    <m/>
    <m/>
    <m/>
    <m/>
    <x v="0"/>
    <x v="0"/>
    <m/>
    <m/>
    <n v="0"/>
  </r>
  <r>
    <x v="2"/>
    <x v="1"/>
    <m/>
    <m/>
    <m/>
    <m/>
    <m/>
    <x v="0"/>
    <x v="0"/>
    <m/>
    <m/>
    <n v="0"/>
  </r>
  <r>
    <x v="2"/>
    <x v="1"/>
    <m/>
    <m/>
    <m/>
    <m/>
    <m/>
    <x v="0"/>
    <x v="0"/>
    <m/>
    <m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">
  <r>
    <d v="2020-01-31T00:00:00"/>
    <d v="2020-01-23T00:00:00"/>
    <s v="01-501CARP-2020-01-001"/>
    <x v="0"/>
    <s v="3"/>
    <m/>
    <m/>
    <m/>
    <s v="Mario N. Raboy, et. Al"/>
    <s v="Payment of salaries and allowances of  Monthly Co-Terminus CARP employees for the period January 1-31, 2020"/>
    <x v="0"/>
    <x v="0"/>
    <n v="50693"/>
    <m/>
    <m/>
    <n v="50693"/>
  </r>
  <r>
    <d v="2020-01-31T00:00:00"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  <r>
    <m/>
    <m/>
    <m/>
    <x v="1"/>
    <m/>
    <m/>
    <m/>
    <m/>
    <m/>
    <m/>
    <x v="1"/>
    <x v="1"/>
    <m/>
    <m/>
    <m/>
    <n v="506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">
  <r>
    <d v="2022-02-28T00:00:00"/>
    <x v="0"/>
    <s v="5"/>
    <s v="5-1"/>
    <m/>
    <m/>
    <s v="To take up receipt of ADA for the month of Feb 2022"/>
    <s v="Cash in Bank-Local Currency, Current Account - FO"/>
    <x v="0"/>
    <n v="184712.92"/>
    <m/>
    <n v="184712.92"/>
  </r>
  <r>
    <d v="2022-02-28T00:00:00"/>
    <x v="0"/>
    <s v="5"/>
    <s v="5-1"/>
    <m/>
    <m/>
    <s v="To take up receipt of ADA for the month of Feb 2022"/>
    <s v="Cash in Bank-Local Currency, Current Account - RO"/>
    <x v="1"/>
    <m/>
    <n v="184712.92"/>
    <n v="0"/>
  </r>
  <r>
    <d v="2022-03-31T00:00:00"/>
    <x v="1"/>
    <s v="5"/>
    <s v="5-1"/>
    <m/>
    <m/>
    <s v="To recognize interest Income earned for 1th QTR of cy 2022"/>
    <s v="Cash in Bank-Local Currency, Current Account - FO"/>
    <x v="0"/>
    <n v="332.86"/>
    <m/>
    <n v="332.86"/>
  </r>
  <r>
    <d v="2022-03-31T00:00:00"/>
    <x v="1"/>
    <s v="5"/>
    <s v="5-1"/>
    <m/>
    <m/>
    <s v="To recognize interest Income earned for 1th QTR of cy 2022"/>
    <s v="Due to the Treasurer of the Philippines"/>
    <x v="2"/>
    <m/>
    <n v="332.86"/>
    <n v="0"/>
  </r>
  <r>
    <d v="2022-03-31T00:00:00"/>
    <x v="1"/>
    <s v="5"/>
    <s v="5-1"/>
    <m/>
    <m/>
    <s v="To take up receipt of ADA for the month of Mar 2022"/>
    <s v="Cash in Bank-Local Currency, Current Account - FO"/>
    <x v="0"/>
    <n v="86356.46"/>
    <m/>
    <n v="86356.46"/>
  </r>
  <r>
    <d v="2022-03-31T00:00:00"/>
    <x v="1"/>
    <s v="5"/>
    <s v="5-1"/>
    <m/>
    <m/>
    <s v="To take up receipt of ADA for the month of Mar 2022"/>
    <s v="Cash in Bank-Local Currency, Current Account - RO"/>
    <x v="1"/>
    <m/>
    <n v="86356.46"/>
    <n v="0"/>
  </r>
  <r>
    <d v="2022-04-30T00:00:00"/>
    <x v="2"/>
    <s v="5"/>
    <s v="5-1"/>
    <m/>
    <m/>
    <s v="To take up receipt of ADA for the month of Apr 2022"/>
    <s v="Cash in Bank-Local Currency, Current Account - FO"/>
    <x v="0"/>
    <n v="641250"/>
    <m/>
    <n v="641250"/>
  </r>
  <r>
    <d v="2022-04-30T00:00:00"/>
    <x v="2"/>
    <s v="5"/>
    <s v="5-1"/>
    <m/>
    <m/>
    <s v="To take up receipt of ADA for the month of Apr 2022"/>
    <s v="Cash in Bank-Local Currency, Current Account - RO"/>
    <x v="1"/>
    <m/>
    <n v="641250"/>
    <n v="0"/>
  </r>
  <r>
    <d v="2022-04-30T00:00:00"/>
    <x v="2"/>
    <s v="5"/>
    <s v="5-1"/>
    <m/>
    <m/>
    <s v="To take up receipt of ADA for the month of Apr 2022"/>
    <s v="Cash in Bank-Local Currency, Current Account - FO"/>
    <x v="0"/>
    <n v="1710000"/>
    <m/>
    <n v="1710000"/>
  </r>
  <r>
    <d v="2022-04-30T00:00:00"/>
    <x v="2"/>
    <s v="5"/>
    <s v="5-1"/>
    <m/>
    <m/>
    <s v="To take up receipt of ADA for the month of Apr 2022"/>
    <s v="Cash in Bank-Local Currency, Current Account - RO"/>
    <x v="1"/>
    <m/>
    <n v="1710000"/>
    <n v="0"/>
  </r>
  <r>
    <d v="2022-04-30T00:00:00"/>
    <x v="2"/>
    <s v="5"/>
    <s v="5-1"/>
    <m/>
    <m/>
    <s v="To take up receipt of ADA for the month of Apr 2022"/>
    <s v="Cash in Bank-Local Currency, Current Account - FO"/>
    <x v="0"/>
    <n v="45000"/>
    <m/>
    <n v="45000"/>
  </r>
  <r>
    <d v="2022-04-30T00:00:00"/>
    <x v="2"/>
    <s v="5"/>
    <s v="5-1"/>
    <m/>
    <m/>
    <s v="To take up receipt of ADA for the month of Apr 2022"/>
    <s v="Cash in Bank-Local Currency, Current Account - RO"/>
    <x v="1"/>
    <m/>
    <n v="45000"/>
    <n v="0"/>
  </r>
  <r>
    <d v="2022-04-30T00:00:00"/>
    <x v="2"/>
    <s v="5"/>
    <s v="5-1"/>
    <m/>
    <m/>
    <s v="To take up receipt of ADA for the month of Apr 2022"/>
    <s v="Cash in Bank-Local Currency, Current Account - FO"/>
    <x v="0"/>
    <n v="96774.62"/>
    <m/>
    <n v="96774.62"/>
  </r>
  <r>
    <d v="2022-04-30T00:00:00"/>
    <x v="2"/>
    <s v="5"/>
    <s v="5-1"/>
    <m/>
    <m/>
    <s v="To take up receipt of ADA for the month of Apr 2022"/>
    <s v="Cash in Bank-Local Currency, Current Account - RO"/>
    <x v="1"/>
    <m/>
    <n v="96774.62"/>
    <n v="0"/>
  </r>
  <r>
    <d v="2022-04-30T00:00:00"/>
    <x v="2"/>
    <s v="5"/>
    <s v="5-1"/>
    <m/>
    <m/>
    <s v="To record accumulated depreciation of Office Equipment -1st quarter of year 2022"/>
    <s v="Depreciation-Machinery and Equipment - Office Equipment"/>
    <x v="3"/>
    <n v="15358.6"/>
    <m/>
    <n v="15358.6"/>
  </r>
  <r>
    <d v="2022-04-30T00:00:00"/>
    <x v="2"/>
    <s v="5"/>
    <s v="5-1"/>
    <m/>
    <m/>
    <s v="To record accumulated depreciation of Office Equipment -1st quarter of year 2022"/>
    <s v="Accumulated Depreciation-Office Equipment"/>
    <x v="4"/>
    <m/>
    <n v="15358.6"/>
    <n v="0"/>
  </r>
  <r>
    <d v="2022-04-30T00:00:00"/>
    <x v="2"/>
    <s v="5"/>
    <s v="5-1"/>
    <m/>
    <m/>
    <s v="To record accumulated depreciation of ICT Equipment -1st quarter of year 2022"/>
    <s v="Depreciation-Machinery and Equipment - ICT Equipment"/>
    <x v="5"/>
    <n v="15467.91"/>
    <m/>
    <n v="15467.91"/>
  </r>
  <r>
    <d v="2022-04-30T00:00:00"/>
    <x v="2"/>
    <s v="5"/>
    <s v="5-1"/>
    <m/>
    <m/>
    <s v="To record accumulated depreciation of ICT Equipment -1st quarter of year 2022"/>
    <s v="Accumulated Depreciation-Information and Communications Technology Equipment"/>
    <x v="6"/>
    <m/>
    <n v="15467.91"/>
    <n v="0"/>
  </r>
  <r>
    <d v="2022-05-31T00:00:00"/>
    <x v="3"/>
    <s v="5"/>
    <s v="5-1"/>
    <m/>
    <m/>
    <s v="To set up accounts payable for the payment of salary differential &amp; year end bonus 2021 from FUND 501 TRUST "/>
    <s v="Due from Other Funds"/>
    <x v="7"/>
    <n v="35251.82"/>
    <m/>
    <n v="35251.82"/>
  </r>
  <r>
    <d v="2022-05-31T00:00:00"/>
    <x v="3"/>
    <s v="5"/>
    <s v="5-1"/>
    <m/>
    <m/>
    <s v="To set up accounts payable for the payment of salary differential &amp; year end bonus 2021 from FUND 501 TRUST "/>
    <s v="Due to Officers and Employees"/>
    <x v="8"/>
    <m/>
    <n v="35251.82"/>
    <n v="0"/>
  </r>
  <r>
    <d v="2022-05-31T00:00:00"/>
    <x v="3"/>
    <s v="5"/>
    <s v="5-1"/>
    <m/>
    <m/>
    <s v="To take up receipt of ADA for the month of May 2022"/>
    <s v="Cash in Bank-Local Currency, Current Account - FO"/>
    <x v="0"/>
    <n v="96774.62"/>
    <m/>
    <n v="96774.62"/>
  </r>
  <r>
    <d v="2022-05-31T00:00:00"/>
    <x v="3"/>
    <s v="5"/>
    <s v="5-1"/>
    <m/>
    <m/>
    <s v="To take up receipt of ADA for the month of May 2022"/>
    <s v="Cash in Bank-Local Currency, Current Account - RO"/>
    <x v="1"/>
    <m/>
    <n v="96774.62"/>
    <n v="0"/>
  </r>
  <r>
    <d v="2022-05-31T00:00:00"/>
    <x v="3"/>
    <s v="5"/>
    <s v="5-1"/>
    <m/>
    <m/>
    <s v="To take up receipt of ADA for the month of May 2022"/>
    <s v="Cash in Bank-Local Currency, Current Account - FO"/>
    <x v="0"/>
    <n v="79449"/>
    <m/>
    <n v="79449"/>
  </r>
  <r>
    <d v="2022-05-31T00:00:00"/>
    <x v="3"/>
    <s v="5"/>
    <s v="5-1"/>
    <m/>
    <m/>
    <s v="To take up receipt of ADA for the month of May 2022"/>
    <s v="Cash in Bank-Local Currency, Current Account - RO"/>
    <x v="1"/>
    <m/>
    <n v="79449"/>
    <n v="0"/>
  </r>
  <r>
    <d v="2022-05-31T00:00:00"/>
    <x v="3"/>
    <s v="5"/>
    <s v="5-1"/>
    <m/>
    <m/>
    <s v="To take up receipt of ADA for the month of May 2022"/>
    <s v="Cash in Bank-Local Currency, Current Account - FO"/>
    <x v="0"/>
    <n v="2137500"/>
    <m/>
    <n v="2137500"/>
  </r>
  <r>
    <d v="2022-05-31T00:00:00"/>
    <x v="3"/>
    <s v="5"/>
    <s v="5-1"/>
    <m/>
    <m/>
    <s v="To take up receipt of ADA for the month of May 2022"/>
    <s v="Cash in Bank-Local Currency, Current Account - RO"/>
    <x v="1"/>
    <m/>
    <n v="2137500"/>
    <n v="0"/>
  </r>
  <r>
    <d v="2022-05-31T00:00:00"/>
    <x v="3"/>
    <s v="5"/>
    <s v="5-1"/>
    <m/>
    <m/>
    <s v="To take up receipt of ADA for the month of May 2022"/>
    <s v="Cash in Bank-Local Currency, Current Account - FO"/>
    <x v="0"/>
    <n v="51402.400000000001"/>
    <m/>
    <n v="51402.400000000001"/>
  </r>
  <r>
    <d v="2022-05-31T00:00:00"/>
    <x v="3"/>
    <s v="5"/>
    <s v="5-1"/>
    <m/>
    <m/>
    <s v="To take up receipt of ADA for the month of May 2022"/>
    <s v="Cash in Bank-Local Currency, Current Account - RO"/>
    <x v="1"/>
    <m/>
    <n v="51402.400000000001"/>
    <n v="0"/>
  </r>
  <r>
    <d v="2022-06-30T00:00:00"/>
    <x v="4"/>
    <s v="5"/>
    <s v="5-1"/>
    <m/>
    <m/>
    <s v="To recognize interest Income earned for 1th QTR of cy 2022"/>
    <s v="Cash in Bank-Local Currency, Current Account - FO"/>
    <x v="0"/>
    <n v="605.75"/>
    <m/>
    <n v="605.75"/>
  </r>
  <r>
    <d v="2022-06-30T00:00:00"/>
    <x v="4"/>
    <s v="5"/>
    <s v="5-1"/>
    <m/>
    <m/>
    <s v="To recognize interest Income earned for 1th QTR of cy 2022"/>
    <s v="Due to the Treasurer of the Philippines"/>
    <x v="2"/>
    <m/>
    <n v="605.75"/>
    <n v="0"/>
  </r>
  <r>
    <d v="2022-06-30T00:00:00"/>
    <x v="4"/>
    <s v="5"/>
    <s v="5-1"/>
    <m/>
    <m/>
    <s v="To take up receipt of ADA for the month of Jun 2022"/>
    <s v="Cash in Bank-Local Currency, Current Account - FO"/>
    <x v="0"/>
    <n v="103171.86"/>
    <m/>
    <n v="103171.86"/>
  </r>
  <r>
    <d v="2022-06-30T00:00:00"/>
    <x v="4"/>
    <s v="5"/>
    <s v="5-1"/>
    <m/>
    <m/>
    <s v="To take up receipt of ADA for the month of Jun 2022"/>
    <s v="Cash in Bank-Local Currency, Current Account - RO"/>
    <x v="1"/>
    <m/>
    <n v="103171.86"/>
    <n v="0"/>
  </r>
  <r>
    <d v="2022-06-30T00:00:00"/>
    <x v="4"/>
    <s v="5"/>
    <s v="5-1"/>
    <m/>
    <m/>
    <s v="To record accumulated depreciation of Office Equipment -2nd quarter of year 2022"/>
    <s v="Depreciation-Machinery and Equipment - Office Equipment"/>
    <x v="3"/>
    <n v="15358.6"/>
    <m/>
    <n v="15358.6"/>
  </r>
  <r>
    <d v="2022-06-30T00:00:00"/>
    <x v="4"/>
    <s v="5"/>
    <s v="5-1"/>
    <m/>
    <m/>
    <s v="To record accumulated depreciation of Office Equipment -2nd quarter of year 2022"/>
    <s v="Accumulated Depreciation-Office Equipment"/>
    <x v="4"/>
    <m/>
    <n v="15358.6"/>
    <n v="0"/>
  </r>
  <r>
    <d v="2022-06-30T00:00:00"/>
    <x v="4"/>
    <s v="5"/>
    <s v="5-1"/>
    <m/>
    <m/>
    <s v="To record accumulated depreciation of ICT Equipment -2nd quarter of year 2022"/>
    <s v="Depreciation-Machinery and Equipment - ICT Equipment"/>
    <x v="5"/>
    <n v="21737.919999999998"/>
    <m/>
    <n v="21737.919999999998"/>
  </r>
  <r>
    <d v="2022-06-30T00:00:00"/>
    <x v="4"/>
    <s v="5"/>
    <s v="5-1"/>
    <m/>
    <m/>
    <s v="To record accumulated depreciation of ICT Equipment -2nd quarter of year 2022"/>
    <s v="Accumulated Depreciation-Information and Communications Technology Equipment"/>
    <x v="6"/>
    <m/>
    <n v="21737.919999999998"/>
    <n v="0"/>
  </r>
  <r>
    <d v="2022-07-31T00:00:00"/>
    <x v="5"/>
    <s v="5"/>
    <s v="5-1"/>
    <m/>
    <m/>
    <s v="To reclassify completed projects to Water Supply System(R1-PIMO-21-01-020 Luna Este CY 2021)"/>
    <s v="Water Supply Systems"/>
    <x v="9"/>
    <n v="7134233.5"/>
    <m/>
    <n v="7134233.5"/>
  </r>
  <r>
    <d v="2022-07-31T00:00:00"/>
    <x v="5"/>
    <s v="5"/>
    <s v="5-1"/>
    <m/>
    <m/>
    <s v="To reclassify completed projects to Water Supply System(R1-PIMO-21-01-020 Luna Este CY 2021)"/>
    <s v="Construction in Progress-Infrastructure Assets (Irrigation, Canals and Laterals)"/>
    <x v="10"/>
    <m/>
    <n v="7134233.5"/>
    <n v="0"/>
  </r>
  <r>
    <d v="2022-07-31T00:00:00"/>
    <x v="5"/>
    <s v="5"/>
    <s v="5-1"/>
    <m/>
    <m/>
    <s v="To establish Accounts Payable with 100% physical accomplishment and to reclass corresponding CIP to WSS(PIMO)"/>
    <s v="Construction in Progress-Infrastructure Assets (Irrigation, Canals and Laterals)"/>
    <x v="10"/>
    <n v="1364697.65"/>
    <m/>
    <n v="1364697.65"/>
  </r>
  <r>
    <d v="2022-07-31T00:00:00"/>
    <x v="5"/>
    <s v="5"/>
    <s v="5-1"/>
    <m/>
    <m/>
    <s v="To establish Accounts Payable with 100% physical accomplishment and to reclass corresponding CIP to WSS(PIMO)"/>
    <s v="Accounts Payable"/>
    <x v="11"/>
    <m/>
    <n v="1364697.65"/>
    <n v="0"/>
  </r>
  <r>
    <d v="2022-07-31T00:00:00"/>
    <x v="5"/>
    <s v="5"/>
    <s v="5-1"/>
    <m/>
    <m/>
    <s v="To record office supplies expenses as of july 2022"/>
    <s v="Office Supplies Expenses"/>
    <x v="12"/>
    <n v="2912"/>
    <m/>
    <n v="2912"/>
  </r>
  <r>
    <d v="2022-07-31T00:00:00"/>
    <x v="5"/>
    <s v="5"/>
    <s v="5-1"/>
    <m/>
    <m/>
    <s v="To record office supplies expenses as of july 2022"/>
    <s v="Office Supplies Inventory"/>
    <x v="13"/>
    <m/>
    <n v="2912"/>
    <n v="0"/>
  </r>
  <r>
    <d v="2022-07-31T00:00:00"/>
    <x v="5"/>
    <s v="5"/>
    <s v="5-1"/>
    <m/>
    <m/>
    <s v="To recognize receive of cash for the payment of salary differential &amp; year end bonus"/>
    <s v="Cash in Bank-Local Currency, Current Account - FO"/>
    <x v="0"/>
    <n v="35251.82"/>
    <m/>
    <n v="35251.82"/>
  </r>
  <r>
    <d v="2022-07-31T00:00:00"/>
    <x v="5"/>
    <s v="5"/>
    <s v="5-1"/>
    <m/>
    <m/>
    <s v="To recognize receive of cash for the payment of salary differential &amp; year end bonus"/>
    <s v="Due from Other Funds"/>
    <x v="7"/>
    <m/>
    <n v="35251.82"/>
    <n v="0"/>
  </r>
  <r>
    <d v="2022-07-31T00:00:00"/>
    <x v="5"/>
    <s v="5"/>
    <s v="5-1"/>
    <m/>
    <m/>
    <s v="To take up receipt of ADA for the month of Jul 2022"/>
    <s v="Cash in Bank-Local Currency, Current Account - FO"/>
    <x v="0"/>
    <n v="39000"/>
    <m/>
    <n v="39000"/>
  </r>
  <r>
    <d v="2022-07-31T00:00:00"/>
    <x v="5"/>
    <s v="5"/>
    <s v="5-1"/>
    <m/>
    <m/>
    <s v="To take up receipt of ADA for the month of Jul 2022"/>
    <s v="Cash in Bank-Local Currency, Current Account - RO"/>
    <x v="1"/>
    <m/>
    <n v="39000"/>
    <n v="0"/>
  </r>
  <r>
    <d v="2022-07-31T00:00:00"/>
    <x v="5"/>
    <s v="5"/>
    <s v="5-1"/>
    <m/>
    <m/>
    <s v="To take up receipt of ADA for the month of Jul 2022"/>
    <s v="Cash in Bank-Local Currency, Current Account - FO"/>
    <x v="0"/>
    <n v="175171.86"/>
    <m/>
    <n v="175171.86"/>
  </r>
  <r>
    <d v="2022-07-31T00:00:00"/>
    <x v="5"/>
    <s v="5"/>
    <s v="5-1"/>
    <m/>
    <m/>
    <s v="To take up receipt of ADA for the month of Jul 2022"/>
    <s v="Cash in Bank-Local Currency, Current Account - RO"/>
    <x v="1"/>
    <m/>
    <n v="175171.86"/>
    <n v="0"/>
  </r>
  <r>
    <d v="2022-07-31T00:00:00"/>
    <x v="5"/>
    <s v="5"/>
    <s v="5-1"/>
    <m/>
    <m/>
    <s v="To record Accumulated Depreciation of Water Supply System for the 1st quarter of 2022"/>
    <s v="Depreciation-Infrastructure Assets - Other Infrastructure Assets (Irrigation Canals &amp; Laterals)"/>
    <x v="14"/>
    <n v="588415.31999999995"/>
    <m/>
    <n v="588415.31999999995"/>
  </r>
  <r>
    <d v="2022-07-31T00:00:00"/>
    <x v="5"/>
    <s v="5"/>
    <s v="5-1"/>
    <m/>
    <m/>
    <s v="To record Accumulated Depreciation of Water Supply System for the 1st quarter of 2022"/>
    <s v="Accumulated Depreciation-Water Supply Systems"/>
    <x v="15"/>
    <m/>
    <n v="588415.31999999995"/>
    <n v="0"/>
  </r>
  <r>
    <d v="2022-07-31T00:00:00"/>
    <x v="5"/>
    <s v="5"/>
    <s v="5-1"/>
    <m/>
    <m/>
    <s v="To record Accumulated Depreciation of Water Supply System for the 2nd quarter of 2022"/>
    <s v="Depreciation-Infrastructure Assets - Other Infrastructure Assets (Irrigation Canals &amp; Laterals)"/>
    <x v="14"/>
    <n v="588415.31999999995"/>
    <m/>
    <n v="588415.31999999995"/>
  </r>
  <r>
    <d v="2022-07-31T00:00:00"/>
    <x v="5"/>
    <s v="5"/>
    <s v="5-1"/>
    <m/>
    <m/>
    <s v="To record Accumulated Depreciation of Water Supply System for the 2nd quarter of 2022"/>
    <s v="Accumulated Depreciation-Water Supply Systems"/>
    <x v="15"/>
    <m/>
    <n v="588415.31999999995"/>
    <n v="0"/>
  </r>
  <r>
    <d v="2022-08-31T00:00:00"/>
    <x v="6"/>
    <s v="5"/>
    <s v="5-1"/>
    <m/>
    <m/>
    <s v="To take up receipt of ADA for the month of Aug 2022"/>
    <s v="Cash in Bank-Local Currency, Current Account - FO"/>
    <x v="0"/>
    <n v="97171.86"/>
    <m/>
    <n v="97171.86"/>
  </r>
  <r>
    <d v="2022-08-31T00:00:00"/>
    <x v="6"/>
    <s v="5"/>
    <s v="5-1"/>
    <m/>
    <m/>
    <s v="To take up receipt of ADA for the month of Aug 2022"/>
    <s v="Cash in Bank-Local Currency, Current Account - RO"/>
    <x v="1"/>
    <m/>
    <n v="97171.86"/>
    <n v="0"/>
  </r>
  <r>
    <d v="2022-08-31T00:00:00"/>
    <x v="6"/>
    <s v="5"/>
    <s v="5-1"/>
    <m/>
    <m/>
    <s v="To reclassify below P50,000.00  Ppe Office equipment and accumulated depreciation"/>
    <s v="Accumulated Depreciation-Office Equipment"/>
    <x v="4"/>
    <n v="65532.01"/>
    <m/>
    <n v="65532.01"/>
  </r>
  <r>
    <d v="2022-08-31T00:00:00"/>
    <x v="6"/>
    <s v="5"/>
    <s v="5-1"/>
    <m/>
    <m/>
    <s v="To reclassify below P50,000.00  Ppe Office equipment and accumulated depreciation"/>
    <s v="Accumulated Surplus/(Deficit) (Government Equity)"/>
    <x v="16"/>
    <n v="90807.39"/>
    <m/>
    <n v="156339.4"/>
  </r>
  <r>
    <d v="2022-08-31T00:00:00"/>
    <x v="6"/>
    <s v="5"/>
    <s v="5-1"/>
    <m/>
    <m/>
    <s v="To reclassify below P50,000.00  Ppe Office equipment and accumulated depreciation"/>
    <s v="Office Equipment"/>
    <x v="17"/>
    <m/>
    <n v="145899"/>
    <n v="10440.4"/>
  </r>
  <r>
    <d v="2022-08-31T00:00:00"/>
    <x v="6"/>
    <s v="5"/>
    <s v="5-1"/>
    <m/>
    <m/>
    <s v="To reclassify below P50,000.00  Ppe Office equipment and accumulated depreciation"/>
    <s v="Depreciation-Machinery and Equipment - Office Equipment"/>
    <x v="3"/>
    <m/>
    <n v="10440.4"/>
    <n v="0"/>
  </r>
  <r>
    <d v="2022-08-31T00:00:00"/>
    <x v="6"/>
    <s v="5"/>
    <s v="5-1"/>
    <m/>
    <m/>
    <s v="To reclassify below P50,000.00  Ppe ICTequipment and accumulated depreciation"/>
    <s v="Accumulated Depreciation-Information and Communications Technology Equipment"/>
    <x v="6"/>
    <n v="36449.18"/>
    <m/>
    <n v="36449.18"/>
  </r>
  <r>
    <d v="2022-08-31T00:00:00"/>
    <x v="6"/>
    <s v="5"/>
    <s v="5-1"/>
    <m/>
    <m/>
    <s v="To reclassify below P50,000.00  Ppe ICTequipment and accumulated depreciation"/>
    <s v="Accumulated Surplus/(Deficit) (Government Equity)"/>
    <x v="16"/>
    <n v="99854.24"/>
    <m/>
    <n v="136303.42000000001"/>
  </r>
  <r>
    <d v="2022-08-31T00:00:00"/>
    <x v="6"/>
    <s v="5"/>
    <s v="5-1"/>
    <m/>
    <m/>
    <s v="To reclassify below P50,000.00  Ppe ICTequipment and accumulated depreciation"/>
    <s v="Information and Communications Technology Equipment"/>
    <x v="18"/>
    <m/>
    <n v="124478"/>
    <n v="11825.42"/>
  </r>
  <r>
    <d v="2022-08-31T00:00:00"/>
    <x v="6"/>
    <s v="5"/>
    <s v="5-1"/>
    <m/>
    <m/>
    <s v="To reclassify below P50,000.00  Ppe ICTequipment and accumulated depreciation"/>
    <s v="Depreciation-Machinery and Equipment - ICT Equipment"/>
    <x v="5"/>
    <m/>
    <n v="11825.42"/>
    <n v="0"/>
  </r>
  <r>
    <d v="2022-08-31T00:00:00"/>
    <x v="6"/>
    <s v="5"/>
    <s v="5-1"/>
    <m/>
    <m/>
    <s v="To set up understatement of CIP Account (Dau CIP)"/>
    <s v="Construction in Progress-Infrastructure Assets (Irrigation, Canals and Laterals)"/>
    <x v="10"/>
    <n v="765596.49"/>
    <m/>
    <n v="765596.49"/>
  </r>
  <r>
    <d v="2022-08-31T00:00:00"/>
    <x v="6"/>
    <s v="5"/>
    <s v="5-1"/>
    <m/>
    <m/>
    <s v="To set up understatement of CIP Account (Dau CIP)"/>
    <s v="Accumulated Surplus/(Deficit) (Government Equity)"/>
    <x v="16"/>
    <m/>
    <n v="765596.49"/>
    <n v="0"/>
  </r>
  <r>
    <d v="2022-08-31T00:00:00"/>
    <x v="6"/>
    <s v="5"/>
    <s v="5-1"/>
    <m/>
    <m/>
    <s v="To recognize adjustment necessary to reclassify expense erroneous debit to CIP-Pangasinan IMO"/>
    <s v="Accumulated Surplus/(Deficit) (Government Equity)"/>
    <x v="16"/>
    <n v="123250"/>
    <m/>
    <n v="123250"/>
  </r>
  <r>
    <d v="2022-08-31T00:00:00"/>
    <x v="6"/>
    <s v="5"/>
    <s v="5-1"/>
    <m/>
    <m/>
    <s v="To recognize adjustment necessary to reclassify expense erroneous debit to CIP-Pangasinan IMO"/>
    <s v="Construction in Progress-Infrastructure Assets (Irrigation, Canals and Laterals)"/>
    <x v="10"/>
    <m/>
    <n v="123250"/>
    <n v="0"/>
  </r>
  <r>
    <d v="2022-08-31T00:00:00"/>
    <x v="6"/>
    <s v="5"/>
    <s v="5-1"/>
    <m/>
    <m/>
    <s v="To record accumulated depreciation of Various PPE as of July 2022"/>
    <s v="Depreciation-Machinery and Equipment - Office Equipment"/>
    <x v="3"/>
    <n v="3379.47"/>
    <m/>
    <n v="3379.47"/>
  </r>
  <r>
    <d v="2022-08-31T00:00:00"/>
    <x v="6"/>
    <s v="5"/>
    <s v="5-1"/>
    <m/>
    <m/>
    <s v="To record accumulated depreciation of Various PPE as of July 2022"/>
    <s v="Depreciation-Machinery and Equipment - ICT Equipment"/>
    <x v="5"/>
    <n v="6035.07"/>
    <m/>
    <n v="9414.5400000000009"/>
  </r>
  <r>
    <d v="2022-08-31T00:00:00"/>
    <x v="6"/>
    <s v="5"/>
    <s v="5-1"/>
    <m/>
    <m/>
    <s v="To record accumulated depreciation of Various PPE as of July 2022"/>
    <s v="Accumulated Depreciation-Office Equipment"/>
    <x v="4"/>
    <m/>
    <n v="3379.47"/>
    <n v="6035.07"/>
  </r>
  <r>
    <d v="2022-08-31T00:00:00"/>
    <x v="6"/>
    <s v="5"/>
    <s v="5-1"/>
    <m/>
    <m/>
    <s v="To record accumulated depreciation of Various PPE as of July 2022"/>
    <s v="Accumulated Depreciation-Information and Communications Technology Equipment"/>
    <x v="6"/>
    <m/>
    <n v="6035.07"/>
    <n v="0"/>
  </r>
  <r>
    <d v="2022-08-31T00:00:00"/>
    <x v="6"/>
    <s v="5"/>
    <s v="5-1"/>
    <m/>
    <m/>
    <s v="To record accumulated depreciation of Various PPE as of August 2022"/>
    <s v="Depreciation-Machinery and Equipment - Office Equipment"/>
    <x v="3"/>
    <n v="3379.47"/>
    <m/>
    <n v="3379.47"/>
  </r>
  <r>
    <d v="2022-08-31T00:00:00"/>
    <x v="6"/>
    <s v="5"/>
    <s v="5-1"/>
    <m/>
    <m/>
    <s v="To record accumulated depreciation of Various PPE as of August 2022"/>
    <s v="Depreciation-Machinery and Equipment - ICT Equipment"/>
    <x v="5"/>
    <n v="6035.07"/>
    <m/>
    <n v="9414.5400000000009"/>
  </r>
  <r>
    <d v="2022-08-31T00:00:00"/>
    <x v="6"/>
    <s v="5"/>
    <s v="5-1"/>
    <m/>
    <m/>
    <s v="To record accumulated depreciation of Various PPE as of August 2022"/>
    <s v="Accumulated Depreciation-Office Equipment"/>
    <x v="4"/>
    <m/>
    <n v="3379.47"/>
    <n v="6035.07"/>
  </r>
  <r>
    <d v="2022-08-31T00:00:00"/>
    <x v="6"/>
    <s v="5"/>
    <s v="5-1"/>
    <m/>
    <m/>
    <s v="To record accumulated depreciation of Various PPE as of August 2022"/>
    <s v="Accumulated Depreciation-Information and Communications Technology Equipment"/>
    <x v="6"/>
    <m/>
    <n v="6035.07"/>
    <n v="0"/>
  </r>
  <r>
    <d v="2022-08-31T00:00:00"/>
    <x v="6"/>
    <s v="5"/>
    <s v="5-1"/>
    <m/>
    <m/>
    <s v="To take up depreciation for the completed projects(July &amp; August, 2022)"/>
    <s v="Depreciation-Infrastructure Assets - Other Infrastructure Assets (Irrigation Canals &amp; Laterals)"/>
    <x v="14"/>
    <n v="392276.88"/>
    <m/>
    <n v="392276.88"/>
  </r>
  <r>
    <d v="2022-08-31T00:00:00"/>
    <x v="6"/>
    <s v="5"/>
    <s v="5-1"/>
    <m/>
    <m/>
    <s v="To take up depreciation for the completed projects(July &amp; August, 2022)"/>
    <s v="Accumulated Depreciation-Water Supply Systems"/>
    <x v="15"/>
    <m/>
    <n v="392276.88"/>
    <n v="0"/>
  </r>
  <r>
    <d v="2022-09-30T00:00:00"/>
    <x v="7"/>
    <s v="5"/>
    <s v="5-1"/>
    <m/>
    <m/>
    <s v="To take up receipt of ADA PS for the month of Sept 2022"/>
    <s v="Cash in Bank-Local Currency, Current Account - FO"/>
    <x v="0"/>
    <n v="97966.35"/>
    <m/>
    <n v="97966.35"/>
  </r>
  <r>
    <d v="2022-09-30T00:00:00"/>
    <x v="7"/>
    <s v="5"/>
    <s v="5-1"/>
    <m/>
    <m/>
    <s v="To take up receipt of ADA PS for the month of Sept 2022"/>
    <s v="Cash in Bank-Local Currency, Current Account - RO"/>
    <x v="1"/>
    <m/>
    <n v="97966.35"/>
    <n v="0"/>
  </r>
  <r>
    <d v="2022-09-30T00:00:00"/>
    <x v="7"/>
    <s v="5"/>
    <s v="5-1"/>
    <m/>
    <m/>
    <s v="To take up receipt of ADA CW for the month of Sept 2022"/>
    <s v="Cash in Bank-Local Currency, Current Account - FO"/>
    <x v="0"/>
    <n v="2351250"/>
    <m/>
    <n v="2351250"/>
  </r>
  <r>
    <d v="2022-09-30T00:00:00"/>
    <x v="7"/>
    <s v="5"/>
    <s v="5-1"/>
    <m/>
    <m/>
    <s v="To take up receipt of ADA CW for the month of Sept 2022"/>
    <s v="Cash in Bank-Local Currency, Current Account - RO"/>
    <x v="1"/>
    <m/>
    <n v="2351250"/>
    <n v="0"/>
  </r>
  <r>
    <d v="2022-09-30T00:00:00"/>
    <x v="7"/>
    <s v="5"/>
    <s v="5-1"/>
    <m/>
    <m/>
    <s v="To record accumulated depreciation of Various PPE as of Sept 2022"/>
    <s v="Depreciation-Machinery and Equipment - Office Equipment"/>
    <x v="3"/>
    <n v="3379.47"/>
    <m/>
    <n v="3379.47"/>
  </r>
  <r>
    <d v="2022-09-30T00:00:00"/>
    <x v="7"/>
    <s v="5"/>
    <s v="5-1"/>
    <m/>
    <m/>
    <s v="To record accumulated depreciation of Various PPE as of Sept 2022"/>
    <s v="Depreciation-Machinery and Equipment - ICT Equipment"/>
    <x v="5"/>
    <n v="6035.07"/>
    <m/>
    <n v="9414.5400000000009"/>
  </r>
  <r>
    <d v="2022-09-30T00:00:00"/>
    <x v="7"/>
    <s v="5"/>
    <s v="5-1"/>
    <m/>
    <m/>
    <s v="To record accumulated depreciation of Various PPE as of Sept 2022"/>
    <s v="Accumulated Depreciation-Office Equipment"/>
    <x v="4"/>
    <m/>
    <n v="3379.47"/>
    <n v="6035.07"/>
  </r>
  <r>
    <d v="2022-09-30T00:00:00"/>
    <x v="7"/>
    <s v="5"/>
    <s v="5-1"/>
    <m/>
    <m/>
    <s v="To record accumulated depreciation of Various PPE as of Sept 2022"/>
    <s v="Accumulated Depreciation-Information and Communications Technology Equipment"/>
    <x v="6"/>
    <m/>
    <n v="6035.07"/>
    <n v="0"/>
  </r>
  <r>
    <d v="2022-09-30T00:00:00"/>
    <x v="7"/>
    <s v="5"/>
    <s v="5-1"/>
    <m/>
    <m/>
    <s v="To recognize interest Income earned for 3rd QTR of cy 2022"/>
    <s v="Cash in Bank-Local Currency, Current Account - FO"/>
    <x v="0"/>
    <n v="634.37"/>
    <m/>
    <n v="634.37"/>
  </r>
  <r>
    <d v="2022-09-30T00:00:00"/>
    <x v="7"/>
    <s v="5"/>
    <s v="5-1"/>
    <m/>
    <m/>
    <s v="To recognize interest Income earned for 3rd QTR of cy 2022"/>
    <s v="Due to the Treasurer of the Philippines"/>
    <x v="2"/>
    <m/>
    <n v="634.37"/>
    <n v="0"/>
  </r>
  <r>
    <d v="2022-09-30T00:00:00"/>
    <x v="7"/>
    <s v="5"/>
    <s v="5-1"/>
    <m/>
    <m/>
    <s v="To record issuance of  A3 printer and Steel Cabinet"/>
    <s v="Semi-Expendable Machinery and Equipment Expenses"/>
    <x v="19"/>
    <n v="33500"/>
    <m/>
    <n v="33500"/>
  </r>
  <r>
    <d v="2022-09-30T00:00:00"/>
    <x v="7"/>
    <s v="5"/>
    <s v="5-1"/>
    <m/>
    <m/>
    <s v="To record issuance of  A3 printer and Steel Cabinet"/>
    <s v="Semi-Expendable Furniture, Fixtures and Books Expenses"/>
    <x v="20"/>
    <n v="8398"/>
    <m/>
    <n v="41898"/>
  </r>
  <r>
    <d v="2022-09-30T00:00:00"/>
    <x v="7"/>
    <s v="5"/>
    <s v="5-1"/>
    <m/>
    <m/>
    <s v="To record issuance of  A3 printer and Steel Cabinet"/>
    <s v="Semi-Expendable Information and Communications Technology Equipment"/>
    <x v="21"/>
    <m/>
    <n v="33500"/>
    <n v="8398"/>
  </r>
  <r>
    <d v="2022-09-30T00:00:00"/>
    <x v="7"/>
    <s v="5"/>
    <s v="5-1"/>
    <m/>
    <m/>
    <s v="To record issuance of  A3 printer and Steel Cabinet"/>
    <s v="Semi-Expendable Furniture and Fixtures"/>
    <x v="22"/>
    <m/>
    <n v="8398"/>
    <n v="0"/>
  </r>
  <r>
    <d v="2022-09-30T00:00:00"/>
    <x v="7"/>
    <s v="5"/>
    <s v="5-1"/>
    <m/>
    <m/>
    <s v="To take up depreciation for the completed projects(September, 2022)"/>
    <s v="Depreciation-Infrastructure Assets - Other Infrastructure Assets (Irrigation Canals &amp; Laterals)"/>
    <x v="14"/>
    <n v="196138.44"/>
    <m/>
    <n v="196138.44"/>
  </r>
  <r>
    <d v="2022-09-30T00:00:00"/>
    <x v="7"/>
    <s v="5"/>
    <s v="5-1"/>
    <m/>
    <m/>
    <s v="To take up depreciation for the completed projects(September, 2022)"/>
    <s v="Accumulated Depreciation-Water Supply Systems"/>
    <x v="15"/>
    <m/>
    <n v="196138.44"/>
    <n v="0"/>
  </r>
  <r>
    <d v="2022-10-31T00:00:00"/>
    <x v="8"/>
    <s v="5"/>
    <s v="5-1"/>
    <m/>
    <m/>
    <s v="To record office supplies expenses as of October 2022"/>
    <s v="Office Supplies Expenses"/>
    <x v="12"/>
    <n v="13312"/>
    <m/>
    <n v="13312"/>
  </r>
  <r>
    <d v="2022-10-31T00:00:00"/>
    <x v="8"/>
    <s v="5"/>
    <s v="5-1"/>
    <m/>
    <m/>
    <s v="To record office supplies expenses as of October 2022"/>
    <s v="Office Supplies Inventory"/>
    <x v="13"/>
    <m/>
    <n v="13312"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  <r>
    <m/>
    <x v="9"/>
    <m/>
    <m/>
    <m/>
    <m/>
    <m/>
    <s v=""/>
    <x v="23"/>
    <m/>
    <m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89">
  <r>
    <d v="2022-01-31T00:00:00"/>
    <d v="2022-01-22T00:00:00"/>
    <s v="1475697"/>
    <x v="0"/>
    <s v="5"/>
    <s v="5-1"/>
    <m/>
    <m/>
    <s v="Vyragus Construction"/>
    <s v="5th &amp; Final Payment of Contract (R1-PIMO-20-03-032 Laoag CIS at Aguilar)"/>
    <x v="0"/>
    <x v="0"/>
    <n v="1135636.17"/>
    <m/>
    <m/>
    <n v="1135636.17"/>
  </r>
  <r>
    <d v="2022-01-31T00:00:00"/>
    <d v="2022-01-22T00:00:00"/>
    <s v="1475697"/>
    <x v="0"/>
    <s v="5"/>
    <s v="5-1"/>
    <m/>
    <m/>
    <s v="Vyragus Construction"/>
    <s v="5th &amp; Final Payment of Contract (R1-PIMO-20-03-032 Laoag CIS at Aguilar)"/>
    <x v="1"/>
    <x v="1"/>
    <m/>
    <n v="50698.04"/>
    <m/>
    <n v="1084938.1299999999"/>
  </r>
  <r>
    <d v="2022-01-31T00:00:00"/>
    <d v="2022-01-22T00:00:00"/>
    <s v="1475697"/>
    <x v="0"/>
    <s v="5"/>
    <s v="5-1"/>
    <m/>
    <m/>
    <s v="Vyragus Construction"/>
    <s v="5th &amp; Final Payment of Contract (R1-PIMO-20-03-032 Laoag CIS at Aguilar)"/>
    <x v="2"/>
    <x v="2"/>
    <m/>
    <n v="20279.22"/>
    <m/>
    <n v="1064658.9099999999"/>
  </r>
  <r>
    <d v="2022-01-31T00:00:00"/>
    <d v="2022-01-22T00:00:00"/>
    <s v="1475697"/>
    <x v="0"/>
    <s v="5"/>
    <s v="5-1"/>
    <m/>
    <m/>
    <s v="Vyragus Construction"/>
    <s v="5th &amp; Final Payment of Contract (R1-PIMO-20-03-032 Laoag CIS at Aguilar)"/>
    <x v="3"/>
    <x v="3"/>
    <m/>
    <n v="1064658.9099999999"/>
    <m/>
    <n v="0"/>
  </r>
  <r>
    <d v="2022-01-31T00:00:00"/>
    <d v="2022-01-14T00:00:00"/>
    <s v="1475698"/>
    <x v="0"/>
    <s v="5"/>
    <s v="5-1"/>
    <m/>
    <m/>
    <s v="RLK Construction &amp; Builders "/>
    <s v="Payment Of Retention (1st payment R1-PIMO-20-11-008 Luna Este SIP- Carp IC CY 2020)"/>
    <x v="4"/>
    <x v="4"/>
    <n v="443597.57"/>
    <m/>
    <m/>
    <n v="443597.57"/>
  </r>
  <r>
    <d v="2022-01-31T00:00:00"/>
    <d v="2022-01-14T00:00:00"/>
    <s v="1475698"/>
    <x v="0"/>
    <s v="5"/>
    <s v="5-1"/>
    <m/>
    <m/>
    <s v="RLK Construction &amp; Builders "/>
    <s v="Payment Of Retention (1st payment R1-PIMO-20-11-008 Luna Este SIP- Carp IC CY 2020)"/>
    <x v="3"/>
    <x v="3"/>
    <m/>
    <n v="443597.57"/>
    <m/>
    <n v="0"/>
  </r>
  <r>
    <d v="2022-01-31T00:00:00"/>
    <d v="2022-01-19T00:00:00"/>
    <s v="1475699"/>
    <x v="0"/>
    <s v="5"/>
    <s v="5-1"/>
    <m/>
    <m/>
    <s v="Emerson A. Delos Santos"/>
    <s v="Reimbursement of traning expenses PCR"/>
    <x v="5"/>
    <x v="5"/>
    <n v="2745"/>
    <m/>
    <m/>
    <n v="2745"/>
  </r>
  <r>
    <d v="2022-01-31T00:00:00"/>
    <d v="2022-01-19T00:00:00"/>
    <s v="1475699"/>
    <x v="0"/>
    <s v="5"/>
    <s v="5-1"/>
    <m/>
    <m/>
    <s v="Emerson A. Delos Santos"/>
    <s v="Reimbursement of traning expenses PCR"/>
    <x v="3"/>
    <x v="3"/>
    <m/>
    <n v="2745"/>
    <m/>
    <n v="0"/>
  </r>
  <r>
    <d v="2022-01-31T00:00:00"/>
    <d v="2022-01-19T00:00:00"/>
    <s v="1475700"/>
    <x v="0"/>
    <s v="5"/>
    <s v="5-1"/>
    <m/>
    <m/>
    <s v="De Luna Catering Services"/>
    <s v="Payment of Meals &amp; Snacks ( SPPF of Luna Lipit Creek IA, Inc. on November 17-19, 2021)"/>
    <x v="5"/>
    <x v="5"/>
    <n v="25875"/>
    <m/>
    <m/>
    <n v="25875"/>
  </r>
  <r>
    <d v="2022-01-31T00:00:00"/>
    <d v="2022-01-19T00:00:00"/>
    <s v="1475700"/>
    <x v="0"/>
    <s v="5"/>
    <s v="5-1"/>
    <m/>
    <m/>
    <s v="De Luna Catering Services"/>
    <s v="Payment of Meals &amp; Snacks ( SPPF of Luna Lipit Creek IA, Inc. on November 17-19, 2021)"/>
    <x v="6"/>
    <x v="6"/>
    <m/>
    <n v="258.75"/>
    <m/>
    <n v="25616.25"/>
  </r>
  <r>
    <d v="2022-01-31T00:00:00"/>
    <d v="2022-01-19T00:00:00"/>
    <s v="1475700"/>
    <x v="0"/>
    <s v="5"/>
    <s v="5-1"/>
    <m/>
    <m/>
    <s v="De Luna Catering Services"/>
    <s v="Payment of Meals &amp; Snacks ( SPPF of Luna Lipit Creek IA, Inc. on November 17-19, 2021)"/>
    <x v="2"/>
    <x v="2"/>
    <m/>
    <n v="517.5"/>
    <m/>
    <n v="25098.75"/>
  </r>
  <r>
    <d v="2022-01-31T00:00:00"/>
    <d v="2022-01-19T00:00:00"/>
    <s v="1475700"/>
    <x v="0"/>
    <s v="5"/>
    <s v="5-1"/>
    <m/>
    <m/>
    <s v="De Luna Catering Services"/>
    <s v="Payment of Meals &amp; Snacks ( SPPF of Luna Lipit Creek IA, Inc. on November 17-19, 2021)"/>
    <x v="3"/>
    <x v="3"/>
    <m/>
    <n v="25098.75"/>
    <m/>
    <n v="0"/>
  </r>
  <r>
    <d v="2022-01-31T00:00:00"/>
    <d v="2022-01-21T00:00:00"/>
    <s v="Payoll2201001"/>
    <x v="0"/>
    <s v="5"/>
    <s v="5-1"/>
    <m/>
    <m/>
    <s v="Emerson A. Delos Santos &amp; 2 others"/>
    <s v="Payment of Wages &amp;  Allowances (Jan. 1-15, 2021)"/>
    <x v="7"/>
    <x v="7"/>
    <n v="70270"/>
    <m/>
    <m/>
    <n v="70270"/>
  </r>
  <r>
    <d v="2022-01-31T00:00:00"/>
    <d v="2022-01-21T00:00:00"/>
    <s v="Payoll2201001"/>
    <x v="0"/>
    <s v="5"/>
    <s v="5-1"/>
    <m/>
    <m/>
    <s v="Emerson A. Delos Santos &amp; 2 others"/>
    <s v="Payment of Wages &amp;  Allowances (Jan. 1-15, 2021)"/>
    <x v="8"/>
    <x v="8"/>
    <n v="6000"/>
    <m/>
    <m/>
    <n v="76270"/>
  </r>
  <r>
    <d v="2022-01-31T00:00:00"/>
    <d v="2022-01-21T00:00:00"/>
    <s v="Payoll2201001"/>
    <x v="0"/>
    <s v="5"/>
    <s v="5-1"/>
    <m/>
    <m/>
    <s v="Emerson A. Delos Santos &amp; 2 others"/>
    <s v="Payment of Wages &amp;  Allowances (Jan. 1-15, 2021)"/>
    <x v="9"/>
    <x v="9"/>
    <m/>
    <n v="730.7"/>
    <m/>
    <n v="75539.3"/>
  </r>
  <r>
    <d v="2022-01-31T00:00:00"/>
    <d v="2022-01-21T00:00:00"/>
    <s v="Payoll2201001"/>
    <x v="0"/>
    <s v="5"/>
    <s v="5-1"/>
    <m/>
    <m/>
    <s v="Emerson A. Delos Santos &amp; 2 others"/>
    <s v="Payment of Wages &amp;  Allowances (Jan. 1-15, 2021)"/>
    <x v="10"/>
    <x v="10"/>
    <m/>
    <n v="6324.3"/>
    <m/>
    <n v="69215"/>
  </r>
  <r>
    <d v="2022-01-31T00:00:00"/>
    <d v="2022-01-21T00:00:00"/>
    <s v="Payoll2201001"/>
    <x v="0"/>
    <s v="5"/>
    <s v="5-1"/>
    <m/>
    <m/>
    <s v="Emerson A. Delos Santos &amp; 2 others"/>
    <s v="Payment of Wages &amp;  Allowances (Jan. 1-15, 2021)"/>
    <x v="11"/>
    <x v="11"/>
    <m/>
    <n v="1446.64"/>
    <m/>
    <n v="67768.36"/>
  </r>
  <r>
    <d v="2022-01-31T00:00:00"/>
    <d v="2022-01-21T00:00:00"/>
    <s v="Payoll2201001"/>
    <x v="0"/>
    <s v="5"/>
    <s v="5-1"/>
    <m/>
    <m/>
    <s v="Emerson A. Delos Santos &amp; 2 others"/>
    <s v="Payment of Wages &amp;  Allowances (Jan. 1-15, 2021)"/>
    <x v="12"/>
    <x v="12"/>
    <m/>
    <n v="1000"/>
    <m/>
    <n v="66768.36"/>
  </r>
  <r>
    <d v="2022-01-31T00:00:00"/>
    <d v="2022-01-21T00:00:00"/>
    <s v="Payoll2201001"/>
    <x v="0"/>
    <s v="5"/>
    <s v="5-1"/>
    <m/>
    <m/>
    <s v="Emerson A. Delos Santos &amp; 2 others"/>
    <s v="Payment of Wages &amp;  Allowances (Jan. 1-15, 2021)"/>
    <x v="13"/>
    <x v="13"/>
    <m/>
    <n v="1054.04"/>
    <m/>
    <n v="65714.320000000007"/>
  </r>
  <r>
    <d v="2022-01-31T00:00:00"/>
    <d v="2022-01-21T00:00:00"/>
    <s v="Payoll2201001"/>
    <x v="0"/>
    <s v="5"/>
    <s v="5-1"/>
    <m/>
    <m/>
    <s v="Emerson A. Delos Santos &amp; 2 others"/>
    <s v="Payment of Wages &amp;  Allowances (Jan. 1-15, 2021)"/>
    <x v="14"/>
    <x v="14"/>
    <m/>
    <n v="500"/>
    <m/>
    <n v="65214.32"/>
  </r>
  <r>
    <d v="2022-01-31T00:00:00"/>
    <d v="2022-01-21T00:00:00"/>
    <s v="Payoll2201001"/>
    <x v="0"/>
    <s v="5"/>
    <s v="5-1"/>
    <m/>
    <m/>
    <s v="Emerson A. Delos Santos &amp; 2 others"/>
    <s v="Payment of Wages &amp;  Allowances (Jan. 1-15, 2021)"/>
    <x v="3"/>
    <x v="3"/>
    <m/>
    <n v="32606.97"/>
    <m/>
    <n v="32607.35"/>
  </r>
  <r>
    <d v="2022-01-31T00:00:00"/>
    <d v="2022-01-21T00:00:00"/>
    <s v="Payoll2201001"/>
    <x v="0"/>
    <s v="5"/>
    <s v="5-1"/>
    <m/>
    <m/>
    <s v="Emerson A. Delos Santos &amp; 2 others"/>
    <s v="Payment of Wages &amp;  Allowances (Jan. 16-31, 2021)"/>
    <x v="3"/>
    <x v="3"/>
    <m/>
    <n v="32607.35"/>
    <m/>
    <n v="0"/>
  </r>
  <r>
    <d v="2022-01-31T00:00:00"/>
    <d v="2022-01-31T00:00:00"/>
    <s v="1475701"/>
    <x v="0"/>
    <s v="5"/>
    <s v="5-1"/>
    <m/>
    <m/>
    <s v="G.S.I.S"/>
    <s v="Payment of GSIS Premiums (January, 2022)"/>
    <x v="15"/>
    <x v="15"/>
    <n v="8432.4"/>
    <m/>
    <m/>
    <n v="8432.4"/>
  </r>
  <r>
    <d v="2022-01-31T00:00:00"/>
    <d v="2022-01-31T00:00:00"/>
    <s v="1475701"/>
    <x v="0"/>
    <s v="5"/>
    <s v="5-1"/>
    <m/>
    <m/>
    <s v="G.S.I.S"/>
    <s v="Payment of GSIS Premiums (January, 2022)"/>
    <x v="10"/>
    <x v="10"/>
    <n v="6324.3"/>
    <m/>
    <m/>
    <n v="14756.7"/>
  </r>
  <r>
    <d v="2022-01-31T00:00:00"/>
    <d v="2022-01-31T00:00:00"/>
    <s v="1475701"/>
    <x v="0"/>
    <s v="5"/>
    <s v="5-1"/>
    <m/>
    <m/>
    <s v="G.S.I.S"/>
    <s v="Payment of GSIS Premiums (January, 2022)"/>
    <x v="16"/>
    <x v="16"/>
    <n v="300"/>
    <m/>
    <m/>
    <n v="15056.7"/>
  </r>
  <r>
    <d v="2022-01-31T00:00:00"/>
    <d v="2022-01-31T00:00:00"/>
    <s v="1475701"/>
    <x v="0"/>
    <s v="5"/>
    <s v="5-1"/>
    <m/>
    <m/>
    <s v="G.S.I.S"/>
    <s v="Payment of GSIS Premiums (January, 2022)"/>
    <x v="3"/>
    <x v="3"/>
    <m/>
    <n v="15056.7"/>
    <m/>
    <n v="0"/>
  </r>
  <r>
    <d v="2022-01-31T00:00:00"/>
    <d v="2022-01-31T00:00:00"/>
    <s v="1475702"/>
    <x v="0"/>
    <s v="5"/>
    <s v="5-1"/>
    <m/>
    <m/>
    <s v="H.D.M.F"/>
    <s v="Payment of HDMF Premiums (Jan. 2022)"/>
    <x v="17"/>
    <x v="17"/>
    <n v="300"/>
    <m/>
    <m/>
    <n v="300"/>
  </r>
  <r>
    <d v="2022-01-31T00:00:00"/>
    <d v="2022-01-31T00:00:00"/>
    <s v="1475702"/>
    <x v="0"/>
    <s v="5"/>
    <s v="5-1"/>
    <m/>
    <m/>
    <s v="H.D.M.F"/>
    <s v="Payment of HDMF Premiums (Jan. 2022)"/>
    <x v="11"/>
    <x v="11"/>
    <n v="1446.64"/>
    <m/>
    <m/>
    <n v="1746.64"/>
  </r>
  <r>
    <d v="2022-01-31T00:00:00"/>
    <d v="2022-01-31T00:00:00"/>
    <s v="1475702"/>
    <x v="0"/>
    <s v="5"/>
    <s v="5-1"/>
    <m/>
    <m/>
    <s v="H.D.M.F"/>
    <s v="Payment of HDMF Premiums (Jan. 2022)"/>
    <x v="3"/>
    <x v="3"/>
    <m/>
    <n v="1746.64"/>
    <m/>
    <n v="0"/>
  </r>
  <r>
    <d v="2022-01-31T00:00:00"/>
    <d v="2022-01-31T00:00:00"/>
    <s v="1475703"/>
    <x v="0"/>
    <s v="5"/>
    <s v="5-1"/>
    <m/>
    <m/>
    <s v="H.D.M.F"/>
    <s v="Payment of HDMF M2 (Jan. 2022)"/>
    <x v="12"/>
    <x v="12"/>
    <n v="1000"/>
    <m/>
    <m/>
    <n v="1000"/>
  </r>
  <r>
    <d v="2022-01-31T00:00:00"/>
    <d v="2022-01-31T00:00:00"/>
    <s v="1475703"/>
    <x v="0"/>
    <s v="5"/>
    <s v="5-1"/>
    <m/>
    <m/>
    <s v="H.D.M.F"/>
    <s v="Payment of HDMF M2 (Jan. 2022)"/>
    <x v="3"/>
    <x v="3"/>
    <m/>
    <n v="1000"/>
    <m/>
    <n v="0"/>
  </r>
  <r>
    <d v="2022-01-31T00:00:00"/>
    <d v="2022-01-31T00:00:00"/>
    <s v="1475704"/>
    <x v="0"/>
    <s v="5"/>
    <s v="5-1"/>
    <m/>
    <m/>
    <s v="Philippine Health Insurance Corporation"/>
    <s v="Payment of PHIC Premiums (Jan. 2022)"/>
    <x v="18"/>
    <x v="18"/>
    <n v="1054.06"/>
    <m/>
    <m/>
    <n v="1054.06"/>
  </r>
  <r>
    <d v="2022-01-31T00:00:00"/>
    <d v="2022-01-31T00:00:00"/>
    <s v="1475704"/>
    <x v="0"/>
    <s v="5"/>
    <s v="5-1"/>
    <m/>
    <m/>
    <s v="Philippine Health Insurance Corporation"/>
    <s v="Payment of PHIC Premiums (Jan. 2022)"/>
    <x v="13"/>
    <x v="13"/>
    <n v="1054.04"/>
    <m/>
    <m/>
    <n v="2108.1"/>
  </r>
  <r>
    <d v="2022-01-31T00:00:00"/>
    <d v="2022-01-31T00:00:00"/>
    <s v="1475704"/>
    <x v="0"/>
    <s v="5"/>
    <s v="5-1"/>
    <m/>
    <m/>
    <s v="Philippine Health Insurance Corporation"/>
    <s v="Payment of PHIC Premiums (Jan. 2022)"/>
    <x v="3"/>
    <x v="3"/>
    <m/>
    <n v="2108.1"/>
    <m/>
    <n v="0"/>
  </r>
  <r>
    <d v="2022-01-31T00:00:00"/>
    <d v="2022-01-31T00:00:00"/>
    <s v="1475705"/>
    <x v="0"/>
    <s v="5"/>
    <s v="5-1"/>
    <m/>
    <m/>
    <s v="LBP for the account of BIR"/>
    <s v="Payment of withholding TAX (Jan. 2022)"/>
    <x v="9"/>
    <x v="9"/>
    <n v="730.69"/>
    <m/>
    <m/>
    <n v="730.69"/>
  </r>
  <r>
    <d v="2022-01-31T00:00:00"/>
    <d v="2022-01-31T00:00:00"/>
    <s v="1475705"/>
    <x v="0"/>
    <s v="5"/>
    <s v="5-1"/>
    <m/>
    <m/>
    <s v="LBP for the account of BIR"/>
    <s v="Payment of withholding TAX (Jan. 2022)"/>
    <x v="3"/>
    <x v="3"/>
    <m/>
    <n v="730.69"/>
    <m/>
    <n v="0"/>
  </r>
  <r>
    <d v="2022-01-31T00:00:00"/>
    <d v="2022-01-31T00:00:00"/>
    <s v="1475706"/>
    <x v="0"/>
    <s v="5"/>
    <s v="5-1"/>
    <m/>
    <m/>
    <s v="NIA - PIMO - 501 Trust"/>
    <s v="Payment of Disallowance (Jan. 2021)"/>
    <x v="14"/>
    <x v="14"/>
    <n v="500"/>
    <m/>
    <m/>
    <n v="500"/>
  </r>
  <r>
    <d v="2022-01-31T00:00:00"/>
    <d v="2022-01-31T00:00:00"/>
    <s v="1475706"/>
    <x v="0"/>
    <s v="5"/>
    <s v="5-1"/>
    <m/>
    <m/>
    <s v="NIA - PIMO - 501 Trust"/>
    <s v="Payment of Disallowance (Jan. 2021)"/>
    <x v="3"/>
    <x v="3"/>
    <m/>
    <n v="500"/>
    <m/>
    <n v="0"/>
  </r>
  <r>
    <d v="2022-01-31T00:00:00"/>
    <d v="2022-01-31T00:00:00"/>
    <s v="1475707"/>
    <x v="0"/>
    <s v="5"/>
    <s v="5-1"/>
    <m/>
    <m/>
    <s v="LBP for the account of BIR"/>
    <s v="TAXES 2%"/>
    <x v="2"/>
    <x v="2"/>
    <n v="20279.22"/>
    <m/>
    <m/>
    <n v="20279.22"/>
  </r>
  <r>
    <d v="2022-01-31T00:00:00"/>
    <d v="2022-01-31T00:00:00"/>
    <s v="1475707"/>
    <x v="0"/>
    <s v="5"/>
    <s v="5-1"/>
    <m/>
    <m/>
    <s v="LBP for the account of BIR"/>
    <s v="TAXES 1%"/>
    <x v="6"/>
    <x v="6"/>
    <n v="258.75"/>
    <m/>
    <m/>
    <n v="20537.97"/>
  </r>
  <r>
    <d v="2022-01-31T00:00:00"/>
    <d v="2022-01-31T00:00:00"/>
    <s v="1475707"/>
    <x v="0"/>
    <s v="5"/>
    <s v="5-1"/>
    <m/>
    <m/>
    <s v="LBP for the account of BIR"/>
    <m/>
    <x v="3"/>
    <x v="3"/>
    <m/>
    <n v="20537.97"/>
    <m/>
    <n v="0"/>
  </r>
  <r>
    <d v="2022-01-31T00:00:00"/>
    <d v="2022-01-31T00:00:00"/>
    <s v="1475708"/>
    <x v="0"/>
    <s v="5"/>
    <s v="5-1"/>
    <m/>
    <m/>
    <s v="LBP for the account of BIR"/>
    <s v="TAXES 5%"/>
    <x v="1"/>
    <x v="1"/>
    <n v="50698.04"/>
    <m/>
    <m/>
    <n v="50698.04"/>
  </r>
  <r>
    <d v="2022-01-31T00:00:00"/>
    <d v="2022-01-31T00:00:00"/>
    <s v="1475708"/>
    <x v="0"/>
    <s v="5"/>
    <s v="5-1"/>
    <m/>
    <m/>
    <s v="LBP for the account of BIR"/>
    <s v="TAXES 2%"/>
    <x v="2"/>
    <x v="2"/>
    <n v="517.5"/>
    <m/>
    <m/>
    <n v="51215.54"/>
  </r>
  <r>
    <d v="2022-01-31T00:00:00"/>
    <d v="2022-01-31T00:00:00"/>
    <s v="1475708"/>
    <x v="0"/>
    <s v="5"/>
    <s v="5-1"/>
    <m/>
    <m/>
    <s v="LBP for the account of BIR"/>
    <m/>
    <x v="3"/>
    <x v="3"/>
    <m/>
    <n v="51215.54"/>
    <m/>
    <n v="0"/>
  </r>
  <r>
    <d v="2022-02-28T00:00:00"/>
    <d v="2022-02-04T00:00:00"/>
    <s v="1475709"/>
    <x v="1"/>
    <s v="5"/>
    <s v="5-1"/>
    <m/>
    <m/>
    <s v="Procurement Service"/>
    <s v="Payment of Office Supplies (300 reams Paper, A4 PIMO Engineering)"/>
    <x v="19"/>
    <x v="19"/>
    <n v="41322"/>
    <m/>
    <m/>
    <n v="41322"/>
  </r>
  <r>
    <d v="2022-02-28T00:00:00"/>
    <d v="2022-02-04T00:00:00"/>
    <s v="1475709"/>
    <x v="1"/>
    <s v="5"/>
    <s v="5-1"/>
    <m/>
    <m/>
    <s v="Procurement Service"/>
    <s v="Payment of Office Supplies (300 reams Paper, A4 PIMO Engineering)"/>
    <x v="3"/>
    <x v="3"/>
    <m/>
    <n v="41322"/>
    <m/>
    <n v="0"/>
  </r>
  <r>
    <d v="2022-02-28T00:00:00"/>
    <d v="2022-02-10T00:00:00"/>
    <s v="1475710"/>
    <x v="1"/>
    <s v="5"/>
    <s v="5-1"/>
    <m/>
    <m/>
    <s v="Vyragus Construction "/>
    <s v="Payment of Retention (1st partial R1-PIMO-20-03-032 Laoag CIS)"/>
    <x v="4"/>
    <x v="4"/>
    <n v="279695.34000000003"/>
    <m/>
    <m/>
    <n v="279695.34000000003"/>
  </r>
  <r>
    <d v="2022-02-28T00:00:00"/>
    <d v="2022-02-10T00:00:00"/>
    <s v="1475710"/>
    <x v="1"/>
    <s v="5"/>
    <s v="5-1"/>
    <m/>
    <m/>
    <s v="Vyragus Construction "/>
    <s v="Payment of Retention (1st partial R1-PIMO-20-03-032 Laoag CIS)"/>
    <x v="3"/>
    <x v="3"/>
    <m/>
    <n v="279695.34000000003"/>
    <m/>
    <n v="0"/>
  </r>
  <r>
    <d v="2022-02-28T00:00:00"/>
    <d v="2022-02-17T00:00:00"/>
    <s v="1475711"/>
    <x v="1"/>
    <s v="5"/>
    <s v="5-1"/>
    <m/>
    <m/>
    <s v="Echimesco Office Solutions Marketing "/>
    <s v="Payment of 1 unit Executive Chair (High back PIMO)"/>
    <x v="20"/>
    <x v="20"/>
    <n v="6985"/>
    <m/>
    <m/>
    <n v="6985"/>
  </r>
  <r>
    <d v="2022-02-28T00:00:00"/>
    <d v="2022-02-17T00:00:00"/>
    <s v="1475711"/>
    <x v="1"/>
    <s v="5"/>
    <s v="5-1"/>
    <m/>
    <m/>
    <s v="Echimesco Office Solutions Marketing "/>
    <s v="Payment of 1 unit Executive Chair (High back PIMO)"/>
    <x v="6"/>
    <x v="6"/>
    <m/>
    <n v="62.37"/>
    <m/>
    <n v="6922.63"/>
  </r>
  <r>
    <d v="2022-02-28T00:00:00"/>
    <d v="2022-02-17T00:00:00"/>
    <s v="1475711"/>
    <x v="1"/>
    <s v="5"/>
    <s v="5-1"/>
    <m/>
    <m/>
    <s v="Echimesco Office Solutions Marketing "/>
    <s v="Payment of 1 unit Executive Chair (High back PIMO)"/>
    <x v="1"/>
    <x v="1"/>
    <m/>
    <n v="311.83"/>
    <m/>
    <n v="6610.8"/>
  </r>
  <r>
    <d v="2022-02-28T00:00:00"/>
    <d v="2022-02-17T00:00:00"/>
    <s v="1475711"/>
    <x v="1"/>
    <s v="5"/>
    <s v="5-1"/>
    <m/>
    <m/>
    <s v="Echimesco Office Solutions Marketing "/>
    <s v="Payment of 1 unit Executive Chair (High back PIMO)"/>
    <x v="3"/>
    <x v="3"/>
    <m/>
    <n v="6610.8"/>
    <m/>
    <n v="0"/>
  </r>
  <r>
    <d v="2022-02-28T00:00:00"/>
    <d v="2022-02-24T00:00:00"/>
    <s v="1475712"/>
    <x v="1"/>
    <s v="5"/>
    <s v="5-1"/>
    <m/>
    <m/>
    <s v="Charito A. Tabobo"/>
    <s v="Reimbursement of Meals &amp; Snacks (Admin &amp; Finance Section Coordination Meeting Jan. 24, 2022)"/>
    <x v="5"/>
    <x v="5"/>
    <n v="7039.5"/>
    <m/>
    <m/>
    <n v="7039.5"/>
  </r>
  <r>
    <d v="2022-02-28T00:00:00"/>
    <d v="2022-02-24T00:00:00"/>
    <s v="1475712"/>
    <x v="1"/>
    <s v="5"/>
    <s v="5-1"/>
    <m/>
    <m/>
    <s v="Charito A. Tabobo"/>
    <s v="Reimbursement of Meals &amp; Snacks (Admin &amp; Finance Section Coordination Meeting Jan. 24, 2022)"/>
    <x v="3"/>
    <x v="3"/>
    <m/>
    <n v="7039.5"/>
    <m/>
    <n v="0"/>
  </r>
  <r>
    <d v="2022-02-28T00:00:00"/>
    <d v="2022-02-24T00:00:00"/>
    <s v="1475713"/>
    <x v="1"/>
    <s v="5"/>
    <s v="5-1"/>
    <m/>
    <m/>
    <s v="NIA-PIMO 501 Trust "/>
    <s v="Payment of C.N.A Disallowance (Feb. 2022)"/>
    <x v="14"/>
    <x v="14"/>
    <n v="500"/>
    <m/>
    <m/>
    <n v="500"/>
  </r>
  <r>
    <d v="2022-02-28T00:00:00"/>
    <d v="2022-02-24T00:00:00"/>
    <s v="1475713"/>
    <x v="1"/>
    <s v="5"/>
    <s v="5-1"/>
    <m/>
    <m/>
    <s v="NIA-PIMO 501 Trust "/>
    <s v="Payment of C.N.A Disallowance (Feb. 2022)"/>
    <x v="3"/>
    <x v="3"/>
    <m/>
    <n v="500"/>
    <m/>
    <n v="0"/>
  </r>
  <r>
    <d v="2022-02-28T00:00:00"/>
    <d v="2022-02-24T00:00:00"/>
    <s v="1475714"/>
    <x v="1"/>
    <s v="5"/>
    <s v="5-1"/>
    <m/>
    <m/>
    <s v="LBP for the account of BIR"/>
    <s v="Payment of withholding tax on Compensation (Feb. 2022)"/>
    <x v="9"/>
    <x v="9"/>
    <n v="730.7"/>
    <m/>
    <m/>
    <n v="730.7"/>
  </r>
  <r>
    <d v="2022-02-28T00:00:00"/>
    <d v="2022-02-24T00:00:00"/>
    <s v="1475714"/>
    <x v="1"/>
    <s v="5"/>
    <s v="5-1"/>
    <m/>
    <m/>
    <s v="LBP for the account of BIR"/>
    <s v="Payment of withholding tax on Compensation (Feb. 2022)"/>
    <x v="3"/>
    <x v="3"/>
    <m/>
    <n v="730.7"/>
    <m/>
    <n v="0"/>
  </r>
  <r>
    <d v="2022-02-28T00:00:00"/>
    <d v="2022-02-24T00:00:00"/>
    <s v="1475715"/>
    <x v="1"/>
    <s v="5"/>
    <s v="5-1"/>
    <m/>
    <m/>
    <s v="H.D.M.F"/>
    <s v="Payment of hdmf m2 (Feb. 2022)"/>
    <x v="12"/>
    <x v="12"/>
    <n v="1000"/>
    <m/>
    <m/>
    <n v="1000"/>
  </r>
  <r>
    <d v="2022-02-28T00:00:00"/>
    <d v="2022-02-24T00:00:00"/>
    <s v="1475715"/>
    <x v="1"/>
    <s v="5"/>
    <s v="5-1"/>
    <m/>
    <m/>
    <s v="H.D.M.F"/>
    <s v="Payment of hdmf m2 (Feb. 2022)"/>
    <x v="3"/>
    <x v="3"/>
    <m/>
    <n v="1000"/>
    <m/>
    <n v="0"/>
  </r>
  <r>
    <d v="2022-02-28T00:00:00"/>
    <d v="2022-02-24T00:00:00"/>
    <s v="1475716"/>
    <x v="1"/>
    <s v="5"/>
    <s v="5-1"/>
    <m/>
    <m/>
    <s v="Philippine Health Insurance Corporation"/>
    <s v="Payment of PHIC Premiums (Feb. 2022)"/>
    <x v="18"/>
    <x v="18"/>
    <n v="1054.06"/>
    <m/>
    <m/>
    <n v="1054.06"/>
  </r>
  <r>
    <d v="2022-02-28T00:00:00"/>
    <d v="2022-02-24T00:00:00"/>
    <s v="1475716"/>
    <x v="1"/>
    <s v="5"/>
    <s v="5-1"/>
    <m/>
    <m/>
    <s v="Philippine Health Insurance Corporation"/>
    <s v="Payment of PHIC Premiums (Feb. 2022)"/>
    <x v="13"/>
    <x v="13"/>
    <n v="1054.04"/>
    <m/>
    <m/>
    <n v="2108.1"/>
  </r>
  <r>
    <d v="2022-02-28T00:00:00"/>
    <d v="2022-02-24T00:00:00"/>
    <s v="1475716"/>
    <x v="1"/>
    <s v="5"/>
    <s v="5-1"/>
    <m/>
    <m/>
    <s v="Philippine Health Insurance Corporation"/>
    <s v="Payment of PHIC Premiums (Feb. 2022)"/>
    <x v="3"/>
    <x v="3"/>
    <m/>
    <n v="2108.1"/>
    <m/>
    <n v="0"/>
  </r>
  <r>
    <d v="2022-02-28T00:00:00"/>
    <d v="2022-02-24T00:00:00"/>
    <s v="1475717"/>
    <x v="1"/>
    <s v="5"/>
    <s v="5-1"/>
    <m/>
    <m/>
    <s v="H.D.M.F"/>
    <s v="Payment of HDMF Premiums (Feb. 2022)"/>
    <x v="17"/>
    <x v="17"/>
    <n v="300"/>
    <m/>
    <m/>
    <n v="300"/>
  </r>
  <r>
    <d v="2022-02-28T00:00:00"/>
    <d v="2022-02-24T00:00:00"/>
    <s v="1475717"/>
    <x v="1"/>
    <s v="5"/>
    <s v="5-1"/>
    <m/>
    <m/>
    <s v="H.D.M.F"/>
    <s v="Payment of HDMF Premiums (Feb. 2022)"/>
    <x v="11"/>
    <x v="11"/>
    <n v="1446.64"/>
    <m/>
    <m/>
    <n v="1746.64"/>
  </r>
  <r>
    <d v="2022-02-28T00:00:00"/>
    <d v="2022-02-24T00:00:00"/>
    <s v="1475717"/>
    <x v="1"/>
    <s v="5"/>
    <s v="5-1"/>
    <m/>
    <m/>
    <s v="H.D.M.F"/>
    <s v="Payment of HDMF Premiums (Feb. 2022)"/>
    <x v="3"/>
    <x v="3"/>
    <m/>
    <n v="1746.64"/>
    <m/>
    <n v="0"/>
  </r>
  <r>
    <d v="2022-02-28T00:00:00"/>
    <d v="2022-02-24T00:00:00"/>
    <s v="1475718"/>
    <x v="1"/>
    <s v="5"/>
    <s v="5-1"/>
    <m/>
    <m/>
    <s v="G.S.I.S "/>
    <s v="Payment of GSIS Premiums  (Feb. 2022)"/>
    <x v="15"/>
    <x v="15"/>
    <n v="8432.4"/>
    <m/>
    <m/>
    <n v="8432.4"/>
  </r>
  <r>
    <d v="2022-02-28T00:00:00"/>
    <d v="2022-02-24T00:00:00"/>
    <s v="1475718"/>
    <x v="1"/>
    <s v="5"/>
    <s v="5-1"/>
    <m/>
    <m/>
    <s v="G.S.I.S "/>
    <s v="Payment of GSIS Premiums  (Feb. 2022)"/>
    <x v="10"/>
    <x v="10"/>
    <n v="6324.3"/>
    <m/>
    <m/>
    <n v="14756.7"/>
  </r>
  <r>
    <d v="2022-02-28T00:00:00"/>
    <d v="2022-02-24T00:00:00"/>
    <s v="1475718"/>
    <x v="1"/>
    <s v="5"/>
    <s v="5-1"/>
    <m/>
    <m/>
    <s v="G.S.I.S "/>
    <s v="Payment of GSIS Premiums  (Feb. 2022)"/>
    <x v="16"/>
    <x v="16"/>
    <n v="300"/>
    <m/>
    <m/>
    <n v="15056.7"/>
  </r>
  <r>
    <d v="2022-02-28T00:00:00"/>
    <d v="2022-02-24T00:00:00"/>
    <s v="1475718"/>
    <x v="1"/>
    <s v="5"/>
    <s v="5-1"/>
    <m/>
    <m/>
    <s v="G.S.I.S "/>
    <s v="Payment of GSIS Premiums  (Feb. 2022)"/>
    <x v="3"/>
    <x v="3"/>
    <m/>
    <n v="15056.7"/>
    <m/>
    <n v="0"/>
  </r>
  <r>
    <d v="2022-02-28T00:00:00"/>
    <d v="2022-02-15T00:00:00"/>
    <s v="Payoll2201002"/>
    <x v="1"/>
    <s v="5"/>
    <s v="5-1"/>
    <m/>
    <m/>
    <s v="Emerson A. Delos Santos &amp; 2 others"/>
    <s v="Payment of Wages (Feb. 1-15, 2022)"/>
    <x v="7"/>
    <x v="7"/>
    <n v="70270"/>
    <m/>
    <m/>
    <n v="70270"/>
  </r>
  <r>
    <d v="2022-02-28T00:00:00"/>
    <d v="2022-02-15T00:00:00"/>
    <s v="Payoll2201002"/>
    <x v="1"/>
    <s v="5"/>
    <s v="5-1"/>
    <m/>
    <m/>
    <s v="Emerson A. Delos Santos &amp; 2 others"/>
    <s v="Payment of Wages (Feb. 1-15, 2022)"/>
    <x v="8"/>
    <x v="8"/>
    <n v="6000"/>
    <m/>
    <m/>
    <n v="76270"/>
  </r>
  <r>
    <d v="2022-02-28T00:00:00"/>
    <d v="2022-02-15T00:00:00"/>
    <s v="Payoll2201002"/>
    <x v="1"/>
    <s v="5"/>
    <s v="5-1"/>
    <m/>
    <m/>
    <s v="Emerson A. Delos Santos &amp; 2 others"/>
    <s v="Payment of Wages (Feb. 1-15, 2022)"/>
    <x v="9"/>
    <x v="9"/>
    <m/>
    <n v="730.7"/>
    <m/>
    <n v="75539.3"/>
  </r>
  <r>
    <d v="2022-02-28T00:00:00"/>
    <d v="2022-02-15T00:00:00"/>
    <s v="Payoll2201002"/>
    <x v="1"/>
    <s v="5"/>
    <s v="5-1"/>
    <m/>
    <m/>
    <s v="Emerson A. Delos Santos &amp; 2 others"/>
    <s v="Payment of Wages (Feb. 1-15, 2022)"/>
    <x v="10"/>
    <x v="10"/>
    <m/>
    <n v="6324.3"/>
    <m/>
    <n v="69215"/>
  </r>
  <r>
    <d v="2022-02-28T00:00:00"/>
    <d v="2022-02-15T00:00:00"/>
    <s v="Payoll2201002"/>
    <x v="1"/>
    <s v="5"/>
    <s v="5-1"/>
    <m/>
    <m/>
    <s v="Emerson A. Delos Santos &amp; 2 others"/>
    <s v="Payment of Wages (Feb. 1-15, 2022)"/>
    <x v="11"/>
    <x v="11"/>
    <m/>
    <n v="1446.64"/>
    <m/>
    <n v="67768.36"/>
  </r>
  <r>
    <d v="2022-02-28T00:00:00"/>
    <d v="2022-02-15T00:00:00"/>
    <s v="Payoll2201002"/>
    <x v="1"/>
    <s v="5"/>
    <s v="5-1"/>
    <m/>
    <m/>
    <s v="Emerson A. Delos Santos &amp; 2 others"/>
    <s v="Payment of Wages (Feb. 1-15, 2022)"/>
    <x v="12"/>
    <x v="12"/>
    <m/>
    <n v="1000"/>
    <m/>
    <n v="66768.36"/>
  </r>
  <r>
    <d v="2022-02-28T00:00:00"/>
    <d v="2022-02-15T00:00:00"/>
    <s v="Payoll2201002"/>
    <x v="1"/>
    <s v="5"/>
    <s v="5-1"/>
    <m/>
    <m/>
    <s v="Emerson A. Delos Santos &amp; 2 others"/>
    <s v="Payment of Wages (Feb. 1-15, 2022)"/>
    <x v="13"/>
    <x v="13"/>
    <m/>
    <n v="1054.04"/>
    <m/>
    <n v="65714.320000000007"/>
  </r>
  <r>
    <d v="2022-02-28T00:00:00"/>
    <d v="2022-02-15T00:00:00"/>
    <s v="Payoll2201002"/>
    <x v="1"/>
    <s v="5"/>
    <s v="5-1"/>
    <m/>
    <m/>
    <s v="Emerson A. Delos Santos &amp; 2 others"/>
    <s v="Payment of Wages (Feb. 1-15, 2022)"/>
    <x v="14"/>
    <x v="14"/>
    <m/>
    <n v="500"/>
    <m/>
    <n v="65214.32"/>
  </r>
  <r>
    <d v="2022-02-28T00:00:00"/>
    <d v="2022-02-15T00:00:00"/>
    <s v="Payoll2201002"/>
    <x v="1"/>
    <s v="5"/>
    <s v="5-1"/>
    <m/>
    <m/>
    <s v="Emerson A. Delos Santos &amp; 2 others"/>
    <s v="Payment of Wages (Feb. 1-15, 2022)"/>
    <x v="3"/>
    <x v="3"/>
    <m/>
    <n v="32607.17"/>
    <m/>
    <n v="32607.15"/>
  </r>
  <r>
    <d v="2022-02-28T00:00:00"/>
    <d v="2022-02-28T00:00:00"/>
    <s v="Payoll2201002a"/>
    <x v="1"/>
    <s v="5"/>
    <s v="5-1"/>
    <m/>
    <m/>
    <s v="Emerson A. Delos Santos &amp; 2 others"/>
    <s v="Payment of Wages (Feb. 1-15, 2022)"/>
    <x v="3"/>
    <x v="3"/>
    <m/>
    <n v="32607.15"/>
    <m/>
    <n v="0"/>
  </r>
  <r>
    <d v="2022-02-28T00:00:00"/>
    <d v="2022-02-28T00:00:00"/>
    <s v="1475719"/>
    <x v="1"/>
    <s v="5"/>
    <s v="5-1"/>
    <m/>
    <m/>
    <s v="LBP for the account of BIR"/>
    <s v="Payment of withholding of final VAT (5% Various suppliers/contractors Nov. 2021)"/>
    <x v="1"/>
    <x v="1"/>
    <n v="311.83"/>
    <m/>
    <m/>
    <n v="311.83"/>
  </r>
  <r>
    <d v="2022-02-28T00:00:00"/>
    <d v="2022-02-28T00:00:00"/>
    <s v="1475719"/>
    <x v="1"/>
    <s v="5"/>
    <s v="5-1"/>
    <m/>
    <m/>
    <s v="LBP for the account of BIR"/>
    <s v="Payment of withholding of final VAT (5% Various suppliers/contractors Nov. 2021)"/>
    <x v="3"/>
    <x v="3"/>
    <m/>
    <n v="311.83"/>
    <m/>
    <n v="0"/>
  </r>
  <r>
    <d v="2022-02-28T00:00:00"/>
    <d v="2022-02-28T00:00:00"/>
    <s v="1475719"/>
    <x v="1"/>
    <s v="5"/>
    <s v="5-1"/>
    <m/>
    <m/>
    <s v="LBP for the account of BIR"/>
    <s v="Payment of withholding of final VAT (2% Various suppliers/contractors Nov. 2021)"/>
    <x v="6"/>
    <x v="6"/>
    <n v="62.37"/>
    <m/>
    <m/>
    <n v="62.37"/>
  </r>
  <r>
    <d v="2022-02-28T00:00:00"/>
    <d v="2022-02-28T00:00:00"/>
    <s v="1475720"/>
    <x v="1"/>
    <s v="5"/>
    <s v="5-1"/>
    <m/>
    <m/>
    <s v="LBP for the account of BIR"/>
    <s v="Payment of withholding of final VAT (2% Various suppliers/contractors Nov. 2021)"/>
    <x v="3"/>
    <x v="3"/>
    <m/>
    <n v="62.37"/>
    <m/>
    <n v="0"/>
  </r>
  <r>
    <d v="2022-02-28T00:00:00"/>
    <d v="2022-02-17T00:00:00"/>
    <s v="Payoll2201003"/>
    <x v="1"/>
    <s v="5"/>
    <s v="5-1"/>
    <m/>
    <m/>
    <s v="Emerson A. Delos Santos &amp; 1 others"/>
    <s v="Payment of Uniform Allowance"/>
    <x v="21"/>
    <x v="21"/>
    <n v="12000"/>
    <m/>
    <m/>
    <n v="12000"/>
  </r>
  <r>
    <d v="2022-02-28T00:00:00"/>
    <d v="2022-02-17T00:00:00"/>
    <s v="Payoll2201003"/>
    <x v="1"/>
    <s v="5"/>
    <s v="5-1"/>
    <m/>
    <m/>
    <s v="Emerson A. Delos Santos &amp; 1 others"/>
    <s v="Payment of Uniform Allowance"/>
    <x v="3"/>
    <x v="3"/>
    <m/>
    <n v="12000"/>
    <m/>
    <n v="0"/>
  </r>
  <r>
    <d v="2022-03-31T00:00:00"/>
    <d v="2022-03-03T00:00:00"/>
    <s v="1475721"/>
    <x v="2"/>
    <s v="5"/>
    <s v="5-1"/>
    <m/>
    <m/>
    <s v="Bitstop, Inc."/>
    <s v="Payment of IT Equipment (1 laptop &amp; 1 unit Printer, Multifunction  PIMO)"/>
    <x v="22"/>
    <x v="22"/>
    <n v="72000"/>
    <m/>
    <m/>
    <n v="72000"/>
  </r>
  <r>
    <d v="2022-03-31T00:00:00"/>
    <d v="2022-03-03T00:00:00"/>
    <s v="1475721"/>
    <x v="2"/>
    <s v="5"/>
    <s v="5-1"/>
    <m/>
    <m/>
    <s v="Bitstop, Inc."/>
    <s v="Payment of IT Equipment (1 laptop &amp; 1 unit Printer, Multifunction  PIMO)"/>
    <x v="23"/>
    <x v="23"/>
    <n v="12000"/>
    <m/>
    <m/>
    <n v="84000"/>
  </r>
  <r>
    <d v="2022-03-31T00:00:00"/>
    <d v="2022-03-03T00:00:00"/>
    <s v="1475721"/>
    <x v="2"/>
    <s v="5"/>
    <s v="5-1"/>
    <m/>
    <m/>
    <s v="Bitstop, Inc."/>
    <s v="Payment of IT Equipment (1 laptop &amp; 1 unit Printer, Multifunction  PIMO)"/>
    <x v="6"/>
    <x v="6"/>
    <m/>
    <n v="750"/>
    <m/>
    <n v="83250"/>
  </r>
  <r>
    <d v="2022-03-31T00:00:00"/>
    <d v="2022-03-03T00:00:00"/>
    <s v="1475721"/>
    <x v="2"/>
    <s v="5"/>
    <s v="5-1"/>
    <m/>
    <m/>
    <s v="Bitstop, Inc."/>
    <s v="Payment of IT Equipment (1 laptop &amp; 1 unit Printer, Multifunction  PIMO)"/>
    <x v="1"/>
    <x v="1"/>
    <m/>
    <n v="3750"/>
    <m/>
    <n v="79500"/>
  </r>
  <r>
    <d v="2022-03-31T00:00:00"/>
    <d v="2022-03-03T00:00:00"/>
    <s v="1475721"/>
    <x v="2"/>
    <s v="5"/>
    <s v="5-1"/>
    <m/>
    <m/>
    <s v="Bitstop, Inc."/>
    <s v="Payment of IT Equipment (1 laptop &amp; 1 unit Printer, Multifunction  PIMO)"/>
    <x v="3"/>
    <x v="3"/>
    <m/>
    <n v="79500"/>
    <m/>
    <n v="0"/>
  </r>
  <r>
    <d v="2022-03-31T00:00:00"/>
    <d v="2022-03-15T00:00:00"/>
    <s v="Payoll2203004"/>
    <x v="2"/>
    <s v="5"/>
    <s v="5-1"/>
    <m/>
    <m/>
    <s v="Emerson A. Delos Santos &amp; 2 others"/>
    <s v="Payment of Wages &amp; Allowances (March 1-15, 2021)"/>
    <x v="7"/>
    <x v="7"/>
    <n v="70270"/>
    <m/>
    <m/>
    <n v="70270"/>
  </r>
  <r>
    <d v="2022-03-31T00:00:00"/>
    <d v="2022-03-15T00:00:00"/>
    <s v="Payoll2203004"/>
    <x v="2"/>
    <s v="5"/>
    <s v="5-1"/>
    <m/>
    <m/>
    <s v="Emerson A. Delos Santos &amp; 2 others"/>
    <s v="Payment of Wages &amp; Allowances (March 1-15, 2021)"/>
    <x v="8"/>
    <x v="8"/>
    <n v="6000"/>
    <m/>
    <m/>
    <n v="76270"/>
  </r>
  <r>
    <d v="2022-03-31T00:00:00"/>
    <d v="2022-03-15T00:00:00"/>
    <s v="Payoll2203004"/>
    <x v="2"/>
    <s v="5"/>
    <s v="5-1"/>
    <m/>
    <m/>
    <s v="Emerson A. Delos Santos &amp; 2 others"/>
    <s v="Payment of Wages &amp; Allowances (March 1-15, 2021)"/>
    <x v="9"/>
    <x v="9"/>
    <m/>
    <n v="730.7"/>
    <m/>
    <n v="75539.3"/>
  </r>
  <r>
    <d v="2022-03-31T00:00:00"/>
    <d v="2022-03-15T00:00:00"/>
    <s v="Payoll2203004"/>
    <x v="2"/>
    <s v="5"/>
    <s v="5-1"/>
    <m/>
    <m/>
    <s v="Emerson A. Delos Santos &amp; 2 others"/>
    <s v="Payment of Wages &amp; Allowances (March 1-15, 2021)"/>
    <x v="10"/>
    <x v="10"/>
    <m/>
    <n v="6324.3"/>
    <m/>
    <n v="69215"/>
  </r>
  <r>
    <d v="2022-03-31T00:00:00"/>
    <d v="2022-03-15T00:00:00"/>
    <s v="Payoll2203004"/>
    <x v="2"/>
    <s v="5"/>
    <s v="5-1"/>
    <m/>
    <m/>
    <s v="Emerson A. Delos Santos &amp; 2 others"/>
    <s v="Payment of Wages &amp; Allowances (March 1-15, 2021)"/>
    <x v="11"/>
    <x v="11"/>
    <m/>
    <n v="1446.64"/>
    <m/>
    <n v="67768.36"/>
  </r>
  <r>
    <d v="2022-03-31T00:00:00"/>
    <d v="2022-03-15T00:00:00"/>
    <s v="Payoll2203004"/>
    <x v="2"/>
    <s v="5"/>
    <s v="5-1"/>
    <m/>
    <m/>
    <s v="Emerson A. Delos Santos &amp; 2 others"/>
    <s v="Payment of Wages &amp; Allowances (March 1-15, 2021)"/>
    <x v="12"/>
    <x v="12"/>
    <m/>
    <n v="1000"/>
    <m/>
    <n v="66768.36"/>
  </r>
  <r>
    <d v="2022-03-31T00:00:00"/>
    <d v="2022-03-15T00:00:00"/>
    <s v="Payoll2203004"/>
    <x v="2"/>
    <s v="5"/>
    <s v="5-1"/>
    <m/>
    <m/>
    <s v="Emerson A. Delos Santos &amp; 2 others"/>
    <s v="Payment of Wages &amp; Allowances (March 1-15, 2021)"/>
    <x v="13"/>
    <x v="13"/>
    <m/>
    <n v="1054.04"/>
    <m/>
    <n v="65714.320000000007"/>
  </r>
  <r>
    <d v="2022-03-31T00:00:00"/>
    <d v="2022-03-15T00:00:00"/>
    <s v="Payoll2203004"/>
    <x v="2"/>
    <s v="5"/>
    <s v="5-1"/>
    <m/>
    <m/>
    <s v="Emerson A. Delos Santos &amp; 2 others"/>
    <s v="Payment of Wages &amp; Allowances (March 1-15, 2021)"/>
    <x v="3"/>
    <x v="3"/>
    <m/>
    <n v="32857.17"/>
    <m/>
    <n v="32857.15"/>
  </r>
  <r>
    <d v="2022-03-31T00:00:00"/>
    <d v="2022-03-28T00:00:00"/>
    <s v="Payoll2203004A"/>
    <x v="2"/>
    <s v="5"/>
    <s v="5-1"/>
    <m/>
    <m/>
    <s v="Emerson A. Delos Santos &amp; 2 others"/>
    <s v="Payment of Wages &amp; Allowances (March 16-31, 2021)"/>
    <x v="3"/>
    <x v="3"/>
    <m/>
    <n v="32857.15"/>
    <m/>
    <n v="0"/>
  </r>
  <r>
    <d v="2022-03-31T00:00:00"/>
    <d v="2022-03-16T00:00:00"/>
    <s v="1475722"/>
    <x v="2"/>
    <s v="5"/>
    <s v="5-1"/>
    <m/>
    <m/>
    <s v="Marigold Store "/>
    <s v="Payment of Office Supplies (300 reams paper, legal size PIMO Engineering Section CARP IC)"/>
    <x v="24"/>
    <x v="24"/>
    <n v="62400"/>
    <m/>
    <m/>
    <n v="62400"/>
  </r>
  <r>
    <d v="2022-03-31T00:00:00"/>
    <d v="2022-03-16T00:00:00"/>
    <s v="1475722"/>
    <x v="2"/>
    <s v="5"/>
    <s v="5-1"/>
    <m/>
    <m/>
    <s v="Marigold Store "/>
    <s v="Payment of Office Supplies (300 reams paper, legal size PIMO Engineering Section CARP IC)"/>
    <x v="6"/>
    <x v="6"/>
    <m/>
    <n v="557.15"/>
    <m/>
    <n v="61842.85"/>
  </r>
  <r>
    <d v="2022-03-31T00:00:00"/>
    <d v="2022-03-16T00:00:00"/>
    <s v="1475722"/>
    <x v="2"/>
    <s v="5"/>
    <s v="5-1"/>
    <m/>
    <m/>
    <s v="Marigold Store "/>
    <s v="Payment of Office Supplies (300 reams paper, legal size PIMO Engineering Section CARP IC)"/>
    <x v="1"/>
    <x v="1"/>
    <m/>
    <n v="2785.71"/>
    <m/>
    <n v="59057.14"/>
  </r>
  <r>
    <d v="2022-03-31T00:00:00"/>
    <d v="2022-03-16T00:00:00"/>
    <s v="1475722"/>
    <x v="2"/>
    <s v="5"/>
    <s v="5-1"/>
    <m/>
    <m/>
    <s v="Marigold Store "/>
    <s v="Payment of Office Supplies (300 reams paper, legal size PIMO Engineering Section CARP IC)"/>
    <x v="3"/>
    <x v="3"/>
    <m/>
    <n v="59057.14"/>
    <m/>
    <n v="0"/>
  </r>
  <r>
    <d v="2022-03-31T00:00:00"/>
    <d v="2022-03-29T00:00:00"/>
    <s v="1475723"/>
    <x v="2"/>
    <s v="5"/>
    <s v="5-1"/>
    <m/>
    <m/>
    <s v="H.D.M.F"/>
    <s v="Payment of HDMF Premiums (March, 2022)"/>
    <x v="17"/>
    <x v="17"/>
    <n v="300"/>
    <m/>
    <m/>
    <n v="300"/>
  </r>
  <r>
    <d v="2022-03-31T00:00:00"/>
    <d v="2022-03-29T00:00:00"/>
    <s v="1475723"/>
    <x v="2"/>
    <s v="5"/>
    <s v="5-1"/>
    <m/>
    <m/>
    <s v="H.D.M.F"/>
    <s v="Payment of HDMF Premiums (March, 2022)"/>
    <x v="11"/>
    <x v="11"/>
    <n v="1446.64"/>
    <m/>
    <m/>
    <n v="1746.64"/>
  </r>
  <r>
    <d v="2022-03-31T00:00:00"/>
    <d v="2022-03-29T00:00:00"/>
    <s v="1475723"/>
    <x v="2"/>
    <s v="5"/>
    <s v="5-1"/>
    <m/>
    <m/>
    <s v="H.D.M.F"/>
    <s v="Payment of HDMF Premiums (March, 2022)"/>
    <x v="3"/>
    <x v="3"/>
    <m/>
    <n v="1746.64"/>
    <m/>
    <n v="0"/>
  </r>
  <r>
    <d v="2022-03-31T00:00:00"/>
    <d v="2022-03-29T00:00:00"/>
    <s v="1475724"/>
    <x v="2"/>
    <s v="5"/>
    <s v="5-1"/>
    <m/>
    <m/>
    <s v="H.D.M.F"/>
    <s v="Payment of HDMF M2 (March, 2022)"/>
    <x v="12"/>
    <x v="12"/>
    <n v="1000"/>
    <m/>
    <m/>
    <n v="1000"/>
  </r>
  <r>
    <d v="2022-03-31T00:00:00"/>
    <d v="2022-03-29T00:00:00"/>
    <s v="1475724"/>
    <x v="2"/>
    <s v="5"/>
    <s v="5-1"/>
    <m/>
    <m/>
    <s v="H.D.M.F"/>
    <s v="Payment of HDMF M2 (March, 2022)"/>
    <x v="3"/>
    <x v="3"/>
    <m/>
    <n v="1000"/>
    <m/>
    <n v="0"/>
  </r>
  <r>
    <d v="2022-03-31T00:00:00"/>
    <d v="2022-03-29T00:00:00"/>
    <s v="1475725"/>
    <x v="2"/>
    <s v="5"/>
    <s v="5-1"/>
    <m/>
    <m/>
    <s v="G.S.I.S"/>
    <s v="Payment of GSIS Premiums (PIMO March, 2022)"/>
    <x v="15"/>
    <x v="15"/>
    <n v="8432.4"/>
    <m/>
    <m/>
    <n v="8432.4"/>
  </r>
  <r>
    <d v="2022-03-31T00:00:00"/>
    <d v="2022-03-29T00:00:00"/>
    <s v="1475725"/>
    <x v="2"/>
    <s v="5"/>
    <s v="5-1"/>
    <m/>
    <m/>
    <s v="G.S.I.S"/>
    <s v="Payment of GSIS Premiums (PIMO March, 2022)"/>
    <x v="10"/>
    <x v="10"/>
    <n v="6324.3"/>
    <m/>
    <m/>
    <n v="14756.7"/>
  </r>
  <r>
    <d v="2022-03-31T00:00:00"/>
    <d v="2022-03-29T00:00:00"/>
    <s v="1475725"/>
    <x v="2"/>
    <s v="5"/>
    <s v="5-1"/>
    <m/>
    <m/>
    <s v="G.S.I.S"/>
    <s v="Payment of GSIS Premiums (PIMO March, 2022)"/>
    <x v="16"/>
    <x v="16"/>
    <n v="300"/>
    <m/>
    <m/>
    <n v="15056.7"/>
  </r>
  <r>
    <d v="2022-03-31T00:00:00"/>
    <d v="2022-03-29T00:00:00"/>
    <s v="1475725"/>
    <x v="2"/>
    <s v="5"/>
    <s v="5-1"/>
    <m/>
    <m/>
    <s v="G.S.I.S"/>
    <s v="Payment of GSIS Premiums (PIMO March, 2022)"/>
    <x v="3"/>
    <x v="3"/>
    <m/>
    <n v="15056.7"/>
    <m/>
    <n v="0"/>
  </r>
  <r>
    <d v="2022-03-31T00:00:00"/>
    <d v="2022-03-29T00:00:00"/>
    <s v="1475726"/>
    <x v="2"/>
    <s v="5"/>
    <s v="5-1"/>
    <m/>
    <m/>
    <s v="Philippine Health Insurance Corporation"/>
    <s v="Payment of PHIC Premiums (PIMO March, 2022)"/>
    <x v="18"/>
    <x v="18"/>
    <n v="1054.06"/>
    <m/>
    <m/>
    <n v="1054.06"/>
  </r>
  <r>
    <d v="2022-03-31T00:00:00"/>
    <d v="2022-03-29T00:00:00"/>
    <s v="1475726"/>
    <x v="2"/>
    <s v="5"/>
    <s v="5-1"/>
    <m/>
    <m/>
    <s v="Philippine Health Insurance Corporation"/>
    <s v="Payment of PHIC Premiums (PIMO March, 2022)"/>
    <x v="13"/>
    <x v="13"/>
    <n v="1054.04"/>
    <m/>
    <m/>
    <n v="2108.1"/>
  </r>
  <r>
    <d v="2022-03-31T00:00:00"/>
    <d v="2022-03-29T00:00:00"/>
    <s v="1475726"/>
    <x v="2"/>
    <s v="5"/>
    <s v="5-1"/>
    <m/>
    <m/>
    <s v="Philippine Health Insurance Corporation"/>
    <s v="Payment of PHIC Premiums (PIMO March, 2022)"/>
    <x v="3"/>
    <x v="3"/>
    <m/>
    <n v="2108.1"/>
    <m/>
    <n v="0"/>
  </r>
  <r>
    <d v="2022-03-31T00:00:00"/>
    <d v="2022-03-29T00:00:00"/>
    <s v="1475727"/>
    <x v="2"/>
    <s v="5"/>
    <s v="5-1"/>
    <m/>
    <m/>
    <s v="LBP for the account of BIR "/>
    <s v="Payment of Withholding TAX on Compensation (PIMO March,2022)"/>
    <x v="9"/>
    <x v="9"/>
    <n v="730.7"/>
    <m/>
    <m/>
    <n v="730.7"/>
  </r>
  <r>
    <d v="2022-03-31T00:00:00"/>
    <d v="2022-03-29T00:00:00"/>
    <s v="1475727"/>
    <x v="2"/>
    <s v="5"/>
    <s v="5-1"/>
    <m/>
    <m/>
    <s v="LBP for the account of BIR "/>
    <s v="Payment of Withholding TAX on Compensation (PIMO March,2022)"/>
    <x v="3"/>
    <x v="3"/>
    <m/>
    <n v="730.7"/>
    <m/>
    <n v="0"/>
  </r>
  <r>
    <d v="2022-03-31T00:00:00"/>
    <d v="2022-03-29T00:00:00"/>
    <s v="1475728"/>
    <x v="2"/>
    <s v="5"/>
    <s v="5-1"/>
    <m/>
    <m/>
    <s v="LBP for the account of BIR "/>
    <s v="Payment of withholding final VAT 5% (PIMO March,2022)"/>
    <x v="1"/>
    <x v="1"/>
    <n v="6535.71"/>
    <m/>
    <m/>
    <n v="6535.71"/>
  </r>
  <r>
    <d v="2022-03-31T00:00:00"/>
    <d v="2022-03-29T00:00:00"/>
    <s v="1475728"/>
    <x v="2"/>
    <s v="5"/>
    <s v="5-1"/>
    <m/>
    <m/>
    <s v="LBP for the account of BIR "/>
    <s v="Payment of withholding final VAT 5% (PIMO March,2022)"/>
    <x v="3"/>
    <x v="3"/>
    <m/>
    <n v="6535.71"/>
    <m/>
    <n v="0"/>
  </r>
  <r>
    <d v="2022-03-31T00:00:00"/>
    <d v="2022-03-29T00:00:00"/>
    <s v="1475730"/>
    <x v="2"/>
    <s v="5"/>
    <s v="5-1"/>
    <m/>
    <m/>
    <s v="LBP for the account of BIR "/>
    <s v="Payment of withholding final VAT 1% (PIMO March,2022)"/>
    <x v="6"/>
    <x v="6"/>
    <n v="1307.1500000000001"/>
    <m/>
    <m/>
    <n v="1307.1500000000001"/>
  </r>
  <r>
    <d v="2022-03-31T00:00:00"/>
    <d v="2022-03-29T00:00:00"/>
    <s v="1475730"/>
    <x v="2"/>
    <s v="5"/>
    <s v="5-1"/>
    <m/>
    <m/>
    <s v="LBP for the account of BIR "/>
    <s v="Payment of withholding final VAT 1% (PIMO March,2022)"/>
    <x v="3"/>
    <x v="3"/>
    <m/>
    <n v="1307.1500000000001"/>
    <m/>
    <n v="0"/>
  </r>
  <r>
    <d v="2022-04-30T00:00:00"/>
    <d v="2022-04-01T00:00:00"/>
    <s v="1475731"/>
    <x v="3"/>
    <s v="5"/>
    <s v="5-1"/>
    <m/>
    <m/>
    <s v="Charito A. Tabobo "/>
    <s v="Reimbursement for the certification of BIR Registration,Docs Stamp &amp; others (PIMO Office)"/>
    <x v="25"/>
    <x v="25"/>
    <n v="2805"/>
    <m/>
    <s v="200056 MOOE"/>
    <n v="2805"/>
  </r>
  <r>
    <d v="2022-04-30T00:00:00"/>
    <d v="2022-04-01T00:00:00"/>
    <s v="1475731"/>
    <x v="3"/>
    <s v="5"/>
    <s v="5-1"/>
    <m/>
    <m/>
    <s v="Charito A. Tabobo "/>
    <s v="Reimbursement for the certification of BIR Registration,Docs Stamp &amp; others (PIMO Office)"/>
    <x v="3"/>
    <x v="3"/>
    <m/>
    <n v="2805"/>
    <m/>
    <n v="0"/>
  </r>
  <r>
    <d v="2022-04-30T00:00:00"/>
    <d v="2022-04-13T00:00:00"/>
    <s v="Payoll2204005"/>
    <x v="3"/>
    <s v="5"/>
    <s v="5-1"/>
    <m/>
    <m/>
    <s v="Emerson A. Delos Santos  &amp; 2 others"/>
    <s v="Payment of Wages &amp; Allowances (March 1-31, 2022)"/>
    <x v="7"/>
    <x v="7"/>
    <n v="70270"/>
    <m/>
    <m/>
    <n v="70270"/>
  </r>
  <r>
    <d v="2022-04-30T00:00:00"/>
    <d v="2022-04-13T00:00:00"/>
    <s v="Payoll2204005"/>
    <x v="3"/>
    <s v="5"/>
    <s v="5-1"/>
    <m/>
    <m/>
    <s v="Emerson A. Delos Santos  &amp; 2 others"/>
    <s v="Payment of Wages &amp; Allowances (March 1-31, 2022)"/>
    <x v="8"/>
    <x v="8"/>
    <n v="6000"/>
    <m/>
    <m/>
    <n v="76270"/>
  </r>
  <r>
    <d v="2022-04-30T00:00:00"/>
    <d v="2022-04-13T00:00:00"/>
    <s v="Payoll2204005"/>
    <x v="3"/>
    <s v="5"/>
    <s v="5-1"/>
    <m/>
    <m/>
    <s v="Emerson A. Delos Santos  &amp; 2 others"/>
    <s v="Payment of Wages &amp; Allowances (March 1-31, 2022)"/>
    <x v="9"/>
    <x v="9"/>
    <m/>
    <n v="730.7"/>
    <m/>
    <n v="75539.3"/>
  </r>
  <r>
    <d v="2022-04-30T00:00:00"/>
    <d v="2022-04-13T00:00:00"/>
    <s v="Payoll2204005"/>
    <x v="3"/>
    <s v="5"/>
    <s v="5-1"/>
    <m/>
    <m/>
    <s v="Emerson A. Delos Santos  &amp; 2 others"/>
    <s v="Payment of Wages &amp; Allowances (March 1-31, 2022)"/>
    <x v="10"/>
    <x v="10"/>
    <m/>
    <n v="6324.3"/>
    <m/>
    <n v="69215"/>
  </r>
  <r>
    <d v="2022-04-30T00:00:00"/>
    <d v="2022-04-13T00:00:00"/>
    <s v="Payoll2204005"/>
    <x v="3"/>
    <s v="5"/>
    <s v="5-1"/>
    <m/>
    <m/>
    <s v="Emerson A. Delos Santos  &amp; 2 others"/>
    <s v="Payment of Wages &amp; Allowances (March 1-31, 2022)"/>
    <x v="11"/>
    <x v="11"/>
    <m/>
    <n v="1446.64"/>
    <m/>
    <n v="67768.36"/>
  </r>
  <r>
    <d v="2022-04-30T00:00:00"/>
    <d v="2022-04-13T00:00:00"/>
    <s v="Payoll2204005"/>
    <x v="3"/>
    <s v="5"/>
    <s v="5-1"/>
    <m/>
    <m/>
    <s v="Emerson A. Delos Santos  &amp; 2 others"/>
    <s v="Payment of Wages &amp; Allowances (March 1-31, 2022)"/>
    <x v="12"/>
    <x v="12"/>
    <m/>
    <n v="1000"/>
    <m/>
    <n v="66768.36"/>
  </r>
  <r>
    <d v="2022-04-30T00:00:00"/>
    <d v="2022-04-13T00:00:00"/>
    <s v="Payoll2204005"/>
    <x v="3"/>
    <s v="5"/>
    <s v="5-1"/>
    <m/>
    <m/>
    <s v="Emerson A. Delos Santos  &amp; 2 others"/>
    <s v="Payment of Wages &amp; Allowances (March 1-31, 2022)"/>
    <x v="13"/>
    <x v="13"/>
    <m/>
    <n v="1054.04"/>
    <m/>
    <n v="65714.320000000007"/>
  </r>
  <r>
    <d v="2022-04-30T00:00:00"/>
    <d v="2022-04-13T00:00:00"/>
    <s v="Payoll2204005"/>
    <x v="3"/>
    <s v="5"/>
    <s v="5-1"/>
    <m/>
    <m/>
    <s v="Emerson A. Delos Santos  &amp; 2 others"/>
    <s v="Payment of Wages &amp; Allowances (March 1-31, 2022)"/>
    <x v="3"/>
    <x v="3"/>
    <m/>
    <n v="65714.320000000007"/>
    <m/>
    <n v="0"/>
  </r>
  <r>
    <d v="2022-04-30T00:00:00"/>
    <d v="2022-04-25T00:00:00"/>
    <s v="1475732"/>
    <x v="3"/>
    <s v="5"/>
    <s v="5-1"/>
    <m/>
    <m/>
    <s v="G.S.I.S "/>
    <s v="Payment of GSIS Premiums (April, 2022)"/>
    <x v="15"/>
    <x v="15"/>
    <n v="8432.4"/>
    <m/>
    <m/>
    <n v="8432.4"/>
  </r>
  <r>
    <d v="2022-04-30T00:00:00"/>
    <d v="2022-04-25T00:00:00"/>
    <s v="1475732"/>
    <x v="3"/>
    <s v="5"/>
    <s v="5-1"/>
    <m/>
    <m/>
    <s v="G.S.I.S "/>
    <s v="Payment of GSIS Premiums (April, 2022)"/>
    <x v="10"/>
    <x v="10"/>
    <n v="6324.3"/>
    <m/>
    <m/>
    <n v="14756.7"/>
  </r>
  <r>
    <d v="2022-04-30T00:00:00"/>
    <d v="2022-04-25T00:00:00"/>
    <s v="1475732"/>
    <x v="3"/>
    <s v="5"/>
    <s v="5-1"/>
    <m/>
    <m/>
    <s v="G.S.I.S "/>
    <s v="Payment of GSIS Premiums (April, 2022)"/>
    <x v="16"/>
    <x v="16"/>
    <n v="300"/>
    <m/>
    <m/>
    <n v="15056.7"/>
  </r>
  <r>
    <d v="2022-04-30T00:00:00"/>
    <d v="2022-04-25T00:00:00"/>
    <s v="1475732"/>
    <x v="3"/>
    <s v="5"/>
    <s v="5-1"/>
    <m/>
    <m/>
    <s v="G.S.I.S "/>
    <s v="Payment of GSIS Premiums (April, 2022)"/>
    <x v="3"/>
    <x v="3"/>
    <m/>
    <n v="15056.7"/>
    <m/>
    <n v="0"/>
  </r>
  <r>
    <d v="2022-04-30T00:00:00"/>
    <d v="2022-04-25T00:00:00"/>
    <s v="1475733"/>
    <x v="3"/>
    <s v="5"/>
    <s v="5-1"/>
    <m/>
    <m/>
    <s v="H.D.M.F"/>
    <s v="Payment of HDMF Premiums (April, 2022)"/>
    <x v="17"/>
    <x v="17"/>
    <n v="300"/>
    <m/>
    <m/>
    <n v="300"/>
  </r>
  <r>
    <d v="2022-04-30T00:00:00"/>
    <d v="2022-04-25T00:00:00"/>
    <s v="1475733"/>
    <x v="3"/>
    <s v="5"/>
    <s v="5-1"/>
    <m/>
    <m/>
    <s v="H.D.M.F"/>
    <s v="Payment of HDMF Premiums (April, 2022)"/>
    <x v="11"/>
    <x v="11"/>
    <n v="1446.64"/>
    <m/>
    <m/>
    <n v="1746.64"/>
  </r>
  <r>
    <d v="2022-04-30T00:00:00"/>
    <d v="2022-04-25T00:00:00"/>
    <s v="1475733"/>
    <x v="3"/>
    <s v="5"/>
    <s v="5-1"/>
    <m/>
    <m/>
    <s v="H.D.M.F"/>
    <s v="Payment of HDMF Premiums (April, 2022)"/>
    <x v="3"/>
    <x v="3"/>
    <m/>
    <n v="1746.64"/>
    <m/>
    <n v="0"/>
  </r>
  <r>
    <d v="2022-04-30T00:00:00"/>
    <d v="2022-04-25T00:00:00"/>
    <s v="1475734"/>
    <x v="3"/>
    <s v="5"/>
    <s v="5-1"/>
    <m/>
    <m/>
    <s v="Philippine Health Insurance Corporation "/>
    <s v="Payment of HDMF Premiums (April, 2022)"/>
    <x v="18"/>
    <x v="18"/>
    <n v="1054.06"/>
    <m/>
    <m/>
    <n v="1054.06"/>
  </r>
  <r>
    <d v="2022-04-30T00:00:00"/>
    <d v="2022-04-25T00:00:00"/>
    <s v="1475734"/>
    <x v="3"/>
    <s v="5"/>
    <s v="5-1"/>
    <m/>
    <m/>
    <s v="Philippine Health Insurance Corporation "/>
    <s v="Payment of HDMF Premiums (April, 2022)"/>
    <x v="13"/>
    <x v="13"/>
    <n v="1054.04"/>
    <m/>
    <m/>
    <n v="2108.1"/>
  </r>
  <r>
    <d v="2022-04-30T00:00:00"/>
    <d v="2022-04-25T00:00:00"/>
    <s v="1475734"/>
    <x v="3"/>
    <s v="5"/>
    <s v="5-1"/>
    <m/>
    <m/>
    <s v="Philippine Health Insurance Corporation "/>
    <s v="Payment of HDMF Premiums (April, 2022)"/>
    <x v="3"/>
    <x v="3"/>
    <m/>
    <n v="2108.1"/>
    <m/>
    <n v="0"/>
  </r>
  <r>
    <d v="2022-04-30T00:00:00"/>
    <d v="2022-04-25T00:00:00"/>
    <s v="1475735"/>
    <x v="3"/>
    <s v="5"/>
    <s v="5-1"/>
    <m/>
    <m/>
    <s v="LBP for the account of BIR"/>
    <s v="Payment of withholding TAX on Compensation (PIMO April,2022)"/>
    <x v="9"/>
    <x v="9"/>
    <n v="730.7"/>
    <m/>
    <m/>
    <n v="730.7"/>
  </r>
  <r>
    <d v="2022-04-30T00:00:00"/>
    <d v="2022-04-25T00:00:00"/>
    <s v="1475735"/>
    <x v="3"/>
    <s v="5"/>
    <s v="5-1"/>
    <m/>
    <m/>
    <s v="LBP for the account of BIR"/>
    <s v="Payment of withholding TAX on Compensation (PIMO April,2022)"/>
    <x v="3"/>
    <x v="3"/>
    <m/>
    <n v="730.7"/>
    <m/>
    <n v="0"/>
  </r>
  <r>
    <d v="2022-04-30T00:00:00"/>
    <d v="2022-04-25T00:00:00"/>
    <s v="1475736"/>
    <x v="3"/>
    <s v="5"/>
    <s v="5-1"/>
    <m/>
    <m/>
    <s v="H.D.M.F"/>
    <s v="Payment of M2 (PIMO April, 2022)"/>
    <x v="12"/>
    <x v="12"/>
    <n v="1000"/>
    <m/>
    <m/>
    <n v="1000"/>
  </r>
  <r>
    <d v="2022-04-30T00:00:00"/>
    <d v="2022-04-25T00:00:00"/>
    <s v="1475736"/>
    <x v="3"/>
    <s v="5"/>
    <s v="5-1"/>
    <m/>
    <m/>
    <s v="H.D.M.F"/>
    <s v="Payment of M2 (PIMO April, 2022)"/>
    <x v="3"/>
    <x v="3"/>
    <m/>
    <n v="1000"/>
    <m/>
    <n v="0"/>
  </r>
  <r>
    <d v="2022-04-30T00:00:00"/>
    <d v="2022-04-26T00:00:00"/>
    <s v="1475737"/>
    <x v="3"/>
    <s v="5"/>
    <s v="5-1"/>
    <m/>
    <m/>
    <s v="Bureau of Treasury "/>
    <s v="Intersest Income (1st Quarter CY 2022)"/>
    <x v="26"/>
    <x v="26"/>
    <n v="333.77"/>
    <m/>
    <m/>
    <n v="333.77"/>
  </r>
  <r>
    <d v="2022-04-30T00:00:00"/>
    <d v="2022-04-26T00:00:00"/>
    <s v="1475737"/>
    <x v="3"/>
    <s v="5"/>
    <s v="5-1"/>
    <m/>
    <m/>
    <s v="Bureau of Treasury "/>
    <s v="Intersest Income (1st Quarter CY 2022)"/>
    <x v="3"/>
    <x v="3"/>
    <m/>
    <n v="333.77"/>
    <m/>
    <n v="0"/>
  </r>
  <r>
    <d v="2022-05-31T00:00:00"/>
    <d v="2022-05-11T00:00:00"/>
    <s v="1475738"/>
    <x v="4"/>
    <s v="5"/>
    <s v="5-1"/>
    <m/>
    <m/>
    <s v="Emerson A. Delos Santos "/>
    <s v="Reimbursement of Plane Ticket (CPES in Palawan IMO (Apurawaan CIS; Palimo Ibato-Iraan SRIP-tribal Hall CY 2020 March 13-19, 2022)"/>
    <x v="27"/>
    <x v="27"/>
    <n v="10095"/>
    <m/>
    <m/>
    <n v="10095"/>
  </r>
  <r>
    <d v="2022-05-31T00:00:00"/>
    <d v="2022-05-11T00:00:00"/>
    <s v="1475738"/>
    <x v="4"/>
    <s v="5"/>
    <s v="5-1"/>
    <m/>
    <m/>
    <s v="Emerson A. Delos Santos "/>
    <s v="Reimbursement of Plane Ticket (CPES in Palawan IMO (Apurawaan CIS; Palimo Ibato-Iraan SRIP-tribal Hall CY 2020 March 13-19, 2022)"/>
    <x v="3"/>
    <x v="3"/>
    <m/>
    <n v="10095"/>
    <m/>
    <n v="0"/>
  </r>
  <r>
    <d v="2022-05-31T00:00:00"/>
    <d v="2022-05-12T00:00:00"/>
    <s v="1475739"/>
    <x v="4"/>
    <s v="5"/>
    <s v="5-1"/>
    <m/>
    <m/>
    <s v="Jonalyn A. Julian"/>
    <s v="Reimbursement of snacks Project Information / Dissemination &amp; IA Organization of Malimpin SPPIP at Dasol Pangasinan "/>
    <x v="5"/>
    <x v="5"/>
    <n v="2600"/>
    <m/>
    <m/>
    <n v="2600"/>
  </r>
  <r>
    <d v="2022-05-31T00:00:00"/>
    <d v="2022-05-12T00:00:00"/>
    <s v="1475739"/>
    <x v="4"/>
    <s v="5"/>
    <s v="5-1"/>
    <m/>
    <m/>
    <s v="Jonalyn A. Julian"/>
    <s v="Reimbursement of snacks Project Information / Dissemination &amp; IA Organization of Malimpin SPPIP at Dasol Pangasinan "/>
    <x v="3"/>
    <x v="3"/>
    <m/>
    <n v="2600"/>
    <m/>
    <n v="0"/>
  </r>
  <r>
    <d v="2022-05-31T00:00:00"/>
    <d v="2022-05-13T00:00:00"/>
    <s v="Payoll2205006"/>
    <x v="4"/>
    <s v="5"/>
    <s v="5-1"/>
    <m/>
    <m/>
    <s v="Emerson A. Delos Santos &amp; 2 others"/>
    <s v="Payment of Wages &amp; Allowances (May 1-15, 2022)"/>
    <x v="7"/>
    <x v="7"/>
    <n v="70270"/>
    <m/>
    <m/>
    <n v="70270"/>
  </r>
  <r>
    <d v="2022-05-31T00:00:00"/>
    <d v="2022-05-13T00:00:00"/>
    <s v="Payoll2205006"/>
    <x v="4"/>
    <s v="5"/>
    <s v="5-1"/>
    <m/>
    <m/>
    <s v="Emerson A. Delos Santos &amp; 2 others"/>
    <s v="Payment of Wages &amp; Allowances (May 1-15, 2022)"/>
    <x v="8"/>
    <x v="8"/>
    <n v="6000"/>
    <m/>
    <m/>
    <n v="76270"/>
  </r>
  <r>
    <d v="2022-05-31T00:00:00"/>
    <d v="2022-05-13T00:00:00"/>
    <s v="Payoll2205006"/>
    <x v="4"/>
    <s v="5"/>
    <s v="5-1"/>
    <m/>
    <m/>
    <s v="Emerson A. Delos Santos &amp; 2 others"/>
    <s v="Payment of Wages &amp; Allowances (May 1-15, 2022)"/>
    <x v="9"/>
    <x v="9"/>
    <m/>
    <n v="730.7"/>
    <m/>
    <n v="75539.3"/>
  </r>
  <r>
    <d v="2022-05-31T00:00:00"/>
    <d v="2022-05-13T00:00:00"/>
    <s v="Payoll2205006"/>
    <x v="4"/>
    <s v="5"/>
    <s v="5-1"/>
    <m/>
    <m/>
    <s v="Emerson A. Delos Santos &amp; 2 others"/>
    <s v="Payment of Wages &amp; Allowances (May 1-15, 2022)"/>
    <x v="10"/>
    <x v="10"/>
    <m/>
    <n v="6324.3"/>
    <m/>
    <n v="69215"/>
  </r>
  <r>
    <d v="2022-05-31T00:00:00"/>
    <d v="2022-05-13T00:00:00"/>
    <s v="Payoll2205006"/>
    <x v="4"/>
    <s v="5"/>
    <s v="5-1"/>
    <m/>
    <m/>
    <s v="Emerson A. Delos Santos &amp; 2 others"/>
    <s v="Payment of Wages &amp; Allowances (May 1-15, 2022)"/>
    <x v="11"/>
    <x v="11"/>
    <m/>
    <n v="1446.64"/>
    <m/>
    <n v="67768.36"/>
  </r>
  <r>
    <d v="2022-05-31T00:00:00"/>
    <d v="2022-05-13T00:00:00"/>
    <s v="Payoll2205006"/>
    <x v="4"/>
    <s v="5"/>
    <s v="5-1"/>
    <m/>
    <m/>
    <s v="Emerson A. Delos Santos &amp; 2 others"/>
    <s v="Payment of Wages &amp; Allowances (May 1-15, 2022)"/>
    <x v="12"/>
    <x v="12"/>
    <m/>
    <n v="1000"/>
    <m/>
    <n v="66768.36"/>
  </r>
  <r>
    <d v="2022-05-31T00:00:00"/>
    <d v="2022-05-13T00:00:00"/>
    <s v="Payoll2205006"/>
    <x v="4"/>
    <s v="5"/>
    <s v="5-1"/>
    <m/>
    <m/>
    <s v="Emerson A. Delos Santos &amp; 2 others"/>
    <s v="Payment of Wages &amp; Allowances (May 1-15, 2022)"/>
    <x v="13"/>
    <x v="13"/>
    <m/>
    <n v="1054.04"/>
    <m/>
    <n v="65714.320000000007"/>
  </r>
  <r>
    <d v="2022-05-31T00:00:00"/>
    <d v="2022-05-13T00:00:00"/>
    <s v="Payoll2205006"/>
    <x v="4"/>
    <s v="5"/>
    <s v="5-1"/>
    <m/>
    <m/>
    <s v="Emerson A. Delos Santos &amp; 2 others"/>
    <s v="Payment of Wages &amp; Allowances (May 1-15, 2022)"/>
    <x v="3"/>
    <x v="3"/>
    <m/>
    <n v="32857.17"/>
    <m/>
    <n v="32857.15"/>
  </r>
  <r>
    <d v="2022-05-31T00:00:00"/>
    <d v="2022-05-31T00:00:00"/>
    <s v="Payoll2205006a"/>
    <x v="4"/>
    <s v="5"/>
    <s v="5-1"/>
    <m/>
    <m/>
    <s v="Emerson A. Delos Santos &amp; 2 others"/>
    <s v="Payment of Wages &amp; Allowances (May 16-31, 2022)"/>
    <x v="3"/>
    <x v="3"/>
    <m/>
    <n v="32857.15"/>
    <m/>
    <n v="0"/>
  </r>
  <r>
    <d v="2022-05-31T00:00:00"/>
    <d v="2022-05-24T00:00:00"/>
    <s v="Payoll2205008"/>
    <x v="4"/>
    <s v="5"/>
    <s v="5-1"/>
    <m/>
    <m/>
    <s v="Emerson A. Delos Santos &amp; 2 others"/>
    <s v="Payment of Midyear Bonus (PIMO)"/>
    <x v="28"/>
    <x v="28"/>
    <n v="79449"/>
    <m/>
    <m/>
    <n v="79449"/>
  </r>
  <r>
    <d v="2022-05-31T00:00:00"/>
    <d v="2022-05-24T00:00:00"/>
    <s v="Payoll2205008"/>
    <x v="4"/>
    <s v="5"/>
    <s v="5-1"/>
    <m/>
    <m/>
    <s v="Emerson A. Delos Santos &amp; 2 others"/>
    <s v="Payment of Midyear Bonus (PIMO)"/>
    <x v="3"/>
    <x v="3"/>
    <m/>
    <n v="79449"/>
    <m/>
    <n v="0"/>
  </r>
  <r>
    <d v="2022-05-31T00:00:00"/>
    <d v="2022-05-19T00:00:00"/>
    <s v="1475740"/>
    <x v="4"/>
    <s v="5"/>
    <s v="5-1"/>
    <m/>
    <m/>
    <s v="Verje's Catering Services "/>
    <s v="Payment of Meals &amp; Snacks (CDT for Effective Management  of Malinta Farmers IA Inc. March 23-25, 2022 Natividad, Pang.)"/>
    <x v="5"/>
    <x v="5"/>
    <n v="25875"/>
    <m/>
    <m/>
    <n v="25875"/>
  </r>
  <r>
    <d v="2022-05-31T00:00:00"/>
    <d v="2022-05-19T00:00:00"/>
    <s v="1475740"/>
    <x v="4"/>
    <s v="5"/>
    <s v="5-1"/>
    <m/>
    <m/>
    <s v="Verje's Catering Services "/>
    <s v="Payment of Meals &amp; Snacks (CDT for Effective Management  of Malinta Farmers IA Inc. March 23-25, 2022 Natividad, Pang.)"/>
    <x v="6"/>
    <x v="6"/>
    <m/>
    <n v="258.75"/>
    <m/>
    <n v="25616.25"/>
  </r>
  <r>
    <d v="2022-05-31T00:00:00"/>
    <d v="2022-05-19T00:00:00"/>
    <s v="1475740"/>
    <x v="4"/>
    <s v="5"/>
    <s v="5-1"/>
    <m/>
    <m/>
    <s v="Verje's Catering Services "/>
    <s v="Payment of Meals &amp; Snacks (CDT for Effective Management  of Malinta Farmers IA Inc. March 23-25, 2022 Natividad, Pang.)"/>
    <x v="2"/>
    <x v="2"/>
    <m/>
    <n v="517.5"/>
    <m/>
    <n v="25098.75"/>
  </r>
  <r>
    <d v="2022-05-31T00:00:00"/>
    <d v="2022-05-19T00:00:00"/>
    <s v="1475740"/>
    <x v="4"/>
    <s v="5"/>
    <s v="5-1"/>
    <m/>
    <m/>
    <s v="Verje's Catering Services "/>
    <s v="Payment of Meals &amp; Snacks (CDT for Effective Management  of Malinta Farmers IA Inc. March 23-25, 2022 Natividad, Pang.)"/>
    <x v="3"/>
    <x v="3"/>
    <m/>
    <n v="25098.75"/>
    <m/>
    <n v="0"/>
  </r>
  <r>
    <d v="2022-05-31T00:00:00"/>
    <d v="2022-05-24T00:00:00"/>
    <s v="Payoll2205008"/>
    <x v="4"/>
    <s v="5"/>
    <s v="5-1"/>
    <m/>
    <m/>
    <s v="Emerson A. Delos Santos &amp; 2 others"/>
    <s v="Payment of Year End Differential"/>
    <x v="29"/>
    <x v="29"/>
    <n v="7627"/>
    <m/>
    <m/>
    <n v="7627"/>
  </r>
  <r>
    <d v="2022-05-31T00:00:00"/>
    <d v="2022-05-24T00:00:00"/>
    <s v="Payoll2205008"/>
    <x v="4"/>
    <s v="5"/>
    <s v="5-1"/>
    <m/>
    <m/>
    <s v="Emerson A. Delos Santos &amp; 2 others"/>
    <s v="Payment of Year End Bonus Differential"/>
    <x v="3"/>
    <x v="3"/>
    <m/>
    <n v="7627"/>
    <m/>
    <n v="0"/>
  </r>
  <r>
    <d v="2022-05-31T00:00:00"/>
    <d v="2022-05-24T00:00:00"/>
    <s v="Payoll2205009"/>
    <x v="4"/>
    <s v="5"/>
    <s v="5-1"/>
    <m/>
    <m/>
    <s v="Emerson A. Delos Santos &amp; 2 others"/>
    <s v="Payment of Salary Differential (Nov. 2021 to May, 2022"/>
    <x v="7"/>
    <x v="7"/>
    <n v="45895"/>
    <m/>
    <m/>
    <n v="45895"/>
  </r>
  <r>
    <d v="2022-05-31T00:00:00"/>
    <d v="2022-05-24T00:00:00"/>
    <s v="Payoll2205009"/>
    <x v="4"/>
    <s v="5"/>
    <s v="5-1"/>
    <m/>
    <m/>
    <s v="Emerson A. Delos Santos &amp; 2 others"/>
    <s v="Payment of Salary Differential (Nov. 2021 to May, 2022"/>
    <x v="29"/>
    <x v="29"/>
    <n v="12868.35"/>
    <m/>
    <m/>
    <n v="58763.35"/>
  </r>
  <r>
    <d v="2022-05-31T00:00:00"/>
    <d v="2022-05-24T00:00:00"/>
    <s v="Payoll2205009"/>
    <x v="4"/>
    <s v="5"/>
    <s v="5-1"/>
    <m/>
    <m/>
    <s v="Emerson A. Delos Santos &amp; 2 others"/>
    <s v="Payment of Salary Differential (Nov. 2021 to May, 2022"/>
    <x v="7"/>
    <x v="7"/>
    <n v="372.65"/>
    <m/>
    <m/>
    <n v="59136"/>
  </r>
  <r>
    <d v="2022-05-31T00:00:00"/>
    <d v="2022-05-24T00:00:00"/>
    <s v="Payoll2205009"/>
    <x v="4"/>
    <s v="5"/>
    <s v="5-1"/>
    <m/>
    <m/>
    <s v="Emerson A. Delos Santos &amp; 2 others"/>
    <s v="Payment of Salary Differential (Nov. 2021 to May, 2022"/>
    <x v="10"/>
    <x v="10"/>
    <m/>
    <n v="5322.24"/>
    <m/>
    <n v="53813.760000000002"/>
  </r>
  <r>
    <d v="2022-05-31T00:00:00"/>
    <d v="2022-05-24T00:00:00"/>
    <s v="Payoll2205009"/>
    <x v="4"/>
    <s v="5"/>
    <s v="5-1"/>
    <m/>
    <m/>
    <s v="Emerson A. Delos Santos &amp; 2 others"/>
    <s v="Payment of Salary Differential (Nov. 2021 to May, 2022"/>
    <x v="9"/>
    <x v="9"/>
    <m/>
    <n v="10556.5"/>
    <m/>
    <n v="43257.26"/>
  </r>
  <r>
    <d v="2022-05-31T00:00:00"/>
    <d v="2022-05-24T00:00:00"/>
    <s v="Payoll2205009"/>
    <x v="4"/>
    <s v="5"/>
    <s v="5-1"/>
    <m/>
    <m/>
    <s v="Emerson A. Delos Santos &amp; 2 others"/>
    <s v="Payment of Salary Differential (Nov. 2021 to May, 2022"/>
    <x v="3"/>
    <x v="3"/>
    <m/>
    <n v="43257.26"/>
    <m/>
    <n v="0"/>
  </r>
  <r>
    <d v="2022-05-31T00:00:00"/>
    <d v="2022-05-31T00:00:00"/>
    <s v="Payoll2205010"/>
    <x v="4"/>
    <s v="5"/>
    <s v="5-1"/>
    <m/>
    <m/>
    <s v="Emerson A. Delos Santos &amp; 2 others"/>
    <s v="Payment of Salary Differential (Oct. 5-31, 2022)"/>
    <x v="29"/>
    <x v="29"/>
    <n v="11556.77"/>
    <m/>
    <m/>
    <n v="11556.77"/>
  </r>
  <r>
    <d v="2022-05-31T00:00:00"/>
    <d v="2022-05-31T00:00:00"/>
    <s v="Payoll2205010"/>
    <x v="4"/>
    <s v="5"/>
    <s v="5-1"/>
    <m/>
    <m/>
    <s v="Emerson A. Delos Santos &amp; 2 others"/>
    <s v="Payment of Salary Differential (Oct. 5-31, 2022)"/>
    <x v="10"/>
    <x v="10"/>
    <m/>
    <n v="1208.0899999999999"/>
    <m/>
    <n v="10348.68"/>
  </r>
  <r>
    <d v="2022-05-31T00:00:00"/>
    <d v="2022-05-31T00:00:00"/>
    <s v="Payoll2205010"/>
    <x v="4"/>
    <s v="5"/>
    <s v="5-1"/>
    <m/>
    <m/>
    <s v="Emerson A. Delos Santos &amp; 2 others"/>
    <s v="Payment of Salary Differential (Oct. 5-31, 2022)"/>
    <x v="3"/>
    <x v="3"/>
    <m/>
    <n v="10348.68"/>
    <m/>
    <n v="0"/>
  </r>
  <r>
    <d v="2022-05-31T00:00:00"/>
    <d v="2022-05-30T00:00:00"/>
    <s v="1475741"/>
    <x v="4"/>
    <s v="5"/>
    <s v="5-1"/>
    <m/>
    <m/>
    <s v="H.D.M.F"/>
    <s v="mp2 May 2022"/>
    <x v="12"/>
    <x v="12"/>
    <n v="1000"/>
    <m/>
    <m/>
    <n v="1000"/>
  </r>
  <r>
    <d v="2022-05-31T00:00:00"/>
    <d v="2022-05-30T00:00:00"/>
    <s v="1475741"/>
    <x v="4"/>
    <s v="5"/>
    <s v="5-1"/>
    <m/>
    <m/>
    <s v="H.D.M.F"/>
    <s v="mp2 May 2022"/>
    <x v="3"/>
    <x v="3"/>
    <m/>
    <n v="1000"/>
    <m/>
    <n v="0"/>
  </r>
  <r>
    <d v="2022-05-31T00:00:00"/>
    <d v="2022-05-31T00:00:00"/>
    <s v="1475742"/>
    <x v="4"/>
    <s v="5"/>
    <s v="5-1"/>
    <m/>
    <m/>
    <s v="H.D.M.F"/>
    <s v="Payment of HDMF Premiums (CARP May, 2022)"/>
    <x v="17"/>
    <x v="17"/>
    <n v="300"/>
    <m/>
    <m/>
    <n v="300"/>
  </r>
  <r>
    <d v="2022-05-31T00:00:00"/>
    <d v="2022-05-31T00:00:00"/>
    <s v="1475742"/>
    <x v="4"/>
    <s v="5"/>
    <s v="5-1"/>
    <m/>
    <m/>
    <s v="H.D.M.F"/>
    <s v="Payment of HDMF Premiums (CARP May, 2022)"/>
    <x v="11"/>
    <x v="11"/>
    <n v="1446.64"/>
    <m/>
    <m/>
    <n v="1746.64"/>
  </r>
  <r>
    <d v="2022-05-31T00:00:00"/>
    <d v="2022-05-31T00:00:00"/>
    <s v="1475742"/>
    <x v="4"/>
    <s v="5"/>
    <s v="5-1"/>
    <m/>
    <m/>
    <s v="H.D.M.F"/>
    <s v="Payment of HDMF Premiums (CARP May, 2022)"/>
    <x v="3"/>
    <x v="3"/>
    <m/>
    <n v="1746.64"/>
    <m/>
    <n v="0"/>
  </r>
  <r>
    <d v="2022-05-31T00:00:00"/>
    <d v="2022-05-31T00:00:00"/>
    <s v="1475743"/>
    <x v="4"/>
    <s v="5"/>
    <s v="5-1"/>
    <m/>
    <m/>
    <s v="Philippine Health Insurance Corporation "/>
    <s v="Payment of PHIC Premiums (CARP May, 2022)"/>
    <x v="18"/>
    <x v="18"/>
    <n v="1054.06"/>
    <m/>
    <m/>
    <n v="1054.06"/>
  </r>
  <r>
    <d v="2022-05-31T00:00:00"/>
    <d v="2022-05-31T00:00:00"/>
    <s v="1475743"/>
    <x v="4"/>
    <s v="5"/>
    <s v="5-1"/>
    <m/>
    <m/>
    <s v="Philippine Health Insurance Corporation "/>
    <s v="Payment of PHIC Premiums (CARP May, 2022)"/>
    <x v="13"/>
    <x v="13"/>
    <n v="1054.04"/>
    <m/>
    <m/>
    <n v="2108.1"/>
  </r>
  <r>
    <d v="2022-05-31T00:00:00"/>
    <d v="2022-05-31T00:00:00"/>
    <s v="1475743"/>
    <x v="4"/>
    <s v="5"/>
    <s v="5-1"/>
    <m/>
    <m/>
    <s v="Philippine Health Insurance Corporation "/>
    <s v="Payment of PHIC Premiums (CARP May, 2022)"/>
    <x v="3"/>
    <x v="3"/>
    <m/>
    <n v="2108.1"/>
    <m/>
    <n v="0"/>
  </r>
  <r>
    <d v="2022-05-31T00:00:00"/>
    <d v="2022-05-31T00:00:00"/>
    <s v="1475744"/>
    <x v="4"/>
    <s v="5"/>
    <s v="5-1"/>
    <m/>
    <m/>
    <s v="G.S.I.S "/>
    <s v="Payment of GSIS Premiums (May, 2022)"/>
    <x v="15"/>
    <x v="15"/>
    <n v="8432.4"/>
    <m/>
    <m/>
    <n v="8432.4"/>
  </r>
  <r>
    <d v="2022-05-31T00:00:00"/>
    <d v="2022-05-31T00:00:00"/>
    <s v="1475744"/>
    <x v="4"/>
    <s v="5"/>
    <s v="5-1"/>
    <m/>
    <m/>
    <s v="G.S.I.S "/>
    <s v="Payment of GSIS Premiums (May, 2022)"/>
    <x v="10"/>
    <x v="10"/>
    <n v="6324.3"/>
    <m/>
    <m/>
    <n v="14756.7"/>
  </r>
  <r>
    <d v="2022-05-31T00:00:00"/>
    <d v="2022-05-31T00:00:00"/>
    <s v="1475744"/>
    <x v="4"/>
    <s v="5"/>
    <s v="5-1"/>
    <m/>
    <m/>
    <s v="G.S.I.S "/>
    <s v="Payment of GSIS Premiums (May, 2022)"/>
    <x v="16"/>
    <x v="16"/>
    <n v="300"/>
    <m/>
    <m/>
    <n v="15056.7"/>
  </r>
  <r>
    <d v="2022-05-31T00:00:00"/>
    <d v="2022-05-31T00:00:00"/>
    <s v="1475744"/>
    <x v="4"/>
    <s v="5"/>
    <s v="5-1"/>
    <m/>
    <m/>
    <s v="G.S.I.S "/>
    <s v="Payment of GSIS Premiums (May, 2022)"/>
    <x v="3"/>
    <x v="3"/>
    <m/>
    <n v="15056.7"/>
    <m/>
    <n v="0"/>
  </r>
  <r>
    <d v="2022-05-31T00:00:00"/>
    <d v="2022-05-31T00:00:00"/>
    <s v="1475745"/>
    <x v="4"/>
    <s v="5"/>
    <s v="5-1"/>
    <m/>
    <m/>
    <s v="LBP for the account of BIR"/>
    <s v="Payment of withholding TAX (May, 2022)"/>
    <x v="9"/>
    <x v="9"/>
    <n v="11287.2"/>
    <m/>
    <m/>
    <n v="11287.2"/>
  </r>
  <r>
    <d v="2022-05-31T00:00:00"/>
    <d v="2022-05-31T00:00:00"/>
    <s v="1475745"/>
    <x v="4"/>
    <s v="5"/>
    <s v="5-1"/>
    <m/>
    <m/>
    <s v="LBP for the account of BIR"/>
    <s v="Payment of withholding TAX (May, 2022)"/>
    <x v="3"/>
    <x v="3"/>
    <m/>
    <n v="11287.2"/>
    <m/>
    <n v="0"/>
  </r>
  <r>
    <d v="2022-05-31T00:00:00"/>
    <d v="2022-05-31T00:00:00"/>
    <s v="1475746"/>
    <x v="4"/>
    <s v="5"/>
    <s v="5-1"/>
    <m/>
    <m/>
    <s v="LBP for the account of BIR"/>
    <s v="Payment of withholding of Final VAT(5% &amp; 1% May, 2022)"/>
    <x v="6"/>
    <x v="6"/>
    <n v="258.75"/>
    <m/>
    <m/>
    <n v="258.75"/>
  </r>
  <r>
    <d v="2022-05-31T00:00:00"/>
    <d v="2022-05-31T00:00:00"/>
    <s v="1475746"/>
    <x v="4"/>
    <s v="5"/>
    <s v="5-1"/>
    <m/>
    <m/>
    <s v="LBP for the account of BIR"/>
    <s v="Payment of withholding of Final VAT(5% &amp; 1% May, 2022)"/>
    <x v="3"/>
    <x v="3"/>
    <m/>
    <n v="258.75"/>
    <m/>
    <n v="0"/>
  </r>
  <r>
    <d v="2022-05-31T00:00:00"/>
    <d v="2022-05-31T00:00:00"/>
    <s v="1475747"/>
    <x v="4"/>
    <s v="5"/>
    <s v="5-1"/>
    <m/>
    <m/>
    <s v="LBP for the account of BIR"/>
    <s v="Payment of withholding of Final VAT various suppliers / contractors (1% &amp; 2% May, 2022)"/>
    <x v="2"/>
    <x v="2"/>
    <n v="517.5"/>
    <m/>
    <m/>
    <n v="517.5"/>
  </r>
  <r>
    <d v="2022-05-31T00:00:00"/>
    <d v="2022-05-31T00:00:00"/>
    <s v="1475747"/>
    <x v="4"/>
    <s v="5"/>
    <s v="5-1"/>
    <m/>
    <m/>
    <s v="LBP for the account of BIR"/>
    <s v="Payment of withholding of Final VAT various suppliers / contractors (1% &amp; 2% May, 2022)"/>
    <x v="3"/>
    <x v="3"/>
    <m/>
    <n v="517.5"/>
    <m/>
    <n v="0"/>
  </r>
  <r>
    <d v="2022-06-30T00:00:00"/>
    <d v="2022-06-03T00:00:00"/>
    <s v="1475748"/>
    <x v="5"/>
    <s v="5"/>
    <s v="5-1"/>
    <m/>
    <m/>
    <s v="Bitstop, Inc."/>
    <s v="Payment of IT Equipment (2 units Laptop Core I5 PIMO CARP IC)"/>
    <x v="22"/>
    <x v="22"/>
    <n v="108000"/>
    <m/>
    <s v="200070"/>
    <n v="108000"/>
  </r>
  <r>
    <d v="2022-06-30T00:00:00"/>
    <d v="2022-06-03T00:00:00"/>
    <s v="1475748"/>
    <x v="5"/>
    <s v="5"/>
    <s v="5-1"/>
    <m/>
    <m/>
    <s v="Bitstop, Inc."/>
    <s v="Payment of IT Equipment (2 units Laptop Core I5 PIMO CARP IC)"/>
    <x v="6"/>
    <x v="6"/>
    <m/>
    <n v="964.29"/>
    <m/>
    <n v="107035.71"/>
  </r>
  <r>
    <d v="2022-06-30T00:00:00"/>
    <d v="2022-06-03T00:00:00"/>
    <s v="1475748"/>
    <x v="5"/>
    <s v="5"/>
    <s v="5-1"/>
    <m/>
    <m/>
    <s v="Bitstop, Inc."/>
    <s v="Payment of IT Equipment (2 units Laptop Core I5 PIMO CARP IC)"/>
    <x v="1"/>
    <x v="1"/>
    <m/>
    <n v="4821.43"/>
    <m/>
    <n v="102214.28"/>
  </r>
  <r>
    <d v="2022-06-30T00:00:00"/>
    <d v="2022-06-03T00:00:00"/>
    <s v="1475748"/>
    <x v="5"/>
    <s v="5"/>
    <s v="5-1"/>
    <m/>
    <m/>
    <s v="Bitstop, Inc."/>
    <s v="Payment of IT Equipment (2 units Laptop Core I5 PIMO CARP IC)"/>
    <x v="3"/>
    <x v="3"/>
    <m/>
    <n v="102214.28"/>
    <m/>
    <n v="0"/>
  </r>
  <r>
    <d v="2022-06-30T00:00:00"/>
    <d v="2022-06-16T00:00:00"/>
    <s v="Payoll2206011"/>
    <x v="5"/>
    <s v="5"/>
    <s v="5-1"/>
    <m/>
    <m/>
    <s v="Emerson A. Delos Santos &amp; 2 others"/>
    <s v="Payment of Salaries &amp; Allowances (June 1-15, 2022)"/>
    <x v="7"/>
    <x v="7"/>
    <n v="79449"/>
    <m/>
    <s v="220080"/>
    <n v="79449"/>
  </r>
  <r>
    <d v="2022-06-30T00:00:00"/>
    <d v="2022-06-16T00:00:00"/>
    <s v="Payoll2206011"/>
    <x v="5"/>
    <s v="5"/>
    <s v="5-1"/>
    <m/>
    <m/>
    <s v="Emerson A. Delos Santos &amp; 2 others"/>
    <s v="Payment of Salaries &amp; Allowances (June 1-15, 2022)"/>
    <x v="8"/>
    <x v="8"/>
    <n v="6000"/>
    <m/>
    <m/>
    <n v="85449"/>
  </r>
  <r>
    <d v="2022-06-30T00:00:00"/>
    <d v="2022-06-16T00:00:00"/>
    <s v="Payoll2206011"/>
    <x v="5"/>
    <s v="5"/>
    <s v="5-1"/>
    <m/>
    <m/>
    <s v="Emerson A. Delos Santos &amp; 2 others"/>
    <s v="Payment of Salaries &amp; Allowances (June 1-15, 2022)"/>
    <x v="9"/>
    <x v="9"/>
    <m/>
    <n v="1706.01"/>
    <m/>
    <n v="83742.990000000005"/>
  </r>
  <r>
    <d v="2022-06-30T00:00:00"/>
    <d v="2022-06-16T00:00:00"/>
    <s v="Payoll2206011"/>
    <x v="5"/>
    <s v="5"/>
    <s v="5-1"/>
    <m/>
    <m/>
    <s v="Emerson A. Delos Santos &amp; 2 others"/>
    <s v="Payment of Salaries &amp; Allowances (June 1-15, 2022)"/>
    <x v="10"/>
    <x v="10"/>
    <m/>
    <n v="7150.41"/>
    <m/>
    <n v="76592.58"/>
  </r>
  <r>
    <d v="2022-06-30T00:00:00"/>
    <d v="2022-06-16T00:00:00"/>
    <s v="Payoll2206011"/>
    <x v="5"/>
    <s v="5"/>
    <s v="5-1"/>
    <m/>
    <m/>
    <s v="Emerson A. Delos Santos &amp; 2 others"/>
    <s v="Payment of Salaries &amp; Allowances (June 1-15, 2022)"/>
    <x v="11"/>
    <x v="11"/>
    <m/>
    <n v="1588.98"/>
    <m/>
    <n v="75003.600000000006"/>
  </r>
  <r>
    <d v="2022-06-30T00:00:00"/>
    <d v="2022-06-16T00:00:00"/>
    <s v="Payoll2206011"/>
    <x v="5"/>
    <s v="5"/>
    <s v="5-1"/>
    <m/>
    <m/>
    <s v="Emerson A. Delos Santos &amp; 2 others"/>
    <s v="Payment of Salaries &amp; Allowances (June 1-15, 2022)"/>
    <x v="12"/>
    <x v="12"/>
    <m/>
    <n v="1000"/>
    <m/>
    <n v="74003.600000000006"/>
  </r>
  <r>
    <d v="2022-06-30T00:00:00"/>
    <d v="2022-06-16T00:00:00"/>
    <s v="Payoll2206011"/>
    <x v="5"/>
    <s v="5"/>
    <s v="5-1"/>
    <m/>
    <m/>
    <s v="Emerson A. Delos Santos &amp; 2 others"/>
    <s v="Payment of Salaries &amp; Allowances (June 1-15, 2022)"/>
    <x v="13"/>
    <x v="13"/>
    <m/>
    <n v="1588.98"/>
    <m/>
    <n v="72414.62"/>
  </r>
  <r>
    <d v="2022-06-30T00:00:00"/>
    <d v="2022-06-16T00:00:00"/>
    <s v="Payoll2206011"/>
    <x v="5"/>
    <s v="5"/>
    <s v="5-1"/>
    <m/>
    <m/>
    <s v="Emerson A. Delos Santos &amp; 2 others"/>
    <s v="Payment of Salaries &amp; Allowances (June 1-15, 2022)"/>
    <x v="3"/>
    <x v="3"/>
    <m/>
    <n v="36207.32"/>
    <m/>
    <n v="36207.300000000003"/>
  </r>
  <r>
    <d v="2022-06-30T00:00:00"/>
    <d v="2022-06-30T00:00:00"/>
    <s v="Payoll2206011a"/>
    <x v="5"/>
    <s v="5"/>
    <s v="5-1"/>
    <m/>
    <m/>
    <s v="Emerson A. Delos Santos &amp; 2 others"/>
    <s v="Payment of Salaries &amp; Allowances (June 16-30, 2022)"/>
    <x v="3"/>
    <x v="3"/>
    <m/>
    <n v="36207.300000000003"/>
    <m/>
    <n v="0"/>
  </r>
  <r>
    <d v="2022-06-30T00:00:00"/>
    <d v="2022-06-27T00:00:00"/>
    <s v="1475749"/>
    <x v="5"/>
    <s v="5"/>
    <s v="5-1"/>
    <m/>
    <m/>
    <s v="G.S.I.S"/>
    <s v="Payment of GSIS Premiums (June, 2022)"/>
    <x v="15"/>
    <x v="15"/>
    <n v="9533.8799999999992"/>
    <m/>
    <s v="220080"/>
    <n v="9533.8799999999992"/>
  </r>
  <r>
    <d v="2022-06-30T00:00:00"/>
    <d v="2022-06-27T00:00:00"/>
    <s v="1475749"/>
    <x v="5"/>
    <s v="5"/>
    <s v="5-1"/>
    <m/>
    <m/>
    <s v="G.S.I.S"/>
    <s v="Payment of GSIS Premiums (June, 2022)"/>
    <x v="10"/>
    <x v="10"/>
    <n v="7150.41"/>
    <m/>
    <m/>
    <n v="16684.29"/>
  </r>
  <r>
    <d v="2022-06-30T00:00:00"/>
    <d v="2022-06-27T00:00:00"/>
    <s v="1475749"/>
    <x v="5"/>
    <s v="5"/>
    <s v="5-1"/>
    <m/>
    <m/>
    <s v="G.S.I.S"/>
    <s v="Payment of GSIS Premiums (June, 2022)"/>
    <x v="16"/>
    <x v="16"/>
    <n v="300"/>
    <m/>
    <m/>
    <n v="16984.29"/>
  </r>
  <r>
    <d v="2022-06-30T00:00:00"/>
    <d v="2022-06-27T00:00:00"/>
    <s v="1475749"/>
    <x v="5"/>
    <s v="5"/>
    <s v="5-1"/>
    <m/>
    <m/>
    <s v="G.S.I.S"/>
    <s v="Payment of GSIS Premiums (June, 2022)"/>
    <x v="3"/>
    <x v="3"/>
    <m/>
    <n v="16984.29"/>
    <m/>
    <n v="0"/>
  </r>
  <r>
    <d v="2022-06-30T00:00:00"/>
    <d v="2022-06-27T00:00:00"/>
    <s v="1475750"/>
    <x v="5"/>
    <s v="5"/>
    <s v="5-1"/>
    <m/>
    <m/>
    <s v="H.D.M.F"/>
    <s v="Payment of HDMF Premiums (June, 2022)"/>
    <x v="17"/>
    <x v="17"/>
    <n v="300"/>
    <m/>
    <s v="220080"/>
    <n v="300"/>
  </r>
  <r>
    <d v="2022-06-30T00:00:00"/>
    <d v="2022-06-27T00:00:00"/>
    <s v="1475750"/>
    <x v="5"/>
    <s v="5"/>
    <s v="5-1"/>
    <m/>
    <m/>
    <s v="H.D.M.F"/>
    <s v="Payment of HDMF Premiums (June, 2022)"/>
    <x v="11"/>
    <x v="11"/>
    <n v="1588.98"/>
    <m/>
    <m/>
    <n v="1888.98"/>
  </r>
  <r>
    <d v="2022-06-30T00:00:00"/>
    <d v="2022-06-27T00:00:00"/>
    <s v="1475750"/>
    <x v="5"/>
    <s v="5"/>
    <s v="5-1"/>
    <m/>
    <m/>
    <s v="H.D.M.F"/>
    <s v="Payment of HDMF Premiums (June, 2022)"/>
    <x v="3"/>
    <x v="3"/>
    <m/>
    <n v="1888.98"/>
    <m/>
    <n v="0"/>
  </r>
  <r>
    <d v="2022-06-30T00:00:00"/>
    <d v="2022-06-27T00:00:00"/>
    <s v="1475751"/>
    <x v="5"/>
    <s v="5"/>
    <s v="5-1"/>
    <m/>
    <m/>
    <s v="H.D.M.F"/>
    <s v="Payment of HDMF M2 (June, 2022)"/>
    <x v="12"/>
    <x v="12"/>
    <n v="1000"/>
    <m/>
    <m/>
    <n v="1000"/>
  </r>
  <r>
    <d v="2022-06-30T00:00:00"/>
    <d v="2022-06-27T00:00:00"/>
    <s v="1475751"/>
    <x v="5"/>
    <s v="5"/>
    <s v="5-1"/>
    <m/>
    <m/>
    <s v="H.D.M.F"/>
    <s v="Payment of HDMF M2 (June, 2022)"/>
    <x v="3"/>
    <x v="3"/>
    <m/>
    <n v="1000"/>
    <m/>
    <n v="0"/>
  </r>
  <r>
    <d v="2022-06-30T00:00:00"/>
    <d v="2022-06-30T00:00:00"/>
    <s v="1475752"/>
    <x v="5"/>
    <s v="5"/>
    <s v="5-1"/>
    <m/>
    <m/>
    <s v="LBP for the account of BIR"/>
    <s v="Payment of withholding TAX on Compensation (PIMO June, 2022)"/>
    <x v="9"/>
    <x v="9"/>
    <n v="1706.01"/>
    <m/>
    <m/>
    <n v="1706.01"/>
  </r>
  <r>
    <d v="2022-06-30T00:00:00"/>
    <d v="2022-06-30T00:00:00"/>
    <s v="1475752"/>
    <x v="5"/>
    <s v="5"/>
    <s v="5-1"/>
    <m/>
    <m/>
    <s v="LBP for the account of BIR"/>
    <s v="Payment of withholding TAX on Compensation (PIMO June, 2022)"/>
    <x v="3"/>
    <x v="3"/>
    <m/>
    <n v="1706.01"/>
    <m/>
    <n v="0"/>
  </r>
  <r>
    <d v="2022-06-30T00:00:00"/>
    <d v="2022-06-30T00:00:00"/>
    <s v="1475753"/>
    <x v="5"/>
    <s v="5"/>
    <s v="5-1"/>
    <m/>
    <m/>
    <s v="Philippine Health Insurance Corporation "/>
    <s v="Payment of GSIS Premiums (June, 2022)"/>
    <x v="18"/>
    <x v="18"/>
    <n v="1588.98"/>
    <m/>
    <m/>
    <n v="1588.98"/>
  </r>
  <r>
    <d v="2022-06-30T00:00:00"/>
    <d v="2022-06-30T00:00:00"/>
    <s v="1475753"/>
    <x v="5"/>
    <s v="5"/>
    <s v="5-1"/>
    <m/>
    <m/>
    <s v="Philippine Health Insurance Corporation "/>
    <s v="Payment of GSIS Premiums (June, 2022)"/>
    <x v="13"/>
    <x v="13"/>
    <n v="1588.98"/>
    <m/>
    <m/>
    <n v="3177.96"/>
  </r>
  <r>
    <d v="2022-06-30T00:00:00"/>
    <d v="2022-06-30T00:00:00"/>
    <s v="1475753"/>
    <x v="5"/>
    <s v="5"/>
    <s v="5-1"/>
    <m/>
    <m/>
    <s v="Philippine Health Insurance Corporation "/>
    <s v="Payment of GSIS Premiums (June, 2022)"/>
    <x v="3"/>
    <x v="3"/>
    <m/>
    <n v="3177.96"/>
    <m/>
    <n v="0"/>
  </r>
  <r>
    <d v="2022-06-30T00:00:00"/>
    <d v="2022-06-30T00:00:00"/>
    <s v="1475754"/>
    <x v="5"/>
    <s v="5"/>
    <s v="5-1"/>
    <m/>
    <m/>
    <s v="G.S.I.S"/>
    <s v="Payment of GSIS Premiums (Oct 2021 - May, 2022)"/>
    <x v="15"/>
    <x v="15"/>
    <n v="5507.4"/>
    <m/>
    <m/>
    <n v="5507.4"/>
  </r>
  <r>
    <d v="2022-06-30T00:00:00"/>
    <d v="2022-06-30T00:00:00"/>
    <s v="1475754"/>
    <x v="5"/>
    <s v="5"/>
    <s v="5-1"/>
    <m/>
    <m/>
    <s v="G.S.I.S"/>
    <s v="Payment of GSIS Premiums (Oct 2021 - May, 2022)"/>
    <x v="29"/>
    <x v="29"/>
    <n v="3199.7"/>
    <m/>
    <m/>
    <n v="8707.1"/>
  </r>
  <r>
    <d v="2022-06-30T00:00:00"/>
    <d v="2022-06-30T00:00:00"/>
    <s v="1475754"/>
    <x v="5"/>
    <s v="5"/>
    <s v="5-1"/>
    <m/>
    <m/>
    <s v="G.S.I.S"/>
    <s v="Payment of GSIS Premiums (Oct 2021 - May, 2022)"/>
    <x v="10"/>
    <x v="10"/>
    <n v="6530.33"/>
    <m/>
    <m/>
    <n v="15237.43"/>
  </r>
  <r>
    <d v="2022-06-30T00:00:00"/>
    <d v="2022-06-30T00:00:00"/>
    <s v="1475754"/>
    <x v="5"/>
    <s v="5"/>
    <s v="5-1"/>
    <m/>
    <m/>
    <s v="G.S.I.S"/>
    <s v="Payment of GSIS Premiums (Oct 2021 - May, 2022)"/>
    <x v="3"/>
    <x v="3"/>
    <m/>
    <n v="15237.43"/>
    <m/>
    <n v="0"/>
  </r>
  <r>
    <d v="2022-06-30T00:00:00"/>
    <d v="2022-06-30T00:00:00"/>
    <s v="1475755"/>
    <x v="5"/>
    <s v="5"/>
    <s v="5-1"/>
    <m/>
    <m/>
    <s v="LBP for the account of BIR"/>
    <s v="Payment of withholding of Final VAT 5% &amp; 1% (PIMO June, 2022)"/>
    <x v="1"/>
    <x v="1"/>
    <n v="4821.43"/>
    <m/>
    <m/>
    <n v="4821.43"/>
  </r>
  <r>
    <d v="2022-06-30T00:00:00"/>
    <d v="2022-06-30T00:00:00"/>
    <s v="1475755"/>
    <x v="5"/>
    <s v="5"/>
    <s v="5-1"/>
    <m/>
    <m/>
    <s v="LBP for the account of BIR"/>
    <s v="Payment of withholding of Final VAT 5% &amp; 1% (PIMO June, 2022)"/>
    <x v="3"/>
    <x v="3"/>
    <m/>
    <n v="4821.43"/>
    <m/>
    <n v="0"/>
  </r>
  <r>
    <d v="2022-06-30T00:00:00"/>
    <d v="2022-06-30T00:00:00"/>
    <s v="1475756"/>
    <x v="5"/>
    <s v="5"/>
    <s v="5-1"/>
    <m/>
    <m/>
    <s v="LBP for the account of BIR"/>
    <s v="Payment of withholding of Final VAT 1% &amp; 2% (PIMO June, 2022)"/>
    <x v="6"/>
    <x v="6"/>
    <n v="964.29"/>
    <m/>
    <m/>
    <n v="964.29"/>
  </r>
  <r>
    <d v="2022-06-30T00:00:00"/>
    <d v="2022-06-30T00:00:00"/>
    <s v="1475756"/>
    <x v="5"/>
    <s v="5"/>
    <s v="5-1"/>
    <m/>
    <m/>
    <s v="LBP for the account of BIR"/>
    <s v="Payment of withholding of Final VAT 1% &amp; 2% (PIMO June, 2022)"/>
    <x v="3"/>
    <x v="3"/>
    <m/>
    <n v="964.29"/>
    <m/>
    <n v="0"/>
  </r>
  <r>
    <d v="2022-06-30T00:00:00"/>
    <d v="2022-06-30T00:00:00"/>
    <s v="Payoll2206012"/>
    <x v="5"/>
    <s v="5"/>
    <s v="5-1"/>
    <m/>
    <m/>
    <s v="June Marlowe A. Soria "/>
    <s v="Payment of Uniform Allowance "/>
    <x v="21"/>
    <x v="21"/>
    <n v="6000"/>
    <m/>
    <m/>
    <n v="6000"/>
  </r>
  <r>
    <d v="2022-06-30T00:00:00"/>
    <d v="2022-06-30T00:00:00"/>
    <s v="Payoll2206012"/>
    <x v="5"/>
    <s v="5"/>
    <s v="5-1"/>
    <m/>
    <m/>
    <s v="June Marlowe A. Soria "/>
    <s v="Payment of Uniform Allowance "/>
    <x v="3"/>
    <x v="3"/>
    <m/>
    <n v="6000"/>
    <m/>
    <n v="0"/>
  </r>
  <r>
    <d v="2022-06-30T00:00:00"/>
    <d v="2022-06-30T00:00:00"/>
    <s v="1475757"/>
    <x v="5"/>
    <s v="5"/>
    <s v="5-1"/>
    <m/>
    <m/>
    <s v="Bureau of Treasury "/>
    <s v="Payment of Interest Income (2nd Quarter)"/>
    <x v="26"/>
    <x v="26"/>
    <n v="605.75"/>
    <m/>
    <m/>
    <n v="605.75"/>
  </r>
  <r>
    <d v="2022-06-30T00:00:00"/>
    <d v="2022-06-30T00:00:00"/>
    <s v="1475757"/>
    <x v="5"/>
    <s v="5"/>
    <s v="5-1"/>
    <m/>
    <m/>
    <s v="Bureau of Treasury "/>
    <s v="Payment of Interest Income (2nd Quarter)"/>
    <x v="3"/>
    <x v="3"/>
    <m/>
    <n v="605.75"/>
    <m/>
    <n v="0"/>
  </r>
  <r>
    <d v="2022-07-31T00:00:00"/>
    <d v="2022-07-11T00:00:00"/>
    <s v="1475758"/>
    <x v="6"/>
    <s v="5"/>
    <s v="5-1"/>
    <m/>
    <m/>
    <s v="Bitstop Inc."/>
    <s v="Payment of ICT Equipment (1unit Laptop Core i3) PIMO Finance Unit"/>
    <x v="30"/>
    <x v="30"/>
    <n v="36000"/>
    <m/>
    <s v="200017/ 200070"/>
    <n v="36000"/>
  </r>
  <r>
    <d v="2022-07-31T00:00:00"/>
    <d v="2022-07-11T00:00:00"/>
    <s v="1475758"/>
    <x v="6"/>
    <s v="5"/>
    <s v="5-1"/>
    <m/>
    <m/>
    <s v="Bitstop Inc."/>
    <s v="Payment of ICT Equipment (1unit Laptop Core i3) PIMO Finance Unit"/>
    <x v="6"/>
    <x v="6"/>
    <m/>
    <n v="321.43"/>
    <m/>
    <n v="35678.57"/>
  </r>
  <r>
    <d v="2022-07-31T00:00:00"/>
    <d v="2022-07-11T00:00:00"/>
    <s v="1475758"/>
    <x v="6"/>
    <s v="5"/>
    <s v="5-1"/>
    <m/>
    <m/>
    <s v="Bitstop Inc."/>
    <s v="Payment of ICT Equipment (1unit Laptop Core i3) PIMO Finance Unit"/>
    <x v="1"/>
    <x v="1"/>
    <m/>
    <n v="1607.14"/>
    <m/>
    <n v="34071.43"/>
  </r>
  <r>
    <d v="2022-07-31T00:00:00"/>
    <d v="2022-07-11T00:00:00"/>
    <s v="1475758"/>
    <x v="6"/>
    <s v="5"/>
    <s v="5-1"/>
    <m/>
    <m/>
    <s v="Bitstop Inc."/>
    <s v="Payment of ICT Equipment (1unit Laptop Core i3) PIMO Finance Unit"/>
    <x v="3"/>
    <x v="3"/>
    <m/>
    <n v="34071.43"/>
    <m/>
    <n v="0"/>
  </r>
  <r>
    <d v="2022-07-31T00:00:00"/>
    <d v="2022-07-15T00:00:00"/>
    <s v="Payroll2207013"/>
    <x v="6"/>
    <s v="5"/>
    <s v="5-1"/>
    <m/>
    <m/>
    <s v="Emerson A. Delos Santos &amp; 2 others"/>
    <s v="Payment for Salaries &amp; Allowances of E.A Delos Santos &amp; 2 others NIA PIMO (CARP), July 1-30, 2022"/>
    <x v="7"/>
    <x v="7"/>
    <n v="79449"/>
    <m/>
    <s v="220080"/>
    <n v="79449"/>
  </r>
  <r>
    <d v="2022-07-31T00:00:00"/>
    <d v="2022-07-15T00:00:00"/>
    <s v="Payroll2207013"/>
    <x v="6"/>
    <s v="5"/>
    <s v="5-1"/>
    <m/>
    <m/>
    <s v="Emerson A. Delos Santos &amp; 2 others"/>
    <s v="Payment for Salaries &amp; Allowances of E.A Delos Santos &amp; 2 others NIA PIMO (CARP), July 1-30, 2022"/>
    <x v="8"/>
    <x v="8"/>
    <n v="6000"/>
    <m/>
    <m/>
    <n v="85449"/>
  </r>
  <r>
    <d v="2022-07-31T00:00:00"/>
    <d v="2022-07-15T00:00:00"/>
    <s v="Payroll2207013"/>
    <x v="6"/>
    <s v="5"/>
    <s v="5-1"/>
    <m/>
    <m/>
    <s v="Emerson A. Delos Santos &amp; 2 others"/>
    <s v="Payment for Salaries &amp; Allowances of E.A Delos Santos &amp; 2 others NIA PIMO (CARP), July 1-30, 2022"/>
    <x v="9"/>
    <x v="9"/>
    <m/>
    <n v="1706.01"/>
    <m/>
    <n v="83742.990000000005"/>
  </r>
  <r>
    <d v="2022-07-31T00:00:00"/>
    <d v="2022-07-15T00:00:00"/>
    <s v="Payroll2207013"/>
    <x v="6"/>
    <s v="5"/>
    <s v="5-1"/>
    <m/>
    <m/>
    <s v="Emerson A. Delos Santos &amp; 2 others"/>
    <s v="Payment for Salaries &amp; Allowances of E.A Delos Santos &amp; 2 others NIA PIMO (CARP), July 1-30, 2022"/>
    <x v="10"/>
    <x v="10"/>
    <m/>
    <n v="7150.41"/>
    <m/>
    <n v="76592.58"/>
  </r>
  <r>
    <d v="2022-07-31T00:00:00"/>
    <d v="2022-07-15T00:00:00"/>
    <s v="Payroll2207013"/>
    <x v="6"/>
    <s v="5"/>
    <s v="5-1"/>
    <m/>
    <m/>
    <s v="Emerson A. Delos Santos &amp; 2 others"/>
    <s v="Payment for Salaries &amp; Allowances of E.A Delos Santos &amp; 2 others NIA PIMO (CARP), July 1-30, 2022"/>
    <x v="11"/>
    <x v="11"/>
    <m/>
    <n v="1588.98"/>
    <m/>
    <n v="75003.600000000006"/>
  </r>
  <r>
    <d v="2022-07-31T00:00:00"/>
    <d v="2022-07-15T00:00:00"/>
    <s v="Payroll2207013"/>
    <x v="6"/>
    <s v="5"/>
    <s v="5-1"/>
    <m/>
    <m/>
    <s v="Emerson A. Delos Santos &amp; 2 others"/>
    <s v="Payment for Salaries &amp; Allowances of E.A Delos Santos &amp; 2 others NIA PIMO (CARP), July 1-30, 2022"/>
    <x v="12"/>
    <x v="12"/>
    <m/>
    <n v="1000"/>
    <m/>
    <n v="74003.600000000006"/>
  </r>
  <r>
    <d v="2022-07-31T00:00:00"/>
    <d v="2022-07-15T00:00:00"/>
    <s v="Payroll2207013"/>
    <x v="6"/>
    <s v="5"/>
    <s v="5-1"/>
    <m/>
    <m/>
    <s v="Emerson A. Delos Santos &amp; 2 others"/>
    <s v="Payment for Salaries &amp; Allowances of E.A Delos Santos &amp; 2 others NIA PIMO (CARP), July 1-30, 2022"/>
    <x v="13"/>
    <x v="13"/>
    <m/>
    <n v="1588.98"/>
    <m/>
    <n v="72414.62"/>
  </r>
  <r>
    <d v="2022-07-31T00:00:00"/>
    <d v="2022-07-15T00:00:00"/>
    <s v="Payroll2207013"/>
    <x v="6"/>
    <s v="5"/>
    <s v="5-1"/>
    <m/>
    <m/>
    <s v="Emerson A. Delos Santos &amp; 2 others"/>
    <s v="Payment for Salaries &amp; Allowances of E.A Delos Santos &amp; 2 others NIA PIMO (CARP), July 1-30, 2022"/>
    <x v="3"/>
    <x v="3"/>
    <m/>
    <n v="36207.32"/>
    <m/>
    <n v="36207.300000000003"/>
  </r>
  <r>
    <d v="2022-07-31T00:00:00"/>
    <d v="2022-07-29T00:00:00"/>
    <s v="Payroll2207013A"/>
    <x v="6"/>
    <s v="5"/>
    <s v="5-1"/>
    <m/>
    <m/>
    <s v="Emerson A. Delos Santos &amp; 2 others"/>
    <s v="Payment for Salaries &amp; Allowances of E.A Delos Santos &amp; 2 others NIA PIMO (CARP), July 1-30, 2022"/>
    <x v="3"/>
    <x v="3"/>
    <m/>
    <n v="36207.300000000003"/>
    <m/>
    <n v="0"/>
  </r>
  <r>
    <d v="2022-07-31T00:00:00"/>
    <d v="2022-07-29T00:00:00"/>
    <s v="1475759"/>
    <x v="6"/>
    <s v="5"/>
    <s v="5-1"/>
    <m/>
    <m/>
    <s v="G.S.I.S"/>
    <s v="To Payment GSIS Premiums NIA PIMO(CARP) June 2022"/>
    <x v="15"/>
    <x v="15"/>
    <n v="9533.8799999999992"/>
    <m/>
    <s v="220080"/>
    <n v="9533.8799999999992"/>
  </r>
  <r>
    <d v="2022-07-31T00:00:00"/>
    <d v="2022-07-29T00:00:00"/>
    <s v="1475759"/>
    <x v="6"/>
    <s v="5"/>
    <s v="5-1"/>
    <m/>
    <m/>
    <s v="G.S.I.S"/>
    <s v="To Payment GSIS Premiums NIA PIMO(CARP) June 2022"/>
    <x v="10"/>
    <x v="10"/>
    <n v="7150.41"/>
    <m/>
    <m/>
    <n v="16684.29"/>
  </r>
  <r>
    <d v="2022-07-31T00:00:00"/>
    <d v="2022-07-29T00:00:00"/>
    <s v="1475759"/>
    <x v="6"/>
    <s v="5"/>
    <s v="5-1"/>
    <m/>
    <m/>
    <s v="G.S.I.S"/>
    <s v="To Payment GSIS Premiums NIA PIMO(CARP) June 2022"/>
    <x v="16"/>
    <x v="16"/>
    <n v="300"/>
    <m/>
    <m/>
    <n v="16984.29"/>
  </r>
  <r>
    <d v="2022-07-31T00:00:00"/>
    <d v="2022-07-29T00:00:00"/>
    <s v="1475759"/>
    <x v="6"/>
    <s v="5"/>
    <s v="5-1"/>
    <m/>
    <m/>
    <s v="G.S.I.S"/>
    <s v="To Payment GSIS Premiums NIA PIMO(CARP) June 2022"/>
    <x v="3"/>
    <x v="3"/>
    <m/>
    <n v="16984.29"/>
    <m/>
    <n v="0"/>
  </r>
  <r>
    <d v="2022-07-31T00:00:00"/>
    <d v="2022-07-29T00:00:00"/>
    <s v="1475760"/>
    <x v="6"/>
    <s v="5"/>
    <s v="5-1"/>
    <m/>
    <m/>
    <s v="Philippine Health Insurance Corporation"/>
    <s v="To Paymrnt PHIC Premiums NIA PIMO(CARP) July 2022"/>
    <x v="18"/>
    <x v="18"/>
    <n v="1588.98"/>
    <m/>
    <m/>
    <n v="1588.98"/>
  </r>
  <r>
    <d v="2022-07-31T00:00:00"/>
    <d v="2022-07-29T00:00:00"/>
    <s v="1475760"/>
    <x v="6"/>
    <s v="5"/>
    <s v="5-1"/>
    <m/>
    <m/>
    <s v="Philippine Health Insurance Corporation"/>
    <s v="To Paymrnt PHIC Premiums NIA PIMO(CARP) July 2022"/>
    <x v="13"/>
    <x v="13"/>
    <n v="1588.98"/>
    <m/>
    <m/>
    <n v="3177.96"/>
  </r>
  <r>
    <d v="2022-07-31T00:00:00"/>
    <d v="2022-07-29T00:00:00"/>
    <s v="1475760"/>
    <x v="6"/>
    <s v="5"/>
    <s v="5-1"/>
    <m/>
    <m/>
    <s v="Philippine Health Insurance Corporation"/>
    <s v="To Paymrnt PHIC Premiums NIA PIMO(CARP) June 2022"/>
    <x v="3"/>
    <x v="3"/>
    <m/>
    <n v="3177.96"/>
    <m/>
    <n v="0"/>
  </r>
  <r>
    <d v="2022-07-31T00:00:00"/>
    <d v="2022-07-29T00:00:00"/>
    <s v="1475761"/>
    <x v="6"/>
    <s v="5"/>
    <s v="5-1"/>
    <m/>
    <m/>
    <s v="H.D.M.F"/>
    <s v="To payment  HDMF Premiums NIA PIMO(CARP) July 2022"/>
    <x v="17"/>
    <x v="17"/>
    <n v="300"/>
    <m/>
    <m/>
    <n v="300"/>
  </r>
  <r>
    <d v="2022-07-31T00:00:00"/>
    <d v="2022-07-29T00:00:00"/>
    <s v="1475761"/>
    <x v="6"/>
    <s v="5"/>
    <s v="5-1"/>
    <m/>
    <m/>
    <s v="H.D.M.F"/>
    <s v="To payment  HDMF Premiums NIA PIMO(CARP) July 2022"/>
    <x v="11"/>
    <x v="11"/>
    <n v="1588"/>
    <m/>
    <m/>
    <n v="1888"/>
  </r>
  <r>
    <d v="2022-07-31T00:00:00"/>
    <d v="2022-07-29T00:00:00"/>
    <s v="1475761"/>
    <x v="6"/>
    <s v="5"/>
    <s v="5-1"/>
    <m/>
    <m/>
    <s v="H.D.M.F"/>
    <s v="To payment  HDMF Premiums NIA PIMO(CARP) July 2022"/>
    <x v="3"/>
    <x v="3"/>
    <m/>
    <n v="1888"/>
    <m/>
    <n v="0"/>
  </r>
  <r>
    <d v="2022-07-31T00:00:00"/>
    <d v="2022-07-29T00:00:00"/>
    <s v="1475762"/>
    <x v="6"/>
    <s v="5"/>
    <s v="5-1"/>
    <m/>
    <m/>
    <s v="LBP for the account of BIR"/>
    <s v="To Payment Withholding Tax NIA PIMO (CARP) July 2022"/>
    <x v="9"/>
    <x v="9"/>
    <n v="1706.01"/>
    <m/>
    <m/>
    <n v="1706.01"/>
  </r>
  <r>
    <d v="2022-07-31T00:00:00"/>
    <d v="2022-07-29T00:00:00"/>
    <s v="1475762"/>
    <x v="6"/>
    <s v="5"/>
    <s v="5-1"/>
    <m/>
    <m/>
    <s v="LBP for the account of BIR"/>
    <s v="To Payment Withholding Tax NIA PIMO (CARP) July 2022"/>
    <x v="3"/>
    <x v="3"/>
    <m/>
    <n v="1706.01"/>
    <m/>
    <n v="0"/>
  </r>
  <r>
    <d v="2022-07-31T00:00:00"/>
    <d v="2022-07-29T00:00:00"/>
    <s v="1475763"/>
    <x v="6"/>
    <s v="5"/>
    <s v="5-1"/>
    <m/>
    <m/>
    <s v="H.D.M.F"/>
    <s v="To Payment HDMF M2 NIA PIMO (CARP) July 2022"/>
    <x v="12"/>
    <x v="12"/>
    <n v="1000"/>
    <m/>
    <m/>
    <n v="1000"/>
  </r>
  <r>
    <d v="2022-07-31T00:00:00"/>
    <d v="2022-07-29T00:00:00"/>
    <s v="1475763"/>
    <x v="6"/>
    <s v="5"/>
    <s v="5-1"/>
    <m/>
    <m/>
    <s v="H.D.M.F"/>
    <s v="To Payment HDMF M2 NIA PIMO (CARP) July 2022"/>
    <x v="3"/>
    <x v="3"/>
    <m/>
    <n v="1000"/>
    <m/>
    <n v="0"/>
  </r>
  <r>
    <d v="2022-07-31T00:00:00"/>
    <d v="2022-07-29T00:00:00"/>
    <s v="1475764"/>
    <x v="6"/>
    <s v="5"/>
    <s v="5-1"/>
    <m/>
    <m/>
    <s v="NIA CARP-IC 501-COB"/>
    <s v="To return unused cash balance of FUND 501 CARP PIMO with current account no.1872-1040-50 at LBP"/>
    <x v="31"/>
    <x v="31"/>
    <n v="31591.05"/>
    <m/>
    <m/>
    <n v="31591.05"/>
  </r>
  <r>
    <d v="2022-07-31T00:00:00"/>
    <d v="2022-07-29T00:00:00"/>
    <s v="1475764"/>
    <x v="6"/>
    <s v="5"/>
    <s v="5-1"/>
    <m/>
    <m/>
    <s v="NIA CARP-IC 501-COB"/>
    <s v="To return unused cash balance of FUND 501 CARP PIMO with current account no.1872-1040-50 at LBP"/>
    <x v="3"/>
    <x v="3"/>
    <m/>
    <n v="31591.05"/>
    <m/>
    <n v="0"/>
  </r>
  <r>
    <d v="2022-07-31T00:00:00"/>
    <d v="2022-07-29T00:00:00"/>
    <s v="1475765"/>
    <x v="6"/>
    <s v="5"/>
    <s v="5-1"/>
    <m/>
    <m/>
    <s v="LBP for the account of BIR"/>
    <s v="Remit Collection of Withholding of Final VAT(1%-2%) Suppliers/Contractors of PIMO July 2022"/>
    <x v="6"/>
    <x v="6"/>
    <n v="321.43"/>
    <m/>
    <m/>
    <n v="321.43"/>
  </r>
  <r>
    <d v="2022-07-31T00:00:00"/>
    <d v="2022-07-29T00:00:00"/>
    <s v="1475765"/>
    <x v="6"/>
    <s v="5"/>
    <s v="5-1"/>
    <m/>
    <m/>
    <s v="LBP for the account of BIR"/>
    <s v="Remit Collection of Withholding of Final VAT(1%-2%) Suppliers/Contractors of PIMO July 2022"/>
    <x v="3"/>
    <x v="3"/>
    <m/>
    <n v="321.43"/>
    <m/>
    <n v="0"/>
  </r>
  <r>
    <d v="2022-07-31T00:00:00"/>
    <d v="2022-07-29T00:00:00"/>
    <s v="1475766"/>
    <x v="6"/>
    <s v="5"/>
    <s v="5-1"/>
    <m/>
    <m/>
    <s v="LBP for the account of BIR"/>
    <s v="Remit Collection of Withholding of Final VAT(5%-1%) Suppliers/Contractors of PIMO July 2022"/>
    <x v="1"/>
    <x v="1"/>
    <n v="1607.14"/>
    <m/>
    <m/>
    <n v="1607.14"/>
  </r>
  <r>
    <d v="2022-07-31T00:00:00"/>
    <d v="2022-07-29T00:00:00"/>
    <s v="1475766"/>
    <x v="6"/>
    <s v="5"/>
    <s v="5-1"/>
    <m/>
    <m/>
    <s v="LBP for the account of BIR"/>
    <s v="Remit Collection of Withholding of Final VAT(5%-1%) Suppliers/Contractors of PIMO July 2022"/>
    <x v="3"/>
    <x v="3"/>
    <m/>
    <n v="1607.14"/>
    <m/>
    <n v="0"/>
  </r>
  <r>
    <d v="2022-08-31T00:00:00"/>
    <d v="2022-08-09T00:00:00"/>
    <s v="1475767"/>
    <x v="7"/>
    <s v="5"/>
    <s v="5-1"/>
    <m/>
    <m/>
    <s v="Eduardo T. Santos Construction and Supplies"/>
    <s v="To payment 15% mobilization of contract under R1-PIMO-22-01-015 in connection with the CONSTRUCTION OF MALIMPIN SPIP(CARP IC CY 2022) located at Dasol,Pangasinan"/>
    <x v="32"/>
    <x v="32"/>
    <n v="1579858.44"/>
    <m/>
    <n v="220044"/>
    <n v="1579858.44"/>
  </r>
  <r>
    <d v="2022-08-31T00:00:00"/>
    <d v="2022-08-09T00:00:00"/>
    <s v="1475767"/>
    <x v="7"/>
    <s v="5"/>
    <s v="5-1"/>
    <m/>
    <m/>
    <s v="Eduardo T. Santos Construction and Supplies"/>
    <s v="To payment 15% mobilization of contract under R1-PIMO-22-01-015 in connection with the CONSTRUCTION OF MALIMPIN SPIP(CARP IC CY 2022) located at Dasol,Pangasinan"/>
    <x v="3"/>
    <x v="3"/>
    <m/>
    <n v="1579858.44"/>
    <m/>
    <n v="0"/>
  </r>
  <r>
    <d v="2022-08-31T00:00:00"/>
    <d v="2022-08-15T00:00:00"/>
    <s v="Payroll202207014"/>
    <x v="7"/>
    <s v="5"/>
    <s v="5-1"/>
    <m/>
    <m/>
    <s v="Emerson A. Delos Santos &amp; 2 others"/>
    <s v="Payment of Salaries and Allowances of E.Delos Santos &amp; 2 others of NIA-PIMO(CARP) August 2022"/>
    <x v="7"/>
    <x v="7"/>
    <n v="79449"/>
    <m/>
    <m/>
    <n v="79449"/>
  </r>
  <r>
    <d v="2022-08-31T00:00:00"/>
    <d v="2022-08-15T00:00:00"/>
    <s v="Payroll202207014"/>
    <x v="7"/>
    <s v="5"/>
    <s v="5-1"/>
    <m/>
    <m/>
    <s v="Emerson A. Delos Santos &amp; 2 others"/>
    <s v="Payment of Salaries and Allowances of E.Delos Santos &amp; 2 others of NIA-PIMO(CARP) August 2022"/>
    <x v="8"/>
    <x v="8"/>
    <n v="6000"/>
    <m/>
    <m/>
    <n v="85449"/>
  </r>
  <r>
    <d v="2022-08-31T00:00:00"/>
    <d v="2022-08-15T00:00:00"/>
    <s v="Payroll202207014"/>
    <x v="7"/>
    <s v="5"/>
    <s v="5-1"/>
    <m/>
    <m/>
    <s v="Emerson A. Delos Santos &amp; 2 others"/>
    <s v="Payment of Salaries and Allowances of E.Delos Santos &amp; 2 others of NIA-PIMO(CARP) August 2022"/>
    <x v="9"/>
    <x v="9"/>
    <m/>
    <n v="1706.01"/>
    <m/>
    <n v="83742.990000000005"/>
  </r>
  <r>
    <d v="2022-08-31T00:00:00"/>
    <d v="2022-08-15T00:00:00"/>
    <s v="Payroll202207014"/>
    <x v="7"/>
    <s v="5"/>
    <s v="5-1"/>
    <m/>
    <m/>
    <s v="Emerson A. Delos Santos &amp; 2 others"/>
    <s v="Payment of Salaries and Allowances of E.Delos Santos &amp; 2 others of NIA-PIMO(CARP) August 2022"/>
    <x v="10"/>
    <x v="10"/>
    <m/>
    <n v="7150.41"/>
    <m/>
    <n v="76592.58"/>
  </r>
  <r>
    <d v="2022-08-31T00:00:00"/>
    <d v="2022-08-15T00:00:00"/>
    <s v="Payroll202207014"/>
    <x v="7"/>
    <s v="5"/>
    <s v="5-1"/>
    <m/>
    <m/>
    <s v="Emerson A. Delos Santos &amp; 2 others"/>
    <s v="Payment of Salaries and Allowances of E.Delos Santos &amp; 2 others of NIA-PIMO(CARP) August 2022"/>
    <x v="11"/>
    <x v="11"/>
    <m/>
    <n v="1588.98"/>
    <m/>
    <n v="75003.600000000006"/>
  </r>
  <r>
    <d v="2022-08-31T00:00:00"/>
    <d v="2022-08-15T00:00:00"/>
    <s v="Payroll202207014"/>
    <x v="7"/>
    <s v="5"/>
    <s v="5-1"/>
    <m/>
    <m/>
    <s v="Emerson A. Delos Santos &amp; 2 others"/>
    <s v="Payment of Salaries and Allowances of E.Delos Santos &amp; 2 others of NIA-PIMO(CARP) August 2022"/>
    <x v="12"/>
    <x v="12"/>
    <m/>
    <n v="4000"/>
    <m/>
    <n v="71003.600000000006"/>
  </r>
  <r>
    <d v="2022-08-31T00:00:00"/>
    <d v="2022-08-15T00:00:00"/>
    <s v="Payroll202207014"/>
    <x v="7"/>
    <s v="5"/>
    <s v="5-1"/>
    <m/>
    <m/>
    <s v="Emerson A. Delos Santos &amp; 2 others"/>
    <s v="Payment of Salaries and Allowances of E.Delos Santos &amp; 2 others of NIA-PIMO(CARP) August 2022"/>
    <x v="13"/>
    <x v="13"/>
    <m/>
    <n v="1588.98"/>
    <m/>
    <n v="69414.62"/>
  </r>
  <r>
    <d v="2022-08-31T00:00:00"/>
    <d v="2022-08-15T00:00:00"/>
    <s v="Payroll202207014"/>
    <x v="7"/>
    <s v="5"/>
    <s v="5-1"/>
    <m/>
    <m/>
    <s v="Emerson A. Delos Santos &amp; 2 others"/>
    <s v="Payment of Salaries and Allowances of E.Delos Santos &amp; 2 others of NIA-PIMO(CARP) August 2022"/>
    <x v="3"/>
    <x v="3"/>
    <m/>
    <n v="34707.32"/>
    <m/>
    <n v="34707.300000000003"/>
  </r>
  <r>
    <d v="2022-08-31T00:00:00"/>
    <d v="2022-08-26T00:00:00"/>
    <s v="Payroll202207014A"/>
    <x v="7"/>
    <s v="5"/>
    <s v="5-1"/>
    <m/>
    <m/>
    <s v="Emerson A. Delos Santos &amp; 2 others"/>
    <s v="Payment of Salaries and Allowances of E.Delos Santos &amp; 2 others of NIA-PIMO(CARP) August 2022"/>
    <x v="3"/>
    <x v="3"/>
    <m/>
    <n v="34707.300000000003"/>
    <m/>
    <n v="0"/>
  </r>
  <r>
    <d v="2022-08-31T00:00:00"/>
    <d v="2022-08-26T00:00:00"/>
    <s v="1475768"/>
    <x v="7"/>
    <s v="5"/>
    <s v="5-1"/>
    <m/>
    <m/>
    <s v="H.D.M.F"/>
    <s v="Remit monthly HDMF M2 of NIA-PIMO CARP August 2022"/>
    <x v="12"/>
    <x v="12"/>
    <n v="4000"/>
    <m/>
    <m/>
    <n v="4000"/>
  </r>
  <r>
    <d v="2022-08-31T00:00:00"/>
    <d v="2022-08-26T00:00:00"/>
    <s v="1475768"/>
    <x v="7"/>
    <s v="5"/>
    <s v="5-1"/>
    <m/>
    <m/>
    <s v="H.D.M.F"/>
    <s v="Remit monthly HDMF M2 of NIA-PIMO CARP August 2022"/>
    <x v="3"/>
    <x v="3"/>
    <m/>
    <n v="4000"/>
    <m/>
    <n v="0"/>
  </r>
  <r>
    <d v="2022-08-31T00:00:00"/>
    <d v="2022-08-26T00:00:00"/>
    <s v="1475769"/>
    <x v="7"/>
    <s v="5"/>
    <s v="5-1"/>
    <m/>
    <m/>
    <s v="H.D.M.F"/>
    <s v="Remit monthly HDMF Premiums of NIA-PIMO CARP August 2022"/>
    <x v="17"/>
    <x v="17"/>
    <n v="300"/>
    <m/>
    <m/>
    <n v="300"/>
  </r>
  <r>
    <d v="2022-08-31T00:00:00"/>
    <d v="2022-08-26T00:00:00"/>
    <s v="1475769"/>
    <x v="7"/>
    <s v="5"/>
    <s v="5-1"/>
    <m/>
    <m/>
    <s v="H.D.M.F"/>
    <s v="Remit monthly HDMF Premiums of NIA-PIMO CARP August 2022"/>
    <x v="11"/>
    <x v="11"/>
    <n v="1589.96"/>
    <m/>
    <m/>
    <n v="1889.96"/>
  </r>
  <r>
    <d v="2022-08-31T00:00:00"/>
    <d v="2022-08-26T00:00:00"/>
    <s v="1475769"/>
    <x v="7"/>
    <s v="5"/>
    <s v="5-1"/>
    <m/>
    <m/>
    <s v="H.D.M.F"/>
    <s v="Remit monthly HDMF Premiums of NIA-PIMO CARP August 2022"/>
    <x v="3"/>
    <x v="3"/>
    <m/>
    <n v="1889.96"/>
    <m/>
    <n v="0"/>
  </r>
  <r>
    <d v="2022-08-31T00:00:00"/>
    <d v="2022-08-26T00:00:00"/>
    <s v="1475770"/>
    <x v="7"/>
    <s v="5"/>
    <s v="5-1"/>
    <m/>
    <m/>
    <s v="PHILIPPINE HEALTH INSURANCE CORPORATION"/>
    <s v="Remit monthly Philheatlh Premiums of NIA-PIMO CARP August 2022"/>
    <x v="18"/>
    <x v="18"/>
    <n v="1588.98"/>
    <m/>
    <m/>
    <n v="1588.98"/>
  </r>
  <r>
    <d v="2022-08-31T00:00:00"/>
    <d v="2022-08-26T00:00:00"/>
    <s v="1475770"/>
    <x v="7"/>
    <s v="5"/>
    <s v="5-1"/>
    <m/>
    <m/>
    <s v="PHILIPPINE HEALTH INSURANCE CORPORATION"/>
    <s v="Remit monthly Philheatlh Premiums of NIA-PIMO CARP August 2022"/>
    <x v="13"/>
    <x v="13"/>
    <n v="1588.98"/>
    <m/>
    <m/>
    <n v="3177.96"/>
  </r>
  <r>
    <d v="2022-08-31T00:00:00"/>
    <d v="2022-08-26T00:00:00"/>
    <s v="1475770"/>
    <x v="7"/>
    <s v="5"/>
    <s v="5-1"/>
    <m/>
    <m/>
    <s v="PHILIPPINE HEALTH INSURANCE CORPORATION"/>
    <s v="Remit monthly Philheatlh Premiums of NIA-PIMO CARP August 2022"/>
    <x v="3"/>
    <x v="3"/>
    <m/>
    <n v="3177.96"/>
    <m/>
    <n v="0"/>
  </r>
  <r>
    <d v="2022-08-31T00:00:00"/>
    <d v="2022-08-26T00:00:00"/>
    <s v="1475771"/>
    <x v="7"/>
    <s v="5"/>
    <s v="5-1"/>
    <m/>
    <m/>
    <s v="G.S.I.S"/>
    <s v="Remit monthly GSIS Premiums of NIA-PIMO CARP August 2022"/>
    <x v="15"/>
    <x v="15"/>
    <n v="9533.8799999999992"/>
    <m/>
    <m/>
    <n v="9533.8799999999992"/>
  </r>
  <r>
    <d v="2022-08-31T00:00:00"/>
    <d v="2022-08-26T00:00:00"/>
    <s v="1475771"/>
    <x v="7"/>
    <s v="5"/>
    <s v="5-1"/>
    <m/>
    <m/>
    <s v="G.S.I.S"/>
    <s v="Remit monthly GSIS Premiums of NIA-PIMO CARP August 2022"/>
    <x v="10"/>
    <x v="10"/>
    <n v="7150.41"/>
    <m/>
    <m/>
    <n v="16684.29"/>
  </r>
  <r>
    <d v="2022-08-31T00:00:00"/>
    <d v="2022-08-26T00:00:00"/>
    <s v="1475771"/>
    <x v="7"/>
    <s v="5"/>
    <s v="5-1"/>
    <m/>
    <m/>
    <s v="G.S.I.S"/>
    <s v="Remit monthly GSIS Premiums of NIA-PIMO CARP August 2022"/>
    <x v="16"/>
    <x v="16"/>
    <n v="300"/>
    <m/>
    <m/>
    <n v="16984.29"/>
  </r>
  <r>
    <d v="2022-08-31T00:00:00"/>
    <d v="2022-08-26T00:00:00"/>
    <s v="1475771"/>
    <x v="7"/>
    <s v="5"/>
    <s v="5-1"/>
    <m/>
    <m/>
    <s v="G.S.I.S"/>
    <s v="Remit monthly GSIS Premiums of NIA-PIMO CARP August 2022"/>
    <x v="3"/>
    <x v="3"/>
    <m/>
    <n v="16984.29"/>
    <m/>
    <n v="0"/>
  </r>
  <r>
    <d v="2022-08-31T00:00:00"/>
    <d v="2022-08-26T00:00:00"/>
    <s v="1475772"/>
    <x v="7"/>
    <s v="5"/>
    <s v="5-1"/>
    <m/>
    <m/>
    <s v="LBP fot the account of BIR"/>
    <s v="Remit Witholding Tax on Compensation of NIA-PIMO CARP August 2022"/>
    <x v="9"/>
    <x v="9"/>
    <n v="1706.01"/>
    <m/>
    <m/>
    <n v="1706.01"/>
  </r>
  <r>
    <d v="2022-08-31T00:00:00"/>
    <d v="2022-08-26T00:00:00"/>
    <s v="1475772"/>
    <x v="7"/>
    <s v="5"/>
    <s v="5-1"/>
    <m/>
    <m/>
    <s v="LBP fot the account of BIR"/>
    <s v="Remit Witholding Tax on Compensation of NIA-PIMO CARP August 2022"/>
    <x v="3"/>
    <x v="3"/>
    <m/>
    <n v="1706.01"/>
    <m/>
    <n v="0"/>
  </r>
  <r>
    <d v="2022-08-31T00:00:00"/>
    <d v="2022-08-31T00:00:00"/>
    <s v="1475773"/>
    <x v="7"/>
    <s v="5"/>
    <s v="5-1"/>
    <m/>
    <m/>
    <s v="June Marlowe A. Soria"/>
    <s v="Reimburse the amount paid for the Electronic Filing and Payment System(EFPS) under various account of NIA-PPIO(PIMO)"/>
    <x v="25"/>
    <x v="25"/>
    <n v="200"/>
    <m/>
    <n v="200120"/>
    <n v="200"/>
  </r>
  <r>
    <d v="2022-08-31T00:00:00"/>
    <d v="2022-08-31T00:00:00"/>
    <s v="1475773"/>
    <x v="7"/>
    <s v="5"/>
    <s v="5-1"/>
    <m/>
    <m/>
    <s v="June Marlowe A. Soria"/>
    <s v="Reimburse the amount paid for the Electronic Filing and Payment System(EFPS) under various account of NIA-PPIO(PIMO)"/>
    <x v="3"/>
    <x v="3"/>
    <m/>
    <n v="200"/>
    <m/>
    <n v="0"/>
  </r>
  <r>
    <d v="2022-08-31T00:00:00"/>
    <d v="2022-08-31T00:00:00"/>
    <s v="1475774"/>
    <x v="7"/>
    <s v="5"/>
    <s v="5-1"/>
    <m/>
    <m/>
    <s v="Celbros Construction and Supplies"/>
    <s v="To Payment of Contract under R1-PIMO-22-03-041 in connection with the MINOSICUAN CIS-CARP IC CY 2022 located in Umingan,Pangasinan"/>
    <x v="32"/>
    <x v="32"/>
    <n v="998181.31"/>
    <m/>
    <n v="220076"/>
    <n v="998181.31"/>
  </r>
  <r>
    <d v="2022-08-31T00:00:00"/>
    <d v="2022-08-31T00:00:00"/>
    <s v="1475774"/>
    <x v="7"/>
    <s v="5"/>
    <s v="5-1"/>
    <m/>
    <m/>
    <s v="Celbros Construction and Supplies"/>
    <s v="To Payment of Contract under R1-PIMO-22-03-041 in connection with the MINOSICUAN CIS-CARP IC CY 2022 located in Umingan,Pangasinan"/>
    <x v="3"/>
    <x v="3"/>
    <m/>
    <n v="998181.31"/>
    <m/>
    <n v="0"/>
  </r>
  <r>
    <d v="2022-09-30T00:00:00"/>
    <d v="2022-09-13T00:00:00"/>
    <s v="Payroll20220915"/>
    <x v="8"/>
    <s v="5"/>
    <s v="5-1"/>
    <m/>
    <m/>
    <s v="Emerson De Los Santos &amp; 2 others"/>
    <s v="Payment of Salaries and Allowances of E.Delos Santos &amp; 2 others of NIA-PIMO(CARP) September 2022"/>
    <x v="7"/>
    <x v="7"/>
    <n v="79449"/>
    <m/>
    <m/>
    <n v="79449"/>
  </r>
  <r>
    <d v="2022-09-30T00:00:00"/>
    <d v="2022-09-13T00:00:00"/>
    <s v="Payroll20220915"/>
    <x v="8"/>
    <s v="5"/>
    <s v="5-1"/>
    <m/>
    <m/>
    <s v="Emerson De Los Santos &amp; 2 others"/>
    <s v="Payment of Salaries and Allowances of E.Delos Santos &amp; 2 others of NIA-PIMO(CARP) September 2022"/>
    <x v="8"/>
    <x v="8"/>
    <n v="6000"/>
    <m/>
    <m/>
    <n v="85449"/>
  </r>
  <r>
    <d v="2022-09-30T00:00:00"/>
    <d v="2022-09-13T00:00:00"/>
    <s v="Payroll20220915"/>
    <x v="8"/>
    <s v="5"/>
    <s v="5-1"/>
    <m/>
    <m/>
    <s v="Emerson De Los Santos &amp; 2 others"/>
    <s v="Payment of Salaries and Allowances of E.Delos Santos &amp; 2 others of NIA-PIMO(CARP) September 2022"/>
    <x v="9"/>
    <x v="9"/>
    <m/>
    <n v="1706.01"/>
    <m/>
    <n v="83742.990000000005"/>
  </r>
  <r>
    <d v="2022-09-30T00:00:00"/>
    <d v="2022-09-13T00:00:00"/>
    <s v="Payroll20220915"/>
    <x v="8"/>
    <s v="5"/>
    <s v="5-1"/>
    <m/>
    <m/>
    <s v="Emerson De Los Santos &amp; 2 others"/>
    <s v="Payment of Salaries and Allowances of E.Delos Santos &amp; 2 others of NIA-PIMO(CARP) September 2022"/>
    <x v="10"/>
    <x v="10"/>
    <m/>
    <n v="7150.41"/>
    <m/>
    <n v="76592.58"/>
  </r>
  <r>
    <d v="2022-09-30T00:00:00"/>
    <d v="2022-09-13T00:00:00"/>
    <s v="Payroll20220915"/>
    <x v="8"/>
    <s v="5"/>
    <s v="5-1"/>
    <m/>
    <m/>
    <s v="Emerson De Los Santos &amp; 2 others"/>
    <s v="Payment of Salaries and Allowances of E.Delos Santos &amp; 2 others of NIA-PIMO(CARP) September 2022"/>
    <x v="11"/>
    <x v="11"/>
    <m/>
    <n v="1588.98"/>
    <m/>
    <n v="75003.600000000006"/>
  </r>
  <r>
    <d v="2022-09-30T00:00:00"/>
    <d v="2022-09-13T00:00:00"/>
    <s v="Payroll20220915"/>
    <x v="8"/>
    <s v="5"/>
    <s v="5-1"/>
    <m/>
    <m/>
    <s v="Emerson De Los Santos &amp; 2 others"/>
    <s v="Payment of Salaries and Allowances of E.Delos Santos &amp; 2 others of NIA-PIMO(CARP) September 2022"/>
    <x v="12"/>
    <x v="12"/>
    <m/>
    <n v="4000"/>
    <m/>
    <n v="71003.600000000006"/>
  </r>
  <r>
    <d v="2022-09-30T00:00:00"/>
    <d v="2022-09-13T00:00:00"/>
    <s v="Payroll20220915"/>
    <x v="8"/>
    <s v="5"/>
    <s v="5-1"/>
    <m/>
    <m/>
    <s v="Emerson De Los Santos &amp; 2 others"/>
    <s v="Payment of Salaries and Allowances of E.Delos Santos &amp; 2 others of NIA-PIMO(CARP) September 2022"/>
    <x v="13"/>
    <x v="13"/>
    <m/>
    <n v="1588.98"/>
    <m/>
    <n v="69414.62"/>
  </r>
  <r>
    <d v="2022-09-30T00:00:00"/>
    <d v="2022-09-13T00:00:00"/>
    <s v="Payroll20220915"/>
    <x v="8"/>
    <s v="5"/>
    <s v="5-1"/>
    <m/>
    <m/>
    <s v="Emerson De Los Santos &amp; 2 others"/>
    <s v="Payment of Salaries and Allowances of E.Delos Santos &amp; 2 others of NIA-PIMO(CARP) September 2022"/>
    <x v="3"/>
    <x v="3"/>
    <m/>
    <n v="34707.32"/>
    <m/>
    <n v="34707.300000000003"/>
  </r>
  <r>
    <d v="2022-09-30T00:00:00"/>
    <d v="2022-09-27T00:00:00"/>
    <s v="Payroll20220915A"/>
    <x v="8"/>
    <s v="5"/>
    <s v="5-1"/>
    <m/>
    <m/>
    <s v="E.Delos santos &amp; 2 others"/>
    <s v="Payment of Salaries and Allowances of E.Delos Santos &amp; 2 others of NIA-PIMO(CARP) September 2022"/>
    <x v="3"/>
    <x v="3"/>
    <m/>
    <n v="34707.300000000003"/>
    <m/>
    <n v="0"/>
  </r>
  <r>
    <d v="2022-09-30T00:00:00"/>
    <d v="2022-09-15T00:00:00"/>
    <s v="1475775"/>
    <x v="8"/>
    <s v="5"/>
    <s v="5-1"/>
    <m/>
    <m/>
    <s v="Emerson A. Delos Santos"/>
    <s v="To payment of travelling expenses used to proceed to NIA Region 2 &amp; Crodillera Administrative Region in the conduct of Inspection and Assesment of NIA Projects for the Period of August 12, 202"/>
    <x v="27"/>
    <x v="27"/>
    <n v="11873.88"/>
    <m/>
    <s v="ASA 210099"/>
    <n v="11873.88"/>
  </r>
  <r>
    <d v="2022-09-30T00:00:00"/>
    <d v="2022-09-15T00:00:00"/>
    <s v="1475775"/>
    <x v="8"/>
    <s v="5"/>
    <s v="5-1"/>
    <m/>
    <m/>
    <s v="Emerson A. Delos Santos"/>
    <s v="To payment of travelling expenses used to proceed to NIA Region 2 &amp; Crodillera Administrative Region in the conduct of Inspection and Assesment of NIA Projects for the Period of August 12, 203"/>
    <x v="3"/>
    <x v="3"/>
    <m/>
    <n v="11873.88"/>
    <m/>
    <n v="0"/>
  </r>
  <r>
    <d v="2022-09-30T00:00:00"/>
    <d v="2022-09-15T00:00:00"/>
    <s v="1475776"/>
    <x v="8"/>
    <s v="5"/>
    <s v="5-1"/>
    <m/>
    <m/>
    <s v="Jonalyn A. Julian"/>
    <s v="To reimburse the amount paid for meals and snacks served during the conduct of IA Organization and Pre-Construction Conference of Malimpin SPIP on June 1,2022 at Brgy.Malimpin,Dasol,Pangasinan"/>
    <x v="5"/>
    <x v="5"/>
    <n v="1989"/>
    <m/>
    <s v="ASA 210072"/>
    <n v="1989"/>
  </r>
  <r>
    <d v="2022-09-30T00:00:00"/>
    <d v="2022-09-15T00:00:00"/>
    <s v="1475776"/>
    <x v="8"/>
    <s v="5"/>
    <s v="5-1"/>
    <m/>
    <m/>
    <s v="Jonalyn A. Julian"/>
    <s v="To reimburse the amount paid for meals and snacks served during the conduct of IA Organization and Pre-Construction Conference of Malimpin SPIP on June 1,2022 at Brgy.Malimpin,Dasol,Pangasinan"/>
    <x v="3"/>
    <x v="3"/>
    <m/>
    <n v="1989"/>
    <m/>
    <n v="0"/>
  </r>
  <r>
    <d v="2022-09-30T00:00:00"/>
    <d v="2022-09-15T00:00:00"/>
    <s v="1475777"/>
    <x v="8"/>
    <s v="5"/>
    <s v="5-1"/>
    <m/>
    <m/>
    <s v="Emerson A. Delos Santos"/>
    <s v="To payment of TEV/Per Diem during the conduct of Constructors Performance Evaluation System(CPES) for civil works contracts administered by Palawan IMO on March 13-19,2022"/>
    <x v="27"/>
    <x v="27"/>
    <n v="3080"/>
    <m/>
    <s v="ASA 210099"/>
    <n v="3080"/>
  </r>
  <r>
    <d v="2022-09-30T00:00:00"/>
    <d v="2022-09-15T00:00:00"/>
    <s v="1475777"/>
    <x v="8"/>
    <s v="5"/>
    <s v="5-1"/>
    <m/>
    <m/>
    <s v="Emerson A. Delos Santos"/>
    <s v="To payment of TEV/Per Diem during the conduct of Constructors Performance Evaluation System(CPES) for civil works contracts administered by Palawan IMO on March 13-19,2022"/>
    <x v="3"/>
    <x v="3"/>
    <m/>
    <n v="3080"/>
    <m/>
    <n v="0"/>
  </r>
  <r>
    <d v="2022-09-30T00:00:00"/>
    <d v="2022-09-15T00:00:00"/>
    <s v="1475778"/>
    <x v="8"/>
    <s v="5"/>
    <s v="5-1"/>
    <m/>
    <m/>
    <s v="Gertrudes A. Viado"/>
    <s v="To reimburse the amount paid for Plane Ticket for the CY 2022 Midyear Assessment and Planning of CARP-IC project Batch 1"/>
    <x v="27"/>
    <x v="27"/>
    <n v="12841"/>
    <m/>
    <s v="ASA 210099 / 210179"/>
    <n v="12841"/>
  </r>
  <r>
    <d v="2022-09-30T00:00:00"/>
    <d v="2022-09-15T00:00:00"/>
    <s v="1475778"/>
    <x v="8"/>
    <s v="5"/>
    <s v="5-1"/>
    <m/>
    <m/>
    <s v="Gertrudes A. Viado"/>
    <s v="To reimburse the amount paid for Plane Ticket for the CY 2022 Midyear Assessment and Planning of CARP-IC project Batch 1"/>
    <x v="3"/>
    <x v="3"/>
    <m/>
    <n v="12841"/>
    <m/>
    <n v="0"/>
  </r>
  <r>
    <d v="2022-09-30T00:00:00"/>
    <d v="2022-09-15T00:00:00"/>
    <s v="1475779"/>
    <x v="8"/>
    <s v="5"/>
    <s v="5-1"/>
    <m/>
    <m/>
    <s v="Bitstop, Inc."/>
    <s v="To payment of ICT Equipment(1 Unit Printer) for use of PIMO-CARP-IC"/>
    <x v="30"/>
    <x v="30"/>
    <n v="33500"/>
    <m/>
    <s v="ASA 200070"/>
    <n v="33500"/>
  </r>
  <r>
    <d v="2022-09-30T00:00:00"/>
    <d v="2022-09-15T00:00:00"/>
    <s v="1475779"/>
    <x v="8"/>
    <s v="5"/>
    <s v="5-1"/>
    <m/>
    <m/>
    <s v="Bitstop, Inc."/>
    <s v="To payment of ICT Equipment(1 Unit Printer) for use of PIMO-CARP-IC"/>
    <x v="6"/>
    <x v="6"/>
    <m/>
    <n v="299.11"/>
    <m/>
    <n v="33200.89"/>
  </r>
  <r>
    <d v="2022-09-30T00:00:00"/>
    <d v="2022-09-15T00:00:00"/>
    <s v="1475779"/>
    <x v="8"/>
    <s v="5"/>
    <s v="5-1"/>
    <m/>
    <m/>
    <s v="Bitstop, Inc."/>
    <s v="To payment of ICT Equipment(1 Unit Printer) for use of PIMO-CARP-IC"/>
    <x v="1"/>
    <x v="1"/>
    <m/>
    <n v="1495.54"/>
    <m/>
    <n v="31705.35"/>
  </r>
  <r>
    <d v="2022-09-30T00:00:00"/>
    <d v="2022-09-15T00:00:00"/>
    <s v="1475779"/>
    <x v="8"/>
    <s v="5"/>
    <s v="5-1"/>
    <m/>
    <m/>
    <s v="Bitstop, Inc."/>
    <s v="To payment of ICT Equipment(1 Unit Printer) for use of PIMO-CARP-IC"/>
    <x v="3"/>
    <x v="3"/>
    <m/>
    <n v="31705.35"/>
    <m/>
    <n v="0"/>
  </r>
  <r>
    <d v="2022-09-30T00:00:00"/>
    <d v="2022-09-15T00:00:00"/>
    <s v="1475780"/>
    <x v="8"/>
    <s v="5"/>
    <s v="5-1"/>
    <m/>
    <m/>
    <s v="Marigold Store"/>
    <s v="To payment of Furniture(Steel Cabinet, Vertical 4 drawer) use for PIMO-CARP-IC"/>
    <x v="33"/>
    <x v="33"/>
    <n v="8398"/>
    <m/>
    <s v="ASA 200120"/>
    <n v="8398"/>
  </r>
  <r>
    <d v="2022-09-30T00:00:00"/>
    <d v="2022-09-15T00:00:00"/>
    <s v="1475780"/>
    <x v="8"/>
    <s v="5"/>
    <s v="5-1"/>
    <m/>
    <m/>
    <s v="Marigold Store"/>
    <s v="To payment of Furniture(Steel Cabinet, Vertical 4 drawer) use for PIMO-CARP-IC"/>
    <x v="6"/>
    <x v="6"/>
    <m/>
    <n v="74.98"/>
    <m/>
    <n v="8323.02"/>
  </r>
  <r>
    <d v="2022-09-30T00:00:00"/>
    <d v="2022-09-15T00:00:00"/>
    <s v="1475780"/>
    <x v="8"/>
    <s v="5"/>
    <s v="5-1"/>
    <m/>
    <m/>
    <s v="Marigold Store"/>
    <s v="To payment of Furniture(Steel Cabinet, Vertical 4 drawer) use for PIMO-CARP-IC"/>
    <x v="1"/>
    <x v="1"/>
    <m/>
    <n v="374.91"/>
    <m/>
    <n v="7948.11"/>
  </r>
  <r>
    <d v="2022-09-30T00:00:00"/>
    <d v="2022-09-15T00:00:00"/>
    <s v="1475780"/>
    <x v="8"/>
    <s v="5"/>
    <s v="5-1"/>
    <m/>
    <m/>
    <s v="Marigold Store"/>
    <s v="To payment of Furniture(Steel Cabinet, Vertical 4 drawer) use for PIMO-CARP-IC"/>
    <x v="3"/>
    <x v="3"/>
    <m/>
    <n v="7948.11"/>
    <m/>
    <n v="0"/>
  </r>
  <r>
    <d v="2022-09-30T00:00:00"/>
    <d v="2022-09-19T00:00:00"/>
    <s v="1475781"/>
    <x v="8"/>
    <s v="5"/>
    <s v="5-1"/>
    <m/>
    <m/>
    <s v="LBP for the account of BIR"/>
    <s v="To remit Withholding Tax on Compensation of E.Delos Santos &amp; 1 other of NIA-PIMO(CARP) Urdaneta City,Pangasinan Period of September 2022"/>
    <x v="9"/>
    <x v="9"/>
    <n v="1706.01"/>
    <m/>
    <m/>
    <n v="1706.01"/>
  </r>
  <r>
    <d v="2022-09-30T00:00:00"/>
    <d v="2022-09-19T00:00:00"/>
    <s v="1475781"/>
    <x v="8"/>
    <s v="5"/>
    <s v="5-1"/>
    <m/>
    <m/>
    <s v="LBP for the account of BIR"/>
    <s v="To remit Withholding Tax on Compensation of E.Delos Santos &amp; 1 other of NIA-PIMO(CARP) Urdaneta City,Pangasinan Period of September 2022"/>
    <x v="3"/>
    <x v="3"/>
    <m/>
    <n v="1706.01"/>
    <m/>
    <n v="0"/>
  </r>
  <r>
    <d v="2022-09-30T00:00:00"/>
    <d v="2022-09-19T00:00:00"/>
    <s v="1475782"/>
    <x v="8"/>
    <s v="5"/>
    <s v="5-1"/>
    <m/>
    <m/>
    <s v="H.D.M.F"/>
    <s v="To remit monthly M2 E.Delos Santos &amp; 1 other  of NIA-PIMO(CARP),Urdaneta City,Pangasinan Period of September 2022"/>
    <x v="12"/>
    <x v="12"/>
    <n v="4000"/>
    <m/>
    <m/>
    <n v="4000"/>
  </r>
  <r>
    <d v="2022-09-30T00:00:00"/>
    <d v="2022-09-19T00:00:00"/>
    <s v="1475782"/>
    <x v="8"/>
    <s v="5"/>
    <s v="5-1"/>
    <m/>
    <m/>
    <s v="H.D.M.F"/>
    <s v="To remit monthly M2 E.Delos Santos &amp; 1 other  of NIA-PIMO(CARP),Urdaneta City,Pangasinan Period of September 2022"/>
    <x v="3"/>
    <x v="3"/>
    <m/>
    <n v="4000"/>
    <m/>
    <n v="0"/>
  </r>
  <r>
    <d v="2022-09-30T00:00:00"/>
    <d v="2022-09-19T00:00:00"/>
    <s v="1475783"/>
    <x v="8"/>
    <s v="5"/>
    <s v="5-1"/>
    <m/>
    <m/>
    <s v="Bitstop,Inc."/>
    <s v="To payment of ICT Equipment(1 Set Desktop i7) for ude of PIMO-CARP-IC"/>
    <x v="22"/>
    <x v="22"/>
    <n v="147000"/>
    <m/>
    <s v="ASA 200070 / 210017"/>
    <n v="147000"/>
  </r>
  <r>
    <d v="2022-09-30T00:00:00"/>
    <d v="2022-09-19T00:00:00"/>
    <s v="1475783"/>
    <x v="8"/>
    <s v="5"/>
    <s v="5-1"/>
    <m/>
    <m/>
    <s v="Bitstop,Inc."/>
    <s v="To payment of ICT Equipment(1 Set Desktop i7) for ude of PIMO-CARP-IC"/>
    <x v="6"/>
    <x v="6"/>
    <m/>
    <n v="1312.5"/>
    <m/>
    <n v="145687.5"/>
  </r>
  <r>
    <d v="2022-09-30T00:00:00"/>
    <d v="2022-09-19T00:00:00"/>
    <s v="1475783"/>
    <x v="8"/>
    <s v="5"/>
    <s v="5-1"/>
    <m/>
    <m/>
    <s v="Bitstop,Inc."/>
    <s v="To payment of ICT Equipment(1 Set Desktop i7) for ude of PIMO-CARP-IC"/>
    <x v="1"/>
    <x v="1"/>
    <m/>
    <n v="6562.5"/>
    <m/>
    <n v="139125"/>
  </r>
  <r>
    <d v="2022-09-30T00:00:00"/>
    <d v="2022-09-19T00:00:00"/>
    <s v="1475783"/>
    <x v="8"/>
    <s v="5"/>
    <s v="5-1"/>
    <m/>
    <m/>
    <s v="Bitstop,Inc."/>
    <s v="To payment of ICT Equipment(1 Set Desktop i7) for ude of PIMO-CARP-IC"/>
    <x v="3"/>
    <x v="3"/>
    <m/>
    <n v="139125"/>
    <m/>
    <n v="0"/>
  </r>
  <r>
    <d v="2022-09-30T00:00:00"/>
    <d v="2022-09-19T00:00:00"/>
    <s v="1475784"/>
    <x v="8"/>
    <s v="5"/>
    <s v="5-1"/>
    <m/>
    <m/>
    <s v="Xaviery Computer Center"/>
    <s v="To payment of Office Supplies(Ink Epson) for used of PIMO-CARP"/>
    <x v="24"/>
    <x v="24"/>
    <n v="34275"/>
    <m/>
    <s v="ASA 210179/ 200120"/>
    <n v="34275"/>
  </r>
  <r>
    <d v="2022-09-30T00:00:00"/>
    <d v="2022-09-19T00:00:00"/>
    <s v="1475784"/>
    <x v="8"/>
    <s v="5"/>
    <s v="5-1"/>
    <m/>
    <m/>
    <s v="Xaviery Computer Center"/>
    <s v="To payment of Office Supplies(Ink Epson) for used of PIMO-CARP"/>
    <x v="6"/>
    <x v="6"/>
    <m/>
    <n v="306.02999999999997"/>
    <m/>
    <n v="33968.97"/>
  </r>
  <r>
    <d v="2022-09-30T00:00:00"/>
    <d v="2022-09-19T00:00:00"/>
    <s v="1475784"/>
    <x v="8"/>
    <s v="5"/>
    <s v="5-1"/>
    <m/>
    <m/>
    <s v="Xaviery Computer Center"/>
    <s v="To payment of Office Supplies(Ink Epson) for used of PIMO-CARP"/>
    <x v="1"/>
    <x v="1"/>
    <m/>
    <n v="1530.13"/>
    <m/>
    <n v="32438.84"/>
  </r>
  <r>
    <d v="2022-09-30T00:00:00"/>
    <d v="2022-09-19T00:00:00"/>
    <s v="1475784"/>
    <x v="8"/>
    <s v="5"/>
    <s v="5-1"/>
    <m/>
    <m/>
    <s v="Xaviery Computer Center"/>
    <s v="To payment of Office Supplies(Ink Epson) for used of PIMO-CARP"/>
    <x v="3"/>
    <x v="3"/>
    <m/>
    <n v="32438.84"/>
    <m/>
    <n v="0"/>
  </r>
  <r>
    <d v="2022-09-30T00:00:00"/>
    <d v="2022-09-19T00:00:00"/>
    <s v="1475785"/>
    <x v="8"/>
    <s v="5"/>
    <s v="5-1"/>
    <m/>
    <m/>
    <s v="Casa Del Camba Hotel &amp; Restaurant"/>
    <s v="To payment of meals and snacks served during the conduct of Membership orientation of Malimpin "/>
    <x v="5"/>
    <x v="5"/>
    <n v="11900"/>
    <m/>
    <s v="ASA 220062 / 210072"/>
    <n v="11900"/>
  </r>
  <r>
    <d v="2022-09-30T00:00:00"/>
    <d v="2022-09-19T00:00:00"/>
    <s v="1475785"/>
    <x v="8"/>
    <s v="5"/>
    <s v="5-1"/>
    <m/>
    <m/>
    <s v="Casa Del Camba Hotel &amp; Restaurant"/>
    <s v="To payment of meals and snacks served during the conduct of Membership orientation of Malimpin "/>
    <x v="6"/>
    <x v="6"/>
    <m/>
    <n v="119"/>
    <m/>
    <n v="11781"/>
  </r>
  <r>
    <d v="2022-09-30T00:00:00"/>
    <d v="2022-09-19T00:00:00"/>
    <s v="1475785"/>
    <x v="8"/>
    <s v="5"/>
    <s v="5-1"/>
    <m/>
    <m/>
    <s v="Casa Del Camba Hotel &amp; Restaurant"/>
    <s v="To payment of meals and snacks served during the conduct of Membership orientation of Malimpin "/>
    <x v="2"/>
    <x v="2"/>
    <m/>
    <n v="238"/>
    <m/>
    <n v="11543"/>
  </r>
  <r>
    <d v="2022-09-30T00:00:00"/>
    <d v="2022-09-19T00:00:00"/>
    <s v="1475785"/>
    <x v="8"/>
    <s v="5"/>
    <s v="5-1"/>
    <m/>
    <m/>
    <s v="Casa Del Camba Hotel &amp; Restaurant"/>
    <s v="To payment of meals and snacks served during the conduct of Membership orientation of Malimpin "/>
    <x v="3"/>
    <x v="3"/>
    <m/>
    <n v="11543"/>
    <m/>
    <n v="0"/>
  </r>
  <r>
    <d v="2022-09-30T00:00:00"/>
    <d v="2022-09-19T00:00:00"/>
    <s v="1475786"/>
    <x v="8"/>
    <s v="5"/>
    <s v="5-1"/>
    <m/>
    <m/>
    <s v="De Luna Catering Services"/>
    <s v="To Payment of meals and snacks served during the conduct of Membership orientation and Pre-Construction Conference of Minosicuan CIS"/>
    <x v="5"/>
    <x v="5"/>
    <n v="12075"/>
    <m/>
    <s v="ASA 220062"/>
    <n v="12075"/>
  </r>
  <r>
    <d v="2022-09-30T00:00:00"/>
    <d v="2022-09-19T00:00:00"/>
    <s v="1475786"/>
    <x v="8"/>
    <s v="5"/>
    <s v="5-1"/>
    <m/>
    <m/>
    <s v="De Luna Catering Services"/>
    <s v="To Payment of meals and snacks served during the conduct of Membership orientation and Pre-Construction Conference of Minosicuan CIS"/>
    <x v="2"/>
    <x v="2"/>
    <m/>
    <n v="215.63"/>
    <m/>
    <n v="11859.37"/>
  </r>
  <r>
    <d v="2022-09-30T00:00:00"/>
    <d v="2022-09-19T00:00:00"/>
    <s v="1475786"/>
    <x v="8"/>
    <s v="5"/>
    <s v="5-1"/>
    <m/>
    <m/>
    <s v="De Luna Catering Services"/>
    <s v="To Payment of meals and snacks served during the conduct of Membership orientation and Pre-Construction Conference of Minosicuan CIS"/>
    <x v="1"/>
    <x v="1"/>
    <m/>
    <n v="539.05999999999995"/>
    <m/>
    <n v="11320.31"/>
  </r>
  <r>
    <d v="2022-09-30T00:00:00"/>
    <d v="2022-09-19T00:00:00"/>
    <s v="1475786"/>
    <x v="8"/>
    <s v="5"/>
    <s v="5-1"/>
    <m/>
    <m/>
    <s v="De Luna Catering Services"/>
    <s v="To Payment of meals and snacks served during the conduct of Membership orientation and Pre-Construction Conference of Minosicuan CIS"/>
    <x v="3"/>
    <x v="3"/>
    <m/>
    <n v="11320.31"/>
    <m/>
    <n v="0"/>
  </r>
  <r>
    <d v="2022-09-30T00:00:00"/>
    <d v="2022-09-19T00:00:00"/>
    <s v="1475787"/>
    <x v="8"/>
    <s v="5"/>
    <s v="5-1"/>
    <m/>
    <m/>
    <s v="De Luna Catering Services"/>
    <s v="To payment of meals and snacks served during the conduct of Membership orientation of Calmay"/>
    <x v="5"/>
    <x v="5"/>
    <n v="10350"/>
    <m/>
    <s v="ASA 220062"/>
    <n v="10350"/>
  </r>
  <r>
    <d v="2022-09-30T00:00:00"/>
    <d v="2022-09-19T00:00:00"/>
    <s v="1475787"/>
    <x v="8"/>
    <s v="5"/>
    <s v="5-1"/>
    <m/>
    <m/>
    <s v="De Luna Catering Services"/>
    <s v="To payment of meals and snacks served during the conduct of Membership orientation of Calmay"/>
    <x v="2"/>
    <x v="2"/>
    <m/>
    <n v="184.82"/>
    <m/>
    <n v="10165.18"/>
  </r>
  <r>
    <d v="2022-09-30T00:00:00"/>
    <d v="2022-09-19T00:00:00"/>
    <s v="1475787"/>
    <x v="8"/>
    <s v="5"/>
    <s v="5-1"/>
    <m/>
    <m/>
    <s v="De Luna Catering Services"/>
    <s v="To payment of meals and snacks served during the conduct of Membership orientation of Calmay"/>
    <x v="1"/>
    <x v="1"/>
    <m/>
    <n v="462.05"/>
    <m/>
    <n v="9703.1299999999992"/>
  </r>
  <r>
    <d v="2022-09-30T00:00:00"/>
    <d v="2022-09-19T00:00:00"/>
    <s v="1475787"/>
    <x v="8"/>
    <s v="5"/>
    <s v="5-1"/>
    <m/>
    <m/>
    <s v="De Luna Catering Services"/>
    <s v="To payment of meals and snacks served during the conduct of Membership orientation of Calmay"/>
    <x v="3"/>
    <x v="3"/>
    <m/>
    <n v="9703.1299999999992"/>
    <m/>
    <n v="0"/>
  </r>
  <r>
    <d v="2022-09-30T00:00:00"/>
    <d v="2022-09-20T00:00:00"/>
    <s v="1475788"/>
    <x v="8"/>
    <s v="5"/>
    <s v="5-1"/>
    <m/>
    <m/>
    <s v="Dagupan Audio Electronics &amp; Electrical MDSG."/>
    <s v="To Payment of Office Equipment(Drone Camera) for use of CARP-IC"/>
    <x v="34"/>
    <x v="34"/>
    <n v="125000"/>
    <m/>
    <s v="ASA 210017"/>
    <n v="125000"/>
  </r>
  <r>
    <d v="2022-09-30T00:00:00"/>
    <d v="2022-09-20T00:00:00"/>
    <s v="1475788"/>
    <x v="8"/>
    <s v="5"/>
    <s v="5-1"/>
    <m/>
    <m/>
    <s v="Dagupan Audio Electronics &amp; Electrical MDSG."/>
    <s v="To Payment of Office Equipment(Drone Camera) for use of CARP-IC"/>
    <x v="6"/>
    <x v="6"/>
    <m/>
    <n v="1116.07"/>
    <m/>
    <n v="123883.93"/>
  </r>
  <r>
    <d v="2022-09-30T00:00:00"/>
    <d v="2022-09-20T00:00:00"/>
    <s v="1475788"/>
    <x v="8"/>
    <s v="5"/>
    <s v="5-1"/>
    <m/>
    <m/>
    <s v="Dagupan Audio Electronics &amp; Electrical MDSG."/>
    <s v="To Payment of Office Equipment(Drone Camera) for use of CARP-IC"/>
    <x v="1"/>
    <x v="1"/>
    <m/>
    <n v="5580.36"/>
    <m/>
    <n v="118303.57"/>
  </r>
  <r>
    <d v="2022-09-30T00:00:00"/>
    <d v="2022-09-20T00:00:00"/>
    <s v="1475788"/>
    <x v="8"/>
    <s v="5"/>
    <s v="5-1"/>
    <m/>
    <m/>
    <s v="Dagupan Audio Electronics &amp; Electrical MDSG."/>
    <s v="To Payment of Office Equipment(Drone Camera) for use of CARP-IC"/>
    <x v="3"/>
    <x v="3"/>
    <m/>
    <n v="118303.57"/>
    <m/>
    <n v="0"/>
  </r>
  <r>
    <d v="2022-09-30T00:00:00"/>
    <d v="2022-09-21T00:00:00"/>
    <s v="1475789"/>
    <x v="8"/>
    <s v="5"/>
    <s v="5-1"/>
    <m/>
    <m/>
    <s v="G.S.I.S"/>
    <s v="To remit monthly GSIS premiums both personal &amp; government share (CARP-PIMO) period of September 2022"/>
    <x v="15"/>
    <x v="15"/>
    <n v="9533.8799999999992"/>
    <m/>
    <m/>
    <n v="9533.8799999999992"/>
  </r>
  <r>
    <d v="2022-09-30T00:00:00"/>
    <d v="2022-09-21T00:00:00"/>
    <s v="1475789"/>
    <x v="8"/>
    <s v="5"/>
    <s v="5-1"/>
    <m/>
    <m/>
    <s v="G.S.I.S"/>
    <s v="To remit monthly GSIS premiums both personal &amp; government share (CARP-PIMO) period of September 2022"/>
    <x v="10"/>
    <x v="10"/>
    <n v="7150.41"/>
    <m/>
    <m/>
    <n v="16684.29"/>
  </r>
  <r>
    <d v="2022-09-30T00:00:00"/>
    <d v="2022-09-21T00:00:00"/>
    <s v="1475789"/>
    <x v="8"/>
    <s v="5"/>
    <s v="5-1"/>
    <m/>
    <m/>
    <s v="G.S.I.S"/>
    <s v="To remit monthly GSIS premiums both personal &amp; government share (CARP-PIMO) period of September 2022"/>
    <x v="16"/>
    <x v="16"/>
    <n v="300"/>
    <m/>
    <m/>
    <n v="16984.29"/>
  </r>
  <r>
    <d v="2022-09-30T00:00:00"/>
    <d v="2022-09-21T00:00:00"/>
    <s v="1475789"/>
    <x v="8"/>
    <s v="5"/>
    <s v="5-1"/>
    <m/>
    <m/>
    <s v="G.S.I.S"/>
    <s v="To remit monthly GSIS premiums both personal &amp; government share (CARP-PIMO) period of September 2022"/>
    <x v="3"/>
    <x v="3"/>
    <m/>
    <n v="16984.29"/>
    <m/>
    <n v="0"/>
  </r>
  <r>
    <d v="2022-09-30T00:00:00"/>
    <d v="2022-09-21T00:00:00"/>
    <s v="1475790"/>
    <x v="8"/>
    <s v="5"/>
    <s v="5-1"/>
    <m/>
    <m/>
    <s v="H.D.M.F"/>
    <s v="To remit monthly HDMF premiums both personal &amp; government share (CARP-PIMO) for the period of September 2022"/>
    <x v="17"/>
    <x v="17"/>
    <n v="300"/>
    <m/>
    <m/>
    <n v="300"/>
  </r>
  <r>
    <d v="2022-09-30T00:00:00"/>
    <d v="2022-09-21T00:00:00"/>
    <s v="1475790"/>
    <x v="8"/>
    <s v="5"/>
    <s v="5-1"/>
    <m/>
    <m/>
    <s v="H.D.M.F"/>
    <s v="To remit monthly HDMF premiums both personal &amp; government share (CARP-PIMO) for the period of September 2022"/>
    <x v="11"/>
    <x v="11"/>
    <n v="1588.98"/>
    <m/>
    <m/>
    <n v="1888.98"/>
  </r>
  <r>
    <d v="2022-09-30T00:00:00"/>
    <d v="2022-09-21T00:00:00"/>
    <s v="1475790"/>
    <x v="8"/>
    <s v="5"/>
    <s v="5-1"/>
    <m/>
    <m/>
    <s v="H.D.M.F"/>
    <s v="To remit monthly HDMF premiums both personal &amp; government share (CARP-PIMO) for the period of September 2022"/>
    <x v="3"/>
    <x v="3"/>
    <m/>
    <n v="1888.98"/>
    <m/>
    <n v="0"/>
  </r>
  <r>
    <d v="2022-09-30T00:00:00"/>
    <d v="2022-09-27T00:00:00"/>
    <s v="1475791"/>
    <x v="8"/>
    <s v="5"/>
    <s v="5-1"/>
    <m/>
    <m/>
    <s v="Philippine Health Insurance Corporation"/>
    <s v="To Remit monthly PHIC premiums both personal &amp; government share of PIMO(CARP) september 2022"/>
    <x v="18"/>
    <x v="18"/>
    <n v="1588.98"/>
    <m/>
    <m/>
    <n v="1588.98"/>
  </r>
  <r>
    <d v="2022-09-30T00:00:00"/>
    <d v="2022-09-27T00:00:00"/>
    <s v="1475791"/>
    <x v="8"/>
    <s v="5"/>
    <s v="5-1"/>
    <m/>
    <m/>
    <s v="Philippine Health Insurance Corporation"/>
    <s v="To Remit monthly PHIC premiums both personal &amp; government share of PIMO(CARP) september 2022"/>
    <x v="13"/>
    <x v="13"/>
    <n v="1588.98"/>
    <m/>
    <m/>
    <n v="3177.96"/>
  </r>
  <r>
    <d v="2022-09-30T00:00:00"/>
    <d v="2022-09-27T00:00:00"/>
    <s v="1475791"/>
    <x v="8"/>
    <s v="5"/>
    <s v="5-1"/>
    <m/>
    <m/>
    <s v="Philippine Health Insurance Corporation"/>
    <s v="To Remit monthly PHIC premiums both personal &amp; government share of PIMO(CARP) september 2022"/>
    <x v="3"/>
    <x v="3"/>
    <m/>
    <n v="3177.96"/>
    <m/>
    <n v="0"/>
  </r>
  <r>
    <d v="2022-09-30T00:00:00"/>
    <d v="2022-09-30T00:00:00"/>
    <s v="1475792"/>
    <x v="8"/>
    <s v="5"/>
    <s v="5-1"/>
    <m/>
    <m/>
    <s v="LBP for the account of BIR"/>
    <s v="Payment of withholding final VAT 2%-1% (PIMO March,2022)"/>
    <x v="2"/>
    <x v="2"/>
    <n v="638.45000000000005"/>
    <m/>
    <m/>
    <n v="638.45000000000005"/>
  </r>
  <r>
    <d v="2022-09-30T00:00:00"/>
    <d v="2022-09-30T00:00:00"/>
    <s v="1475792"/>
    <x v="8"/>
    <s v="5"/>
    <s v="5-1"/>
    <m/>
    <m/>
    <s v="LBP for the account of BIR"/>
    <s v="Payment of withholding final VAT 2%-1% (PIMO March,2022)"/>
    <x v="6"/>
    <x v="6"/>
    <n v="3108.69"/>
    <m/>
    <m/>
    <n v="3747.14"/>
  </r>
  <r>
    <d v="2022-09-30T00:00:00"/>
    <d v="2022-09-30T00:00:00"/>
    <s v="1475792"/>
    <x v="8"/>
    <s v="5"/>
    <s v="5-1"/>
    <m/>
    <m/>
    <s v="LBP for the account of BIR"/>
    <s v="Payment of withholding final VAT 2%-1% (PIMO March,2022)"/>
    <x v="3"/>
    <x v="3"/>
    <m/>
    <n v="3747.14"/>
    <m/>
    <n v="0"/>
  </r>
  <r>
    <d v="2022-09-30T00:00:00"/>
    <d v="2022-09-30T00:00:00"/>
    <s v="1475793"/>
    <x v="8"/>
    <s v="5"/>
    <s v="5-1"/>
    <m/>
    <m/>
    <s v="LBP for the account of BIR"/>
    <s v="Payment of withholding final VAT 5%-1% (PIMO March,2022)"/>
    <x v="1"/>
    <x v="1"/>
    <n v="16544.55"/>
    <m/>
    <m/>
    <n v="16544.55"/>
  </r>
  <r>
    <d v="2022-09-30T00:00:00"/>
    <d v="2022-09-30T00:00:00"/>
    <s v="1475793"/>
    <x v="8"/>
    <s v="5"/>
    <s v="5-1"/>
    <m/>
    <m/>
    <s v="LBP for the account of BIR"/>
    <s v="Payment of withholding final VAT 5%-1% (PIMO March,2022)"/>
    <x v="6"/>
    <x v="6"/>
    <n v="119"/>
    <m/>
    <m/>
    <n v="16663.55"/>
  </r>
  <r>
    <d v="2022-09-30T00:00:00"/>
    <d v="2022-09-30T00:00:00"/>
    <s v="1475793"/>
    <x v="8"/>
    <s v="5"/>
    <s v="5-1"/>
    <m/>
    <m/>
    <s v="LBP for the account of BIR"/>
    <s v="Payment of withholding final VAT 5%-1% (PIMO March,2022)"/>
    <x v="3"/>
    <x v="3"/>
    <m/>
    <n v="16663.55"/>
    <m/>
    <n v="0"/>
  </r>
  <r>
    <d v="2022-09-30T00:00:00"/>
    <d v="2022-09-30T00:00:00"/>
    <s v="1475794"/>
    <x v="8"/>
    <s v="5"/>
    <s v="5-1"/>
    <m/>
    <m/>
    <s v="Bureau of Treasury "/>
    <s v="To remit Interest Income under Fund 501 CARP for the 3rd Quarter CY 2022"/>
    <x v="26"/>
    <x v="26"/>
    <n v="634.37"/>
    <m/>
    <m/>
    <n v="634.37"/>
  </r>
  <r>
    <d v="2022-09-30T00:00:00"/>
    <d v="2022-09-30T00:00:00"/>
    <s v="1475794"/>
    <x v="8"/>
    <s v="5"/>
    <s v="5-1"/>
    <m/>
    <m/>
    <s v="Bureau of Treasury "/>
    <s v="Interest Income under Fund 501 CARP (3rd Quarter CY 2022)"/>
    <x v="3"/>
    <x v="3"/>
    <m/>
    <n v="634.37"/>
    <m/>
    <n v="0"/>
  </r>
  <r>
    <d v="2022-10-31T00:00:00"/>
    <d v="2022-10-11T00:00:00"/>
    <s v="1475795"/>
    <x v="9"/>
    <s v="5"/>
    <s v="5-1"/>
    <m/>
    <m/>
    <s v="D' Brothers International Trading Corporation"/>
    <s v="To first(1st) partial payment of contract under R1-PIMO-22-01-016 CALMAY SPIP located in Laoac"/>
    <x v="35"/>
    <x v="35"/>
    <n v="2453515.9"/>
    <m/>
    <s v="ASA 220052 cw"/>
    <n v="2453515.9"/>
  </r>
  <r>
    <d v="2022-10-31T00:00:00"/>
    <d v="2022-10-11T00:00:00"/>
    <s v="1475795"/>
    <x v="9"/>
    <s v="5"/>
    <s v="5-1"/>
    <m/>
    <m/>
    <s v="D' Brothers International Trading Corporation"/>
    <s v="To first(1st) partial payment of contract under R1-PIMO-22-01-016 CALMAY SPIP located in Laoac"/>
    <x v="1"/>
    <x v="1"/>
    <m/>
    <n v="109531.96"/>
    <s v="ASA 220052"/>
    <n v="2343983.94"/>
  </r>
  <r>
    <d v="2022-10-31T00:00:00"/>
    <d v="2022-10-11T00:00:00"/>
    <s v="1475795"/>
    <x v="9"/>
    <s v="5"/>
    <s v="5-1"/>
    <m/>
    <m/>
    <s v="D' Brothers International Trading Corporation"/>
    <s v="To first(1st) partial payment of contract under R1-PIMO-22-01-016 CALMAY SPIP located in Laoac"/>
    <x v="2"/>
    <x v="2"/>
    <m/>
    <n v="43812.78"/>
    <s v="ASA 220052"/>
    <n v="2300171.16"/>
  </r>
  <r>
    <d v="2022-10-31T00:00:00"/>
    <d v="2022-10-11T00:00:00"/>
    <s v="1475795"/>
    <x v="9"/>
    <s v="5"/>
    <s v="5-1"/>
    <m/>
    <m/>
    <s v="D' Brothers International Trading Corporation"/>
    <s v="To first(1st) partial payment of contract under R1-PIMO-22-01-016 CALMAY SPIP located in Laoac"/>
    <x v="4"/>
    <x v="4"/>
    <m/>
    <n v="197792.84"/>
    <m/>
    <n v="2102378.3199999998"/>
  </r>
  <r>
    <d v="2022-10-31T00:00:00"/>
    <d v="2022-10-11T00:00:00"/>
    <s v="1475795"/>
    <x v="9"/>
    <s v="5"/>
    <s v="5-1"/>
    <m/>
    <m/>
    <s v="D' Brothers International Trading Corporation"/>
    <s v="To first(1st) partial payment of contract under R1-PIMO-22-01-016 CALMAY SPIP located in Laoac"/>
    <x v="3"/>
    <x v="3"/>
    <m/>
    <n v="2102378.3199999998"/>
    <m/>
    <n v="0"/>
  </r>
  <r>
    <d v="2022-10-31T00:00:00"/>
    <d v="2022-10-12T00:00:00"/>
    <s v="1475797"/>
    <x v="9"/>
    <s v="5"/>
    <s v="5-1"/>
    <m/>
    <m/>
    <s v="Xaviery Computer Center"/>
    <s v="To Payment of ICT Equipment(Laptop Core i7)"/>
    <x v="22"/>
    <x v="22"/>
    <n v="65750"/>
    <m/>
    <s v="ASA 210017 CW"/>
    <n v="65750"/>
  </r>
  <r>
    <d v="2022-10-31T00:00:00"/>
    <d v="2022-10-12T00:00:00"/>
    <s v="1475797"/>
    <x v="9"/>
    <s v="5"/>
    <s v="5-1"/>
    <m/>
    <m/>
    <s v="Xaviery Computer Center"/>
    <s v="To Payment of ICT Equipment(Laptop Core i7)"/>
    <x v="6"/>
    <x v="6"/>
    <m/>
    <n v="587.04999999999995"/>
    <s v="ASA 210017 CW"/>
    <n v="65162.95"/>
  </r>
  <r>
    <d v="2022-10-31T00:00:00"/>
    <d v="2022-10-12T00:00:00"/>
    <s v="1475797"/>
    <x v="9"/>
    <s v="5"/>
    <s v="5-1"/>
    <m/>
    <m/>
    <s v="Xaviery Computer Center"/>
    <s v="To Payment of ICT Equipment(Laptop Core i7)"/>
    <x v="1"/>
    <x v="1"/>
    <m/>
    <n v="2935.27"/>
    <s v="ASA 210017 CW"/>
    <n v="62227.68"/>
  </r>
  <r>
    <d v="2022-10-31T00:00:00"/>
    <d v="2022-10-12T00:00:00"/>
    <s v="1475797"/>
    <x v="9"/>
    <s v="5"/>
    <s v="5-1"/>
    <m/>
    <m/>
    <s v="Xaviery Computer Center"/>
    <s v="To Payment of ICT Equipment(Laptop Core i7)"/>
    <x v="3"/>
    <x v="3"/>
    <m/>
    <n v="62227.68"/>
    <m/>
    <n v="0"/>
  </r>
  <r>
    <d v="2022-10-31T00:00:00"/>
    <d v="2022-10-13T00:00:00"/>
    <s v="1475798"/>
    <x v="9"/>
    <s v="5"/>
    <s v="5-1"/>
    <m/>
    <m/>
    <s v="Casa Del Camba Hotel &amp; Restaurant"/>
    <s v="To Payment of meals and snacks served of Malimpin Farmers Agriculture Cooperative(MFAC) on September 21-23, 2022"/>
    <x v="5"/>
    <x v="5"/>
    <n v="43600"/>
    <m/>
    <s v="220062/ 210099/ 220136"/>
    <n v="43600"/>
  </r>
  <r>
    <d v="2022-10-31T00:00:00"/>
    <d v="2022-10-13T00:00:00"/>
    <s v="1475798"/>
    <x v="9"/>
    <s v="5"/>
    <s v="5-1"/>
    <m/>
    <m/>
    <s v="Casa Del Camba Hotel &amp; Restaurant"/>
    <s v="To Payment of meals and snacks served of Malimpin Farmers Agriculture Cooperative(MFAC) on September 21-23, 2022"/>
    <x v="6"/>
    <x v="6"/>
    <m/>
    <n v="436"/>
    <s v="ASA 220062 IDP"/>
    <n v="43164"/>
  </r>
  <r>
    <d v="2022-10-31T00:00:00"/>
    <d v="2022-10-13T00:00:00"/>
    <s v="1475798"/>
    <x v="9"/>
    <s v="5"/>
    <s v="5-1"/>
    <m/>
    <m/>
    <s v="Casa Del Camba Hotel &amp; Restaurant"/>
    <s v="To Payment of meals and snacks served of Malimpin Farmers Agriculture Cooperative(MFAC) on September 21-23, 2022"/>
    <x v="2"/>
    <x v="2"/>
    <m/>
    <n v="872"/>
    <s v="ASA 220062 IDP"/>
    <n v="42292"/>
  </r>
  <r>
    <d v="2022-10-31T00:00:00"/>
    <d v="2022-10-13T00:00:00"/>
    <s v="1475798"/>
    <x v="9"/>
    <s v="5"/>
    <s v="5-1"/>
    <m/>
    <m/>
    <s v="Casa Del Camba Hotel &amp; Restaurant"/>
    <s v="To Payment of meals and snacks served of Malimpin Farmers Agriculture Cooperative(MFAC) on September 21-23, 2022"/>
    <x v="3"/>
    <x v="3"/>
    <m/>
    <n v="42292"/>
    <m/>
    <n v="0"/>
  </r>
  <r>
    <d v="2022-10-31T00:00:00"/>
    <d v="2022-10-13T00:00:00"/>
    <s v="Payroll202210016"/>
    <x v="9"/>
    <s v="5"/>
    <s v="5-1"/>
    <m/>
    <m/>
    <s v="E.Delos Santos &amp; 2 others"/>
    <s v="Payment of Salaries and Allowances of E.Delos Santos &amp; 2 others of NIA-PIMO(CARP) October 2022"/>
    <x v="7"/>
    <x v="7"/>
    <n v="79449"/>
    <m/>
    <s v="PS 220121"/>
    <n v="79449"/>
  </r>
  <r>
    <d v="2022-10-31T00:00:00"/>
    <d v="2022-10-13T00:00:00"/>
    <s v="Payroll202210016"/>
    <x v="9"/>
    <s v="5"/>
    <s v="5-1"/>
    <m/>
    <m/>
    <s v="E.Delos Santos &amp; 2 others"/>
    <s v="Payment of Salaries and Allowances of E.Delos Santos &amp; 2 others of NIA-PIMO(CARP) October 2022"/>
    <x v="8"/>
    <x v="8"/>
    <n v="6000"/>
    <m/>
    <m/>
    <n v="85449"/>
  </r>
  <r>
    <d v="2022-10-31T00:00:00"/>
    <d v="2022-10-13T00:00:00"/>
    <s v="Payroll202210016"/>
    <x v="9"/>
    <s v="5"/>
    <s v="5-1"/>
    <m/>
    <m/>
    <s v="E.Delos Santos &amp; 2 others"/>
    <s v="Payment of Salaries and Allowances of E.Delos Santos &amp; 2 others of NIA-PIMO(CARP) October 2022"/>
    <x v="9"/>
    <x v="9"/>
    <m/>
    <n v="1706.01"/>
    <m/>
    <n v="83742.990000000005"/>
  </r>
  <r>
    <d v="2022-10-31T00:00:00"/>
    <d v="2022-10-13T00:00:00"/>
    <s v="Payroll202210016"/>
    <x v="9"/>
    <s v="5"/>
    <s v="5-1"/>
    <m/>
    <m/>
    <s v="E.Delos Santos &amp; 2 others"/>
    <s v="Payment of Salaries and Allowances of E.Delos Santos &amp; 2 others of NIA-PIMO(CARP) October 2022"/>
    <x v="10"/>
    <x v="10"/>
    <m/>
    <n v="7150.41"/>
    <m/>
    <n v="76592.58"/>
  </r>
  <r>
    <d v="2022-10-31T00:00:00"/>
    <d v="2022-10-13T00:00:00"/>
    <s v="Payroll202210016"/>
    <x v="9"/>
    <s v="5"/>
    <s v="5-1"/>
    <m/>
    <m/>
    <s v="E.Delos Santos &amp; 2 others"/>
    <s v="Payment of Salaries and Allowances of E.Delos Santos &amp; 2 others of NIA-PIMO(CARP) October 2022"/>
    <x v="11"/>
    <x v="11"/>
    <m/>
    <n v="1588.98"/>
    <m/>
    <n v="75003.600000000006"/>
  </r>
  <r>
    <d v="2022-10-31T00:00:00"/>
    <d v="2022-10-13T00:00:00"/>
    <s v="Payroll202210016"/>
    <x v="9"/>
    <s v="5"/>
    <s v="5-1"/>
    <m/>
    <m/>
    <s v="E.Delos Santos &amp; 2 others"/>
    <s v="Payment of Salaries and Allowances of E.Delos Santos &amp; 2 others of NIA-PIMO(CARP) October 2022"/>
    <x v="12"/>
    <x v="12"/>
    <m/>
    <n v="4000"/>
    <m/>
    <n v="71003.600000000006"/>
  </r>
  <r>
    <d v="2022-10-31T00:00:00"/>
    <d v="2022-10-13T00:00:00"/>
    <s v="Payroll202210016"/>
    <x v="9"/>
    <s v="5"/>
    <s v="5-1"/>
    <m/>
    <m/>
    <s v="E.Delos Santos &amp; 2 others"/>
    <s v="Payment of Salaries and Allowances of E.Delos Santos &amp; 2 others of NIA-PIMO(CARP) October 2022"/>
    <x v="13"/>
    <x v="13"/>
    <m/>
    <n v="1588.98"/>
    <m/>
    <n v="69414.62"/>
  </r>
  <r>
    <d v="2022-10-31T00:00:00"/>
    <d v="2022-10-13T00:00:00"/>
    <s v="Payroll202210016"/>
    <x v="9"/>
    <s v="5"/>
    <s v="5-1"/>
    <m/>
    <m/>
    <s v="E.Delos Santos &amp; 2 others"/>
    <s v="Payment of Salaries and Allowances of E.Delos Santos &amp; 2 others of NIA-PIMO(CARP) October 2022"/>
    <x v="3"/>
    <x v="3"/>
    <m/>
    <n v="34707.32"/>
    <m/>
    <n v="34707.300000000003"/>
  </r>
  <r>
    <d v="2022-10-31T00:00:00"/>
    <d v="2022-10-28T00:00:00"/>
    <s v="Payroll202210016A"/>
    <x v="9"/>
    <s v="5"/>
    <s v="5-1"/>
    <m/>
    <m/>
    <s v="E.Delos Santos &amp; 2 others"/>
    <s v="Payment of Salaries and Allowances of E.Delos Santos &amp; 2 others of NIA-PIMO(CARP) October 2022"/>
    <x v="3"/>
    <x v="3"/>
    <m/>
    <n v="34707.300000000003"/>
    <m/>
    <n v="0"/>
  </r>
  <r>
    <d v="2022-10-31T00:00:00"/>
    <d v="2022-10-17T00:00:00"/>
    <s v="1475799"/>
    <x v="9"/>
    <s v="5"/>
    <s v="5-1"/>
    <m/>
    <m/>
    <s v="G.S.I.S"/>
    <s v="To Remit monthly GSIS premiums E.Delos Santos &amp; 2 others of NIA Pangasinan IMO(CARP),October 2022"/>
    <x v="15"/>
    <x v="15"/>
    <n v="9533.8799999999992"/>
    <m/>
    <s v="PS 220121"/>
    <n v="9533.8799999999992"/>
  </r>
  <r>
    <d v="2022-10-31T00:00:00"/>
    <d v="2022-10-17T00:00:00"/>
    <s v="1475799"/>
    <x v="9"/>
    <s v="5"/>
    <s v="5-1"/>
    <m/>
    <m/>
    <s v="G.S.I.S"/>
    <s v="To Remit monthly GSIS premiums E.Delos Santos &amp; 2 others of NIA Pangasinan IMO(CARP),October 2022"/>
    <x v="16"/>
    <x v="16"/>
    <n v="300"/>
    <m/>
    <m/>
    <n v="9833.8799999999992"/>
  </r>
  <r>
    <d v="2022-10-31T00:00:00"/>
    <d v="2022-10-17T00:00:00"/>
    <s v="1475799"/>
    <x v="9"/>
    <s v="5"/>
    <s v="5-1"/>
    <m/>
    <m/>
    <s v="G.S.I.S"/>
    <s v="To Remit monthly GSIS premiums E.Delos Santos &amp; 2 others of NIA Pangasinan IMO(CARP),October 2022"/>
    <x v="10"/>
    <x v="10"/>
    <n v="7150.41"/>
    <m/>
    <m/>
    <n v="16984.29"/>
  </r>
  <r>
    <d v="2022-10-31T00:00:00"/>
    <d v="2022-10-17T00:00:00"/>
    <s v="1475799"/>
    <x v="9"/>
    <s v="5"/>
    <s v="5-1"/>
    <m/>
    <m/>
    <s v="G.S.I.S"/>
    <s v="To Remit monthly GSIS premiums E.Delos Santos &amp; 2 others of NIA Pangasinan IMO(CARP),October 2022"/>
    <x v="3"/>
    <x v="3"/>
    <m/>
    <n v="16984.29"/>
    <m/>
    <n v="0"/>
  </r>
  <r>
    <d v="2022-10-31T00:00:00"/>
    <d v="2022-10-17T00:00:00"/>
    <s v="1475800"/>
    <x v="9"/>
    <s v="5"/>
    <s v="5-1"/>
    <m/>
    <m/>
    <s v="H.D.M.F"/>
    <s v="To Remit monthly HDMF premiums (CARP) October 2022"/>
    <x v="17"/>
    <x v="17"/>
    <n v="300"/>
    <m/>
    <s v="PS 220121"/>
    <n v="300"/>
  </r>
  <r>
    <d v="2022-10-31T00:00:00"/>
    <d v="2022-10-17T00:00:00"/>
    <s v="1475800"/>
    <x v="9"/>
    <s v="5"/>
    <s v="5-1"/>
    <m/>
    <m/>
    <s v="H.D.M.F"/>
    <s v="To Remit monthly HDMF premiums (CARP) October 2022"/>
    <x v="11"/>
    <x v="11"/>
    <n v="1588.98"/>
    <m/>
    <m/>
    <n v="1888.98"/>
  </r>
  <r>
    <d v="2022-10-31T00:00:00"/>
    <d v="2022-10-17T00:00:00"/>
    <s v="1475800"/>
    <x v="9"/>
    <s v="5"/>
    <s v="5-1"/>
    <m/>
    <m/>
    <s v="H.D.M.F"/>
    <s v="To Remit monthly HDMF premiums (CARP) October 2022"/>
    <x v="3"/>
    <x v="3"/>
    <m/>
    <n v="1888.98"/>
    <m/>
    <n v="0"/>
  </r>
  <r>
    <d v="2022-10-31T00:00:00"/>
    <d v="2022-10-17T00:00:00"/>
    <s v="1475801"/>
    <x v="9"/>
    <s v="5"/>
    <s v="5-1"/>
    <m/>
    <m/>
    <s v="H.D.M.F"/>
    <s v="To remit monthly HDMF M2 E(CARP) October 2022"/>
    <x v="12"/>
    <x v="12"/>
    <n v="4000"/>
    <m/>
    <m/>
    <n v="4000"/>
  </r>
  <r>
    <d v="2022-10-31T00:00:00"/>
    <d v="2022-10-17T00:00:00"/>
    <s v="1475801"/>
    <x v="9"/>
    <s v="5"/>
    <s v="5-1"/>
    <m/>
    <m/>
    <s v="H.D.M.F"/>
    <s v="To remit monthly HDMF M2 E(CARP) October 2022"/>
    <x v="3"/>
    <x v="3"/>
    <m/>
    <n v="4000"/>
    <m/>
    <n v="0"/>
  </r>
  <r>
    <d v="2022-10-31T00:00:00"/>
    <d v="2022-10-17T00:00:00"/>
    <s v="1475802"/>
    <x v="9"/>
    <s v="5"/>
    <s v="5-1"/>
    <m/>
    <m/>
    <s v="Philippine Health Insurance Corporation"/>
    <s v="To remit monthly PHIC premiums(CARP), October 2022"/>
    <x v="18"/>
    <x v="18"/>
    <n v="1588.98"/>
    <m/>
    <s v="PS 220121"/>
    <n v="1588.98"/>
  </r>
  <r>
    <d v="2022-10-31T00:00:00"/>
    <d v="2022-10-17T00:00:00"/>
    <s v="1475802"/>
    <x v="9"/>
    <s v="5"/>
    <s v="5-1"/>
    <m/>
    <m/>
    <s v="Philippine Health Insurance Corporation"/>
    <s v="To remit monthly PHIC premiums(CARP), October 2022"/>
    <x v="13"/>
    <x v="13"/>
    <n v="1588.98"/>
    <m/>
    <m/>
    <n v="3177.96"/>
  </r>
  <r>
    <d v="2022-10-31T00:00:00"/>
    <d v="2022-10-17T00:00:00"/>
    <s v="1475802"/>
    <x v="9"/>
    <s v="5"/>
    <s v="5-1"/>
    <m/>
    <m/>
    <s v="Philippine Health Insurance Corporation"/>
    <s v="To remit monthly PHIC premiums(CARP), October 2022"/>
    <x v="3"/>
    <x v="3"/>
    <m/>
    <n v="3177.96"/>
    <m/>
    <n v="0"/>
  </r>
  <r>
    <d v="2022-10-31T00:00:00"/>
    <d v="2022-10-17T00:00:00"/>
    <s v="1475803"/>
    <x v="9"/>
    <s v="5"/>
    <s v="5-1"/>
    <m/>
    <m/>
    <s v="LBP for the account of BIR"/>
    <s v="To remit Witholding Tax on Compensation of E.Delos Santos &amp; 2 others of NIA Pangasinan IMO(CARP),Urdaneta City Pangasinan for the period of October 2022"/>
    <x v="9"/>
    <x v="9"/>
    <n v="1706.01"/>
    <m/>
    <m/>
    <n v="1706.01"/>
  </r>
  <r>
    <d v="2022-10-31T00:00:00"/>
    <d v="2022-10-17T00:00:00"/>
    <s v="1475803"/>
    <x v="9"/>
    <s v="5"/>
    <s v="5-1"/>
    <m/>
    <m/>
    <s v="LBP for the account of BIR"/>
    <s v="To remit Witholding Tax on Compensation of E.Delos Santos &amp; 2 others of NIA Pangasinan IMO(CARP),Urdaneta City Pangasinan for the period of October 2022"/>
    <x v="3"/>
    <x v="3"/>
    <m/>
    <n v="1706.01"/>
    <m/>
    <n v="0"/>
  </r>
  <r>
    <d v="2022-10-31T00:00:00"/>
    <d v="2022-10-25T00:00:00"/>
    <s v="1475804"/>
    <x v="9"/>
    <s v="5"/>
    <s v="5-1"/>
    <m/>
    <m/>
    <s v="Emerson A. Delos Santos"/>
    <s v="To reimburse the amount paid for accommodation used for final inspection of Luna Este SIP"/>
    <x v="27"/>
    <x v="27"/>
    <n v="9225"/>
    <m/>
    <s v="ASA 210017 CW"/>
    <n v="9225"/>
  </r>
  <r>
    <d v="2022-10-31T00:00:00"/>
    <d v="2022-10-25T00:00:00"/>
    <s v="1475804"/>
    <x v="9"/>
    <s v="5"/>
    <s v="5-1"/>
    <m/>
    <m/>
    <s v="Emerson A. Delos Santos"/>
    <s v="To reimburse the amount paid for accommodation used for final inspection of Luna Este SIP"/>
    <x v="3"/>
    <x v="3"/>
    <m/>
    <n v="9225"/>
    <m/>
    <n v="0"/>
  </r>
  <r>
    <d v="2022-10-31T00:00:00"/>
    <d v="2022-10-28T00:00:00"/>
    <s v="1475805"/>
    <x v="9"/>
    <s v="5"/>
    <s v="5-1"/>
    <m/>
    <m/>
    <s v="LBP for the account of BIR"/>
    <s v="To remit of collection of Witholding of Final VAT(1%-2%) of various suppliers/contractors for the month of October 2022"/>
    <x v="2"/>
    <x v="2"/>
    <n v="44684.78"/>
    <m/>
    <m/>
    <n v="44684.78"/>
  </r>
  <r>
    <d v="2022-10-31T00:00:00"/>
    <d v="2022-10-28T00:00:00"/>
    <s v="1475805"/>
    <x v="9"/>
    <s v="5"/>
    <s v="5-1"/>
    <m/>
    <m/>
    <s v="LBP for the account of BIR"/>
    <s v="To remit of collection of Witholding of Final VAT(1%-2%) of various suppliers/contractors for the month of October 2022"/>
    <x v="6"/>
    <x v="6"/>
    <n v="587.04999999999995"/>
    <m/>
    <m/>
    <n v="45271.83"/>
  </r>
  <r>
    <d v="2022-10-31T00:00:00"/>
    <d v="2022-10-28T00:00:00"/>
    <s v="1475805"/>
    <x v="9"/>
    <s v="5"/>
    <s v="5-1"/>
    <m/>
    <m/>
    <s v="LBP for the account of BIR"/>
    <s v="To remit of collection of Witholding of Final VAT(1%-2%) of various suppliers/contractors for the month of October 2022"/>
    <x v="3"/>
    <x v="3"/>
    <m/>
    <n v="45271.83"/>
    <m/>
    <n v="0"/>
  </r>
  <r>
    <d v="2022-10-31T00:00:00"/>
    <d v="2022-10-28T00:00:00"/>
    <s v="1475806"/>
    <x v="9"/>
    <s v="5"/>
    <s v="5-1"/>
    <m/>
    <m/>
    <s v="LBP for the account of BIR"/>
    <s v="To remit of collection of Witholding of Final VAT(5%-1%) of various suppliers/contractors for the month of October 2022"/>
    <x v="1"/>
    <x v="1"/>
    <n v="112467.23"/>
    <m/>
    <m/>
    <n v="112467.23"/>
  </r>
  <r>
    <d v="2022-10-31T00:00:00"/>
    <d v="2022-10-28T00:00:00"/>
    <s v="1475806"/>
    <x v="9"/>
    <s v="5"/>
    <s v="5-1"/>
    <m/>
    <m/>
    <s v="LBP for the account of BIR"/>
    <s v="To remit of collection of Witholding of Final VAT(5%-1%) of various suppliers/contractors for the month of October 2022"/>
    <x v="6"/>
    <x v="6"/>
    <n v="436"/>
    <m/>
    <m/>
    <n v="112903.23"/>
  </r>
  <r>
    <d v="2022-10-31T00:00:00"/>
    <d v="2022-10-28T00:00:00"/>
    <s v="1475806"/>
    <x v="9"/>
    <s v="5"/>
    <s v="5-1"/>
    <m/>
    <m/>
    <s v="LBP for the account of BIR"/>
    <s v="To remit of collection of Witholding of Final VAT(5%-1%) of various suppliers/contractors for the month of October 2022"/>
    <x v="3"/>
    <x v="3"/>
    <m/>
    <n v="112903.23"/>
    <m/>
    <n v="0"/>
  </r>
  <r>
    <d v="2022-10-31T00:00:00"/>
    <d v="2022-10-28T00:00:00"/>
    <m/>
    <x v="9"/>
    <s v="5"/>
    <s v="5-1"/>
    <m/>
    <m/>
    <s v="Cost of Check Booklet"/>
    <m/>
    <x v="36"/>
    <x v="36"/>
    <n v="600"/>
    <m/>
    <m/>
    <n v="600"/>
  </r>
  <r>
    <d v="2022-10-31T00:00:00"/>
    <d v="2022-10-28T00:00:00"/>
    <m/>
    <x v="9"/>
    <s v="5"/>
    <s v="5-1"/>
    <m/>
    <m/>
    <s v="Cost of Check Booklet"/>
    <m/>
    <x v="3"/>
    <x v="3"/>
    <m/>
    <n v="600"/>
    <m/>
    <n v="0"/>
  </r>
  <r>
    <d v="2022-11-30T00:00:00"/>
    <d v="2022-11-04T00:00:00"/>
    <s v="Payroll202211017"/>
    <x v="10"/>
    <s v="5"/>
    <s v="5-1"/>
    <m/>
    <m/>
    <s v="J.Bergado &amp; 8 Others"/>
    <s v="To Payment of wages of John R. Bergado &amp; 8 others (Job Order) October 16-31,2022"/>
    <x v="25"/>
    <x v="25"/>
    <n v="57768.2"/>
    <m/>
    <s v="ASA 210017 CW Luna Este SIP"/>
    <n v="57768.2"/>
  </r>
  <r>
    <d v="2022-11-30T00:00:00"/>
    <d v="2022-11-04T00:00:00"/>
    <s v="Payroll202211017"/>
    <x v="10"/>
    <s v="5"/>
    <s v="5-1"/>
    <m/>
    <m/>
    <s v="J.Bergado &amp; 8 Others"/>
    <s v="To Payment of wages of John R. Bergado &amp; 8 others (Job Order) October 16-31,2022"/>
    <x v="37"/>
    <x v="37"/>
    <m/>
    <n v="9165.7900000000009"/>
    <m/>
    <n v="48602.41"/>
  </r>
  <r>
    <d v="2022-11-30T00:00:00"/>
    <d v="2022-11-04T00:00:00"/>
    <s v="Payroll202211017"/>
    <x v="10"/>
    <s v="5"/>
    <s v="5-1"/>
    <m/>
    <m/>
    <s v="J.Bergado &amp; 8 Others"/>
    <s v="To Payment of wages of John R. Bergado &amp; 8 others (Job Order) October 16-31,2022"/>
    <x v="3"/>
    <x v="3"/>
    <m/>
    <n v="48602.41"/>
    <m/>
    <n v="0"/>
  </r>
  <r>
    <d v="2022-11-30T00:00:00"/>
    <d v="2022-11-04T00:00:00"/>
    <s v="Payroll202211018"/>
    <x v="10"/>
    <s v="5"/>
    <s v="5-1"/>
    <m/>
    <m/>
    <s v="Gereme Oculto"/>
    <s v="To Payment of wages of Gereme D. Oculto (Job Order) October 16-31,2022"/>
    <x v="25"/>
    <x v="25"/>
    <n v="5971.46"/>
    <m/>
    <s v="ASA 210017 CW Luna Este SIP"/>
    <n v="5971.46"/>
  </r>
  <r>
    <d v="2022-11-30T00:00:00"/>
    <d v="2022-11-04T00:00:00"/>
    <s v="Payroll202211018"/>
    <x v="10"/>
    <s v="5"/>
    <s v="5-1"/>
    <m/>
    <m/>
    <s v="Gereme Oculto"/>
    <s v="To Payment of wages of Gereme D. Oculto (Job Order) October 16-31,2022"/>
    <x v="3"/>
    <x v="3"/>
    <m/>
    <n v="5971.46"/>
    <m/>
    <n v="0"/>
  </r>
  <r>
    <d v="2022-11-30T00:00:00"/>
    <d v="2022-11-04T00:00:00"/>
    <s v="1475807"/>
    <x v="10"/>
    <s v="5"/>
    <s v="5-1"/>
    <m/>
    <m/>
    <s v="Celbros construction and Supplies"/>
    <s v="To Payment of another 7.5% mobilization Contract under R1-PIMO-22-03-041 in connection with the MINOSICUAN CIS (CARP IC CY 2022) located at Umingan,Pangasinan"/>
    <x v="32"/>
    <x v="32"/>
    <n v="998181.31"/>
    <m/>
    <s v="ASA 220076 CW Minisicuan CIS"/>
    <n v="998181.31"/>
  </r>
  <r>
    <d v="2022-11-30T00:00:00"/>
    <d v="2022-11-04T00:00:00"/>
    <s v="1475807"/>
    <x v="10"/>
    <s v="5"/>
    <s v="5-1"/>
    <m/>
    <m/>
    <s v="Celbros construction and Supplies"/>
    <s v="To Payment of another 7.5% mobilization Contract under R1-PIMO-22-03-041 in connection with the MINOSICUAN CIS (CARP IC CY 2022) located at Umingan,Pangasinan"/>
    <x v="3"/>
    <x v="3"/>
    <m/>
    <n v="998181.31"/>
    <m/>
    <n v="0"/>
  </r>
  <r>
    <d v="2022-11-30T00:00:00"/>
    <d v="2022-11-14T00:00:00"/>
    <s v="Payroll202211019"/>
    <x v="10"/>
    <s v="5"/>
    <s v="5-1"/>
    <m/>
    <m/>
    <s v="E.Delos Santos &amp; 2 others"/>
    <s v="Payment of Salaries and Allowances of E.Delos Santos &amp; 2 others of NIA-PIMO(CARP) November 2022"/>
    <x v="7"/>
    <x v="7"/>
    <n v="79449"/>
    <m/>
    <s v="ASA 220121 PS"/>
    <n v="79449"/>
  </r>
  <r>
    <d v="2022-11-30T00:00:00"/>
    <d v="2022-11-14T00:00:00"/>
    <s v="Payroll202211019"/>
    <x v="10"/>
    <s v="5"/>
    <s v="5-1"/>
    <m/>
    <m/>
    <s v="E.Delos Santos &amp; 2 others"/>
    <s v="Payment of Salaries and Allowances of E.Delos Santos &amp; 2 others of NIA-PIMO(CARP) November 2022"/>
    <x v="8"/>
    <x v="8"/>
    <n v="6000"/>
    <m/>
    <m/>
    <n v="85449"/>
  </r>
  <r>
    <d v="2022-11-30T00:00:00"/>
    <d v="2022-11-14T00:00:00"/>
    <s v="Payroll202211019"/>
    <x v="10"/>
    <s v="5"/>
    <s v="5-1"/>
    <m/>
    <m/>
    <s v="E.Delos Santos &amp; 2 others"/>
    <s v="Payment of Salaries and Allowances of E.Delos Santos &amp; 2 others of NIA-PIMO(CARP) November 2022"/>
    <x v="38"/>
    <x v="38"/>
    <m/>
    <n v="4133.1099999999997"/>
    <m/>
    <n v="81315.89"/>
  </r>
  <r>
    <d v="2022-11-30T00:00:00"/>
    <d v="2022-11-14T00:00:00"/>
    <s v="Payroll202211019"/>
    <x v="10"/>
    <s v="5"/>
    <s v="5-1"/>
    <m/>
    <m/>
    <s v="E.Delos Santos &amp; 2 others"/>
    <s v="Payment of Salaries and Allowances of E.Delos Santos &amp; 2 others of NIA-PIMO(CARP) November 2022"/>
    <x v="10"/>
    <x v="10"/>
    <m/>
    <n v="7150.41"/>
    <m/>
    <n v="74165.48"/>
  </r>
  <r>
    <d v="2022-11-30T00:00:00"/>
    <d v="2022-11-14T00:00:00"/>
    <s v="Payroll202211019"/>
    <x v="10"/>
    <s v="5"/>
    <s v="5-1"/>
    <m/>
    <m/>
    <s v="E.Delos Santos &amp; 2 others"/>
    <s v="Payment of Salaries and Allowances of E.Delos Santos &amp; 2 others of NIA-PIMO(CARP) November 2022"/>
    <x v="11"/>
    <x v="11"/>
    <m/>
    <n v="1588.98"/>
    <m/>
    <n v="72576.5"/>
  </r>
  <r>
    <d v="2022-11-30T00:00:00"/>
    <d v="2022-11-14T00:00:00"/>
    <s v="Payroll202211019"/>
    <x v="10"/>
    <s v="5"/>
    <s v="5-1"/>
    <m/>
    <m/>
    <s v="E.Delos Santos &amp; 2 others"/>
    <s v="Payment of Salaries and Allowances of E.Delos Santos &amp; 2 others of NIA-PIMO(CARP) November 2022"/>
    <x v="12"/>
    <x v="12"/>
    <m/>
    <n v="4000"/>
    <m/>
    <n v="68576.5"/>
  </r>
  <r>
    <d v="2022-11-30T00:00:00"/>
    <d v="2022-11-14T00:00:00"/>
    <s v="Payroll202211019"/>
    <x v="10"/>
    <s v="5"/>
    <s v="5-1"/>
    <m/>
    <m/>
    <s v="E.Delos Santos &amp; 2 others"/>
    <s v="Payment of Salaries and Allowances of E.Delos Santos &amp; 2 others of NIA-PIMO(CARP) November 2022"/>
    <x v="13"/>
    <x v="13"/>
    <m/>
    <n v="3345.78"/>
    <m/>
    <n v="65230.720000000001"/>
  </r>
  <r>
    <d v="2022-11-30T00:00:00"/>
    <d v="2022-11-14T00:00:00"/>
    <s v="Payroll202211019"/>
    <x v="10"/>
    <s v="5"/>
    <s v="5-1"/>
    <m/>
    <m/>
    <s v="E.Delos Santos &amp; 2 others"/>
    <s v="Payment of Salaries and Allowances of E.Delos Santos &amp; 2 others of NIA-PIMO(CARP) November 2022"/>
    <x v="3"/>
    <x v="3"/>
    <m/>
    <n v="32615.37"/>
    <m/>
    <n v="32615.35"/>
  </r>
  <r>
    <d v="2022-11-30T00:00:00"/>
    <d v="2022-11-28T00:00:00"/>
    <s v="Payroll202211019A"/>
    <x v="10"/>
    <s v="5"/>
    <s v="5-1"/>
    <m/>
    <m/>
    <s v="E.Delos Santos &amp; 2 others"/>
    <s v="Payment of Salaries and Allowances of E.Delos Santos &amp; 2 others of NIA-PIMO(CARP) November 2022"/>
    <x v="3"/>
    <x v="3"/>
    <m/>
    <n v="32615.35"/>
    <m/>
    <n v="0"/>
  </r>
  <r>
    <d v="2022-11-30T00:00:00"/>
    <d v="2022-11-15T00:00:00"/>
    <s v="1475808"/>
    <x v="10"/>
    <s v="5"/>
    <s v="5-1"/>
    <m/>
    <m/>
    <s v="Xaviery Computer Center"/>
    <s v="To payment of ICT Equipment(Computer Monitor 22&quot; &amp; 2 others) to be used by CARP IC"/>
    <x v="30"/>
    <x v="30"/>
    <n v="11980"/>
    <m/>
    <s v="ASA 220136 MOOE"/>
    <n v="11980"/>
  </r>
  <r>
    <d v="2022-11-30T00:00:00"/>
    <d v="2022-11-15T00:00:00"/>
    <s v="1475808"/>
    <x v="10"/>
    <s v="5"/>
    <s v="5-1"/>
    <m/>
    <m/>
    <s v="Xaviery Computer Center"/>
    <s v="To payment of ICT Equipment(Computer Monitor 22&quot; &amp; 2 others) to be used by CARP IC"/>
    <x v="6"/>
    <x v="6"/>
    <m/>
    <n v="106.96"/>
    <n v="220136"/>
    <n v="11873.04"/>
  </r>
  <r>
    <d v="2022-11-30T00:00:00"/>
    <d v="2022-11-15T00:00:00"/>
    <s v="1475808"/>
    <x v="10"/>
    <s v="5"/>
    <s v="5-1"/>
    <m/>
    <m/>
    <s v="Xaviery Computer Center"/>
    <s v="To payment of ICT Equipment(Computer Monitor 22&quot; &amp; 2 others) to be used by CARP IC"/>
    <x v="1"/>
    <x v="1"/>
    <m/>
    <n v="534.82000000000005"/>
    <n v="220136"/>
    <n v="11338.22"/>
  </r>
  <r>
    <d v="2022-11-30T00:00:00"/>
    <d v="2022-11-15T00:00:00"/>
    <s v="1475808"/>
    <x v="10"/>
    <s v="5"/>
    <s v="5-1"/>
    <m/>
    <m/>
    <s v="Xaviery Computer Center"/>
    <s v="To payment of ICT Equipment(Computer Monitor 22&quot; &amp; 2 others) to be used by CARP IC"/>
    <x v="3"/>
    <x v="3"/>
    <m/>
    <n v="11338.22"/>
    <m/>
    <n v="0"/>
  </r>
  <r>
    <d v="2022-11-30T00:00:00"/>
    <d v="2022-11-15T00:00:00"/>
    <s v="1475809"/>
    <x v="10"/>
    <s v="5"/>
    <s v="5-1"/>
    <m/>
    <m/>
    <s v="Bitstop, Inc."/>
    <s v="To payment of Office Equipment(Projector with white screen &amp; tripod stand) for the use of CARP=IC"/>
    <x v="39"/>
    <x v="39"/>
    <n v="34000"/>
    <m/>
    <s v="ASA 220136 MOOE"/>
    <n v="34000"/>
  </r>
  <r>
    <d v="2022-11-30T00:00:00"/>
    <d v="2022-11-15T00:00:00"/>
    <s v="1475809"/>
    <x v="10"/>
    <s v="5"/>
    <s v="5-1"/>
    <m/>
    <m/>
    <s v="Bitstop, Inc."/>
    <s v="To payment of Office Equipment(Projector with white screen &amp; tripod stand) for the use of CARP-IC"/>
    <x v="6"/>
    <x v="6"/>
    <m/>
    <n v="303.57"/>
    <n v="220136"/>
    <n v="33696.43"/>
  </r>
  <r>
    <d v="2022-11-30T00:00:00"/>
    <d v="2022-11-15T00:00:00"/>
    <s v="1475809"/>
    <x v="10"/>
    <s v="5"/>
    <s v="5-1"/>
    <m/>
    <m/>
    <s v="Bitstop, Inc."/>
    <s v="To payment of Office Equipment(Projector with white screen &amp; tripod stand) for the use of CARP-IC"/>
    <x v="1"/>
    <x v="1"/>
    <m/>
    <n v="1517.86"/>
    <n v="220136"/>
    <n v="32178.57"/>
  </r>
  <r>
    <d v="2022-11-30T00:00:00"/>
    <d v="2022-11-15T00:00:00"/>
    <s v="1475809"/>
    <x v="10"/>
    <s v="5"/>
    <s v="5-1"/>
    <m/>
    <m/>
    <s v="Bitstop, Inc."/>
    <s v="To payment of Office Equipment(Projector with white screen &amp; tripod stand) for the use of CARP-IC"/>
    <x v="3"/>
    <x v="3"/>
    <m/>
    <n v="32178.57"/>
    <m/>
    <n v="0"/>
  </r>
  <r>
    <d v="2022-11-30T00:00:00"/>
    <d v="2022-11-15T00:00:00"/>
    <s v="1475810"/>
    <x v="10"/>
    <s v="5"/>
    <s v="5-1"/>
    <m/>
    <m/>
    <s v="NIA Region 1 Employees Multi Purpose Cooperative"/>
    <s v="To payment for NIA Multi-purpose cooperative loan of Richard De Guzman &amp; 3 others(Job order)  October 16-31,2022"/>
    <x v="37"/>
    <x v="37"/>
    <n v="9165.7900000000009"/>
    <m/>
    <s v="210017 CW"/>
    <n v="9165.7900000000009"/>
  </r>
  <r>
    <d v="2022-11-30T00:00:00"/>
    <d v="2022-11-15T00:00:00"/>
    <s v="1475810"/>
    <x v="10"/>
    <s v="5"/>
    <s v="5-1"/>
    <m/>
    <m/>
    <s v="NIA Region 1 Employees Multi Purpose Cooperative"/>
    <s v="To payment for NIA Multi-purpose cooperative loan of Richard De Guzman &amp; 3 others(Job order)  October 16-31,2022"/>
    <x v="3"/>
    <x v="3"/>
    <m/>
    <n v="9165.7900000000009"/>
    <m/>
    <n v="0"/>
  </r>
  <r>
    <d v="2022-11-30T00:00:00"/>
    <d v="2022-11-16T00:00:00"/>
    <s v="Payroll202211020"/>
    <x v="10"/>
    <s v="5"/>
    <s v="5-1"/>
    <m/>
    <m/>
    <s v="E.Delos Santos &amp; 2 others"/>
    <s v="To payment of Year-End Bonus &amp; Cash Gift CY 2022 of E.Delos Santos &amp; 2 others of NIA Pangasinan IMO"/>
    <x v="28"/>
    <x v="28"/>
    <n v="79449"/>
    <m/>
    <s v="ASA 220121 PS"/>
    <n v="79449"/>
  </r>
  <r>
    <d v="2022-11-30T00:00:00"/>
    <d v="2022-11-16T00:00:00"/>
    <s v="Payroll202211020"/>
    <x v="10"/>
    <s v="5"/>
    <s v="5-1"/>
    <m/>
    <m/>
    <s v="E.Delos Santos &amp; 2 others"/>
    <s v="To payment of Year-End Bonus &amp; Cash Gift CY 2022 of E.Delos Santos &amp; 2 others of NIA Pangasinan IMO"/>
    <x v="40"/>
    <x v="40"/>
    <n v="15000"/>
    <m/>
    <m/>
    <n v="94449"/>
  </r>
  <r>
    <d v="2022-11-30T00:00:00"/>
    <d v="2022-11-16T00:00:00"/>
    <s v="Payroll202211020"/>
    <x v="10"/>
    <s v="5"/>
    <s v="5-1"/>
    <m/>
    <m/>
    <s v="E.Delos Santos &amp; 2 others"/>
    <s v="To payment of Year-End Bonus &amp; Cash Gift CY 2022 of E.Delos Santos &amp; 2 others of NIA Pangasinan IMO"/>
    <x v="3"/>
    <x v="3"/>
    <m/>
    <n v="94449"/>
    <m/>
    <n v="0"/>
  </r>
  <r>
    <d v="2022-11-30T00:00:00"/>
    <d v="2022-11-17T00:00:00"/>
    <s v="1475811"/>
    <x v="10"/>
    <s v="5"/>
    <s v="5-1"/>
    <m/>
    <m/>
    <s v="H.D.M.F"/>
    <s v="To remit Monthly HDMF M2 E.delos santos &amp;1 other PIMO CARP, November 2022"/>
    <x v="12"/>
    <x v="12"/>
    <n v="4000"/>
    <m/>
    <m/>
    <n v="4000"/>
  </r>
  <r>
    <d v="2022-11-30T00:00:00"/>
    <d v="2022-11-17T00:00:00"/>
    <s v="1475811"/>
    <x v="10"/>
    <s v="5"/>
    <s v="5-1"/>
    <m/>
    <m/>
    <s v="H.D.M.F"/>
    <s v="To remit Monthly HDMF M2 E.delos santos &amp;1 other PIMO CARP, November 2022"/>
    <x v="3"/>
    <x v="3"/>
    <m/>
    <n v="4000"/>
    <m/>
    <n v="0"/>
  </r>
  <r>
    <d v="2022-11-30T00:00:00"/>
    <d v="2022-11-17T00:00:00"/>
    <s v="1475812"/>
    <x v="10"/>
    <s v="5"/>
    <s v="5-1"/>
    <m/>
    <m/>
    <s v="H.D.M.F"/>
    <s v="To remit monthly HDMF premiums both personal &amp; government share of E.Delos Santos &amp; 2 others of PIMO CARP,November 2022"/>
    <x v="17"/>
    <x v="17"/>
    <n v="300"/>
    <m/>
    <s v="ASA 220121 PS"/>
    <n v="300"/>
  </r>
  <r>
    <d v="2022-11-30T00:00:00"/>
    <d v="2022-11-17T00:00:00"/>
    <s v="1475812"/>
    <x v="10"/>
    <s v="5"/>
    <s v="5-1"/>
    <m/>
    <m/>
    <s v="H.D.M.F"/>
    <s v="To remit monthly HDMF premiums both personal &amp; government share of E.Delos Santos &amp; 2 others of PIMO CARP,November 2022"/>
    <x v="11"/>
    <x v="11"/>
    <n v="1588.98"/>
    <m/>
    <m/>
    <n v="1888.98"/>
  </r>
  <r>
    <d v="2022-11-30T00:00:00"/>
    <d v="2022-11-17T00:00:00"/>
    <s v="1475812"/>
    <x v="10"/>
    <s v="5"/>
    <s v="5-1"/>
    <m/>
    <m/>
    <s v="H.D.M.F"/>
    <s v="To remit monthly HDMF premiums both personal &amp; government share of E.Delos Santos &amp; 2 others of PIMO CARP,November 2022"/>
    <x v="3"/>
    <x v="3"/>
    <m/>
    <n v="1888.98"/>
    <m/>
    <n v="0"/>
  </r>
  <r>
    <d v="2022-11-30T00:00:00"/>
    <d v="2022-11-17T00:00:00"/>
    <s v="1475813"/>
    <x v="10"/>
    <s v="5"/>
    <s v="5-1"/>
    <m/>
    <m/>
    <s v="LBP for the account of BIR"/>
    <s v="To remit Witholding Tax on Compensation of E.Delos Santos &amp; 2 others of PIMO CARP,November 2022"/>
    <x v="38"/>
    <x v="38"/>
    <n v="4133.1099999999997"/>
    <m/>
    <m/>
    <n v="4133.1099999999997"/>
  </r>
  <r>
    <d v="2022-11-30T00:00:00"/>
    <d v="2022-11-17T00:00:00"/>
    <s v="1475813"/>
    <x v="10"/>
    <s v="5"/>
    <s v="5-1"/>
    <m/>
    <m/>
    <s v="LBP for the account of BIR"/>
    <s v="To remit Witholding Tax on Compensation of E.Delos Santos &amp; 2 others of PIMO CARP,November 2022"/>
    <x v="3"/>
    <x v="3"/>
    <m/>
    <n v="4133.1099999999997"/>
    <m/>
    <n v="0"/>
  </r>
  <r>
    <d v="2022-11-30T00:00:00"/>
    <d v="2022-11-17T00:00:00"/>
    <s v="1475814"/>
    <x v="10"/>
    <s v="5"/>
    <s v="5-1"/>
    <m/>
    <m/>
    <s v="Philippine Health Insurance Corporation"/>
    <s v="To remit monthly PHIC premiums of both personal &amp; government share of E.Delos Santos &amp; 2 others of PIMO CARP,November 2022"/>
    <x v="18"/>
    <x v="18"/>
    <n v="1588.98"/>
    <m/>
    <s v="ASA 220121 PS"/>
    <n v="1588.98"/>
  </r>
  <r>
    <d v="2022-11-30T00:00:00"/>
    <d v="2022-11-17T00:00:00"/>
    <s v="1475814"/>
    <x v="10"/>
    <s v="5"/>
    <s v="5-1"/>
    <m/>
    <m/>
    <s v="Philippine Health Insurance Corporation"/>
    <s v="To remit monthly PHIC premiums of both personal &amp; government share of E.Delos Santos &amp; 2 others of PIMO CARP,November 2022"/>
    <x v="13"/>
    <x v="13"/>
    <n v="1588.98"/>
    <m/>
    <m/>
    <n v="3177.96"/>
  </r>
  <r>
    <d v="2022-11-30T00:00:00"/>
    <d v="2022-11-17T00:00:00"/>
    <s v="1475814"/>
    <x v="10"/>
    <s v="5"/>
    <s v="5-1"/>
    <m/>
    <m/>
    <s v="Philippine Health Insurance Corporation"/>
    <s v="To remit monthly PHIC premiums of both personal &amp; government share of E.Delos Santos &amp; 2 others of PIMO CARP,November 2022"/>
    <x v="3"/>
    <x v="3"/>
    <m/>
    <n v="3177.96"/>
    <m/>
    <n v="0"/>
  </r>
  <r>
    <d v="2022-11-30T00:00:00"/>
    <d v="2022-11-17T00:00:00"/>
    <s v="1475815"/>
    <x v="10"/>
    <s v="5"/>
    <s v="5-1"/>
    <m/>
    <m/>
    <s v="G.S.I.S"/>
    <s v="To remit monthly GSIS premiums both peronal &amp; government share of E.Delos Santos &amp; 2others of PIMO CARP,November 2022"/>
    <x v="15"/>
    <x v="15"/>
    <n v="9533.8799999999992"/>
    <m/>
    <s v="ASA 220121 PS"/>
    <n v="9533.8799999999992"/>
  </r>
  <r>
    <d v="2022-11-30T00:00:00"/>
    <d v="2022-11-17T00:00:00"/>
    <s v="1475815"/>
    <x v="10"/>
    <s v="5"/>
    <s v="5-1"/>
    <m/>
    <m/>
    <s v="G.S.I.S"/>
    <s v="To remit monthly GSIS premiums both peronal &amp; government share of E.Delos Santos &amp; 2others of PIMO CARP,November 2022"/>
    <x v="16"/>
    <x v="16"/>
    <n v="300"/>
    <m/>
    <m/>
    <n v="9833.8799999999992"/>
  </r>
  <r>
    <d v="2022-11-30T00:00:00"/>
    <d v="2022-11-17T00:00:00"/>
    <s v="1475815"/>
    <x v="10"/>
    <s v="5"/>
    <s v="5-1"/>
    <m/>
    <m/>
    <s v="G.S.I.S"/>
    <s v="To remit monthly GSIS premiums both peronal &amp; government share of E.Delos Santos &amp; 2others of PIMO CARP,November 2022"/>
    <x v="10"/>
    <x v="10"/>
    <n v="7150.41"/>
    <m/>
    <m/>
    <n v="16984.29"/>
  </r>
  <r>
    <d v="2022-11-30T00:00:00"/>
    <d v="2022-11-17T00:00:00"/>
    <s v="1475815"/>
    <x v="10"/>
    <s v="5"/>
    <s v="5-1"/>
    <m/>
    <m/>
    <s v="G.S.I.S"/>
    <s v="To remit monthly GSIS premiums both peronal &amp; government share of E.Delos Santos &amp; 2others of PIMO CARP,November 2022"/>
    <x v="3"/>
    <x v="3"/>
    <m/>
    <n v="16984.29"/>
    <m/>
    <n v="0"/>
  </r>
  <r>
    <d v="2022-11-30T00:00:00"/>
    <d v="2022-11-17T00:00:00"/>
    <s v="Payroll202211021"/>
    <x v="10"/>
    <s v="5"/>
    <s v="5-1"/>
    <m/>
    <m/>
    <s v="Richard D. De Guzman &amp; 4 others"/>
    <s v="To Payment of Wages of R.De Guzman &amp; 4 others (Job Order) of NIA-PIMO Urdaneta city,Pang. For the Period of November 1-15,2024"/>
    <x v="25"/>
    <x v="25"/>
    <n v="32181.46"/>
    <m/>
    <s v="ASA 210017 CW Luna Este SIP"/>
    <n v="32181.46"/>
  </r>
  <r>
    <d v="2022-11-30T00:00:00"/>
    <d v="2022-11-17T00:00:00"/>
    <s v="Payroll202211021"/>
    <x v="10"/>
    <s v="5"/>
    <s v="5-1"/>
    <m/>
    <m/>
    <s v="Richard D. De Guzman &amp; 4 others"/>
    <s v="To Payment of Wages of R.De Guzman &amp; 4 others (Job Order) of NIA-PIMO Urdaneta city,Pang. For the Period of November 1-15,2025"/>
    <x v="41"/>
    <x v="41"/>
    <m/>
    <n v="1300"/>
    <m/>
    <n v="30881.46"/>
  </r>
  <r>
    <d v="2022-11-30T00:00:00"/>
    <d v="2022-11-17T00:00:00"/>
    <s v="Payroll202211021"/>
    <x v="10"/>
    <s v="5"/>
    <s v="5-1"/>
    <m/>
    <m/>
    <s v="Richard D. De Guzman &amp; 4 others"/>
    <s v="To Payment of Wages of R.De Guzman &amp; 4 others (Job Order) of NIA-PIMO Urdaneta city,Pang. For the Period of November 1-15,2026"/>
    <x v="42"/>
    <x v="42"/>
    <m/>
    <n v="2132.0500000000002"/>
    <m/>
    <n v="28749.41"/>
  </r>
  <r>
    <d v="2022-11-30T00:00:00"/>
    <d v="2022-11-17T00:00:00"/>
    <s v="Payroll202211021"/>
    <x v="10"/>
    <s v="5"/>
    <s v="5-1"/>
    <m/>
    <m/>
    <s v="Richard D. De Guzman &amp; 4 others"/>
    <s v="To Payment of Wages of R.De Guzman &amp; 4 others (Job Order) of NIA-PIMO Urdaneta city,Pang. For the Period of November 1-15,2027"/>
    <x v="13"/>
    <x v="13"/>
    <m/>
    <n v="2244.86"/>
    <m/>
    <n v="26504.55"/>
  </r>
  <r>
    <d v="2022-11-30T00:00:00"/>
    <d v="2022-11-17T00:00:00"/>
    <s v="Payroll202211021"/>
    <x v="10"/>
    <s v="5"/>
    <s v="5-1"/>
    <m/>
    <m/>
    <s v="Richard D. De Guzman &amp; 4 others"/>
    <s v="To Payment of Wages of R.De Guzman &amp; 4 others (Job Order) of NIA-PIMO Urdaneta city,Pang. For the Period of November 1-15,2026"/>
    <x v="37"/>
    <x v="37"/>
    <m/>
    <n v="4322.91"/>
    <m/>
    <n v="22181.64"/>
  </r>
  <r>
    <d v="2022-11-30T00:00:00"/>
    <d v="2022-11-17T00:00:00"/>
    <s v="Payroll202211021"/>
    <x v="10"/>
    <s v="5"/>
    <s v="5-1"/>
    <m/>
    <m/>
    <s v="Richard D. De Guzman &amp; 4 others"/>
    <s v="To Payment of Wages of R.De Guzman &amp; 4 others (Job Order) of NIA-PIMO Urdaneta city,Pang. For the Period of November 1-15,2027"/>
    <x v="3"/>
    <x v="3"/>
    <m/>
    <n v="22181.64"/>
    <m/>
    <n v="0"/>
  </r>
  <r>
    <d v="2022-11-30T00:00:00"/>
    <d v="2022-11-18T00:00:00"/>
    <s v="1475816"/>
    <x v="10"/>
    <s v="5"/>
    <s v="5-1"/>
    <m/>
    <m/>
    <s v="Rivbros Construction Factors &amp; Development"/>
    <s v="To second (2nd) and Final payment of contract under R1-PIMO-21-01-020 in connection with the LUNA ESTE (CARP CY 2021) located in Umingan,Pangasinan"/>
    <x v="35"/>
    <x v="35"/>
    <n v="1364697.65"/>
    <m/>
    <s v="ASA 210017 CW Luna Este SIP"/>
    <n v="1364697.65"/>
  </r>
  <r>
    <d v="2022-11-30T00:00:00"/>
    <d v="2022-11-18T00:00:00"/>
    <s v="1475816"/>
    <x v="10"/>
    <s v="5"/>
    <s v="5-1"/>
    <m/>
    <m/>
    <s v="Rivbros Construction Factors &amp; Development"/>
    <s v="To second (2nd) and Final payment of contract under R1-PIMO-21-01-020 in connection with the LUNA ESTE (CARP CY 2021) located in Umingan,Pangasinan"/>
    <x v="1"/>
    <x v="1"/>
    <m/>
    <n v="60924"/>
    <s v="210017 CW"/>
    <n v="1303773.6499999999"/>
  </r>
  <r>
    <d v="2022-11-30T00:00:00"/>
    <d v="2022-11-18T00:00:00"/>
    <s v="1475816"/>
    <x v="10"/>
    <s v="5"/>
    <s v="5-1"/>
    <m/>
    <m/>
    <s v="Rivbros Construction Factors &amp; Development"/>
    <s v="To second (2nd) and Final payment of contract under R1-PIMO-21-01-020 in connection with the LUNA ESTE (CARP CY 2021) located in Umingan,Pangasinan"/>
    <x v="2"/>
    <x v="2"/>
    <m/>
    <n v="24369.599999999999"/>
    <s v="210017 CW"/>
    <n v="1279404.05"/>
  </r>
  <r>
    <d v="2022-11-30T00:00:00"/>
    <d v="2022-11-18T00:00:00"/>
    <s v="1475816"/>
    <x v="10"/>
    <s v="5"/>
    <s v="5-1"/>
    <m/>
    <m/>
    <s v="Rivbros Construction Factors &amp; Development"/>
    <s v="To second (2nd) and Final payment of contract under R1-PIMO-21-01-020 in connection with the LUNA ESTE (CARP CY 2021) located in Umingan,Pangasinan"/>
    <x v="3"/>
    <x v="3"/>
    <m/>
    <n v="1279404.05"/>
    <m/>
    <n v="0"/>
  </r>
  <r>
    <d v="2022-11-30T00:00:00"/>
    <d v="2022-11-21T00:00:00"/>
    <s v="Payroll202211022"/>
    <x v="10"/>
    <s v="5"/>
    <s v="5-1"/>
    <m/>
    <m/>
    <s v="John R. Bergado &amp; 4 others"/>
    <s v="To payment of wages of John R. Bergado &amp; 4 others(Job Order) of NIA-PIMO for the period November 1-15,2022"/>
    <x v="25"/>
    <x v="25"/>
    <n v="31516.1"/>
    <m/>
    <s v="ASA 210017 CW Luna Este SIP"/>
    <n v="31516.1"/>
  </r>
  <r>
    <d v="2022-11-30T00:00:00"/>
    <d v="2022-11-21T00:00:00"/>
    <s v="Payroll202211022"/>
    <x v="10"/>
    <s v="5"/>
    <s v="5-1"/>
    <m/>
    <m/>
    <s v="John R. Bergado &amp; 4 others"/>
    <s v="To payment of wages of John R. Bergado &amp; 4 others(Job Order) of NIA-PIMO for the period November 1-15,2022"/>
    <x v="41"/>
    <x v="41"/>
    <m/>
    <n v="1200"/>
    <m/>
    <n v="30316.1"/>
  </r>
  <r>
    <d v="2022-11-30T00:00:00"/>
    <d v="2022-11-21T00:00:00"/>
    <s v="Payroll202211022"/>
    <x v="10"/>
    <s v="5"/>
    <s v="5-1"/>
    <m/>
    <m/>
    <s v="John R. Bergado &amp; 4 others"/>
    <s v="To payment of wages of John R. Bergado &amp; 4 others(Job Order) of NIA-PIMO for the period November 1-15,2022"/>
    <x v="42"/>
    <x v="42"/>
    <m/>
    <n v="692.97"/>
    <m/>
    <n v="29623.13"/>
  </r>
  <r>
    <d v="2022-11-30T00:00:00"/>
    <d v="2022-11-21T00:00:00"/>
    <s v="Payroll202211022"/>
    <x v="10"/>
    <s v="5"/>
    <s v="5-1"/>
    <m/>
    <m/>
    <s v="John R. Bergado &amp; 4 others"/>
    <s v="To payment of wages of John R. Bergado &amp; 4 others(Job Order) of NIA-PIMO for the period November 1-15,2022"/>
    <x v="13"/>
    <x v="13"/>
    <m/>
    <n v="2179.5300000000002"/>
    <m/>
    <n v="27443.599999999999"/>
  </r>
  <r>
    <d v="2022-11-30T00:00:00"/>
    <d v="2022-11-21T00:00:00"/>
    <s v="Payroll202211022"/>
    <x v="10"/>
    <s v="5"/>
    <s v="5-1"/>
    <m/>
    <m/>
    <s v="John R. Bergado &amp; 4 others"/>
    <s v="To payment of wages of John R. Bergado &amp; 4 others(Job Order) of NIA-PIMO for the period November 1-15,2022"/>
    <x v="37"/>
    <x v="37"/>
    <m/>
    <n v="2090"/>
    <m/>
    <n v="25353.599999999999"/>
  </r>
  <r>
    <d v="2022-11-30T00:00:00"/>
    <d v="2022-11-21T00:00:00"/>
    <s v="Payroll202211022"/>
    <x v="10"/>
    <s v="5"/>
    <s v="5-1"/>
    <m/>
    <m/>
    <s v="John R. Bergado &amp; 4 others"/>
    <s v="To payment of wages of John R. Bergado &amp; 4 others(Job Order) of NIA-PIMO for the period November 1-15,2022"/>
    <x v="3"/>
    <x v="3"/>
    <m/>
    <n v="25353.599999999999"/>
    <m/>
    <n v="0"/>
  </r>
  <r>
    <d v="2022-11-30T00:00:00"/>
    <d v="2022-11-22T00:00:00"/>
    <s v="1475817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January2022"/>
    <x v="18"/>
    <x v="18"/>
    <n v="351.34"/>
    <m/>
    <s v="ASA 220080 PS"/>
    <n v="351.34"/>
  </r>
  <r>
    <d v="2022-11-30T00:00:00"/>
    <d v="2022-11-22T00:00:00"/>
    <s v="1475817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January2022"/>
    <x v="13"/>
    <x v="13"/>
    <n v="351.36"/>
    <m/>
    <m/>
    <n v="702.7"/>
  </r>
  <r>
    <d v="2022-11-30T00:00:00"/>
    <d v="2022-11-22T00:00:00"/>
    <s v="1475817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January2022"/>
    <x v="3"/>
    <x v="3"/>
    <m/>
    <n v="702.7"/>
    <m/>
    <n v="0"/>
  </r>
  <r>
    <d v="2022-11-30T00:00:00"/>
    <d v="2022-11-22T00:00:00"/>
    <s v="1475818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February2022"/>
    <x v="18"/>
    <x v="18"/>
    <n v="351.34"/>
    <m/>
    <s v="ASA 220080 PS"/>
    <n v="351.34"/>
  </r>
  <r>
    <d v="2022-11-30T00:00:00"/>
    <d v="2022-11-22T00:00:00"/>
    <s v="1475818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February2022"/>
    <x v="13"/>
    <x v="13"/>
    <n v="351.36"/>
    <m/>
    <m/>
    <n v="702.7"/>
  </r>
  <r>
    <d v="2022-11-30T00:00:00"/>
    <d v="2022-11-22T00:00:00"/>
    <s v="1475818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February2022"/>
    <x v="3"/>
    <x v="3"/>
    <m/>
    <n v="702.7"/>
    <m/>
    <n v="0"/>
  </r>
  <r>
    <d v="2022-11-30T00:00:00"/>
    <d v="2022-11-22T00:00:00"/>
    <s v="1475819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March 2022"/>
    <x v="18"/>
    <x v="18"/>
    <n v="351.34"/>
    <m/>
    <s v="ASA 220080 PS"/>
    <n v="351.34"/>
  </r>
  <r>
    <d v="2022-11-30T00:00:00"/>
    <d v="2022-11-22T00:00:00"/>
    <s v="1475819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March 2022"/>
    <x v="13"/>
    <x v="13"/>
    <n v="351.36"/>
    <m/>
    <m/>
    <n v="702.7"/>
  </r>
  <r>
    <d v="2022-11-30T00:00:00"/>
    <d v="2022-11-22T00:00:00"/>
    <s v="1475819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March 2022"/>
    <x v="3"/>
    <x v="3"/>
    <m/>
    <n v="702.7"/>
    <m/>
    <n v="0"/>
  </r>
  <r>
    <d v="2022-11-30T00:00:00"/>
    <d v="2022-11-22T00:00:00"/>
    <s v="1475820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April 2022"/>
    <x v="18"/>
    <x v="18"/>
    <n v="351.34"/>
    <m/>
    <s v="ASA 220080 PS"/>
    <n v="351.34"/>
  </r>
  <r>
    <d v="2022-11-30T00:00:00"/>
    <d v="2022-11-22T00:00:00"/>
    <s v="1475820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April 2022"/>
    <x v="13"/>
    <x v="13"/>
    <n v="351.36"/>
    <m/>
    <m/>
    <n v="702.7"/>
  </r>
  <r>
    <d v="2022-11-30T00:00:00"/>
    <d v="2022-11-22T00:00:00"/>
    <s v="1475820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April 2022"/>
    <x v="3"/>
    <x v="3"/>
    <m/>
    <n v="702.7"/>
    <m/>
    <n v="0"/>
  </r>
  <r>
    <d v="2022-11-30T00:00:00"/>
    <d v="2022-11-22T00:00:00"/>
    <s v="1475821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April 2022"/>
    <x v="18"/>
    <x v="18"/>
    <n v="351.34"/>
    <m/>
    <s v="ASA 220080 PS"/>
    <n v="351.34"/>
  </r>
  <r>
    <d v="2022-11-30T00:00:00"/>
    <d v="2022-11-22T00:00:00"/>
    <s v="1475821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April 2022"/>
    <x v="13"/>
    <x v="13"/>
    <n v="351.36"/>
    <m/>
    <m/>
    <n v="702.7"/>
  </r>
  <r>
    <d v="2022-11-30T00:00:00"/>
    <d v="2022-11-22T00:00:00"/>
    <s v="1475821"/>
    <x v="10"/>
    <s v="5"/>
    <s v="5-1"/>
    <m/>
    <m/>
    <s v="Philippine Health Insurance Corporation"/>
    <s v="To remit 1% differential of PHIC Premiums both personal &amp; government share of E.Delos Santos &amp; 2 others of NIA-PIMO(CARP) for the Period of April 2022"/>
    <x v="3"/>
    <x v="3"/>
    <m/>
    <n v="702.7"/>
    <m/>
    <n v="0"/>
  </r>
  <r>
    <d v="2022-11-30T00:00:00"/>
    <d v="2022-11-23T00:00:00"/>
    <s v="1475822"/>
    <x v="10"/>
    <s v="5"/>
    <s v="5-1"/>
    <m/>
    <m/>
    <s v="Rivbros Construction Factors &amp; Development"/>
    <s v="To payment of Retention deducted on the 1st partial payment of RIVBROSConstruction Factors and Development under contract in connection with the LUNA ESTE (CARP 2021) located in Umingan,Pangasinan"/>
    <x v="4"/>
    <x v="4"/>
    <n v="354316.63"/>
    <m/>
    <s v="ASA 210017 CW Luna Este SIP"/>
    <n v="354316.63"/>
  </r>
  <r>
    <d v="2022-11-30T00:00:00"/>
    <d v="2022-11-23T00:00:00"/>
    <s v="1475822"/>
    <x v="10"/>
    <s v="5"/>
    <s v="5-1"/>
    <m/>
    <m/>
    <s v="Rivbros Construction Factors &amp; Development"/>
    <s v="To payment of Retention deducted on the 1st partial payment of RIVBROSConstruction Factors and Development under contract in connection with the LUNA ESTE (CARP 2021) located in Umingan,Pangasinan"/>
    <x v="3"/>
    <x v="3"/>
    <m/>
    <n v="354316.63"/>
    <m/>
    <n v="0"/>
  </r>
  <r>
    <d v="2022-11-30T00:00:00"/>
    <d v="2022-11-23T00:00:00"/>
    <s v="1475823"/>
    <x v="10"/>
    <s v="5"/>
    <s v="5-1"/>
    <m/>
    <m/>
    <s v="Marigold Store"/>
    <s v="To payment of Office Equipment ( Whiteboard Tray &amp; File box with cover) for use of CARP-IC"/>
    <x v="39"/>
    <x v="39"/>
    <n v="12912"/>
    <m/>
    <s v="ASA 220136 MOOE"/>
    <n v="12912"/>
  </r>
  <r>
    <d v="2022-11-30T00:00:00"/>
    <d v="2022-11-23T00:00:00"/>
    <s v="1475823"/>
    <x v="10"/>
    <s v="5"/>
    <s v="5-1"/>
    <m/>
    <m/>
    <s v="Marigold Store"/>
    <s v="To payment of Office Equipment ( Whiteboard Tray &amp; File box with cover) for use of CARP-IC"/>
    <x v="6"/>
    <x v="6"/>
    <m/>
    <n v="115.29"/>
    <s v="220136 MOOE"/>
    <n v="12796.71"/>
  </r>
  <r>
    <d v="2022-11-30T00:00:00"/>
    <d v="2022-11-23T00:00:00"/>
    <s v="1475823"/>
    <x v="10"/>
    <s v="5"/>
    <s v="5-1"/>
    <m/>
    <m/>
    <s v="Marigold Store"/>
    <s v="To payment of Office Equipment ( Whiteboard Tray &amp; File box with cover) for use of CARP-IC"/>
    <x v="1"/>
    <x v="1"/>
    <m/>
    <n v="576.42999999999995"/>
    <s v="220136 MOOE"/>
    <n v="12220.28"/>
  </r>
  <r>
    <d v="2022-11-30T00:00:00"/>
    <d v="2022-11-23T00:00:00"/>
    <s v="1475823"/>
    <x v="10"/>
    <s v="5"/>
    <s v="5-1"/>
    <m/>
    <m/>
    <s v="Marigold Store"/>
    <s v="To payment of Office Equipment ( Whiteboard Tray &amp; File box with cover) for use of CARP-IC"/>
    <x v="3"/>
    <x v="3"/>
    <m/>
    <n v="12220.28"/>
    <m/>
    <n v="0"/>
  </r>
  <r>
    <d v="2022-11-30T00:00:00"/>
    <d v="2022-11-25T00:00:00"/>
    <s v="1475824"/>
    <x v="10"/>
    <s v="5"/>
    <s v="5-1"/>
    <m/>
    <m/>
    <s v="H.D.M.F"/>
    <s v="To remit HDMF Loan(MPL) of Richard De Guzman &amp; 2 others  (Job Order) of NIA-PIMO,November 2022"/>
    <x v="42"/>
    <x v="42"/>
    <n v="2825.02"/>
    <m/>
    <s v="ASA 210017 CW Luna Este SIP"/>
    <n v="2825.02"/>
  </r>
  <r>
    <d v="2022-11-30T00:00:00"/>
    <d v="2022-11-25T00:00:00"/>
    <s v="1475824"/>
    <x v="10"/>
    <s v="5"/>
    <s v="5-1"/>
    <m/>
    <m/>
    <s v="H.D.M.F"/>
    <s v="To remit HDMF Loan(MPL) of Richard De Guzman &amp; 2 others  (Job Order) of NIA-PIMO,November 2022"/>
    <x v="3"/>
    <x v="3"/>
    <m/>
    <n v="2825.02"/>
    <m/>
    <n v="0"/>
  </r>
  <r>
    <d v="2022-11-30T00:00:00"/>
    <d v="2022-11-25T00:00:00"/>
    <s v="1475825"/>
    <x v="10"/>
    <s v="5"/>
    <s v="5-1"/>
    <m/>
    <m/>
    <s v="H.D.M.F"/>
    <s v="To remit HDMF Premiums for personalshare of John R. Bergado &amp; 9 others (Job Order) of NIA-PIMO,November 2022"/>
    <x v="41"/>
    <x v="41"/>
    <n v="2500"/>
    <m/>
    <s v="ASA 210017 CW Luna Este SIP"/>
    <n v="2500"/>
  </r>
  <r>
    <d v="2022-11-30T00:00:00"/>
    <d v="2022-11-25T00:00:00"/>
    <s v="1475825"/>
    <x v="10"/>
    <s v="5"/>
    <s v="5-1"/>
    <m/>
    <m/>
    <s v="H.D.M.F"/>
    <s v="To remit HDMF Premiums for personalshare of John R. Bergado &amp; 9 others (Job Order) of NIA-PIMO,November 2022"/>
    <x v="3"/>
    <x v="3"/>
    <m/>
    <n v="2500"/>
    <m/>
    <n v="0"/>
  </r>
  <r>
    <d v="2022-11-30T00:00:00"/>
    <d v="2022-11-25T00:00:00"/>
    <s v="1475826"/>
    <x v="10"/>
    <s v="5"/>
    <s v="5-1"/>
    <m/>
    <m/>
    <s v="NIA Region 1 Employees Multi Purpose Cooperative"/>
    <s v="To payment for NIA Multi-purpose loan of Richerd C. De Guzman &amp; 2 others (Job Order) of NIA-PIMO,November 1-15, 2022"/>
    <x v="37"/>
    <x v="37"/>
    <n v="6412.91"/>
    <m/>
    <s v="ASA 210017 CW Luna Este SIP"/>
    <n v="6412.91"/>
  </r>
  <r>
    <d v="2022-11-30T00:00:00"/>
    <d v="2022-11-25T00:00:00"/>
    <s v="1475826"/>
    <x v="10"/>
    <s v="5"/>
    <s v="5-1"/>
    <m/>
    <m/>
    <s v="NIA Region 1 Employees Multi Purpose Cooperative"/>
    <s v="To payment for NIA Multi-purpose loan of Richerd C. De Guzman &amp; 2 others (Job Order) of NIA-PIMO,November 1-15, 2022"/>
    <x v="3"/>
    <x v="3"/>
    <m/>
    <n v="6412.91"/>
    <m/>
    <n v="0"/>
  </r>
  <r>
    <d v="2022-11-30T00:00:00"/>
    <d v="2022-11-25T00:00:00"/>
    <s v="1475827"/>
    <x v="10"/>
    <s v="5"/>
    <s v="5-1"/>
    <m/>
    <m/>
    <s v="Philippine Health Insurance Corporation"/>
    <s v="To remit the monthly contribution of PHIC Premiums of John R. Bergado &amp; 7 others (Job Order) of NIA-PIMO,November 2022"/>
    <x v="13"/>
    <x v="13"/>
    <n v="4424.3900000000003"/>
    <m/>
    <s v="ASA 210017 CW Luna Este SIP"/>
    <n v="4424.3900000000003"/>
  </r>
  <r>
    <d v="2022-11-30T00:00:00"/>
    <d v="2022-11-25T00:00:00"/>
    <s v="1475827"/>
    <x v="10"/>
    <s v="5"/>
    <s v="5-1"/>
    <m/>
    <m/>
    <s v="Philippine Health Insurance Corporation"/>
    <s v="To remit the monthly contribution of PHIC Premiums of John R. Bergado &amp; 7 others (Job Order) of NIA-PIMO,November 2022"/>
    <x v="3"/>
    <x v="3"/>
    <m/>
    <n v="4424.3900000000003"/>
    <m/>
    <n v="0"/>
  </r>
  <r>
    <d v="2022-11-30T00:00:00"/>
    <d v="2022-11-29T00:00:00"/>
    <s v="1475828"/>
    <x v="10"/>
    <s v="5"/>
    <s v="5-1"/>
    <m/>
    <m/>
    <s v="LBP for the account of BIR"/>
    <s v="To remit collection of Witholding of Final VAT(5%-1%) of various suppliers/contractors of PIMO,for the period of November 2022"/>
    <x v="1"/>
    <x v="1"/>
    <n v="63553.11"/>
    <m/>
    <m/>
    <n v="63553.11"/>
  </r>
  <r>
    <d v="2022-11-30T00:00:00"/>
    <d v="2022-11-29T00:00:00"/>
    <s v="1475828"/>
    <x v="10"/>
    <s v="5"/>
    <s v="5-1"/>
    <m/>
    <m/>
    <s v="LBP for the account of BIR"/>
    <s v="To remit collection of Witholding of Final VAT(5%-1%) of various suppliers/contractors of PIMO,for the period of November 2022"/>
    <x v="3"/>
    <x v="3"/>
    <m/>
    <n v="63553.11"/>
    <m/>
    <n v="0"/>
  </r>
  <r>
    <d v="2022-11-30T00:00:00"/>
    <d v="2022-11-29T00:00:00"/>
    <s v="1475829"/>
    <x v="10"/>
    <s v="5"/>
    <s v="5-1"/>
    <m/>
    <m/>
    <s v="LBP for the account of BIR"/>
    <s v="To remit collection of witholding of Final (1%-2%) of various suppliers/contractors of PIMO,for the period of November 2022"/>
    <x v="2"/>
    <x v="2"/>
    <n v="24369.599999999999"/>
    <m/>
    <m/>
    <n v="24369.599999999999"/>
  </r>
  <r>
    <d v="2022-11-30T00:00:00"/>
    <d v="2022-11-29T00:00:00"/>
    <s v="1475829"/>
    <x v="10"/>
    <s v="5"/>
    <s v="5-1"/>
    <m/>
    <m/>
    <s v="LBP for the account of BIR"/>
    <s v="To remit collection of witholding of Final (1%-2%) of various suppliers/contractors of PIMO,for the period of November 2022"/>
    <x v="6"/>
    <x v="6"/>
    <n v="525.82000000000005"/>
    <m/>
    <m/>
    <n v="24895.42"/>
  </r>
  <r>
    <d v="2022-11-30T00:00:00"/>
    <d v="2022-11-29T00:00:00"/>
    <s v="1475829"/>
    <x v="10"/>
    <s v="5"/>
    <s v="5-1"/>
    <m/>
    <m/>
    <s v="LBP for the account of BIR"/>
    <s v="To remit collection of witholding of Final (1%-2%) of various suppliers/contractors of PIMO,for the period of November 2022"/>
    <x v="3"/>
    <x v="3"/>
    <m/>
    <n v="24895.42"/>
    <m/>
    <n v="0"/>
  </r>
  <r>
    <d v="2022-12-31T00:00:00"/>
    <d v="2022-12-02T00:00:00"/>
    <s v="1475830"/>
    <x v="11"/>
    <s v="5"/>
    <s v="5-1"/>
    <m/>
    <m/>
    <s v="Eduardo T. Santos Construction and Supplies"/>
    <s v="To first(1st) partial payment of contract under R1-PIMO-22-01-015 in connection with MALIMPIN SPIP(CARP IC CY 2022) located in Dasol"/>
    <x v="35"/>
    <x v="35"/>
    <n v="3950004.55"/>
    <m/>
    <s v="220044 Malimpin SPIP"/>
    <n v="3950004.55"/>
  </r>
  <r>
    <d v="2022-12-31T00:00:00"/>
    <d v="2022-12-02T00:00:00"/>
    <s v="1475830"/>
    <x v="11"/>
    <s v="5"/>
    <s v="5-1"/>
    <m/>
    <m/>
    <s v="Eduardo T. Santos Construction and Supplies"/>
    <s v="To first(1st) partial payment of contract under R1-PIMO-22-01-015 in connection with MALIMPIN SPIP(CARP IC CY 2022) located in Dasol"/>
    <x v="1"/>
    <x v="1"/>
    <m/>
    <n v="176339.49"/>
    <m/>
    <n v="3773665.06"/>
  </r>
  <r>
    <d v="2022-12-31T00:00:00"/>
    <d v="2022-12-02T00:00:00"/>
    <s v="1475830"/>
    <x v="11"/>
    <s v="5"/>
    <s v="5-1"/>
    <m/>
    <m/>
    <s v="Eduardo T. Santos Construction and Supplies"/>
    <s v="To first(1st) partial payment of contract under R1-PIMO-22-01-015 in connection with MALIMPIN SPIP(CARP IC CY 2022) located in Dasol"/>
    <x v="2"/>
    <x v="2"/>
    <m/>
    <n v="70535.8"/>
    <m/>
    <n v="3703129.26"/>
  </r>
  <r>
    <d v="2022-12-31T00:00:00"/>
    <d v="2022-12-02T00:00:00"/>
    <s v="1475830"/>
    <x v="11"/>
    <s v="5"/>
    <s v="5-1"/>
    <m/>
    <m/>
    <s v="Eduardo T. Santos Construction and Supplies"/>
    <s v="To first(1st) partial payment of contract under R1-PIMO-22-01-015 in connection with MALIMPIN SPIP(CARP IC CY 2022) located in Dasol"/>
    <x v="4"/>
    <x v="4"/>
    <m/>
    <n v="395000.46"/>
    <m/>
    <n v="3308128.8"/>
  </r>
  <r>
    <d v="2022-12-31T00:00:00"/>
    <d v="2022-12-02T00:00:00"/>
    <s v="1475830"/>
    <x v="11"/>
    <s v="5"/>
    <s v="5-1"/>
    <m/>
    <m/>
    <s v="Eduardo T. Santos Construction and Supplies"/>
    <s v="To first(1st) partial payment of contract under R1-PIMO-22-01-015 in connection with MALIMPIN SPIP(CARP IC CY 2022) located in Dasol"/>
    <x v="32"/>
    <x v="32"/>
    <m/>
    <n v="592446.91"/>
    <m/>
    <n v="2715681.89"/>
  </r>
  <r>
    <d v="2022-12-31T00:00:00"/>
    <d v="2022-12-02T00:00:00"/>
    <s v="1475830"/>
    <x v="11"/>
    <s v="5"/>
    <s v="5-1"/>
    <m/>
    <m/>
    <s v="Eduardo T. Santos Construction and Supplies"/>
    <s v="To first(1st) partial payment of contract under R1-PIMO-22-01-015 in connection with MALIMPIN SPIP(CARP IC CY 2022) located in Dasol"/>
    <x v="3"/>
    <x v="3"/>
    <m/>
    <n v="2715681.89"/>
    <m/>
    <n v="0"/>
  </r>
  <r>
    <d v="2022-12-31T00:00:00"/>
    <d v="2022-12-05T00:00:00"/>
    <s v="Payroll202212023"/>
    <x v="11"/>
    <s v="5"/>
    <s v="5-1"/>
    <m/>
    <m/>
    <s v="J.Bergado &amp; 7 others"/>
    <s v="To payment of wages of John R. Bergado &amp; 7 others(Job Order) of NIA-PIMO for the period November 16-30,2022"/>
    <x v="25"/>
    <x v="25"/>
    <n v="44337.09"/>
    <m/>
    <s v="210017 Luna Este SIP"/>
    <n v="44337.09"/>
  </r>
  <r>
    <d v="2022-12-31T00:00:00"/>
    <d v="2022-12-05T00:00:00"/>
    <s v="Payroll202212023"/>
    <x v="11"/>
    <s v="5"/>
    <s v="5-1"/>
    <m/>
    <m/>
    <s v="J.Bergado &amp; 7 others"/>
    <s v="To payment of wages of John R. Bergado &amp; 7 others(Job Order) of NIA-PIMO for the period November 16-30,2022"/>
    <x v="37"/>
    <x v="37"/>
    <m/>
    <n v="4291.66"/>
    <m/>
    <n v="40045.43"/>
  </r>
  <r>
    <d v="2022-12-31T00:00:00"/>
    <d v="2022-12-05T00:00:00"/>
    <s v="Payroll202212023"/>
    <x v="11"/>
    <s v="5"/>
    <s v="5-1"/>
    <m/>
    <m/>
    <s v="J.Bergado &amp; 7 others"/>
    <s v="To payment of wages of John R. Bergado &amp; 7 others(Job Order) of NIA-PIMO for the period November 16-30,2022"/>
    <x v="3"/>
    <x v="3"/>
    <m/>
    <n v="40045.43"/>
    <m/>
    <n v="0"/>
  </r>
  <r>
    <d v="2022-12-31T00:00:00"/>
    <d v="2022-12-06T00:00:00"/>
    <s v="Payroll202212024"/>
    <x v="11"/>
    <s v="5"/>
    <s v="5-1"/>
    <m/>
    <m/>
    <s v="R. De Guzman &amp; 2 others"/>
    <s v="To payment of wages of R.De Guzman &amp; 2 others(Job Order) of NIA-PIMO for the period November 16-30,2022"/>
    <x v="25"/>
    <x v="25"/>
    <n v="17558.59"/>
    <m/>
    <s v="210017 Luna Este SIP &amp; 220044 Malimpin SPIP"/>
    <n v="17558.59"/>
  </r>
  <r>
    <d v="2022-12-31T00:00:00"/>
    <d v="2022-12-06T00:00:00"/>
    <s v="Payroll202212024"/>
    <x v="11"/>
    <s v="5"/>
    <s v="5-1"/>
    <m/>
    <m/>
    <s v="R. De Guzman &amp; 2 others"/>
    <s v="To payment of wages of R.De Guzman &amp; 2 others(Job Order) of NIA-PIMO for the period November 16-30,2022"/>
    <x v="37"/>
    <x v="37"/>
    <m/>
    <n v="2090"/>
    <m/>
    <n v="15468.59"/>
  </r>
  <r>
    <d v="2022-12-31T00:00:00"/>
    <d v="2022-12-06T00:00:00"/>
    <s v="Payroll202212024"/>
    <x v="11"/>
    <s v="5"/>
    <s v="5-1"/>
    <m/>
    <m/>
    <s v="R. De Guzman &amp; 2 others"/>
    <s v="To payment of wages of R.De Guzman &amp; 2 others(Job Order) of NIA-PIMO for the period November 16-30,2022"/>
    <x v="3"/>
    <x v="3"/>
    <m/>
    <n v="15468.59"/>
    <m/>
    <n v="0"/>
  </r>
  <r>
    <d v="2022-12-31T00:00:00"/>
    <d v="2022-12-13T00:00:00"/>
    <s v="Payroll202212025"/>
    <x v="11"/>
    <s v="5"/>
    <s v="5-1"/>
    <m/>
    <m/>
    <s v="E. Delos Santos &amp; 2 others"/>
    <s v="Payment of Salaries and Allowances of E.Delos Santos &amp; 2 others of NIA-PIMO(CARP) December 2022"/>
    <x v="7"/>
    <x v="7"/>
    <n v="79449"/>
    <m/>
    <s v="220169 PS, 220121 PS, &amp; 220080 PS"/>
    <n v="79449"/>
  </r>
  <r>
    <d v="2022-12-31T00:00:00"/>
    <d v="2022-12-13T00:00:00"/>
    <s v="Payroll202212025"/>
    <x v="11"/>
    <s v="5"/>
    <s v="5-1"/>
    <m/>
    <m/>
    <s v="E. Delos Santos &amp; 2 others"/>
    <s v="Payment of Salaries and Allowances of E.Delos Santos &amp; 2 others of NIA-PIMO(CARP) December 2022"/>
    <x v="8"/>
    <x v="8"/>
    <n v="6000"/>
    <m/>
    <m/>
    <n v="85449"/>
  </r>
  <r>
    <d v="2022-12-31T00:00:00"/>
    <d v="2022-12-13T00:00:00"/>
    <s v="Payroll202212025"/>
    <x v="11"/>
    <s v="5"/>
    <s v="5-1"/>
    <m/>
    <m/>
    <s v="E. Delos Santos &amp; 2 others"/>
    <s v="Payment of Salaries and Allowances of E.Delos Santos &amp; 2 others of NIA-PIMO(CARP) December 2022"/>
    <x v="9"/>
    <x v="9"/>
    <m/>
    <n v="4133.1000000000004"/>
    <m/>
    <n v="81315.899999999994"/>
  </r>
  <r>
    <d v="2022-12-31T00:00:00"/>
    <d v="2022-12-13T00:00:00"/>
    <s v="Payroll202212025"/>
    <x v="11"/>
    <s v="5"/>
    <s v="5-1"/>
    <m/>
    <m/>
    <s v="E. Delos Santos &amp; 2 others"/>
    <s v="Payment of Salaries and Allowances of E.Delos Santos &amp; 2 others of NIA-PIMO(CARP) December 2022"/>
    <x v="10"/>
    <x v="10"/>
    <m/>
    <n v="7150.41"/>
    <m/>
    <n v="74165.490000000005"/>
  </r>
  <r>
    <d v="2022-12-31T00:00:00"/>
    <d v="2022-12-13T00:00:00"/>
    <s v="Payroll202212025"/>
    <x v="11"/>
    <s v="5"/>
    <s v="5-1"/>
    <m/>
    <m/>
    <s v="E. Delos Santos &amp; 2 others"/>
    <s v="Payment of Salaries and Allowances of E.Delos Santos &amp; 2 others of NIA-PIMO(CARP) December 2022"/>
    <x v="11"/>
    <x v="11"/>
    <m/>
    <n v="1588.98"/>
    <m/>
    <n v="72576.509999999995"/>
  </r>
  <r>
    <d v="2022-12-31T00:00:00"/>
    <d v="2022-12-13T00:00:00"/>
    <s v="Payroll202212025"/>
    <x v="11"/>
    <s v="5"/>
    <s v="5-1"/>
    <m/>
    <m/>
    <s v="E. Delos Santos &amp; 2 others"/>
    <s v="Payment of Salaries and Allowances of E.Delos Santos &amp; 2 others of NIA-PIMO(CARP) December 2022"/>
    <x v="12"/>
    <x v="12"/>
    <m/>
    <n v="4000"/>
    <m/>
    <n v="68576.509999999995"/>
  </r>
  <r>
    <d v="2022-12-31T00:00:00"/>
    <d v="2022-12-13T00:00:00"/>
    <s v="Payroll202212025"/>
    <x v="11"/>
    <s v="5"/>
    <s v="5-1"/>
    <m/>
    <m/>
    <s v="E. Delos Santos &amp; 2 others"/>
    <s v="Payment of Salaries and Allowances of E.Delos Santos &amp; 2 others of NIA-PIMO(CARP) December 2022"/>
    <x v="13"/>
    <x v="13"/>
    <m/>
    <n v="1588.98"/>
    <m/>
    <n v="66987.53"/>
  </r>
  <r>
    <d v="2022-12-31T00:00:00"/>
    <d v="2022-12-13T00:00:00"/>
    <s v="Payroll202212025"/>
    <x v="11"/>
    <s v="5"/>
    <s v="5-1"/>
    <m/>
    <m/>
    <s v="E. Delos Santos &amp; 2 others"/>
    <s v="Payment of Salaries and Allowances of E.Delos Santos &amp; 2 others of NIA-PIMO(CARP) December 2022"/>
    <x v="3"/>
    <x v="3"/>
    <m/>
    <n v="33493.78"/>
    <m/>
    <n v="33493.75"/>
  </r>
  <r>
    <d v="2022-12-31T00:00:00"/>
    <d v="2022-12-27T00:00:00"/>
    <s v="Payroll202212025A"/>
    <x v="11"/>
    <s v="5"/>
    <s v="5-1"/>
    <m/>
    <m/>
    <s v="E. Delos Santos &amp; 2 others"/>
    <s v="Payment of Salaries and Allowances of E.Delos Santos &amp; 2 others of NIA-PIMO(CARP) December 2022"/>
    <x v="3"/>
    <x v="3"/>
    <m/>
    <n v="33493.75"/>
    <m/>
    <n v="0"/>
  </r>
  <r>
    <d v="2022-12-31T00:00:00"/>
    <d v="2022-12-15T00:00:00"/>
    <s v="1475831"/>
    <x v="11"/>
    <s v="5"/>
    <s v="5-1"/>
    <m/>
    <m/>
    <s v="NIA-Region 1 Employees Multi-Purpose Cooperative"/>
    <s v="To Payment for NIA Multi-Purpose loan of R.De Guzman &amp; 2 others(Job-Order) of NIA-PIMO for the Month 0f November 16-30,2022"/>
    <x v="37"/>
    <x v="37"/>
    <n v="6381.66"/>
    <m/>
    <m/>
    <n v="6381.66"/>
  </r>
  <r>
    <d v="2022-12-31T00:00:00"/>
    <d v="2022-12-15T00:00:00"/>
    <s v="1475831"/>
    <x v="11"/>
    <s v="5"/>
    <s v="5-1"/>
    <m/>
    <m/>
    <s v="NIA-Region 1 Employees Multi-Purpose Cooperative"/>
    <s v="To Payment for NIA Multi-Purpose loan of R.De Guzman &amp; 2 others(Job-Order) of NIA-PIMO for the Month 0f November 16-30,2022"/>
    <x v="3"/>
    <x v="3"/>
    <m/>
    <n v="6381.66"/>
    <m/>
    <n v="0"/>
  </r>
  <r>
    <d v="2022-12-31T00:00:00"/>
    <d v="2022-12-16T00:00:00"/>
    <s v="Payroll202212026"/>
    <x v="11"/>
    <s v="5"/>
    <s v="5-1"/>
    <m/>
    <m/>
    <s v="E. Delos Santos &amp; 2 others"/>
    <s v="To payment for the grant of Productivity Enhancement Incentive for CY 2022"/>
    <x v="43"/>
    <x v="43"/>
    <n v="15000"/>
    <m/>
    <s v="220169 PS"/>
    <n v="15000"/>
  </r>
  <r>
    <d v="2022-12-31T00:00:00"/>
    <d v="2022-12-16T00:00:00"/>
    <s v="Payroll202212026"/>
    <x v="11"/>
    <s v="5"/>
    <s v="5-1"/>
    <m/>
    <m/>
    <s v="E. Delos Santos &amp; 2 others"/>
    <s v="To payment for the grant of Productivity Enhancement Incentive for CY 2022"/>
    <x v="3"/>
    <x v="3"/>
    <m/>
    <n v="15000"/>
    <m/>
    <n v="0"/>
  </r>
  <r>
    <d v="2022-12-31T00:00:00"/>
    <d v="2022-12-27T00:00:00"/>
    <s v="1475832"/>
    <x v="11"/>
    <s v="5"/>
    <s v="5-1"/>
    <m/>
    <m/>
    <s v="G.S.I.S"/>
    <s v="To remit monthly GSIS premiums both personal &amp; government shares of E.Delos Santos &amp; 2 Others of NIA-PIMO(CARP),Decemebr 2022"/>
    <x v="15"/>
    <x v="15"/>
    <n v="9533.8799999999992"/>
    <m/>
    <s v="220169 PS"/>
    <n v="9533.8799999999992"/>
  </r>
  <r>
    <d v="2022-12-31T00:00:00"/>
    <d v="2022-12-27T00:00:00"/>
    <s v="1475832"/>
    <x v="11"/>
    <s v="5"/>
    <s v="5-1"/>
    <m/>
    <m/>
    <s v="G.S.I.S"/>
    <s v="To remit monthly GSIS premiums both personal &amp; government shares of E.Delos Santos &amp; 2 Others of NIA-PIMO(CARP),Decemebr 2022"/>
    <x v="16"/>
    <x v="16"/>
    <n v="300"/>
    <m/>
    <m/>
    <n v="9833.8799999999992"/>
  </r>
  <r>
    <d v="2022-12-31T00:00:00"/>
    <d v="2022-12-27T00:00:00"/>
    <s v="1475832"/>
    <x v="11"/>
    <s v="5"/>
    <s v="5-1"/>
    <m/>
    <m/>
    <s v="G.S.I.S"/>
    <s v="To remit monthly GSIS premiums both personal &amp; government shares of E.Delos Santos &amp; 2 Others of NIA-PIMO(CARP),Decemebr 2022"/>
    <x v="10"/>
    <x v="10"/>
    <n v="7150.41"/>
    <m/>
    <m/>
    <n v="16984.29"/>
  </r>
  <r>
    <d v="2022-12-31T00:00:00"/>
    <d v="2022-12-27T00:00:00"/>
    <s v="1475832"/>
    <x v="11"/>
    <s v="5"/>
    <s v="5-1"/>
    <m/>
    <m/>
    <s v="G.S.I.S"/>
    <s v="To remit monthly GSIS premiums both personal &amp; government shares of E.Delos Santos &amp; 2 Others of NIA-PIMO(CARP),Decemebr 2022"/>
    <x v="3"/>
    <x v="3"/>
    <m/>
    <n v="16984.29"/>
    <m/>
    <n v="0"/>
  </r>
  <r>
    <d v="2022-12-31T00:00:00"/>
    <d v="2022-12-27T00:00:00"/>
    <s v="1475833"/>
    <x v="11"/>
    <s v="5"/>
    <s v="5-1"/>
    <m/>
    <m/>
    <s v="Philippine Health Insurance Corporation"/>
    <s v="To remit monthly PHIC premiums both personal &amp; government shares of E.Delos Santos &amp; 2 others,NIA-PIMO(CARP),Decemebr 2022"/>
    <x v="5"/>
    <x v="5"/>
    <n v="1588.98"/>
    <m/>
    <s v="220169 PS"/>
    <n v="1588.98"/>
  </r>
  <r>
    <d v="2022-12-31T00:00:00"/>
    <d v="2022-12-27T00:00:00"/>
    <s v="1475833"/>
    <x v="11"/>
    <s v="5"/>
    <s v="5-1"/>
    <m/>
    <m/>
    <s v="Philippine Health Insurance Corporation"/>
    <s v="To remit monthly PHIC premiums both personal &amp; government shares of E.Delos Santos &amp; 2 others,NIA-PIMO(CARP),Decemebr 2022"/>
    <x v="13"/>
    <x v="13"/>
    <n v="1588.98"/>
    <m/>
    <m/>
    <n v="3177.96"/>
  </r>
  <r>
    <d v="2022-12-31T00:00:00"/>
    <d v="2022-12-27T00:00:00"/>
    <s v="1475833"/>
    <x v="11"/>
    <s v="5"/>
    <s v="5-1"/>
    <m/>
    <m/>
    <s v="Philippine Health Insurance Corporation"/>
    <s v="To remit monthly PHIC premiums both personal &amp; government shares of E.Delos Santos &amp; 2 others,NIA-PIMO(CARP),Decemebr 2022"/>
    <x v="3"/>
    <x v="3"/>
    <m/>
    <n v="3177.96"/>
    <m/>
    <n v="0"/>
  </r>
  <r>
    <d v="2022-12-31T00:00:00"/>
    <d v="2022-12-27T00:00:00"/>
    <s v="1475834"/>
    <x v="11"/>
    <s v="5"/>
    <s v="5-1"/>
    <m/>
    <m/>
    <s v="H.D.M.F"/>
    <s v="To remit monthly HDMF premiums both personal &amp; government shares of E.Delos Santos &amp; 2 others of NIA-PIMO(CARP),December 2022"/>
    <x v="17"/>
    <x v="17"/>
    <n v="300"/>
    <m/>
    <s v="220169 PS"/>
    <n v="300"/>
  </r>
  <r>
    <d v="2022-12-31T00:00:00"/>
    <d v="2022-12-27T00:00:00"/>
    <s v="1475834"/>
    <x v="11"/>
    <s v="5"/>
    <s v="5-1"/>
    <m/>
    <m/>
    <s v="H.D.M.F"/>
    <s v="To remit monthly HDMF premiums both personal &amp; government shares of E.Delos Santos &amp; 2 others of NIA-PIMO(CARP),December 2022"/>
    <x v="11"/>
    <x v="11"/>
    <n v="1588.98"/>
    <m/>
    <m/>
    <n v="1888.98"/>
  </r>
  <r>
    <d v="2022-12-31T00:00:00"/>
    <d v="2022-12-27T00:00:00"/>
    <s v="1475834"/>
    <x v="11"/>
    <s v="5"/>
    <s v="5-1"/>
    <m/>
    <m/>
    <s v="H.D.M.F"/>
    <s v="To remit monthly HDMF premiums both personal &amp; government shares of E.Delos Santos &amp; 2 others of NIA-PIMO(CARP),December 2022"/>
    <x v="3"/>
    <x v="3"/>
    <m/>
    <n v="1888.98"/>
    <m/>
    <n v="0"/>
  </r>
  <r>
    <d v="2022-12-31T00:00:00"/>
    <d v="2022-12-27T00:00:00"/>
    <s v="1475835"/>
    <x v="11"/>
    <s v="5"/>
    <s v="5-1"/>
    <m/>
    <m/>
    <s v="H.D.M.F"/>
    <s v="To remit monthly HDMF M2 E.Delos Santos &amp; 1 other of NIA-PIMO(CARP),December 2022"/>
    <x v="12"/>
    <x v="12"/>
    <n v="4000"/>
    <m/>
    <m/>
    <n v="4000"/>
  </r>
  <r>
    <d v="2022-12-31T00:00:00"/>
    <d v="2022-12-27T00:00:00"/>
    <s v="1475835"/>
    <x v="11"/>
    <s v="5"/>
    <s v="5-1"/>
    <m/>
    <m/>
    <s v="H.D.M.F"/>
    <s v="To remit monthly HDMF M2 E.Delos Santos &amp; 1 other of NIA-PIMO(CARP),December 2022"/>
    <x v="3"/>
    <x v="3"/>
    <m/>
    <n v="4000"/>
    <m/>
    <n v="0"/>
  </r>
  <r>
    <d v="2022-12-31T00:00:00"/>
    <d v="2022-12-28T00:00:00"/>
    <s v="Payroll202212027"/>
    <x v="11"/>
    <s v="5"/>
    <s v="5-1"/>
    <m/>
    <m/>
    <s v="E. Delos Santos &amp; 2 others"/>
    <s v="To payment for the grant  of SRI CY 2022 of E.Delos Santos &amp; 2 others of NIA CARP"/>
    <x v="44"/>
    <x v="44"/>
    <n v="60000"/>
    <m/>
    <s v="220197 PS"/>
    <n v="60000"/>
  </r>
  <r>
    <d v="2022-12-31T00:00:00"/>
    <d v="2022-12-29T00:00:00"/>
    <s v="Payroll202212027"/>
    <x v="11"/>
    <s v="5"/>
    <s v="5-1"/>
    <m/>
    <m/>
    <s v="E. Delos Santos &amp; 2 others"/>
    <s v="To payment for the grant  of SRI CY 2022 of E.Delos Santos &amp; 2 others of NIA CARP"/>
    <x v="3"/>
    <x v="3"/>
    <m/>
    <n v="60000"/>
    <m/>
    <n v="0"/>
  </r>
  <r>
    <d v="2022-12-31T00:00:00"/>
    <d v="2022-12-28T00:00:00"/>
    <s v="1475836"/>
    <x v="11"/>
    <s v="5"/>
    <s v="5-1"/>
    <m/>
    <m/>
    <s v="Jonalyn A. Julian"/>
    <s v="To payment of TEV/Per Diem durin the conduct of CARP-IC Mid year CY 2022 IDP Assessment and Planning workshop on August 9-12,2022 at NIA-Region 8,Marasbaras,Tacloban City"/>
    <x v="27"/>
    <x v="27"/>
    <n v="2100"/>
    <m/>
    <s v="220136 MOOE"/>
    <n v="2100"/>
  </r>
  <r>
    <d v="2022-12-31T00:00:00"/>
    <d v="2022-12-28T00:00:00"/>
    <s v="1475836"/>
    <x v="11"/>
    <s v="5"/>
    <s v="5-1"/>
    <m/>
    <m/>
    <s v="Jonalyn A. Julian"/>
    <s v="To payment of TEV/Per Diem durin the conduct of CARP-IC Mid year CY 2022 IDP Assessment and Planning workshop on August 9-12,2022 at NIA-Region 8,Marasbaras,Tacloban City"/>
    <x v="3"/>
    <x v="3"/>
    <m/>
    <n v="2100"/>
    <m/>
    <n v="0"/>
  </r>
  <r>
    <d v="2022-12-31T00:00:00"/>
    <d v="2022-12-28T00:00:00"/>
    <s v="1475837"/>
    <x v="11"/>
    <s v="5"/>
    <s v="5-1"/>
    <m/>
    <m/>
    <s v="Jonalyn A. Julian"/>
    <s v="To payment of TEV/Per Diem during the conduct of Training the Trainers on Designing and Managing Training Program (CARP-IC) on November 21-25,2022 at Gateway Hotel,Pavia,Ilo-ilo City"/>
    <x v="27"/>
    <x v="27"/>
    <n v="3510"/>
    <m/>
    <s v="220136 MOOE"/>
    <n v="3510"/>
  </r>
  <r>
    <d v="2022-12-31T00:00:00"/>
    <d v="2022-12-28T00:00:00"/>
    <s v="1475837"/>
    <x v="11"/>
    <s v="5"/>
    <s v="5-1"/>
    <m/>
    <m/>
    <s v="Jonalyn A. Julian"/>
    <s v="To payment of TEV/Per Diem during the conduct of Training the Trainers on Designing and Managing Training Program (CARP-IC) on November 21-25,2022 at Gateway Hotel,Pavia,Ilo-ilo City"/>
    <x v="3"/>
    <x v="3"/>
    <m/>
    <n v="3510"/>
    <m/>
    <n v="0"/>
  </r>
  <r>
    <d v="2022-12-31T00:00:00"/>
    <d v="2022-12-28T00:00:00"/>
    <s v="1475838"/>
    <x v="11"/>
    <s v="5"/>
    <s v="5-1"/>
    <m/>
    <m/>
    <s v="Celbros Construction and Supplies"/>
    <s v="To first (1st) partial payment of contract under R1-PIMO-22-03-041 in connection with the MINOSICUAN CIS(CARP IC CY 2022) located in Umingan,Pangasinan"/>
    <x v="35"/>
    <x v="35"/>
    <n v="3117498.66"/>
    <m/>
    <s v="220076 Minosicuan CIS"/>
    <n v="3117498.66"/>
  </r>
  <r>
    <d v="2022-12-31T00:00:00"/>
    <d v="2022-12-28T00:00:00"/>
    <s v="1475838"/>
    <x v="11"/>
    <s v="5"/>
    <s v="5-1"/>
    <m/>
    <m/>
    <s v="Celbros Construction and Supplies"/>
    <s v="To first (1st) partial payment of contract under R1-PIMO-22-03-041 in connection with the MINOSICUAN CIS(CARP IC CY 2022) located in Umingan,Pangasinan"/>
    <x v="1"/>
    <x v="1"/>
    <m/>
    <n v="139174.04999999999"/>
    <m/>
    <n v="2978324.61"/>
  </r>
  <r>
    <d v="2022-12-31T00:00:00"/>
    <d v="2022-12-28T00:00:00"/>
    <s v="1475838"/>
    <x v="11"/>
    <s v="5"/>
    <s v="5-1"/>
    <m/>
    <m/>
    <s v="Celbros Construction and Supplies"/>
    <s v="To first (1st) partial payment of contract under R1-PIMO-22-03-041 in connection with the MINOSICUAN CIS(CARP IC CY 2022) located in Umingan,Pangasinan"/>
    <x v="2"/>
    <x v="2"/>
    <m/>
    <n v="55669.62"/>
    <m/>
    <n v="2922654.99"/>
  </r>
  <r>
    <d v="2022-12-31T00:00:00"/>
    <d v="2022-12-28T00:00:00"/>
    <s v="1475838"/>
    <x v="11"/>
    <s v="5"/>
    <s v="5-1"/>
    <m/>
    <m/>
    <s v="Celbros Construction and Supplies"/>
    <s v="To first (1st) partial payment of contract under R1-PIMO-22-03-041 in connection with the MINOSICUAN CIS(CARP IC CY 2022) located in Umingan,Pangasinan"/>
    <x v="4"/>
    <x v="4"/>
    <m/>
    <n v="311749.87"/>
    <m/>
    <n v="2610905.12"/>
  </r>
  <r>
    <d v="2022-12-31T00:00:00"/>
    <d v="2022-12-28T00:00:00"/>
    <s v="1475838"/>
    <x v="11"/>
    <s v="5"/>
    <s v="5-1"/>
    <m/>
    <m/>
    <s v="Celbros Construction and Supplies"/>
    <s v="To first (1st) partial payment of contract under R1-PIMO-22-03-041 in connection with the MINOSICUAN CIS(CARP IC CY 2022) located in Umingan,Pangasinan"/>
    <x v="32"/>
    <x v="32"/>
    <m/>
    <n v="467548.14"/>
    <m/>
    <n v="2143356.98"/>
  </r>
  <r>
    <d v="2022-12-31T00:00:00"/>
    <d v="2022-12-28T00:00:00"/>
    <s v="1475838"/>
    <x v="11"/>
    <s v="5"/>
    <s v="5-1"/>
    <m/>
    <m/>
    <s v="Celbros Construction and Supplies"/>
    <s v="To first (1st) partial payment of contract under R1-PIMO-22-03-041 in connection with the MINOSICUAN CIS(CARP IC CY 2022) located in Umingan,Pangasinan"/>
    <x v="3"/>
    <x v="3"/>
    <m/>
    <n v="2143356.98"/>
    <m/>
    <n v="0"/>
  </r>
  <r>
    <d v="2022-12-31T00:00:00"/>
    <d v="2022-12-29T00:00:00"/>
    <s v="1475839"/>
    <x v="11"/>
    <s v="5"/>
    <s v="5-1"/>
    <m/>
    <m/>
    <s v="LBP for the account of BIR"/>
    <s v="To remit witolding tax on compensation of E.Delos santos &amp; 2 others of NIA-PIMO (CARP),fro the period of December 2022"/>
    <x v="9"/>
    <x v="9"/>
    <n v="4133.1000000000004"/>
    <m/>
    <m/>
    <n v="4133.1000000000004"/>
  </r>
  <r>
    <d v="2022-12-31T00:00:00"/>
    <d v="2022-12-29T00:00:00"/>
    <s v="1475839"/>
    <x v="11"/>
    <s v="5"/>
    <s v="5-1"/>
    <m/>
    <m/>
    <s v="LBP for the account of BIR"/>
    <s v="To remit witolding tax on compensation of E.Delos santos &amp; 2 others of NIA-PIMO (CARP),fro the period of December 2022"/>
    <x v="3"/>
    <x v="3"/>
    <m/>
    <n v="4133.1000000000004"/>
    <m/>
    <n v="0"/>
  </r>
  <r>
    <d v="2022-12-31T00:00:00"/>
    <d v="2022-12-29T00:00:00"/>
    <s v="1475840"/>
    <x v="11"/>
    <s v="5"/>
    <s v="5-1"/>
    <m/>
    <m/>
    <s v="Cipriano Y. Yabut"/>
    <s v="To reimburse the amount paid of tire vulcanizing(payloader pdf-1902),halogen bulb, &amp; Car stereo,oring replacement &amp; freon charge,tire vulcanizing for the use of service vehicle &amp; heavy equipment of NIA Agno-sinocalan RIS.."/>
    <x v="45"/>
    <x v="45"/>
    <n v="13480"/>
    <m/>
    <s v="220044 Malimpin SPIP"/>
    <n v="13480"/>
  </r>
  <r>
    <d v="2022-12-31T00:00:00"/>
    <d v="2022-12-29T00:00:00"/>
    <s v="1475840"/>
    <x v="11"/>
    <s v="5"/>
    <s v="5-1"/>
    <m/>
    <m/>
    <s v="Cipriano Y. Yabut"/>
    <s v="To reimburse the amount paid of tire vulcanizing(payloader pdf-1902),halogen bulb, &amp; Car stereo,oring replacement &amp; freon charge,tire vulcanizing for the use of service vehicle &amp; heavy equipment of NIA Agno-sinocalan RIS.."/>
    <x v="3"/>
    <x v="3"/>
    <m/>
    <n v="13480"/>
    <m/>
    <n v="0"/>
  </r>
  <r>
    <d v="2022-12-31T00:00:00"/>
    <d v="2022-12-29T00:00:00"/>
    <s v="1475841"/>
    <x v="11"/>
    <s v="5"/>
    <s v="5-1"/>
    <m/>
    <m/>
    <s v="Izbarinos Corporation"/>
    <s v="To payment of diesel fuel for use of various vehicles asssigned for Project of Irrigation System NIA PIMO,for the period of November 16-30,2022"/>
    <x v="46"/>
    <x v="46"/>
    <n v="42921.19"/>
    <m/>
    <s v="220044 Malimpin SPIP"/>
    <n v="42921.19"/>
  </r>
  <r>
    <d v="2022-12-31T00:00:00"/>
    <d v="2022-12-29T00:00:00"/>
    <s v="1475841"/>
    <x v="11"/>
    <s v="5"/>
    <s v="5-1"/>
    <m/>
    <m/>
    <s v="Izbarinos Corporation"/>
    <s v="To payment of diesel fuel for use of various vehicles asssigned for Project of Irrigation System NIA PIMO,for the period of November 16-30,2022"/>
    <x v="6"/>
    <x v="6"/>
    <m/>
    <n v="383.22"/>
    <m/>
    <n v="42537.97"/>
  </r>
  <r>
    <d v="2022-12-31T00:00:00"/>
    <d v="2022-12-29T00:00:00"/>
    <s v="1475841"/>
    <x v="11"/>
    <s v="5"/>
    <s v="5-1"/>
    <m/>
    <m/>
    <s v="Izbarinos Corporation"/>
    <s v="To payment of diesel fuel for use of various vehicles asssigned for Project of Irrigation System NIA PIMO,for the period of November 16-30,2022"/>
    <x v="1"/>
    <x v="1"/>
    <m/>
    <n v="1916.12"/>
    <m/>
    <n v="40621.85"/>
  </r>
  <r>
    <d v="2022-12-31T00:00:00"/>
    <d v="2022-12-29T00:00:00"/>
    <s v="1475841"/>
    <x v="11"/>
    <s v="5"/>
    <s v="5-1"/>
    <m/>
    <m/>
    <s v="Izbarinos Corporation"/>
    <s v="To payment of diesel fuel for use of various vehicles asssigned for Project of Irrigation System NIA PIMO,for the period of November 16-30,2022"/>
    <x v="3"/>
    <x v="3"/>
    <m/>
    <n v="40621.85"/>
    <m/>
    <n v="0"/>
  </r>
  <r>
    <d v="2022-12-31T00:00:00"/>
    <d v="2022-12-29T00:00:00"/>
    <s v="1475842"/>
    <x v="11"/>
    <s v="5"/>
    <s v="5-1"/>
    <m/>
    <m/>
    <s v="Majodo Office &amp; School Supplies"/>
    <s v="To payment of Office Supplies( Folder,Notepad and 4 others) for use of PIMO-AFS &amp; Field Offices …"/>
    <x v="24"/>
    <x v="24"/>
    <n v="43510"/>
    <m/>
    <s v="220136 MOOE &amp; 220044 Malimpin SPIP(GESA)"/>
    <n v="43510"/>
  </r>
  <r>
    <d v="2022-12-31T00:00:00"/>
    <d v="2022-12-29T00:00:00"/>
    <s v="1475842"/>
    <x v="11"/>
    <s v="5"/>
    <s v="5-1"/>
    <m/>
    <m/>
    <s v="Majodo Office &amp; School Supplies"/>
    <s v="To payment of Office Supplies( Folder,Notepad and 4 others) for use of PIMO-AFS &amp; Field Offices …"/>
    <x v="6"/>
    <x v="6"/>
    <m/>
    <n v="435.1"/>
    <m/>
    <n v="43074.9"/>
  </r>
  <r>
    <d v="2022-12-31T00:00:00"/>
    <d v="2022-12-29T00:00:00"/>
    <s v="1475842"/>
    <x v="11"/>
    <s v="5"/>
    <s v="5-1"/>
    <m/>
    <m/>
    <s v="Majodo Office &amp; School Supplies"/>
    <s v="To payment of Office Supplies( Folder,Notepad and 4 others) for use of PIMO-AFS &amp; Field Offices …"/>
    <x v="6"/>
    <x v="6"/>
    <m/>
    <n v="435.1"/>
    <m/>
    <n v="42639.8"/>
  </r>
  <r>
    <d v="2022-12-31T00:00:00"/>
    <d v="2022-12-29T00:00:00"/>
    <s v="1475842"/>
    <x v="11"/>
    <s v="5"/>
    <s v="5-1"/>
    <m/>
    <m/>
    <s v="Majodo Office &amp; School Supplies"/>
    <s v="To payment of Office Supplies( Folder,Notepad and 4 others) for use of PIMO-AFS &amp; Field Offices …"/>
    <x v="3"/>
    <x v="3"/>
    <m/>
    <n v="42639.8"/>
    <m/>
    <n v="0"/>
  </r>
  <r>
    <d v="2022-12-31T00:00:00"/>
    <d v="2022-12-29T00:00:00"/>
    <s v="1475843"/>
    <x v="11"/>
    <s v="5"/>
    <s v="5-1"/>
    <m/>
    <m/>
    <s v="Bureau of Treasury"/>
    <s v="To remit interest income under Fund 501 CARP for the 4th quarter of CY 2022"/>
    <x v="26"/>
    <x v="26"/>
    <n v="394.1"/>
    <m/>
    <m/>
    <n v="394.1"/>
  </r>
  <r>
    <d v="2022-12-31T00:00:00"/>
    <d v="2022-12-29T00:00:00"/>
    <s v="1475843"/>
    <x v="11"/>
    <s v="5"/>
    <s v="5-1"/>
    <m/>
    <m/>
    <s v="Bureau of Treasury"/>
    <s v="To remit interest income under Fund 501 CARP for the 4th quarter of CY 2022"/>
    <x v="3"/>
    <x v="3"/>
    <m/>
    <n v="394.1"/>
    <m/>
    <n v="0"/>
  </r>
  <r>
    <d v="2022-12-31T00:00:00"/>
    <d v="2022-12-29T00:00:00"/>
    <s v="1475844"/>
    <x v="11"/>
    <s v="5"/>
    <s v="5-1"/>
    <m/>
    <m/>
    <s v="LBP for the account of BIR"/>
    <s v="to remit collection of witholdin of Final Vat (1%-2%)  for the Month of December"/>
    <x v="2"/>
    <x v="2"/>
    <n v="126205.42"/>
    <m/>
    <m/>
    <n v="126205.42"/>
  </r>
  <r>
    <d v="2022-12-31T00:00:00"/>
    <d v="2022-12-29T00:00:00"/>
    <s v="1475844"/>
    <x v="11"/>
    <s v="5"/>
    <s v="5-1"/>
    <m/>
    <m/>
    <s v="LBP for the account of BIR"/>
    <s v="to remit collection of witholdin of Final Vat (1%-2%)  for the Month of December"/>
    <x v="6"/>
    <x v="6"/>
    <n v="818.32"/>
    <m/>
    <m/>
    <n v="127023.74"/>
  </r>
  <r>
    <d v="2022-12-31T00:00:00"/>
    <d v="2022-12-29T00:00:00"/>
    <s v="1475844"/>
    <x v="11"/>
    <s v="5"/>
    <s v="5-1"/>
    <m/>
    <m/>
    <s v="LBP for the account of BIR"/>
    <s v="to remit collection of witholdin of Final Vat (1%-2%)  for the Month of December"/>
    <x v="3"/>
    <x v="3"/>
    <m/>
    <n v="127023.74"/>
    <m/>
    <n v="0"/>
  </r>
  <r>
    <d v="2022-12-31T00:00:00"/>
    <d v="2022-12-29T00:00:00"/>
    <s v="1475845"/>
    <x v="11"/>
    <s v="5"/>
    <s v="5-1"/>
    <m/>
    <m/>
    <s v="LBP for the account of BIR"/>
    <s v="to remit collection of witholdin of Final Vat (5%-1%) Month of December"/>
    <x v="1"/>
    <x v="1"/>
    <n v="317429.65999999997"/>
    <m/>
    <m/>
    <n v="317429.65999999997"/>
  </r>
  <r>
    <d v="2022-12-31T00:00:00"/>
    <d v="2022-12-29T00:00:00"/>
    <s v="1475845"/>
    <x v="11"/>
    <s v="5"/>
    <s v="5-1"/>
    <m/>
    <m/>
    <s v="LBP for the account of BIR"/>
    <s v="to remit collection of witholdin of Final Vat (5%-1%) Month of December"/>
    <x v="6"/>
    <x v="6"/>
    <n v="435.1"/>
    <m/>
    <m/>
    <n v="317864.76"/>
  </r>
  <r>
    <d v="2022-12-31T00:00:00"/>
    <d v="2022-12-29T00:00:00"/>
    <s v="1475845"/>
    <x v="11"/>
    <s v="5"/>
    <s v="5-1"/>
    <m/>
    <m/>
    <s v="LBP for the account of BIR"/>
    <s v="to remit collection of witholdin of Final Vat (5%-1%) Month of December"/>
    <x v="3"/>
    <x v="3"/>
    <m/>
    <n v="317864.76"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  <r>
    <m/>
    <m/>
    <m/>
    <x v="12"/>
    <m/>
    <m/>
    <m/>
    <m/>
    <m/>
    <m/>
    <x v="47"/>
    <x v="47"/>
    <m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3" cacheId="0" applyNumberFormats="0" applyBorderFormats="0" applyFontFormats="0" applyPatternFormats="0" applyAlignmentFormats="0" applyWidthHeightFormats="1" dataCaption="Values" updatedVersion="6" minRefreshableVersion="3" showCalcMbrs="0" itemPrintTitles="1" createdVersion="3" indent="0" compact="0" compactData="0" multipleFieldFilters="0">
  <location ref="A4:D7" firstHeaderRow="1" firstDataRow="2" firstDataCol="2" rowPageCount="2" colPageCount="1"/>
  <pivotFields count="12">
    <pivotField axis="axisPage" compact="0" outline="0" showAll="0" defaultSubtotal="0">
      <items count="13">
        <item m="1" x="7"/>
        <item m="1" x="4"/>
        <item m="1" x="6"/>
        <item m="1" x="10"/>
        <item m="1" x="3"/>
        <item m="1" x="8"/>
        <item m="1" x="12"/>
        <item m="1" x="11"/>
        <item m="1" x="5"/>
        <item m="1" x="9"/>
        <item x="0"/>
        <item x="1"/>
        <item x="2"/>
      </items>
    </pivotField>
    <pivotField axis="axisPage" compact="0" outline="0" multipleItemSelectionAllowed="1" showAll="0" defaultSubtotal="0">
      <items count="71">
        <item x="1"/>
        <item m="1" x="54"/>
        <item m="1" x="51"/>
        <item m="1" x="49"/>
        <item m="1" x="47"/>
        <item m="1" x="3"/>
        <item m="1" x="48"/>
        <item m="1" x="46"/>
        <item m="1" x="70"/>
        <item m="1" x="33"/>
        <item m="1" x="66"/>
        <item m="1" x="61"/>
        <item m="1" x="58"/>
        <item m="1" x="16"/>
        <item m="1" x="13"/>
        <item m="1" x="14"/>
        <item m="1" x="11"/>
        <item m="1" x="44"/>
        <item m="1" x="69"/>
        <item m="1" x="30"/>
        <item m="1" x="32"/>
        <item m="1" x="29"/>
        <item m="1" x="27"/>
        <item m="1" x="24"/>
        <item m="1" x="19"/>
        <item m="1" x="55"/>
        <item m="1" x="8"/>
        <item m="1" x="39"/>
        <item m="1" x="37"/>
        <item m="1" x="36"/>
        <item m="1" x="34"/>
        <item m="1" x="35"/>
        <item m="1" x="31"/>
        <item m="1" x="64"/>
        <item m="1" x="12"/>
        <item m="1" x="45"/>
        <item m="1" x="43"/>
        <item m="1" x="42"/>
        <item m="1" x="41"/>
        <item m="1" x="40"/>
        <item m="1" x="68"/>
        <item m="1" x="63"/>
        <item m="1" x="62"/>
        <item m="1" x="60"/>
        <item m="1" x="57"/>
        <item m="1" x="52"/>
        <item m="1" x="6"/>
        <item m="1" x="17"/>
        <item m="1" x="15"/>
        <item m="1" x="59"/>
        <item m="1" x="56"/>
        <item m="1" x="53"/>
        <item m="1" x="50"/>
        <item m="1" x="10"/>
        <item m="1" x="9"/>
        <item m="1" x="7"/>
        <item m="1" x="4"/>
        <item m="1" x="38"/>
        <item m="1" x="5"/>
        <item m="1" x="67"/>
        <item m="1" x="26"/>
        <item m="1" x="23"/>
        <item m="1" x="21"/>
        <item m="1" x="28"/>
        <item m="1" x="25"/>
        <item m="1" x="22"/>
        <item m="1" x="20"/>
        <item m="1" x="18"/>
        <item x="0"/>
        <item m="1" x="2"/>
        <item m="1" x="6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5">
        <item x="0"/>
        <item m="1" x="16"/>
        <item m="1" x="5"/>
        <item m="1" x="6"/>
        <item m="1" x="20"/>
        <item m="1" x="4"/>
        <item m="1" x="7"/>
        <item m="1" x="8"/>
        <item m="1" x="9"/>
        <item m="1" x="13"/>
        <item m="1" x="1"/>
        <item m="1" x="23"/>
        <item m="1" x="22"/>
        <item m="1" x="24"/>
        <item m="1" x="11"/>
        <item m="1" x="17"/>
        <item m="1" x="12"/>
        <item m="1" x="3"/>
        <item m="1" x="14"/>
        <item m="1" x="19"/>
        <item m="1" x="21"/>
        <item m="1" x="10"/>
        <item m="1" x="2"/>
        <item m="1" x="15"/>
        <item m="1" x="18"/>
      </items>
    </pivotField>
    <pivotField axis="axisRow" compact="0" outline="0" showAll="0" defaultSubtotal="0">
      <items count="26">
        <item x="0"/>
        <item m="1" x="2"/>
        <item m="1" x="21"/>
        <item m="1" x="11"/>
        <item m="1" x="5"/>
        <item m="1" x="4"/>
        <item m="1" x="9"/>
        <item m="1" x="14"/>
        <item m="1" x="16"/>
        <item m="1" x="24"/>
        <item m="1" x="19"/>
        <item m="1" x="18"/>
        <item m="1" x="7"/>
        <item m="1" x="3"/>
        <item m="1" x="1"/>
        <item m="1" x="20"/>
        <item m="1" x="12"/>
        <item m="1" x="23"/>
        <item m="1" x="17"/>
        <item m="1" x="15"/>
        <item m="1" x="6"/>
        <item m="1" x="25"/>
        <item m="1" x="10"/>
        <item m="1" x="8"/>
        <item m="1" x="22"/>
        <item m="1" x="13"/>
      </items>
    </pivotField>
    <pivotField dataField="1" compact="0" outline="0" showAll="0" defaultSubtotal="0"/>
    <pivotField dataField="1" compact="0" outline="0" showAll="0" defaultSubtotal="0"/>
    <pivotField compact="0" numFmtId="39" outline="0" showAll="0" defaultSubtotal="0"/>
  </pivotFields>
  <rowFields count="2">
    <field x="8"/>
    <field x="7"/>
  </rowFields>
  <rowItems count="2">
    <i>
      <x/>
      <x/>
    </i>
    <i t="grand">
      <x/>
    </i>
  </rowItems>
  <colFields count="1">
    <field x="-2"/>
  </colFields>
  <colItems count="2">
    <i>
      <x/>
    </i>
    <i i="1">
      <x v="1"/>
    </i>
  </colItems>
  <pageFields count="2">
    <pageField fld="1" hier="-1"/>
    <pageField fld="0" hier="-1"/>
  </pageFields>
  <dataFields count="2">
    <dataField name="Sum of Debit" fld="9" baseField="0" baseItem="0"/>
    <dataField name="Sum of Credit" fld="10" baseField="0" baseItem="0"/>
  </dataFields>
  <formats count="5">
    <format dxfId="174">
      <pivotArea outline="0" collapsedLevelsAreSubtotals="1" fieldPosition="0"/>
    </format>
    <format dxfId="173">
      <pivotArea field="-2" type="button" dataOnly="0" labelOnly="1" outline="0" axis="axisCol" fieldPosition="0"/>
    </format>
    <format dxfId="172">
      <pivotArea type="topRight" dataOnly="0" labelOnly="1" outline="0" fieldPosition="0"/>
    </format>
    <format dxfId="1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0">
      <pivotArea type="all" dataOnly="0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1000000}" name="PivotTable1" cacheId="3" applyNumberFormats="0" applyBorderFormats="0" applyFontFormats="0" applyPatternFormats="0" applyAlignmentFormats="0" applyWidthHeightFormats="1" dataCaption="Values" updatedVersion="5" minRefreshableVersion="3" showCalcMbrs="0" itemPrintTitles="1" createdVersion="3" indent="0" compact="0" compactData="0" multipleFieldFilters="0" fieldListSortAscending="1">
  <location ref="A3:D32" firstHeaderRow="1" firstDataRow="2" firstDataCol="2" rowPageCount="1" colPageCount="1"/>
  <pivotFields count="16">
    <pivotField compact="0" outline="0" showAll="0" defaultSubtotal="0"/>
    <pivotField compact="0" outline="0" showAll="0" defaultSubtotal="0"/>
    <pivotField compact="0" outline="0" showAll="0" defaultSubtotal="0"/>
    <pivotField name="22-09-" axis="axisPage" compact="0" outline="0" showAll="0" defaultSubtotal="0">
      <items count="284">
        <item x="12"/>
        <item m="1" x="70"/>
        <item m="1" x="81"/>
        <item m="1" x="89"/>
        <item m="1" x="93"/>
        <item m="1" x="98"/>
        <item m="1" x="104"/>
        <item m="1" x="112"/>
        <item m="1" x="63"/>
        <item m="1" x="72"/>
        <item m="1" x="48"/>
        <item m="1" x="82"/>
        <item m="1" x="156"/>
        <item m="1" x="165"/>
        <item m="1" x="109"/>
        <item m="1" x="116"/>
        <item m="1" x="127"/>
        <item m="1" x="132"/>
        <item m="1" x="142"/>
        <item m="1" x="151"/>
        <item m="1" x="158"/>
        <item m="1" x="167"/>
        <item m="1" x="193"/>
        <item m="1" x="201"/>
        <item m="1" x="211"/>
        <item m="1" x="162"/>
        <item m="1" x="171"/>
        <item m="1" x="178"/>
        <item m="1" x="184"/>
        <item m="1" x="190"/>
        <item m="1" x="194"/>
        <item m="1" x="202"/>
        <item m="1" x="57"/>
        <item m="1" x="66"/>
        <item m="1" x="76"/>
        <item m="1" x="85"/>
        <item m="1" x="92"/>
        <item m="1" x="96"/>
        <item m="1" x="102"/>
        <item m="1" x="108"/>
        <item m="1" x="114"/>
        <item m="1" x="123"/>
        <item m="1" x="128"/>
        <item m="1" x="133"/>
        <item m="1" x="117"/>
        <item m="1" x="144"/>
        <item m="1" x="153"/>
        <item m="1" x="155"/>
        <item m="1" x="164"/>
        <item m="1" x="149"/>
        <item m="1" x="173"/>
        <item m="1" x="179"/>
        <item m="1" x="210"/>
        <item m="1" x="217"/>
        <item m="1" x="200"/>
        <item m="1" x="196"/>
        <item m="1" x="226"/>
        <item m="1" x="235"/>
        <item m="1" x="223"/>
        <item m="1" x="233"/>
        <item m="1" x="244"/>
        <item m="1" x="256"/>
        <item m="1" x="267"/>
        <item m="1" x="274"/>
        <item m="1" x="282"/>
        <item m="1" x="15"/>
        <item m="1" x="175"/>
        <item m="1" x="120"/>
        <item m="1" x="105"/>
        <item m="1" x="101"/>
        <item m="1" x="129"/>
        <item m="1" x="135"/>
        <item m="1" x="204"/>
        <item m="1" x="157"/>
        <item m="1" x="141"/>
        <item m="1" x="166"/>
        <item m="1" x="150"/>
        <item m="1" x="174"/>
        <item m="1" x="180"/>
        <item m="1" x="228"/>
        <item m="1" x="271"/>
        <item m="1" x="264"/>
        <item m="1" x="237"/>
        <item m="1" x="219"/>
        <item m="1" x="249"/>
        <item m="1" x="125"/>
        <item m="1" x="124"/>
        <item m="1" x="131"/>
        <item m="1" x="140"/>
        <item m="1" x="115"/>
        <item m="1" x="189"/>
        <item m="1" x="177"/>
        <item m="1" x="182"/>
        <item m="1" x="192"/>
        <item m="1" x="199"/>
        <item m="1" x="207"/>
        <item m="1" x="214"/>
        <item m="1" x="225"/>
        <item m="1" x="160"/>
        <item m="1" x="169"/>
        <item m="1" x="206"/>
        <item m="1" x="181"/>
        <item m="1" x="198"/>
        <item m="1" x="213"/>
        <item m="1" x="186"/>
        <item m="1" x="36"/>
        <item m="1" x="203"/>
        <item m="1" x="221"/>
        <item m="1" x="252"/>
        <item m="1" x="205"/>
        <item m="1" x="270"/>
        <item m="1" x="216"/>
        <item m="1" x="247"/>
        <item m="1" x="277"/>
        <item m="1" x="24"/>
        <item m="1" x="273"/>
        <item m="1" x="21"/>
        <item m="1" x="34"/>
        <item m="1" x="51"/>
        <item m="1" x="265"/>
        <item m="1" x="280"/>
        <item m="1" x="60"/>
        <item m="1" x="68"/>
        <item m="1" x="79"/>
        <item m="1" x="19"/>
        <item m="1" x="28"/>
        <item m="1" x="100"/>
        <item m="1" x="54"/>
        <item m="1" x="74"/>
        <item m="1" x="84"/>
        <item m="1" x="91"/>
        <item m="1" x="97"/>
        <item m="1" x="103"/>
        <item m="1" x="111"/>
        <item m="1" x="119"/>
        <item m="1" x="134"/>
        <item m="1" x="33"/>
        <item m="1" x="35"/>
        <item m="1" x="37"/>
        <item m="1" x="40"/>
        <item m="1" x="43"/>
        <item m="1" x="44"/>
        <item m="1" x="45"/>
        <item m="1" x="49"/>
        <item m="1" x="50"/>
        <item m="1" x="52"/>
        <item m="1" x="23"/>
        <item m="1" x="26"/>
        <item m="1" x="27"/>
        <item m="1" x="29"/>
        <item m="1" x="32"/>
        <item m="1" x="195"/>
        <item m="1" x="188"/>
        <item m="1" x="185"/>
        <item m="1" x="220"/>
        <item m="1" x="229"/>
        <item m="1" x="238"/>
        <item m="1" x="258"/>
        <item m="1" x="250"/>
        <item m="1" x="191"/>
        <item m="1" x="208"/>
        <item m="1" x="268"/>
        <item m="1" x="275"/>
        <item m="1" x="209"/>
        <item m="1" x="215"/>
        <item m="1" x="260"/>
        <item m="1" x="197"/>
        <item m="1" x="212"/>
        <item m="1" x="222"/>
        <item m="1" x="232"/>
        <item m="1" x="241"/>
        <item m="1" x="218"/>
        <item m="1" x="227"/>
        <item m="1" x="236"/>
        <item m="1" x="262"/>
        <item m="1" x="278"/>
        <item m="1" x="266"/>
        <item m="1" x="14"/>
        <item m="1" x="53"/>
        <item m="1" x="64"/>
        <item m="1" x="281"/>
        <item m="1" x="230"/>
        <item m="1" x="239"/>
        <item m="1" x="251"/>
        <item m="1" x="272"/>
        <item m="1" x="279"/>
        <item m="1" x="16"/>
        <item m="1" x="38"/>
        <item m="1" x="245"/>
        <item m="1" x="269"/>
        <item m="1" x="276"/>
        <item m="1" x="13"/>
        <item m="1" x="20"/>
        <item m="1" x="31"/>
        <item m="1" x="62"/>
        <item m="1" x="71"/>
        <item m="1" x="67"/>
        <item m="1" x="77"/>
        <item m="1" x="86"/>
        <item m="1" x="18"/>
        <item m="1" x="25"/>
        <item m="1" x="58"/>
        <item m="1" x="73"/>
        <item m="1" x="83"/>
        <item m="1" x="90"/>
        <item m="1" x="94"/>
        <item m="1" x="99"/>
        <item m="1" x="59"/>
        <item m="1" x="78"/>
        <item m="1" x="87"/>
        <item m="1" x="126"/>
        <item m="1" x="88"/>
        <item m="1" x="106"/>
        <item m="1" x="138"/>
        <item m="1" x="95"/>
        <item m="1" x="107"/>
        <item m="1" x="113"/>
        <item m="1" x="122"/>
        <item m="1" x="152"/>
        <item m="1" x="159"/>
        <item m="1" x="168"/>
        <item m="1" x="110"/>
        <item m="1" x="118"/>
        <item m="1" x="139"/>
        <item m="1" x="161"/>
        <item m="1" x="170"/>
        <item m="1" x="183"/>
        <item m="1" x="148"/>
        <item m="1" x="145"/>
        <item m="1" x="176"/>
        <item m="1" x="121"/>
        <item m="1" x="130"/>
        <item m="1" x="136"/>
        <item m="1" x="154"/>
        <item m="1" x="163"/>
        <item m="1" x="172"/>
        <item m="1" x="187"/>
        <item m="1" x="231"/>
        <item m="1" x="246"/>
        <item m="1" x="283"/>
        <item m="1" x="17"/>
        <item m="1" x="22"/>
        <item m="1" x="42"/>
        <item m="1" x="234"/>
        <item m="1" x="30"/>
        <item m="1" x="39"/>
        <item m="1" x="46"/>
        <item m="1" x="55"/>
        <item m="1" x="61"/>
        <item m="1" x="65"/>
        <item m="1" x="69"/>
        <item m="1" x="248"/>
        <item m="1" x="75"/>
        <item n="21-09-001" m="1" x="80"/>
        <item m="1" x="41"/>
        <item m="1" x="47"/>
        <item m="1" x="224"/>
        <item m="1" x="56"/>
        <item x="0"/>
        <item m="1" x="253"/>
        <item m="1" x="254"/>
        <item m="1" x="255"/>
        <item m="1" x="257"/>
        <item m="1" x="259"/>
        <item m="1" x="261"/>
        <item m="1" x="263"/>
        <item m="1" x="240"/>
        <item m="1" x="242"/>
        <item m="1" x="243"/>
        <item x="1"/>
        <item x="2"/>
        <item x="3"/>
        <item x="4"/>
        <item m="1" x="143"/>
        <item m="1" x="146"/>
        <item m="1" x="147"/>
        <item x="5"/>
        <item m="1" x="137"/>
        <item x="6"/>
        <item x="7"/>
        <item x="8"/>
        <item x="9"/>
        <item x="10"/>
        <item x="1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18">
        <item x="47"/>
        <item m="1" x="84"/>
        <item x="0"/>
        <item m="1" x="66"/>
        <item m="1" x="107"/>
        <item m="1" x="106"/>
        <item m="1" x="115"/>
        <item m="1" x="83"/>
        <item m="1" x="104"/>
        <item m="1" x="68"/>
        <item x="21"/>
        <item m="1" x="80"/>
        <item x="35"/>
        <item m="1" x="72"/>
        <item m="1" x="67"/>
        <item x="38"/>
        <item m="1" x="87"/>
        <item x="10"/>
        <item m="1" x="71"/>
        <item m="1" x="95"/>
        <item x="29"/>
        <item m="1" x="94"/>
        <item x="41"/>
        <item x="42"/>
        <item x="11"/>
        <item x="13"/>
        <item m="1" x="112"/>
        <item x="16"/>
        <item m="1" x="117"/>
        <item x="46"/>
        <item x="4"/>
        <item m="1" x="62"/>
        <item m="1" x="54"/>
        <item m="1" x="70"/>
        <item m="1" x="77"/>
        <item x="34"/>
        <item x="19"/>
        <item m="1" x="92"/>
        <item m="1" x="93"/>
        <item m="1" x="101"/>
        <item m="1" x="52"/>
        <item m="1" x="78"/>
        <item x="25"/>
        <item m="1" x="109"/>
        <item x="37"/>
        <item m="1" x="53"/>
        <item x="45"/>
        <item m="1" x="85"/>
        <item x="17"/>
        <item m="1" x="49"/>
        <item x="18"/>
        <item m="1" x="114"/>
        <item m="1" x="86"/>
        <item m="1" x="99"/>
        <item m="1" x="81"/>
        <item m="1" x="51"/>
        <item m="1" x="90"/>
        <item m="1" x="96"/>
        <item m="1" x="105"/>
        <item m="1" x="69"/>
        <item m="1" x="79"/>
        <item m="1" x="100"/>
        <item m="1" x="111"/>
        <item x="15"/>
        <item m="1" x="98"/>
        <item x="7"/>
        <item x="23"/>
        <item m="1" x="64"/>
        <item m="1" x="103"/>
        <item m="1" x="113"/>
        <item m="1" x="60"/>
        <item m="1" x="75"/>
        <item x="5"/>
        <item m="1" x="65"/>
        <item m="1" x="102"/>
        <item x="27"/>
        <item m="1" x="48"/>
        <item m="1" x="50"/>
        <item x="3"/>
        <item x="9"/>
        <item x="1"/>
        <item x="2"/>
        <item x="30"/>
        <item m="1" x="61"/>
        <item m="1" x="89"/>
        <item x="6"/>
        <item x="32"/>
        <item x="8"/>
        <item x="22"/>
        <item x="26"/>
        <item x="28"/>
        <item x="36"/>
        <item m="1" x="55"/>
        <item m="1" x="63"/>
        <item m="1" x="59"/>
        <item m="1" x="74"/>
        <item x="40"/>
        <item x="43"/>
        <item x="31"/>
        <item m="1" x="116"/>
        <item m="1" x="108"/>
        <item x="12"/>
        <item m="1" x="56"/>
        <item m="1" x="57"/>
        <item m="1" x="82"/>
        <item x="20"/>
        <item m="1" x="91"/>
        <item m="1" x="73"/>
        <item m="1" x="58"/>
        <item x="39"/>
        <item x="44"/>
        <item m="1" x="110"/>
        <item x="14"/>
        <item m="1" x="88"/>
        <item m="1" x="97"/>
        <item x="24"/>
        <item x="33"/>
        <item m="1" x="76"/>
      </items>
    </pivotField>
    <pivotField axis="axisRow" compact="0" outline="0" showAll="0" sortType="ascending" defaultSubtotal="0">
      <items count="84">
        <item m="1" x="48"/>
        <item m="1" x="63"/>
        <item m="1" x="57"/>
        <item m="1" x="80"/>
        <item m="1" x="77"/>
        <item m="1" x="51"/>
        <item m="1" x="49"/>
        <item m="1" x="79"/>
        <item m="1" x="78"/>
        <item m="1" x="75"/>
        <item m="1" x="74"/>
        <item m="1" x="68"/>
        <item m="1" x="58"/>
        <item m="1" x="73"/>
        <item m="1" x="72"/>
        <item m="1" x="71"/>
        <item m="1" x="69"/>
        <item m="1" x="67"/>
        <item m="1" x="64"/>
        <item m="1" x="62"/>
        <item m="1" x="83"/>
        <item m="1" x="61"/>
        <item m="1" x="81"/>
        <item m="1" x="76"/>
        <item m="1" x="56"/>
        <item m="1" x="54"/>
        <item m="1" x="53"/>
        <item m="1" x="70"/>
        <item m="1" x="52"/>
        <item m="1" x="66"/>
        <item m="1" x="50"/>
        <item m="1" x="65"/>
        <item m="1" x="59"/>
        <item m="1" x="60"/>
        <item m="1" x="82"/>
        <item m="1" x="55"/>
        <item x="3"/>
        <item x="24"/>
        <item x="33"/>
        <item x="39"/>
        <item x="30"/>
        <item x="32"/>
        <item x="34"/>
        <item x="22"/>
        <item x="35"/>
        <item x="0"/>
        <item x="29"/>
        <item x="26"/>
        <item x="38"/>
        <item x="9"/>
        <item x="1"/>
        <item x="2"/>
        <item x="6"/>
        <item x="10"/>
        <item x="41"/>
        <item x="11"/>
        <item x="42"/>
        <item x="12"/>
        <item x="13"/>
        <item x="4"/>
        <item x="14"/>
        <item x="37"/>
        <item x="31"/>
        <item x="7"/>
        <item x="8"/>
        <item x="21"/>
        <item x="43"/>
        <item x="44"/>
        <item x="40"/>
        <item x="28"/>
        <item x="15"/>
        <item x="17"/>
        <item x="18"/>
        <item x="16"/>
        <item x="27"/>
        <item x="5"/>
        <item x="19"/>
        <item x="46"/>
        <item x="45"/>
        <item x="23"/>
        <item x="20"/>
        <item x="25"/>
        <item x="36"/>
        <item x="47"/>
      </items>
    </pivotField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numFmtId="39" outline="0" showAll="0" defaultSubtotal="0"/>
  </pivotFields>
  <rowFields count="2">
    <field x="11"/>
    <field x="10"/>
  </rowFields>
  <rowItems count="28">
    <i>
      <x v="36"/>
      <x v="78"/>
    </i>
    <i>
      <x v="37"/>
      <x v="115"/>
    </i>
    <i>
      <x v="41"/>
      <x v="86"/>
    </i>
    <i>
      <x v="44"/>
      <x v="12"/>
    </i>
    <i>
      <x v="47"/>
      <x v="89"/>
    </i>
    <i>
      <x v="49"/>
      <x v="79"/>
    </i>
    <i>
      <x v="50"/>
      <x v="80"/>
    </i>
    <i>
      <x v="51"/>
      <x v="81"/>
    </i>
    <i>
      <x v="52"/>
      <x v="85"/>
    </i>
    <i>
      <x v="53"/>
      <x v="17"/>
    </i>
    <i>
      <x v="55"/>
      <x v="24"/>
    </i>
    <i>
      <x v="57"/>
      <x v="101"/>
    </i>
    <i>
      <x v="58"/>
      <x v="25"/>
    </i>
    <i>
      <x v="59"/>
      <x v="30"/>
    </i>
    <i>
      <x v="61"/>
      <x v="44"/>
    </i>
    <i>
      <x v="63"/>
      <x v="65"/>
    </i>
    <i>
      <x v="64"/>
      <x v="87"/>
    </i>
    <i>
      <x v="66"/>
      <x v="97"/>
    </i>
    <i>
      <x v="67"/>
      <x v="110"/>
    </i>
    <i>
      <x v="70"/>
      <x v="63"/>
    </i>
    <i>
      <x v="71"/>
      <x v="48"/>
    </i>
    <i>
      <x v="73"/>
      <x v="27"/>
    </i>
    <i>
      <x v="74"/>
      <x v="75"/>
    </i>
    <i>
      <x v="75"/>
      <x v="72"/>
    </i>
    <i>
      <x v="77"/>
      <x v="29"/>
    </i>
    <i>
      <x v="78"/>
      <x v="46"/>
    </i>
    <i>
      <x v="81"/>
      <x v="42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283" hier="-1"/>
  </pageFields>
  <dataFields count="2">
    <dataField name="Sum of Debit" fld="12" baseField="0" baseItem="0"/>
    <dataField name="Sum of Credit" fld="13" baseField="0" baseItem="0"/>
  </dataFields>
  <formats count="11">
    <format dxfId="108">
      <pivotArea outline="0" collapsedLevelsAreSubtotals="1" fieldPosition="0"/>
    </format>
    <format dxfId="1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type="origin" dataOnly="0" labelOnly="1" outline="0" fieldPosition="0"/>
    </format>
    <format dxfId="103">
      <pivotArea field="-2" type="button" dataOnly="0" labelOnly="1" outline="0" axis="axisCol" fieldPosition="0"/>
    </format>
    <format dxfId="102">
      <pivotArea type="topRight" dataOnly="0" labelOnly="1" outline="0" fieldPosition="0"/>
    </format>
    <format dxfId="101">
      <pivotArea field="11" type="button" dataOnly="0" labelOnly="1" outline="0" axis="axisRow" fieldPosition="0"/>
    </format>
    <format dxfId="100">
      <pivotArea field="10" type="button" dataOnly="0" labelOnly="1" outline="0" axis="axisRow" fieldPosition="1"/>
    </format>
    <format dxfId="99">
      <pivotArea dataOnly="0" labelOnly="1" grandRow="1" outline="0" fieldPosition="0"/>
    </format>
    <format dxfId="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2000000}" name="PivotTable2" cacheId="1" applyNumberFormats="0" applyBorderFormats="0" applyFontFormats="0" applyPatternFormats="0" applyAlignmentFormats="0" applyWidthHeightFormats="1" dataCaption="Values" updatedVersion="5" minRefreshableVersion="3" showCalcMbrs="0" itemPrintTitles="1" createdVersion="3" indent="0" compact="0" compactData="0" multipleFieldFilters="0">
  <location ref="A3:D6" firstHeaderRow="1" firstDataRow="2" firstDataCol="2" rowPageCount="1" colPageCount="1"/>
  <pivotFields count="16"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99">
        <item x="1"/>
        <item m="1" x="54"/>
        <item m="1" x="51"/>
        <item m="1" x="50"/>
        <item m="1" x="48"/>
        <item m="1" x="46"/>
        <item m="1" x="43"/>
        <item m="1" x="56"/>
        <item m="1" x="11"/>
        <item m="1" x="7"/>
        <item m="1" x="2"/>
        <item m="1" x="97"/>
        <item m="1" x="98"/>
        <item m="1" x="95"/>
        <item m="1" x="26"/>
        <item m="1" x="24"/>
        <item m="1" x="20"/>
        <item m="1" x="15"/>
        <item m="1" x="6"/>
        <item m="1" x="59"/>
        <item m="1" x="37"/>
        <item m="1" x="78"/>
        <item m="1" x="76"/>
        <item m="1" x="74"/>
        <item m="1" x="69"/>
        <item m="1" x="72"/>
        <item m="1" x="81"/>
        <item m="1" x="80"/>
        <item m="1" x="40"/>
        <item m="1" x="38"/>
        <item m="1" x="36"/>
        <item m="1" x="34"/>
        <item m="1" x="32"/>
        <item m="1" x="96"/>
        <item m="1" x="94"/>
        <item m="1" x="93"/>
        <item m="1" x="92"/>
        <item m="1" x="89"/>
        <item m="1" x="90"/>
        <item m="1" x="27"/>
        <item m="1" x="25"/>
        <item m="1" x="22"/>
        <item m="1" x="18"/>
        <item m="1" x="9"/>
        <item m="1" x="12"/>
        <item m="1" x="4"/>
        <item m="1" x="47"/>
        <item m="1" x="60"/>
        <item m="1" x="16"/>
        <item m="1" x="57"/>
        <item m="1" x="10"/>
        <item m="1" x="5"/>
        <item m="1" x="23"/>
        <item m="1" x="19"/>
        <item m="1" x="13"/>
        <item m="1" x="8"/>
        <item m="1" x="3"/>
        <item m="1" x="31"/>
        <item m="1" x="33"/>
        <item m="1" x="30"/>
        <item m="1" x="71"/>
        <item m="1" x="77"/>
        <item m="1" x="73"/>
        <item m="1" x="70"/>
        <item m="1" x="75"/>
        <item m="1" x="55"/>
        <item m="1" x="91"/>
        <item m="1" x="87"/>
        <item m="1" x="83"/>
        <item m="1" x="79"/>
        <item m="1" x="66"/>
        <item m="1" x="62"/>
        <item m="1" x="58"/>
        <item m="1" x="86"/>
        <item m="1" x="39"/>
        <item m="1" x="61"/>
        <item m="1" x="45"/>
        <item m="1" x="67"/>
        <item m="1" x="63"/>
        <item m="1" x="49"/>
        <item m="1" x="41"/>
        <item m="1" x="21"/>
        <item m="1" x="17"/>
        <item m="1" x="29"/>
        <item m="1" x="14"/>
        <item m="1" x="85"/>
        <item x="0"/>
        <item m="1" x="52"/>
        <item m="1" x="88"/>
        <item m="1" x="35"/>
        <item m="1" x="64"/>
        <item m="1" x="53"/>
        <item m="1" x="44"/>
        <item m="1" x="84"/>
        <item m="1" x="42"/>
        <item m="1" x="82"/>
        <item m="1" x="68"/>
        <item m="1" x="28"/>
        <item m="1" x="6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3">
        <item x="1"/>
        <item m="1" x="39"/>
        <item m="1" x="27"/>
        <item m="1" x="20"/>
        <item m="1" x="17"/>
        <item m="1" x="36"/>
        <item m="1" x="4"/>
        <item m="1" x="31"/>
        <item m="1" x="40"/>
        <item m="1" x="13"/>
        <item m="1" x="11"/>
        <item m="1" x="30"/>
        <item m="1" x="5"/>
        <item m="1" x="12"/>
        <item m="1" x="35"/>
        <item m="1" x="14"/>
        <item m="1" x="3"/>
        <item m="1" x="15"/>
        <item m="1" x="7"/>
        <item m="1" x="19"/>
        <item m="1" x="9"/>
        <item m="1" x="10"/>
        <item m="1" x="26"/>
        <item m="1" x="6"/>
        <item m="1" x="38"/>
        <item m="1" x="18"/>
        <item x="0"/>
        <item m="1" x="29"/>
        <item m="1" x="22"/>
        <item m="1" x="2"/>
        <item m="1" x="42"/>
        <item m="1" x="23"/>
        <item m="1" x="32"/>
        <item m="1" x="24"/>
        <item m="1" x="34"/>
        <item m="1" x="33"/>
        <item m="1" x="28"/>
        <item m="1" x="8"/>
        <item m="1" x="21"/>
        <item m="1" x="37"/>
        <item m="1" x="16"/>
        <item m="1" x="41"/>
        <item m="1" x="25"/>
      </items>
    </pivotField>
    <pivotField axis="axisRow" compact="0" outline="0" showAll="0" sortType="ascending" defaultSubtotal="0">
      <items count="47">
        <item m="1" x="5"/>
        <item m="1" x="11"/>
        <item m="1" x="26"/>
        <item m="1" x="23"/>
        <item m="1" x="15"/>
        <item m="1" x="9"/>
        <item m="1" x="38"/>
        <item m="1" x="17"/>
        <item m="1" x="4"/>
        <item m="1" x="18"/>
        <item m="1" x="20"/>
        <item m="1" x="39"/>
        <item m="1" x="45"/>
        <item m="1" x="41"/>
        <item m="1" x="2"/>
        <item m="1" x="34"/>
        <item m="1" x="25"/>
        <item m="1" x="21"/>
        <item m="1" x="13"/>
        <item m="1" x="43"/>
        <item m="1" x="3"/>
        <item m="1" x="40"/>
        <item m="1" x="27"/>
        <item m="1" x="44"/>
        <item m="1" x="19"/>
        <item m="1" x="6"/>
        <item x="0"/>
        <item m="1" x="32"/>
        <item m="1" x="7"/>
        <item m="1" x="10"/>
        <item m="1" x="12"/>
        <item m="1" x="14"/>
        <item m="1" x="22"/>
        <item m="1" x="16"/>
        <item m="1" x="8"/>
        <item m="1" x="46"/>
        <item m="1" x="24"/>
        <item m="1" x="28"/>
        <item m="1" x="29"/>
        <item m="1" x="30"/>
        <item m="1" x="31"/>
        <item m="1" x="35"/>
        <item m="1" x="36"/>
        <item m="1" x="33"/>
        <item m="1" x="42"/>
        <item m="1" x="37"/>
        <item x="1"/>
      </items>
    </pivotField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numFmtId="39" outline="0" showAll="0" defaultSubtotal="0"/>
  </pivotFields>
  <rowFields count="2">
    <field x="11"/>
    <field x="10"/>
  </rowFields>
  <rowItems count="2">
    <i>
      <x v="4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0" hier="-1"/>
  </pageFields>
  <dataFields count="2">
    <dataField name="Sum of Debit" fld="12" baseField="0" baseItem="0"/>
    <dataField name="Sum of Credit" fld="13" baseField="0" baseItem="0"/>
  </dataFields>
  <formats count="5">
    <format dxfId="54">
      <pivotArea outline="0" collapsedLevelsAreSubtotals="1" fieldPosition="0"/>
    </format>
    <format dxfId="53">
      <pivotArea field="-2" type="button" dataOnly="0" labelOnly="1" outline="0" axis="axisCol" fieldPosition="0"/>
    </format>
    <format dxfId="52">
      <pivotArea type="topRight" dataOnly="0" labelOnly="1" outline="0" fieldPosition="0"/>
    </format>
    <format dxfId="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0">
      <pivotArea type="all" dataOnly="0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3000000}" name="PivotTable4" cacheId="2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3:C7" firstHeaderRow="1" firstDataRow="2" firstDataCol="1" rowPageCount="1" colPageCount="1"/>
  <pivotFields count="12">
    <pivotField showAll="0"/>
    <pivotField axis="axisPage" multipleItemSelectionAllowed="1" showAll="0">
      <items count="172">
        <item h="1" x="9"/>
        <item m="1" x="18"/>
        <item m="1" x="10"/>
        <item m="1" x="170"/>
        <item m="1" x="165"/>
        <item m="1" x="163"/>
        <item m="1" x="74"/>
        <item m="1" x="67"/>
        <item m="1" x="130"/>
        <item m="1" x="47"/>
        <item m="1" x="44"/>
        <item m="1" x="31"/>
        <item m="1" x="111"/>
        <item m="1" x="108"/>
        <item m="1" x="106"/>
        <item m="1" x="103"/>
        <item m="1" x="99"/>
        <item m="1" x="167"/>
        <item m="1" x="162"/>
        <item m="1" x="160"/>
        <item m="1" x="78"/>
        <item m="1" x="73"/>
        <item m="1" x="65"/>
        <item m="1" x="59"/>
        <item m="1" x="54"/>
        <item m="1" x="132"/>
        <item m="1" x="46"/>
        <item m="1" x="41"/>
        <item m="1" x="39"/>
        <item m="1" x="110"/>
        <item m="1" x="16"/>
        <item m="1" x="14"/>
        <item m="1" x="11"/>
        <item m="1" x="83"/>
        <item m="1" x="70"/>
        <item m="1" x="154"/>
        <item m="1" x="150"/>
        <item m="1" x="146"/>
        <item m="1" x="142"/>
        <item m="1" x="137"/>
        <item m="1" x="53"/>
        <item m="1" x="48"/>
        <item m="1" x="115"/>
        <item m="1" x="113"/>
        <item m="1" x="112"/>
        <item m="1" x="27"/>
        <item m="1" x="24"/>
        <item m="1" x="21"/>
        <item m="1" x="17"/>
        <item m="1" x="94"/>
        <item m="1" x="89"/>
        <item m="1" x="84"/>
        <item m="1" x="81"/>
        <item m="1" x="71"/>
        <item m="1" x="60"/>
        <item m="1" x="55"/>
        <item m="1" x="51"/>
        <item m="1" x="49"/>
        <item m="1" x="45"/>
        <item m="1" x="42"/>
        <item m="1" x="120"/>
        <item m="1" x="118"/>
        <item m="1" x="114"/>
        <item m="1" x="63"/>
        <item m="1" x="61"/>
        <item m="1" x="56"/>
        <item m="1" x="136"/>
        <item m="1" x="37"/>
        <item m="1" x="34"/>
        <item m="1" x="30"/>
        <item m="1" x="105"/>
        <item m="1" x="102"/>
        <item m="1" x="98"/>
        <item m="1" x="93"/>
        <item m="1" x="88"/>
        <item m="1" x="168"/>
        <item m="1" x="90"/>
        <item m="1" x="85"/>
        <item m="1" x="77"/>
        <item m="1" x="72"/>
        <item m="1" x="64"/>
        <item m="1" x="58"/>
        <item m="1" x="144"/>
        <item m="1" x="140"/>
        <item m="1" x="131"/>
        <item m="1" x="128"/>
        <item m="1" x="125"/>
        <item m="1" x="123"/>
        <item m="1" x="122"/>
        <item m="1" x="119"/>
        <item m="1" x="117"/>
        <item m="1" x="35"/>
        <item m="1" x="32"/>
        <item m="1" x="28"/>
        <item m="1" x="25"/>
        <item m="1" x="22"/>
        <item m="1" x="19"/>
        <item m="1" x="100"/>
        <item m="1" x="151"/>
        <item m="1" x="147"/>
        <item m="1" x="143"/>
        <item m="1" x="138"/>
        <item m="1" x="133"/>
        <item m="1" x="116"/>
        <item m="1" x="169"/>
        <item m="1" x="159"/>
        <item m="1" x="158"/>
        <item m="1" x="156"/>
        <item m="1" x="153"/>
        <item m="1" x="66"/>
        <item m="1" x="62"/>
        <item m="1" x="57"/>
        <item m="1" x="129"/>
        <item m="1" x="126"/>
        <item m="1" x="124"/>
        <item m="1" x="121"/>
        <item m="1" x="40"/>
        <item m="1" x="38"/>
        <item m="1" x="109"/>
        <item m="1" x="107"/>
        <item m="1" x="166"/>
        <item m="1" x="164"/>
        <item m="1" x="80"/>
        <item m="1" x="76"/>
        <item m="1" x="152"/>
        <item m="1" x="148"/>
        <item m="1" x="139"/>
        <item m="1" x="134"/>
        <item m="1" x="95"/>
        <item m="1" x="91"/>
        <item m="1" x="86"/>
        <item m="1" x="52"/>
        <item m="1" x="145"/>
        <item m="1" x="141"/>
        <item m="1" x="135"/>
        <item m="1" x="36"/>
        <item m="1" x="33"/>
        <item m="1" x="29"/>
        <item m="1" x="26"/>
        <item m="1" x="23"/>
        <item m="1" x="20"/>
        <item m="1" x="15"/>
        <item m="1" x="13"/>
        <item m="1" x="104"/>
        <item m="1" x="101"/>
        <item m="1" x="96"/>
        <item m="1" x="92"/>
        <item m="1" x="87"/>
        <item m="1" x="82"/>
        <item m="1" x="79"/>
        <item m="1" x="75"/>
        <item m="1" x="69"/>
        <item m="1" x="68"/>
        <item m="1" x="157"/>
        <item m="1" x="155"/>
        <item m="1" x="12"/>
        <item m="1" x="97"/>
        <item m="1" x="161"/>
        <item h="1" x="0"/>
        <item m="1" x="149"/>
        <item h="1" x="1"/>
        <item h="1" x="2"/>
        <item h="1" x="3"/>
        <item m="1" x="50"/>
        <item h="1" x="4"/>
        <item h="1" x="5"/>
        <item h="1" x="6"/>
        <item h="1" m="1" x="127"/>
        <item h="1" x="7"/>
        <item m="1" x="43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90">
        <item m="1" x="62"/>
        <item m="1" x="64"/>
        <item x="0"/>
        <item x="1"/>
        <item m="1" x="38"/>
        <item x="7"/>
        <item m="1" x="27"/>
        <item x="13"/>
        <item m="1" x="35"/>
        <item x="22"/>
        <item m="1" x="88"/>
        <item x="21"/>
        <item x="17"/>
        <item x="18"/>
        <item m="1" x="79"/>
        <item x="9"/>
        <item x="10"/>
        <item m="1" x="87"/>
        <item x="4"/>
        <item x="6"/>
        <item x="15"/>
        <item x="11"/>
        <item x="8"/>
        <item x="2"/>
        <item m="1" x="69"/>
        <item m="1" x="50"/>
        <item m="1" x="84"/>
        <item m="1" x="48"/>
        <item m="1" x="81"/>
        <item m="1" x="44"/>
        <item m="1" x="70"/>
        <item m="1" x="51"/>
        <item m="1" x="49"/>
        <item m="1" x="71"/>
        <item m="1" x="52"/>
        <item m="1" x="86"/>
        <item m="1" x="82"/>
        <item m="1" x="46"/>
        <item m="1" x="73"/>
        <item m="1" x="58"/>
        <item m="1" x="59"/>
        <item m="1" x="45"/>
        <item x="16"/>
        <item m="1" x="47"/>
        <item m="1" x="60"/>
        <item m="1" x="61"/>
        <item m="1" x="30"/>
        <item m="1" x="31"/>
        <item m="1" x="80"/>
        <item m="1" x="83"/>
        <item m="1" x="85"/>
        <item m="1" x="68"/>
        <item m="1" x="75"/>
        <item m="1" x="76"/>
        <item m="1" x="63"/>
        <item m="1" x="65"/>
        <item m="1" x="66"/>
        <item m="1" x="67"/>
        <item m="1" x="54"/>
        <item m="1" x="39"/>
        <item m="1" x="40"/>
        <item x="12"/>
        <item m="1" x="41"/>
        <item m="1" x="42"/>
        <item m="1" x="32"/>
        <item m="1" x="33"/>
        <item m="1" x="34"/>
        <item m="1" x="36"/>
        <item x="19"/>
        <item x="20"/>
        <item m="1" x="24"/>
        <item m="1" x="25"/>
        <item m="1" x="26"/>
        <item m="1" x="28"/>
        <item m="1" x="29"/>
        <item m="1" x="78"/>
        <item m="1" x="74"/>
        <item m="1" x="57"/>
        <item m="1" x="77"/>
        <item m="1" x="43"/>
        <item m="1" x="53"/>
        <item m="1" x="55"/>
        <item x="3"/>
        <item x="5"/>
        <item m="1" x="37"/>
        <item x="14"/>
        <item m="1" x="72"/>
        <item m="1" x="56"/>
        <item x="23"/>
        <item t="default"/>
      </items>
    </pivotField>
    <pivotField dataField="1" showAll="0"/>
    <pivotField dataField="1" showAll="0"/>
    <pivotField numFmtId="39" showAll="0"/>
  </pivotFields>
  <rowFields count="1">
    <field x="8"/>
  </rowFields>
  <rowItems count="3">
    <i>
      <x v="7"/>
    </i>
    <i>
      <x v="6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Debit" fld="9" baseField="0" baseItem="0"/>
    <dataField name="Sum of Credit" fld="10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Table6" displayName="Table6" ref="A9:H332" totalsRowCount="1" headerRowDxfId="274" dataDxfId="272" totalsRowDxfId="270" headerRowBorderDxfId="273" tableBorderDxfId="271" totalsRowBorderDxfId="269" headerRowCellStyle="Normal 2">
  <autoFilter ref="A9:H331" xr:uid="{00000000-0009-0000-0100-000006000000}">
    <filterColumn colId="7">
      <filters>
        <filter val="1,024,610.13"/>
        <filter val="1,306,042.57"/>
        <filter val="1,347.00"/>
        <filter val="1,529.87"/>
        <filter val="1,562,450.27"/>
        <filter val="10,000.00"/>
        <filter val="10,325.00"/>
        <filter val="10,385.82"/>
        <filter val="110,000.00"/>
        <filter val="114,848.86"/>
        <filter val="12,000.00"/>
        <filter val="12,043.21"/>
        <filter val="12,688.52"/>
        <filter val="126,153.50"/>
        <filter val="13,663,322.63"/>
        <filter val="130,561.81"/>
        <filter val="15,200.00"/>
        <filter val="16,300.00"/>
        <filter val="166,426.00"/>
        <filter val="18,532.50"/>
        <filter val="18,838.06"/>
        <filter val="2,234,493.57"/>
        <filter val="2,587.50"/>
        <filter val="2,676,406.96"/>
        <filter val="2,990,416.03"/>
        <filter val="24,829,548.32"/>
        <filter val="3,776,947.14"/>
        <filter val="306,031.28"/>
        <filter val="322,727.25"/>
        <filter val="331,823.00"/>
        <filter val="34,108.31"/>
        <filter val="4,370,388.76"/>
        <filter val="4,748.57"/>
        <filter val="404,505.40"/>
        <filter val="43,358.71"/>
        <filter val="449,579.93"/>
        <filter val="467,579.42"/>
        <filter val="48,380,070.08"/>
        <filter val="5,000.00"/>
        <filter val="50,500.00"/>
        <filter val="500.00"/>
        <filter val="55,000.00"/>
        <filter val="56,000.00"/>
        <filter val="587,358.60"/>
        <filter val="59,347.94"/>
        <filter val="6,000.00"/>
        <filter val="6,581,304.03"/>
        <filter val="600.00"/>
        <filter val="665,847.99"/>
        <filter val="695,522.00"/>
        <filter val="697,216.43"/>
        <filter val="7,649.33"/>
        <filter val="72,000.00"/>
        <filter val="720,000.00"/>
        <filter val="83,358,748.21"/>
        <filter val="86,355,798.57"/>
        <filter val="870.06"/>
        <filter val="9,539.54"/>
      </filters>
    </filterColumn>
  </autoFilter>
  <tableColumns count="8">
    <tableColumn id="1" xr3:uid="{00000000-0010-0000-0000-000001000000}" name="ACCOUNT TITLE" totalsRowLabel="Total" dataDxfId="268" totalsRowDxfId="267" dataCellStyle="Normal 2">
      <calculatedColumnFormula array="1">INDEX(AccountCodes[ACCOUNT NAME],MATCH(B10,AccountCodes[NGAS CODE],0))</calculatedColumnFormula>
    </tableColumn>
    <tableColumn id="2" xr3:uid="{00000000-0010-0000-0000-000002000000}" name="ACCOUNT CODE (NGAS)" dataDxfId="266" totalsRowDxfId="265"/>
    <tableColumn id="3" xr3:uid="{00000000-0010-0000-0000-000003000000}" name="ACCOUNT_x000a_CODE_x000a_(PPSAS)" dataDxfId="264" totalsRowDxfId="263" dataCellStyle="Comma">
      <calculatedColumnFormula array="1">INDEX(AccountCodes[PPSAS CODE],MATCH(B10,AccountCodes[NGAS CODE],0))</calculatedColumnFormula>
    </tableColumn>
    <tableColumn id="4" xr3:uid="{00000000-0010-0000-0000-000004000000}" name="DEBIT" totalsRowFunction="sum" dataDxfId="262" totalsRowDxfId="261" dataCellStyle="Comma">
      <calculatedColumnFormula>IF(INDEX(AccountCodes[Normal Balance], MATCH(C10,AccountCodes[PPSAS CODE]))="Debit",E10-F10,0)</calculatedColumnFormula>
    </tableColumn>
    <tableColumn id="5" xr3:uid="{00000000-0010-0000-0000-000005000000}" name="DEBIT_x000a_TOTAL" totalsRowFunction="sum" dataDxfId="260" totalsRowDxfId="259" dataCellStyle="Comma">
      <calculatedColumnFormula>SUMIF(PostTB[Account Code (Old)],B10,(PostTB[Debit]))+SUMIF(CkDJ[Account Code],B10,(CkDJ[Debit]))+SUMIF(CsDJ[Account Code],B10,(CsDJ[Debit]))+SUMIF(CRDJ[Account Code],B10,(CRDJ[Debit]))+SUMIF(GJ[Account Code],B10,(GJ[Debit]))</calculatedColumnFormula>
    </tableColumn>
    <tableColumn id="6" xr3:uid="{00000000-0010-0000-0000-000006000000}" name="CREDIT_x000a_TOTAL" totalsRowFunction="sum" dataDxfId="258" totalsRowDxfId="257" dataCellStyle="Comma 2">
      <calculatedColumnFormula>SUMIF(PostTB[Account Code (Old)],B10,(PostTB[Credit]))+SUMIF(CkDJ[Account Code],B10,(CkDJ[Credit]))+SUMIF(CsDJ[Account Code],B10,(CsDJ[Credit]))+SUMIF(CRDJ[Account Code],B10,(CRDJ[Credit]))+SUMIF(GJ[Account Code],B10,(GJ[Credit]))</calculatedColumnFormula>
    </tableColumn>
    <tableColumn id="7" xr3:uid="{00000000-0010-0000-0000-000007000000}" name="CREDIT" totalsRowFunction="sum" dataDxfId="256" totalsRowDxfId="255" dataCellStyle="Comma 2">
      <calculatedColumnFormula>IF(INDEX(AccountCodes[Normal Balance], MATCH(C10,AccountCodes[PPSAS CODE]))="Credit",F10-E10,0)</calculatedColumnFormula>
    </tableColumn>
    <tableColumn id="8" xr3:uid="{00000000-0010-0000-0000-000008000000}" name="DEBIT/CREDIT" totalsRowFunction="sum" dataDxfId="254" totalsRowDxfId="253" dataCellStyle="Comma">
      <calculatedColumnFormula>IF(D10=0,G10,D10)</calculatedColumnFormula>
    </tableColumn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B" displayName="TB" ref="A9:H335" totalsRowCount="1" headerRowDxfId="252" dataDxfId="250" headerRowBorderDxfId="251" tableBorderDxfId="249" totalsRowBorderDxfId="248" headerRowCellStyle="Normal 2">
  <autoFilter ref="A9:H334" xr:uid="{00000000-0009-0000-0100-000005000000}">
    <filterColumn colId="7">
      <filters>
        <filter val="(3,547.31)"/>
        <filter val="1,005.22"/>
        <filter val="1,500.00"/>
        <filter val="1,797,900.61"/>
        <filter val="1,862,166.19"/>
        <filter val="10,046.75"/>
        <filter val="12,424.43"/>
        <filter val="143,727.27"/>
        <filter val="17,855.73"/>
        <filter val="18,258.12"/>
        <filter val="197,180.69"/>
        <filter val="2,429.06"/>
        <filter val="2,901.21"/>
        <filter val="2,944.89"/>
        <filter val="2,970.00"/>
        <filter val="21,767.94"/>
        <filter val="23,383,827.39"/>
        <filter val="25,417.85"/>
        <filter val="28,911,641.78"/>
        <filter val="3,129,616.83"/>
        <filter val="3,590,888.00"/>
        <filter val="3,724,524.80"/>
        <filter val="310,782.00"/>
        <filter val="34,364,382.17"/>
        <filter val="34,900.00"/>
        <filter val="406,336.00"/>
        <filter val="49,388.00"/>
        <filter val="5,932.95"/>
        <filter val="543.75"/>
        <filter val="56,172,039.56"/>
        <filter val="56,970.52"/>
        <filter val="6,000.00"/>
        <filter val="6,300.00"/>
        <filter val="6,927.04"/>
        <filter val="600.00"/>
        <filter val="63,384.10"/>
        <filter val="72,715.21"/>
        <filter val="747.00"/>
        <filter val="8,615.00"/>
        <filter val="81,796.44"/>
        <filter val="82,543.00"/>
        <filter val="83,471,602.90"/>
        <filter val="90,235.59"/>
        <filter val="98,271.00"/>
      </filters>
    </filterColumn>
  </autoFilter>
  <tableColumns count="8">
    <tableColumn id="1" xr3:uid="{00000000-0010-0000-0100-000001000000}" name="ACCOUNT TITLE" totalsRowLabel="Total" dataDxfId="247" totalsRowDxfId="246" dataCellStyle="Normal 2">
      <calculatedColumnFormula array="1">INDEX(AccountCodes[ACCOUNT NAME],MATCH(B10,AccountCodes[NGAS CODE],0))</calculatedColumnFormula>
    </tableColumn>
    <tableColumn id="2" xr3:uid="{00000000-0010-0000-0100-000002000000}" name="ACCOUNT CODE (NGAS)" dataDxfId="245" totalsRowDxfId="244"/>
    <tableColumn id="3" xr3:uid="{00000000-0010-0000-0100-000003000000}" name="ACCOUNT_x000a_CODE_x000a_(PPSAS)" dataDxfId="243" totalsRowDxfId="242" dataCellStyle="Comma">
      <calculatedColumnFormula array="1">INDEX(AccountCodes[PPSAS CODE],MATCH(B10,AccountCodes[NGAS CODE],0))</calculatedColumnFormula>
    </tableColumn>
    <tableColumn id="4" xr3:uid="{00000000-0010-0000-0100-000004000000}" name="DEBIT" totalsRowFunction="sum" dataDxfId="241" totalsRowDxfId="240" dataCellStyle="Comma">
      <calculatedColumnFormula>IF(INDEX(AccountCodes[Normal Balance], MATCH(C10,AccountCodes[PPSAS CODE]))="Debit",E10-F10,0)</calculatedColumnFormula>
    </tableColumn>
    <tableColumn id="5" xr3:uid="{00000000-0010-0000-0100-000005000000}" name="DEBIT_x000a_TOTAL" totalsRowFunction="sum" dataDxfId="239" totalsRowDxfId="238" dataCellStyle="Comma">
      <calculatedColumnFormula array="1">(SUM(IF((PostTB[Account Code (Old)]=B10),(PostTB[Debit])))+(SUM(IF((CkDJ[Account Code]=B10)*(CkDJ[Date]&lt;=$A$7),(CkDJ[Debit])))+(SUM(IF((CsDJ[Account Code]=B10)*(CsDJ[Date]&lt;=$A$7),(CsDJ[Debit])))+(SUM(IF((CRDJ[Account Code]=B10)*(CRDJ[Date]&lt;=$A$7),(CRDJ[Debit])))+(SUM(IF((GJ[Account Code]=B10)*(GJ[Date]&lt;=$A$7),(GJ[Debit]))))))))</calculatedColumnFormula>
    </tableColumn>
    <tableColumn id="6" xr3:uid="{00000000-0010-0000-0100-000006000000}" name="CREDIT_x000a_TOTAL" totalsRowFunction="sum" dataDxfId="237" totalsRowDxfId="236" dataCellStyle="Comma 2">
      <calculatedColumnFormula array="1">(SUM(IF((PostTB[Account Code (Old)]=B10),(PostTB[Credit])))+(SUM(IF((CkDJ[Account Code]=B10)*(CkDJ[Date]&lt;=$A$7),(CkDJ[Credit])))+(SUM(IF((CsDJ[Account Code]=B10)*(CsDJ[Date]&lt;=$A$7),(CsDJ[Credit])))+(SUM(IF((CRDJ[Account Code]=B10)*(CRDJ[Date]&lt;=$A$7),(CRDJ[Credit])))+(SUM(IF((GJ[Account Code]=B10)*(GJ[Date]&lt;=$A$7),(GJ[Credit]))))))))</calculatedColumnFormula>
    </tableColumn>
    <tableColumn id="7" xr3:uid="{00000000-0010-0000-0100-000007000000}" name="CREDIT" totalsRowFunction="sum" dataDxfId="235" totalsRowDxfId="234" dataCellStyle="Comma 2">
      <calculatedColumnFormula>IF(INDEX(AccountCodes[Normal Balance], MATCH(C10,AccountCodes[PPSAS CODE]))="Credit",F10-E10,0)</calculatedColumnFormula>
    </tableColumn>
    <tableColumn id="8" xr3:uid="{00000000-0010-0000-0100-000008000000}" name="DEBIT/CREDIT" totalsRowFunction="sum" dataDxfId="233" totalsRowDxfId="232" dataCellStyle="Comma">
      <calculatedColumnFormula>IF(D10=0,G10,D10)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AccountCodes" displayName="AccountCodes" ref="A1:D333" totalsRowShown="0" headerRowDxfId="231" dataDxfId="229" headerRowBorderDxfId="230" tableBorderDxfId="228" totalsRowBorderDxfId="227">
  <autoFilter ref="A1:D333" xr:uid="{00000000-0009-0000-0100-000002000000}"/>
  <tableColumns count="4">
    <tableColumn id="1" xr3:uid="{00000000-0010-0000-0200-000001000000}" name="NGAS CODE" dataDxfId="226"/>
    <tableColumn id="2" xr3:uid="{00000000-0010-0000-0200-000002000000}" name="ACCOUNT NAME" dataDxfId="225"/>
    <tableColumn id="3" xr3:uid="{00000000-0010-0000-0200-000003000000}" name="PPSAS CODE" dataDxfId="224"/>
    <tableColumn id="4" xr3:uid="{00000000-0010-0000-0200-000004000000}" name="Normal Balance" dataDxfId="223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asheirCode" displayName="CasheirCode" ref="F5:H10" totalsRowShown="0" headerRowDxfId="222" dataDxfId="220" headerRowBorderDxfId="221" tableBorderDxfId="219" totalsRowBorderDxfId="218">
  <autoFilter ref="F5:H10" xr:uid="{00000000-0009-0000-0100-000004000000}"/>
  <tableColumns count="3">
    <tableColumn id="1" xr3:uid="{00000000-0010-0000-0300-000001000000}" name="Name" dataDxfId="217"/>
    <tableColumn id="2" xr3:uid="{00000000-0010-0000-0300-000002000000}" name="Office" dataDxfId="216"/>
    <tableColumn id="3" xr3:uid="{00000000-0010-0000-0300-000003000000}" name="Sort Code" dataDxfId="215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PostTB" displayName="PostTB" ref="A3:I69" totalsRowShown="0" headerRowDxfId="214" dataDxfId="212" totalsRowDxfId="210" headerRowBorderDxfId="213" tableBorderDxfId="211" totalsRowBorderDxfId="209" headerRowCellStyle="Normal 2">
  <autoFilter ref="A3:I69" xr:uid="{00000000-0009-0000-0100-000001000000}">
    <filterColumn colId="1">
      <filters>
        <filter val="5"/>
      </filters>
    </filterColumn>
  </autoFilter>
  <tableColumns count="9">
    <tableColumn id="1" xr3:uid="{00000000-0010-0000-0400-000001000000}" name="Account Title" dataDxfId="208" totalsRowDxfId="207" dataCellStyle="Normal 2">
      <calculatedColumnFormula>IF(E4=0,"",(INDEX(AccountCodes[ACCOUNT NAME],MATCH(E4,AccountCodes[NGAS CODE],0))))</calculatedColumnFormula>
    </tableColumn>
    <tableColumn id="9" xr3:uid="{00000000-0010-0000-0400-000009000000}" name="Sort Code" dataDxfId="206" totalsRowDxfId="205" dataCellStyle="Normal 2"/>
    <tableColumn id="10" xr3:uid="{00000000-0010-0000-0400-00000A000000}" name="Ofc Code" dataDxfId="204" totalsRowDxfId="203" dataCellStyle="Normal 2"/>
    <tableColumn id="7" xr3:uid="{00000000-0010-0000-0400-000007000000}" name="Sub Code" dataDxfId="202" totalsRowDxfId="201" dataCellStyle="Normal 2"/>
    <tableColumn id="2" xr3:uid="{00000000-0010-0000-0400-000002000000}" name="Account Code (Old)" dataDxfId="200" totalsRowDxfId="199" dataCellStyle="Normal 2"/>
    <tableColumn id="3" xr3:uid="{00000000-0010-0000-0400-000003000000}" name="Account Code (New)" dataDxfId="198" totalsRowDxfId="197" dataCellStyle="Comma">
      <calculatedColumnFormula>IF(E4=0,"",(INDEX(AccountCodes[PPSAS CODE],MATCH(E4,AccountCodes[NGAS CODE],0))))</calculatedColumnFormula>
    </tableColumn>
    <tableColumn id="4" xr3:uid="{00000000-0010-0000-0400-000004000000}" name="Debit" dataDxfId="196" totalsRowDxfId="195" dataCellStyle="Comma 2"/>
    <tableColumn id="5" xr3:uid="{00000000-0010-0000-0400-000005000000}" name="Credit" dataDxfId="194" totalsRowDxfId="193" dataCellStyle="Comma"/>
    <tableColumn id="6" xr3:uid="{00000000-0010-0000-0400-000006000000}" name="Debit/Credit" dataDxfId="192" totalsRowDxfId="191" dataCellStyle="Comma 2">
      <calculatedColumnFormula>IF(G4=0,H4,G4)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5000000}" name="CRDJ" displayName="CRDJ" ref="A3:L15" totalsRowShown="0" headerRowDxfId="190" headerRowBorderDxfId="189" tableBorderDxfId="188" totalsRowBorderDxfId="187" headerRowCellStyle="Comma">
  <autoFilter ref="A3:L15" xr:uid="{00000000-0009-0000-0100-00000B000000}"/>
  <tableColumns count="12">
    <tableColumn id="1" xr3:uid="{00000000-0010-0000-0500-000001000000}" name="Date" dataDxfId="186"/>
    <tableColumn id="2" xr3:uid="{00000000-0010-0000-0500-000002000000}" name="JEV Number" dataDxfId="185"/>
    <tableColumn id="3" xr3:uid="{00000000-0010-0000-0500-000003000000}" name="Sort Code" dataDxfId="184"/>
    <tableColumn id="4" xr3:uid="{00000000-0010-0000-0500-000004000000}" name="Ofc Code" dataDxfId="183"/>
    <tableColumn id="12" xr3:uid="{00000000-0010-0000-0500-00000C000000}" name="Sub Code" dataDxfId="182"/>
    <tableColumn id="11" xr3:uid="{00000000-0010-0000-0500-00000B000000}" name="CF Code" dataDxfId="181"/>
    <tableColumn id="5" xr3:uid="{00000000-0010-0000-0500-000005000000}" name="Collecting Officer/Office" dataDxfId="180"/>
    <tableColumn id="6" xr3:uid="{00000000-0010-0000-0500-000006000000}" name="Account Name" dataDxfId="179">
      <calculatedColumnFormula>IF(I4=0,"",(INDEX(AccountCodes[ACCOUNT NAME],MATCH(I4,AccountCodes[NGAS CODE],0))))</calculatedColumnFormula>
    </tableColumn>
    <tableColumn id="7" xr3:uid="{00000000-0010-0000-0500-000007000000}" name="Account Code" dataDxfId="178"/>
    <tableColumn id="8" xr3:uid="{00000000-0010-0000-0500-000008000000}" name="Debit" dataDxfId="177" dataCellStyle="Comma"/>
    <tableColumn id="9" xr3:uid="{00000000-0010-0000-0500-000009000000}" name="Credit" dataDxfId="176" dataCellStyle="Comma"/>
    <tableColumn id="10" xr3:uid="{00000000-0010-0000-0500-00000A000000}" name="Running Balance" dataDxfId="175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Table3" displayName="Table3" ref="A12:S16" headerRowDxfId="169" tableBorderDxfId="168">
  <autoFilter ref="A12:S16" xr:uid="{00000000-0009-0000-0100-000003000000}"/>
  <tableColumns count="19">
    <tableColumn id="1" xr3:uid="{00000000-0010-0000-0600-000001000000}" name="Date" totalsRowLabel="Total" dataDxfId="167" totalsRowDxfId="166">
      <calculatedColumnFormula array="1">IF(OR(C13=C12,C13=0),"",INDEX(CRDJ[Date],MATCH(C13,CRDJ[JEV Number],0)))</calculatedColumnFormula>
    </tableColumn>
    <tableColumn id="3" xr3:uid="{00000000-0010-0000-0600-000003000000}" name="JEV No." dataDxfId="165" totalsRowDxfId="164"/>
    <tableColumn id="2" xr3:uid="{00000000-0010-0000-0600-000002000000}" name="JEV" dataDxfId="163" totalsRowDxfId="162" dataCellStyle="Comma">
      <calculatedColumnFormula>IF(B13=0,C12,B13)</calculatedColumnFormula>
    </tableColumn>
    <tableColumn id="4" xr3:uid="{00000000-0010-0000-0600-000004000000}" name="Name of CO" dataDxfId="161" totalsRowDxfId="160">
      <calculatedColumnFormula array="1">IF(OR(C13=C12,C13=0),"",INDEX(CasheirCode[Name],MATCH((INDEX(CRDJ[Sort Code],MATCH(C13,CRDJ[JEV Number],0))),CasheirCode[Sort Code])))</calculatedColumnFormula>
    </tableColumn>
    <tableColumn id="5" xr3:uid="{00000000-0010-0000-0600-000005000000}" name="102D" totalsRowFunction="sum" dataDxfId="159" totalsRowDxfId="158" dataCellStyle="Comma">
      <calculatedColumnFormula array="1">IF(OR($C13=$C12,$C13=0),0,(SUM(IF((CRDJ[JEV Number]=$C13)*(CRDJ[Account Code]=(E$10)),CRDJ[Debit]))))</calculatedColumnFormula>
    </tableColumn>
    <tableColumn id="6" xr3:uid="{00000000-0010-0000-0600-000006000000}" name="454-1" totalsRowFunction="sum" dataDxfId="157" totalsRowDxfId="156" dataCellStyle="Comma">
      <calculatedColumnFormula array="1">IF(OR($C13=$C12,$C13=0),0,(SUM(IF((CRDJ[JEV Number]=$C13)*(CRDJ[Account Code]=(F$10)),CRDJ[Debit]))))</calculatedColumnFormula>
    </tableColumn>
    <tableColumn id="7" xr3:uid="{00000000-0010-0000-0600-000007000000}" name="966" totalsRowFunction="sum" dataDxfId="155" totalsRowDxfId="154" dataCellStyle="Comma">
      <calculatedColumnFormula array="1">IF(OR($C13=$C12,$C13=0),0,(SUM(IF((CRDJ[JEV Number]=$C13)*(CRDJ[Account Code]=(G$10)),CRDJ[Debit]))))</calculatedColumnFormula>
    </tableColumn>
    <tableColumn id="8" xr3:uid="{00000000-0010-0000-0600-000008000000}" name="121-1" totalsRowFunction="sum" dataDxfId="153" totalsRowDxfId="152" dataCellStyle="Comma">
      <calculatedColumnFormula array="1">IF(OR($C13=$C12,$C13=0),0,(SUM(IF((CRDJ[JEV Number]=$C13)*(CRDJ[Account Code]=(H$10)),CRDJ[Credit]))))</calculatedColumnFormula>
    </tableColumn>
    <tableColumn id="9" xr3:uid="{00000000-0010-0000-0600-000009000000}" name="625-1" totalsRowFunction="sum" dataDxfId="151" totalsRowDxfId="150" dataCellStyle="Comma">
      <calculatedColumnFormula array="1">IF(OR($C13=$C12,$C13=0),0,(SUM(IF((CRDJ[JEV Number]=$C13)*(CRDJ[Account Code]=(I$10)),CRDJ[Credit]))))</calculatedColumnFormula>
    </tableColumn>
    <tableColumn id="10" xr3:uid="{00000000-0010-0000-0600-00000A000000}" name="625-2" totalsRowFunction="sum" dataDxfId="149" totalsRowDxfId="148" dataCellStyle="Comma">
      <calculatedColumnFormula array="1">IF(OR($C13=$C12,$C13=0),0,(SUM(IF((CRDJ[JEV Number]=$C13)*(CRDJ[Account Code]=(J$10)),CRDJ[Credit]))))</calculatedColumnFormula>
    </tableColumn>
    <tableColumn id="11" xr3:uid="{00000000-0010-0000-0600-00000B000000}" name="625-2A" totalsRowFunction="sum" dataDxfId="147" totalsRowDxfId="146" dataCellStyle="Comma">
      <calculatedColumnFormula array="1">IF(OR($C13=$C12,$C13=0),0,(SUM(IF((CRDJ[JEV Number]=$C13)*(CRDJ[Account Code]=(K$10)),CRDJ[Credit]))))</calculatedColumnFormula>
    </tableColumn>
    <tableColumn id="12" xr3:uid="{00000000-0010-0000-0600-00000C000000}" name="Column1" totalsRowFunction="sum" dataDxfId="145" totalsRowDxfId="144" dataCellStyle="Comma">
      <calculatedColumnFormula array="1">IF(OR($C13=$C12,$C13=0),0,(SUM(IF((CRDJ[JEV Number]=$C13)*(CRDJ[Account Code]=(L$10)),CRDJ[Credit]))))</calculatedColumnFormula>
    </tableColumn>
    <tableColumn id="16" xr3:uid="{00000000-0010-0000-0600-000010000000}" name="Column2" totalsRowFunction="sum" dataDxfId="143" totalsRowDxfId="142" dataCellStyle="Comma">
      <calculatedColumnFormula array="1">IF(OR($C13=$C12,$C13=0),0,(SUM(IF((CRDJ[JEV Number]=$C13)*(CRDJ[Account Code]=(M$10)),CRDJ[Credit]))))</calculatedColumnFormula>
    </tableColumn>
    <tableColumn id="17" xr3:uid="{00000000-0010-0000-0600-000011000000}" name="Sundry" dataDxfId="141" totalsRowDxfId="140" dataCellStyle="Comma"/>
    <tableColumn id="18" xr3:uid="{00000000-0010-0000-0600-000012000000}" name="Amount" totalsRowFunction="sum" dataDxfId="139" totalsRowDxfId="138" dataCellStyle="Comma">
      <calculatedColumnFormula array="1">IF($C13=0,0,(SUM(IF((CRDJ[JEV Number]=$C13)*(CRDJ[Account Code]=(N13)),CRDJ[Credit]))))</calculatedColumnFormula>
    </tableColumn>
    <tableColumn id="19" xr3:uid="{00000000-0010-0000-0600-000013000000}" name="111" totalsRowFunction="sum" dataDxfId="137" totalsRowDxfId="136" dataCellStyle="Comma">
      <calculatedColumnFormula array="1">IF(OR($C13=$C12,$C13=0),0,(SUM(IF((CRDJ[JEV Number]=$C13)*(CRDJ[Account Code]=(P$10)),CRDJ[Debit]))))</calculatedColumnFormula>
    </tableColumn>
    <tableColumn id="20" xr3:uid="{00000000-0010-0000-0600-000014000000}" name="653" totalsRowFunction="sum" dataDxfId="135" totalsRowDxfId="134" dataCellStyle="Comma">
      <calculatedColumnFormula array="1">IF(OR($C13=$C12,$C13=0),0,(SUM(IF((CRDJ[JEV Number]=$C13)*(CRDJ[Account Code]=(Q$10)),CRDJ[Debit]))))</calculatedColumnFormula>
    </tableColumn>
    <tableColumn id="21" xr3:uid="{00000000-0010-0000-0600-000015000000}" name="102C" totalsRowFunction="sum" dataDxfId="133" totalsRowDxfId="132" dataCellStyle="Comma">
      <calculatedColumnFormula array="1">IF(OR($C13=$C12,$C13=0),0,(SUM(IF((CRDJ[JEV Number]=$C13)*(CRDJ[Account Code]=(R$10)),CRDJ[Credit]))))</calculatedColumnFormula>
    </tableColumn>
    <tableColumn id="13" xr3:uid="{00000000-0010-0000-0600-00000D000000}" name="Running Balance" dataDxfId="131" totalsRowDxfId="130">
      <calculatedColumnFormula>S12+(SUM(E13:G13)+SUM(P13:Q13))-(SUM(H13:M13)+O13+R13)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CkDJ" displayName="CkDJ" ref="A2:P591" totalsRowShown="0" headerRowDxfId="129" dataDxfId="127" headerRowBorderDxfId="128" tableBorderDxfId="126" totalsRowBorderDxfId="125" headerRowCellStyle="Comma" dataCellStyle="Comma">
  <autoFilter ref="A2:P591" xr:uid="{00000000-0009-0000-0100-000008000000}">
    <filterColumn colId="11">
      <filters>
        <filter val="169-15"/>
        <filter val="169-2"/>
        <filter val="169-3"/>
      </filters>
    </filterColumn>
  </autoFilter>
  <tableColumns count="16">
    <tableColumn id="1" xr3:uid="{00000000-0010-0000-0700-000001000000}" name="Date" dataDxfId="124"/>
    <tableColumn id="13" xr3:uid="{00000000-0010-0000-0700-00000D000000}" name="Check Date" dataDxfId="123"/>
    <tableColumn id="14" xr3:uid="{00000000-0010-0000-0700-00000E000000}" name="Check Number" dataDxfId="122"/>
    <tableColumn id="2" xr3:uid="{00000000-0010-0000-0700-000002000000}" name="JEV Number" dataDxfId="121"/>
    <tableColumn id="3" xr3:uid="{00000000-0010-0000-0700-000003000000}" name="Sort Code" dataDxfId="120" dataCellStyle="Comma"/>
    <tableColumn id="4" xr3:uid="{00000000-0010-0000-0700-000004000000}" name="Ofc Code" dataDxfId="119"/>
    <tableColumn id="15" xr3:uid="{00000000-0010-0000-0700-00000F000000}" name="Sub Code" dataDxfId="118"/>
    <tableColumn id="12" xr3:uid="{00000000-0010-0000-0700-00000C000000}" name="CF Code" dataDxfId="117"/>
    <tableColumn id="5" xr3:uid="{00000000-0010-0000-0700-000005000000}" name="Payee" dataDxfId="116"/>
    <tableColumn id="16" xr3:uid="{00000000-0010-0000-0700-000010000000}" name="Particulars" dataDxfId="115" dataCellStyle="Normal 2"/>
    <tableColumn id="6" xr3:uid="{00000000-0010-0000-0700-000006000000}" name="Account Name" dataDxfId="114">
      <calculatedColumnFormula>IF(L3=0,"",(INDEX(AccountCodes[ACCOUNT NAME],MATCH(L3,AccountCodes[NGAS CODE],0))))</calculatedColumnFormula>
    </tableColumn>
    <tableColumn id="7" xr3:uid="{00000000-0010-0000-0700-000007000000}" name="Account Code" dataDxfId="113"/>
    <tableColumn id="8" xr3:uid="{00000000-0010-0000-0700-000008000000}" name="Debit" dataDxfId="112" dataCellStyle="Comma"/>
    <tableColumn id="9" xr3:uid="{00000000-0010-0000-0700-000009000000}" name="Credit" dataDxfId="111" dataCellStyle="Comma"/>
    <tableColumn id="10" xr3:uid="{00000000-0010-0000-0700-00000A000000}" name="ASA #" dataDxfId="110" dataCellStyle="Comma"/>
    <tableColumn id="11" xr3:uid="{00000000-0010-0000-0700-00000B000000}" name="Running Balance" dataDxfId="109">
      <calculatedColumnFormula>P2+M3-N3</calculatedColumnFormula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8000000}" name="Table7" displayName="Table7" ref="A11:R231" totalsRowShown="0" headerRowDxfId="97" dataDxfId="95" headerRowBorderDxfId="96" tableBorderDxfId="94" totalsRowBorderDxfId="93" headerRowCellStyle="Comma">
  <autoFilter ref="A11:R231" xr:uid="{00000000-0009-0000-0100-000007000000}"/>
  <tableColumns count="18">
    <tableColumn id="1" xr3:uid="{00000000-0010-0000-0800-000001000000}" name="Date" dataDxfId="92">
      <calculatedColumnFormula array="1">IF(OR(C12=C11,C12=0),"",INDEX(CkDJ[Date],MATCH(C12,CkDJ[JEV Number],0)))</calculatedColumnFormula>
    </tableColumn>
    <tableColumn id="2" xr3:uid="{00000000-0010-0000-0800-000002000000}" name="JEV_x000a_No." dataDxfId="91"/>
    <tableColumn id="3" xr3:uid="{00000000-0010-0000-0800-000003000000}" name="JEV_x000a_" dataDxfId="90">
      <calculatedColumnFormula>IF(B12=0,C11,B12)</calculatedColumnFormula>
    </tableColumn>
    <tableColumn id="4" xr3:uid="{00000000-0010-0000-0800-000004000000}" name="RCI/DV_x000a_No." dataDxfId="89"/>
    <tableColumn id="5" xr3:uid="{00000000-0010-0000-0800-000005000000}" name="From" dataDxfId="88"/>
    <tableColumn id="6" xr3:uid="{00000000-0010-0000-0800-000006000000}" name="TO" dataDxfId="87"/>
    <tableColumn id="7" xr3:uid="{00000000-0010-0000-0800-000007000000}" name="Name of Disbursing Officer" dataDxfId="86">
      <calculatedColumnFormula array="1">IF(OR(C12=C11,C12=0),"",INDEX(CasheirCode[Name],MATCH((INDEX(CkDJ[Sort Code],MATCH(C12,CkDJ[JEV Number],0))),CasheirCode[Sort Code])))</calculatedColumnFormula>
    </tableColumn>
    <tableColumn id="8" xr3:uid="{00000000-0010-0000-0800-000008000000}" name="111" dataDxfId="85">
      <calculatedColumnFormula array="1">IF(OR($C12=$C11,$C12=0),0,(SUM(IF((CkDJ[JEV Number]=$C12)*(CkDJ[Account Code]=(H$9)),CkDJ[Credit]))))</calculatedColumnFormula>
    </tableColumn>
    <tableColumn id="9" xr3:uid="{00000000-0010-0000-0800-000009000000}" name="412" dataDxfId="84">
      <calculatedColumnFormula array="1">IF(OR($C12=$C11,$C12=0),0,(SUM(IF((CkDJ[JEV Number]=$C12)*(CkDJ[Account Code]=(I$9)),CkDJ[Credit]))))</calculatedColumnFormula>
    </tableColumn>
    <tableColumn id="10" xr3:uid="{00000000-0010-0000-0800-00000A000000}" name="Sundry" dataDxfId="83"/>
    <tableColumn id="11" xr3:uid="{00000000-0010-0000-0800-00000B000000}" name="Amount" dataDxfId="82">
      <calculatedColumnFormula array="1">IF($C12=0,0,(SUM(IF((CkDJ[JEV Number]=$C12)*(CkDJ[Account Code]=(J12)),CkDJ[Credit]))))</calculatedColumnFormula>
    </tableColumn>
    <tableColumn id="12" xr3:uid="{00000000-0010-0000-0800-00000C000000}" name="106" dataDxfId="81">
      <calculatedColumnFormula array="1">IF(OR($C12=$C11,$C12=0),0,(SUM(IF((CkDJ[JEV Number]=$C12)*(CkDJ[Account Code]=(L$9)),CkDJ[Debit]))))</calculatedColumnFormula>
    </tableColumn>
    <tableColumn id="13" xr3:uid="{00000000-0010-0000-0800-00000D000000}" name="711" dataDxfId="80">
      <calculatedColumnFormula array="1">IF(OR($C12=$C11,$C12=0),0,(SUM(IF((CkDJ[JEV Number]=$C12)*(CkDJ[Account Code]=(M$9)),CkDJ[Debit]))))</calculatedColumnFormula>
    </tableColumn>
    <tableColumn id="14" xr3:uid="{00000000-0010-0000-0800-00000E000000}" name="751" dataDxfId="79">
      <calculatedColumnFormula array="1">IF(OR($C12=$C11,$C12=0),0,(SUM(IF((CkDJ[JEV Number]=$C12)*(CkDJ[Account Code]=(N$9)),CkDJ[Debit]))))</calculatedColumnFormula>
    </tableColumn>
    <tableColumn id="15" xr3:uid="{00000000-0010-0000-0800-00000F000000}" name="884-3" dataDxfId="78">
      <calculatedColumnFormula array="1">IF(OR($C12=$C11,$C12=0),0,(SUM(IF((CkDJ[JEV Number]=$C12)*(CkDJ[Account Code]=(O$9)),CkDJ[Debit]))))</calculatedColumnFormula>
    </tableColumn>
    <tableColumn id="16" xr3:uid="{00000000-0010-0000-0800-000010000000}" name="Sundry2" dataDxfId="77"/>
    <tableColumn id="17" xr3:uid="{00000000-0010-0000-0800-000011000000}" name="Amount2" dataDxfId="76">
      <calculatedColumnFormula array="1">IF($C12=0,0,(SUM(IF((CkDJ[JEV Number]=$C12)*(CkDJ[Account Code]=(P12)),CkDJ[Debit]))))</calculatedColumnFormula>
    </tableColumn>
    <tableColumn id="18" xr3:uid="{00000000-0010-0000-0800-000012000000}" name="Running Balance" dataDxfId="75">
      <calculatedColumnFormula>R11+(SUM(L12:O12)+Q12)-(SUM(H12:I12)+K12)</calculatedColumnFormula>
    </tableColumn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CsDJ" displayName="CsDJ" ref="A2:P110" totalsRowShown="0" headerRowDxfId="74" dataDxfId="72" headerRowBorderDxfId="73" tableBorderDxfId="71" headerRowCellStyle="Comma" dataCellStyle="Comma">
  <autoFilter ref="A2:P110" xr:uid="{00000000-0009-0000-0100-00000A000000}"/>
  <tableColumns count="16">
    <tableColumn id="1" xr3:uid="{00000000-0010-0000-0900-000001000000}" name="Date" dataDxfId="70"/>
    <tableColumn id="13" xr3:uid="{00000000-0010-0000-0900-00000D000000}" name="DV Date" dataDxfId="69"/>
    <tableColumn id="14" xr3:uid="{00000000-0010-0000-0900-00000E000000}" name="DV Number" dataDxfId="68"/>
    <tableColumn id="2" xr3:uid="{00000000-0010-0000-0900-000002000000}" name="JEV Number" dataDxfId="67"/>
    <tableColumn id="3" xr3:uid="{00000000-0010-0000-0900-000003000000}" name="Sort Code" dataDxfId="66"/>
    <tableColumn id="4" xr3:uid="{00000000-0010-0000-0900-000004000000}" name="Ofc Code" dataDxfId="65"/>
    <tableColumn id="15" xr3:uid="{00000000-0010-0000-0900-00000F000000}" name="Sub Code" dataDxfId="64"/>
    <tableColumn id="12" xr3:uid="{00000000-0010-0000-0900-00000C000000}" name="CF Code" dataDxfId="63"/>
    <tableColumn id="5" xr3:uid="{00000000-0010-0000-0900-000005000000}" name="Payee" dataDxfId="62"/>
    <tableColumn id="16" xr3:uid="{00000000-0010-0000-0900-000010000000}" name="Particulars" dataDxfId="61" dataCellStyle="Normal 2"/>
    <tableColumn id="6" xr3:uid="{00000000-0010-0000-0900-000006000000}" name="Account Name" dataDxfId="60">
      <calculatedColumnFormula>IF(L3=0,"",(INDEX(AccountCodes[ACCOUNT NAME],MATCH(L3,AccountCodes[NGAS CODE],0))))</calculatedColumnFormula>
    </tableColumn>
    <tableColumn id="7" xr3:uid="{00000000-0010-0000-0900-000007000000}" name="Account Code" dataDxfId="59"/>
    <tableColumn id="8" xr3:uid="{00000000-0010-0000-0900-000008000000}" name="Debit" dataDxfId="58" dataCellStyle="Comma"/>
    <tableColumn id="9" xr3:uid="{00000000-0010-0000-0900-000009000000}" name="Credit" dataDxfId="57" dataCellStyle="Comma"/>
    <tableColumn id="10" xr3:uid="{00000000-0010-0000-0900-00000A000000}" name="ASA #" dataDxfId="56" dataCellStyle="Comma"/>
    <tableColumn id="11" xr3:uid="{00000000-0010-0000-0900-00000B000000}" name="Running Balance" dataDxfId="55">
      <calculatedColumnFormula>P2+M3-N3</calculatedColumnFormula>
    </tableColumn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A000000}" name="Table710" displayName="Table710" ref="A13:S55" totalsRowShown="0" headerRowDxfId="49" dataDxfId="47" headerRowBorderDxfId="48" tableBorderDxfId="46" totalsRowBorderDxfId="45" headerRowCellStyle="Comma">
  <autoFilter ref="A13:S55" xr:uid="{00000000-0009-0000-0100-000009000000}"/>
  <tableColumns count="19">
    <tableColumn id="1" xr3:uid="{00000000-0010-0000-0A00-000001000000}" name="Date" dataDxfId="44">
      <calculatedColumnFormula array="1">IF(OR(C14=C13,C14=0),"",INDEX(CsDJ[Date],MATCH(C14,CsDJ[JEV Number],0)))</calculatedColumnFormula>
    </tableColumn>
    <tableColumn id="2" xr3:uid="{00000000-0010-0000-0A00-000002000000}" name="JEV_x000a_No." dataDxfId="43"/>
    <tableColumn id="3" xr3:uid="{00000000-0010-0000-0A00-000003000000}" name="JEV_x000a_" dataDxfId="42">
      <calculatedColumnFormula>IF(B14=0,C13,B14)</calculatedColumnFormula>
    </tableColumn>
    <tableColumn id="4" xr3:uid="{00000000-0010-0000-0A00-000004000000}" name="RCI/DV_x000a_No." dataDxfId="41"/>
    <tableColumn id="5" xr3:uid="{00000000-0010-0000-0A00-000005000000}" name="From" dataDxfId="40"/>
    <tableColumn id="6" xr3:uid="{00000000-0010-0000-0A00-000006000000}" name="TO" dataDxfId="39"/>
    <tableColumn id="7" xr3:uid="{00000000-0010-0000-0A00-000007000000}" name="Name of Disbursing Officer" dataDxfId="38">
      <calculatedColumnFormula array="1">IF(OR(C14=C13,C14=0),"",INDEX(CasheirCode[Name],MATCH((INDEX(CsDJ[Sort Code],MATCH(C14,CsDJ[JEV Number],0))),CasheirCode[Sort Code])))</calculatedColumnFormula>
    </tableColumn>
    <tableColumn id="8" xr3:uid="{00000000-0010-0000-0A00-000008000000}" name="103" dataDxfId="37">
      <calculatedColumnFormula array="1">IF(OR($C14=$C13,$C14=0),0,(SUM(IF((CsDJ[JEV Number]=$C14)*(CsDJ[Account Code]=(H$11)),CsDJ[Credit]))))</calculatedColumnFormula>
    </tableColumn>
    <tableColumn id="9" xr3:uid="{00000000-0010-0000-0A00-000009000000}" name="106" dataDxfId="36">
      <calculatedColumnFormula array="1">IF(OR($C14=$C13,$C14=0),0,(SUM(IF((CsDJ[JEV Number]=$C14)*(CsDJ[Account Code]=(I$11)),CsDJ[Credit]))))</calculatedColumnFormula>
    </tableColumn>
    <tableColumn id="19" xr3:uid="{00000000-0010-0000-0A00-000013000000}" name="412" dataDxfId="35">
      <calculatedColumnFormula array="1">IF(OR($C14=$C13,$C14=0),0,(SUM(IF((CsDJ[JEV Number]=$C14)*(CsDJ[Account Code]=(J$11)),CsDJ[Credit]))))</calculatedColumnFormula>
    </tableColumn>
    <tableColumn id="10" xr3:uid="{00000000-0010-0000-0A00-00000A000000}" name="Sundry" dataDxfId="34"/>
    <tableColumn id="11" xr3:uid="{00000000-0010-0000-0A00-00000B000000}" name="Amount" dataDxfId="33">
      <calculatedColumnFormula array="1">IF($C14=0,0,(SUM(IF((CsDJ[JEV Number]=$C14)*(CsDJ[Account Code]=(K14)),CsDJ[Credit]))))</calculatedColumnFormula>
    </tableColumn>
    <tableColumn id="12" xr3:uid="{00000000-0010-0000-0A00-00000C000000}" name="403" dataDxfId="32">
      <calculatedColumnFormula array="1">IF(OR($C14=$C13,$C14=0),0,(SUM(IF((CsDJ[JEV Number]=$C14)*(CsDJ[Account Code]=(M$11)),CsDJ[Debit]))))</calculatedColumnFormula>
    </tableColumn>
    <tableColumn id="13" xr3:uid="{00000000-0010-0000-0A00-00000D000000}" name="701" dataDxfId="31">
      <calculatedColumnFormula array="1">IF(OR($C14=$C13,$C14=0),0,(SUM(IF((CsDJ[JEV Number]=$C14)*(CsDJ[Account Code]=(N$11)),CsDJ[Debit]))))</calculatedColumnFormula>
    </tableColumn>
    <tableColumn id="14" xr3:uid="{00000000-0010-0000-0A00-00000E000000}" name="705" dataDxfId="30">
      <calculatedColumnFormula array="1">IF(OR($C14=$C13,$C14=0),0,(SUM(IF((CsDJ[JEV Number]=$C14)*(CsDJ[Account Code]=(O$11)),CsDJ[Debit]))))</calculatedColumnFormula>
    </tableColumn>
    <tableColumn id="15" xr3:uid="{00000000-0010-0000-0A00-00000F000000}" name="711" dataDxfId="29">
      <calculatedColumnFormula array="1">IF(OR($C14=$C13,$C14=0),0,(SUM(IF((CsDJ[JEV Number]=$C14)*(CsDJ[Account Code]=(P$11)),CsDJ[Debit]))))</calculatedColumnFormula>
    </tableColumn>
    <tableColumn id="16" xr3:uid="{00000000-0010-0000-0A00-000010000000}" name="Sundry2" dataDxfId="28"/>
    <tableColumn id="17" xr3:uid="{00000000-0010-0000-0A00-000011000000}" name="Amount2" dataDxfId="27">
      <calculatedColumnFormula array="1">IF($C14=0,0,(SUM(IF((CsDJ[JEV Number]=$C14)*(CsDJ[Account Code]=(Q14)),CsDJ[Debit]))))</calculatedColumnFormula>
    </tableColumn>
    <tableColumn id="18" xr3:uid="{00000000-0010-0000-0A00-000012000000}" name="Running Balance" dataDxfId="26">
      <calculatedColumnFormula>S13+(SUM(M14:P14)+R14)-(SUM(H14:J14)+L14)</calculatedColumnFormula>
    </tableColumn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GJ" displayName="GJ" ref="A9:L140" totalsRowShown="0" headerRowDxfId="25" headerRowBorderDxfId="24" tableBorderDxfId="23" totalsRowBorderDxfId="22" headerRowCellStyle="Comma">
  <tableColumns count="12">
    <tableColumn id="1" xr3:uid="{00000000-0010-0000-0B00-000001000000}" name="Date" dataDxfId="21"/>
    <tableColumn id="2" xr3:uid="{00000000-0010-0000-0B00-000002000000}" name="JEV Number" dataDxfId="20"/>
    <tableColumn id="3" xr3:uid="{00000000-0010-0000-0B00-000003000000}" name="Sort Code" dataDxfId="19"/>
    <tableColumn id="4" xr3:uid="{00000000-0010-0000-0B00-000004000000}" name="Ofc Code" dataDxfId="18"/>
    <tableColumn id="12" xr3:uid="{00000000-0010-0000-0B00-00000C000000}" name="Sub Code" dataDxfId="17"/>
    <tableColumn id="11" xr3:uid="{00000000-0010-0000-0B00-00000B000000}" name="CF Code" dataDxfId="16"/>
    <tableColumn id="5" xr3:uid="{00000000-0010-0000-0B00-000005000000}" name="Particulars" dataDxfId="15"/>
    <tableColumn id="6" xr3:uid="{00000000-0010-0000-0B00-000006000000}" name="Account Name" dataDxfId="14">
      <calculatedColumnFormula>IF(I10=0,"",(INDEX(AccountCodes[ACCOUNT NAME],MATCH(I10,AccountCodes[NGAS CODE],0))))</calculatedColumnFormula>
    </tableColumn>
    <tableColumn id="7" xr3:uid="{00000000-0010-0000-0B00-000007000000}" name="Account Code" dataDxfId="13" dataCellStyle="Comma"/>
    <tableColumn id="8" xr3:uid="{00000000-0010-0000-0B00-000008000000}" name="Debit" dataDxfId="12" dataCellStyle="Comma"/>
    <tableColumn id="9" xr3:uid="{00000000-0010-0000-0B00-000009000000}" name="Credit" dataDxfId="11" dataCellStyle="Comma"/>
    <tableColumn id="10" xr3:uid="{00000000-0010-0000-0B00-00000A000000}" name="Running Balance" dataDxfId="10">
      <calculatedColumnFormula>L9+J10-K10</calculatedColumnFormula>
    </tableColumn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C000000}" name="Budget" displayName="Budget" ref="A1:F2917" totalsRowShown="0" headerRowDxfId="9" dataDxfId="7" headerRowBorderDxfId="8" tableBorderDxfId="6">
  <autoFilter ref="A1:F2917" xr:uid="{00000000-0009-0000-0100-000014000000}"/>
  <tableColumns count="6">
    <tableColumn id="1" xr3:uid="{00000000-0010-0000-0C00-000001000000}" name="Date" dataDxfId="5"/>
    <tableColumn id="2" xr3:uid="{00000000-0010-0000-0C00-000002000000}" name="Sort Code" dataDxfId="4"/>
    <tableColumn id="3" xr3:uid="{00000000-0010-0000-0C00-000003000000}" name="Ofc Code" dataDxfId="3"/>
    <tableColumn id="4" xr3:uid="{00000000-0010-0000-0C00-000004000000}" name="Account Name" dataDxfId="2">
      <calculatedColumnFormula array="1">IF(E2=0,0,(INDEX(AccountCodes[ACCOUNT NAME],MATCH(E2,AccountCodes[NGAS CODE],0))))</calculatedColumnFormula>
    </tableColumn>
    <tableColumn id="5" xr3:uid="{00000000-0010-0000-0C00-000005000000}" name="Account Code" dataDxfId="1"/>
    <tableColumn id="6" xr3:uid="{00000000-0010-0000-0C00-000006000000}" name="Amount" dataDxfId="0" dataCellStyle="Comm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>
    <tabColor rgb="FFFF0000"/>
  </sheetPr>
  <dimension ref="A1:L354"/>
  <sheetViews>
    <sheetView zoomScale="90" zoomScaleNormal="90" workbookViewId="0">
      <selection activeCell="A77" sqref="A77:XFD77"/>
    </sheetView>
  </sheetViews>
  <sheetFormatPr defaultColWidth="9" defaultRowHeight="12.75" x14ac:dyDescent="0.2"/>
  <cols>
    <col min="1" max="1" width="56.375" style="604" customWidth="1"/>
    <col min="2" max="3" width="13.625" style="604" customWidth="1"/>
    <col min="4" max="4" width="17.625" style="604" customWidth="1"/>
    <col min="5" max="5" width="18.125" style="604" hidden="1" customWidth="1"/>
    <col min="6" max="6" width="17.875" style="604" hidden="1" customWidth="1"/>
    <col min="7" max="7" width="18.125" style="604" customWidth="1"/>
    <col min="8" max="8" width="19.625" style="622" customWidth="1"/>
    <col min="9" max="9" width="9" style="142"/>
    <col min="10" max="10" width="17" style="142" customWidth="1"/>
    <col min="11" max="11" width="19.375" style="142" customWidth="1"/>
    <col min="12" max="12" width="16.25" style="142" customWidth="1"/>
    <col min="13" max="16384" width="9" style="142"/>
  </cols>
  <sheetData>
    <row r="1" spans="1:10" ht="27.75" x14ac:dyDescent="0.5">
      <c r="A1" s="736" t="s">
        <v>355</v>
      </c>
      <c r="B1" s="606"/>
      <c r="C1" s="606"/>
      <c r="D1" s="606"/>
      <c r="E1" s="606"/>
      <c r="F1" s="606"/>
      <c r="G1" s="606"/>
    </row>
    <row r="2" spans="1:10" ht="15.75" customHeight="1" x14ac:dyDescent="0.35">
      <c r="A2" s="607" t="s">
        <v>1064</v>
      </c>
      <c r="B2" s="606"/>
      <c r="C2" s="606"/>
      <c r="D2" s="606"/>
      <c r="E2" s="606"/>
      <c r="F2" s="606"/>
      <c r="G2" s="606"/>
    </row>
    <row r="3" spans="1:10" ht="17.25" customHeight="1" x14ac:dyDescent="0.35">
      <c r="A3" s="589" t="s">
        <v>1538</v>
      </c>
      <c r="B3" s="606"/>
      <c r="C3" s="606"/>
      <c r="D3" s="606"/>
      <c r="E3" s="606"/>
      <c r="F3" s="606"/>
      <c r="G3" s="606"/>
    </row>
    <row r="4" spans="1:10" ht="15.75" x14ac:dyDescent="0.25">
      <c r="A4" s="607" t="s">
        <v>1539</v>
      </c>
      <c r="B4" s="590"/>
      <c r="C4" s="590"/>
      <c r="D4" s="590"/>
      <c r="E4" s="590"/>
      <c r="F4" s="590"/>
      <c r="G4" s="590"/>
    </row>
    <row r="5" spans="1:10" ht="15.75" x14ac:dyDescent="0.25">
      <c r="A5" s="589" t="s">
        <v>363</v>
      </c>
      <c r="B5" s="590"/>
      <c r="C5" s="590"/>
      <c r="D5" s="590"/>
      <c r="E5" s="591"/>
      <c r="F5" s="590"/>
      <c r="G5" s="590"/>
    </row>
    <row r="6" spans="1:10" ht="15.75" x14ac:dyDescent="0.25">
      <c r="A6" s="607" t="str">
        <f>Account!$G$1</f>
        <v>FUND 501 CARP</v>
      </c>
      <c r="B6" s="590"/>
      <c r="C6" s="590"/>
      <c r="D6" s="590"/>
      <c r="E6" s="590"/>
      <c r="F6" s="590"/>
      <c r="G6" s="590"/>
    </row>
    <row r="7" spans="1:10" ht="15.75" x14ac:dyDescent="0.25">
      <c r="A7" s="609">
        <f>Account!G2</f>
        <v>44500</v>
      </c>
      <c r="B7" s="590"/>
      <c r="C7" s="590"/>
      <c r="D7" s="590"/>
      <c r="E7" s="590"/>
      <c r="F7" s="590"/>
      <c r="G7" s="590"/>
    </row>
    <row r="8" spans="1:10" ht="18.75" hidden="1" x14ac:dyDescent="0.3">
      <c r="A8" s="611"/>
      <c r="B8" s="590"/>
      <c r="C8" s="590"/>
      <c r="D8" s="590"/>
      <c r="E8" s="590"/>
      <c r="F8" s="590"/>
      <c r="G8" s="590"/>
    </row>
    <row r="9" spans="1:10" ht="47.25" x14ac:dyDescent="0.2">
      <c r="A9" s="593" t="s">
        <v>364</v>
      </c>
      <c r="B9" s="594" t="s">
        <v>1242</v>
      </c>
      <c r="C9" s="594" t="s">
        <v>1243</v>
      </c>
      <c r="D9" s="594" t="s">
        <v>357</v>
      </c>
      <c r="E9" s="594" t="s">
        <v>383</v>
      </c>
      <c r="F9" s="594" t="s">
        <v>384</v>
      </c>
      <c r="G9" s="594" t="s">
        <v>356</v>
      </c>
      <c r="H9" s="595" t="s">
        <v>496</v>
      </c>
    </row>
    <row r="10" spans="1:10" ht="15.75" hidden="1" x14ac:dyDescent="0.25">
      <c r="A10" s="623" t="str">
        <f t="array" ref="A10">INDEX(AccountCodes[ACCOUNT NAME],MATCH(B10,AccountCodes[NGAS CODE],0))</f>
        <v>Cash-Collecting Officers</v>
      </c>
      <c r="B10" s="624" t="s">
        <v>9</v>
      </c>
      <c r="C10" s="625">
        <f t="array" ref="C10">INDEX(AccountCodes[PPSAS CODE],MATCH(B10,AccountCodes[NGAS CODE],0))</f>
        <v>1010101000</v>
      </c>
      <c r="D10" s="626">
        <f>IF(INDEX(AccountCodes[Normal Balance], MATCH(C10,AccountCodes[PPSAS CODE]))="Debit",E10-F10,0)</f>
        <v>0</v>
      </c>
      <c r="E10" s="626">
        <f>SUMIF(PostTB[Account Code (Old)],B10,(PostTB[Debit]))+SUMIF(CkDJ[Account Code],B10,(CkDJ[Debit]))+SUMIF(CsDJ[Account Code],B10,(CsDJ[Debit]))+SUMIF(CRDJ[Account Code],B10,(CRDJ[Debit]))+SUMIF(GJ[Account Code],B10,(GJ[Debit]))</f>
        <v>0</v>
      </c>
      <c r="F10" s="627">
        <f>SUMIF(PostTB[Account Code (Old)],B10,(PostTB[Credit]))+SUMIF(CkDJ[Account Code],B10,(CkDJ[Credit]))+SUMIF(CsDJ[Account Code],B10,(CsDJ[Credit]))+SUMIF(CRDJ[Account Code],B10,(CRDJ[Credit]))+SUMIF(GJ[Account Code],B10,(GJ[Credit]))</f>
        <v>0</v>
      </c>
      <c r="G10" s="627">
        <f>IF(INDEX(AccountCodes[Normal Balance], MATCH(C10,AccountCodes[PPSAS CODE]))="Credit",F10-E10,0)</f>
        <v>0</v>
      </c>
      <c r="H10" s="626">
        <f t="shared" ref="H10:H65" si="0">IF(D10=0,G10,D10)</f>
        <v>0</v>
      </c>
    </row>
    <row r="11" spans="1:10" ht="15.75" hidden="1" x14ac:dyDescent="0.25">
      <c r="A11" s="623" t="str">
        <f t="array" ref="A11">INDEX(AccountCodes[ACCOUNT NAME],MATCH(B11,AccountCodes[NGAS CODE],0))</f>
        <v>Petty Cash</v>
      </c>
      <c r="B11" s="597" t="s">
        <v>11</v>
      </c>
      <c r="C11" s="625">
        <f t="array" ref="C11">INDEX(AccountCodes[PPSAS CODE],MATCH(B11,AccountCodes[NGAS CODE],0))</f>
        <v>1010102000</v>
      </c>
      <c r="D11" s="626">
        <f>IF(INDEX(AccountCodes[Normal Balance], MATCH(C11,AccountCodes[PPSAS CODE]))="Debit",E11-F11,0)</f>
        <v>0</v>
      </c>
      <c r="E11" s="626">
        <f>SUMIF(PostTB[Account Code (Old)],B11,(PostTB[Debit]))+SUMIF(CkDJ[Account Code],B11,(CkDJ[Debit]))+SUMIF(CsDJ[Account Code],B11,(CsDJ[Debit]))+SUMIF(CRDJ[Account Code],B11,(CRDJ[Debit]))+SUMIF(GJ[Account Code],B11,(GJ[Debit]))</f>
        <v>0</v>
      </c>
      <c r="F11" s="627">
        <f>SUMIF(PostTB[Account Code (Old)],B11,(PostTB[Credit]))+SUMIF(CkDJ[Account Code],B11,(CkDJ[Credit]))+SUMIF(CsDJ[Account Code],B11,(CsDJ[Credit]))+SUMIF(CRDJ[Account Code],B11,(CRDJ[Credit]))+SUMIF(GJ[Account Code],B11,(GJ[Credit]))</f>
        <v>0</v>
      </c>
      <c r="G11" s="627">
        <f>IF(INDEX(AccountCodes[Normal Balance], MATCH(C11,AccountCodes[PPSAS CODE]))="Credit",F11-E11,0)</f>
        <v>0</v>
      </c>
      <c r="H11" s="626">
        <f t="shared" si="0"/>
        <v>0</v>
      </c>
    </row>
    <row r="12" spans="1:10" ht="15.75" hidden="1" x14ac:dyDescent="0.25">
      <c r="A12" s="623" t="str">
        <f t="array" ref="A12">INDEX(AccountCodes[ACCOUNT NAME],MATCH(B12,AccountCodes[NGAS CODE],0))</f>
        <v>Cash in Bank-Local Currency, Current Account</v>
      </c>
      <c r="B12" s="597" t="s">
        <v>13</v>
      </c>
      <c r="C12" s="625">
        <f t="array" ref="C12">INDEX(AccountCodes[PPSAS CODE],MATCH(B12,AccountCodes[NGAS CODE],0))</f>
        <v>1010202000</v>
      </c>
      <c r="D12" s="626">
        <f>IF(INDEX(AccountCodes[Normal Balance], MATCH(C12,AccountCodes[PPSAS CODE]))="Debit",E12-F12,0)</f>
        <v>0</v>
      </c>
      <c r="E12" s="626">
        <f>SUMIF(PostTB[Account Code (Old)],B12,(PostTB[Debit]))+SUMIF(CkDJ[Account Code],B12,(CkDJ[Debit]))+SUMIF(CsDJ[Account Code],B12,(CsDJ[Debit]))+SUMIF(CRDJ[Account Code],B12,(CRDJ[Debit]))+SUMIF(GJ[Account Code],B12,(GJ[Debit]))</f>
        <v>0</v>
      </c>
      <c r="F12" s="627">
        <f>SUMIF(PostTB[Account Code (Old)],B12,(PostTB[Credit]))+SUMIF(CkDJ[Account Code],B12,(CkDJ[Credit]))+SUMIF(CsDJ[Account Code],B12,(CsDJ[Credit]))+SUMIF(CRDJ[Account Code],B12,(CRDJ[Credit]))+SUMIF(GJ[Account Code],B12,(GJ[Credit]))</f>
        <v>0</v>
      </c>
      <c r="G12" s="627">
        <f>IF(INDEX(AccountCodes[Normal Balance], MATCH(C12,AccountCodes[PPSAS CODE]))="Credit",F12-E12,0)</f>
        <v>0</v>
      </c>
      <c r="H12" s="626">
        <f t="shared" si="0"/>
        <v>0</v>
      </c>
    </row>
    <row r="13" spans="1:10" ht="15.75" x14ac:dyDescent="0.25">
      <c r="A13" s="623" t="str">
        <f t="array" ref="A13">INDEX(AccountCodes[ACCOUNT NAME],MATCH(B13,AccountCodes[NGAS CODE],0))</f>
        <v>Cash in Bank-Local Currency, Current Account - RO</v>
      </c>
      <c r="B13" s="597" t="s">
        <v>1478</v>
      </c>
      <c r="C13" s="625" t="str">
        <f t="array" ref="C13">INDEX(AccountCodes[PPSAS CODE],MATCH(B13,AccountCodes[NGAS CODE],0))</f>
        <v>1010202000RO</v>
      </c>
      <c r="D13" s="626">
        <f>IF(INDEX(AccountCodes[Normal Balance], MATCH(C13,AccountCodes[PPSAS CODE]))="Debit",E13-F13,0)</f>
        <v>-19026526.309999999</v>
      </c>
      <c r="E13" s="626">
        <f>SUMIF(PostTB[Account Code (Old)],B13,(PostTB[Debit]))+SUMIF(CkDJ[Account Code],B13,(CkDJ[Debit]))+SUMIF(CsDJ[Account Code],B13,(CsDJ[Debit]))+SUMIF(CRDJ[Account Code],B13,(CRDJ[Debit]))+SUMIF(GJ[Account Code],B13,(GJ[Debit]))</f>
        <v>4370388.76</v>
      </c>
      <c r="F13" s="627">
        <f>SUMIF(PostTB[Account Code (Old)],B13,(PostTB[Credit]))+SUMIF(CkDJ[Account Code],B13,(CkDJ[Credit]))+SUMIF(CsDJ[Account Code],B13,(CsDJ[Credit]))+SUMIF(CRDJ[Account Code],B13,(CRDJ[Credit]))+SUMIF(GJ[Account Code],B13,(GJ[Credit]))</f>
        <v>23396915.07</v>
      </c>
      <c r="G13" s="627">
        <f>IF(INDEX(AccountCodes[Normal Balance], MATCH(C13,AccountCodes[PPSAS CODE]))="Credit",F13-E13,0)</f>
        <v>0</v>
      </c>
      <c r="H13" s="626">
        <f t="shared" si="0"/>
        <v>-19026526.309999999</v>
      </c>
      <c r="J13" s="700">
        <f>Table6[[#This Row],[DEBIT]]+D19</f>
        <v>1266311.7</v>
      </c>
    </row>
    <row r="14" spans="1:10" ht="15.75" hidden="1" x14ac:dyDescent="0.25">
      <c r="A14" s="623" t="str">
        <f t="array" ref="A14">INDEX(AccountCodes[ACCOUNT NAME],MATCH(B14,AccountCodes[NGAS CODE],0))</f>
        <v>Cash in Bank-Local Currency, Current Account - RO Subsidy/Capital Outlay</v>
      </c>
      <c r="B14" s="597" t="s">
        <v>1482</v>
      </c>
      <c r="C14" s="625" t="str">
        <f t="array" ref="C14">INDEX(AccountCodes[PPSAS CODE],MATCH(B14,AccountCodes[NGAS CODE],0))</f>
        <v>1010202000ROSCO</v>
      </c>
      <c r="D14" s="626">
        <f>IF(INDEX(AccountCodes[Normal Balance], MATCH(C14,AccountCodes[PPSAS CODE]))="Debit",E14-F14,0)</f>
        <v>0</v>
      </c>
      <c r="E14" s="626">
        <f>SUMIF(PostTB[Account Code (Old)],B14,(PostTB[Debit]))+SUMIF(CkDJ[Account Code],B14,(CkDJ[Debit]))+SUMIF(CsDJ[Account Code],B14,(CsDJ[Debit]))+SUMIF(CRDJ[Account Code],B14,(CRDJ[Debit]))+SUMIF(GJ[Account Code],B14,(GJ[Debit]))</f>
        <v>0</v>
      </c>
      <c r="F14" s="627">
        <f>SUMIF(PostTB[Account Code (Old)],B14,(PostTB[Credit]))+SUMIF(CkDJ[Account Code],B14,(CkDJ[Credit]))+SUMIF(CsDJ[Account Code],B14,(CsDJ[Credit]))+SUMIF(CRDJ[Account Code],B14,(CRDJ[Credit]))+SUMIF(GJ[Account Code],B14,(GJ[Credit]))</f>
        <v>0</v>
      </c>
      <c r="G14" s="627">
        <f>IF(INDEX(AccountCodes[Normal Balance], MATCH(C14,AccountCodes[PPSAS CODE]))="Credit",F14-E14,0)</f>
        <v>0</v>
      </c>
      <c r="H14" s="626">
        <f t="shared" si="0"/>
        <v>0</v>
      </c>
    </row>
    <row r="15" spans="1:10" ht="15.75" hidden="1" x14ac:dyDescent="0.25">
      <c r="A15" s="623" t="str">
        <f t="array" ref="A15">INDEX(AccountCodes[ACCOUNT NAME],MATCH(B15,AccountCodes[NGAS CODE],0))</f>
        <v>Cash in Bank-Local Currency, Current Account - RO Back Accounts</v>
      </c>
      <c r="B15" s="597" t="s">
        <v>1484</v>
      </c>
      <c r="C15" s="625" t="str">
        <f t="array" ref="C15">INDEX(AccountCodes[PPSAS CODE],MATCH(B15,AccountCodes[NGAS CODE],0))</f>
        <v>1010202000ROBA</v>
      </c>
      <c r="D15" s="626">
        <f>IF(INDEX(AccountCodes[Normal Balance], MATCH(C15,AccountCodes[PPSAS CODE]))="Debit",E15-F15,0)</f>
        <v>0</v>
      </c>
      <c r="E15" s="626">
        <f>SUMIF(PostTB[Account Code (Old)],B15,(PostTB[Debit]))+SUMIF(CkDJ[Account Code],B15,(CkDJ[Debit]))+SUMIF(CsDJ[Account Code],B15,(CsDJ[Debit]))+SUMIF(CRDJ[Account Code],B15,(CRDJ[Debit]))+SUMIF(GJ[Account Code],B15,(GJ[Debit]))</f>
        <v>0</v>
      </c>
      <c r="F15" s="627">
        <f>SUMIF(PostTB[Account Code (Old)],B15,(PostTB[Credit]))+SUMIF(CkDJ[Account Code],B15,(CkDJ[Credit]))+SUMIF(CsDJ[Account Code],B15,(CsDJ[Credit]))+SUMIF(CRDJ[Account Code],B15,(CRDJ[Credit]))+SUMIF(GJ[Account Code],B15,(GJ[Credit]))</f>
        <v>0</v>
      </c>
      <c r="G15" s="627">
        <f>IF(INDEX(AccountCodes[Normal Balance], MATCH(C15,AccountCodes[PPSAS CODE]))="Credit",F15-E15,0)</f>
        <v>0</v>
      </c>
      <c r="H15" s="626">
        <f t="shared" si="0"/>
        <v>0</v>
      </c>
    </row>
    <row r="16" spans="1:10" ht="15.75" hidden="1" x14ac:dyDescent="0.25">
      <c r="A16" s="623" t="str">
        <f t="array" ref="A16">INDEX(AccountCodes[ACCOUNT NAME],MATCH(B16,AccountCodes[NGAS CODE],0))</f>
        <v>Cash in Bank-Local Currency, Current Account - RO NIMF</v>
      </c>
      <c r="B16" s="597" t="s">
        <v>1486</v>
      </c>
      <c r="C16" s="625" t="str">
        <f t="array" ref="C16">INDEX(AccountCodes[PPSAS CODE],MATCH(B16,AccountCodes[NGAS CODE],0))</f>
        <v>1010202000RONIMF</v>
      </c>
      <c r="D16" s="626">
        <f>IF(INDEX(AccountCodes[Normal Balance], MATCH(C16,AccountCodes[PPSAS CODE]))="Debit",E16-F16,0)</f>
        <v>0</v>
      </c>
      <c r="E16" s="626">
        <f>SUMIF(PostTB[Account Code (Old)],B16,(PostTB[Debit]))+SUMIF(CkDJ[Account Code],B16,(CkDJ[Debit]))+SUMIF(CsDJ[Account Code],B16,(CsDJ[Debit]))+SUMIF(CRDJ[Account Code],B16,(CRDJ[Debit]))+SUMIF(GJ[Account Code],B16,(GJ[Debit]))</f>
        <v>0</v>
      </c>
      <c r="F16" s="627">
        <f>SUMIF(PostTB[Account Code (Old)],B16,(PostTB[Credit]))+SUMIF(CkDJ[Account Code],B16,(CkDJ[Credit]))+SUMIF(CsDJ[Account Code],B16,(CsDJ[Credit]))+SUMIF(CRDJ[Account Code],B16,(CRDJ[Credit]))+SUMIF(GJ[Account Code],B16,(GJ[Credit]))</f>
        <v>0</v>
      </c>
      <c r="G16" s="627">
        <f>IF(INDEX(AccountCodes[Normal Balance], MATCH(C16,AccountCodes[PPSAS CODE]))="Credit",F16-E16,0)</f>
        <v>0</v>
      </c>
      <c r="H16" s="626">
        <f t="shared" si="0"/>
        <v>0</v>
      </c>
    </row>
    <row r="17" spans="1:8" ht="15.75" hidden="1" x14ac:dyDescent="0.25">
      <c r="A17" s="623" t="str">
        <f t="array" ref="A17">INDEX(AccountCodes[ACCOUNT NAME],MATCH(B17,AccountCodes[NGAS CODE],0))</f>
        <v>Cash in Bank-Local Currency, Current Account - RO - PC</v>
      </c>
      <c r="B17" s="597" t="s">
        <v>1488</v>
      </c>
      <c r="C17" s="625" t="str">
        <f t="array" ref="C17">INDEX(AccountCodes[PPSAS CODE],MATCH(B17,AccountCodes[NGAS CODE],0))</f>
        <v>1010202000ROPC</v>
      </c>
      <c r="D17" s="626">
        <f>IF(INDEX(AccountCodes[Normal Balance], MATCH(C17,AccountCodes[PPSAS CODE]))="Debit",E17-F17,0)</f>
        <v>0</v>
      </c>
      <c r="E17" s="626">
        <f>SUMIF(PostTB[Account Code (Old)],B17,(PostTB[Debit]))+SUMIF(CkDJ[Account Code],B17,(CkDJ[Debit]))+SUMIF(CsDJ[Account Code],B17,(CsDJ[Debit]))+SUMIF(CRDJ[Account Code],B17,(CRDJ[Debit]))+SUMIF(GJ[Account Code],B17,(GJ[Debit]))</f>
        <v>0</v>
      </c>
      <c r="F17" s="627">
        <f>SUMIF(PostTB[Account Code (Old)],B17,(PostTB[Credit]))+SUMIF(CkDJ[Account Code],B17,(CkDJ[Credit]))+SUMIF(CsDJ[Account Code],B17,(CsDJ[Credit]))+SUMIF(CRDJ[Account Code],B17,(CRDJ[Credit]))+SUMIF(GJ[Account Code],B17,(GJ[Credit]))</f>
        <v>0</v>
      </c>
      <c r="G17" s="627">
        <f>IF(INDEX(AccountCodes[Normal Balance], MATCH(C17,AccountCodes[PPSAS CODE]))="Credit",F17-E17,0)</f>
        <v>0</v>
      </c>
      <c r="H17" s="626">
        <f t="shared" si="0"/>
        <v>0</v>
      </c>
    </row>
    <row r="18" spans="1:8" ht="15.75" hidden="1" x14ac:dyDescent="0.25">
      <c r="A18" s="623" t="str">
        <f t="array" ref="A18">INDEX(AccountCodes[ACCOUNT NAME],MATCH(B18,AccountCodes[NGAS CODE],0))</f>
        <v>Cash in Bank-Local Currency, Current Account - RO - LP</v>
      </c>
      <c r="B18" s="597" t="s">
        <v>1490</v>
      </c>
      <c r="C18" s="625" t="str">
        <f t="array" ref="C18">INDEX(AccountCodes[PPSAS CODE],MATCH(B18,AccountCodes[NGAS CODE],0))</f>
        <v>1010202000ROLP</v>
      </c>
      <c r="D18" s="626">
        <f>IF(INDEX(AccountCodes[Normal Balance], MATCH(C18,AccountCodes[PPSAS CODE]))="Debit",E18-F18,0)</f>
        <v>0</v>
      </c>
      <c r="E18" s="626">
        <f>SUMIF(PostTB[Account Code (Old)],B18,(PostTB[Debit]))+SUMIF(CkDJ[Account Code],B18,(CkDJ[Debit]))+SUMIF(CsDJ[Account Code],B18,(CsDJ[Debit]))+SUMIF(CRDJ[Account Code],B18,(CRDJ[Debit]))+SUMIF(GJ[Account Code],B18,(GJ[Debit]))</f>
        <v>0</v>
      </c>
      <c r="F18" s="627">
        <f>SUMIF(PostTB[Account Code (Old)],B18,(PostTB[Credit]))+SUMIF(CkDJ[Account Code],B18,(CkDJ[Credit]))+SUMIF(CsDJ[Account Code],B18,(CsDJ[Credit]))+SUMIF(CRDJ[Account Code],B18,(CRDJ[Credit]))+SUMIF(GJ[Account Code],B18,(GJ[Credit]))</f>
        <v>0</v>
      </c>
      <c r="G18" s="627">
        <f>IF(INDEX(AccountCodes[Normal Balance], MATCH(C18,AccountCodes[PPSAS CODE]))="Credit",F18-E18,0)</f>
        <v>0</v>
      </c>
      <c r="H18" s="626">
        <f t="shared" si="0"/>
        <v>0</v>
      </c>
    </row>
    <row r="19" spans="1:8" ht="15.75" x14ac:dyDescent="0.25">
      <c r="A19" s="623" t="str">
        <f t="array" ref="A19">INDEX(AccountCodes[ACCOUNT NAME],MATCH(B19,AccountCodes[NGAS CODE],0))</f>
        <v>Cash in Bank-Local Currency, Current Account - FO</v>
      </c>
      <c r="B19" s="597" t="s">
        <v>1479</v>
      </c>
      <c r="C19" s="625" t="str">
        <f t="array" ref="C19">INDEX(AccountCodes[PPSAS CODE],MATCH(B19,AccountCodes[NGAS CODE],0))</f>
        <v>1010202000FO</v>
      </c>
      <c r="D19" s="626">
        <f>IF(INDEX(AccountCodes[Normal Balance], MATCH(C19,AccountCodes[PPSAS CODE]))="Debit",E19-F19,0)</f>
        <v>20292838.010000002</v>
      </c>
      <c r="E19" s="626">
        <f>SUMIF(PostTB[Account Code (Old)],B19,(PostTB[Debit]))+SUMIF(CkDJ[Account Code],B19,(CkDJ[Debit]))+SUMIF(CsDJ[Account Code],B19,(CsDJ[Debit]))+SUMIF(CRDJ[Account Code],B19,(CRDJ[Debit]))+SUMIF(GJ[Account Code],B19,(GJ[Debit]))</f>
        <v>37805853.710000001</v>
      </c>
      <c r="F19" s="627">
        <f>SUMIF(PostTB[Account Code (Old)],B19,(PostTB[Credit]))+SUMIF(CkDJ[Account Code],B19,(CkDJ[Credit]))+SUMIF(CsDJ[Account Code],B19,(CsDJ[Credit]))+SUMIF(CRDJ[Account Code],B19,(CRDJ[Credit]))+SUMIF(GJ[Account Code],B19,(GJ[Credit]))</f>
        <v>17513015.699999999</v>
      </c>
      <c r="G19" s="627">
        <f>IF(INDEX(AccountCodes[Normal Balance], MATCH(C19,AccountCodes[PPSAS CODE]))="Credit",F19-E19,0)</f>
        <v>0</v>
      </c>
      <c r="H19" s="626">
        <f t="shared" si="0"/>
        <v>20292838.010000002</v>
      </c>
    </row>
    <row r="20" spans="1:8" ht="15.75" hidden="1" x14ac:dyDescent="0.25">
      <c r="A20" s="623" t="str">
        <f t="array" ref="A20">INDEX(AccountCodes[ACCOUNT NAME],MATCH(B20,AccountCodes[NGAS CODE],0))</f>
        <v>Cash in Bank-Local Currency, Current Account - FO - PC</v>
      </c>
      <c r="B20" s="597" t="s">
        <v>1492</v>
      </c>
      <c r="C20" s="625" t="str">
        <f t="array" ref="C20">INDEX(AccountCodes[PPSAS CODE],MATCH(B20,AccountCodes[NGAS CODE],0))</f>
        <v>1010202000FOPC</v>
      </c>
      <c r="D20" s="626">
        <f>IF(INDEX(AccountCodes[Normal Balance], MATCH(C20,AccountCodes[PPSAS CODE]))="Debit",E20-F20,0)</f>
        <v>0</v>
      </c>
      <c r="E20" s="626">
        <f>SUMIF(PostTB[Account Code (Old)],B20,(PostTB[Debit]))+SUMIF(CkDJ[Account Code],B20,(CkDJ[Debit]))+SUMIF(CsDJ[Account Code],B20,(CsDJ[Debit]))+SUMIF(CRDJ[Account Code],B20,(CRDJ[Debit]))+SUMIF(GJ[Account Code],B20,(GJ[Debit]))</f>
        <v>0</v>
      </c>
      <c r="F20" s="627">
        <f>SUMIF(PostTB[Account Code (Old)],B20,(PostTB[Credit]))+SUMIF(CkDJ[Account Code],B20,(CkDJ[Credit]))+SUMIF(CsDJ[Account Code],B20,(CsDJ[Credit]))+SUMIF(CRDJ[Account Code],B20,(CRDJ[Credit]))+SUMIF(GJ[Account Code],B20,(GJ[Credit]))</f>
        <v>0</v>
      </c>
      <c r="G20" s="627">
        <f>IF(INDEX(AccountCodes[Normal Balance], MATCH(C20,AccountCodes[PPSAS CODE]))="Credit",F20-E20,0)</f>
        <v>0</v>
      </c>
      <c r="H20" s="626">
        <f t="shared" si="0"/>
        <v>0</v>
      </c>
    </row>
    <row r="21" spans="1:8" ht="15.75" hidden="1" x14ac:dyDescent="0.25">
      <c r="A21" s="623" t="str">
        <f t="array" ref="A21">INDEX(AccountCodes[ACCOUNT NAME],MATCH(B21,AccountCodes[NGAS CODE],0))</f>
        <v>Cash in Bank-Local Currency, Current Account - FO - LP</v>
      </c>
      <c r="B21" s="597" t="s">
        <v>1494</v>
      </c>
      <c r="C21" s="625" t="str">
        <f t="array" ref="C21">INDEX(AccountCodes[PPSAS CODE],MATCH(B21,AccountCodes[NGAS CODE],0))</f>
        <v>1010202000FOLP</v>
      </c>
      <c r="D21" s="626">
        <f>IF(INDEX(AccountCodes[Normal Balance], MATCH(C21,AccountCodes[PPSAS CODE]))="Debit",E21-F21,0)</f>
        <v>0</v>
      </c>
      <c r="E21" s="626">
        <f>SUMIF(PostTB[Account Code (Old)],B21,(PostTB[Debit]))+SUMIF(CkDJ[Account Code],B21,(CkDJ[Debit]))+SUMIF(CsDJ[Account Code],B21,(CsDJ[Debit]))+SUMIF(CRDJ[Account Code],B21,(CRDJ[Debit]))+SUMIF(GJ[Account Code],B21,(GJ[Debit]))</f>
        <v>0</v>
      </c>
      <c r="F21" s="627">
        <f>SUMIF(PostTB[Account Code (Old)],B21,(PostTB[Credit]))+SUMIF(CkDJ[Account Code],B21,(CkDJ[Credit]))+SUMIF(CsDJ[Account Code],B21,(CsDJ[Credit]))+SUMIF(CRDJ[Account Code],B21,(CRDJ[Credit]))+SUMIF(GJ[Account Code],B21,(GJ[Credit]))</f>
        <v>0</v>
      </c>
      <c r="G21" s="627">
        <f>IF(INDEX(AccountCodes[Normal Balance], MATCH(C21,AccountCodes[PPSAS CODE]))="Credit",F21-E21,0)</f>
        <v>0</v>
      </c>
      <c r="H21" s="626">
        <f>IF(D21=0,G21,D21)</f>
        <v>0</v>
      </c>
    </row>
    <row r="22" spans="1:8" ht="15.75" hidden="1" x14ac:dyDescent="0.25">
      <c r="A22" s="623" t="str">
        <f t="array" ref="A22">INDEX(AccountCodes[ACCOUNT NAME],MATCH(B22,AccountCodes[NGAS CODE],0))</f>
        <v>Cash in Bank-Local Currency, Current Account</v>
      </c>
      <c r="B22" s="597" t="s">
        <v>13</v>
      </c>
      <c r="C22" s="625">
        <f t="array" ref="C22">INDEX(AccountCodes[PPSAS CODE],MATCH(B22,AccountCodes[NGAS CODE],0))</f>
        <v>1010202000</v>
      </c>
      <c r="D22" s="626">
        <f>IF(INDEX(AccountCodes[Normal Balance], MATCH(C22,AccountCodes[PPSAS CODE]))="Debit",E22-F22,0)</f>
        <v>0</v>
      </c>
      <c r="E22" s="626">
        <f>SUMIF(PostTB[Account Code (Old)],B22,(PostTB[Debit]))+SUMIF(CkDJ[Account Code],B22,(CkDJ[Debit]))+SUMIF(CsDJ[Account Code],B22,(CsDJ[Debit]))+SUMIF(CRDJ[Account Code],B22,(CRDJ[Debit]))+SUMIF(GJ[Account Code],B22,(GJ[Debit]))</f>
        <v>0</v>
      </c>
      <c r="F22" s="627">
        <f>SUMIF(PostTB[Account Code (Old)],B22,(PostTB[Credit]))+SUMIF(CkDJ[Account Code],B22,(CkDJ[Credit]))+SUMIF(CsDJ[Account Code],B22,(CsDJ[Credit]))+SUMIF(CRDJ[Account Code],B22,(CRDJ[Credit]))+SUMIF(GJ[Account Code],B22,(GJ[Credit]))</f>
        <v>0</v>
      </c>
      <c r="G22" s="627">
        <f>IF(INDEX(AccountCodes[Normal Balance], MATCH(C22,AccountCodes[PPSAS CODE]))="Credit",F22-E22,0)</f>
        <v>0</v>
      </c>
      <c r="H22" s="626">
        <f t="shared" si="0"/>
        <v>0</v>
      </c>
    </row>
    <row r="23" spans="1:8" ht="15.75" hidden="1" x14ac:dyDescent="0.25">
      <c r="A23" s="623" t="str">
        <f t="array" ref="A23">INDEX(AccountCodes[ACCOUNT NAME],MATCH(B23,AccountCodes[NGAS CODE],0))</f>
        <v>Cash in Bank-Local Currency, Current Account</v>
      </c>
      <c r="B23" s="597" t="s">
        <v>13</v>
      </c>
      <c r="C23" s="625">
        <f t="array" ref="C23">INDEX(AccountCodes[PPSAS CODE],MATCH(B23,AccountCodes[NGAS CODE],0))</f>
        <v>1010202000</v>
      </c>
      <c r="D23" s="626">
        <f>IF(INDEX(AccountCodes[Normal Balance], MATCH(C23,AccountCodes[PPSAS CODE]))="Debit",E23-F23,0)</f>
        <v>0</v>
      </c>
      <c r="E23" s="626">
        <f>SUMIF(PostTB[Account Code (Old)],B23,(PostTB[Debit]))+SUMIF(CkDJ[Account Code],B23,(CkDJ[Debit]))+SUMIF(CsDJ[Account Code],B23,(CsDJ[Debit]))+SUMIF(CRDJ[Account Code],B23,(CRDJ[Debit]))+SUMIF(GJ[Account Code],B23,(GJ[Debit]))</f>
        <v>0</v>
      </c>
      <c r="F23" s="627">
        <f>SUMIF(PostTB[Account Code (Old)],B23,(PostTB[Credit]))+SUMIF(CkDJ[Account Code],B23,(CkDJ[Credit]))+SUMIF(CsDJ[Account Code],B23,(CsDJ[Credit]))+SUMIF(CRDJ[Account Code],B23,(CRDJ[Credit]))+SUMIF(GJ[Account Code],B23,(GJ[Credit]))</f>
        <v>0</v>
      </c>
      <c r="G23" s="627">
        <f>IF(INDEX(AccountCodes[Normal Balance], MATCH(C23,AccountCodes[PPSAS CODE]))="Credit",F23-E23,0)</f>
        <v>0</v>
      </c>
      <c r="H23" s="626">
        <f t="shared" si="0"/>
        <v>0</v>
      </c>
    </row>
    <row r="24" spans="1:8" ht="15.75" hidden="1" x14ac:dyDescent="0.25">
      <c r="A24" s="623" t="str">
        <f t="array" ref="A24">INDEX(AccountCodes[ACCOUNT NAME],MATCH(B24,AccountCodes[NGAS CODE],0))</f>
        <v>Cash in Bank-Local Currency, Savings Account</v>
      </c>
      <c r="B24" s="597" t="s">
        <v>14</v>
      </c>
      <c r="C24" s="625">
        <f t="array" ref="C24">INDEX(AccountCodes[PPSAS CODE],MATCH(B24,AccountCodes[NGAS CODE],0))</f>
        <v>1010203000</v>
      </c>
      <c r="D24" s="626">
        <f>IF(INDEX(AccountCodes[Normal Balance], MATCH(C24,AccountCodes[PPSAS CODE]))="Debit",E24-F24,0)</f>
        <v>0</v>
      </c>
      <c r="E24" s="626">
        <f>SUMIF(PostTB[Account Code (Old)],B24,(PostTB[Debit]))+SUMIF(CkDJ[Account Code],B24,(CkDJ[Debit]))+SUMIF(CsDJ[Account Code],B24,(CsDJ[Debit]))+SUMIF(CRDJ[Account Code],B24,(CRDJ[Debit]))+SUMIF(GJ[Account Code],B24,(GJ[Debit]))</f>
        <v>0</v>
      </c>
      <c r="F24" s="627">
        <f>SUMIF(PostTB[Account Code (Old)],B24,(PostTB[Credit]))+SUMIF(CkDJ[Account Code],B24,(CkDJ[Credit]))+SUMIF(CsDJ[Account Code],B24,(CsDJ[Credit]))+SUMIF(CRDJ[Account Code],B24,(CRDJ[Credit]))+SUMIF(GJ[Account Code],B24,(GJ[Credit]))</f>
        <v>0</v>
      </c>
      <c r="G24" s="627">
        <f>IF(INDEX(AccountCodes[Normal Balance], MATCH(C24,AccountCodes[PPSAS CODE]))="Credit",F24-E24,0)</f>
        <v>0</v>
      </c>
      <c r="H24" s="626">
        <f t="shared" si="0"/>
        <v>0</v>
      </c>
    </row>
    <row r="25" spans="1:8" ht="15.75" hidden="1" x14ac:dyDescent="0.25">
      <c r="A25" s="623" t="str">
        <f t="array" ref="A25">INDEX(AccountCodes[ACCOUNT NAME],MATCH(B25,AccountCodes[NGAS CODE],0))</f>
        <v>Cash in Bank-Local Currency, Savings Account</v>
      </c>
      <c r="B25" s="597" t="s">
        <v>14</v>
      </c>
      <c r="C25" s="625">
        <f t="array" ref="C25">INDEX(AccountCodes[PPSAS CODE],MATCH(B25,AccountCodes[NGAS CODE],0))</f>
        <v>1010203000</v>
      </c>
      <c r="D25" s="626">
        <f>IF(INDEX(AccountCodes[Normal Balance], MATCH(C25,AccountCodes[PPSAS CODE]))="Debit",E25-F25,0)</f>
        <v>0</v>
      </c>
      <c r="E25" s="626">
        <f>SUMIF(PostTB[Account Code (Old)],B25,(PostTB[Debit]))+SUMIF(CkDJ[Account Code],B25,(CkDJ[Debit]))+SUMIF(CsDJ[Account Code],B25,(CsDJ[Debit]))+SUMIF(CRDJ[Account Code],B25,(CRDJ[Debit]))+SUMIF(GJ[Account Code],B25,(GJ[Debit]))</f>
        <v>0</v>
      </c>
      <c r="F25" s="627">
        <f>SUMIF(PostTB[Account Code (Old)],B25,(PostTB[Credit]))+SUMIF(CkDJ[Account Code],B25,(CkDJ[Credit]))+SUMIF(CsDJ[Account Code],B25,(CsDJ[Credit]))+SUMIF(CRDJ[Account Code],B25,(CRDJ[Credit]))+SUMIF(GJ[Account Code],B25,(GJ[Credit]))</f>
        <v>0</v>
      </c>
      <c r="G25" s="627">
        <f>IF(INDEX(AccountCodes[Normal Balance], MATCH(C25,AccountCodes[PPSAS CODE]))="Credit",F25-E25,0)</f>
        <v>0</v>
      </c>
      <c r="H25" s="626">
        <f t="shared" si="0"/>
        <v>0</v>
      </c>
    </row>
    <row r="26" spans="1:8" ht="15.75" hidden="1" x14ac:dyDescent="0.25">
      <c r="A26" s="623" t="str">
        <f t="array" ref="A26">INDEX(AccountCodes[ACCOUNT NAME],MATCH(B26,AccountCodes[NGAS CODE],0))</f>
        <v>Cash in Bank-Local Currency, Savings Account</v>
      </c>
      <c r="B26" s="597" t="s">
        <v>14</v>
      </c>
      <c r="C26" s="625">
        <f t="array" ref="C26">INDEX(AccountCodes[PPSAS CODE],MATCH(B26,AccountCodes[NGAS CODE],0))</f>
        <v>1010203000</v>
      </c>
      <c r="D26" s="626">
        <f>IF(INDEX(AccountCodes[Normal Balance], MATCH(C26,AccountCodes[PPSAS CODE]))="Debit",E26-F26,0)</f>
        <v>0</v>
      </c>
      <c r="E26" s="626">
        <f>SUMIF(PostTB[Account Code (Old)],B26,(PostTB[Debit]))+SUMIF(CkDJ[Account Code],B26,(CkDJ[Debit]))+SUMIF(CsDJ[Account Code],B26,(CsDJ[Debit]))+SUMIF(CRDJ[Account Code],B26,(CRDJ[Debit]))+SUMIF(GJ[Account Code],B26,(GJ[Debit]))</f>
        <v>0</v>
      </c>
      <c r="F26" s="627">
        <f>SUMIF(PostTB[Account Code (Old)],B26,(PostTB[Credit]))+SUMIF(CkDJ[Account Code],B26,(CkDJ[Credit]))+SUMIF(CsDJ[Account Code],B26,(CsDJ[Credit]))+SUMIF(CRDJ[Account Code],B26,(CRDJ[Credit]))+SUMIF(GJ[Account Code],B26,(GJ[Credit]))</f>
        <v>0</v>
      </c>
      <c r="G26" s="627">
        <f>IF(INDEX(AccountCodes[Normal Balance], MATCH(C26,AccountCodes[PPSAS CODE]))="Credit",F26-E26,0)</f>
        <v>0</v>
      </c>
      <c r="H26" s="626">
        <f t="shared" si="0"/>
        <v>0</v>
      </c>
    </row>
    <row r="27" spans="1:8" ht="15.75" hidden="1" x14ac:dyDescent="0.25">
      <c r="A27" s="623" t="str">
        <f t="array" ref="A27">INDEX(AccountCodes[ACCOUNT NAME],MATCH(B27,AccountCodes[NGAS CODE],0))</f>
        <v>Cash in Bank-Local Currency, Time Deposits</v>
      </c>
      <c r="B27" s="597" t="s">
        <v>15</v>
      </c>
      <c r="C27" s="625">
        <f t="array" ref="C27">INDEX(AccountCodes[PPSAS CODE],MATCH(B27,AccountCodes[NGAS CODE],0))</f>
        <v>1010204000</v>
      </c>
      <c r="D27" s="626">
        <f>IF(INDEX(AccountCodes[Normal Balance], MATCH(C27,AccountCodes[PPSAS CODE]))="Debit",E27-F27,0)</f>
        <v>0</v>
      </c>
      <c r="E27" s="626">
        <f>SUMIF(PostTB[Account Code (Old)],B27,(PostTB[Debit]))+SUMIF(CkDJ[Account Code],B27,(CkDJ[Debit]))+SUMIF(CsDJ[Account Code],B27,(CsDJ[Debit]))+SUMIF(CRDJ[Account Code],B27,(CRDJ[Debit]))+SUMIF(GJ[Account Code],B27,(GJ[Debit]))</f>
        <v>0</v>
      </c>
      <c r="F27" s="627">
        <f>SUMIF(PostTB[Account Code (Old)],B27,(PostTB[Credit]))+SUMIF(CkDJ[Account Code],B27,(CkDJ[Credit]))+SUMIF(CsDJ[Account Code],B27,(CsDJ[Credit]))+SUMIF(CRDJ[Account Code],B27,(CRDJ[Credit]))+SUMIF(GJ[Account Code],B27,(GJ[Credit]))</f>
        <v>0</v>
      </c>
      <c r="G27" s="627">
        <f>IF(INDEX(AccountCodes[Normal Balance], MATCH(C27,AccountCodes[PPSAS CODE]))="Credit",F27-E27,0)</f>
        <v>0</v>
      </c>
      <c r="H27" s="626">
        <f t="shared" si="0"/>
        <v>0</v>
      </c>
    </row>
    <row r="28" spans="1:8" ht="15.75" hidden="1" x14ac:dyDescent="0.25">
      <c r="A28" s="623" t="str">
        <f t="array" ref="A28">INDEX(AccountCodes[ACCOUNT NAME],MATCH(B28,AccountCodes[NGAS CODE],0))</f>
        <v>Cash in Bank-Local Currency, Time Deposits</v>
      </c>
      <c r="B28" s="597" t="s">
        <v>15</v>
      </c>
      <c r="C28" s="625">
        <f t="array" ref="C28">INDEX(AccountCodes[PPSAS CODE],MATCH(B28,AccountCodes[NGAS CODE],0))</f>
        <v>1010204000</v>
      </c>
      <c r="D28" s="626">
        <f>IF(INDEX(AccountCodes[Normal Balance], MATCH(C28,AccountCodes[PPSAS CODE]))="Debit",E28-F28,0)</f>
        <v>0</v>
      </c>
      <c r="E28" s="626">
        <f>SUMIF(PostTB[Account Code (Old)],B28,(PostTB[Debit]))+SUMIF(CkDJ[Account Code],B28,(CkDJ[Debit]))+SUMIF(CsDJ[Account Code],B28,(CsDJ[Debit]))+SUMIF(CRDJ[Account Code],B28,(CRDJ[Debit]))+SUMIF(GJ[Account Code],B28,(GJ[Debit]))</f>
        <v>0</v>
      </c>
      <c r="F28" s="627">
        <f>SUMIF(PostTB[Account Code (Old)],B28,(PostTB[Credit]))+SUMIF(CkDJ[Account Code],B28,(CkDJ[Credit]))+SUMIF(CsDJ[Account Code],B28,(CsDJ[Credit]))+SUMIF(CRDJ[Account Code],B28,(CRDJ[Credit]))+SUMIF(GJ[Account Code],B28,(GJ[Credit]))</f>
        <v>0</v>
      </c>
      <c r="G28" s="627">
        <f>IF(INDEX(AccountCodes[Normal Balance], MATCH(C28,AccountCodes[PPSAS CODE]))="Credit",F28-E28,0)</f>
        <v>0</v>
      </c>
      <c r="H28" s="626">
        <f t="shared" si="0"/>
        <v>0</v>
      </c>
    </row>
    <row r="29" spans="1:8" ht="15.75" hidden="1" x14ac:dyDescent="0.25">
      <c r="A29" s="623" t="str">
        <f t="array" ref="A29">INDEX(AccountCodes[ACCOUNT NAME],MATCH(B29,AccountCodes[NGAS CODE],0))</f>
        <v>Cash in Bank-Foreign Currency, Current Account</v>
      </c>
      <c r="B29" s="597" t="s">
        <v>16</v>
      </c>
      <c r="C29" s="625">
        <f t="array" ref="C29">INDEX(AccountCodes[PPSAS CODE],MATCH(B29,AccountCodes[NGAS CODE],0))</f>
        <v>1010302000</v>
      </c>
      <c r="D29" s="626">
        <f>IF(INDEX(AccountCodes[Normal Balance], MATCH(C29,AccountCodes[PPSAS CODE]))="Debit",E29-F29,0)</f>
        <v>0</v>
      </c>
      <c r="E29" s="626">
        <f>SUMIF(PostTB[Account Code (Old)],B29,(PostTB[Debit]))+SUMIF(CkDJ[Account Code],B29,(CkDJ[Debit]))+SUMIF(CsDJ[Account Code],B29,(CsDJ[Debit]))+SUMIF(CRDJ[Account Code],B29,(CRDJ[Debit]))+SUMIF(GJ[Account Code],B29,(GJ[Debit]))</f>
        <v>0</v>
      </c>
      <c r="F29" s="627">
        <f>SUMIF(PostTB[Account Code (Old)],B29,(PostTB[Credit]))+SUMIF(CkDJ[Account Code],B29,(CkDJ[Credit]))+SUMIF(CsDJ[Account Code],B29,(CsDJ[Credit]))+SUMIF(CRDJ[Account Code],B29,(CRDJ[Credit]))+SUMIF(GJ[Account Code],B29,(GJ[Credit]))</f>
        <v>0</v>
      </c>
      <c r="G29" s="627">
        <f>IF(INDEX(AccountCodes[Normal Balance], MATCH(C29,AccountCodes[PPSAS CODE]))="Credit",F29-E29,0)</f>
        <v>0</v>
      </c>
      <c r="H29" s="626">
        <f t="shared" si="0"/>
        <v>0</v>
      </c>
    </row>
    <row r="30" spans="1:8" ht="15.75" hidden="1" x14ac:dyDescent="0.25">
      <c r="A30" s="623" t="str">
        <f t="array" ref="A30">INDEX(AccountCodes[ACCOUNT NAME],MATCH(B30,AccountCodes[NGAS CODE],0))</f>
        <v>Cash in Bank-Foreign Currency, Current Account</v>
      </c>
      <c r="B30" s="597" t="s">
        <v>16</v>
      </c>
      <c r="C30" s="625">
        <f t="array" ref="C30">INDEX(AccountCodes[PPSAS CODE],MATCH(B30,AccountCodes[NGAS CODE],0))</f>
        <v>1010302000</v>
      </c>
      <c r="D30" s="626">
        <f>IF(INDEX(AccountCodes[Normal Balance], MATCH(C30,AccountCodes[PPSAS CODE]))="Debit",E30-F30,0)</f>
        <v>0</v>
      </c>
      <c r="E30" s="626">
        <f>SUMIF(PostTB[Account Code (Old)],B30,(PostTB[Debit]))+SUMIF(CkDJ[Account Code],B30,(CkDJ[Debit]))+SUMIF(CsDJ[Account Code],B30,(CsDJ[Debit]))+SUMIF(CRDJ[Account Code],B30,(CRDJ[Debit]))+SUMIF(GJ[Account Code],B30,(GJ[Debit]))</f>
        <v>0</v>
      </c>
      <c r="F30" s="627">
        <f>SUMIF(PostTB[Account Code (Old)],B30,(PostTB[Credit]))+SUMIF(CkDJ[Account Code],B30,(CkDJ[Credit]))+SUMIF(CsDJ[Account Code],B30,(CsDJ[Credit]))+SUMIF(CRDJ[Account Code],B30,(CRDJ[Credit]))+SUMIF(GJ[Account Code],B30,(GJ[Credit]))</f>
        <v>0</v>
      </c>
      <c r="G30" s="627">
        <f>IF(INDEX(AccountCodes[Normal Balance], MATCH(C30,AccountCodes[PPSAS CODE]))="Credit",F30-E30,0)</f>
        <v>0</v>
      </c>
      <c r="H30" s="626">
        <f t="shared" si="0"/>
        <v>0</v>
      </c>
    </row>
    <row r="31" spans="1:8" ht="15.75" hidden="1" x14ac:dyDescent="0.25">
      <c r="A31" s="623" t="str">
        <f t="array" ref="A31">INDEX(AccountCodes[ACCOUNT NAME],MATCH(B31,AccountCodes[NGAS CODE],0))</f>
        <v>Cash in Bank-Foreign Currency, Current Account</v>
      </c>
      <c r="B31" s="597" t="s">
        <v>16</v>
      </c>
      <c r="C31" s="625">
        <f t="array" ref="C31">INDEX(AccountCodes[PPSAS CODE],MATCH(B31,AccountCodes[NGAS CODE],0))</f>
        <v>1010302000</v>
      </c>
      <c r="D31" s="626">
        <f>IF(INDEX(AccountCodes[Normal Balance], MATCH(C31,AccountCodes[PPSAS CODE]))="Debit",E31-F31,0)</f>
        <v>0</v>
      </c>
      <c r="E31" s="626">
        <f>SUMIF(PostTB[Account Code (Old)],B31,(PostTB[Debit]))+SUMIF(CkDJ[Account Code],B31,(CkDJ[Debit]))+SUMIF(CsDJ[Account Code],B31,(CsDJ[Debit]))+SUMIF(CRDJ[Account Code],B31,(CRDJ[Debit]))+SUMIF(GJ[Account Code],B31,(GJ[Debit]))</f>
        <v>0</v>
      </c>
      <c r="F31" s="627">
        <f>SUMIF(PostTB[Account Code (Old)],B31,(PostTB[Credit]))+SUMIF(CkDJ[Account Code],B31,(CkDJ[Credit]))+SUMIF(CsDJ[Account Code],B31,(CsDJ[Credit]))+SUMIF(CRDJ[Account Code],B31,(CRDJ[Credit]))+SUMIF(GJ[Account Code],B31,(GJ[Credit]))</f>
        <v>0</v>
      </c>
      <c r="G31" s="627">
        <f>IF(INDEX(AccountCodes[Normal Balance], MATCH(C31,AccountCodes[PPSAS CODE]))="Credit",F31-E31,0)</f>
        <v>0</v>
      </c>
      <c r="H31" s="626">
        <f t="shared" si="0"/>
        <v>0</v>
      </c>
    </row>
    <row r="32" spans="1:8" ht="15.75" hidden="1" x14ac:dyDescent="0.25">
      <c r="A32" s="623" t="str">
        <f t="array" ref="A32">INDEX(AccountCodes[ACCOUNT NAME],MATCH(B32,AccountCodes[NGAS CODE],0))</f>
        <v>Cash in Bank-Foreign Currency, Time Deposits</v>
      </c>
      <c r="B32" s="597" t="s">
        <v>17</v>
      </c>
      <c r="C32" s="625">
        <f t="array" ref="C32">INDEX(AccountCodes[PPSAS CODE],MATCH(B32,AccountCodes[NGAS CODE],0))</f>
        <v>1010304000</v>
      </c>
      <c r="D32" s="626">
        <f>IF(INDEX(AccountCodes[Normal Balance], MATCH(C32,AccountCodes[PPSAS CODE]))="Debit",E32-F32,0)</f>
        <v>0</v>
      </c>
      <c r="E32" s="626">
        <f>SUMIF(PostTB[Account Code (Old)],B32,(PostTB[Debit]))+SUMIF(CkDJ[Account Code],B32,(CkDJ[Debit]))+SUMIF(CsDJ[Account Code],B32,(CsDJ[Debit]))+SUMIF(CRDJ[Account Code],B32,(CRDJ[Debit]))+SUMIF(GJ[Account Code],B32,(GJ[Debit]))</f>
        <v>0</v>
      </c>
      <c r="F32" s="627">
        <f>SUMIF(PostTB[Account Code (Old)],B32,(PostTB[Credit]))+SUMIF(CkDJ[Account Code],B32,(CkDJ[Credit]))+SUMIF(CsDJ[Account Code],B32,(CsDJ[Credit]))+SUMIF(CRDJ[Account Code],B32,(CRDJ[Credit]))+SUMIF(GJ[Account Code],B32,(GJ[Credit]))</f>
        <v>0</v>
      </c>
      <c r="G32" s="627">
        <f>IF(INDEX(AccountCodes[Normal Balance], MATCH(C32,AccountCodes[PPSAS CODE]))="Credit",F32-E32,0)</f>
        <v>0</v>
      </c>
      <c r="H32" s="626">
        <f t="shared" si="0"/>
        <v>0</v>
      </c>
    </row>
    <row r="33" spans="1:8" ht="15.75" hidden="1" x14ac:dyDescent="0.25">
      <c r="A33" s="623" t="str">
        <f t="array" ref="A33">INDEX(AccountCodes[ACCOUNT NAME],MATCH(B33,AccountCodes[NGAS CODE],0))</f>
        <v>Cash in Bank-Foreign Currency, Time Deposits</v>
      </c>
      <c r="B33" s="597" t="s">
        <v>17</v>
      </c>
      <c r="C33" s="625">
        <f t="array" ref="C33">INDEX(AccountCodes[PPSAS CODE],MATCH(B33,AccountCodes[NGAS CODE],0))</f>
        <v>1010304000</v>
      </c>
      <c r="D33" s="626">
        <f>IF(INDEX(AccountCodes[Normal Balance], MATCH(C33,AccountCodes[PPSAS CODE]))="Debit",E33-F33,0)</f>
        <v>0</v>
      </c>
      <c r="E33" s="626">
        <f>SUMIF(PostTB[Account Code (Old)],B33,(PostTB[Debit]))+SUMIF(CkDJ[Account Code],B33,(CkDJ[Debit]))+SUMIF(CsDJ[Account Code],B33,(CsDJ[Debit]))+SUMIF(CRDJ[Account Code],B33,(CRDJ[Debit]))+SUMIF(GJ[Account Code],B33,(GJ[Debit]))</f>
        <v>0</v>
      </c>
      <c r="F33" s="627">
        <f>SUMIF(PostTB[Account Code (Old)],B33,(PostTB[Credit]))+SUMIF(CkDJ[Account Code],B33,(CkDJ[Credit]))+SUMIF(CsDJ[Account Code],B33,(CsDJ[Credit]))+SUMIF(CRDJ[Account Code],B33,(CRDJ[Credit]))+SUMIF(GJ[Account Code],B33,(GJ[Credit]))</f>
        <v>0</v>
      </c>
      <c r="G33" s="627">
        <f>IF(INDEX(AccountCodes[Normal Balance], MATCH(C33,AccountCodes[PPSAS CODE]))="Credit",F33-E33,0)</f>
        <v>0</v>
      </c>
      <c r="H33" s="626">
        <f t="shared" si="0"/>
        <v>0</v>
      </c>
    </row>
    <row r="34" spans="1:8" ht="15.75" hidden="1" x14ac:dyDescent="0.25">
      <c r="A34" s="623" t="str">
        <f t="array" ref="A34">INDEX(AccountCodes[ACCOUNT NAME],MATCH(B34,AccountCodes[NGAS CODE],0))</f>
        <v>Accounts Receivable</v>
      </c>
      <c r="B34" s="597" t="s">
        <v>1437</v>
      </c>
      <c r="C34" s="625">
        <f t="array" ref="C34">INDEX(AccountCodes[PPSAS CODE],MATCH(B34,AccountCodes[NGAS CODE],0))</f>
        <v>1030101000</v>
      </c>
      <c r="D34" s="626">
        <f>IF(INDEX(AccountCodes[Normal Balance], MATCH(C34,AccountCodes[PPSAS CODE]))="Debit",E34-F34,0)</f>
        <v>0</v>
      </c>
      <c r="E34" s="626">
        <f>SUMIF(PostTB[Account Code (Old)],B34,(PostTB[Debit]))+SUMIF(CkDJ[Account Code],B34,(CkDJ[Debit]))+SUMIF(CsDJ[Account Code],B34,(CsDJ[Debit]))+SUMIF(CRDJ[Account Code],B34,(CRDJ[Debit]))+SUMIF(GJ[Account Code],B34,(GJ[Debit]))</f>
        <v>0</v>
      </c>
      <c r="F34" s="627">
        <f>SUMIF(PostTB[Account Code (Old)],B34,(PostTB[Credit]))+SUMIF(CkDJ[Account Code],B34,(CkDJ[Credit]))+SUMIF(CsDJ[Account Code],B34,(CsDJ[Credit]))+SUMIF(CRDJ[Account Code],B34,(CRDJ[Credit]))+SUMIF(GJ[Account Code],B34,(GJ[Credit]))</f>
        <v>0</v>
      </c>
      <c r="G34" s="627">
        <f>IF(INDEX(AccountCodes[Normal Balance], MATCH(C34,AccountCodes[PPSAS CODE]))="Credit",F34-E34,0)</f>
        <v>0</v>
      </c>
      <c r="H34" s="626">
        <f t="shared" si="0"/>
        <v>0</v>
      </c>
    </row>
    <row r="35" spans="1:8" ht="15.75" hidden="1" x14ac:dyDescent="0.25">
      <c r="A35" s="623" t="str">
        <f t="array" ref="A35">INDEX(AccountCodes[ACCOUNT NAME],MATCH(B35,AccountCodes[NGAS CODE],0))</f>
        <v>Accounts Receivable - ISF (Current &amp; Back Accounts)</v>
      </c>
      <c r="B35" s="597" t="s">
        <v>351</v>
      </c>
      <c r="C35" s="625">
        <f t="array" ref="C35">INDEX(AccountCodes[PPSAS CODE],MATCH(B35,AccountCodes[NGAS CODE],0))</f>
        <v>1030101001</v>
      </c>
      <c r="D35" s="626">
        <f>IF(INDEX(AccountCodes[Normal Balance], MATCH(C35,AccountCodes[PPSAS CODE]))="Debit",E35-F35,0)</f>
        <v>0</v>
      </c>
      <c r="E35" s="626">
        <f>SUMIF(PostTB[Account Code (Old)],B35,(PostTB[Debit]))+SUMIF(CkDJ[Account Code],B35,(CkDJ[Debit]))+SUMIF(CsDJ[Account Code],B35,(CsDJ[Debit]))+SUMIF(CRDJ[Account Code],B35,(CRDJ[Debit]))+SUMIF(GJ[Account Code],B35,(GJ[Debit]))</f>
        <v>0</v>
      </c>
      <c r="F35" s="627">
        <f>SUMIF(PostTB[Account Code (Old)],B35,(PostTB[Credit]))+SUMIF(CkDJ[Account Code],B35,(CkDJ[Credit]))+SUMIF(CsDJ[Account Code],B35,(CsDJ[Credit]))+SUMIF(CRDJ[Account Code],B35,(CRDJ[Credit]))+SUMIF(GJ[Account Code],B35,(GJ[Credit]))</f>
        <v>0</v>
      </c>
      <c r="G35" s="627">
        <f>IF(INDEX(AccountCodes[Normal Balance], MATCH(C35,AccountCodes[PPSAS CODE]))="Credit",F35-E35,0)</f>
        <v>0</v>
      </c>
      <c r="H35" s="626">
        <f t="shared" si="0"/>
        <v>0</v>
      </c>
    </row>
    <row r="36" spans="1:8" ht="15.75" hidden="1" x14ac:dyDescent="0.25">
      <c r="A36" s="623" t="str">
        <f t="array" ref="A36">INDEX(AccountCodes[ACCOUNT NAME],MATCH(B36,AccountCodes[NGAS CODE],0))</f>
        <v>Accounts Receivable - Pump/CIP/CIS Equity</v>
      </c>
      <c r="B36" s="597" t="s">
        <v>19</v>
      </c>
      <c r="C36" s="625">
        <f t="array" ref="C36">INDEX(AccountCodes[PPSAS CODE],MATCH(B36,AccountCodes[NGAS CODE],0))</f>
        <v>1030101002</v>
      </c>
      <c r="D36" s="626">
        <f>IF(INDEX(AccountCodes[Normal Balance], MATCH(C36,AccountCodes[PPSAS CODE]))="Debit",E36-F36,0)</f>
        <v>0</v>
      </c>
      <c r="E36" s="626">
        <f>SUMIF(PostTB[Account Code (Old)],B36,(PostTB[Debit]))+SUMIF(CkDJ[Account Code],B36,(CkDJ[Debit]))+SUMIF(CsDJ[Account Code],B36,(CsDJ[Debit]))+SUMIF(CRDJ[Account Code],B36,(CRDJ[Debit]))+SUMIF(GJ[Account Code],B36,(GJ[Debit]))</f>
        <v>0</v>
      </c>
      <c r="F36" s="627">
        <f>SUMIF(PostTB[Account Code (Old)],B36,(PostTB[Credit]))+SUMIF(CkDJ[Account Code],B36,(CkDJ[Credit]))+SUMIF(CsDJ[Account Code],B36,(CsDJ[Credit]))+SUMIF(CRDJ[Account Code],B36,(CRDJ[Credit]))+SUMIF(GJ[Account Code],B36,(GJ[Credit]))</f>
        <v>0</v>
      </c>
      <c r="G36" s="627">
        <f>IF(INDEX(AccountCodes[Normal Balance], MATCH(C36,AccountCodes[PPSAS CODE]))="Credit",F36-E36,0)</f>
        <v>0</v>
      </c>
      <c r="H36" s="626">
        <f t="shared" si="0"/>
        <v>0</v>
      </c>
    </row>
    <row r="37" spans="1:8" ht="15.75" hidden="1" x14ac:dyDescent="0.25">
      <c r="A37" s="623" t="str">
        <f t="array" ref="A37">INDEX(AccountCodes[ACCOUNT NAME],MATCH(B37,AccountCodes[NGAS CODE],0))</f>
        <v>Accounts Receivable - Others</v>
      </c>
      <c r="B37" s="597" t="s">
        <v>18</v>
      </c>
      <c r="C37" s="625">
        <f t="array" ref="C37">INDEX(AccountCodes[PPSAS CODE],MATCH(B37,AccountCodes[NGAS CODE],0))</f>
        <v>1030101003</v>
      </c>
      <c r="D37" s="626">
        <f>IF(INDEX(AccountCodes[Normal Balance], MATCH(C37,AccountCodes[PPSAS CODE]))="Debit",E37-F37,0)</f>
        <v>0</v>
      </c>
      <c r="E37" s="626">
        <f>SUMIF(PostTB[Account Code (Old)],B37,(PostTB[Debit]))+SUMIF(CkDJ[Account Code],B37,(CkDJ[Debit]))+SUMIF(CsDJ[Account Code],B37,(CsDJ[Debit]))+SUMIF(CRDJ[Account Code],B37,(CRDJ[Debit]))+SUMIF(GJ[Account Code],B37,(GJ[Debit]))</f>
        <v>0</v>
      </c>
      <c r="F37" s="627">
        <f>SUMIF(PostTB[Account Code (Old)],B37,(PostTB[Credit]))+SUMIF(CkDJ[Account Code],B37,(CkDJ[Credit]))+SUMIF(CsDJ[Account Code],B37,(CsDJ[Credit]))+SUMIF(CRDJ[Account Code],B37,(CRDJ[Credit]))+SUMIF(GJ[Account Code],B37,(GJ[Credit]))</f>
        <v>0</v>
      </c>
      <c r="G37" s="627">
        <f>IF(INDEX(AccountCodes[Normal Balance], MATCH(C37,AccountCodes[PPSAS CODE]))="Credit",F37-E37,0)</f>
        <v>0</v>
      </c>
      <c r="H37" s="626">
        <f t="shared" si="0"/>
        <v>0</v>
      </c>
    </row>
    <row r="38" spans="1:8" ht="15.75" hidden="1" x14ac:dyDescent="0.25">
      <c r="A38" s="623" t="str">
        <f t="array" ref="A38">INDEX(AccountCodes[ACCOUNT NAME],MATCH(B38,AccountCodes[NGAS CODE],0))</f>
        <v>Allowance for Impairment-Accounts Receivable</v>
      </c>
      <c r="B38" s="597" t="s">
        <v>84</v>
      </c>
      <c r="C38" s="625">
        <f t="array" ref="C38">INDEX(AccountCodes[PPSAS CODE],MATCH(B38,AccountCodes[NGAS CODE],0))</f>
        <v>1030101100</v>
      </c>
      <c r="D38" s="626">
        <f>IF(INDEX(AccountCodes[Normal Balance], MATCH(C38,AccountCodes[PPSAS CODE]))="Debit",E38-F38,0)</f>
        <v>0</v>
      </c>
      <c r="E38" s="626">
        <f>SUMIF(PostTB[Account Code (Old)],B38,(PostTB[Debit]))+SUMIF(CkDJ[Account Code],B38,(CkDJ[Debit]))+SUMIF(CsDJ[Account Code],B38,(CsDJ[Debit]))+SUMIF(CRDJ[Account Code],B38,(CRDJ[Debit]))+SUMIF(GJ[Account Code],B38,(GJ[Debit]))</f>
        <v>0</v>
      </c>
      <c r="F38" s="627">
        <f>SUMIF(PostTB[Account Code (Old)],B38,(PostTB[Credit]))+SUMIF(CkDJ[Account Code],B38,(CkDJ[Credit]))+SUMIF(CsDJ[Account Code],B38,(CsDJ[Credit]))+SUMIF(CRDJ[Account Code],B38,(CRDJ[Credit]))+SUMIF(GJ[Account Code],B38,(GJ[Credit]))</f>
        <v>0</v>
      </c>
      <c r="G38" s="627">
        <f>IF(INDEX(AccountCodes[Normal Balance], MATCH(C38,AccountCodes[PPSAS CODE]))="Credit",F38-E38,0)</f>
        <v>0</v>
      </c>
      <c r="H38" s="626">
        <f t="shared" si="0"/>
        <v>0</v>
      </c>
    </row>
    <row r="39" spans="1:8" ht="15.75" hidden="1" x14ac:dyDescent="0.25">
      <c r="A39" s="623" t="str">
        <f t="array" ref="A39">INDEX(AccountCodes[ACCOUNT NAME],MATCH(B39,AccountCodes[NGAS CODE],0))</f>
        <v>Due from National Government Agencies</v>
      </c>
      <c r="B39" s="597" t="s">
        <v>21</v>
      </c>
      <c r="C39" s="625">
        <f t="array" ref="C39">INDEX(AccountCodes[PPSAS CODE],MATCH(B39,AccountCodes[NGAS CODE],0))</f>
        <v>1030301000</v>
      </c>
      <c r="D39" s="626">
        <f>IF(INDEX(AccountCodes[Normal Balance], MATCH(C39,AccountCodes[PPSAS CODE]))="Debit",E39-F39,0)</f>
        <v>0</v>
      </c>
      <c r="E39" s="626">
        <f>SUMIF(PostTB[Account Code (Old)],B39,(PostTB[Debit]))+SUMIF(CkDJ[Account Code],B39,(CkDJ[Debit]))+SUMIF(CsDJ[Account Code],B39,(CsDJ[Debit]))+SUMIF(CRDJ[Account Code],B39,(CRDJ[Debit]))+SUMIF(GJ[Account Code],B39,(GJ[Debit]))</f>
        <v>0</v>
      </c>
      <c r="F39" s="627">
        <f>SUMIF(PostTB[Account Code (Old)],B39,(PostTB[Credit]))+SUMIF(CkDJ[Account Code],B39,(CkDJ[Credit]))+SUMIF(CsDJ[Account Code],B39,(CsDJ[Credit]))+SUMIF(CRDJ[Account Code],B39,(CRDJ[Credit]))+SUMIF(GJ[Account Code],B39,(GJ[Credit]))</f>
        <v>0</v>
      </c>
      <c r="G39" s="627">
        <f>IF(INDEX(AccountCodes[Normal Balance], MATCH(C39,AccountCodes[PPSAS CODE]))="Credit",F39-E39,0)</f>
        <v>0</v>
      </c>
      <c r="H39" s="626">
        <f t="shared" si="0"/>
        <v>0</v>
      </c>
    </row>
    <row r="40" spans="1:8" ht="15.75" hidden="1" x14ac:dyDescent="0.25">
      <c r="A40" s="623" t="str">
        <f t="array" ref="A40">INDEX(AccountCodes[ACCOUNT NAME],MATCH(B40,AccountCodes[NGAS CODE],0))</f>
        <v>Due from Government-Owned or Controlled Corporations</v>
      </c>
      <c r="B40" s="597" t="s">
        <v>22</v>
      </c>
      <c r="C40" s="625">
        <f t="array" ref="C40">INDEX(AccountCodes[PPSAS CODE],MATCH(B40,AccountCodes[NGAS CODE],0))</f>
        <v>1030302000</v>
      </c>
      <c r="D40" s="626">
        <f>IF(INDEX(AccountCodes[Normal Balance], MATCH(C40,AccountCodes[PPSAS CODE]))="Debit",E40-F40,0)</f>
        <v>0</v>
      </c>
      <c r="E40" s="626">
        <f>SUMIF(PostTB[Account Code (Old)],B40,(PostTB[Debit]))+SUMIF(CkDJ[Account Code],B40,(CkDJ[Debit]))+SUMIF(CsDJ[Account Code],B40,(CsDJ[Debit]))+SUMIF(CRDJ[Account Code],B40,(CRDJ[Debit]))+SUMIF(GJ[Account Code],B40,(GJ[Debit]))</f>
        <v>0</v>
      </c>
      <c r="F40" s="627">
        <f>SUMIF(PostTB[Account Code (Old)],B40,(PostTB[Credit]))+SUMIF(CkDJ[Account Code],B40,(CkDJ[Credit]))+SUMIF(CsDJ[Account Code],B40,(CsDJ[Credit]))+SUMIF(CRDJ[Account Code],B40,(CRDJ[Credit]))+SUMIF(GJ[Account Code],B40,(GJ[Credit]))</f>
        <v>0</v>
      </c>
      <c r="G40" s="627">
        <f>IF(INDEX(AccountCodes[Normal Balance], MATCH(C40,AccountCodes[PPSAS CODE]))="Credit",F40-E40,0)</f>
        <v>0</v>
      </c>
      <c r="H40" s="626">
        <f t="shared" si="0"/>
        <v>0</v>
      </c>
    </row>
    <row r="41" spans="1:8" ht="15.75" hidden="1" x14ac:dyDescent="0.25">
      <c r="A41" s="623" t="str">
        <f t="array" ref="A41">INDEX(AccountCodes[ACCOUNT NAME],MATCH(B41,AccountCodes[NGAS CODE],0))</f>
        <v>Due from Local Government Units</v>
      </c>
      <c r="B41" s="597" t="s">
        <v>23</v>
      </c>
      <c r="C41" s="625">
        <f t="array" ref="C41">INDEX(AccountCodes[PPSAS CODE],MATCH(B41,AccountCodes[NGAS CODE],0))</f>
        <v>1030303000</v>
      </c>
      <c r="D41" s="626">
        <f>IF(INDEX(AccountCodes[Normal Balance], MATCH(C41,AccountCodes[PPSAS CODE]))="Debit",E41-F41,0)</f>
        <v>0</v>
      </c>
      <c r="E41" s="626">
        <f>SUMIF(PostTB[Account Code (Old)],B41,(PostTB[Debit]))+SUMIF(CkDJ[Account Code],B41,(CkDJ[Debit]))+SUMIF(CsDJ[Account Code],B41,(CsDJ[Debit]))+SUMIF(CRDJ[Account Code],B41,(CRDJ[Debit]))+SUMIF(GJ[Account Code],B41,(GJ[Debit]))</f>
        <v>0</v>
      </c>
      <c r="F41" s="627">
        <f>SUMIF(PostTB[Account Code (Old)],B41,(PostTB[Credit]))+SUMIF(CkDJ[Account Code],B41,(CkDJ[Credit]))+SUMIF(CsDJ[Account Code],B41,(CsDJ[Credit]))+SUMIF(CRDJ[Account Code],B41,(CRDJ[Credit]))+SUMIF(GJ[Account Code],B41,(GJ[Credit]))</f>
        <v>0</v>
      </c>
      <c r="G41" s="627">
        <f>IF(INDEX(AccountCodes[Normal Balance], MATCH(C41,AccountCodes[PPSAS CODE]))="Credit",F41-E41,0)</f>
        <v>0</v>
      </c>
      <c r="H41" s="626">
        <f t="shared" si="0"/>
        <v>0</v>
      </c>
    </row>
    <row r="42" spans="1:8" ht="15.75" hidden="1" x14ac:dyDescent="0.25">
      <c r="A42" s="623" t="str">
        <f t="array" ref="A42">INDEX(AccountCodes[ACCOUNT NAME],MATCH(B42,AccountCodes[NGAS CODE],0))</f>
        <v>Due from Central Office</v>
      </c>
      <c r="B42" s="597" t="s">
        <v>1159</v>
      </c>
      <c r="C42" s="625">
        <f t="array" ref="C42">INDEX(AccountCodes[PPSAS CODE],MATCH(B42,AccountCodes[NGAS CODE],0))</f>
        <v>1030401000</v>
      </c>
      <c r="D42" s="626">
        <f>IF(INDEX(AccountCodes[Normal Balance], MATCH(C42,AccountCodes[PPSAS CODE]))="Debit",E42-F42,0)</f>
        <v>0</v>
      </c>
      <c r="E42" s="626">
        <f>SUMIF(PostTB[Account Code (Old)],B42,(PostTB[Debit]))+SUMIF(CkDJ[Account Code],B42,(CkDJ[Debit]))+SUMIF(CsDJ[Account Code],B42,(CsDJ[Debit]))+SUMIF(CRDJ[Account Code],B42,(CRDJ[Debit]))+SUMIF(GJ[Account Code],B42,(GJ[Debit]))</f>
        <v>0</v>
      </c>
      <c r="F42" s="627">
        <f>SUMIF(PostTB[Account Code (Old)],B42,(PostTB[Credit]))+SUMIF(CkDJ[Account Code],B42,(CkDJ[Credit]))+SUMIF(CsDJ[Account Code],B42,(CsDJ[Credit]))+SUMIF(CRDJ[Account Code],B42,(CRDJ[Credit]))+SUMIF(GJ[Account Code],B42,(GJ[Credit]))</f>
        <v>0</v>
      </c>
      <c r="G42" s="627">
        <f>IF(INDEX(AccountCodes[Normal Balance], MATCH(C42,AccountCodes[PPSAS CODE]))="Credit",F42-E42,0)</f>
        <v>0</v>
      </c>
      <c r="H42" s="626">
        <f t="shared" si="0"/>
        <v>0</v>
      </c>
    </row>
    <row r="43" spans="1:8" ht="15.75" hidden="1" x14ac:dyDescent="0.25">
      <c r="A43" s="623" t="str">
        <f t="array" ref="A43">INDEX(AccountCodes[ACCOUNT NAME],MATCH(B43,AccountCodes[NGAS CODE],0))</f>
        <v>Due from Regional Offices</v>
      </c>
      <c r="B43" s="597" t="s">
        <v>24</v>
      </c>
      <c r="C43" s="625">
        <f t="array" ref="C43">INDEX(AccountCodes[PPSAS CODE],MATCH(B43,AccountCodes[NGAS CODE],0))</f>
        <v>1030403000</v>
      </c>
      <c r="D43" s="626">
        <f>IF(INDEX(AccountCodes[Normal Balance], MATCH(C43,AccountCodes[PPSAS CODE]))="Debit",E43-F43,0)</f>
        <v>0</v>
      </c>
      <c r="E43" s="626">
        <f>SUMIF(PostTB[Account Code (Old)],B43,(PostTB[Debit]))+SUMIF(CkDJ[Account Code],B43,(CkDJ[Debit]))+SUMIF(CsDJ[Account Code],B43,(CsDJ[Debit]))+SUMIF(CRDJ[Account Code],B43,(CRDJ[Debit]))+SUMIF(GJ[Account Code],B43,(GJ[Debit]))</f>
        <v>0</v>
      </c>
      <c r="F43" s="627">
        <f>SUMIF(PostTB[Account Code (Old)],B43,(PostTB[Credit]))+SUMIF(CkDJ[Account Code],B43,(CkDJ[Credit]))+SUMIF(CsDJ[Account Code],B43,(CsDJ[Credit]))+SUMIF(CRDJ[Account Code],B43,(CRDJ[Credit]))+SUMIF(GJ[Account Code],B43,(GJ[Credit]))</f>
        <v>0</v>
      </c>
      <c r="G43" s="627">
        <f>IF(INDEX(AccountCodes[Normal Balance], MATCH(C43,AccountCodes[PPSAS CODE]))="Credit",F43-E43,0)</f>
        <v>0</v>
      </c>
      <c r="H43" s="626">
        <f t="shared" si="0"/>
        <v>0</v>
      </c>
    </row>
    <row r="44" spans="1:8" ht="15.75" hidden="1" x14ac:dyDescent="0.25">
      <c r="A44" s="623" t="str">
        <f t="array" ref="A44">INDEX(AccountCodes[ACCOUNT NAME],MATCH(B44,AccountCodes[NGAS CODE],0))</f>
        <v>Due from Other Funds</v>
      </c>
      <c r="B44" s="597" t="s">
        <v>25</v>
      </c>
      <c r="C44" s="625">
        <f t="array" ref="C44">INDEX(AccountCodes[PPSAS CODE],MATCH(B44,AccountCodes[NGAS CODE],0))</f>
        <v>1030405000</v>
      </c>
      <c r="D44" s="626">
        <f>IF(INDEX(AccountCodes[Normal Balance], MATCH(C44,AccountCodes[PPSAS CODE]))="Debit",E44-F44,0)</f>
        <v>0</v>
      </c>
      <c r="E44" s="626">
        <f>SUMIF(PostTB[Account Code (Old)],B44,(PostTB[Debit]))+SUMIF(CkDJ[Account Code],B44,(CkDJ[Debit]))+SUMIF(CsDJ[Account Code],B44,(CsDJ[Debit]))+SUMIF(CRDJ[Account Code],B44,(CRDJ[Debit]))+SUMIF(GJ[Account Code],B44,(GJ[Debit]))</f>
        <v>35251.82</v>
      </c>
      <c r="F44" s="627">
        <f>SUMIF(PostTB[Account Code (Old)],B44,(PostTB[Credit]))+SUMIF(CkDJ[Account Code],B44,(CkDJ[Credit]))+SUMIF(CsDJ[Account Code],B44,(CsDJ[Credit]))+SUMIF(CRDJ[Account Code],B44,(CRDJ[Credit]))+SUMIF(GJ[Account Code],B44,(GJ[Credit]))</f>
        <v>35251.82</v>
      </c>
      <c r="G44" s="627">
        <f>IF(INDEX(AccountCodes[Normal Balance], MATCH(C44,AccountCodes[PPSAS CODE]))="Credit",F44-E44,0)</f>
        <v>0</v>
      </c>
      <c r="H44" s="626">
        <f t="shared" si="0"/>
        <v>0</v>
      </c>
    </row>
    <row r="45" spans="1:8" ht="15.75" hidden="1" x14ac:dyDescent="0.25">
      <c r="A45" s="623" t="str">
        <f t="array" ref="A45">INDEX(AccountCodes[ACCOUNT NAME],MATCH(B45,AccountCodes[NGAS CODE],0))</f>
        <v>Receivables-Disallowances/Charges</v>
      </c>
      <c r="B45" s="597" t="s">
        <v>26</v>
      </c>
      <c r="C45" s="625">
        <f t="array" ref="C45">INDEX(AccountCodes[PPSAS CODE],MATCH(B45,AccountCodes[NGAS CODE],0))</f>
        <v>1030501000</v>
      </c>
      <c r="D45" s="626">
        <f>IF(INDEX(AccountCodes[Normal Balance], MATCH(C45,AccountCodes[PPSAS CODE]))="Debit",E45-F45,0)</f>
        <v>0</v>
      </c>
      <c r="E45" s="626">
        <f>SUMIF(PostTB[Account Code (Old)],B45,(PostTB[Debit]))+SUMIF(CkDJ[Account Code],B45,(CkDJ[Debit]))+SUMIF(CsDJ[Account Code],B45,(CsDJ[Debit]))+SUMIF(CRDJ[Account Code],B45,(CRDJ[Debit]))+SUMIF(GJ[Account Code],B45,(GJ[Debit]))</f>
        <v>0</v>
      </c>
      <c r="F45" s="627">
        <f>SUMIF(PostTB[Account Code (Old)],B45,(PostTB[Credit]))+SUMIF(CkDJ[Account Code],B45,(CkDJ[Credit]))+SUMIF(CsDJ[Account Code],B45,(CsDJ[Credit]))+SUMIF(CRDJ[Account Code],B45,(CRDJ[Credit]))+SUMIF(GJ[Account Code],B45,(GJ[Credit]))</f>
        <v>0</v>
      </c>
      <c r="G45" s="627">
        <f>IF(INDEX(AccountCodes[Normal Balance], MATCH(C45,AccountCodes[PPSAS CODE]))="Credit",F45-E45,0)</f>
        <v>0</v>
      </c>
      <c r="H45" s="626">
        <f t="shared" si="0"/>
        <v>0</v>
      </c>
    </row>
    <row r="46" spans="1:8" ht="15.75" hidden="1" x14ac:dyDescent="0.25">
      <c r="A46" s="623" t="str">
        <f t="array" ref="A46">INDEX(AccountCodes[ACCOUNT NAME],MATCH(B46,AccountCodes[NGAS CODE],0))</f>
        <v>Due from Officers and Employees</v>
      </c>
      <c r="B46" s="597" t="s">
        <v>20</v>
      </c>
      <c r="C46" s="625">
        <f t="array" ref="C46">INDEX(AccountCodes[PPSAS CODE],MATCH(B46,AccountCodes[NGAS CODE],0))</f>
        <v>1030502000</v>
      </c>
      <c r="D46" s="626">
        <f>IF(INDEX(AccountCodes[Normal Balance], MATCH(C46,AccountCodes[PPSAS CODE]))="Debit",E46-F46,0)</f>
        <v>0</v>
      </c>
      <c r="E46" s="626">
        <f>SUMIF(PostTB[Account Code (Old)],B46,(PostTB[Debit]))+SUMIF(CkDJ[Account Code],B46,(CkDJ[Debit]))+SUMIF(CsDJ[Account Code],B46,(CsDJ[Debit]))+SUMIF(CRDJ[Account Code],B46,(CRDJ[Debit]))+SUMIF(GJ[Account Code],B46,(GJ[Debit]))</f>
        <v>0</v>
      </c>
      <c r="F46" s="627">
        <f>SUMIF(PostTB[Account Code (Old)],B46,(PostTB[Credit]))+SUMIF(CkDJ[Account Code],B46,(CkDJ[Credit]))+SUMIF(CsDJ[Account Code],B46,(CsDJ[Credit]))+SUMIF(CRDJ[Account Code],B46,(CRDJ[Credit]))+SUMIF(GJ[Account Code],B46,(GJ[Credit]))</f>
        <v>0</v>
      </c>
      <c r="G46" s="627">
        <f>IF(INDEX(AccountCodes[Normal Balance], MATCH(C46,AccountCodes[PPSAS CODE]))="Credit",F46-E46,0)</f>
        <v>0</v>
      </c>
      <c r="H46" s="626">
        <f t="shared" si="0"/>
        <v>0</v>
      </c>
    </row>
    <row r="47" spans="1:8" ht="15.75" hidden="1" x14ac:dyDescent="0.25">
      <c r="A47" s="623" t="str">
        <f t="array" ref="A47">INDEX(AccountCodes[ACCOUNT NAME],MATCH(B47,AccountCodes[NGAS CODE],0))</f>
        <v>Advances to Officers and Employees</v>
      </c>
      <c r="B47" s="597" t="s">
        <v>27</v>
      </c>
      <c r="C47" s="625">
        <f t="array" ref="C47">INDEX(AccountCodes[PPSAS CODE],MATCH(B47,AccountCodes[NGAS CODE],0))</f>
        <v>1990104000</v>
      </c>
      <c r="D47" s="626">
        <f>IF(INDEX(AccountCodes[Normal Balance], MATCH(C47,AccountCodes[PPSAS CODE]))="Debit",E47-F47,0)</f>
        <v>0</v>
      </c>
      <c r="E47" s="626">
        <f>SUMIF(PostTB[Account Code (Old)],B47,(PostTB[Debit]))+SUMIF(CkDJ[Account Code],B47,(CkDJ[Debit]))+SUMIF(CsDJ[Account Code],B47,(CsDJ[Debit]))+SUMIF(CRDJ[Account Code],B47,(CRDJ[Debit]))+SUMIF(GJ[Account Code],B47,(GJ[Debit]))</f>
        <v>0</v>
      </c>
      <c r="F47" s="627">
        <f>SUMIF(PostTB[Account Code (Old)],B47,(PostTB[Credit]))+SUMIF(CkDJ[Account Code],B47,(CkDJ[Credit]))+SUMIF(CsDJ[Account Code],B47,(CsDJ[Credit]))+SUMIF(CRDJ[Account Code],B47,(CRDJ[Credit]))+SUMIF(GJ[Account Code],B47,(GJ[Credit]))</f>
        <v>0</v>
      </c>
      <c r="G47" s="627">
        <f>IF(INDEX(AccountCodes[Normal Balance], MATCH(C47,AccountCodes[PPSAS CODE]))="Credit",F47-E47,0)</f>
        <v>0</v>
      </c>
      <c r="H47" s="626">
        <f t="shared" si="0"/>
        <v>0</v>
      </c>
    </row>
    <row r="48" spans="1:8" ht="15.75" hidden="1" x14ac:dyDescent="0.25">
      <c r="A48" s="623" t="str">
        <f t="array" ref="A48">INDEX(AccountCodes[ACCOUNT NAME],MATCH(B48,AccountCodes[NGAS CODE],0))</f>
        <v>Other Receivables</v>
      </c>
      <c r="B48" s="597" t="s">
        <v>28</v>
      </c>
      <c r="C48" s="625">
        <f t="array" ref="C48">INDEX(AccountCodes[PPSAS CODE],MATCH(B48,AccountCodes[NGAS CODE],0))</f>
        <v>1030599000</v>
      </c>
      <c r="D48" s="626">
        <f>IF(INDEX(AccountCodes[Normal Balance], MATCH(C48,AccountCodes[PPSAS CODE]))="Debit",E48-F48,0)</f>
        <v>0</v>
      </c>
      <c r="E48" s="626">
        <f>SUMIF(PostTB[Account Code (Old)],B48,(PostTB[Debit]))+SUMIF(CkDJ[Account Code],B48,(CkDJ[Debit]))+SUMIF(CsDJ[Account Code],B48,(CsDJ[Debit]))+SUMIF(CRDJ[Account Code],B48,(CRDJ[Debit]))+SUMIF(GJ[Account Code],B48,(GJ[Debit]))</f>
        <v>0</v>
      </c>
      <c r="F48" s="627">
        <f>SUMIF(PostTB[Account Code (Old)],B48,(PostTB[Credit]))+SUMIF(CkDJ[Account Code],B48,(CkDJ[Credit]))+SUMIF(CsDJ[Account Code],B48,(CsDJ[Credit]))+SUMIF(CRDJ[Account Code],B48,(CRDJ[Credit]))+SUMIF(GJ[Account Code],B48,(GJ[Credit]))</f>
        <v>0</v>
      </c>
      <c r="G48" s="627">
        <f>IF(INDEX(AccountCodes[Normal Balance], MATCH(C48,AccountCodes[PPSAS CODE]))="Credit",F48-E48,0)</f>
        <v>0</v>
      </c>
      <c r="H48" s="626">
        <f t="shared" si="0"/>
        <v>0</v>
      </c>
    </row>
    <row r="49" spans="1:8" ht="15.75" hidden="1" x14ac:dyDescent="0.25">
      <c r="A49" s="623" t="str">
        <f t="array" ref="A49">INDEX(AccountCodes[ACCOUNT NAME],MATCH(B49,AccountCodes[NGAS CODE],0))</f>
        <v>Office Supplies Inventory</v>
      </c>
      <c r="B49" s="597" t="s">
        <v>30</v>
      </c>
      <c r="C49" s="625">
        <f t="array" ref="C49">INDEX(AccountCodes[PPSAS CODE],MATCH(B49,AccountCodes[NGAS CODE],0))</f>
        <v>1040401000</v>
      </c>
      <c r="D49" s="626">
        <f>IF(INDEX(AccountCodes[Normal Balance], MATCH(C49,AccountCodes[PPSAS CODE]))="Debit",E49-F49,0)</f>
        <v>125209</v>
      </c>
      <c r="E49" s="626">
        <f>SUMIF(PostTB[Account Code (Old)],B49,(PostTB[Debit]))+SUMIF(CkDJ[Account Code],B49,(CkDJ[Debit]))+SUMIF(CsDJ[Account Code],B49,(CsDJ[Debit]))+SUMIF(CRDJ[Account Code],B49,(CRDJ[Debit]))+SUMIF(GJ[Account Code],B49,(GJ[Debit]))</f>
        <v>140185</v>
      </c>
      <c r="F49" s="627">
        <f>SUMIF(PostTB[Account Code (Old)],B49,(PostTB[Credit]))+SUMIF(CkDJ[Account Code],B49,(CkDJ[Credit]))+SUMIF(CsDJ[Account Code],B49,(CsDJ[Credit]))+SUMIF(CRDJ[Account Code],B49,(CRDJ[Credit]))+SUMIF(GJ[Account Code],B49,(GJ[Credit]))</f>
        <v>14976</v>
      </c>
      <c r="G49" s="627">
        <f>IF(INDEX(AccountCodes[Normal Balance], MATCH(C49,AccountCodes[PPSAS CODE]))="Credit",F49-E49,0)</f>
        <v>0</v>
      </c>
      <c r="H49" s="626">
        <f t="shared" si="0"/>
        <v>125209</v>
      </c>
    </row>
    <row r="50" spans="1:8" ht="15.75" hidden="1" x14ac:dyDescent="0.25">
      <c r="A50" s="623" t="str">
        <f t="array" ref="A50">INDEX(AccountCodes[ACCOUNT NAME],MATCH(B50,AccountCodes[NGAS CODE],0))</f>
        <v>Accountable Forms, Plates and Stickers Inventory</v>
      </c>
      <c r="B50" s="597" t="s">
        <v>1157</v>
      </c>
      <c r="C50" s="625">
        <f t="array" ref="C50">INDEX(AccountCodes[PPSAS CODE],MATCH(B50,AccountCodes[NGAS CODE],0))</f>
        <v>1040402000</v>
      </c>
      <c r="D50" s="626">
        <f>IF(INDEX(AccountCodes[Normal Balance], MATCH(C50,AccountCodes[PPSAS CODE]))="Debit",E50-F50,0)</f>
        <v>0</v>
      </c>
      <c r="E50" s="626">
        <f>SUMIF(PostTB[Account Code (Old)],B50,(PostTB[Debit]))+SUMIF(CkDJ[Account Code],B50,(CkDJ[Debit]))+SUMIF(CsDJ[Account Code],B50,(CsDJ[Debit]))+SUMIF(CRDJ[Account Code],B50,(CRDJ[Debit]))+SUMIF(GJ[Account Code],B50,(GJ[Debit]))</f>
        <v>0</v>
      </c>
      <c r="F50" s="627">
        <f>SUMIF(PostTB[Account Code (Old)],B50,(PostTB[Credit]))+SUMIF(CkDJ[Account Code],B50,(CkDJ[Credit]))+SUMIF(CsDJ[Account Code],B50,(CsDJ[Credit]))+SUMIF(CRDJ[Account Code],B50,(CRDJ[Credit]))+SUMIF(GJ[Account Code],B50,(GJ[Credit]))</f>
        <v>0</v>
      </c>
      <c r="G50" s="627">
        <f>IF(INDEX(AccountCodes[Normal Balance], MATCH(C50,AccountCodes[PPSAS CODE]))="Credit",F50-E50,0)</f>
        <v>0</v>
      </c>
      <c r="H50" s="626">
        <f t="shared" si="0"/>
        <v>0</v>
      </c>
    </row>
    <row r="51" spans="1:8" ht="15.75" hidden="1" x14ac:dyDescent="0.25">
      <c r="A51" s="623" t="str">
        <f t="array" ref="A51">INDEX(AccountCodes[ACCOUNT NAME],MATCH(B51,AccountCodes[NGAS CODE],0))</f>
        <v>Medical, Dental and Laboratory Supplies Inventory</v>
      </c>
      <c r="B51" s="597" t="s">
        <v>1221</v>
      </c>
      <c r="C51" s="625">
        <f t="array" ref="C51">INDEX(AccountCodes[PPSAS CODE],MATCH(B51,AccountCodes[NGAS CODE],0))</f>
        <v>1040407000</v>
      </c>
      <c r="D51" s="626">
        <f>IF(INDEX(AccountCodes[Normal Balance], MATCH(C51,AccountCodes[PPSAS CODE]))="Debit",E51-F51,0)</f>
        <v>0</v>
      </c>
      <c r="E51" s="626">
        <f>SUMIF(PostTB[Account Code (Old)],B51,(PostTB[Debit]))+SUMIF(CkDJ[Account Code],B51,(CkDJ[Debit]))+SUMIF(CsDJ[Account Code],B51,(CsDJ[Debit]))+SUMIF(CRDJ[Account Code],B51,(CRDJ[Debit]))+SUMIF(GJ[Account Code],B51,(GJ[Debit]))</f>
        <v>0</v>
      </c>
      <c r="F51" s="627">
        <f>SUMIF(PostTB[Account Code (Old)],B51,(PostTB[Credit]))+SUMIF(CkDJ[Account Code],B51,(CkDJ[Credit]))+SUMIF(CsDJ[Account Code],B51,(CsDJ[Credit]))+SUMIF(CRDJ[Account Code],B51,(CRDJ[Credit]))+SUMIF(GJ[Account Code],B51,(GJ[Credit]))</f>
        <v>0</v>
      </c>
      <c r="G51" s="627">
        <f>IF(INDEX(AccountCodes[Normal Balance], MATCH(C51,AccountCodes[PPSAS CODE]))="Credit",F51-E51,0)</f>
        <v>0</v>
      </c>
      <c r="H51" s="626">
        <f t="shared" si="0"/>
        <v>0</v>
      </c>
    </row>
    <row r="52" spans="1:8" ht="15.75" hidden="1" x14ac:dyDescent="0.25">
      <c r="A52" s="623" t="str">
        <f t="array" ref="A52">INDEX(AccountCodes[ACCOUNT NAME],MATCH(B52,AccountCodes[NGAS CODE],0))</f>
        <v>Fuel, Oil and Lubricants Inventory</v>
      </c>
      <c r="B52" s="597" t="s">
        <v>31</v>
      </c>
      <c r="C52" s="625">
        <f t="array" ref="C52">INDEX(AccountCodes[PPSAS CODE],MATCH(B52,AccountCodes[NGAS CODE],0))</f>
        <v>1040408000</v>
      </c>
      <c r="D52" s="626">
        <f>IF(INDEX(AccountCodes[Normal Balance], MATCH(C52,AccountCodes[PPSAS CODE]))="Debit",E52-F52,0)</f>
        <v>0</v>
      </c>
      <c r="E52" s="626">
        <f>SUMIF(PostTB[Account Code (Old)],B52,(PostTB[Debit]))+SUMIF(CkDJ[Account Code],B52,(CkDJ[Debit]))+SUMIF(CsDJ[Account Code],B52,(CsDJ[Debit]))+SUMIF(CRDJ[Account Code],B52,(CRDJ[Debit]))+SUMIF(GJ[Account Code],B52,(GJ[Debit]))</f>
        <v>0</v>
      </c>
      <c r="F52" s="627">
        <f>SUMIF(PostTB[Account Code (Old)],B52,(PostTB[Credit]))+SUMIF(CkDJ[Account Code],B52,(CkDJ[Credit]))+SUMIF(CsDJ[Account Code],B52,(CsDJ[Credit]))+SUMIF(CRDJ[Account Code],B52,(CRDJ[Credit]))+SUMIF(GJ[Account Code],B52,(GJ[Credit]))</f>
        <v>0</v>
      </c>
      <c r="G52" s="627">
        <f>IF(INDEX(AccountCodes[Normal Balance], MATCH(C52,AccountCodes[PPSAS CODE]))="Credit",F52-E52,0)</f>
        <v>0</v>
      </c>
      <c r="H52" s="626">
        <f t="shared" si="0"/>
        <v>0</v>
      </c>
    </row>
    <row r="53" spans="1:8" ht="15.75" hidden="1" x14ac:dyDescent="0.25">
      <c r="A53" s="623" t="str">
        <f t="array" ref="A53">INDEX(AccountCodes[ACCOUNT NAME],MATCH(B53,AccountCodes[NGAS CODE],0))</f>
        <v>Textbooks and Instructional Materials Inventory</v>
      </c>
      <c r="B53" s="597" t="s">
        <v>1222</v>
      </c>
      <c r="C53" s="625">
        <f t="array" ref="C53">INDEX(AccountCodes[PPSAS CODE],MATCH(B53,AccountCodes[NGAS CODE],0))</f>
        <v>1040410000</v>
      </c>
      <c r="D53" s="626">
        <f>IF(INDEX(AccountCodes[Normal Balance], MATCH(C53,AccountCodes[PPSAS CODE]))="Debit",E53-F53,0)</f>
        <v>0</v>
      </c>
      <c r="E53" s="626">
        <f>SUMIF(PostTB[Account Code (Old)],B53,(PostTB[Debit]))+SUMIF(CkDJ[Account Code],B53,(CkDJ[Debit]))+SUMIF(CsDJ[Account Code],B53,(CsDJ[Debit]))+SUMIF(CRDJ[Account Code],B53,(CRDJ[Debit]))+SUMIF(GJ[Account Code],B53,(GJ[Debit]))</f>
        <v>0</v>
      </c>
      <c r="F53" s="627">
        <f>SUMIF(PostTB[Account Code (Old)],B53,(PostTB[Credit]))+SUMIF(CkDJ[Account Code],B53,(CkDJ[Credit]))+SUMIF(CsDJ[Account Code],B53,(CsDJ[Credit]))+SUMIF(CRDJ[Account Code],B53,(CRDJ[Credit]))+SUMIF(GJ[Account Code],B53,(GJ[Credit]))</f>
        <v>0</v>
      </c>
      <c r="G53" s="627">
        <f>IF(INDEX(AccountCodes[Normal Balance], MATCH(C53,AccountCodes[PPSAS CODE]))="Credit",F53-E53,0)</f>
        <v>0</v>
      </c>
      <c r="H53" s="626">
        <f t="shared" si="0"/>
        <v>0</v>
      </c>
    </row>
    <row r="54" spans="1:8" ht="15.75" hidden="1" x14ac:dyDescent="0.25">
      <c r="A54" s="623" t="str">
        <f t="array" ref="A54">INDEX(AccountCodes[ACCOUNT NAME],MATCH(B54,AccountCodes[NGAS CODE],0))</f>
        <v>Construction Materials Inventory</v>
      </c>
      <c r="B54" s="597" t="s">
        <v>1223</v>
      </c>
      <c r="C54" s="625">
        <f t="array" ref="C54">INDEX(AccountCodes[PPSAS CODE],MATCH(B54,AccountCodes[NGAS CODE],0))</f>
        <v>1040413000</v>
      </c>
      <c r="D54" s="626">
        <f>IF(INDEX(AccountCodes[Normal Balance], MATCH(C54,AccountCodes[PPSAS CODE]))="Debit",E54-F54,0)</f>
        <v>0</v>
      </c>
      <c r="E54" s="626">
        <f>SUMIF(PostTB[Account Code (Old)],B54,(PostTB[Debit]))+SUMIF(CkDJ[Account Code],B54,(CkDJ[Debit]))+SUMIF(CsDJ[Account Code],B54,(CsDJ[Debit]))+SUMIF(CRDJ[Account Code],B54,(CRDJ[Debit]))+SUMIF(GJ[Account Code],B54,(GJ[Debit]))</f>
        <v>0</v>
      </c>
      <c r="F54" s="627">
        <f>SUMIF(PostTB[Account Code (Old)],B54,(PostTB[Credit]))+SUMIF(CkDJ[Account Code],B54,(CkDJ[Credit]))+SUMIF(CsDJ[Account Code],B54,(CsDJ[Credit]))+SUMIF(CRDJ[Account Code],B54,(CRDJ[Credit]))+SUMIF(GJ[Account Code],B54,(GJ[Credit]))</f>
        <v>0</v>
      </c>
      <c r="G54" s="627">
        <f>IF(INDEX(AccountCodes[Normal Balance], MATCH(C54,AccountCodes[PPSAS CODE]))="Credit",F54-E54,0)</f>
        <v>0</v>
      </c>
      <c r="H54" s="626">
        <f t="shared" si="0"/>
        <v>0</v>
      </c>
    </row>
    <row r="55" spans="1:8" ht="15.75" hidden="1" x14ac:dyDescent="0.25">
      <c r="A55" s="623" t="str">
        <f t="array" ref="A55">INDEX(AccountCodes[ACCOUNT NAME],MATCH(B55,AccountCodes[NGAS CODE],0))</f>
        <v>Other Supplies and Materials Inventory</v>
      </c>
      <c r="B55" s="597" t="s">
        <v>32</v>
      </c>
      <c r="C55" s="625">
        <f t="array" ref="C55">INDEX(AccountCodes[PPSAS CODE],MATCH(B55,AccountCodes[NGAS CODE],0))</f>
        <v>1040499000</v>
      </c>
      <c r="D55" s="626">
        <f>IF(INDEX(AccountCodes[Normal Balance], MATCH(C55,AccountCodes[PPSAS CODE]))="Debit",E55-F55,0)</f>
        <v>0</v>
      </c>
      <c r="E55" s="626">
        <f>SUMIF(PostTB[Account Code (Old)],B55,(PostTB[Debit]))+SUMIF(CkDJ[Account Code],B55,(CkDJ[Debit]))+SUMIF(CsDJ[Account Code],B55,(CsDJ[Debit]))+SUMIF(CRDJ[Account Code],B55,(CRDJ[Debit]))+SUMIF(GJ[Account Code],B55,(GJ[Debit]))</f>
        <v>0</v>
      </c>
      <c r="F55" s="627">
        <f>SUMIF(PostTB[Account Code (Old)],B55,(PostTB[Credit]))+SUMIF(CkDJ[Account Code],B55,(CkDJ[Credit]))+SUMIF(CsDJ[Account Code],B55,(CsDJ[Credit]))+SUMIF(CRDJ[Account Code],B55,(CRDJ[Credit]))+SUMIF(GJ[Account Code],B55,(GJ[Credit]))</f>
        <v>0</v>
      </c>
      <c r="G55" s="627">
        <f>IF(INDEX(AccountCodes[Normal Balance], MATCH(C55,AccountCodes[PPSAS CODE]))="Credit",F55-E55,0)</f>
        <v>0</v>
      </c>
      <c r="H55" s="626">
        <f t="shared" si="0"/>
        <v>0</v>
      </c>
    </row>
    <row r="56" spans="1:8" ht="15.75" hidden="1" x14ac:dyDescent="0.25">
      <c r="A56" s="623" t="str">
        <f t="array" ref="A56">INDEX(AccountCodes[ACCOUNT NAME],MATCH(B56,AccountCodes[NGAS CODE],0))</f>
        <v>Semi-Expendable Machinery</v>
      </c>
      <c r="B56" s="597" t="s">
        <v>1244</v>
      </c>
      <c r="C56" s="625">
        <f t="array" ref="C56">INDEX(AccountCodes[PPSAS CODE],MATCH(B56,AccountCodes[NGAS CODE],0))</f>
        <v>1040501000</v>
      </c>
      <c r="D56" s="626">
        <f>IF(INDEX(AccountCodes[Normal Balance], MATCH(C56,AccountCodes[PPSAS CODE]))="Debit",E56-F56,0)</f>
        <v>0</v>
      </c>
      <c r="E56" s="626">
        <f>SUMIF(PostTB[Account Code (Old)],B56,(PostTB[Debit]))+SUMIF(CkDJ[Account Code],B56,(CkDJ[Debit]))+SUMIF(CsDJ[Account Code],B56,(CsDJ[Debit]))+SUMIF(CRDJ[Account Code],B56,(CRDJ[Debit]))+SUMIF(GJ[Account Code],B56,(GJ[Debit]))</f>
        <v>0</v>
      </c>
      <c r="F56" s="627">
        <f>SUMIF(PostTB[Account Code (Old)],B56,(PostTB[Credit]))+SUMIF(CkDJ[Account Code],B56,(CkDJ[Credit]))+SUMIF(CsDJ[Account Code],B56,(CsDJ[Credit]))+SUMIF(CRDJ[Account Code],B56,(CRDJ[Credit]))+SUMIF(GJ[Account Code],B56,(GJ[Credit]))</f>
        <v>0</v>
      </c>
      <c r="G56" s="627">
        <f>IF(INDEX(AccountCodes[Normal Balance], MATCH(C56,AccountCodes[PPSAS CODE]))="Credit",F56-E56,0)</f>
        <v>0</v>
      </c>
      <c r="H56" s="626">
        <f t="shared" si="0"/>
        <v>0</v>
      </c>
    </row>
    <row r="57" spans="1:8" ht="15.75" hidden="1" x14ac:dyDescent="0.25">
      <c r="A57" s="623" t="str">
        <f t="array" ref="A57">INDEX(AccountCodes[ACCOUNT NAME],MATCH(B57,AccountCodes[NGAS CODE],0))</f>
        <v>Semi-Expendable Office Equipment</v>
      </c>
      <c r="B57" s="597" t="s">
        <v>1245</v>
      </c>
      <c r="C57" s="625">
        <f t="array" ref="C57">INDEX(AccountCodes[PPSAS CODE],MATCH(B57,AccountCodes[NGAS CODE],0))</f>
        <v>1040502000</v>
      </c>
      <c r="D57" s="626">
        <f>IF(INDEX(AccountCodes[Normal Balance], MATCH(C57,AccountCodes[PPSAS CODE]))="Debit",E57-F57,0)</f>
        <v>4480</v>
      </c>
      <c r="E57" s="626">
        <f>SUMIF(PostTB[Account Code (Old)],B57,(PostTB[Debit]))+SUMIF(CkDJ[Account Code],B57,(CkDJ[Debit]))+SUMIF(CsDJ[Account Code],B57,(CsDJ[Debit]))+SUMIF(CRDJ[Account Code],B57,(CRDJ[Debit]))+SUMIF(GJ[Account Code],B57,(GJ[Debit]))</f>
        <v>51392</v>
      </c>
      <c r="F57" s="627">
        <f>SUMIF(PostTB[Account Code (Old)],B57,(PostTB[Credit]))+SUMIF(CkDJ[Account Code],B57,(CkDJ[Credit]))+SUMIF(CsDJ[Account Code],B57,(CsDJ[Credit]))+SUMIF(CRDJ[Account Code],B57,(CRDJ[Credit]))+SUMIF(GJ[Account Code],B57,(GJ[Credit]))</f>
        <v>46912</v>
      </c>
      <c r="G57" s="627">
        <f>IF(INDEX(AccountCodes[Normal Balance], MATCH(C57,AccountCodes[PPSAS CODE]))="Credit",F57-E57,0)</f>
        <v>0</v>
      </c>
      <c r="H57" s="626">
        <f t="shared" si="0"/>
        <v>4480</v>
      </c>
    </row>
    <row r="58" spans="1:8" ht="15.75" hidden="1" x14ac:dyDescent="0.25">
      <c r="A58" s="623" t="str">
        <f t="array" ref="A58">INDEX(AccountCodes[ACCOUNT NAME],MATCH(B58,AccountCodes[NGAS CODE],0))</f>
        <v>Semi-Expendable Information and Communications Technology Equipment</v>
      </c>
      <c r="B58" s="597" t="s">
        <v>1246</v>
      </c>
      <c r="C58" s="625">
        <f t="array" ref="C58">INDEX(AccountCodes[PPSAS CODE],MATCH(B58,AccountCodes[NGAS CODE],0))</f>
        <v>1040503000</v>
      </c>
      <c r="D58" s="626">
        <f>IF(INDEX(AccountCodes[Normal Balance], MATCH(C58,AccountCodes[PPSAS CODE]))="Debit",E58-F58,0)</f>
        <v>38000</v>
      </c>
      <c r="E58" s="626">
        <f>SUMIF(PostTB[Account Code (Old)],B58,(PostTB[Debit]))+SUMIF(CkDJ[Account Code],B58,(CkDJ[Debit]))+SUMIF(CsDJ[Account Code],B58,(CsDJ[Debit]))+SUMIF(CRDJ[Account Code],B58,(CRDJ[Debit]))+SUMIF(GJ[Account Code],B58,(GJ[Debit]))</f>
        <v>83480</v>
      </c>
      <c r="F58" s="627">
        <f>SUMIF(PostTB[Account Code (Old)],B58,(PostTB[Credit]))+SUMIF(CkDJ[Account Code],B58,(CkDJ[Credit]))+SUMIF(CsDJ[Account Code],B58,(CsDJ[Credit]))+SUMIF(CRDJ[Account Code],B58,(CRDJ[Credit]))+SUMIF(GJ[Account Code],B58,(GJ[Credit]))</f>
        <v>45480</v>
      </c>
      <c r="G58" s="627">
        <f>IF(INDEX(AccountCodes[Normal Balance], MATCH(C58,AccountCodes[PPSAS CODE]))="Credit",F58-E58,0)</f>
        <v>0</v>
      </c>
      <c r="H58" s="626">
        <f t="shared" si="0"/>
        <v>38000</v>
      </c>
    </row>
    <row r="59" spans="1:8" ht="15.75" hidden="1" x14ac:dyDescent="0.25">
      <c r="A59" s="623" t="str">
        <f t="array" ref="A59">INDEX(AccountCodes[ACCOUNT NAME],MATCH(B59,AccountCodes[NGAS CODE],0))</f>
        <v>Semi-Expendable Agricultural and Forestry Equipment</v>
      </c>
      <c r="B59" s="597" t="s">
        <v>1247</v>
      </c>
      <c r="C59" s="625">
        <f t="array" ref="C59">INDEX(AccountCodes[PPSAS CODE],MATCH(B59,AccountCodes[NGAS CODE],0))</f>
        <v>1040504000</v>
      </c>
      <c r="D59" s="626">
        <f>IF(INDEX(AccountCodes[Normal Balance], MATCH(C59,AccountCodes[PPSAS CODE]))="Debit",E59-F59,0)</f>
        <v>0</v>
      </c>
      <c r="E59" s="626">
        <f>SUMIF(PostTB[Account Code (Old)],B59,(PostTB[Debit]))+SUMIF(CkDJ[Account Code],B59,(CkDJ[Debit]))+SUMIF(CsDJ[Account Code],B59,(CsDJ[Debit]))+SUMIF(CRDJ[Account Code],B59,(CRDJ[Debit]))+SUMIF(GJ[Account Code],B59,(GJ[Debit]))</f>
        <v>0</v>
      </c>
      <c r="F59" s="627">
        <f>SUMIF(PostTB[Account Code (Old)],B59,(PostTB[Credit]))+SUMIF(CkDJ[Account Code],B59,(CkDJ[Credit]))+SUMIF(CsDJ[Account Code],B59,(CsDJ[Credit]))+SUMIF(CRDJ[Account Code],B59,(CRDJ[Credit]))+SUMIF(GJ[Account Code],B59,(GJ[Credit]))</f>
        <v>0</v>
      </c>
      <c r="G59" s="627">
        <f>IF(INDEX(AccountCodes[Normal Balance], MATCH(C59,AccountCodes[PPSAS CODE]))="Credit",F59-E59,0)</f>
        <v>0</v>
      </c>
      <c r="H59" s="626">
        <f t="shared" si="0"/>
        <v>0</v>
      </c>
    </row>
    <row r="60" spans="1:8" ht="15.75" hidden="1" x14ac:dyDescent="0.25">
      <c r="A60" s="623" t="str">
        <f t="array" ref="A60">INDEX(AccountCodes[ACCOUNT NAME],MATCH(B60,AccountCodes[NGAS CODE],0))</f>
        <v>Semi-Expendable Marine and Fishery Equipment</v>
      </c>
      <c r="B60" s="597" t="s">
        <v>1248</v>
      </c>
      <c r="C60" s="625">
        <f t="array" ref="C60">INDEX(AccountCodes[PPSAS CODE],MATCH(B60,AccountCodes[NGAS CODE],0))</f>
        <v>1040505000</v>
      </c>
      <c r="D60" s="626">
        <f>IF(INDEX(AccountCodes[Normal Balance], MATCH(C60,AccountCodes[PPSAS CODE]))="Debit",E60-F60,0)</f>
        <v>0</v>
      </c>
      <c r="E60" s="626">
        <f>SUMIF(PostTB[Account Code (Old)],B60,(PostTB[Debit]))+SUMIF(CkDJ[Account Code],B60,(CkDJ[Debit]))+SUMIF(CsDJ[Account Code],B60,(CsDJ[Debit]))+SUMIF(CRDJ[Account Code],B60,(CRDJ[Debit]))+SUMIF(GJ[Account Code],B60,(GJ[Debit]))</f>
        <v>0</v>
      </c>
      <c r="F60" s="627">
        <f>SUMIF(PostTB[Account Code (Old)],B60,(PostTB[Credit]))+SUMIF(CkDJ[Account Code],B60,(CkDJ[Credit]))+SUMIF(CsDJ[Account Code],B60,(CsDJ[Credit]))+SUMIF(CRDJ[Account Code],B60,(CRDJ[Credit]))+SUMIF(GJ[Account Code],B60,(GJ[Credit]))</f>
        <v>0</v>
      </c>
      <c r="G60" s="627">
        <f>IF(INDEX(AccountCodes[Normal Balance], MATCH(C60,AccountCodes[PPSAS CODE]))="Credit",F60-E60,0)</f>
        <v>0</v>
      </c>
      <c r="H60" s="626">
        <f t="shared" si="0"/>
        <v>0</v>
      </c>
    </row>
    <row r="61" spans="1:8" ht="15.75" hidden="1" x14ac:dyDescent="0.25">
      <c r="A61" s="623" t="str">
        <f t="array" ref="A61">INDEX(AccountCodes[ACCOUNT NAME],MATCH(B61,AccountCodes[NGAS CODE],0))</f>
        <v>Semi-Expendable Airport Equipment</v>
      </c>
      <c r="B61" s="597" t="s">
        <v>1249</v>
      </c>
      <c r="C61" s="625">
        <f t="array" ref="C61">INDEX(AccountCodes[PPSAS CODE],MATCH(B61,AccountCodes[NGAS CODE],0))</f>
        <v>1040506000</v>
      </c>
      <c r="D61" s="626">
        <f>IF(INDEX(AccountCodes[Normal Balance], MATCH(C61,AccountCodes[PPSAS CODE]))="Debit",E61-F61,0)</f>
        <v>0</v>
      </c>
      <c r="E61" s="626">
        <f>SUMIF(PostTB[Account Code (Old)],B61,(PostTB[Debit]))+SUMIF(CkDJ[Account Code],B61,(CkDJ[Debit]))+SUMIF(CsDJ[Account Code],B61,(CsDJ[Debit]))+SUMIF(CRDJ[Account Code],B61,(CRDJ[Debit]))+SUMIF(GJ[Account Code],B61,(GJ[Debit]))</f>
        <v>0</v>
      </c>
      <c r="F61" s="627">
        <f>SUMIF(PostTB[Account Code (Old)],B61,(PostTB[Credit]))+SUMIF(CkDJ[Account Code],B61,(CkDJ[Credit]))+SUMIF(CsDJ[Account Code],B61,(CsDJ[Credit]))+SUMIF(CRDJ[Account Code],B61,(CRDJ[Credit]))+SUMIF(GJ[Account Code],B61,(GJ[Credit]))</f>
        <v>0</v>
      </c>
      <c r="G61" s="627">
        <f>IF(INDEX(AccountCodes[Normal Balance], MATCH(C61,AccountCodes[PPSAS CODE]))="Credit",F61-E61,0)</f>
        <v>0</v>
      </c>
      <c r="H61" s="626">
        <f t="shared" si="0"/>
        <v>0</v>
      </c>
    </row>
    <row r="62" spans="1:8" ht="15.75" hidden="1" x14ac:dyDescent="0.25">
      <c r="A62" s="623" t="str">
        <f t="array" ref="A62">INDEX(AccountCodes[ACCOUNT NAME],MATCH(B62,AccountCodes[NGAS CODE],0))</f>
        <v>Semi-Expendable Communications Equipment</v>
      </c>
      <c r="B62" s="597" t="s">
        <v>1250</v>
      </c>
      <c r="C62" s="625">
        <f t="array" ref="C62">INDEX(AccountCodes[PPSAS CODE],MATCH(B62,AccountCodes[NGAS CODE],0))</f>
        <v>1040507000</v>
      </c>
      <c r="D62" s="626">
        <f>IF(INDEX(AccountCodes[Normal Balance], MATCH(C62,AccountCodes[PPSAS CODE]))="Debit",E62-F62,0)</f>
        <v>0</v>
      </c>
      <c r="E62" s="626">
        <f>SUMIF(PostTB[Account Code (Old)],B62,(PostTB[Debit]))+SUMIF(CkDJ[Account Code],B62,(CkDJ[Debit]))+SUMIF(CsDJ[Account Code],B62,(CsDJ[Debit]))+SUMIF(CRDJ[Account Code],B62,(CRDJ[Debit]))+SUMIF(GJ[Account Code],B62,(GJ[Debit]))</f>
        <v>0</v>
      </c>
      <c r="F62" s="627">
        <f>SUMIF(PostTB[Account Code (Old)],B62,(PostTB[Credit]))+SUMIF(CkDJ[Account Code],B62,(CkDJ[Credit]))+SUMIF(CsDJ[Account Code],B62,(CsDJ[Credit]))+SUMIF(CRDJ[Account Code],B62,(CRDJ[Credit]))+SUMIF(GJ[Account Code],B62,(GJ[Credit]))</f>
        <v>0</v>
      </c>
      <c r="G62" s="627">
        <f>IF(INDEX(AccountCodes[Normal Balance], MATCH(C62,AccountCodes[PPSAS CODE]))="Credit",F62-E62,0)</f>
        <v>0</v>
      </c>
      <c r="H62" s="626">
        <f t="shared" si="0"/>
        <v>0</v>
      </c>
    </row>
    <row r="63" spans="1:8" ht="15.75" hidden="1" x14ac:dyDescent="0.25">
      <c r="A63" s="623" t="str">
        <f t="array" ref="A63">INDEX(AccountCodes[ACCOUNT NAME],MATCH(B63,AccountCodes[NGAS CODE],0))</f>
        <v>Semi-Expendable Disaster Response and Rescue Equipment</v>
      </c>
      <c r="B63" s="597" t="s">
        <v>1251</v>
      </c>
      <c r="C63" s="625">
        <f t="array" ref="C63">INDEX(AccountCodes[PPSAS CODE],MATCH(B63,AccountCodes[NGAS CODE],0))</f>
        <v>1040508000</v>
      </c>
      <c r="D63" s="626">
        <f>IF(INDEX(AccountCodes[Normal Balance], MATCH(C63,AccountCodes[PPSAS CODE]))="Debit",E63-F63,0)</f>
        <v>0</v>
      </c>
      <c r="E63" s="626">
        <f>SUMIF(PostTB[Account Code (Old)],B63,(PostTB[Debit]))+SUMIF(CkDJ[Account Code],B63,(CkDJ[Debit]))+SUMIF(CsDJ[Account Code],B63,(CsDJ[Debit]))+SUMIF(CRDJ[Account Code],B63,(CRDJ[Debit]))+SUMIF(GJ[Account Code],B63,(GJ[Debit]))</f>
        <v>0</v>
      </c>
      <c r="F63" s="627">
        <f>SUMIF(PostTB[Account Code (Old)],B63,(PostTB[Credit]))+SUMIF(CkDJ[Account Code],B63,(CkDJ[Credit]))+SUMIF(CsDJ[Account Code],B63,(CsDJ[Credit]))+SUMIF(CRDJ[Account Code],B63,(CRDJ[Credit]))+SUMIF(GJ[Account Code],B63,(GJ[Credit]))</f>
        <v>0</v>
      </c>
      <c r="G63" s="627">
        <f>IF(INDEX(AccountCodes[Normal Balance], MATCH(C63,AccountCodes[PPSAS CODE]))="Credit",F63-E63,0)</f>
        <v>0</v>
      </c>
      <c r="H63" s="626">
        <f t="shared" si="0"/>
        <v>0</v>
      </c>
    </row>
    <row r="64" spans="1:8" ht="15.75" hidden="1" x14ac:dyDescent="0.25">
      <c r="A64" s="623" t="str">
        <f t="array" ref="A64">INDEX(AccountCodes[ACCOUNT NAME],MATCH(B64,AccountCodes[NGAS CODE],0))</f>
        <v>Semi-Expendable Military, Police and Security Equipment</v>
      </c>
      <c r="B64" s="597" t="s">
        <v>1252</v>
      </c>
      <c r="C64" s="625">
        <f t="array" ref="C64">INDEX(AccountCodes[PPSAS CODE],MATCH(B64,AccountCodes[NGAS CODE],0))</f>
        <v>1040509000</v>
      </c>
      <c r="D64" s="626">
        <f>IF(INDEX(AccountCodes[Normal Balance], MATCH(C64,AccountCodes[PPSAS CODE]))="Debit",E64-F64,0)</f>
        <v>0</v>
      </c>
      <c r="E64" s="626">
        <f>SUMIF(PostTB[Account Code (Old)],B64,(PostTB[Debit]))+SUMIF(CkDJ[Account Code],B64,(CkDJ[Debit]))+SUMIF(CsDJ[Account Code],B64,(CsDJ[Debit]))+SUMIF(CRDJ[Account Code],B64,(CRDJ[Debit]))+SUMIF(GJ[Account Code],B64,(GJ[Debit]))</f>
        <v>0</v>
      </c>
      <c r="F64" s="627">
        <f>SUMIF(PostTB[Account Code (Old)],B64,(PostTB[Credit]))+SUMIF(CkDJ[Account Code],B64,(CkDJ[Credit]))+SUMIF(CsDJ[Account Code],B64,(CsDJ[Credit]))+SUMIF(CRDJ[Account Code],B64,(CRDJ[Credit]))+SUMIF(GJ[Account Code],B64,(GJ[Credit]))</f>
        <v>0</v>
      </c>
      <c r="G64" s="627">
        <f>IF(INDEX(AccountCodes[Normal Balance], MATCH(C64,AccountCodes[PPSAS CODE]))="Credit",F64-E64,0)</f>
        <v>0</v>
      </c>
      <c r="H64" s="626">
        <f t="shared" si="0"/>
        <v>0</v>
      </c>
    </row>
    <row r="65" spans="1:8" ht="15.75" hidden="1" x14ac:dyDescent="0.25">
      <c r="A65" s="623" t="str">
        <f t="array" ref="A65">INDEX(AccountCodes[ACCOUNT NAME],MATCH(B65,AccountCodes[NGAS CODE],0))</f>
        <v>Semi-Expendable Medical Equipment</v>
      </c>
      <c r="B65" s="597" t="s">
        <v>1253</v>
      </c>
      <c r="C65" s="625">
        <f t="array" ref="C65">INDEX(AccountCodes[PPSAS CODE],MATCH(B65,AccountCodes[NGAS CODE],0))</f>
        <v>1040510000</v>
      </c>
      <c r="D65" s="626">
        <f>IF(INDEX(AccountCodes[Normal Balance], MATCH(C65,AccountCodes[PPSAS CODE]))="Debit",E65-F65,0)</f>
        <v>0</v>
      </c>
      <c r="E65" s="626">
        <f>SUMIF(PostTB[Account Code (Old)],B65,(PostTB[Debit]))+SUMIF(CkDJ[Account Code],B65,(CkDJ[Debit]))+SUMIF(CsDJ[Account Code],B65,(CsDJ[Debit]))+SUMIF(CRDJ[Account Code],B65,(CRDJ[Debit]))+SUMIF(GJ[Account Code],B65,(GJ[Debit]))</f>
        <v>0</v>
      </c>
      <c r="F65" s="627">
        <f>SUMIF(PostTB[Account Code (Old)],B65,(PostTB[Credit]))+SUMIF(CkDJ[Account Code],B65,(CkDJ[Credit]))+SUMIF(CsDJ[Account Code],B65,(CsDJ[Credit]))+SUMIF(CRDJ[Account Code],B65,(CRDJ[Credit]))+SUMIF(GJ[Account Code],B65,(GJ[Credit]))</f>
        <v>0</v>
      </c>
      <c r="G65" s="627">
        <f>IF(INDEX(AccountCodes[Normal Balance], MATCH(C65,AccountCodes[PPSAS CODE]))="Credit",F65-E65,0)</f>
        <v>0</v>
      </c>
      <c r="H65" s="626">
        <f t="shared" si="0"/>
        <v>0</v>
      </c>
    </row>
    <row r="66" spans="1:8" ht="15.75" hidden="1" x14ac:dyDescent="0.25">
      <c r="A66" s="623" t="str">
        <f t="array" ref="A66">INDEX(AccountCodes[ACCOUNT NAME],MATCH(B66,AccountCodes[NGAS CODE],0))</f>
        <v>Semi-Expendable Printing Equipment</v>
      </c>
      <c r="B66" s="597" t="s">
        <v>1254</v>
      </c>
      <c r="C66" s="625">
        <f t="array" ref="C66">INDEX(AccountCodes[PPSAS CODE],MATCH(B66,AccountCodes[NGAS CODE],0))</f>
        <v>1040511000</v>
      </c>
      <c r="D66" s="626">
        <f>IF(INDEX(AccountCodes[Normal Balance], MATCH(C66,AccountCodes[PPSAS CODE]))="Debit",E66-F66,0)</f>
        <v>0</v>
      </c>
      <c r="E66" s="626">
        <f>SUMIF(PostTB[Account Code (Old)],B66,(PostTB[Debit]))+SUMIF(CkDJ[Account Code],B66,(CkDJ[Debit]))+SUMIF(CsDJ[Account Code],B66,(CsDJ[Debit]))+SUMIF(CRDJ[Account Code],B66,(CRDJ[Debit]))+SUMIF(GJ[Account Code],B66,(GJ[Debit]))</f>
        <v>0</v>
      </c>
      <c r="F66" s="627">
        <f>SUMIF(PostTB[Account Code (Old)],B66,(PostTB[Credit]))+SUMIF(CkDJ[Account Code],B66,(CkDJ[Credit]))+SUMIF(CsDJ[Account Code],B66,(CsDJ[Credit]))+SUMIF(CRDJ[Account Code],B66,(CRDJ[Credit]))+SUMIF(GJ[Account Code],B66,(GJ[Credit]))</f>
        <v>0</v>
      </c>
      <c r="G66" s="627">
        <f>IF(INDEX(AccountCodes[Normal Balance], MATCH(C66,AccountCodes[PPSAS CODE]))="Credit",F66-E66,0)</f>
        <v>0</v>
      </c>
      <c r="H66" s="626">
        <f t="shared" ref="H66:H129" si="1">IF(D66=0,G66,D66)</f>
        <v>0</v>
      </c>
    </row>
    <row r="67" spans="1:8" ht="15.75" hidden="1" x14ac:dyDescent="0.25">
      <c r="A67" s="623" t="str">
        <f t="array" ref="A67">INDEX(AccountCodes[ACCOUNT NAME],MATCH(B67,AccountCodes[NGAS CODE],0))</f>
        <v>Semi-Expendable Sports Equipment</v>
      </c>
      <c r="B67" s="597" t="s">
        <v>1255</v>
      </c>
      <c r="C67" s="625">
        <f t="array" ref="C67">INDEX(AccountCodes[PPSAS CODE],MATCH(B67,AccountCodes[NGAS CODE],0))</f>
        <v>1040512000</v>
      </c>
      <c r="D67" s="626">
        <f>IF(INDEX(AccountCodes[Normal Balance], MATCH(C67,AccountCodes[PPSAS CODE]))="Debit",E67-F67,0)</f>
        <v>0</v>
      </c>
      <c r="E67" s="626">
        <f>SUMIF(PostTB[Account Code (Old)],B67,(PostTB[Debit]))+SUMIF(CkDJ[Account Code],B67,(CkDJ[Debit]))+SUMIF(CsDJ[Account Code],B67,(CsDJ[Debit]))+SUMIF(CRDJ[Account Code],B67,(CRDJ[Debit]))+SUMIF(GJ[Account Code],B67,(GJ[Debit]))</f>
        <v>0</v>
      </c>
      <c r="F67" s="627">
        <f>SUMIF(PostTB[Account Code (Old)],B67,(PostTB[Credit]))+SUMIF(CkDJ[Account Code],B67,(CkDJ[Credit]))+SUMIF(CsDJ[Account Code],B67,(CsDJ[Credit]))+SUMIF(CRDJ[Account Code],B67,(CRDJ[Credit]))+SUMIF(GJ[Account Code],B67,(GJ[Credit]))</f>
        <v>0</v>
      </c>
      <c r="G67" s="627">
        <f>IF(INDEX(AccountCodes[Normal Balance], MATCH(C67,AccountCodes[PPSAS CODE]))="Credit",F67-E67,0)</f>
        <v>0</v>
      </c>
      <c r="H67" s="626">
        <f t="shared" si="1"/>
        <v>0</v>
      </c>
    </row>
    <row r="68" spans="1:8" ht="15.75" x14ac:dyDescent="0.25">
      <c r="A68" s="623" t="str">
        <f t="array" ref="A68">INDEX(AccountCodes[ACCOUNT NAME],MATCH(B68,AccountCodes[NGAS CODE],0))</f>
        <v>Semi-Expendable Technical and Scientific Equipment</v>
      </c>
      <c r="B68" s="597" t="s">
        <v>1256</v>
      </c>
      <c r="C68" s="625">
        <f t="array" ref="C68">INDEX(AccountCodes[PPSAS CODE],MATCH(B68,AccountCodes[NGAS CODE],0))</f>
        <v>1040513000</v>
      </c>
      <c r="D68" s="626">
        <f>IF(INDEX(AccountCodes[Normal Balance], MATCH(C68,AccountCodes[PPSAS CODE]))="Debit",E68-F68,0)</f>
        <v>6000</v>
      </c>
      <c r="E68" s="626">
        <f>SUMIF(PostTB[Account Code (Old)],B68,(PostTB[Debit]))+SUMIF(CkDJ[Account Code],B68,(CkDJ[Debit]))+SUMIF(CsDJ[Account Code],B68,(CsDJ[Debit]))+SUMIF(CRDJ[Account Code],B68,(CRDJ[Debit]))+SUMIF(GJ[Account Code],B68,(GJ[Debit]))</f>
        <v>6000</v>
      </c>
      <c r="F68" s="627">
        <f>SUMIF(PostTB[Account Code (Old)],B68,(PostTB[Credit]))+SUMIF(CkDJ[Account Code],B68,(CkDJ[Credit]))+SUMIF(CsDJ[Account Code],B68,(CsDJ[Credit]))+SUMIF(CRDJ[Account Code],B68,(CRDJ[Credit]))+SUMIF(GJ[Account Code],B68,(GJ[Credit]))</f>
        <v>0</v>
      </c>
      <c r="G68" s="627">
        <f>IF(INDEX(AccountCodes[Normal Balance], MATCH(C68,AccountCodes[PPSAS CODE]))="Credit",F68-E68,0)</f>
        <v>0</v>
      </c>
      <c r="H68" s="626">
        <f t="shared" si="1"/>
        <v>6000</v>
      </c>
    </row>
    <row r="69" spans="1:8" ht="15.75" hidden="1" x14ac:dyDescent="0.25">
      <c r="A69" s="623" t="str">
        <f t="array" ref="A69">INDEX(AccountCodes[ACCOUNT NAME],MATCH(B69,AccountCodes[NGAS CODE],0))</f>
        <v>Semi-Expendable Other Machinery and Equipment</v>
      </c>
      <c r="B69" s="597" t="s">
        <v>1257</v>
      </c>
      <c r="C69" s="625">
        <f t="array" ref="C69">INDEX(AccountCodes[PPSAS CODE],MATCH(B69,AccountCodes[NGAS CODE],0))</f>
        <v>1040519000</v>
      </c>
      <c r="D69" s="626">
        <f>IF(INDEX(AccountCodes[Normal Balance], MATCH(C69,AccountCodes[PPSAS CODE]))="Debit",E69-F69,0)</f>
        <v>0</v>
      </c>
      <c r="E69" s="626">
        <f>SUMIF(PostTB[Account Code (Old)],B69,(PostTB[Debit]))+SUMIF(CkDJ[Account Code],B69,(CkDJ[Debit]))+SUMIF(CsDJ[Account Code],B69,(CsDJ[Debit]))+SUMIF(CRDJ[Account Code],B69,(CRDJ[Debit]))+SUMIF(GJ[Account Code],B69,(GJ[Debit]))</f>
        <v>0</v>
      </c>
      <c r="F69" s="627">
        <f>SUMIF(PostTB[Account Code (Old)],B69,(PostTB[Credit]))+SUMIF(CkDJ[Account Code],B69,(CkDJ[Credit]))+SUMIF(CsDJ[Account Code],B69,(CsDJ[Credit]))+SUMIF(CRDJ[Account Code],B69,(CRDJ[Credit]))+SUMIF(GJ[Account Code],B69,(GJ[Credit]))</f>
        <v>0</v>
      </c>
      <c r="G69" s="627">
        <f>IF(INDEX(AccountCodes[Normal Balance], MATCH(C69,AccountCodes[PPSAS CODE]))="Credit",F69-E69,0)</f>
        <v>0</v>
      </c>
      <c r="H69" s="626">
        <f t="shared" si="1"/>
        <v>0</v>
      </c>
    </row>
    <row r="70" spans="1:8" ht="15.75" hidden="1" x14ac:dyDescent="0.25">
      <c r="A70" s="623" t="str">
        <f t="array" ref="A70">INDEX(AccountCodes[ACCOUNT NAME],MATCH(B70,AccountCodes[NGAS CODE],0))</f>
        <v>Semi-Expendable Furniture and Fixtures</v>
      </c>
      <c r="B70" s="597" t="s">
        <v>1438</v>
      </c>
      <c r="C70" s="625">
        <f t="array" ref="C70">INDEX(AccountCodes[PPSAS CODE],MATCH(B70,AccountCodes[NGAS CODE],0))</f>
        <v>1040601000</v>
      </c>
      <c r="D70" s="626">
        <f>IF(INDEX(AccountCodes[Normal Balance], MATCH(C70,AccountCodes[PPSAS CODE]))="Debit",E70-F70,0)</f>
        <v>0</v>
      </c>
      <c r="E70" s="626">
        <f>SUMIF(PostTB[Account Code (Old)],B70,(PostTB[Debit]))+SUMIF(CkDJ[Account Code],B70,(CkDJ[Debit]))+SUMIF(CsDJ[Account Code],B70,(CsDJ[Debit]))+SUMIF(CRDJ[Account Code],B70,(CRDJ[Debit]))+SUMIF(GJ[Account Code],B70,(GJ[Debit]))</f>
        <v>8398</v>
      </c>
      <c r="F70" s="627">
        <f>SUMIF(PostTB[Account Code (Old)],B70,(PostTB[Credit]))+SUMIF(CkDJ[Account Code],B70,(CkDJ[Credit]))+SUMIF(CsDJ[Account Code],B70,(CsDJ[Credit]))+SUMIF(CRDJ[Account Code],B70,(CRDJ[Credit]))+SUMIF(GJ[Account Code],B70,(GJ[Credit]))</f>
        <v>8398</v>
      </c>
      <c r="G70" s="627">
        <f>IF(INDEX(AccountCodes[Normal Balance], MATCH(C70,AccountCodes[PPSAS CODE]))="Credit",F70-E70,0)</f>
        <v>0</v>
      </c>
      <c r="H70" s="626">
        <f t="shared" si="1"/>
        <v>0</v>
      </c>
    </row>
    <row r="71" spans="1:8" ht="15.75" hidden="1" x14ac:dyDescent="0.25">
      <c r="A71" s="623" t="str">
        <f t="array" ref="A71">INDEX(AccountCodes[ACCOUNT NAME],MATCH(B71,AccountCodes[NGAS CODE],0))</f>
        <v>Semi-Expendable Books</v>
      </c>
      <c r="B71" s="597" t="s">
        <v>1439</v>
      </c>
      <c r="C71" s="625">
        <f t="array" ref="C71">INDEX(AccountCodes[PPSAS CODE],MATCH(B71,AccountCodes[NGAS CODE],0))</f>
        <v>1040602000</v>
      </c>
      <c r="D71" s="626">
        <f>IF(INDEX(AccountCodes[Normal Balance], MATCH(C71,AccountCodes[PPSAS CODE]))="Debit",E71-F71,0)</f>
        <v>0</v>
      </c>
      <c r="E71" s="626">
        <f>SUMIF(PostTB[Account Code (Old)],B71,(PostTB[Debit]))+SUMIF(CkDJ[Account Code],B71,(CkDJ[Debit]))+SUMIF(CsDJ[Account Code],B71,(CsDJ[Debit]))+SUMIF(CRDJ[Account Code],B71,(CRDJ[Debit]))+SUMIF(GJ[Account Code],B71,(GJ[Debit]))</f>
        <v>0</v>
      </c>
      <c r="F71" s="627">
        <f>SUMIF(PostTB[Account Code (Old)],B71,(PostTB[Credit]))+SUMIF(CkDJ[Account Code],B71,(CkDJ[Credit]))+SUMIF(CsDJ[Account Code],B71,(CsDJ[Credit]))+SUMIF(CRDJ[Account Code],B71,(CRDJ[Credit]))+SUMIF(GJ[Account Code],B71,(GJ[Credit]))</f>
        <v>0</v>
      </c>
      <c r="G71" s="627">
        <f>IF(INDEX(AccountCodes[Normal Balance], MATCH(C71,AccountCodes[PPSAS CODE]))="Credit",F71-E71,0)</f>
        <v>0</v>
      </c>
      <c r="H71" s="626">
        <f t="shared" si="1"/>
        <v>0</v>
      </c>
    </row>
    <row r="72" spans="1:8" ht="15.75" hidden="1" x14ac:dyDescent="0.25">
      <c r="A72" s="623" t="str">
        <f t="array" ref="A72">INDEX(AccountCodes[ACCOUNT NAME],MATCH(B72,AccountCodes[NGAS CODE],0))</f>
        <v>Land</v>
      </c>
      <c r="B72" s="597" t="s">
        <v>38</v>
      </c>
      <c r="C72" s="625">
        <f t="array" ref="C72">INDEX(AccountCodes[PPSAS CODE],MATCH(B72,AccountCodes[NGAS CODE],0))</f>
        <v>1060101000</v>
      </c>
      <c r="D72" s="626">
        <f>IF(INDEX(AccountCodes[Normal Balance], MATCH(C72,AccountCodes[PPSAS CODE]))="Debit",E72-F72,0)</f>
        <v>0</v>
      </c>
      <c r="E72" s="626">
        <f>SUMIF(PostTB[Account Code (Old)],B72,(PostTB[Debit]))+SUMIF(CkDJ[Account Code],B72,(CkDJ[Debit]))+SUMIF(CsDJ[Account Code],B72,(CsDJ[Debit]))+SUMIF(CRDJ[Account Code],B72,(CRDJ[Debit]))+SUMIF(GJ[Account Code],B72,(GJ[Debit]))</f>
        <v>0</v>
      </c>
      <c r="F72" s="627">
        <f>SUMIF(PostTB[Account Code (Old)],B72,(PostTB[Credit]))+SUMIF(CkDJ[Account Code],B72,(CkDJ[Credit]))+SUMIF(CsDJ[Account Code],B72,(CsDJ[Credit]))+SUMIF(CRDJ[Account Code],B72,(CRDJ[Credit]))+SUMIF(GJ[Account Code],B72,(GJ[Credit]))</f>
        <v>0</v>
      </c>
      <c r="G72" s="627">
        <f>IF(INDEX(AccountCodes[Normal Balance], MATCH(C72,AccountCodes[PPSAS CODE]))="Credit",F72-E72,0)</f>
        <v>0</v>
      </c>
      <c r="H72" s="626">
        <f t="shared" si="1"/>
        <v>0</v>
      </c>
    </row>
    <row r="73" spans="1:8" ht="15.75" hidden="1" x14ac:dyDescent="0.25">
      <c r="A73" s="623" t="str">
        <f t="array" ref="A73">INDEX(AccountCodes[ACCOUNT NAME],MATCH(B73,AccountCodes[NGAS CODE],0))</f>
        <v>Other Land Improvements</v>
      </c>
      <c r="B73" s="597" t="s">
        <v>39</v>
      </c>
      <c r="C73" s="625">
        <f t="array" ref="C73">INDEX(AccountCodes[PPSAS CODE],MATCH(B73,AccountCodes[NGAS CODE],0))</f>
        <v>1060299000</v>
      </c>
      <c r="D73" s="626">
        <f>IF(INDEX(AccountCodes[Normal Balance], MATCH(C73,AccountCodes[PPSAS CODE]))="Debit",E73-F73,0)</f>
        <v>0</v>
      </c>
      <c r="E73" s="626">
        <f>SUMIF(PostTB[Account Code (Old)],B73,(PostTB[Debit]))+SUMIF(CkDJ[Account Code],B73,(CkDJ[Debit]))+SUMIF(CsDJ[Account Code],B73,(CsDJ[Debit]))+SUMIF(CRDJ[Account Code],B73,(CRDJ[Debit]))+SUMIF(GJ[Account Code],B73,(GJ[Debit]))</f>
        <v>0</v>
      </c>
      <c r="F73" s="627">
        <f>SUMIF(PostTB[Account Code (Old)],B73,(PostTB[Credit]))+SUMIF(CkDJ[Account Code],B73,(CkDJ[Credit]))+SUMIF(CsDJ[Account Code],B73,(CsDJ[Credit]))+SUMIF(CRDJ[Account Code],B73,(CRDJ[Credit]))+SUMIF(GJ[Account Code],B73,(GJ[Credit]))</f>
        <v>0</v>
      </c>
      <c r="G73" s="627">
        <f>IF(INDEX(AccountCodes[Normal Balance], MATCH(C73,AccountCodes[PPSAS CODE]))="Credit",F73-E73,0)</f>
        <v>0</v>
      </c>
      <c r="H73" s="626">
        <f t="shared" si="1"/>
        <v>0</v>
      </c>
    </row>
    <row r="74" spans="1:8" ht="15.75" hidden="1" x14ac:dyDescent="0.25">
      <c r="A74" s="623" t="str">
        <f t="array" ref="A74">INDEX(AccountCodes[ACCOUNT NAME],MATCH(B74,AccountCodes[NGAS CODE],0))</f>
        <v>Accumulated Depreciation-Other Land Improvements</v>
      </c>
      <c r="B74" s="597" t="s">
        <v>85</v>
      </c>
      <c r="C74" s="625">
        <f t="array" ref="C74">INDEX(AccountCodes[PPSAS CODE],MATCH(B74,AccountCodes[NGAS CODE],0))</f>
        <v>1060299100</v>
      </c>
      <c r="D74" s="626">
        <f>IF(INDEX(AccountCodes[Normal Balance], MATCH(C74,AccountCodes[PPSAS CODE]))="Debit",E74-F74,0)</f>
        <v>0</v>
      </c>
      <c r="E74" s="626">
        <f>SUMIF(PostTB[Account Code (Old)],B74,(PostTB[Debit]))+SUMIF(CkDJ[Account Code],B74,(CkDJ[Debit]))+SUMIF(CsDJ[Account Code],B74,(CsDJ[Debit]))+SUMIF(CRDJ[Account Code],B74,(CRDJ[Debit]))+SUMIF(GJ[Account Code],B74,(GJ[Debit]))</f>
        <v>0</v>
      </c>
      <c r="F74" s="627">
        <f>SUMIF(PostTB[Account Code (Old)],B74,(PostTB[Credit]))+SUMIF(CkDJ[Account Code],B74,(CkDJ[Credit]))+SUMIF(CsDJ[Account Code],B74,(CsDJ[Credit]))+SUMIF(CRDJ[Account Code],B74,(CRDJ[Credit]))+SUMIF(GJ[Account Code],B74,(GJ[Credit]))</f>
        <v>0</v>
      </c>
      <c r="G74" s="627">
        <f>IF(INDEX(AccountCodes[Normal Balance], MATCH(C74,AccountCodes[PPSAS CODE]))="Credit",F74-E74,0)</f>
        <v>0</v>
      </c>
      <c r="H74" s="626">
        <f t="shared" si="1"/>
        <v>0</v>
      </c>
    </row>
    <row r="75" spans="1:8" ht="15.75" hidden="1" x14ac:dyDescent="0.25">
      <c r="A75" s="623" t="str">
        <f t="array" ref="A75">INDEX(AccountCodes[ACCOUNT NAME],MATCH(B75,AccountCodes[NGAS CODE],0))</f>
        <v>Road Networks</v>
      </c>
      <c r="B75" s="597" t="s">
        <v>1226</v>
      </c>
      <c r="C75" s="625">
        <f t="array" ref="C75">INDEX(AccountCodes[PPSAS CODE],MATCH(B75,AccountCodes[NGAS CODE],0))</f>
        <v>1060301000</v>
      </c>
      <c r="D75" s="626">
        <f>IF(INDEX(AccountCodes[Normal Balance], MATCH(C75,AccountCodes[PPSAS CODE]))="Debit",E75-F75,0)</f>
        <v>0</v>
      </c>
      <c r="E75" s="626">
        <f>SUMIF(PostTB[Account Code (Old)],B75,(PostTB[Debit]))+SUMIF(CkDJ[Account Code],B75,(CkDJ[Debit]))+SUMIF(CsDJ[Account Code],B75,(CsDJ[Debit]))+SUMIF(CRDJ[Account Code],B75,(CRDJ[Debit]))+SUMIF(GJ[Account Code],B75,(GJ[Debit]))</f>
        <v>0</v>
      </c>
      <c r="F75" s="627">
        <f>SUMIF(PostTB[Account Code (Old)],B75,(PostTB[Credit]))+SUMIF(CkDJ[Account Code],B75,(CkDJ[Credit]))+SUMIF(CsDJ[Account Code],B75,(CsDJ[Credit]))+SUMIF(CRDJ[Account Code],B75,(CRDJ[Credit]))+SUMIF(GJ[Account Code],B75,(GJ[Credit]))</f>
        <v>0</v>
      </c>
      <c r="G75" s="627">
        <f>IF(INDEX(AccountCodes[Normal Balance], MATCH(C75,AccountCodes[PPSAS CODE]))="Credit",F75-E75,0)</f>
        <v>0</v>
      </c>
      <c r="H75" s="626">
        <f t="shared" si="1"/>
        <v>0</v>
      </c>
    </row>
    <row r="76" spans="1:8" ht="15.75" hidden="1" x14ac:dyDescent="0.25">
      <c r="A76" s="623" t="str">
        <f t="array" ref="A76">INDEX(AccountCodes[ACCOUNT NAME],MATCH(B76,AccountCodes[NGAS CODE],0))</f>
        <v>Accumulated Depreciation-Road Networks</v>
      </c>
      <c r="B76" s="597" t="s">
        <v>1260</v>
      </c>
      <c r="C76" s="625">
        <f t="array" ref="C76">INDEX(AccountCodes[PPSAS CODE],MATCH(B76,AccountCodes[NGAS CODE],0))</f>
        <v>1060301100</v>
      </c>
      <c r="D76" s="626">
        <f>IF(INDEX(AccountCodes[Normal Balance], MATCH(C76,AccountCodes[PPSAS CODE]))="Debit",E76-F76,0)</f>
        <v>0</v>
      </c>
      <c r="E76" s="626">
        <f>SUMIF(PostTB[Account Code (Old)],B76,(PostTB[Debit]))+SUMIF(CkDJ[Account Code],B76,(CkDJ[Debit]))+SUMIF(CsDJ[Account Code],B76,(CsDJ[Debit]))+SUMIF(CRDJ[Account Code],B76,(CRDJ[Debit]))+SUMIF(GJ[Account Code],B76,(GJ[Debit]))</f>
        <v>0</v>
      </c>
      <c r="F76" s="627">
        <f>SUMIF(PostTB[Account Code (Old)],B76,(PostTB[Credit]))+SUMIF(CkDJ[Account Code],B76,(CkDJ[Credit]))+SUMIF(CsDJ[Account Code],B76,(CsDJ[Credit]))+SUMIF(CRDJ[Account Code],B76,(CRDJ[Credit]))+SUMIF(GJ[Account Code],B76,(GJ[Credit]))</f>
        <v>0</v>
      </c>
      <c r="G76" s="627">
        <f>IF(INDEX(AccountCodes[Normal Balance], MATCH(C76,AccountCodes[PPSAS CODE]))="Credit",F76-E76,0)</f>
        <v>0</v>
      </c>
      <c r="H76" s="626">
        <f t="shared" si="1"/>
        <v>0</v>
      </c>
    </row>
    <row r="77" spans="1:8" ht="15.75" x14ac:dyDescent="0.25">
      <c r="A77" s="623" t="str">
        <f t="array" ref="A77">INDEX(AccountCodes[ACCOUNT NAME],MATCH(B77,AccountCodes[NGAS CODE],0))</f>
        <v>Water Supply Systems</v>
      </c>
      <c r="B77" s="597" t="s">
        <v>60</v>
      </c>
      <c r="C77" s="625">
        <f t="array" ref="C77">INDEX(AccountCodes[PPSAS CODE],MATCH(B77,AccountCodes[NGAS CODE],0))</f>
        <v>1060304000</v>
      </c>
      <c r="D77" s="626">
        <f>IF(INDEX(AccountCodes[Normal Balance], MATCH(C77,AccountCodes[PPSAS CODE]))="Debit",E77-F77,0)</f>
        <v>111326096.81999999</v>
      </c>
      <c r="E77" s="626">
        <f>SUMIF(PostTB[Account Code (Old)],B77,(PostTB[Debit]))+SUMIF(CkDJ[Account Code],B77,(CkDJ[Debit]))+SUMIF(CsDJ[Account Code],B77,(CsDJ[Debit]))+SUMIF(CRDJ[Account Code],B77,(CRDJ[Debit]))+SUMIF(GJ[Account Code],B77,(GJ[Debit]))</f>
        <v>111326096.81999999</v>
      </c>
      <c r="F77" s="627">
        <f>SUMIF(PostTB[Account Code (Old)],B77,(PostTB[Credit]))+SUMIF(CkDJ[Account Code],B77,(CkDJ[Credit]))+SUMIF(CsDJ[Account Code],B77,(CsDJ[Credit]))+SUMIF(CRDJ[Account Code],B77,(CRDJ[Credit]))+SUMIF(GJ[Account Code],B77,(GJ[Credit]))</f>
        <v>0</v>
      </c>
      <c r="G77" s="627">
        <f>IF(INDEX(AccountCodes[Normal Balance], MATCH(C77,AccountCodes[PPSAS CODE]))="Credit",F77-E77,0)</f>
        <v>0</v>
      </c>
      <c r="H77" s="626">
        <f t="shared" si="1"/>
        <v>111326096.81999999</v>
      </c>
    </row>
    <row r="78" spans="1:8" ht="15.75" x14ac:dyDescent="0.25">
      <c r="A78" s="623" t="str">
        <f t="array" ref="A78">INDEX(AccountCodes[ACCOUNT NAME],MATCH(B78,AccountCodes[NGAS CODE],0))</f>
        <v>Accumulated Depreciation-Water Supply Systems</v>
      </c>
      <c r="B78" s="597" t="s">
        <v>1261</v>
      </c>
      <c r="C78" s="625">
        <f t="array" ref="C78">INDEX(AccountCodes[PPSAS CODE],MATCH(B78,AccountCodes[NGAS CODE],0))</f>
        <v>1060304100</v>
      </c>
      <c r="D78" s="626">
        <f>IF(INDEX(AccountCodes[Normal Balance], MATCH(C78,AccountCodes[PPSAS CODE]))="Debit",E78-F78,0)</f>
        <v>0</v>
      </c>
      <c r="E78" s="626">
        <f>SUMIF(PostTB[Account Code (Old)],B78,(PostTB[Debit]))+SUMIF(CkDJ[Account Code],B78,(CkDJ[Debit]))+SUMIF(CsDJ[Account Code],B78,(CsDJ[Debit]))+SUMIF(CRDJ[Account Code],B78,(CRDJ[Debit]))+SUMIF(GJ[Account Code],B78,(GJ[Debit]))</f>
        <v>0</v>
      </c>
      <c r="F78" s="627">
        <f>SUMIF(PostTB[Account Code (Old)],B78,(PostTB[Credit]))+SUMIF(CkDJ[Account Code],B78,(CkDJ[Credit]))+SUMIF(CsDJ[Account Code],B78,(CsDJ[Credit]))+SUMIF(CRDJ[Account Code],B78,(CRDJ[Credit]))+SUMIF(GJ[Account Code],B78,(GJ[Credit]))</f>
        <v>10004546.470000001</v>
      </c>
      <c r="G78" s="627">
        <f>IF(INDEX(AccountCodes[Normal Balance], MATCH(C78,AccountCodes[PPSAS CODE]))="Credit",F78-E78,0)</f>
        <v>10004546.470000001</v>
      </c>
      <c r="H78" s="626">
        <f t="shared" si="1"/>
        <v>10004546.470000001</v>
      </c>
    </row>
    <row r="79" spans="1:8" ht="15.75" hidden="1" x14ac:dyDescent="0.25">
      <c r="A79" s="623" t="str">
        <f t="array" ref="A79">INDEX(AccountCodes[ACCOUNT NAME],MATCH(B79,AccountCodes[NGAS CODE],0))</f>
        <v>Power Supply Systems</v>
      </c>
      <c r="B79" s="597" t="s">
        <v>1225</v>
      </c>
      <c r="C79" s="625">
        <f t="array" ref="C79">INDEX(AccountCodes[PPSAS CODE],MATCH(B79,AccountCodes[NGAS CODE],0))</f>
        <v>1060305000</v>
      </c>
      <c r="D79" s="626">
        <f>IF(INDEX(AccountCodes[Normal Balance], MATCH(C79,AccountCodes[PPSAS CODE]))="Debit",E79-F79,0)</f>
        <v>0</v>
      </c>
      <c r="E79" s="626">
        <f>SUMIF(PostTB[Account Code (Old)],B79,(PostTB[Debit]))+SUMIF(CkDJ[Account Code],B79,(CkDJ[Debit]))+SUMIF(CsDJ[Account Code],B79,(CsDJ[Debit]))+SUMIF(CRDJ[Account Code],B79,(CRDJ[Debit]))+SUMIF(GJ[Account Code],B79,(GJ[Debit]))</f>
        <v>0</v>
      </c>
      <c r="F79" s="627">
        <f>SUMIF(PostTB[Account Code (Old)],B79,(PostTB[Credit]))+SUMIF(CkDJ[Account Code],B79,(CkDJ[Credit]))+SUMIF(CsDJ[Account Code],B79,(CsDJ[Credit]))+SUMIF(CRDJ[Account Code],B79,(CRDJ[Credit]))+SUMIF(GJ[Account Code],B79,(GJ[Credit]))</f>
        <v>0</v>
      </c>
      <c r="G79" s="627">
        <f>IF(INDEX(AccountCodes[Normal Balance], MATCH(C79,AccountCodes[PPSAS CODE]))="Credit",F79-E79,0)</f>
        <v>0</v>
      </c>
      <c r="H79" s="626">
        <f t="shared" si="1"/>
        <v>0</v>
      </c>
    </row>
    <row r="80" spans="1:8" ht="15.75" hidden="1" x14ac:dyDescent="0.25">
      <c r="A80" s="623" t="str">
        <f t="array" ref="A80">INDEX(AccountCodes[ACCOUNT NAME],MATCH(B80,AccountCodes[NGAS CODE],0))</f>
        <v>Accumulated Depreciation-Power Supply Systems</v>
      </c>
      <c r="B80" s="597" t="s">
        <v>1227</v>
      </c>
      <c r="C80" s="625">
        <f t="array" ref="C80">INDEX(AccountCodes[PPSAS CODE],MATCH(B80,AccountCodes[NGAS CODE],0))</f>
        <v>1060305100</v>
      </c>
      <c r="D80" s="626">
        <f>IF(INDEX(AccountCodes[Normal Balance], MATCH(C80,AccountCodes[PPSAS CODE]))="Debit",E80-F80,0)</f>
        <v>0</v>
      </c>
      <c r="E80" s="626">
        <f>SUMIF(PostTB[Account Code (Old)],B80,(PostTB[Debit]))+SUMIF(CkDJ[Account Code],B80,(CkDJ[Debit]))+SUMIF(CsDJ[Account Code],B80,(CsDJ[Debit]))+SUMIF(CRDJ[Account Code],B80,(CRDJ[Debit]))+SUMIF(GJ[Account Code],B80,(GJ[Debit]))</f>
        <v>0</v>
      </c>
      <c r="F80" s="627">
        <f>SUMIF(PostTB[Account Code (Old)],B80,(PostTB[Credit]))+SUMIF(CkDJ[Account Code],B80,(CkDJ[Credit]))+SUMIF(CsDJ[Account Code],B80,(CsDJ[Credit]))+SUMIF(CRDJ[Account Code],B80,(CRDJ[Credit]))+SUMIF(GJ[Account Code],B80,(GJ[Credit]))</f>
        <v>0</v>
      </c>
      <c r="G80" s="627">
        <f>IF(INDEX(AccountCodes[Normal Balance], MATCH(C80,AccountCodes[PPSAS CODE]))="Credit",F80-E80,0)</f>
        <v>0</v>
      </c>
      <c r="H80" s="626">
        <f t="shared" si="1"/>
        <v>0</v>
      </c>
    </row>
    <row r="81" spans="1:8" ht="15.75" hidden="1" x14ac:dyDescent="0.25">
      <c r="A81" s="623" t="str">
        <f t="array" ref="A81">INDEX(AccountCodes[ACCOUNT NAME],MATCH(B81,AccountCodes[NGAS CODE],0))</f>
        <v>Buildings</v>
      </c>
      <c r="B81" s="597" t="s">
        <v>40</v>
      </c>
      <c r="C81" s="625">
        <f t="array" ref="C81">INDEX(AccountCodes[PPSAS CODE],MATCH(B81,AccountCodes[NGAS CODE],0))</f>
        <v>1060401000</v>
      </c>
      <c r="D81" s="626">
        <f>IF(INDEX(AccountCodes[Normal Balance], MATCH(C81,AccountCodes[PPSAS CODE]))="Debit",E81-F81,0)</f>
        <v>0</v>
      </c>
      <c r="E81" s="626">
        <f>SUMIF(PostTB[Account Code (Old)],B81,(PostTB[Debit]))+SUMIF(CkDJ[Account Code],B81,(CkDJ[Debit]))+SUMIF(CsDJ[Account Code],B81,(CsDJ[Debit]))+SUMIF(CRDJ[Account Code],B81,(CRDJ[Debit]))+SUMIF(GJ[Account Code],B81,(GJ[Debit]))</f>
        <v>0</v>
      </c>
      <c r="F81" s="627">
        <f>SUMIF(PostTB[Account Code (Old)],B81,(PostTB[Credit]))+SUMIF(CkDJ[Account Code],B81,(CkDJ[Credit]))+SUMIF(CsDJ[Account Code],B81,(CsDJ[Credit]))+SUMIF(CRDJ[Account Code],B81,(CRDJ[Credit]))+SUMIF(GJ[Account Code],B81,(GJ[Credit]))</f>
        <v>0</v>
      </c>
      <c r="G81" s="627">
        <f>IF(INDEX(AccountCodes[Normal Balance], MATCH(C81,AccountCodes[PPSAS CODE]))="Credit",F81-E81,0)</f>
        <v>0</v>
      </c>
      <c r="H81" s="626">
        <f t="shared" si="1"/>
        <v>0</v>
      </c>
    </row>
    <row r="82" spans="1:8" ht="15.75" hidden="1" x14ac:dyDescent="0.25">
      <c r="A82" s="623" t="str">
        <f t="array" ref="A82">INDEX(AccountCodes[ACCOUNT NAME],MATCH(B82,AccountCodes[NGAS CODE],0))</f>
        <v>Accumulated Depreciation-Buildings</v>
      </c>
      <c r="B82" s="597" t="s">
        <v>86</v>
      </c>
      <c r="C82" s="625">
        <f t="array" ref="C82">INDEX(AccountCodes[PPSAS CODE],MATCH(B82,AccountCodes[NGAS CODE],0))</f>
        <v>1060401100</v>
      </c>
      <c r="D82" s="626">
        <f>IF(INDEX(AccountCodes[Normal Balance], MATCH(C82,AccountCodes[PPSAS CODE]))="Debit",E82-F82,0)</f>
        <v>0</v>
      </c>
      <c r="E82" s="626">
        <f>SUMIF(PostTB[Account Code (Old)],B82,(PostTB[Debit]))+SUMIF(CkDJ[Account Code],B82,(CkDJ[Debit]))+SUMIF(CsDJ[Account Code],B82,(CsDJ[Debit]))+SUMIF(CRDJ[Account Code],B82,(CRDJ[Debit]))+SUMIF(GJ[Account Code],B82,(GJ[Debit]))</f>
        <v>0</v>
      </c>
      <c r="F82" s="627">
        <f>SUMIF(PostTB[Account Code (Old)],B82,(PostTB[Credit]))+SUMIF(CkDJ[Account Code],B82,(CkDJ[Credit]))+SUMIF(CsDJ[Account Code],B82,(CsDJ[Credit]))+SUMIF(CRDJ[Account Code],B82,(CRDJ[Credit]))+SUMIF(GJ[Account Code],B82,(GJ[Credit]))</f>
        <v>0</v>
      </c>
      <c r="G82" s="627">
        <f>IF(INDEX(AccountCodes[Normal Balance], MATCH(C82,AccountCodes[PPSAS CODE]))="Credit",F82-E82,0)</f>
        <v>0</v>
      </c>
      <c r="H82" s="626">
        <f t="shared" si="1"/>
        <v>0</v>
      </c>
    </row>
    <row r="83" spans="1:8" ht="15.75" hidden="1" x14ac:dyDescent="0.25">
      <c r="A83" s="623" t="str">
        <f t="array" ref="A83">INDEX(AccountCodes[ACCOUNT NAME],MATCH(B83,AccountCodes[NGAS CODE],0))</f>
        <v>Other Structures</v>
      </c>
      <c r="B83" s="597" t="s">
        <v>41</v>
      </c>
      <c r="C83" s="625">
        <f t="array" ref="C83">INDEX(AccountCodes[PPSAS CODE],MATCH(B83,AccountCodes[NGAS CODE],0))</f>
        <v>1060499000</v>
      </c>
      <c r="D83" s="626">
        <f>IF(INDEX(AccountCodes[Normal Balance], MATCH(C83,AccountCodes[PPSAS CODE]))="Debit",E83-F83,0)</f>
        <v>0</v>
      </c>
      <c r="E83" s="626">
        <f>SUMIF(PostTB[Account Code (Old)],B83,(PostTB[Debit]))+SUMIF(CkDJ[Account Code],B83,(CkDJ[Debit]))+SUMIF(CsDJ[Account Code],B83,(CsDJ[Debit]))+SUMIF(CRDJ[Account Code],B83,(CRDJ[Debit]))+SUMIF(GJ[Account Code],B83,(GJ[Debit]))</f>
        <v>0</v>
      </c>
      <c r="F83" s="627">
        <f>SUMIF(PostTB[Account Code (Old)],B83,(PostTB[Credit]))+SUMIF(CkDJ[Account Code],B83,(CkDJ[Credit]))+SUMIF(CsDJ[Account Code],B83,(CsDJ[Credit]))+SUMIF(CRDJ[Account Code],B83,(CRDJ[Credit]))+SUMIF(GJ[Account Code],B83,(GJ[Credit]))</f>
        <v>0</v>
      </c>
      <c r="G83" s="627">
        <f>IF(INDEX(AccountCodes[Normal Balance], MATCH(C83,AccountCodes[PPSAS CODE]))="Credit",F83-E83,0)</f>
        <v>0</v>
      </c>
      <c r="H83" s="626">
        <f t="shared" si="1"/>
        <v>0</v>
      </c>
    </row>
    <row r="84" spans="1:8" ht="15.75" hidden="1" x14ac:dyDescent="0.25">
      <c r="A84" s="623" t="str">
        <f t="array" ref="A84">INDEX(AccountCodes[ACCOUNT NAME],MATCH(B84,AccountCodes[NGAS CODE],0))</f>
        <v>Accumulated Depreciation-Other Structures</v>
      </c>
      <c r="B84" s="597" t="s">
        <v>87</v>
      </c>
      <c r="C84" s="625">
        <f t="array" ref="C84">INDEX(AccountCodes[PPSAS CODE],MATCH(B84,AccountCodes[NGAS CODE],0))</f>
        <v>1060499100</v>
      </c>
      <c r="D84" s="626">
        <f>IF(INDEX(AccountCodes[Normal Balance], MATCH(C84,AccountCodes[PPSAS CODE]))="Debit",E84-F84,0)</f>
        <v>0</v>
      </c>
      <c r="E84" s="626">
        <f>SUMIF(PostTB[Account Code (Old)],B84,(PostTB[Debit]))+SUMIF(CkDJ[Account Code],B84,(CkDJ[Debit]))+SUMIF(CsDJ[Account Code],B84,(CsDJ[Debit]))+SUMIF(CRDJ[Account Code],B84,(CRDJ[Debit]))+SUMIF(GJ[Account Code],B84,(GJ[Debit]))</f>
        <v>0</v>
      </c>
      <c r="F84" s="627">
        <f>SUMIF(PostTB[Account Code (Old)],B84,(PostTB[Credit]))+SUMIF(CkDJ[Account Code],B84,(CkDJ[Credit]))+SUMIF(CsDJ[Account Code],B84,(CsDJ[Credit]))+SUMIF(CRDJ[Account Code],B84,(CRDJ[Credit]))+SUMIF(GJ[Account Code],B84,(GJ[Credit]))</f>
        <v>0</v>
      </c>
      <c r="G84" s="627">
        <f>IF(INDEX(AccountCodes[Normal Balance], MATCH(C84,AccountCodes[PPSAS CODE]))="Credit",F84-E84,0)</f>
        <v>0</v>
      </c>
      <c r="H84" s="626">
        <f t="shared" si="1"/>
        <v>0</v>
      </c>
    </row>
    <row r="85" spans="1:8" ht="15.75" hidden="1" x14ac:dyDescent="0.25">
      <c r="A85" s="623" t="str">
        <f t="array" ref="A85">INDEX(AccountCodes[ACCOUNT NAME],MATCH(B85,AccountCodes[NGAS CODE],0))</f>
        <v>Machinery</v>
      </c>
      <c r="B85" s="597" t="s">
        <v>46</v>
      </c>
      <c r="C85" s="625">
        <f t="array" ref="C85">INDEX(AccountCodes[PPSAS CODE],MATCH(B85,AccountCodes[NGAS CODE],0))</f>
        <v>1060501000</v>
      </c>
      <c r="D85" s="626">
        <f>IF(INDEX(AccountCodes[Normal Balance], MATCH(C85,AccountCodes[PPSAS CODE]))="Debit",E85-F85,0)</f>
        <v>0</v>
      </c>
      <c r="E85" s="626">
        <f>SUMIF(PostTB[Account Code (Old)],B85,(PostTB[Debit]))+SUMIF(CkDJ[Account Code],B85,(CkDJ[Debit]))+SUMIF(CsDJ[Account Code],B85,(CsDJ[Debit]))+SUMIF(CRDJ[Account Code],B85,(CRDJ[Debit]))+SUMIF(GJ[Account Code],B85,(GJ[Debit]))</f>
        <v>0</v>
      </c>
      <c r="F85" s="627">
        <f>SUMIF(PostTB[Account Code (Old)],B85,(PostTB[Credit]))+SUMIF(CkDJ[Account Code],B85,(CkDJ[Credit]))+SUMIF(CsDJ[Account Code],B85,(CsDJ[Credit]))+SUMIF(CRDJ[Account Code],B85,(CRDJ[Credit]))+SUMIF(GJ[Account Code],B85,(GJ[Credit]))</f>
        <v>0</v>
      </c>
      <c r="G85" s="627">
        <f>IF(INDEX(AccountCodes[Normal Balance], MATCH(C85,AccountCodes[PPSAS CODE]))="Credit",F85-E85,0)</f>
        <v>0</v>
      </c>
      <c r="H85" s="626">
        <f t="shared" si="1"/>
        <v>0</v>
      </c>
    </row>
    <row r="86" spans="1:8" ht="15.75" hidden="1" x14ac:dyDescent="0.25">
      <c r="A86" s="623" t="str">
        <f t="array" ref="A86">INDEX(AccountCodes[ACCOUNT NAME],MATCH(B86,AccountCodes[NGAS CODE],0))</f>
        <v>Accumulated Depreciation-Machinery</v>
      </c>
      <c r="B86" s="597" t="s">
        <v>92</v>
      </c>
      <c r="C86" s="625">
        <f t="array" ref="C86">INDEX(AccountCodes[PPSAS CODE],MATCH(B86,AccountCodes[NGAS CODE],0))</f>
        <v>1060501100</v>
      </c>
      <c r="D86" s="626">
        <f>IF(INDEX(AccountCodes[Normal Balance], MATCH(C86,AccountCodes[PPSAS CODE]))="Debit",E86-F86,0)</f>
        <v>0</v>
      </c>
      <c r="E86" s="626">
        <f>SUMIF(PostTB[Account Code (Old)],B86,(PostTB[Debit]))+SUMIF(CkDJ[Account Code],B86,(CkDJ[Debit]))+SUMIF(CsDJ[Account Code],B86,(CsDJ[Debit]))+SUMIF(CRDJ[Account Code],B86,(CRDJ[Debit]))+SUMIF(GJ[Account Code],B86,(GJ[Debit]))</f>
        <v>0</v>
      </c>
      <c r="F86" s="627">
        <f>SUMIF(PostTB[Account Code (Old)],B86,(PostTB[Credit]))+SUMIF(CkDJ[Account Code],B86,(CkDJ[Credit]))+SUMIF(CsDJ[Account Code],B86,(CsDJ[Credit]))+SUMIF(CRDJ[Account Code],B86,(CRDJ[Credit]))+SUMIF(GJ[Account Code],B86,(GJ[Credit]))</f>
        <v>0</v>
      </c>
      <c r="G86" s="627">
        <f>IF(INDEX(AccountCodes[Normal Balance], MATCH(C86,AccountCodes[PPSAS CODE]))="Credit",F86-E86,0)</f>
        <v>0</v>
      </c>
      <c r="H86" s="626">
        <f t="shared" si="1"/>
        <v>0</v>
      </c>
    </row>
    <row r="87" spans="1:8" ht="15.75" x14ac:dyDescent="0.25">
      <c r="A87" s="623" t="str">
        <f t="array" ref="A87">INDEX(AccountCodes[ACCOUNT NAME],MATCH(B87,AccountCodes[NGAS CODE],0))</f>
        <v>Office Equipment</v>
      </c>
      <c r="B87" s="597" t="s">
        <v>42</v>
      </c>
      <c r="C87" s="625">
        <f t="array" ref="C87">INDEX(AccountCodes[PPSAS CODE],MATCH(B87,AccountCodes[NGAS CODE],0))</f>
        <v>1060502000</v>
      </c>
      <c r="D87" s="626">
        <f>IF(INDEX(AccountCodes[Normal Balance], MATCH(C87,AccountCodes[PPSAS CODE]))="Debit",E87-F87,0)</f>
        <v>456823</v>
      </c>
      <c r="E87" s="626">
        <f>SUMIF(PostTB[Account Code (Old)],B87,(PostTB[Debit]))+SUMIF(CkDJ[Account Code],B87,(CkDJ[Debit]))+SUMIF(CsDJ[Account Code],B87,(CsDJ[Debit]))+SUMIF(CRDJ[Account Code],B87,(CRDJ[Debit]))+SUMIF(GJ[Account Code],B87,(GJ[Debit]))</f>
        <v>602722</v>
      </c>
      <c r="F87" s="627">
        <f>SUMIF(PostTB[Account Code (Old)],B87,(PostTB[Credit]))+SUMIF(CkDJ[Account Code],B87,(CkDJ[Credit]))+SUMIF(CsDJ[Account Code],B87,(CsDJ[Credit]))+SUMIF(CRDJ[Account Code],B87,(CRDJ[Credit]))+SUMIF(GJ[Account Code],B87,(GJ[Credit]))</f>
        <v>145899</v>
      </c>
      <c r="G87" s="627">
        <f>IF(INDEX(AccountCodes[Normal Balance], MATCH(C87,AccountCodes[PPSAS CODE]))="Credit",F87-E87,0)</f>
        <v>0</v>
      </c>
      <c r="H87" s="626">
        <f t="shared" si="1"/>
        <v>456823</v>
      </c>
    </row>
    <row r="88" spans="1:8" ht="15.75" x14ac:dyDescent="0.25">
      <c r="A88" s="623" t="str">
        <f t="array" ref="A88">INDEX(AccountCodes[ACCOUNT NAME],MATCH(B88,AccountCodes[NGAS CODE],0))</f>
        <v>Accumulated Depreciation-Office Equipment</v>
      </c>
      <c r="B88" s="597" t="s">
        <v>88</v>
      </c>
      <c r="C88" s="625">
        <f t="array" ref="C88">INDEX(AccountCodes[PPSAS CODE],MATCH(B88,AccountCodes[NGAS CODE],0))</f>
        <v>1060502100</v>
      </c>
      <c r="D88" s="626">
        <f>IF(INDEX(AccountCodes[Normal Balance], MATCH(C88,AccountCodes[PPSAS CODE]))="Debit",E88-F88,0)</f>
        <v>0</v>
      </c>
      <c r="E88" s="626">
        <f>SUMIF(PostTB[Account Code (Old)],B88,(PostTB[Debit]))+SUMIF(CkDJ[Account Code],B88,(CkDJ[Debit]))+SUMIF(CsDJ[Account Code],B88,(CsDJ[Debit]))+SUMIF(CRDJ[Account Code],B88,(CRDJ[Debit]))+SUMIF(GJ[Account Code],B88,(GJ[Debit]))</f>
        <v>65532.01</v>
      </c>
      <c r="F88" s="627">
        <f>SUMIF(PostTB[Account Code (Old)],B88,(PostTB[Credit]))+SUMIF(CkDJ[Account Code],B88,(CkDJ[Credit]))+SUMIF(CsDJ[Account Code],B88,(CsDJ[Credit]))+SUMIF(CRDJ[Account Code],B88,(CRDJ[Credit]))+SUMIF(GJ[Account Code],B88,(GJ[Credit]))</f>
        <v>157916.45000000001</v>
      </c>
      <c r="G88" s="627">
        <f>IF(INDEX(AccountCodes[Normal Balance], MATCH(C88,AccountCodes[PPSAS CODE]))="Credit",F88-E88,0)</f>
        <v>92384.44</v>
      </c>
      <c r="H88" s="626">
        <f t="shared" si="1"/>
        <v>92384.44</v>
      </c>
    </row>
    <row r="89" spans="1:8" ht="15.75" x14ac:dyDescent="0.25">
      <c r="A89" s="623" t="str">
        <f t="array" ref="A89">INDEX(AccountCodes[ACCOUNT NAME],MATCH(B89,AccountCodes[NGAS CODE],0))</f>
        <v>Information and Communications Technology Equipment</v>
      </c>
      <c r="B89" s="597" t="s">
        <v>44</v>
      </c>
      <c r="C89" s="625">
        <f t="array" ref="C89">INDEX(AccountCodes[PPSAS CODE],MATCH(B89,AccountCodes[NGAS CODE],0))</f>
        <v>1060503000</v>
      </c>
      <c r="D89" s="626">
        <f>IF(INDEX(AccountCodes[Normal Balance], MATCH(C89,AccountCodes[PPSAS CODE]))="Debit",E89-F89,0)</f>
        <v>1161126</v>
      </c>
      <c r="E89" s="626">
        <f>SUMIF(PostTB[Account Code (Old)],B89,(PostTB[Debit]))+SUMIF(CkDJ[Account Code],B89,(CkDJ[Debit]))+SUMIF(CsDJ[Account Code],B89,(CsDJ[Debit]))+SUMIF(CRDJ[Account Code],B89,(CRDJ[Debit]))+SUMIF(GJ[Account Code],B89,(GJ[Debit]))</f>
        <v>1285604</v>
      </c>
      <c r="F89" s="627">
        <f>SUMIF(PostTB[Account Code (Old)],B89,(PostTB[Credit]))+SUMIF(CkDJ[Account Code],B89,(CkDJ[Credit]))+SUMIF(CsDJ[Account Code],B89,(CsDJ[Credit]))+SUMIF(CRDJ[Account Code],B89,(CRDJ[Credit]))+SUMIF(GJ[Account Code],B89,(GJ[Credit]))</f>
        <v>124478</v>
      </c>
      <c r="G89" s="627">
        <f>IF(INDEX(AccountCodes[Normal Balance], MATCH(C89,AccountCodes[PPSAS CODE]))="Credit",F89-E89,0)</f>
        <v>0</v>
      </c>
      <c r="H89" s="626">
        <f t="shared" si="1"/>
        <v>1161126</v>
      </c>
    </row>
    <row r="90" spans="1:8" ht="15.75" x14ac:dyDescent="0.25">
      <c r="A90" s="623" t="str">
        <f t="array" ref="A90">INDEX(AccountCodes[ACCOUNT NAME],MATCH(B90,AccountCodes[NGAS CODE],0))</f>
        <v>Accumulated Depreciation-Information and Communications Technology Equipment</v>
      </c>
      <c r="B90" s="597" t="s">
        <v>90</v>
      </c>
      <c r="C90" s="625">
        <f t="array" ref="C90">INDEX(AccountCodes[PPSAS CODE],MATCH(B90,AccountCodes[NGAS CODE],0))</f>
        <v>1060503100</v>
      </c>
      <c r="D90" s="626">
        <f>IF(INDEX(AccountCodes[Normal Balance], MATCH(C90,AccountCodes[PPSAS CODE]))="Debit",E90-F90,0)</f>
        <v>0</v>
      </c>
      <c r="E90" s="626">
        <f>SUMIF(PostTB[Account Code (Old)],B90,(PostTB[Debit]))+SUMIF(CkDJ[Account Code],B90,(CkDJ[Debit]))+SUMIF(CsDJ[Account Code],B90,(CsDJ[Debit]))+SUMIF(CRDJ[Account Code],B90,(CRDJ[Debit]))+SUMIF(GJ[Account Code],B90,(GJ[Debit]))</f>
        <v>36449.18</v>
      </c>
      <c r="F90" s="627">
        <f>SUMIF(PostTB[Account Code (Old)],B90,(PostTB[Credit]))+SUMIF(CkDJ[Account Code],B90,(CkDJ[Credit]))+SUMIF(CsDJ[Account Code],B90,(CsDJ[Credit]))+SUMIF(CRDJ[Account Code],B90,(CRDJ[Credit]))+SUMIF(GJ[Account Code],B90,(GJ[Credit]))</f>
        <v>204574.47</v>
      </c>
      <c r="G90" s="627">
        <f>IF(INDEX(AccountCodes[Normal Balance], MATCH(C90,AccountCodes[PPSAS CODE]))="Credit",F90-E90,0)</f>
        <v>168125.29</v>
      </c>
      <c r="H90" s="626">
        <f t="shared" si="1"/>
        <v>168125.29</v>
      </c>
    </row>
    <row r="91" spans="1:8" ht="15.75" hidden="1" x14ac:dyDescent="0.25">
      <c r="A91" s="623" t="str">
        <f t="array" ref="A91">INDEX(AccountCodes[ACCOUNT NAME],MATCH(B91,AccountCodes[NGAS CODE],0))</f>
        <v>Agricultural and Forestry Equipment</v>
      </c>
      <c r="B91" s="597" t="s">
        <v>47</v>
      </c>
      <c r="C91" s="625">
        <f t="array" ref="C91">INDEX(AccountCodes[PPSAS CODE],MATCH(B91,AccountCodes[NGAS CODE],0))</f>
        <v>1060504000</v>
      </c>
      <c r="D91" s="626">
        <f>IF(INDEX(AccountCodes[Normal Balance], MATCH(C91,AccountCodes[PPSAS CODE]))="Debit",E91-F91,0)</f>
        <v>0</v>
      </c>
      <c r="E91" s="626">
        <f>SUMIF(PostTB[Account Code (Old)],B91,(PostTB[Debit]))+SUMIF(CkDJ[Account Code],B91,(CkDJ[Debit]))+SUMIF(CsDJ[Account Code],B91,(CsDJ[Debit]))+SUMIF(CRDJ[Account Code],B91,(CRDJ[Debit]))+SUMIF(GJ[Account Code],B91,(GJ[Debit]))</f>
        <v>0</v>
      </c>
      <c r="F91" s="627">
        <f>SUMIF(PostTB[Account Code (Old)],B91,(PostTB[Credit]))+SUMIF(CkDJ[Account Code],B91,(CkDJ[Credit]))+SUMIF(CsDJ[Account Code],B91,(CsDJ[Credit]))+SUMIF(CRDJ[Account Code],B91,(CRDJ[Credit]))+SUMIF(GJ[Account Code],B91,(GJ[Credit]))</f>
        <v>0</v>
      </c>
      <c r="G91" s="627">
        <f>IF(INDEX(AccountCodes[Normal Balance], MATCH(C91,AccountCodes[PPSAS CODE]))="Credit",F91-E91,0)</f>
        <v>0</v>
      </c>
      <c r="H91" s="626">
        <f t="shared" si="1"/>
        <v>0</v>
      </c>
    </row>
    <row r="92" spans="1:8" ht="15.75" hidden="1" x14ac:dyDescent="0.25">
      <c r="A92" s="623" t="str">
        <f t="array" ref="A92">INDEX(AccountCodes[ACCOUNT NAME],MATCH(B92,AccountCodes[NGAS CODE],0))</f>
        <v>Accumulated Depreciation-Agricultural and Forestry Equipment</v>
      </c>
      <c r="B92" s="597" t="s">
        <v>93</v>
      </c>
      <c r="C92" s="625">
        <f t="array" ref="C92">INDEX(AccountCodes[PPSAS CODE],MATCH(B92,AccountCodes[NGAS CODE],0))</f>
        <v>1060504100</v>
      </c>
      <c r="D92" s="626">
        <f>IF(INDEX(AccountCodes[Normal Balance], MATCH(C92,AccountCodes[PPSAS CODE]))="Debit",E92-F92,0)</f>
        <v>0</v>
      </c>
      <c r="E92" s="626">
        <f>SUMIF(PostTB[Account Code (Old)],B92,(PostTB[Debit]))+SUMIF(CkDJ[Account Code],B92,(CkDJ[Debit]))+SUMIF(CsDJ[Account Code],B92,(CsDJ[Debit]))+SUMIF(CRDJ[Account Code],B92,(CRDJ[Debit]))+SUMIF(GJ[Account Code],B92,(GJ[Debit]))</f>
        <v>0</v>
      </c>
      <c r="F92" s="627">
        <f>SUMIF(PostTB[Account Code (Old)],B92,(PostTB[Credit]))+SUMIF(CkDJ[Account Code],B92,(CkDJ[Credit]))+SUMIF(CsDJ[Account Code],B92,(CsDJ[Credit]))+SUMIF(CRDJ[Account Code],B92,(CRDJ[Credit]))+SUMIF(GJ[Account Code],B92,(GJ[Credit]))</f>
        <v>0</v>
      </c>
      <c r="G92" s="627">
        <f>IF(INDEX(AccountCodes[Normal Balance], MATCH(C92,AccountCodes[PPSAS CODE]))="Credit",F92-E92,0)</f>
        <v>0</v>
      </c>
      <c r="H92" s="626">
        <f t="shared" si="1"/>
        <v>0</v>
      </c>
    </row>
    <row r="93" spans="1:8" ht="15.75" hidden="1" x14ac:dyDescent="0.25">
      <c r="A93" s="623" t="str">
        <f t="array" ref="A93">INDEX(AccountCodes[ACCOUNT NAME],MATCH(B93,AccountCodes[NGAS CODE],0))</f>
        <v>Marine and Fishery Equipment</v>
      </c>
      <c r="B93" s="597" t="s">
        <v>1258</v>
      </c>
      <c r="C93" s="625">
        <f t="array" ref="C93">INDEX(AccountCodes[PPSAS CODE],MATCH(B93,AccountCodes[NGAS CODE],0))</f>
        <v>1060505000</v>
      </c>
      <c r="D93" s="626">
        <f>IF(INDEX(AccountCodes[Normal Balance], MATCH(C93,AccountCodes[PPSAS CODE]))="Debit",E93-F93,0)</f>
        <v>0</v>
      </c>
      <c r="E93" s="626">
        <f>SUMIF(PostTB[Account Code (Old)],B93,(PostTB[Debit]))+SUMIF(CkDJ[Account Code],B93,(CkDJ[Debit]))+SUMIF(CsDJ[Account Code],B93,(CsDJ[Debit]))+SUMIF(CRDJ[Account Code],B93,(CRDJ[Debit]))+SUMIF(GJ[Account Code],B93,(GJ[Debit]))</f>
        <v>0</v>
      </c>
      <c r="F93" s="627">
        <f>SUMIF(PostTB[Account Code (Old)],B93,(PostTB[Credit]))+SUMIF(CkDJ[Account Code],B93,(CkDJ[Credit]))+SUMIF(CsDJ[Account Code],B93,(CsDJ[Credit]))+SUMIF(CRDJ[Account Code],B93,(CRDJ[Credit]))+SUMIF(GJ[Account Code],B93,(GJ[Credit]))</f>
        <v>0</v>
      </c>
      <c r="G93" s="627">
        <f>IF(INDEX(AccountCodes[Normal Balance], MATCH(C93,AccountCodes[PPSAS CODE]))="Credit",F93-E93,0)</f>
        <v>0</v>
      </c>
      <c r="H93" s="626">
        <f t="shared" si="1"/>
        <v>0</v>
      </c>
    </row>
    <row r="94" spans="1:8" ht="15.75" hidden="1" x14ac:dyDescent="0.25">
      <c r="A94" s="623" t="str">
        <f t="array" ref="A94">INDEX(AccountCodes[ACCOUNT NAME],MATCH(B94,AccountCodes[NGAS CODE],0))</f>
        <v>Accumulated Depreciation-Marine and Fishery Equipment</v>
      </c>
      <c r="B94" s="597" t="s">
        <v>1259</v>
      </c>
      <c r="C94" s="625">
        <f t="array" ref="C94">INDEX(AccountCodes[PPSAS CODE],MATCH(B94,AccountCodes[NGAS CODE],0))</f>
        <v>1060505100</v>
      </c>
      <c r="D94" s="626">
        <f>IF(INDEX(AccountCodes[Normal Balance], MATCH(C94,AccountCodes[PPSAS CODE]))="Debit",E94-F94,0)</f>
        <v>0</v>
      </c>
      <c r="E94" s="626">
        <f>SUMIF(PostTB[Account Code (Old)],B94,(PostTB[Debit]))+SUMIF(CkDJ[Account Code],B94,(CkDJ[Debit]))+SUMIF(CsDJ[Account Code],B94,(CsDJ[Debit]))+SUMIF(CRDJ[Account Code],B94,(CRDJ[Debit]))+SUMIF(GJ[Account Code],B94,(GJ[Debit]))</f>
        <v>0</v>
      </c>
      <c r="F94" s="627">
        <f>SUMIF(PostTB[Account Code (Old)],B94,(PostTB[Credit]))+SUMIF(CkDJ[Account Code],B94,(CkDJ[Credit]))+SUMIF(CsDJ[Account Code],B94,(CsDJ[Credit]))+SUMIF(CRDJ[Account Code],B94,(CRDJ[Credit]))+SUMIF(GJ[Account Code],B94,(GJ[Credit]))</f>
        <v>0</v>
      </c>
      <c r="G94" s="627">
        <f>IF(INDEX(AccountCodes[Normal Balance], MATCH(C94,AccountCodes[PPSAS CODE]))="Credit",F94-E94,0)</f>
        <v>0</v>
      </c>
      <c r="H94" s="626">
        <f t="shared" si="1"/>
        <v>0</v>
      </c>
    </row>
    <row r="95" spans="1:8" ht="15.75" hidden="1" x14ac:dyDescent="0.25">
      <c r="A95" s="623" t="str">
        <f t="array" ref="A95">INDEX(AccountCodes[ACCOUNT NAME],MATCH(B95,AccountCodes[NGAS CODE],0))</f>
        <v>Communication Equipment</v>
      </c>
      <c r="B95" s="597" t="s">
        <v>48</v>
      </c>
      <c r="C95" s="625">
        <f t="array" ref="C95">INDEX(AccountCodes[PPSAS CODE],MATCH(B95,AccountCodes[NGAS CODE],0))</f>
        <v>1060507000</v>
      </c>
      <c r="D95" s="626">
        <f>IF(INDEX(AccountCodes[Normal Balance], MATCH(C95,AccountCodes[PPSAS CODE]))="Debit",E95-F95,0)</f>
        <v>0</v>
      </c>
      <c r="E95" s="626">
        <f>SUMIF(PostTB[Account Code (Old)],B95,(PostTB[Debit]))+SUMIF(CkDJ[Account Code],B95,(CkDJ[Debit]))+SUMIF(CsDJ[Account Code],B95,(CsDJ[Debit]))+SUMIF(CRDJ[Account Code],B95,(CRDJ[Debit]))+SUMIF(GJ[Account Code],B95,(GJ[Debit]))</f>
        <v>0</v>
      </c>
      <c r="F95" s="627">
        <f>SUMIF(PostTB[Account Code (Old)],B95,(PostTB[Credit]))+SUMIF(CkDJ[Account Code],B95,(CkDJ[Credit]))+SUMIF(CsDJ[Account Code],B95,(CsDJ[Credit]))+SUMIF(CRDJ[Account Code],B95,(CRDJ[Credit]))+SUMIF(GJ[Account Code],B95,(GJ[Credit]))</f>
        <v>0</v>
      </c>
      <c r="G95" s="627">
        <f>IF(INDEX(AccountCodes[Normal Balance], MATCH(C95,AccountCodes[PPSAS CODE]))="Credit",F95-E95,0)</f>
        <v>0</v>
      </c>
      <c r="H95" s="626">
        <f t="shared" si="1"/>
        <v>0</v>
      </c>
    </row>
    <row r="96" spans="1:8" ht="15.75" hidden="1" x14ac:dyDescent="0.25">
      <c r="A96" s="623" t="str">
        <f t="array" ref="A96">INDEX(AccountCodes[ACCOUNT NAME],MATCH(B96,AccountCodes[NGAS CODE],0))</f>
        <v>Accumulated Depreciation-Communication Equipment</v>
      </c>
      <c r="B96" s="597" t="s">
        <v>94</v>
      </c>
      <c r="C96" s="625">
        <f t="array" ref="C96">INDEX(AccountCodes[PPSAS CODE],MATCH(B96,AccountCodes[NGAS CODE],0))</f>
        <v>1060507100</v>
      </c>
      <c r="D96" s="626">
        <f>IF(INDEX(AccountCodes[Normal Balance], MATCH(C96,AccountCodes[PPSAS CODE]))="Debit",E96-F96,0)</f>
        <v>0</v>
      </c>
      <c r="E96" s="626">
        <f>SUMIF(PostTB[Account Code (Old)],B96,(PostTB[Debit]))+SUMIF(CkDJ[Account Code],B96,(CkDJ[Debit]))+SUMIF(CsDJ[Account Code],B96,(CsDJ[Debit]))+SUMIF(CRDJ[Account Code],B96,(CRDJ[Debit]))+SUMIF(GJ[Account Code],B96,(GJ[Debit]))</f>
        <v>0</v>
      </c>
      <c r="F96" s="627">
        <f>SUMIF(PostTB[Account Code (Old)],B96,(PostTB[Credit]))+SUMIF(CkDJ[Account Code],B96,(CkDJ[Credit]))+SUMIF(CsDJ[Account Code],B96,(CsDJ[Credit]))+SUMIF(CRDJ[Account Code],B96,(CRDJ[Credit]))+SUMIF(GJ[Account Code],B96,(GJ[Credit]))</f>
        <v>0</v>
      </c>
      <c r="G96" s="627">
        <f>IF(INDEX(AccountCodes[Normal Balance], MATCH(C96,AccountCodes[PPSAS CODE]))="Credit",F96-E96,0)</f>
        <v>0</v>
      </c>
      <c r="H96" s="626">
        <f t="shared" si="1"/>
        <v>0</v>
      </c>
    </row>
    <row r="97" spans="1:8" ht="15.75" hidden="1" x14ac:dyDescent="0.25">
      <c r="A97" s="623" t="str">
        <f t="array" ref="A97">INDEX(AccountCodes[ACCOUNT NAME],MATCH(B97,AccountCodes[NGAS CODE],0))</f>
        <v>Construction and Heavy Equipment</v>
      </c>
      <c r="B97" s="597" t="s">
        <v>49</v>
      </c>
      <c r="C97" s="625">
        <f t="array" ref="C97">INDEX(AccountCodes[PPSAS CODE],MATCH(B97,AccountCodes[NGAS CODE],0))</f>
        <v>1060508000</v>
      </c>
      <c r="D97" s="626">
        <f>IF(INDEX(AccountCodes[Normal Balance], MATCH(C97,AccountCodes[PPSAS CODE]))="Debit",E97-F97,0)</f>
        <v>0</v>
      </c>
      <c r="E97" s="626">
        <f>SUMIF(PostTB[Account Code (Old)],B97,(PostTB[Debit]))+SUMIF(CkDJ[Account Code],B97,(CkDJ[Debit]))+SUMIF(CsDJ[Account Code],B97,(CsDJ[Debit]))+SUMIF(CRDJ[Account Code],B97,(CRDJ[Debit]))+SUMIF(GJ[Account Code],B97,(GJ[Debit]))</f>
        <v>0</v>
      </c>
      <c r="F97" s="627">
        <f>SUMIF(PostTB[Account Code (Old)],B97,(PostTB[Credit]))+SUMIF(CkDJ[Account Code],B97,(CkDJ[Credit]))+SUMIF(CsDJ[Account Code],B97,(CsDJ[Credit]))+SUMIF(CRDJ[Account Code],B97,(CRDJ[Credit]))+SUMIF(GJ[Account Code],B97,(GJ[Credit]))</f>
        <v>0</v>
      </c>
      <c r="G97" s="627">
        <f>IF(INDEX(AccountCodes[Normal Balance], MATCH(C97,AccountCodes[PPSAS CODE]))="Credit",F97-E97,0)</f>
        <v>0</v>
      </c>
      <c r="H97" s="626">
        <f t="shared" si="1"/>
        <v>0</v>
      </c>
    </row>
    <row r="98" spans="1:8" ht="15.75" hidden="1" x14ac:dyDescent="0.25">
      <c r="A98" s="623" t="str">
        <f t="array" ref="A98">INDEX(AccountCodes[ACCOUNT NAME],MATCH(B98,AccountCodes[NGAS CODE],0))</f>
        <v>Accumulated Depreciation-Construction and Heavy Equipment</v>
      </c>
      <c r="B98" s="597" t="s">
        <v>95</v>
      </c>
      <c r="C98" s="625">
        <f t="array" ref="C98">INDEX(AccountCodes[PPSAS CODE],MATCH(B98,AccountCodes[NGAS CODE],0))</f>
        <v>1060508100</v>
      </c>
      <c r="D98" s="626">
        <f>IF(INDEX(AccountCodes[Normal Balance], MATCH(C98,AccountCodes[PPSAS CODE]))="Debit",E98-F98,0)</f>
        <v>0</v>
      </c>
      <c r="E98" s="626">
        <f>SUMIF(PostTB[Account Code (Old)],B98,(PostTB[Debit]))+SUMIF(CkDJ[Account Code],B98,(CkDJ[Debit]))+SUMIF(CsDJ[Account Code],B98,(CsDJ[Debit]))+SUMIF(CRDJ[Account Code],B98,(CRDJ[Debit]))+SUMIF(GJ[Account Code],B98,(GJ[Debit]))</f>
        <v>0</v>
      </c>
      <c r="F98" s="627">
        <f>SUMIF(PostTB[Account Code (Old)],B98,(PostTB[Credit]))+SUMIF(CkDJ[Account Code],B98,(CkDJ[Credit]))+SUMIF(CsDJ[Account Code],B98,(CsDJ[Credit]))+SUMIF(CRDJ[Account Code],B98,(CRDJ[Credit]))+SUMIF(GJ[Account Code],B98,(GJ[Credit]))</f>
        <v>0</v>
      </c>
      <c r="G98" s="627">
        <f>IF(INDEX(AccountCodes[Normal Balance], MATCH(C98,AccountCodes[PPSAS CODE]))="Credit",F98-E98,0)</f>
        <v>0</v>
      </c>
      <c r="H98" s="626">
        <f t="shared" si="1"/>
        <v>0</v>
      </c>
    </row>
    <row r="99" spans="1:8" ht="15.75" hidden="1" x14ac:dyDescent="0.25">
      <c r="A99" s="623" t="str">
        <f t="array" ref="A99">INDEX(AccountCodes[ACCOUNT NAME],MATCH(B99,AccountCodes[NGAS CODE],0))</f>
        <v>Disaster Response and Rescue Equipment</v>
      </c>
      <c r="B99" s="597" t="s">
        <v>50</v>
      </c>
      <c r="C99" s="625">
        <f t="array" ref="C99">INDEX(AccountCodes[PPSAS CODE],MATCH(B99,AccountCodes[NGAS CODE],0))</f>
        <v>1060509000</v>
      </c>
      <c r="D99" s="626">
        <f>IF(INDEX(AccountCodes[Normal Balance], MATCH(C99,AccountCodes[PPSAS CODE]))="Debit",E99-F99,0)</f>
        <v>0</v>
      </c>
      <c r="E99" s="626">
        <f>SUMIF(PostTB[Account Code (Old)],B99,(PostTB[Debit]))+SUMIF(CkDJ[Account Code],B99,(CkDJ[Debit]))+SUMIF(CsDJ[Account Code],B99,(CsDJ[Debit]))+SUMIF(CRDJ[Account Code],B99,(CRDJ[Debit]))+SUMIF(GJ[Account Code],B99,(GJ[Debit]))</f>
        <v>0</v>
      </c>
      <c r="F99" s="627">
        <f>SUMIF(PostTB[Account Code (Old)],B99,(PostTB[Credit]))+SUMIF(CkDJ[Account Code],B99,(CkDJ[Credit]))+SUMIF(CsDJ[Account Code],B99,(CsDJ[Credit]))+SUMIF(CRDJ[Account Code],B99,(CRDJ[Credit]))+SUMIF(GJ[Account Code],B99,(GJ[Credit]))</f>
        <v>0</v>
      </c>
      <c r="G99" s="627">
        <f>IF(INDEX(AccountCodes[Normal Balance], MATCH(C99,AccountCodes[PPSAS CODE]))="Credit",F99-E99,0)</f>
        <v>0</v>
      </c>
      <c r="H99" s="626">
        <f t="shared" si="1"/>
        <v>0</v>
      </c>
    </row>
    <row r="100" spans="1:8" ht="15.75" hidden="1" x14ac:dyDescent="0.25">
      <c r="A100" s="623" t="str">
        <f t="array" ref="A100">INDEX(AccountCodes[ACCOUNT NAME],MATCH(B100,AccountCodes[NGAS CODE],0))</f>
        <v>Accumulated Depreciation-Disaster Response and Rescue Equipment</v>
      </c>
      <c r="B100" s="597" t="s">
        <v>96</v>
      </c>
      <c r="C100" s="625">
        <f t="array" ref="C100">INDEX(AccountCodes[PPSAS CODE],MATCH(B100,AccountCodes[NGAS CODE],0))</f>
        <v>1060509100</v>
      </c>
      <c r="D100" s="626">
        <f>IF(INDEX(AccountCodes[Normal Balance], MATCH(C100,AccountCodes[PPSAS CODE]))="Debit",E100-F100,0)</f>
        <v>0</v>
      </c>
      <c r="E100" s="626">
        <f>SUMIF(PostTB[Account Code (Old)],B100,(PostTB[Debit]))+SUMIF(CkDJ[Account Code],B100,(CkDJ[Debit]))+SUMIF(CsDJ[Account Code],B100,(CsDJ[Debit]))+SUMIF(CRDJ[Account Code],B100,(CRDJ[Debit]))+SUMIF(GJ[Account Code],B100,(GJ[Debit]))</f>
        <v>0</v>
      </c>
      <c r="F100" s="627">
        <f>SUMIF(PostTB[Account Code (Old)],B100,(PostTB[Credit]))+SUMIF(CkDJ[Account Code],B100,(CkDJ[Credit]))+SUMIF(CsDJ[Account Code],B100,(CsDJ[Credit]))+SUMIF(CRDJ[Account Code],B100,(CRDJ[Credit]))+SUMIF(GJ[Account Code],B100,(GJ[Credit]))</f>
        <v>0</v>
      </c>
      <c r="G100" s="627">
        <f>IF(INDEX(AccountCodes[Normal Balance], MATCH(C100,AccountCodes[PPSAS CODE]))="Credit",F100-E100,0)</f>
        <v>0</v>
      </c>
      <c r="H100" s="626">
        <f t="shared" si="1"/>
        <v>0</v>
      </c>
    </row>
    <row r="101" spans="1:8" ht="15.75" hidden="1" x14ac:dyDescent="0.25">
      <c r="A101" s="623" t="str">
        <f t="array" ref="A101">INDEX(AccountCodes[ACCOUNT NAME],MATCH(B101,AccountCodes[NGAS CODE],0))</f>
        <v>Military, Police and Security Equipment</v>
      </c>
      <c r="B101" s="597" t="s">
        <v>51</v>
      </c>
      <c r="C101" s="625">
        <f t="array" ref="C101">INDEX(AccountCodes[PPSAS CODE],MATCH(B101,AccountCodes[NGAS CODE],0))</f>
        <v>1060510000</v>
      </c>
      <c r="D101" s="626">
        <f>IF(INDEX(AccountCodes[Normal Balance], MATCH(C101,AccountCodes[PPSAS CODE]))="Debit",E101-F101,0)</f>
        <v>0</v>
      </c>
      <c r="E101" s="626">
        <f>SUMIF(PostTB[Account Code (Old)],B101,(PostTB[Debit]))+SUMIF(CkDJ[Account Code],B101,(CkDJ[Debit]))+SUMIF(CsDJ[Account Code],B101,(CsDJ[Debit]))+SUMIF(CRDJ[Account Code],B101,(CRDJ[Debit]))+SUMIF(GJ[Account Code],B101,(GJ[Debit]))</f>
        <v>0</v>
      </c>
      <c r="F101" s="627">
        <f>SUMIF(PostTB[Account Code (Old)],B101,(PostTB[Credit]))+SUMIF(CkDJ[Account Code],B101,(CkDJ[Credit]))+SUMIF(CsDJ[Account Code],B101,(CsDJ[Credit]))+SUMIF(CRDJ[Account Code],B101,(CRDJ[Credit]))+SUMIF(GJ[Account Code],B101,(GJ[Credit]))</f>
        <v>0</v>
      </c>
      <c r="G101" s="627">
        <f>IF(INDEX(AccountCodes[Normal Balance], MATCH(C101,AccountCodes[PPSAS CODE]))="Credit",F101-E101,0)</f>
        <v>0</v>
      </c>
      <c r="H101" s="626">
        <f t="shared" si="1"/>
        <v>0</v>
      </c>
    </row>
    <row r="102" spans="1:8" ht="15.75" hidden="1" x14ac:dyDescent="0.25">
      <c r="A102" s="623" t="str">
        <f t="array" ref="A102">INDEX(AccountCodes[ACCOUNT NAME],MATCH(B102,AccountCodes[NGAS CODE],0))</f>
        <v>Accumulated Depreciation-Military, Police and Security Equipment</v>
      </c>
      <c r="B102" s="597" t="s">
        <v>97</v>
      </c>
      <c r="C102" s="625">
        <f t="array" ref="C102">INDEX(AccountCodes[PPSAS CODE],MATCH(B102,AccountCodes[NGAS CODE],0))</f>
        <v>1060510100</v>
      </c>
      <c r="D102" s="626">
        <f>IF(INDEX(AccountCodes[Normal Balance], MATCH(C102,AccountCodes[PPSAS CODE]))="Debit",E102-F102,0)</f>
        <v>0</v>
      </c>
      <c r="E102" s="626">
        <f>SUMIF(PostTB[Account Code (Old)],B102,(PostTB[Debit]))+SUMIF(CkDJ[Account Code],B102,(CkDJ[Debit]))+SUMIF(CsDJ[Account Code],B102,(CsDJ[Debit]))+SUMIF(CRDJ[Account Code],B102,(CRDJ[Debit]))+SUMIF(GJ[Account Code],B102,(GJ[Debit]))</f>
        <v>0</v>
      </c>
      <c r="F102" s="627">
        <f>SUMIF(PostTB[Account Code (Old)],B102,(PostTB[Credit]))+SUMIF(CkDJ[Account Code],B102,(CkDJ[Credit]))+SUMIF(CsDJ[Account Code],B102,(CsDJ[Credit]))+SUMIF(CRDJ[Account Code],B102,(CRDJ[Credit]))+SUMIF(GJ[Account Code],B102,(GJ[Credit]))</f>
        <v>0</v>
      </c>
      <c r="G102" s="627">
        <f>IF(INDEX(AccountCodes[Normal Balance], MATCH(C102,AccountCodes[PPSAS CODE]))="Credit",F102-E102,0)</f>
        <v>0</v>
      </c>
      <c r="H102" s="626">
        <f t="shared" si="1"/>
        <v>0</v>
      </c>
    </row>
    <row r="103" spans="1:8" ht="15.75" hidden="1" x14ac:dyDescent="0.25">
      <c r="A103" s="623" t="str">
        <f t="array" ref="A103">INDEX(AccountCodes[ACCOUNT NAME],MATCH(B103,AccountCodes[NGAS CODE],0))</f>
        <v>Medical Equipment</v>
      </c>
      <c r="B103" s="597" t="s">
        <v>406</v>
      </c>
      <c r="C103" s="625">
        <f t="array" ref="C103">INDEX(AccountCodes[PPSAS CODE],MATCH(B103,AccountCodes[NGAS CODE],0))</f>
        <v>1060511000</v>
      </c>
      <c r="D103" s="626">
        <f>IF(INDEX(AccountCodes[Normal Balance], MATCH(C103,AccountCodes[PPSAS CODE]))="Debit",E103-F103,0)</f>
        <v>0</v>
      </c>
      <c r="E103" s="626">
        <f>SUMIF(PostTB[Account Code (Old)],B103,(PostTB[Debit]))+SUMIF(CkDJ[Account Code],B103,(CkDJ[Debit]))+SUMIF(CsDJ[Account Code],B103,(CsDJ[Debit]))+SUMIF(CRDJ[Account Code],B103,(CRDJ[Debit]))+SUMIF(GJ[Account Code],B103,(GJ[Debit]))</f>
        <v>0</v>
      </c>
      <c r="F103" s="627">
        <f>SUMIF(PostTB[Account Code (Old)],B103,(PostTB[Credit]))+SUMIF(CkDJ[Account Code],B103,(CkDJ[Credit]))+SUMIF(CsDJ[Account Code],B103,(CsDJ[Credit]))+SUMIF(CRDJ[Account Code],B103,(CRDJ[Credit]))+SUMIF(GJ[Account Code],B103,(GJ[Credit]))</f>
        <v>0</v>
      </c>
      <c r="G103" s="627">
        <f>IF(INDEX(AccountCodes[Normal Balance], MATCH(C103,AccountCodes[PPSAS CODE]))="Credit",F103-E103,0)</f>
        <v>0</v>
      </c>
      <c r="H103" s="626">
        <f t="shared" si="1"/>
        <v>0</v>
      </c>
    </row>
    <row r="104" spans="1:8" ht="15.75" hidden="1" x14ac:dyDescent="0.25">
      <c r="A104" s="623" t="str">
        <f t="array" ref="A104">INDEX(AccountCodes[ACCOUNT NAME],MATCH(B104,AccountCodes[NGAS CODE],0))</f>
        <v>Accumulated Depreciation-Medical Equipment</v>
      </c>
      <c r="B104" s="597" t="s">
        <v>1228</v>
      </c>
      <c r="C104" s="625">
        <f t="array" ref="C104">INDEX(AccountCodes[PPSAS CODE],MATCH(B104,AccountCodes[NGAS CODE],0))</f>
        <v>1060511100</v>
      </c>
      <c r="D104" s="626">
        <f>IF(INDEX(AccountCodes[Normal Balance], MATCH(C104,AccountCodes[PPSAS CODE]))="Debit",E104-F104,0)</f>
        <v>0</v>
      </c>
      <c r="E104" s="626">
        <f>SUMIF(PostTB[Account Code (Old)],B104,(PostTB[Debit]))+SUMIF(CkDJ[Account Code],B104,(CkDJ[Debit]))+SUMIF(CsDJ[Account Code],B104,(CsDJ[Debit]))+SUMIF(CRDJ[Account Code],B104,(CRDJ[Debit]))+SUMIF(GJ[Account Code],B104,(GJ[Debit]))</f>
        <v>0</v>
      </c>
      <c r="F104" s="627">
        <f>SUMIF(PostTB[Account Code (Old)],B104,(PostTB[Credit]))+SUMIF(CkDJ[Account Code],B104,(CkDJ[Credit]))+SUMIF(CsDJ[Account Code],B104,(CsDJ[Credit]))+SUMIF(CRDJ[Account Code],B104,(CRDJ[Credit]))+SUMIF(GJ[Account Code],B104,(GJ[Credit]))</f>
        <v>0</v>
      </c>
      <c r="G104" s="627">
        <f>IF(INDEX(AccountCodes[Normal Balance], MATCH(C104,AccountCodes[PPSAS CODE]))="Credit",F104-E104,0)</f>
        <v>0</v>
      </c>
      <c r="H104" s="626">
        <f t="shared" si="1"/>
        <v>0</v>
      </c>
    </row>
    <row r="105" spans="1:8" ht="15.75" hidden="1" x14ac:dyDescent="0.25">
      <c r="A105" s="623" t="str">
        <f t="array" ref="A105">INDEX(AccountCodes[ACCOUNT NAME],MATCH(B105,AccountCodes[NGAS CODE],0))</f>
        <v>Sports Equipment</v>
      </c>
      <c r="B105" s="597" t="s">
        <v>52</v>
      </c>
      <c r="C105" s="625">
        <f t="array" ref="C105">INDEX(AccountCodes[PPSAS CODE],MATCH(B105,AccountCodes[NGAS CODE],0))</f>
        <v>1060513000</v>
      </c>
      <c r="D105" s="626">
        <f>IF(INDEX(AccountCodes[Normal Balance], MATCH(C105,AccountCodes[PPSAS CODE]))="Debit",E105-F105,0)</f>
        <v>0</v>
      </c>
      <c r="E105" s="626">
        <f>SUMIF(PostTB[Account Code (Old)],B105,(PostTB[Debit]))+SUMIF(CkDJ[Account Code],B105,(CkDJ[Debit]))+SUMIF(CsDJ[Account Code],B105,(CsDJ[Debit]))+SUMIF(CRDJ[Account Code],B105,(CRDJ[Debit]))+SUMIF(GJ[Account Code],B105,(GJ[Debit]))</f>
        <v>0</v>
      </c>
      <c r="F105" s="627">
        <f>SUMIF(PostTB[Account Code (Old)],B105,(PostTB[Credit]))+SUMIF(CkDJ[Account Code],B105,(CkDJ[Credit]))+SUMIF(CsDJ[Account Code],B105,(CsDJ[Credit]))+SUMIF(CRDJ[Account Code],B105,(CRDJ[Credit]))+SUMIF(GJ[Account Code],B105,(GJ[Credit]))</f>
        <v>0</v>
      </c>
      <c r="G105" s="627">
        <f>IF(INDEX(AccountCodes[Normal Balance], MATCH(C105,AccountCodes[PPSAS CODE]))="Credit",F105-E105,0)</f>
        <v>0</v>
      </c>
      <c r="H105" s="626">
        <f t="shared" si="1"/>
        <v>0</v>
      </c>
    </row>
    <row r="106" spans="1:8" ht="15.75" hidden="1" x14ac:dyDescent="0.25">
      <c r="A106" s="623" t="str">
        <f t="array" ref="A106">INDEX(AccountCodes[ACCOUNT NAME],MATCH(B106,AccountCodes[NGAS CODE],0))</f>
        <v>Accumulated Depreciation-Sports Equipment</v>
      </c>
      <c r="B106" s="597" t="s">
        <v>98</v>
      </c>
      <c r="C106" s="625">
        <f t="array" ref="C106">INDEX(AccountCodes[PPSAS CODE],MATCH(B106,AccountCodes[NGAS CODE],0))</f>
        <v>1060513100</v>
      </c>
      <c r="D106" s="626">
        <f>IF(INDEX(AccountCodes[Normal Balance], MATCH(C106,AccountCodes[PPSAS CODE]))="Debit",E106-F106,0)</f>
        <v>0</v>
      </c>
      <c r="E106" s="626">
        <f>SUMIF(PostTB[Account Code (Old)],B106,(PostTB[Debit]))+SUMIF(CkDJ[Account Code],B106,(CkDJ[Debit]))+SUMIF(CsDJ[Account Code],B106,(CsDJ[Debit]))+SUMIF(CRDJ[Account Code],B106,(CRDJ[Debit]))+SUMIF(GJ[Account Code],B106,(GJ[Debit]))</f>
        <v>0</v>
      </c>
      <c r="F106" s="627">
        <f>SUMIF(PostTB[Account Code (Old)],B106,(PostTB[Credit]))+SUMIF(CkDJ[Account Code],B106,(CkDJ[Credit]))+SUMIF(CsDJ[Account Code],B106,(CsDJ[Credit]))+SUMIF(CRDJ[Account Code],B106,(CRDJ[Credit]))+SUMIF(GJ[Account Code],B106,(GJ[Credit]))</f>
        <v>0</v>
      </c>
      <c r="G106" s="627">
        <f>IF(INDEX(AccountCodes[Normal Balance], MATCH(C106,AccountCodes[PPSAS CODE]))="Credit",F106-E106,0)</f>
        <v>0</v>
      </c>
      <c r="H106" s="626">
        <f t="shared" si="1"/>
        <v>0</v>
      </c>
    </row>
    <row r="107" spans="1:8" ht="15.75" hidden="1" x14ac:dyDescent="0.25">
      <c r="A107" s="623" t="str">
        <f t="array" ref="A107">INDEX(AccountCodes[ACCOUNT NAME],MATCH(B107,AccountCodes[NGAS CODE],0))</f>
        <v>Technical and Scientific Equipment</v>
      </c>
      <c r="B107" s="597" t="s">
        <v>53</v>
      </c>
      <c r="C107" s="625">
        <f t="array" ref="C107">INDEX(AccountCodes[PPSAS CODE],MATCH(B107,AccountCodes[NGAS CODE],0))</f>
        <v>1060514000</v>
      </c>
      <c r="D107" s="626">
        <f>IF(INDEX(AccountCodes[Normal Balance], MATCH(C107,AccountCodes[PPSAS CODE]))="Debit",E107-F107,0)</f>
        <v>0</v>
      </c>
      <c r="E107" s="626">
        <f>SUMIF(PostTB[Account Code (Old)],B107,(PostTB[Debit]))+SUMIF(CkDJ[Account Code],B107,(CkDJ[Debit]))+SUMIF(CsDJ[Account Code],B107,(CsDJ[Debit]))+SUMIF(CRDJ[Account Code],B107,(CRDJ[Debit]))+SUMIF(GJ[Account Code],B107,(GJ[Debit]))</f>
        <v>0</v>
      </c>
      <c r="F107" s="627">
        <f>SUMIF(PostTB[Account Code (Old)],B107,(PostTB[Credit]))+SUMIF(CkDJ[Account Code],B107,(CkDJ[Credit]))+SUMIF(CsDJ[Account Code],B107,(CsDJ[Credit]))+SUMIF(CRDJ[Account Code],B107,(CRDJ[Credit]))+SUMIF(GJ[Account Code],B107,(GJ[Credit]))</f>
        <v>0</v>
      </c>
      <c r="G107" s="627">
        <f>IF(INDEX(AccountCodes[Normal Balance], MATCH(C107,AccountCodes[PPSAS CODE]))="Credit",F107-E107,0)</f>
        <v>0</v>
      </c>
      <c r="H107" s="626">
        <f t="shared" si="1"/>
        <v>0</v>
      </c>
    </row>
    <row r="108" spans="1:8" ht="15.75" hidden="1" x14ac:dyDescent="0.25">
      <c r="A108" s="623" t="str">
        <f t="array" ref="A108">INDEX(AccountCodes[ACCOUNT NAME],MATCH(B108,AccountCodes[NGAS CODE],0))</f>
        <v>Accumulated Depreciation-Technical and Scientific Equipment</v>
      </c>
      <c r="B108" s="597" t="s">
        <v>99</v>
      </c>
      <c r="C108" s="625">
        <f t="array" ref="C108">INDEX(AccountCodes[PPSAS CODE],MATCH(B108,AccountCodes[NGAS CODE],0))</f>
        <v>1060514100</v>
      </c>
      <c r="D108" s="626">
        <f>IF(INDEX(AccountCodes[Normal Balance], MATCH(C108,AccountCodes[PPSAS CODE]))="Debit",E108-F108,0)</f>
        <v>0</v>
      </c>
      <c r="E108" s="626">
        <f>SUMIF(PostTB[Account Code (Old)],B108,(PostTB[Debit]))+SUMIF(CkDJ[Account Code],B108,(CkDJ[Debit]))+SUMIF(CsDJ[Account Code],B108,(CsDJ[Debit]))+SUMIF(CRDJ[Account Code],B108,(CRDJ[Debit]))+SUMIF(GJ[Account Code],B108,(GJ[Debit]))</f>
        <v>0</v>
      </c>
      <c r="F108" s="627">
        <f>SUMIF(PostTB[Account Code (Old)],B108,(PostTB[Credit]))+SUMIF(CkDJ[Account Code],B108,(CkDJ[Credit]))+SUMIF(CsDJ[Account Code],B108,(CsDJ[Credit]))+SUMIF(CRDJ[Account Code],B108,(CRDJ[Credit]))+SUMIF(GJ[Account Code],B108,(GJ[Credit]))</f>
        <v>0</v>
      </c>
      <c r="G108" s="627">
        <f>IF(INDEX(AccountCodes[Normal Balance], MATCH(C108,AccountCodes[PPSAS CODE]))="Credit",F108-E108,0)</f>
        <v>0</v>
      </c>
      <c r="H108" s="626">
        <f t="shared" si="1"/>
        <v>0</v>
      </c>
    </row>
    <row r="109" spans="1:8" ht="15.75" hidden="1" x14ac:dyDescent="0.25">
      <c r="A109" s="623" t="str">
        <f t="array" ref="A109">INDEX(AccountCodes[ACCOUNT NAME],MATCH(B109,AccountCodes[NGAS CODE],0))</f>
        <v>Other Machinery and Equipment</v>
      </c>
      <c r="B109" s="597" t="s">
        <v>54</v>
      </c>
      <c r="C109" s="625">
        <f t="array" ref="C109">INDEX(AccountCodes[PPSAS CODE],MATCH(B109,AccountCodes[NGAS CODE],0))</f>
        <v>1060599000</v>
      </c>
      <c r="D109" s="626">
        <f>IF(INDEX(AccountCodes[Normal Balance], MATCH(C109,AccountCodes[PPSAS CODE]))="Debit",E109-F109,0)</f>
        <v>0</v>
      </c>
      <c r="E109" s="626">
        <f>SUMIF(PostTB[Account Code (Old)],B109,(PostTB[Debit]))+SUMIF(CkDJ[Account Code],B109,(CkDJ[Debit]))+SUMIF(CsDJ[Account Code],B109,(CsDJ[Debit]))+SUMIF(CRDJ[Account Code],B109,(CRDJ[Debit]))+SUMIF(GJ[Account Code],B109,(GJ[Debit]))</f>
        <v>0</v>
      </c>
      <c r="F109" s="627">
        <f>SUMIF(PostTB[Account Code (Old)],B109,(PostTB[Credit]))+SUMIF(CkDJ[Account Code],B109,(CkDJ[Credit]))+SUMIF(CsDJ[Account Code],B109,(CsDJ[Credit]))+SUMIF(CRDJ[Account Code],B109,(CRDJ[Credit]))+SUMIF(GJ[Account Code],B109,(GJ[Credit]))</f>
        <v>0</v>
      </c>
      <c r="G109" s="627">
        <f>IF(INDEX(AccountCodes[Normal Balance], MATCH(C109,AccountCodes[PPSAS CODE]))="Credit",F109-E109,0)</f>
        <v>0</v>
      </c>
      <c r="H109" s="626">
        <f t="shared" si="1"/>
        <v>0</v>
      </c>
    </row>
    <row r="110" spans="1:8" ht="15.75" hidden="1" x14ac:dyDescent="0.25">
      <c r="A110" s="623" t="str">
        <f t="array" ref="A110">INDEX(AccountCodes[ACCOUNT NAME],MATCH(B110,AccountCodes[NGAS CODE],0))</f>
        <v>Accumulated Depreciation-Other Machinery and Equipment</v>
      </c>
      <c r="B110" s="597" t="s">
        <v>100</v>
      </c>
      <c r="C110" s="625">
        <f t="array" ref="C110">INDEX(AccountCodes[PPSAS CODE],MATCH(B110,AccountCodes[NGAS CODE],0))</f>
        <v>1060599100</v>
      </c>
      <c r="D110" s="626">
        <f>IF(INDEX(AccountCodes[Normal Balance], MATCH(C110,AccountCodes[PPSAS CODE]))="Debit",E110-F110,0)</f>
        <v>0</v>
      </c>
      <c r="E110" s="626">
        <f>SUMIF(PostTB[Account Code (Old)],B110,(PostTB[Debit]))+SUMIF(CkDJ[Account Code],B110,(CkDJ[Debit]))+SUMIF(CsDJ[Account Code],B110,(CsDJ[Debit]))+SUMIF(CRDJ[Account Code],B110,(CRDJ[Debit]))+SUMIF(GJ[Account Code],B110,(GJ[Debit]))</f>
        <v>0</v>
      </c>
      <c r="F110" s="627">
        <f>SUMIF(PostTB[Account Code (Old)],B110,(PostTB[Credit]))+SUMIF(CkDJ[Account Code],B110,(CkDJ[Credit]))+SUMIF(CsDJ[Account Code],B110,(CsDJ[Credit]))+SUMIF(CRDJ[Account Code],B110,(CRDJ[Credit]))+SUMIF(GJ[Account Code],B110,(GJ[Credit]))</f>
        <v>0</v>
      </c>
      <c r="G110" s="627">
        <f>IF(INDEX(AccountCodes[Normal Balance], MATCH(C110,AccountCodes[PPSAS CODE]))="Credit",F110-E110,0)</f>
        <v>0</v>
      </c>
      <c r="H110" s="626">
        <f t="shared" si="1"/>
        <v>0</v>
      </c>
    </row>
    <row r="111" spans="1:8" ht="15.75" hidden="1" x14ac:dyDescent="0.25">
      <c r="A111" s="623" t="str">
        <f t="array" ref="A111">INDEX(AccountCodes[ACCOUNT NAME],MATCH(B111,AccountCodes[NGAS CODE],0))</f>
        <v>Motor Vehicles</v>
      </c>
      <c r="B111" s="597" t="s">
        <v>55</v>
      </c>
      <c r="C111" s="625">
        <f t="array" ref="C111">INDEX(AccountCodes[PPSAS CODE],MATCH(B111,AccountCodes[NGAS CODE],0))</f>
        <v>1060601000</v>
      </c>
      <c r="D111" s="626">
        <f>IF(INDEX(AccountCodes[Normal Balance], MATCH(C111,AccountCodes[PPSAS CODE]))="Debit",E111-F111,0)</f>
        <v>0</v>
      </c>
      <c r="E111" s="626">
        <f>SUMIF(PostTB[Account Code (Old)],B111,(PostTB[Debit]))+SUMIF(CkDJ[Account Code],B111,(CkDJ[Debit]))+SUMIF(CsDJ[Account Code],B111,(CsDJ[Debit]))+SUMIF(CRDJ[Account Code],B111,(CRDJ[Debit]))+SUMIF(GJ[Account Code],B111,(GJ[Debit]))</f>
        <v>0</v>
      </c>
      <c r="F111" s="627">
        <f>SUMIF(PostTB[Account Code (Old)],B111,(PostTB[Credit]))+SUMIF(CkDJ[Account Code],B111,(CkDJ[Credit]))+SUMIF(CsDJ[Account Code],B111,(CsDJ[Credit]))+SUMIF(CRDJ[Account Code],B111,(CRDJ[Credit]))+SUMIF(GJ[Account Code],B111,(GJ[Credit]))</f>
        <v>0</v>
      </c>
      <c r="G111" s="627">
        <f>IF(INDEX(AccountCodes[Normal Balance], MATCH(C111,AccountCodes[PPSAS CODE]))="Credit",F111-E111,0)</f>
        <v>0</v>
      </c>
      <c r="H111" s="626">
        <f t="shared" si="1"/>
        <v>0</v>
      </c>
    </row>
    <row r="112" spans="1:8" ht="15.75" hidden="1" x14ac:dyDescent="0.25">
      <c r="A112" s="623" t="str">
        <f t="array" ref="A112">INDEX(AccountCodes[ACCOUNT NAME],MATCH(B112,AccountCodes[NGAS CODE],0))</f>
        <v>Accumulated Depreciation-Motor Vehicles</v>
      </c>
      <c r="B112" s="597" t="s">
        <v>101</v>
      </c>
      <c r="C112" s="625">
        <f t="array" ref="C112">INDEX(AccountCodes[PPSAS CODE],MATCH(B112,AccountCodes[NGAS CODE],0))</f>
        <v>1060601100</v>
      </c>
      <c r="D112" s="626">
        <f>IF(INDEX(AccountCodes[Normal Balance], MATCH(C112,AccountCodes[PPSAS CODE]))="Debit",E112-F112,0)</f>
        <v>0</v>
      </c>
      <c r="E112" s="626">
        <f>SUMIF(PostTB[Account Code (Old)],B112,(PostTB[Debit]))+SUMIF(CkDJ[Account Code],B112,(CkDJ[Debit]))+SUMIF(CsDJ[Account Code],B112,(CsDJ[Debit]))+SUMIF(CRDJ[Account Code],B112,(CRDJ[Debit]))+SUMIF(GJ[Account Code],B112,(GJ[Debit]))</f>
        <v>0</v>
      </c>
      <c r="F112" s="627">
        <f>SUMIF(PostTB[Account Code (Old)],B112,(PostTB[Credit]))+SUMIF(CkDJ[Account Code],B112,(CkDJ[Credit]))+SUMIF(CsDJ[Account Code],B112,(CsDJ[Credit]))+SUMIF(CRDJ[Account Code],B112,(CRDJ[Credit]))+SUMIF(GJ[Account Code],B112,(GJ[Credit]))</f>
        <v>0</v>
      </c>
      <c r="G112" s="627">
        <f>IF(INDEX(AccountCodes[Normal Balance], MATCH(C112,AccountCodes[PPSAS CODE]))="Credit",F112-E112,0)</f>
        <v>0</v>
      </c>
      <c r="H112" s="626">
        <f t="shared" si="1"/>
        <v>0</v>
      </c>
    </row>
    <row r="113" spans="1:8" ht="15.75" hidden="1" x14ac:dyDescent="0.25">
      <c r="A113" s="623" t="str">
        <f t="array" ref="A113">INDEX(AccountCodes[ACCOUNT NAME],MATCH(B113,AccountCodes[NGAS CODE],0))</f>
        <v>Aircrafts and Aircrafts Ground Equipment</v>
      </c>
      <c r="B113" s="597" t="s">
        <v>56</v>
      </c>
      <c r="C113" s="625">
        <f t="array" ref="C113">INDEX(AccountCodes[PPSAS CODE],MATCH(B113,AccountCodes[NGAS CODE],0))</f>
        <v>1060603000</v>
      </c>
      <c r="D113" s="626">
        <f>IF(INDEX(AccountCodes[Normal Balance], MATCH(C113,AccountCodes[PPSAS CODE]))="Debit",E113-F113,0)</f>
        <v>0</v>
      </c>
      <c r="E113" s="626">
        <f>SUMIF(PostTB[Account Code (Old)],B113,(PostTB[Debit]))+SUMIF(CkDJ[Account Code],B113,(CkDJ[Debit]))+SUMIF(CsDJ[Account Code],B113,(CsDJ[Debit]))+SUMIF(CRDJ[Account Code],B113,(CRDJ[Debit]))+SUMIF(GJ[Account Code],B113,(GJ[Debit]))</f>
        <v>0</v>
      </c>
      <c r="F113" s="627">
        <f>SUMIF(PostTB[Account Code (Old)],B113,(PostTB[Credit]))+SUMIF(CkDJ[Account Code],B113,(CkDJ[Credit]))+SUMIF(CsDJ[Account Code],B113,(CsDJ[Credit]))+SUMIF(CRDJ[Account Code],B113,(CRDJ[Credit]))+SUMIF(GJ[Account Code],B113,(GJ[Credit]))</f>
        <v>0</v>
      </c>
      <c r="G113" s="627">
        <f>IF(INDEX(AccountCodes[Normal Balance], MATCH(C113,AccountCodes[PPSAS CODE]))="Credit",F113-E113,0)</f>
        <v>0</v>
      </c>
      <c r="H113" s="626">
        <f t="shared" si="1"/>
        <v>0</v>
      </c>
    </row>
    <row r="114" spans="1:8" ht="15.75" hidden="1" x14ac:dyDescent="0.25">
      <c r="A114" s="623" t="str">
        <f t="array" ref="A114">INDEX(AccountCodes[ACCOUNT NAME],MATCH(B114,AccountCodes[NGAS CODE],0))</f>
        <v>Accumulated Depreciation-Aircrafts and Aircrafts Ground Equipment</v>
      </c>
      <c r="B114" s="597" t="s">
        <v>102</v>
      </c>
      <c r="C114" s="625">
        <f t="array" ref="C114">INDEX(AccountCodes[PPSAS CODE],MATCH(B114,AccountCodes[NGAS CODE],0))</f>
        <v>1060603100</v>
      </c>
      <c r="D114" s="626">
        <f>IF(INDEX(AccountCodes[Normal Balance], MATCH(C114,AccountCodes[PPSAS CODE]))="Debit",E114-F114,0)</f>
        <v>0</v>
      </c>
      <c r="E114" s="626">
        <f>SUMIF(PostTB[Account Code (Old)],B114,(PostTB[Debit]))+SUMIF(CkDJ[Account Code],B114,(CkDJ[Debit]))+SUMIF(CsDJ[Account Code],B114,(CsDJ[Debit]))+SUMIF(CRDJ[Account Code],B114,(CRDJ[Debit]))+SUMIF(GJ[Account Code],B114,(GJ[Debit]))</f>
        <v>0</v>
      </c>
      <c r="F114" s="627">
        <f>SUMIF(PostTB[Account Code (Old)],B114,(PostTB[Credit]))+SUMIF(CkDJ[Account Code],B114,(CkDJ[Credit]))+SUMIF(CsDJ[Account Code],B114,(CsDJ[Credit]))+SUMIF(CRDJ[Account Code],B114,(CRDJ[Credit]))+SUMIF(GJ[Account Code],B114,(GJ[Credit]))</f>
        <v>0</v>
      </c>
      <c r="G114" s="627">
        <f>IF(INDEX(AccountCodes[Normal Balance], MATCH(C114,AccountCodes[PPSAS CODE]))="Credit",F114-E114,0)</f>
        <v>0</v>
      </c>
      <c r="H114" s="626">
        <f t="shared" si="1"/>
        <v>0</v>
      </c>
    </row>
    <row r="115" spans="1:8" ht="15.75" hidden="1" x14ac:dyDescent="0.25">
      <c r="A115" s="623" t="str">
        <f t="array" ref="A115">INDEX(AccountCodes[ACCOUNT NAME],MATCH(B115,AccountCodes[NGAS CODE],0))</f>
        <v>Watercrafts</v>
      </c>
      <c r="B115" s="597" t="s">
        <v>57</v>
      </c>
      <c r="C115" s="625">
        <f t="array" ref="C115">INDEX(AccountCodes[PPSAS CODE],MATCH(B115,AccountCodes[NGAS CODE],0))</f>
        <v>1060604000</v>
      </c>
      <c r="D115" s="626">
        <f>IF(INDEX(AccountCodes[Normal Balance], MATCH(C115,AccountCodes[PPSAS CODE]))="Debit",E115-F115,0)</f>
        <v>0</v>
      </c>
      <c r="E115" s="626">
        <f>SUMIF(PostTB[Account Code (Old)],B115,(PostTB[Debit]))+SUMIF(CkDJ[Account Code],B115,(CkDJ[Debit]))+SUMIF(CsDJ[Account Code],B115,(CsDJ[Debit]))+SUMIF(CRDJ[Account Code],B115,(CRDJ[Debit]))+SUMIF(GJ[Account Code],B115,(GJ[Debit]))</f>
        <v>0</v>
      </c>
      <c r="F115" s="627">
        <f>SUMIF(PostTB[Account Code (Old)],B115,(PostTB[Credit]))+SUMIF(CkDJ[Account Code],B115,(CkDJ[Credit]))+SUMIF(CsDJ[Account Code],B115,(CsDJ[Credit]))+SUMIF(CRDJ[Account Code],B115,(CRDJ[Credit]))+SUMIF(GJ[Account Code],B115,(GJ[Credit]))</f>
        <v>0</v>
      </c>
      <c r="G115" s="627">
        <f>IF(INDEX(AccountCodes[Normal Balance], MATCH(C115,AccountCodes[PPSAS CODE]))="Credit",F115-E115,0)</f>
        <v>0</v>
      </c>
      <c r="H115" s="626">
        <f t="shared" si="1"/>
        <v>0</v>
      </c>
    </row>
    <row r="116" spans="1:8" ht="15.75" hidden="1" x14ac:dyDescent="0.25">
      <c r="A116" s="623" t="str">
        <f t="array" ref="A116">INDEX(AccountCodes[ACCOUNT NAME],MATCH(B116,AccountCodes[NGAS CODE],0))</f>
        <v>Accumulated Depreciation-Watercrafts</v>
      </c>
      <c r="B116" s="597" t="s">
        <v>103</v>
      </c>
      <c r="C116" s="625">
        <f t="array" ref="C116">INDEX(AccountCodes[PPSAS CODE],MATCH(B116,AccountCodes[NGAS CODE],0))</f>
        <v>1060604100</v>
      </c>
      <c r="D116" s="626">
        <f>IF(INDEX(AccountCodes[Normal Balance], MATCH(C116,AccountCodes[PPSAS CODE]))="Debit",E116-F116,0)</f>
        <v>0</v>
      </c>
      <c r="E116" s="626">
        <f>SUMIF(PostTB[Account Code (Old)],B116,(PostTB[Debit]))+SUMIF(CkDJ[Account Code],B116,(CkDJ[Debit]))+SUMIF(CsDJ[Account Code],B116,(CsDJ[Debit]))+SUMIF(CRDJ[Account Code],B116,(CRDJ[Debit]))+SUMIF(GJ[Account Code],B116,(GJ[Debit]))</f>
        <v>0</v>
      </c>
      <c r="F116" s="627">
        <f>SUMIF(PostTB[Account Code (Old)],B116,(PostTB[Credit]))+SUMIF(CkDJ[Account Code],B116,(CkDJ[Credit]))+SUMIF(CsDJ[Account Code],B116,(CsDJ[Credit]))+SUMIF(CRDJ[Account Code],B116,(CRDJ[Credit]))+SUMIF(GJ[Account Code],B116,(GJ[Credit]))</f>
        <v>0</v>
      </c>
      <c r="G116" s="627">
        <f>IF(INDEX(AccountCodes[Normal Balance], MATCH(C116,AccountCodes[PPSAS CODE]))="Credit",F116-E116,0)</f>
        <v>0</v>
      </c>
      <c r="H116" s="626">
        <f t="shared" si="1"/>
        <v>0</v>
      </c>
    </row>
    <row r="117" spans="1:8" ht="15.75" hidden="1" x14ac:dyDescent="0.25">
      <c r="A117" s="623" t="str">
        <f t="array" ref="A117">INDEX(AccountCodes[ACCOUNT NAME],MATCH(B117,AccountCodes[NGAS CODE],0))</f>
        <v>Other Transportation Equipment</v>
      </c>
      <c r="B117" s="597" t="s">
        <v>58</v>
      </c>
      <c r="C117" s="625">
        <f t="array" ref="C117">INDEX(AccountCodes[PPSAS CODE],MATCH(B117,AccountCodes[NGAS CODE],0))</f>
        <v>1060699000</v>
      </c>
      <c r="D117" s="626">
        <f>IF(INDEX(AccountCodes[Normal Balance], MATCH(C117,AccountCodes[PPSAS CODE]))="Debit",E117-F117,0)</f>
        <v>0</v>
      </c>
      <c r="E117" s="626">
        <f>SUMIF(PostTB[Account Code (Old)],B117,(PostTB[Debit]))+SUMIF(CkDJ[Account Code],B117,(CkDJ[Debit]))+SUMIF(CsDJ[Account Code],B117,(CsDJ[Debit]))+SUMIF(CRDJ[Account Code],B117,(CRDJ[Debit]))+SUMIF(GJ[Account Code],B117,(GJ[Debit]))</f>
        <v>0</v>
      </c>
      <c r="F117" s="627">
        <f>SUMIF(PostTB[Account Code (Old)],B117,(PostTB[Credit]))+SUMIF(CkDJ[Account Code],B117,(CkDJ[Credit]))+SUMIF(CsDJ[Account Code],B117,(CsDJ[Credit]))+SUMIF(CRDJ[Account Code],B117,(CRDJ[Credit]))+SUMIF(GJ[Account Code],B117,(GJ[Credit]))</f>
        <v>0</v>
      </c>
      <c r="G117" s="627">
        <f>IF(INDEX(AccountCodes[Normal Balance], MATCH(C117,AccountCodes[PPSAS CODE]))="Credit",F117-E117,0)</f>
        <v>0</v>
      </c>
      <c r="H117" s="626">
        <f t="shared" si="1"/>
        <v>0</v>
      </c>
    </row>
    <row r="118" spans="1:8" ht="15.75" hidden="1" x14ac:dyDescent="0.25">
      <c r="A118" s="623" t="str">
        <f t="array" ref="A118">INDEX(AccountCodes[ACCOUNT NAME],MATCH(B118,AccountCodes[NGAS CODE],0))</f>
        <v>Accumulated Depreciation-Other Transportation Equipment</v>
      </c>
      <c r="B118" s="597" t="s">
        <v>104</v>
      </c>
      <c r="C118" s="625">
        <f t="array" ref="C118">INDEX(AccountCodes[PPSAS CODE],MATCH(B118,AccountCodes[NGAS CODE],0))</f>
        <v>1060699100</v>
      </c>
      <c r="D118" s="626">
        <f>IF(INDEX(AccountCodes[Normal Balance], MATCH(C118,AccountCodes[PPSAS CODE]))="Debit",E118-F118,0)</f>
        <v>0</v>
      </c>
      <c r="E118" s="626">
        <f>SUMIF(PostTB[Account Code (Old)],B118,(PostTB[Debit]))+SUMIF(CkDJ[Account Code],B118,(CkDJ[Debit]))+SUMIF(CsDJ[Account Code],B118,(CsDJ[Debit]))+SUMIF(CRDJ[Account Code],B118,(CRDJ[Debit]))+SUMIF(GJ[Account Code],B118,(GJ[Debit]))</f>
        <v>0</v>
      </c>
      <c r="F118" s="627">
        <f>SUMIF(PostTB[Account Code (Old)],B118,(PostTB[Credit]))+SUMIF(CkDJ[Account Code],B118,(CkDJ[Credit]))+SUMIF(CsDJ[Account Code],B118,(CsDJ[Credit]))+SUMIF(CRDJ[Account Code],B118,(CRDJ[Credit]))+SUMIF(GJ[Account Code],B118,(GJ[Credit]))</f>
        <v>0</v>
      </c>
      <c r="G118" s="627">
        <f>IF(INDEX(AccountCodes[Normal Balance], MATCH(C118,AccountCodes[PPSAS CODE]))="Credit",F118-E118,0)</f>
        <v>0</v>
      </c>
      <c r="H118" s="626">
        <f t="shared" si="1"/>
        <v>0</v>
      </c>
    </row>
    <row r="119" spans="1:8" ht="15.75" hidden="1" x14ac:dyDescent="0.25">
      <c r="A119" s="623" t="str">
        <f t="array" ref="A119">INDEX(AccountCodes[ACCOUNT NAME],MATCH(B119,AccountCodes[NGAS CODE],0))</f>
        <v>Furniture and Fixtures</v>
      </c>
      <c r="B119" s="597" t="s">
        <v>43</v>
      </c>
      <c r="C119" s="625">
        <f t="array" ref="C119">INDEX(AccountCodes[PPSAS CODE],MATCH(B119,AccountCodes[NGAS CODE],0))</f>
        <v>1060701000</v>
      </c>
      <c r="D119" s="626">
        <f>IF(INDEX(AccountCodes[Normal Balance], MATCH(C119,AccountCodes[PPSAS CODE]))="Debit",E119-F119,0)</f>
        <v>0</v>
      </c>
      <c r="E119" s="626">
        <f>SUMIF(PostTB[Account Code (Old)],B119,(PostTB[Debit]))+SUMIF(CkDJ[Account Code],B119,(CkDJ[Debit]))+SUMIF(CsDJ[Account Code],B119,(CsDJ[Debit]))+SUMIF(CRDJ[Account Code],B119,(CRDJ[Debit]))+SUMIF(GJ[Account Code],B119,(GJ[Debit]))</f>
        <v>0</v>
      </c>
      <c r="F119" s="627">
        <f>SUMIF(PostTB[Account Code (Old)],B119,(PostTB[Credit]))+SUMIF(CkDJ[Account Code],B119,(CkDJ[Credit]))+SUMIF(CsDJ[Account Code],B119,(CsDJ[Credit]))+SUMIF(CRDJ[Account Code],B119,(CRDJ[Credit]))+SUMIF(GJ[Account Code],B119,(GJ[Credit]))</f>
        <v>0</v>
      </c>
      <c r="G119" s="627">
        <f>IF(INDEX(AccountCodes[Normal Balance], MATCH(C119,AccountCodes[PPSAS CODE]))="Credit",F119-E119,0)</f>
        <v>0</v>
      </c>
      <c r="H119" s="626">
        <f t="shared" si="1"/>
        <v>0</v>
      </c>
    </row>
    <row r="120" spans="1:8" ht="15.75" hidden="1" x14ac:dyDescent="0.25">
      <c r="A120" s="623" t="str">
        <f t="array" ref="A120">INDEX(AccountCodes[ACCOUNT NAME],MATCH(B120,AccountCodes[NGAS CODE],0))</f>
        <v>Accumulated Depreciation-Furniture and Fixtures</v>
      </c>
      <c r="B120" s="597" t="s">
        <v>89</v>
      </c>
      <c r="C120" s="625">
        <f t="array" ref="C120">INDEX(AccountCodes[PPSAS CODE],MATCH(B120,AccountCodes[NGAS CODE],0))</f>
        <v>1060701100</v>
      </c>
      <c r="D120" s="626">
        <f>IF(INDEX(AccountCodes[Normal Balance], MATCH(C120,AccountCodes[PPSAS CODE]))="Debit",E120-F120,0)</f>
        <v>0</v>
      </c>
      <c r="E120" s="626">
        <f>SUMIF(PostTB[Account Code (Old)],B120,(PostTB[Debit]))+SUMIF(CkDJ[Account Code],B120,(CkDJ[Debit]))+SUMIF(CsDJ[Account Code],B120,(CsDJ[Debit]))+SUMIF(CRDJ[Account Code],B120,(CRDJ[Debit]))+SUMIF(GJ[Account Code],B120,(GJ[Debit]))</f>
        <v>0</v>
      </c>
      <c r="F120" s="627">
        <f>SUMIF(PostTB[Account Code (Old)],B120,(PostTB[Credit]))+SUMIF(CkDJ[Account Code],B120,(CkDJ[Credit]))+SUMIF(CsDJ[Account Code],B120,(CsDJ[Credit]))+SUMIF(CRDJ[Account Code],B120,(CRDJ[Credit]))+SUMIF(GJ[Account Code],B120,(GJ[Credit]))</f>
        <v>0</v>
      </c>
      <c r="G120" s="627">
        <f>IF(INDEX(AccountCodes[Normal Balance], MATCH(C120,AccountCodes[PPSAS CODE]))="Credit",F120-E120,0)</f>
        <v>0</v>
      </c>
      <c r="H120" s="626">
        <f t="shared" si="1"/>
        <v>0</v>
      </c>
    </row>
    <row r="121" spans="1:8" ht="15.75" hidden="1" x14ac:dyDescent="0.25">
      <c r="A121" s="623" t="str">
        <f t="array" ref="A121">INDEX(AccountCodes[ACCOUNT NAME],MATCH(B121,AccountCodes[NGAS CODE],0))</f>
        <v>Books</v>
      </c>
      <c r="B121" s="597" t="s">
        <v>45</v>
      </c>
      <c r="C121" s="625">
        <f t="array" ref="C121">INDEX(AccountCodes[PPSAS CODE],MATCH(B121,AccountCodes[NGAS CODE],0))</f>
        <v>1060702000</v>
      </c>
      <c r="D121" s="626">
        <f>IF(INDEX(AccountCodes[Normal Balance], MATCH(C121,AccountCodes[PPSAS CODE]))="Debit",E121-F121,0)</f>
        <v>0</v>
      </c>
      <c r="E121" s="626">
        <f>SUMIF(PostTB[Account Code (Old)],B121,(PostTB[Debit]))+SUMIF(CkDJ[Account Code],B121,(CkDJ[Debit]))+SUMIF(CsDJ[Account Code],B121,(CsDJ[Debit]))+SUMIF(CRDJ[Account Code],B121,(CRDJ[Debit]))+SUMIF(GJ[Account Code],B121,(GJ[Debit]))</f>
        <v>0</v>
      </c>
      <c r="F121" s="627">
        <f>SUMIF(PostTB[Account Code (Old)],B121,(PostTB[Credit]))+SUMIF(CkDJ[Account Code],B121,(CkDJ[Credit]))+SUMIF(CsDJ[Account Code],B121,(CsDJ[Credit]))+SUMIF(CRDJ[Account Code],B121,(CRDJ[Credit]))+SUMIF(GJ[Account Code],B121,(GJ[Credit]))</f>
        <v>0</v>
      </c>
      <c r="G121" s="627">
        <f>IF(INDEX(AccountCodes[Normal Balance], MATCH(C121,AccountCodes[PPSAS CODE]))="Credit",F121-E121,0)</f>
        <v>0</v>
      </c>
      <c r="H121" s="626">
        <f t="shared" si="1"/>
        <v>0</v>
      </c>
    </row>
    <row r="122" spans="1:8" ht="15.75" hidden="1" x14ac:dyDescent="0.25">
      <c r="A122" s="623" t="str">
        <f t="array" ref="A122">INDEX(AccountCodes[ACCOUNT NAME],MATCH(B122,AccountCodes[NGAS CODE],0))</f>
        <v>Accumulated Depreciation-Books</v>
      </c>
      <c r="B122" s="597" t="s">
        <v>91</v>
      </c>
      <c r="C122" s="625">
        <f t="array" ref="C122">INDEX(AccountCodes[PPSAS CODE],MATCH(B122,AccountCodes[NGAS CODE],0))</f>
        <v>1060702100</v>
      </c>
      <c r="D122" s="626">
        <f>IF(INDEX(AccountCodes[Normal Balance], MATCH(C122,AccountCodes[PPSAS CODE]))="Debit",E122-F122,0)</f>
        <v>0</v>
      </c>
      <c r="E122" s="626">
        <f>SUMIF(PostTB[Account Code (Old)],B122,(PostTB[Debit]))+SUMIF(CkDJ[Account Code],B122,(CkDJ[Debit]))+SUMIF(CsDJ[Account Code],B122,(CsDJ[Debit]))+SUMIF(CRDJ[Account Code],B122,(CRDJ[Debit]))+SUMIF(GJ[Account Code],B122,(GJ[Debit]))</f>
        <v>0</v>
      </c>
      <c r="F122" s="627">
        <f>SUMIF(PostTB[Account Code (Old)],B122,(PostTB[Credit]))+SUMIF(CkDJ[Account Code],B122,(CkDJ[Credit]))+SUMIF(CsDJ[Account Code],B122,(CsDJ[Credit]))+SUMIF(CRDJ[Account Code],B122,(CRDJ[Credit]))+SUMIF(GJ[Account Code],B122,(GJ[Credit]))</f>
        <v>0</v>
      </c>
      <c r="G122" s="627">
        <f>IF(INDEX(AccountCodes[Normal Balance], MATCH(C122,AccountCodes[PPSAS CODE]))="Credit",F122-E122,0)</f>
        <v>0</v>
      </c>
      <c r="H122" s="626">
        <f t="shared" si="1"/>
        <v>0</v>
      </c>
    </row>
    <row r="123" spans="1:8" ht="15.75" hidden="1" x14ac:dyDescent="0.25">
      <c r="A123" s="623" t="str">
        <f t="array" ref="A123">INDEX(AccountCodes[ACCOUNT NAME],MATCH(B123,AccountCodes[NGAS CODE],0))</f>
        <v>Other Property, Plant and Equipment</v>
      </c>
      <c r="B123" s="597" t="s">
        <v>59</v>
      </c>
      <c r="C123" s="625">
        <f t="array" ref="C123">INDEX(AccountCodes[PPSAS CODE],MATCH(B123,AccountCodes[NGAS CODE],0))</f>
        <v>1069899000</v>
      </c>
      <c r="D123" s="626">
        <f>IF(INDEX(AccountCodes[Normal Balance], MATCH(C123,AccountCodes[PPSAS CODE]))="Debit",E123-F123,0)</f>
        <v>0</v>
      </c>
      <c r="E123" s="626">
        <f>SUMIF(PostTB[Account Code (Old)],B123,(PostTB[Debit]))+SUMIF(CkDJ[Account Code],B123,(CkDJ[Debit]))+SUMIF(CsDJ[Account Code],B123,(CsDJ[Debit]))+SUMIF(CRDJ[Account Code],B123,(CRDJ[Debit]))+SUMIF(GJ[Account Code],B123,(GJ[Debit]))</f>
        <v>0</v>
      </c>
      <c r="F123" s="627">
        <f>SUMIF(PostTB[Account Code (Old)],B123,(PostTB[Credit]))+SUMIF(CkDJ[Account Code],B123,(CkDJ[Credit]))+SUMIF(CsDJ[Account Code],B123,(CsDJ[Credit]))+SUMIF(CRDJ[Account Code],B123,(CRDJ[Credit]))+SUMIF(GJ[Account Code],B123,(GJ[Credit]))</f>
        <v>0</v>
      </c>
      <c r="G123" s="627">
        <f>IF(INDEX(AccountCodes[Normal Balance], MATCH(C123,AccountCodes[PPSAS CODE]))="Credit",F123-E123,0)</f>
        <v>0</v>
      </c>
      <c r="H123" s="626">
        <f t="shared" si="1"/>
        <v>0</v>
      </c>
    </row>
    <row r="124" spans="1:8" ht="15.75" hidden="1" x14ac:dyDescent="0.25">
      <c r="A124" s="623" t="str">
        <f t="array" ref="A124">INDEX(AccountCodes[ACCOUNT NAME],MATCH(B124,AccountCodes[NGAS CODE],0))</f>
        <v>Accumulated Depreciation-Other Property, Plant and Equipment</v>
      </c>
      <c r="B124" s="597" t="s">
        <v>105</v>
      </c>
      <c r="C124" s="625">
        <f t="array" ref="C124">INDEX(AccountCodes[PPSAS CODE],MATCH(B124,AccountCodes[NGAS CODE],0))</f>
        <v>1069899100</v>
      </c>
      <c r="D124" s="626">
        <f>IF(INDEX(AccountCodes[Normal Balance], MATCH(C124,AccountCodes[PPSAS CODE]))="Debit",E124-F124,0)</f>
        <v>0</v>
      </c>
      <c r="E124" s="626">
        <f>SUMIF(PostTB[Account Code (Old)],B124,(PostTB[Debit]))+SUMIF(CkDJ[Account Code],B124,(CkDJ[Debit]))+SUMIF(CsDJ[Account Code],B124,(CsDJ[Debit]))+SUMIF(CRDJ[Account Code],B124,(CRDJ[Debit]))+SUMIF(GJ[Account Code],B124,(GJ[Debit]))</f>
        <v>0</v>
      </c>
      <c r="F124" s="627">
        <f>SUMIF(PostTB[Account Code (Old)],B124,(PostTB[Credit]))+SUMIF(CkDJ[Account Code],B124,(CkDJ[Credit]))+SUMIF(CsDJ[Account Code],B124,(CsDJ[Credit]))+SUMIF(CRDJ[Account Code],B124,(CRDJ[Credit]))+SUMIF(GJ[Account Code],B124,(GJ[Credit]))</f>
        <v>0</v>
      </c>
      <c r="G124" s="627">
        <f>IF(INDEX(AccountCodes[Normal Balance], MATCH(C124,AccountCodes[PPSAS CODE]))="Credit",F124-E124,0)</f>
        <v>0</v>
      </c>
      <c r="H124" s="626">
        <f t="shared" si="1"/>
        <v>0</v>
      </c>
    </row>
    <row r="125" spans="1:8" ht="15.75" hidden="1" x14ac:dyDescent="0.25">
      <c r="A125" s="623" t="str">
        <f t="array" ref="A125">INDEX(AccountCodes[ACCOUNT NAME],MATCH(B125,AccountCodes[NGAS CODE],0))</f>
        <v>Construction in Progress-Infrastructure Assets (Agency Assets)</v>
      </c>
      <c r="B125" s="597" t="s">
        <v>61</v>
      </c>
      <c r="C125" s="625">
        <f t="array" ref="C125">INDEX(AccountCodes[PPSAS CODE],MATCH(B125,AccountCodes[NGAS CODE],0))</f>
        <v>1069902099</v>
      </c>
      <c r="D125" s="626">
        <f>IF(INDEX(AccountCodes[Normal Balance], MATCH(C125,AccountCodes[PPSAS CODE]))="Debit",E125-F125,0)</f>
        <v>0</v>
      </c>
      <c r="E125" s="626">
        <f>SUMIF(PostTB[Account Code (Old)],B125,(PostTB[Debit]))+SUMIF(CkDJ[Account Code],B125,(CkDJ[Debit]))+SUMIF(CsDJ[Account Code],B125,(CsDJ[Debit]))+SUMIF(CRDJ[Account Code],B125,(CRDJ[Debit]))+SUMIF(GJ[Account Code],B125,(GJ[Debit]))</f>
        <v>0</v>
      </c>
      <c r="F125" s="627">
        <f>SUMIF(PostTB[Account Code (Old)],B125,(PostTB[Credit]))+SUMIF(CkDJ[Account Code],B125,(CkDJ[Credit]))+SUMIF(CsDJ[Account Code],B125,(CsDJ[Credit]))+SUMIF(CRDJ[Account Code],B125,(CRDJ[Credit]))+SUMIF(GJ[Account Code],B125,(GJ[Credit]))</f>
        <v>0</v>
      </c>
      <c r="G125" s="627">
        <f>IF(INDEX(AccountCodes[Normal Balance], MATCH(C125,AccountCodes[PPSAS CODE]))="Credit",F125-E125,0)</f>
        <v>0</v>
      </c>
      <c r="H125" s="626">
        <f t="shared" si="1"/>
        <v>0</v>
      </c>
    </row>
    <row r="126" spans="1:8" ht="15.75" hidden="1" x14ac:dyDescent="0.25">
      <c r="A126" s="623" t="str">
        <f t="array" ref="A126">INDEX(AccountCodes[ACCOUNT NAME],MATCH(B126,AccountCodes[NGAS CODE],0))</f>
        <v>Construction in Progress-Infrastructure Assets (Artesian Wells, Reservoirs, Pumping Stations &amp; Conduits)</v>
      </c>
      <c r="B126" s="597" t="s">
        <v>62</v>
      </c>
      <c r="C126" s="625">
        <f t="array" ref="C126">INDEX(AccountCodes[PPSAS CODE],MATCH(B126,AccountCodes[NGAS CODE],0))</f>
        <v>1069902099</v>
      </c>
      <c r="D126" s="626">
        <f>IF(INDEX(AccountCodes[Normal Balance], MATCH(C126,AccountCodes[PPSAS CODE]))="Debit",E126-F126,0)</f>
        <v>0</v>
      </c>
      <c r="E126" s="626">
        <f>SUMIF(PostTB[Account Code (Old)],B126,(PostTB[Debit]))+SUMIF(CkDJ[Account Code],B126,(CkDJ[Debit]))+SUMIF(CsDJ[Account Code],B126,(CsDJ[Debit]))+SUMIF(CRDJ[Account Code],B126,(CRDJ[Debit]))+SUMIF(GJ[Account Code],B126,(GJ[Debit]))</f>
        <v>0</v>
      </c>
      <c r="F126" s="627">
        <f>SUMIF(PostTB[Account Code (Old)],B126,(PostTB[Credit]))+SUMIF(CkDJ[Account Code],B126,(CkDJ[Credit]))+SUMIF(CsDJ[Account Code],B126,(CsDJ[Credit]))+SUMIF(CRDJ[Account Code],B126,(CRDJ[Credit]))+SUMIF(GJ[Account Code],B126,(GJ[Credit]))</f>
        <v>0</v>
      </c>
      <c r="G126" s="627">
        <f>IF(INDEX(AccountCodes[Normal Balance], MATCH(C126,AccountCodes[PPSAS CODE]))="Credit",F126-E126,0)</f>
        <v>0</v>
      </c>
      <c r="H126" s="626">
        <f t="shared" si="1"/>
        <v>0</v>
      </c>
    </row>
    <row r="127" spans="1:8" ht="15.75" x14ac:dyDescent="0.25">
      <c r="A127" s="623" t="str">
        <f t="array" ref="A127">INDEX(AccountCodes[ACCOUNT NAME],MATCH(B127,AccountCodes[NGAS CODE],0))</f>
        <v>Construction in Progress-Infrastructure Assets (Irrigation, Canals and Laterals)</v>
      </c>
      <c r="B127" s="597" t="s">
        <v>82</v>
      </c>
      <c r="C127" s="625">
        <f t="array" ref="C127">INDEX(AccountCodes[PPSAS CODE],MATCH(B127,AccountCodes[NGAS CODE],0))</f>
        <v>1069902099</v>
      </c>
      <c r="D127" s="626">
        <f>IF(INDEX(AccountCodes[Normal Balance], MATCH(C127,AccountCodes[PPSAS CODE]))="Debit",E127-F127,0)</f>
        <v>24787460.149999999</v>
      </c>
      <c r="E127" s="626">
        <f>SUMIF(PostTB[Account Code (Old)],B127,(PostTB[Debit]))+SUMIF(CkDJ[Account Code],B127,(CkDJ[Debit]))+SUMIF(CsDJ[Account Code],B127,(CsDJ[Debit]))+SUMIF(CRDJ[Account Code],B127,(CRDJ[Debit]))+SUMIF(GJ[Account Code],B127,(GJ[Debit]))</f>
        <v>32044943.649999999</v>
      </c>
      <c r="F127" s="627">
        <f>SUMIF(PostTB[Account Code (Old)],B127,(PostTB[Credit]))+SUMIF(CkDJ[Account Code],B127,(CkDJ[Credit]))+SUMIF(CsDJ[Account Code],B127,(CsDJ[Credit]))+SUMIF(CRDJ[Account Code],B127,(CRDJ[Credit]))+SUMIF(GJ[Account Code],B127,(GJ[Credit]))</f>
        <v>7257483.5</v>
      </c>
      <c r="G127" s="627">
        <f>IF(INDEX(AccountCodes[Normal Balance], MATCH(C127,AccountCodes[PPSAS CODE]))="Credit",F127-E127,0)</f>
        <v>0</v>
      </c>
      <c r="H127" s="626">
        <f t="shared" si="1"/>
        <v>24787460.149999999</v>
      </c>
    </row>
    <row r="128" spans="1:8" ht="15.75" hidden="1" x14ac:dyDescent="0.25">
      <c r="A128" s="623" t="str">
        <f t="array" ref="A128">INDEX(AccountCodes[ACCOUNT NAME],MATCH(B128,AccountCodes[NGAS CODE],0))</f>
        <v>Advances for Payroll</v>
      </c>
      <c r="B128" s="597" t="s">
        <v>12</v>
      </c>
      <c r="C128" s="625">
        <f t="array" ref="C128">INDEX(AccountCodes[PPSAS CODE],MATCH(B128,AccountCodes[NGAS CODE],0))</f>
        <v>1990102000</v>
      </c>
      <c r="D128" s="626">
        <f>IF(INDEX(AccountCodes[Normal Balance], MATCH(C128,AccountCodes[PPSAS CODE]))="Debit",E128-F128,0)</f>
        <v>0</v>
      </c>
      <c r="E128" s="626">
        <f>SUMIF(PostTB[Account Code (Old)],B128,(PostTB[Debit]))+SUMIF(CkDJ[Account Code],B128,(CkDJ[Debit]))+SUMIF(CsDJ[Account Code],B128,(CsDJ[Debit]))+SUMIF(CRDJ[Account Code],B128,(CRDJ[Debit]))+SUMIF(GJ[Account Code],B128,(GJ[Debit]))</f>
        <v>0</v>
      </c>
      <c r="F128" s="627">
        <f>SUMIF(PostTB[Account Code (Old)],B128,(PostTB[Credit]))+SUMIF(CkDJ[Account Code],B128,(CkDJ[Credit]))+SUMIF(CsDJ[Account Code],B128,(CsDJ[Credit]))+SUMIF(CRDJ[Account Code],B128,(CRDJ[Credit]))+SUMIF(GJ[Account Code],B128,(GJ[Credit]))</f>
        <v>0</v>
      </c>
      <c r="G128" s="627">
        <f>IF(INDEX(AccountCodes[Normal Balance], MATCH(C128,AccountCodes[PPSAS CODE]))="Credit",F128-E128,0)</f>
        <v>0</v>
      </c>
      <c r="H128" s="626">
        <f t="shared" si="1"/>
        <v>0</v>
      </c>
    </row>
    <row r="129" spans="1:8" ht="15.75" hidden="1" x14ac:dyDescent="0.25">
      <c r="A129" s="623" t="str">
        <f t="array" ref="A129">INDEX(AccountCodes[ACCOUNT NAME],MATCH(B129,AccountCodes[NGAS CODE],0))</f>
        <v>Advances to Special Disbursing Officer</v>
      </c>
      <c r="B129" s="597" t="s">
        <v>10</v>
      </c>
      <c r="C129" s="625">
        <f t="array" ref="C129">INDEX(AccountCodes[PPSAS CODE],MATCH(B129,AccountCodes[NGAS CODE],0))</f>
        <v>1990103000</v>
      </c>
      <c r="D129" s="626">
        <f>IF(INDEX(AccountCodes[Normal Balance], MATCH(C129,AccountCodes[PPSAS CODE]))="Debit",E129-F129,0)</f>
        <v>0</v>
      </c>
      <c r="E129" s="626">
        <f>SUMIF(PostTB[Account Code (Old)],B129,(PostTB[Debit]))+SUMIF(CkDJ[Account Code],B129,(CkDJ[Debit]))+SUMIF(CsDJ[Account Code],B129,(CsDJ[Debit]))+SUMIF(CRDJ[Account Code],B129,(CRDJ[Debit]))+SUMIF(GJ[Account Code],B129,(GJ[Debit]))</f>
        <v>0</v>
      </c>
      <c r="F129" s="627">
        <f>SUMIF(PostTB[Account Code (Old)],B129,(PostTB[Credit]))+SUMIF(CkDJ[Account Code],B129,(CkDJ[Credit]))+SUMIF(CsDJ[Account Code],B129,(CsDJ[Credit]))+SUMIF(CRDJ[Account Code],B129,(CRDJ[Credit]))+SUMIF(GJ[Account Code],B129,(GJ[Credit]))</f>
        <v>0</v>
      </c>
      <c r="G129" s="627">
        <f>IF(INDEX(AccountCodes[Normal Balance], MATCH(C129,AccountCodes[PPSAS CODE]))="Credit",F129-E129,0)</f>
        <v>0</v>
      </c>
      <c r="H129" s="626">
        <f t="shared" si="1"/>
        <v>0</v>
      </c>
    </row>
    <row r="130" spans="1:8" ht="15.75" x14ac:dyDescent="0.25">
      <c r="A130" s="623" t="str">
        <f t="array" ref="A130">INDEX(AccountCodes[ACCOUNT NAME],MATCH(B130,AccountCodes[NGAS CODE],0))</f>
        <v>Advances to Contractors</v>
      </c>
      <c r="B130" s="597" t="s">
        <v>35</v>
      </c>
      <c r="C130" s="625">
        <f t="array" ref="C130">INDEX(AccountCodes[PPSAS CODE],MATCH(B130,AccountCodes[NGAS CODE],0))</f>
        <v>1990201000</v>
      </c>
      <c r="D130" s="626">
        <f>IF(INDEX(AccountCodes[Normal Balance], MATCH(C130,AccountCodes[PPSAS CODE]))="Debit",E130-F130,0)</f>
        <v>2516226.0099999998</v>
      </c>
      <c r="E130" s="626">
        <f>SUMIF(PostTB[Account Code (Old)],B130,(PostTB[Debit]))+SUMIF(CkDJ[Account Code],B130,(CkDJ[Debit]))+SUMIF(CsDJ[Account Code],B130,(CsDJ[Debit]))+SUMIF(CRDJ[Account Code],B130,(CRDJ[Debit]))+SUMIF(GJ[Account Code],B130,(GJ[Debit]))</f>
        <v>3576221.06</v>
      </c>
      <c r="F130" s="627">
        <f>SUMIF(PostTB[Account Code (Old)],B130,(PostTB[Credit]))+SUMIF(CkDJ[Account Code],B130,(CkDJ[Credit]))+SUMIF(CsDJ[Account Code],B130,(CsDJ[Credit]))+SUMIF(CRDJ[Account Code],B130,(CRDJ[Credit]))+SUMIF(GJ[Account Code],B130,(GJ[Credit]))</f>
        <v>1059995.05</v>
      </c>
      <c r="G130" s="627">
        <f>IF(INDEX(AccountCodes[Normal Balance], MATCH(C130,AccountCodes[PPSAS CODE]))="Credit",F130-E130,0)</f>
        <v>0</v>
      </c>
      <c r="H130" s="626">
        <f t="shared" ref="H130:H197" si="2">IF(D130=0,G130,D130)</f>
        <v>2516226.0099999998</v>
      </c>
    </row>
    <row r="131" spans="1:8" ht="15.75" hidden="1" x14ac:dyDescent="0.25">
      <c r="A131" s="623" t="str">
        <f t="array" ref="A131">INDEX(AccountCodes[ACCOUNT NAME],MATCH(B131,AccountCodes[NGAS CODE],0))</f>
        <v>Prepaid Rent</v>
      </c>
      <c r="B131" s="597" t="s">
        <v>33</v>
      </c>
      <c r="C131" s="625">
        <f t="array" ref="C131">INDEX(AccountCodes[PPSAS CODE],MATCH(B131,AccountCodes[NGAS CODE],0))</f>
        <v>1990202000</v>
      </c>
      <c r="D131" s="626">
        <f>IF(INDEX(AccountCodes[Normal Balance], MATCH(C131,AccountCodes[PPSAS CODE]))="Debit",E131-F131,0)</f>
        <v>0</v>
      </c>
      <c r="E131" s="626">
        <f>SUMIF(PostTB[Account Code (Old)],B131,(PostTB[Debit]))+SUMIF(CkDJ[Account Code],B131,(CkDJ[Debit]))+SUMIF(CsDJ[Account Code],B131,(CsDJ[Debit]))+SUMIF(CRDJ[Account Code],B131,(CRDJ[Debit]))+SUMIF(GJ[Account Code],B131,(GJ[Debit]))</f>
        <v>0</v>
      </c>
      <c r="F131" s="627">
        <f>SUMIF(PostTB[Account Code (Old)],B131,(PostTB[Credit]))+SUMIF(CkDJ[Account Code],B131,(CkDJ[Credit]))+SUMIF(CsDJ[Account Code],B131,(CsDJ[Credit]))+SUMIF(CRDJ[Account Code],B131,(CRDJ[Credit]))+SUMIF(GJ[Account Code],B131,(GJ[Credit]))</f>
        <v>0</v>
      </c>
      <c r="G131" s="627">
        <f>IF(INDEX(AccountCodes[Normal Balance], MATCH(C131,AccountCodes[PPSAS CODE]))="Credit",F131-E131,0)</f>
        <v>0</v>
      </c>
      <c r="H131" s="626">
        <f t="shared" si="2"/>
        <v>0</v>
      </c>
    </row>
    <row r="132" spans="1:8" ht="15.75" hidden="1" x14ac:dyDescent="0.25">
      <c r="A132" s="623" t="str">
        <f t="array" ref="A132">INDEX(AccountCodes[ACCOUNT NAME],MATCH(B132,AccountCodes[NGAS CODE],0))</f>
        <v>Prepaid Insurance</v>
      </c>
      <c r="B132" s="597" t="s">
        <v>1224</v>
      </c>
      <c r="C132" s="625">
        <f t="array" ref="C132">INDEX(AccountCodes[PPSAS CODE],MATCH(B132,AccountCodes[NGAS CODE],0))</f>
        <v>1990205000</v>
      </c>
      <c r="D132" s="626">
        <f>IF(INDEX(AccountCodes[Normal Balance], MATCH(C132,AccountCodes[PPSAS CODE]))="Debit",E132-F132,0)</f>
        <v>0</v>
      </c>
      <c r="E132" s="626">
        <f>SUMIF(PostTB[Account Code (Old)],B132,(PostTB[Debit]))+SUMIF(CkDJ[Account Code],B132,(CkDJ[Debit]))+SUMIF(CsDJ[Account Code],B132,(CsDJ[Debit]))+SUMIF(CRDJ[Account Code],B132,(CRDJ[Debit]))+SUMIF(GJ[Account Code],B132,(GJ[Debit]))</f>
        <v>0</v>
      </c>
      <c r="F132" s="627">
        <f>SUMIF(PostTB[Account Code (Old)],B132,(PostTB[Credit]))+SUMIF(CkDJ[Account Code],B132,(CkDJ[Credit]))+SUMIF(CsDJ[Account Code],B132,(CsDJ[Credit]))+SUMIF(CRDJ[Account Code],B132,(CRDJ[Credit]))+SUMIF(GJ[Account Code],B132,(GJ[Credit]))</f>
        <v>0</v>
      </c>
      <c r="G132" s="627">
        <f>IF(INDEX(AccountCodes[Normal Balance], MATCH(C132,AccountCodes[PPSAS CODE]))="Credit",F132-E132,0)</f>
        <v>0</v>
      </c>
      <c r="H132" s="626">
        <f t="shared" si="2"/>
        <v>0</v>
      </c>
    </row>
    <row r="133" spans="1:8" ht="15.75" hidden="1" x14ac:dyDescent="0.25">
      <c r="A133" s="623" t="str">
        <f t="array" ref="A133">INDEX(AccountCodes[ACCOUNT NAME],MATCH(B133,AccountCodes[NGAS CODE],0))</f>
        <v>Other Prepayments</v>
      </c>
      <c r="B133" s="597" t="s">
        <v>36</v>
      </c>
      <c r="C133" s="625">
        <f t="array" ref="C133">INDEX(AccountCodes[PPSAS CODE],MATCH(B133,AccountCodes[NGAS CODE],0))</f>
        <v>1990299000</v>
      </c>
      <c r="D133" s="626">
        <f>IF(INDEX(AccountCodes[Normal Balance], MATCH(C133,AccountCodes[PPSAS CODE]))="Debit",E133-F133,0)</f>
        <v>0</v>
      </c>
      <c r="E133" s="626">
        <f>SUMIF(PostTB[Account Code (Old)],B133,(PostTB[Debit]))+SUMIF(CkDJ[Account Code],B133,(CkDJ[Debit]))+SUMIF(CsDJ[Account Code],B133,(CsDJ[Debit]))+SUMIF(CRDJ[Account Code],B133,(CRDJ[Debit]))+SUMIF(GJ[Account Code],B133,(GJ[Debit]))</f>
        <v>0</v>
      </c>
      <c r="F133" s="627">
        <f>SUMIF(PostTB[Account Code (Old)],B133,(PostTB[Credit]))+SUMIF(CkDJ[Account Code],B133,(CkDJ[Credit]))+SUMIF(CsDJ[Account Code],B133,(CsDJ[Credit]))+SUMIF(CRDJ[Account Code],B133,(CRDJ[Credit]))+SUMIF(GJ[Account Code],B133,(GJ[Credit]))</f>
        <v>0</v>
      </c>
      <c r="G133" s="627">
        <f>IF(INDEX(AccountCodes[Normal Balance], MATCH(C133,AccountCodes[PPSAS CODE]))="Credit",F133-E133,0)</f>
        <v>0</v>
      </c>
      <c r="H133" s="626">
        <f t="shared" si="2"/>
        <v>0</v>
      </c>
    </row>
    <row r="134" spans="1:8" ht="15.75" hidden="1" x14ac:dyDescent="0.25">
      <c r="A134" s="623" t="str">
        <f t="array" ref="A134">INDEX(AccountCodes[ACCOUNT NAME],MATCH(B134,AccountCodes[NGAS CODE],0))</f>
        <v>Deposit on Letters of Credit</v>
      </c>
      <c r="B134" s="597" t="s">
        <v>34</v>
      </c>
      <c r="C134" s="625">
        <f t="array" ref="C134">INDEX(AccountCodes[PPSAS CODE],MATCH(B134,AccountCodes[NGAS CODE],0))</f>
        <v>1990301000</v>
      </c>
      <c r="D134" s="626">
        <f>IF(INDEX(AccountCodes[Normal Balance], MATCH(C134,AccountCodes[PPSAS CODE]))="Debit",E134-F134,0)</f>
        <v>0</v>
      </c>
      <c r="E134" s="626">
        <f>SUMIF(PostTB[Account Code (Old)],B134,(PostTB[Debit]))+SUMIF(CkDJ[Account Code],B134,(CkDJ[Debit]))+SUMIF(CsDJ[Account Code],B134,(CsDJ[Debit]))+SUMIF(CRDJ[Account Code],B134,(CRDJ[Debit]))+SUMIF(GJ[Account Code],B134,(GJ[Debit]))</f>
        <v>0</v>
      </c>
      <c r="F134" s="627">
        <f>SUMIF(PostTB[Account Code (Old)],B134,(PostTB[Credit]))+SUMIF(CkDJ[Account Code],B134,(CkDJ[Credit]))+SUMIF(CsDJ[Account Code],B134,(CsDJ[Credit]))+SUMIF(CRDJ[Account Code],B134,(CRDJ[Credit]))+SUMIF(GJ[Account Code],B134,(GJ[Credit]))</f>
        <v>0</v>
      </c>
      <c r="G134" s="627">
        <f>IF(INDEX(AccountCodes[Normal Balance], MATCH(C134,AccountCodes[PPSAS CODE]))="Credit",F134-E134,0)</f>
        <v>0</v>
      </c>
      <c r="H134" s="626">
        <f t="shared" si="2"/>
        <v>0</v>
      </c>
    </row>
    <row r="135" spans="1:8" ht="15.75" hidden="1" x14ac:dyDescent="0.25">
      <c r="A135" s="623" t="str">
        <f t="array" ref="A135">INDEX(AccountCodes[ACCOUNT NAME],MATCH(B135,AccountCodes[NGAS CODE],0))</f>
        <v>Guaranty Deposits</v>
      </c>
      <c r="B135" s="597" t="s">
        <v>37</v>
      </c>
      <c r="C135" s="625">
        <f t="array" ref="C135">INDEX(AccountCodes[PPSAS CODE],MATCH(B135,AccountCodes[NGAS CODE],0))</f>
        <v>1990302000</v>
      </c>
      <c r="D135" s="626">
        <f>IF(INDEX(AccountCodes[Normal Balance], MATCH(C135,AccountCodes[PPSAS CODE]))="Debit",E135-F135,0)</f>
        <v>0</v>
      </c>
      <c r="E135" s="626">
        <f>SUMIF(PostTB[Account Code (Old)],B135,(PostTB[Debit]))+SUMIF(CkDJ[Account Code],B135,(CkDJ[Debit]))+SUMIF(CsDJ[Account Code],B135,(CsDJ[Debit]))+SUMIF(CRDJ[Account Code],B135,(CRDJ[Debit]))+SUMIF(GJ[Account Code],B135,(GJ[Debit]))</f>
        <v>0</v>
      </c>
      <c r="F135" s="627">
        <f>SUMIF(PostTB[Account Code (Old)],B135,(PostTB[Credit]))+SUMIF(CkDJ[Account Code],B135,(CkDJ[Credit]))+SUMIF(CsDJ[Account Code],B135,(CsDJ[Credit]))+SUMIF(CRDJ[Account Code],B135,(CRDJ[Credit]))+SUMIF(GJ[Account Code],B135,(GJ[Credit]))</f>
        <v>0</v>
      </c>
      <c r="G135" s="627">
        <f>IF(INDEX(AccountCodes[Normal Balance], MATCH(C135,AccountCodes[PPSAS CODE]))="Credit",F135-E135,0)</f>
        <v>0</v>
      </c>
      <c r="H135" s="626">
        <f t="shared" si="2"/>
        <v>0</v>
      </c>
    </row>
    <row r="136" spans="1:8" ht="15.75" hidden="1" x14ac:dyDescent="0.25">
      <c r="A136" s="623" t="str">
        <f t="array" ref="A136">INDEX(AccountCodes[ACCOUNT NAME],MATCH(B136,AccountCodes[NGAS CODE],0))</f>
        <v>Other Assets</v>
      </c>
      <c r="B136" s="597" t="s">
        <v>83</v>
      </c>
      <c r="C136" s="625">
        <f t="array" ref="C136">INDEX(AccountCodes[PPSAS CODE],MATCH(B136,AccountCodes[NGAS CODE],0))</f>
        <v>1999999000</v>
      </c>
      <c r="D136" s="626">
        <f>IF(INDEX(AccountCodes[Normal Balance], MATCH(C136,AccountCodes[PPSAS CODE]))="Debit",E136-F136,0)</f>
        <v>0</v>
      </c>
      <c r="E136" s="626">
        <f>SUMIF(PostTB[Account Code (Old)],B136,(PostTB[Debit]))+SUMIF(CkDJ[Account Code],B136,(CkDJ[Debit]))+SUMIF(CsDJ[Account Code],B136,(CsDJ[Debit]))+SUMIF(CRDJ[Account Code],B136,(CRDJ[Debit]))+SUMIF(GJ[Account Code],B136,(GJ[Debit]))</f>
        <v>0</v>
      </c>
      <c r="F136" s="627">
        <f>SUMIF(PostTB[Account Code (Old)],B136,(PostTB[Credit]))+SUMIF(CkDJ[Account Code],B136,(CkDJ[Credit]))+SUMIF(CsDJ[Account Code],B136,(CsDJ[Credit]))+SUMIF(CRDJ[Account Code],B136,(CRDJ[Credit]))+SUMIF(GJ[Account Code],B136,(GJ[Credit]))</f>
        <v>0</v>
      </c>
      <c r="G136" s="627">
        <f>IF(INDEX(AccountCodes[Normal Balance], MATCH(C136,AccountCodes[PPSAS CODE]))="Credit",F136-E136,0)</f>
        <v>0</v>
      </c>
      <c r="H136" s="626">
        <f t="shared" si="2"/>
        <v>0</v>
      </c>
    </row>
    <row r="137" spans="1:8" ht="15.75" hidden="1" x14ac:dyDescent="0.25">
      <c r="A137" s="623" t="str">
        <f t="array" ref="A137">INDEX(AccountCodes[ACCOUNT NAME],MATCH(B137,AccountCodes[NGAS CODE],0))</f>
        <v>Accumulated Impairment Losses-Other Assets</v>
      </c>
      <c r="B137" s="597" t="s">
        <v>509</v>
      </c>
      <c r="C137" s="625">
        <f t="array" ref="C137">INDEX(AccountCodes[PPSAS CODE],MATCH(B137,AccountCodes[NGAS CODE],0))</f>
        <v>1999999100</v>
      </c>
      <c r="D137" s="626">
        <f>IF(INDEX(AccountCodes[Normal Balance], MATCH(C137,AccountCodes[PPSAS CODE]))="Debit",E137-F137,0)</f>
        <v>0</v>
      </c>
      <c r="E137" s="626">
        <f>SUMIF(PostTB[Account Code (Old)],B137,(PostTB[Debit]))+SUMIF(CkDJ[Account Code],B137,(CkDJ[Debit]))+SUMIF(CsDJ[Account Code],B137,(CsDJ[Debit]))+SUMIF(CRDJ[Account Code],B137,(CRDJ[Debit]))+SUMIF(GJ[Account Code],B137,(GJ[Debit]))</f>
        <v>0</v>
      </c>
      <c r="F137" s="627">
        <f>SUMIF(PostTB[Account Code (Old)],B137,(PostTB[Credit]))+SUMIF(CkDJ[Account Code],B137,(CkDJ[Credit]))+SUMIF(CsDJ[Account Code],B137,(CsDJ[Credit]))+SUMIF(CRDJ[Account Code],B137,(CRDJ[Credit]))+SUMIF(GJ[Account Code],B137,(GJ[Credit]))</f>
        <v>0</v>
      </c>
      <c r="G137" s="627">
        <f>IF(INDEX(AccountCodes[Normal Balance], MATCH(C137,AccountCodes[PPSAS CODE]))="Credit",F137-E137,0)</f>
        <v>0</v>
      </c>
      <c r="H137" s="626">
        <f t="shared" si="2"/>
        <v>0</v>
      </c>
    </row>
    <row r="138" spans="1:8" ht="15.75" x14ac:dyDescent="0.25">
      <c r="A138" s="623" t="str">
        <f t="array" ref="A138">INDEX(AccountCodes[ACCOUNT NAME],MATCH(B138,AccountCodes[NGAS CODE],0))</f>
        <v>Accounts Payable</v>
      </c>
      <c r="B138" s="597" t="s">
        <v>106</v>
      </c>
      <c r="C138" s="625">
        <f t="array" ref="C138">INDEX(AccountCodes[PPSAS CODE],MATCH(B138,AccountCodes[NGAS CODE],0))</f>
        <v>2010101000</v>
      </c>
      <c r="D138" s="626">
        <f>IF(INDEX(AccountCodes[Normal Balance], MATCH(C138,AccountCodes[PPSAS CODE]))="Debit",E138-F138,0)</f>
        <v>0</v>
      </c>
      <c r="E138" s="626">
        <f>SUMIF(PostTB[Account Code (Old)],B138,(PostTB[Debit]))+SUMIF(CkDJ[Account Code],B138,(CkDJ[Debit]))+SUMIF(CsDJ[Account Code],B138,(CsDJ[Debit]))+SUMIF(CRDJ[Account Code],B138,(CRDJ[Debit]))+SUMIF(GJ[Account Code],B138,(GJ[Debit]))</f>
        <v>1135636.17</v>
      </c>
      <c r="F138" s="627">
        <f>SUMIF(PostTB[Account Code (Old)],B138,(PostTB[Credit]))+SUMIF(CkDJ[Account Code],B138,(CkDJ[Credit]))+SUMIF(CsDJ[Account Code],B138,(CsDJ[Credit]))+SUMIF(CRDJ[Account Code],B138,(CRDJ[Credit]))+SUMIF(GJ[Account Code],B138,(GJ[Credit]))</f>
        <v>4032784.09</v>
      </c>
      <c r="G138" s="627">
        <f>IF(INDEX(AccountCodes[Normal Balance], MATCH(C138,AccountCodes[PPSAS CODE]))="Credit",F138-E138,0)</f>
        <v>2897147.92</v>
      </c>
      <c r="H138" s="626">
        <f t="shared" si="2"/>
        <v>2897147.92</v>
      </c>
    </row>
    <row r="139" spans="1:8" ht="15.75" hidden="1" x14ac:dyDescent="0.25">
      <c r="A139" s="623" t="str">
        <f t="array" ref="A139">INDEX(AccountCodes[ACCOUNT NAME],MATCH(B139,AccountCodes[NGAS CODE],0))</f>
        <v>Due to Officers and Employees</v>
      </c>
      <c r="B139" s="597" t="s">
        <v>108</v>
      </c>
      <c r="C139" s="625">
        <f t="array" ref="C139">INDEX(AccountCodes[PPSAS CODE],MATCH(B139,AccountCodes[NGAS CODE],0))</f>
        <v>2010102000</v>
      </c>
      <c r="D139" s="626">
        <f>IF(INDEX(AccountCodes[Normal Balance], MATCH(C139,AccountCodes[PPSAS CODE]))="Debit",E139-F139,0)</f>
        <v>0</v>
      </c>
      <c r="E139" s="626">
        <f>SUMIF(PostTB[Account Code (Old)],B139,(PostTB[Debit]))+SUMIF(CkDJ[Account Code],B139,(CkDJ[Debit]))+SUMIF(CsDJ[Account Code],B139,(CsDJ[Debit]))+SUMIF(CRDJ[Account Code],B139,(CRDJ[Debit]))+SUMIF(GJ[Account Code],B139,(GJ[Debit]))</f>
        <v>35251.82</v>
      </c>
      <c r="F139" s="627">
        <f>SUMIF(PostTB[Account Code (Old)],B139,(PostTB[Credit]))+SUMIF(CkDJ[Account Code],B139,(CkDJ[Credit]))+SUMIF(CsDJ[Account Code],B139,(CsDJ[Credit]))+SUMIF(CRDJ[Account Code],B139,(CRDJ[Credit]))+SUMIF(GJ[Account Code],B139,(GJ[Credit]))</f>
        <v>35251.82</v>
      </c>
      <c r="G139" s="627">
        <f>IF(INDEX(AccountCodes[Normal Balance], MATCH(C139,AccountCodes[PPSAS CODE]))="Credit",F139-E139,0)</f>
        <v>0</v>
      </c>
      <c r="H139" s="626">
        <f t="shared" si="2"/>
        <v>0</v>
      </c>
    </row>
    <row r="140" spans="1:8" ht="15.75" hidden="1" x14ac:dyDescent="0.25">
      <c r="A140" s="623" t="str">
        <f t="array" ref="A140">INDEX(AccountCodes[ACCOUNT NAME],MATCH(B140,AccountCodes[NGAS CODE],0))</f>
        <v>Notes Payable</v>
      </c>
      <c r="B140" s="597" t="s">
        <v>107</v>
      </c>
      <c r="C140" s="625">
        <f t="array" ref="C140">INDEX(AccountCodes[PPSAS CODE],MATCH(B140,AccountCodes[NGAS CODE],0))</f>
        <v>2010104000</v>
      </c>
      <c r="D140" s="626">
        <f>IF(INDEX(AccountCodes[Normal Balance], MATCH(C140,AccountCodes[PPSAS CODE]))="Debit",E140-F140,0)</f>
        <v>0</v>
      </c>
      <c r="E140" s="626">
        <f>SUMIF(PostTB[Account Code (Old)],B140,(PostTB[Debit]))+SUMIF(CkDJ[Account Code],B140,(CkDJ[Debit]))+SUMIF(CsDJ[Account Code],B140,(CsDJ[Debit]))+SUMIF(CRDJ[Account Code],B140,(CRDJ[Debit]))+SUMIF(GJ[Account Code],B140,(GJ[Debit]))</f>
        <v>0</v>
      </c>
      <c r="F140" s="627">
        <f>SUMIF(PostTB[Account Code (Old)],B140,(PostTB[Credit]))+SUMIF(CkDJ[Account Code],B140,(CkDJ[Credit]))+SUMIF(CsDJ[Account Code],B140,(CsDJ[Credit]))+SUMIF(CRDJ[Account Code],B140,(CRDJ[Credit]))+SUMIF(GJ[Account Code],B140,(GJ[Credit]))</f>
        <v>0</v>
      </c>
      <c r="G140" s="627">
        <f>IF(INDEX(AccountCodes[Normal Balance], MATCH(C140,AccountCodes[PPSAS CODE]))="Credit",F140-E140,0)</f>
        <v>0</v>
      </c>
      <c r="H140" s="626">
        <f t="shared" si="2"/>
        <v>0</v>
      </c>
    </row>
    <row r="141" spans="1:8" ht="15.75" hidden="1" x14ac:dyDescent="0.25">
      <c r="A141" s="623" t="str">
        <f t="array" ref="A141">INDEX(AccountCodes[ACCOUNT NAME],MATCH(B141,AccountCodes[NGAS CODE],0))</f>
        <v>Loans Payable-Domestic</v>
      </c>
      <c r="B141" s="597" t="s">
        <v>118</v>
      </c>
      <c r="C141" s="625">
        <f t="array" ref="C141">INDEX(AccountCodes[PPSAS CODE],MATCH(B141,AccountCodes[NGAS CODE],0))</f>
        <v>2010204000</v>
      </c>
      <c r="D141" s="626">
        <f>IF(INDEX(AccountCodes[Normal Balance], MATCH(C141,AccountCodes[PPSAS CODE]))="Debit",E141-F141,0)</f>
        <v>0</v>
      </c>
      <c r="E141" s="626">
        <f>SUMIF(PostTB[Account Code (Old)],B141,(PostTB[Debit]))+SUMIF(CkDJ[Account Code],B141,(CkDJ[Debit]))+SUMIF(CsDJ[Account Code],B141,(CsDJ[Debit]))+SUMIF(CRDJ[Account Code],B141,(CRDJ[Debit]))+SUMIF(GJ[Account Code],B141,(GJ[Debit]))</f>
        <v>0</v>
      </c>
      <c r="F141" s="627">
        <f>SUMIF(PostTB[Account Code (Old)],B141,(PostTB[Credit]))+SUMIF(CkDJ[Account Code],B141,(CkDJ[Credit]))+SUMIF(CsDJ[Account Code],B141,(CsDJ[Credit]))+SUMIF(CRDJ[Account Code],B141,(CRDJ[Credit]))+SUMIF(GJ[Account Code],B141,(GJ[Credit]))</f>
        <v>0</v>
      </c>
      <c r="G141" s="627">
        <f>IF(INDEX(AccountCodes[Normal Balance], MATCH(C141,AccountCodes[PPSAS CODE]))="Credit",F141-E141,0)</f>
        <v>0</v>
      </c>
      <c r="H141" s="626">
        <f t="shared" si="2"/>
        <v>0</v>
      </c>
    </row>
    <row r="142" spans="1:8" ht="15.75" hidden="1" x14ac:dyDescent="0.25">
      <c r="A142" s="623" t="str">
        <f t="array" ref="A142">INDEX(AccountCodes[ACCOUNT NAME],MATCH(B142,AccountCodes[NGAS CODE],0))</f>
        <v>Loans Payable-Foreign</v>
      </c>
      <c r="B142" s="597" t="s">
        <v>119</v>
      </c>
      <c r="C142" s="625">
        <f t="array" ref="C142">INDEX(AccountCodes[PPSAS CODE],MATCH(B142,AccountCodes[NGAS CODE],0))</f>
        <v>2010205000</v>
      </c>
      <c r="D142" s="626">
        <f>IF(INDEX(AccountCodes[Normal Balance], MATCH(C142,AccountCodes[PPSAS CODE]))="Debit",E142-F142,0)</f>
        <v>0</v>
      </c>
      <c r="E142" s="626">
        <f>SUMIF(PostTB[Account Code (Old)],B142,(PostTB[Debit]))+SUMIF(CkDJ[Account Code],B142,(CkDJ[Debit]))+SUMIF(CsDJ[Account Code],B142,(CsDJ[Debit]))+SUMIF(CRDJ[Account Code],B142,(CRDJ[Debit]))+SUMIF(GJ[Account Code],B142,(GJ[Debit]))</f>
        <v>0</v>
      </c>
      <c r="F142" s="627">
        <f>SUMIF(PostTB[Account Code (Old)],B142,(PostTB[Credit]))+SUMIF(CkDJ[Account Code],B142,(CkDJ[Credit]))+SUMIF(CsDJ[Account Code],B142,(CsDJ[Credit]))+SUMIF(CRDJ[Account Code],B142,(CRDJ[Credit]))+SUMIF(GJ[Account Code],B142,(GJ[Credit]))</f>
        <v>0</v>
      </c>
      <c r="G142" s="627">
        <f>IF(INDEX(AccountCodes[Normal Balance], MATCH(C142,AccountCodes[PPSAS CODE]))="Credit",F142-E142,0)</f>
        <v>0</v>
      </c>
      <c r="H142" s="626">
        <f t="shared" si="2"/>
        <v>0</v>
      </c>
    </row>
    <row r="143" spans="1:8" ht="15.75" x14ac:dyDescent="0.25">
      <c r="A143" s="623" t="str">
        <f t="array" ref="A143">INDEX(AccountCodes[ACCOUNT NAME],MATCH(B143,AccountCodes[NGAS CODE],0))</f>
        <v>Due to the Treasurer of the Philippines</v>
      </c>
      <c r="B143" s="597" t="s">
        <v>1496</v>
      </c>
      <c r="C143" s="625">
        <f t="array" ref="C143">INDEX(AccountCodes[PPSAS CODE],MATCH(B143,AccountCodes[NGAS CODE],0))</f>
        <v>2020109000</v>
      </c>
      <c r="D143" s="626">
        <f>IF(INDEX(AccountCodes[Normal Balance], MATCH(C143,AccountCodes[PPSAS CODE]))="Debit",E143-F143,0)</f>
        <v>0</v>
      </c>
      <c r="E143" s="626">
        <f>SUMIF(PostTB[Account Code (Old)],B143,(PostTB[Debit]))+SUMIF(CkDJ[Account Code],B143,(CkDJ[Debit]))+SUMIF(CsDJ[Account Code],B143,(CsDJ[Debit]))+SUMIF(CRDJ[Account Code],B143,(CRDJ[Debit]))+SUMIF(GJ[Account Code],B143,(GJ[Debit]))</f>
        <v>1967.99</v>
      </c>
      <c r="F143" s="627">
        <f>SUMIF(PostTB[Account Code (Old)],B143,(PostTB[Credit]))+SUMIF(CkDJ[Account Code],B143,(CkDJ[Credit]))+SUMIF(CsDJ[Account Code],B143,(CsDJ[Credit]))+SUMIF(CRDJ[Account Code],B143,(CRDJ[Credit]))+SUMIF(GJ[Account Code],B143,(GJ[Credit]))</f>
        <v>5819.31</v>
      </c>
      <c r="G143" s="627">
        <f>IF(INDEX(AccountCodes[Normal Balance], MATCH(C143,AccountCodes[PPSAS CODE]))="Credit",F143-E143,0)</f>
        <v>3851.32</v>
      </c>
      <c r="H143" s="626">
        <f t="shared" si="2"/>
        <v>3851.32</v>
      </c>
    </row>
    <row r="144" spans="1:8" ht="15.75" hidden="1" x14ac:dyDescent="0.25">
      <c r="A144" s="623" t="str">
        <f t="array" ref="A144">INDEX(AccountCodes[ACCOUNT NAME],MATCH(B144,AccountCodes[NGAS CODE],0))</f>
        <v>Due to BIR</v>
      </c>
      <c r="B144" s="597" t="s">
        <v>109</v>
      </c>
      <c r="C144" s="625">
        <f t="array" ref="C144">INDEX(AccountCodes[PPSAS CODE],MATCH(B144,AccountCodes[NGAS CODE],0))</f>
        <v>2020101000</v>
      </c>
      <c r="D144" s="626">
        <f>IF(INDEX(AccountCodes[Normal Balance], MATCH(C144,AccountCodes[PPSAS CODE]))="Debit",E144-F144,0)</f>
        <v>0</v>
      </c>
      <c r="E144" s="626">
        <f>SUMIF(PostTB[Account Code (Old)],B144,(PostTB[Debit]))+SUMIF(CkDJ[Account Code],B144,(CkDJ[Debit]))+SUMIF(CsDJ[Account Code],B144,(CsDJ[Debit]))+SUMIF(CRDJ[Account Code],B144,(CRDJ[Debit]))+SUMIF(GJ[Account Code],B144,(GJ[Debit]))</f>
        <v>4133.1099999999997</v>
      </c>
      <c r="F144" s="627">
        <f>SUMIF(PostTB[Account Code (Old)],B144,(PostTB[Credit]))+SUMIF(CkDJ[Account Code],B144,(CkDJ[Credit]))+SUMIF(CsDJ[Account Code],B144,(CsDJ[Credit]))+SUMIF(CRDJ[Account Code],B144,(CRDJ[Credit]))+SUMIF(GJ[Account Code],B144,(GJ[Credit]))</f>
        <v>4133.1099999999997</v>
      </c>
      <c r="G144" s="627">
        <f>IF(INDEX(AccountCodes[Normal Balance], MATCH(C144,AccountCodes[PPSAS CODE]))="Credit",F144-E144,0)</f>
        <v>0</v>
      </c>
      <c r="H144" s="626">
        <f t="shared" si="2"/>
        <v>0</v>
      </c>
    </row>
    <row r="145" spans="1:10" ht="15.75" x14ac:dyDescent="0.25">
      <c r="A145" s="635" t="str">
        <f t="array" ref="A145">INDEX(AccountCodes[ACCOUNT NAME],MATCH(B145,AccountCodes[NGAS CODE],0))</f>
        <v>Due to BIR - Compensation</v>
      </c>
      <c r="B145" s="631" t="s">
        <v>1546</v>
      </c>
      <c r="C145" s="632">
        <f t="array" ref="C145">INDEX(AccountCodes[PPSAS CODE],MATCH(B145,AccountCodes[NGAS CODE],0))</f>
        <v>2020101001</v>
      </c>
      <c r="D145" s="633">
        <f>IF(INDEX(AccountCodes[Normal Balance], MATCH(C145,AccountCodes[PPSAS CODE]))="Debit",E145-F145,0)</f>
        <v>0</v>
      </c>
      <c r="E145" s="633">
        <f>SUMIF(PostTB[Account Code (Old)],B145,(PostTB[Debit]))+SUMIF(CkDJ[Account Code],B145,(CkDJ[Debit]))+SUMIF(CsDJ[Account Code],B145,(CsDJ[Debit]))+SUMIF(CRDJ[Account Code],B145,(CRDJ[Debit]))+SUMIF(GJ[Account Code],B145,(GJ[Debit]))</f>
        <v>26873.15</v>
      </c>
      <c r="F145" s="634">
        <f>SUMIF(PostTB[Account Code (Old)],B145,(PostTB[Credit]))+SUMIF(CkDJ[Account Code],B145,(CkDJ[Credit]))+SUMIF(CsDJ[Account Code],B145,(CsDJ[Credit]))+SUMIF(CRDJ[Account Code],B145,(CRDJ[Credit]))+SUMIF(GJ[Account Code],B145,(GJ[Credit]))</f>
        <v>27743.21</v>
      </c>
      <c r="G145" s="634">
        <f>IF(INDEX(AccountCodes[Normal Balance], MATCH(C145,AccountCodes[PPSAS CODE]))="Credit",F145-E145,0)</f>
        <v>870.06</v>
      </c>
      <c r="H145" s="633">
        <f>IF(D145=0,G145,D145)</f>
        <v>870.06</v>
      </c>
      <c r="J145" s="700">
        <f>Table6[[#This Row],[CREDIT]]+G146+G147+G148+G149</f>
        <v>10049.26</v>
      </c>
    </row>
    <row r="146" spans="1:10" ht="15.75" x14ac:dyDescent="0.25">
      <c r="A146" s="635" t="str">
        <f t="array" ref="A146">INDEX(AccountCodes[ACCOUNT NAME],MATCH(B146,AccountCodes[NGAS CODE],0))</f>
        <v>Due to BIR - 5%</v>
      </c>
      <c r="B146" s="631" t="s">
        <v>1548</v>
      </c>
      <c r="C146" s="653">
        <f t="array" ref="C146">INDEX(AccountCodes[PPSAS CODE],MATCH(B146,AccountCodes[NGAS CODE],0))</f>
        <v>2020101002</v>
      </c>
      <c r="D146" s="654">
        <f>IF(INDEX(AccountCodes[Normal Balance], MATCH(C146,AccountCodes[PPSAS CODE]))="Debit",E146-F146,0)</f>
        <v>0</v>
      </c>
      <c r="E146" s="654">
        <f>SUMIF(PostTB[Account Code (Old)],B146,(PostTB[Debit]))+SUMIF(CkDJ[Account Code],B146,(CkDJ[Debit]))+SUMIF(CsDJ[Account Code],B146,(CsDJ[Debit]))+SUMIF(CRDJ[Account Code],B146,(CRDJ[Debit]))+SUMIF(GJ[Account Code],B146,(GJ[Debit]))</f>
        <v>573968.69999999995</v>
      </c>
      <c r="F146" s="655">
        <f>SUMIF(PostTB[Account Code (Old)],B146,(PostTB[Credit]))+SUMIF(CkDJ[Account Code],B146,(CkDJ[Credit]))+SUMIF(CsDJ[Account Code],B146,(CsDJ[Credit]))+SUMIF(CRDJ[Account Code],B146,(CRDJ[Credit]))+SUMIF(GJ[Account Code],B146,(GJ[Credit]))</f>
        <v>581618.03</v>
      </c>
      <c r="G146" s="655">
        <f>IF(INDEX(AccountCodes[Normal Balance], MATCH(C146,AccountCodes[PPSAS CODE]))="Credit",F146-E146,0)</f>
        <v>7649.33</v>
      </c>
      <c r="H146" s="654">
        <f>IF(D146=0,G146,D146)</f>
        <v>7649.33</v>
      </c>
    </row>
    <row r="147" spans="1:10" ht="15.75" hidden="1" x14ac:dyDescent="0.25">
      <c r="A147" s="635" t="str">
        <f t="array" ref="A147">INDEX(AccountCodes[ACCOUNT NAME],MATCH(B147,AccountCodes[NGAS CODE],0))</f>
        <v>Due to BIR - 3%</v>
      </c>
      <c r="B147" s="631" t="s">
        <v>1549</v>
      </c>
      <c r="C147" s="653">
        <f t="array" ref="C147">INDEX(AccountCodes[PPSAS CODE],MATCH(B147,AccountCodes[NGAS CODE],0))</f>
        <v>2020101003</v>
      </c>
      <c r="D147" s="654">
        <f>IF(INDEX(AccountCodes[Normal Balance], MATCH(C147,AccountCodes[PPSAS CODE]))="Debit",E147-F147,0)</f>
        <v>0</v>
      </c>
      <c r="E147" s="654">
        <f>SUMIF(PostTB[Account Code (Old)],B147,(PostTB[Debit]))+SUMIF(CkDJ[Account Code],B147,(CkDJ[Debit]))+SUMIF(CsDJ[Account Code],B147,(CsDJ[Debit]))+SUMIF(CRDJ[Account Code],B147,(CRDJ[Debit]))+SUMIF(GJ[Account Code],B147,(GJ[Debit]))</f>
        <v>0</v>
      </c>
      <c r="F147" s="655">
        <f>SUMIF(PostTB[Account Code (Old)],B147,(PostTB[Credit]))+SUMIF(CkDJ[Account Code],B147,(CkDJ[Credit]))+SUMIF(CsDJ[Account Code],B147,(CsDJ[Credit]))+SUMIF(CRDJ[Account Code],B147,(CRDJ[Credit]))+SUMIF(GJ[Account Code],B147,(GJ[Credit]))</f>
        <v>0</v>
      </c>
      <c r="G147" s="655">
        <f>IF(INDEX(AccountCodes[Normal Balance], MATCH(C147,AccountCodes[PPSAS CODE]))="Credit",F147-E147,0)</f>
        <v>0</v>
      </c>
      <c r="H147" s="654">
        <f>IF(D147=0,G147,D147)</f>
        <v>0</v>
      </c>
    </row>
    <row r="148" spans="1:10" ht="15.75" hidden="1" x14ac:dyDescent="0.25">
      <c r="A148" s="635" t="str">
        <f t="array" ref="A148">INDEX(AccountCodes[ACCOUNT NAME],MATCH(B148,AccountCodes[NGAS CODE],0))</f>
        <v>Due to BIR - 2%</v>
      </c>
      <c r="B148" s="631" t="s">
        <v>1550</v>
      </c>
      <c r="C148" s="653">
        <f t="array" ref="C148">INDEX(AccountCodes[PPSAS CODE],MATCH(B148,AccountCodes[NGAS CODE],0))</f>
        <v>2020101004</v>
      </c>
      <c r="D148" s="654">
        <f>IF(INDEX(AccountCodes[Normal Balance], MATCH(C148,AccountCodes[PPSAS CODE]))="Debit",E148-F148,0)</f>
        <v>0</v>
      </c>
      <c r="E148" s="654">
        <f>SUMIF(PostTB[Account Code (Old)],B148,(PostTB[Debit]))+SUMIF(CkDJ[Account Code],B148,(CkDJ[Debit]))+SUMIF(CsDJ[Account Code],B148,(CsDJ[Debit]))+SUMIF(CRDJ[Account Code],B148,(CRDJ[Debit]))+SUMIF(GJ[Account Code],B148,(GJ[Debit]))</f>
        <v>217212.47</v>
      </c>
      <c r="F148" s="655">
        <f>SUMIF(PostTB[Account Code (Old)],B148,(PostTB[Credit]))+SUMIF(CkDJ[Account Code],B148,(CkDJ[Credit]))+SUMIF(CsDJ[Account Code],B148,(CsDJ[Credit]))+SUMIF(CRDJ[Account Code],B148,(CRDJ[Credit]))+SUMIF(GJ[Account Code],B148,(GJ[Credit]))</f>
        <v>217212.47</v>
      </c>
      <c r="G148" s="655">
        <f>IF(INDEX(AccountCodes[Normal Balance], MATCH(C148,AccountCodes[PPSAS CODE]))="Credit",F148-E148,0)</f>
        <v>0</v>
      </c>
      <c r="H148" s="654">
        <f>IF(D148=0,G148,D148)</f>
        <v>0</v>
      </c>
    </row>
    <row r="149" spans="1:10" ht="15.75" x14ac:dyDescent="0.25">
      <c r="A149" s="635" t="str">
        <f t="array" ref="A149">INDEX(AccountCodes[ACCOUNT NAME],MATCH(B149,AccountCodes[NGAS CODE],0))</f>
        <v>Due to BIR - 1%</v>
      </c>
      <c r="B149" s="631" t="s">
        <v>1554</v>
      </c>
      <c r="C149" s="653">
        <f t="array" ref="C149">INDEX(AccountCodes[PPSAS CODE],MATCH(B149,AccountCodes[NGAS CODE],0))</f>
        <v>2020101005</v>
      </c>
      <c r="D149" s="654">
        <f>IF(INDEX(AccountCodes[Normal Balance], MATCH(C149,AccountCodes[PPSAS CODE]))="Debit",E149-F149,0)</f>
        <v>0</v>
      </c>
      <c r="E149" s="654">
        <f>SUMIF(PostTB[Account Code (Old)],B149,(PostTB[Debit]))+SUMIF(CkDJ[Account Code],B149,(CkDJ[Debit]))+SUMIF(CsDJ[Account Code],B149,(CsDJ[Debit]))+SUMIF(CRDJ[Account Code],B149,(CRDJ[Debit]))+SUMIF(GJ[Account Code],B149,(GJ[Debit]))</f>
        <v>9202.7199999999993</v>
      </c>
      <c r="F149" s="655">
        <f>SUMIF(PostTB[Account Code (Old)],B149,(PostTB[Credit]))+SUMIF(CkDJ[Account Code],B149,(CkDJ[Credit]))+SUMIF(CsDJ[Account Code],B149,(CsDJ[Credit]))+SUMIF(CRDJ[Account Code],B149,(CRDJ[Credit]))+SUMIF(GJ[Account Code],B149,(GJ[Credit]))</f>
        <v>10732.59</v>
      </c>
      <c r="G149" s="655">
        <f>IF(INDEX(AccountCodes[Normal Balance], MATCH(C149,AccountCodes[PPSAS CODE]))="Credit",F149-E149,0)</f>
        <v>1529.87</v>
      </c>
      <c r="H149" s="654">
        <f>IF(D149=0,G149,D149)</f>
        <v>1529.87</v>
      </c>
    </row>
    <row r="150" spans="1:10" ht="15.75" hidden="1" x14ac:dyDescent="0.25">
      <c r="A150" s="623" t="str">
        <f t="array" ref="A150">INDEX(AccountCodes[ACCOUNT NAME],MATCH(B150,AccountCodes[NGAS CODE],0))</f>
        <v>Due to GSIS</v>
      </c>
      <c r="B150" s="597" t="s">
        <v>110</v>
      </c>
      <c r="C150" s="625">
        <f t="array" ref="C150">INDEX(AccountCodes[PPSAS CODE],MATCH(B150,AccountCodes[NGAS CODE],0))</f>
        <v>2020102000</v>
      </c>
      <c r="D150" s="626">
        <f>IF(INDEX(AccountCodes[Normal Balance], MATCH(C150,AccountCodes[PPSAS CODE]))="Debit",E150-F150,0)</f>
        <v>0</v>
      </c>
      <c r="E150" s="626">
        <f>SUMIF(PostTB[Account Code (Old)],B150,(PostTB[Debit]))+SUMIF(CkDJ[Account Code],B150,(CkDJ[Debit]))+SUMIF(CsDJ[Account Code],B150,(CsDJ[Debit]))+SUMIF(CRDJ[Account Code],B150,(CRDJ[Debit]))+SUMIF(GJ[Account Code],B150,(GJ[Debit]))</f>
        <v>0</v>
      </c>
      <c r="F150" s="627">
        <f>SUMIF(PostTB[Account Code (Old)],B150,(PostTB[Credit]))+SUMIF(CkDJ[Account Code],B150,(CkDJ[Credit]))+SUMIF(CsDJ[Account Code],B150,(CsDJ[Credit]))+SUMIF(CRDJ[Account Code],B150,(CRDJ[Credit]))+SUMIF(GJ[Account Code],B150,(GJ[Credit]))</f>
        <v>0</v>
      </c>
      <c r="G150" s="627">
        <f>IF(INDEX(AccountCodes[Normal Balance], MATCH(C150,AccountCodes[PPSAS CODE]))="Credit",F150-E150,0)</f>
        <v>0</v>
      </c>
      <c r="H150" s="626">
        <f t="shared" si="2"/>
        <v>0</v>
      </c>
    </row>
    <row r="151" spans="1:10" ht="15.75" x14ac:dyDescent="0.25">
      <c r="A151" s="623" t="str">
        <f t="array" ref="A151">INDEX(AccountCodes[ACCOUNT NAME],MATCH(B151,AccountCodes[NGAS CODE],0))</f>
        <v>Due to GSIS - Life and Retirement Premium</v>
      </c>
      <c r="B151" s="597" t="s">
        <v>1440</v>
      </c>
      <c r="C151" s="625">
        <f t="array" ref="C151">INDEX(AccountCodes[PPSAS CODE],MATCH(B151,AccountCodes[NGAS CODE],0))</f>
        <v>2020102001</v>
      </c>
      <c r="D151" s="626">
        <f>IF(INDEX(AccountCodes[Normal Balance], MATCH(C151,AccountCodes[PPSAS CODE]))="Debit",E151-F151,0)</f>
        <v>0</v>
      </c>
      <c r="E151" s="626">
        <f>SUMIF(PostTB[Account Code (Old)],B151,(PostTB[Debit]))+SUMIF(CkDJ[Account Code],B151,(CkDJ[Debit]))+SUMIF(CsDJ[Account Code],B151,(CsDJ[Debit]))+SUMIF(CRDJ[Account Code],B151,(CRDJ[Debit]))+SUMIF(GJ[Account Code],B151,(GJ[Debit]))</f>
        <v>88204.7</v>
      </c>
      <c r="F151" s="627">
        <f>SUMIF(PostTB[Account Code (Old)],B151,(PostTB[Credit]))+SUMIF(CkDJ[Account Code],B151,(CkDJ[Credit]))+SUMIF(CsDJ[Account Code],B151,(CsDJ[Credit]))+SUMIF(CRDJ[Account Code],B151,(CRDJ[Credit]))+SUMIF(GJ[Account Code],B151,(GJ[Credit]))</f>
        <v>98590.52</v>
      </c>
      <c r="G151" s="627">
        <f>IF(INDEX(AccountCodes[Normal Balance], MATCH(C151,AccountCodes[PPSAS CODE]))="Credit",F151-E151,0)</f>
        <v>10385.82</v>
      </c>
      <c r="H151" s="626">
        <f t="shared" si="2"/>
        <v>10385.82</v>
      </c>
      <c r="J151" s="700">
        <f>Table6[[#This Row],[DEBIT/CREDIT]]+H152+H153+H154+H155+H156+H157+H158</f>
        <v>10385.82</v>
      </c>
    </row>
    <row r="152" spans="1:10" ht="15.75" hidden="1" x14ac:dyDescent="0.25">
      <c r="A152" s="623" t="str">
        <f t="array" ref="A152">INDEX(AccountCodes[ACCOUNT NAME],MATCH(B152,AccountCodes[NGAS CODE],0))</f>
        <v>Due to GSIS - ECC</v>
      </c>
      <c r="B152" s="597" t="s">
        <v>1441</v>
      </c>
      <c r="C152" s="625">
        <f t="array" ref="C152">INDEX(AccountCodes[PPSAS CODE],MATCH(B152,AccountCodes[NGAS CODE],0))</f>
        <v>2020102002</v>
      </c>
      <c r="D152" s="626">
        <f>IF(INDEX(AccountCodes[Normal Balance], MATCH(C152,AccountCodes[PPSAS CODE]))="Debit",E152-F152,0)</f>
        <v>0</v>
      </c>
      <c r="E152" s="626">
        <f>SUMIF(PostTB[Account Code (Old)],B152,(PostTB[Debit]))+SUMIF(CkDJ[Account Code],B152,(CkDJ[Debit]))+SUMIF(CsDJ[Account Code],B152,(CsDJ[Debit]))+SUMIF(CRDJ[Account Code],B152,(CRDJ[Debit]))+SUMIF(GJ[Account Code],B152,(GJ[Debit]))</f>
        <v>0</v>
      </c>
      <c r="F152" s="627">
        <f>SUMIF(PostTB[Account Code (Old)],B152,(PostTB[Credit]))+SUMIF(CkDJ[Account Code],B152,(CkDJ[Credit]))+SUMIF(CsDJ[Account Code],B152,(CsDJ[Credit]))+SUMIF(CRDJ[Account Code],B152,(CRDJ[Credit]))+SUMIF(GJ[Account Code],B152,(GJ[Credit]))</f>
        <v>0</v>
      </c>
      <c r="G152" s="627">
        <f>IF(INDEX(AccountCodes[Normal Balance], MATCH(C152,AccountCodes[PPSAS CODE]))="Credit",F152-E152,0)</f>
        <v>0</v>
      </c>
      <c r="H152" s="626">
        <f t="shared" si="2"/>
        <v>0</v>
      </c>
    </row>
    <row r="153" spans="1:10" ht="15.75" hidden="1" x14ac:dyDescent="0.25">
      <c r="A153" s="623" t="str">
        <f t="array" ref="A153">INDEX(AccountCodes[ACCOUNT NAME],MATCH(B153,AccountCodes[NGAS CODE],0))</f>
        <v>Due to GSIS - Salary Loan</v>
      </c>
      <c r="B153" s="597" t="s">
        <v>1498</v>
      </c>
      <c r="C153" s="625">
        <f t="array" ref="C153">INDEX(AccountCodes[PPSAS CODE],MATCH(B153,AccountCodes[NGAS CODE],0))</f>
        <v>2020102003</v>
      </c>
      <c r="D153" s="626">
        <f>IF(INDEX(AccountCodes[Normal Balance], MATCH(C153,AccountCodes[PPSAS CODE]))="Debit",E153-F153,0)</f>
        <v>0</v>
      </c>
      <c r="E153" s="626">
        <f>SUMIF(PostTB[Account Code (Old)],B153,(PostTB[Debit]))+SUMIF(CkDJ[Account Code],B153,(CkDJ[Debit]))+SUMIF(CsDJ[Account Code],B153,(CsDJ[Debit]))+SUMIF(CRDJ[Account Code],B153,(CRDJ[Debit]))+SUMIF(GJ[Account Code],B153,(GJ[Debit]))</f>
        <v>0</v>
      </c>
      <c r="F153" s="627">
        <f>SUMIF(PostTB[Account Code (Old)],B153,(PostTB[Credit]))+SUMIF(CkDJ[Account Code],B153,(CkDJ[Credit]))+SUMIF(CsDJ[Account Code],B153,(CsDJ[Credit]))+SUMIF(CRDJ[Account Code],B153,(CRDJ[Credit]))+SUMIF(GJ[Account Code],B153,(GJ[Credit]))</f>
        <v>0</v>
      </c>
      <c r="G153" s="627">
        <f>IF(INDEX(AccountCodes[Normal Balance], MATCH(C153,AccountCodes[PPSAS CODE]))="Credit",F153-E153,0)</f>
        <v>0</v>
      </c>
      <c r="H153" s="626">
        <f t="shared" si="2"/>
        <v>0</v>
      </c>
    </row>
    <row r="154" spans="1:10" ht="15.75" hidden="1" x14ac:dyDescent="0.25">
      <c r="A154" s="623" t="str">
        <f t="array" ref="A154">INDEX(AccountCodes[ACCOUNT NAME],MATCH(B154,AccountCodes[NGAS CODE],0))</f>
        <v>Due to GSIS - Policy Loan</v>
      </c>
      <c r="B154" s="597" t="s">
        <v>1442</v>
      </c>
      <c r="C154" s="625">
        <f t="array" ref="C154">INDEX(AccountCodes[PPSAS CODE],MATCH(B154,AccountCodes[NGAS CODE],0))</f>
        <v>2020102004</v>
      </c>
      <c r="D154" s="626">
        <f>IF(INDEX(AccountCodes[Normal Balance], MATCH(C154,AccountCodes[PPSAS CODE]))="Debit",E154-F154,0)</f>
        <v>0</v>
      </c>
      <c r="E154" s="626">
        <f>SUMIF(PostTB[Account Code (Old)],B154,(PostTB[Debit]))+SUMIF(CkDJ[Account Code],B154,(CkDJ[Debit]))+SUMIF(CsDJ[Account Code],B154,(CsDJ[Debit]))+SUMIF(CRDJ[Account Code],B154,(CRDJ[Debit]))+SUMIF(GJ[Account Code],B154,(GJ[Debit]))</f>
        <v>0</v>
      </c>
      <c r="F154" s="627">
        <f>SUMIF(PostTB[Account Code (Old)],B154,(PostTB[Credit]))+SUMIF(CkDJ[Account Code],B154,(CkDJ[Credit]))+SUMIF(CsDJ[Account Code],B154,(CsDJ[Credit]))+SUMIF(CRDJ[Account Code],B154,(CRDJ[Credit]))+SUMIF(GJ[Account Code],B154,(GJ[Credit]))</f>
        <v>0</v>
      </c>
      <c r="G154" s="627">
        <f>IF(INDEX(AccountCodes[Normal Balance], MATCH(C154,AccountCodes[PPSAS CODE]))="Credit",F154-E154,0)</f>
        <v>0</v>
      </c>
      <c r="H154" s="626">
        <f t="shared" si="2"/>
        <v>0</v>
      </c>
    </row>
    <row r="155" spans="1:10" ht="15.75" hidden="1" x14ac:dyDescent="0.25">
      <c r="A155" s="623" t="str">
        <f t="array" ref="A155">INDEX(AccountCodes[ACCOUNT NAME],MATCH(B155,AccountCodes[NGAS CODE],0))</f>
        <v>Due to GSIS - Educ Assist Loan</v>
      </c>
      <c r="B155" s="597" t="s">
        <v>1443</v>
      </c>
      <c r="C155" s="625">
        <f t="array" ref="C155">INDEX(AccountCodes[PPSAS CODE],MATCH(B155,AccountCodes[NGAS CODE],0))</f>
        <v>2020102005</v>
      </c>
      <c r="D155" s="626">
        <f>IF(INDEX(AccountCodes[Normal Balance], MATCH(C155,AccountCodes[PPSAS CODE]))="Debit",E155-F155,0)</f>
        <v>0</v>
      </c>
      <c r="E155" s="626">
        <f>SUMIF(PostTB[Account Code (Old)],B155,(PostTB[Debit]))+SUMIF(CkDJ[Account Code],B155,(CkDJ[Debit]))+SUMIF(CsDJ[Account Code],B155,(CsDJ[Debit]))+SUMIF(CRDJ[Account Code],B155,(CRDJ[Debit]))+SUMIF(GJ[Account Code],B155,(GJ[Debit]))</f>
        <v>0</v>
      </c>
      <c r="F155" s="627">
        <f>SUMIF(PostTB[Account Code (Old)],B155,(PostTB[Credit]))+SUMIF(CkDJ[Account Code],B155,(CkDJ[Credit]))+SUMIF(CsDJ[Account Code],B155,(CsDJ[Credit]))+SUMIF(CRDJ[Account Code],B155,(CRDJ[Credit]))+SUMIF(GJ[Account Code],B155,(GJ[Credit]))</f>
        <v>0</v>
      </c>
      <c r="G155" s="627">
        <f>IF(INDEX(AccountCodes[Normal Balance], MATCH(C155,AccountCodes[PPSAS CODE]))="Credit",F155-E155,0)</f>
        <v>0</v>
      </c>
      <c r="H155" s="626">
        <f t="shared" si="2"/>
        <v>0</v>
      </c>
    </row>
    <row r="156" spans="1:10" ht="15.75" hidden="1" x14ac:dyDescent="0.25">
      <c r="A156" s="623" t="str">
        <f t="array" ref="A156">INDEX(AccountCodes[ACCOUNT NAME],MATCH(B156,AccountCodes[NGAS CODE],0))</f>
        <v>Due to GSIS - Emergency Loan</v>
      </c>
      <c r="B156" s="597" t="s">
        <v>1500</v>
      </c>
      <c r="C156" s="625">
        <f t="array" ref="C156">INDEX(AccountCodes[PPSAS CODE],MATCH(B156,AccountCodes[NGAS CODE],0))</f>
        <v>2020102006</v>
      </c>
      <c r="D156" s="626">
        <f>IF(INDEX(AccountCodes[Normal Balance], MATCH(C156,AccountCodes[PPSAS CODE]))="Debit",E156-F156,0)</f>
        <v>0</v>
      </c>
      <c r="E156" s="626">
        <f>SUMIF(PostTB[Account Code (Old)],B156,(PostTB[Debit]))+SUMIF(CkDJ[Account Code],B156,(CkDJ[Debit]))+SUMIF(CsDJ[Account Code],B156,(CsDJ[Debit]))+SUMIF(CRDJ[Account Code],B156,(CRDJ[Debit]))+SUMIF(GJ[Account Code],B156,(GJ[Debit]))</f>
        <v>0</v>
      </c>
      <c r="F156" s="627">
        <f>SUMIF(PostTB[Account Code (Old)],B156,(PostTB[Credit]))+SUMIF(CkDJ[Account Code],B156,(CkDJ[Credit]))+SUMIF(CsDJ[Account Code],B156,(CsDJ[Credit]))+SUMIF(CRDJ[Account Code],B156,(CRDJ[Credit]))+SUMIF(GJ[Account Code],B156,(GJ[Credit]))</f>
        <v>0</v>
      </c>
      <c r="G156" s="627">
        <f>IF(INDEX(AccountCodes[Normal Balance], MATCH(C156,AccountCodes[PPSAS CODE]))="Credit",F156-E156,0)</f>
        <v>0</v>
      </c>
      <c r="H156" s="626">
        <f t="shared" si="2"/>
        <v>0</v>
      </c>
    </row>
    <row r="157" spans="1:10" ht="15.75" hidden="1" x14ac:dyDescent="0.25">
      <c r="A157" s="623" t="str">
        <f t="array" ref="A157">INDEX(AccountCodes[ACCOUNT NAME],MATCH(B157,AccountCodes[NGAS CODE],0))</f>
        <v>Due to GSIS - Calamity Loan</v>
      </c>
      <c r="B157" s="597" t="s">
        <v>1502</v>
      </c>
      <c r="C157" s="625">
        <f t="array" ref="C157">INDEX(AccountCodes[PPSAS CODE],MATCH(B157,AccountCodes[NGAS CODE],0))</f>
        <v>2020102007</v>
      </c>
      <c r="D157" s="626">
        <f>IF(INDEX(AccountCodes[Normal Balance], MATCH(C157,AccountCodes[PPSAS CODE]))="Debit",E157-F157,0)</f>
        <v>0</v>
      </c>
      <c r="E157" s="626">
        <f>SUMIF(PostTB[Account Code (Old)],B157,(PostTB[Debit]))+SUMIF(CkDJ[Account Code],B157,(CkDJ[Debit]))+SUMIF(CsDJ[Account Code],B157,(CsDJ[Debit]))+SUMIF(CRDJ[Account Code],B157,(CRDJ[Debit]))+SUMIF(GJ[Account Code],B157,(GJ[Debit]))</f>
        <v>0</v>
      </c>
      <c r="F157" s="627">
        <f>SUMIF(PostTB[Account Code (Old)],B157,(PostTB[Credit]))+SUMIF(CkDJ[Account Code],B157,(CkDJ[Credit]))+SUMIF(CsDJ[Account Code],B157,(CsDJ[Credit]))+SUMIF(CRDJ[Account Code],B157,(CRDJ[Credit]))+SUMIF(GJ[Account Code],B157,(GJ[Credit]))</f>
        <v>0</v>
      </c>
      <c r="G157" s="627">
        <f>IF(INDEX(AccountCodes[Normal Balance], MATCH(C157,AccountCodes[PPSAS CODE]))="Credit",F157-E157,0)</f>
        <v>0</v>
      </c>
      <c r="H157" s="626">
        <f t="shared" si="2"/>
        <v>0</v>
      </c>
    </row>
    <row r="158" spans="1:10" ht="15.75" hidden="1" x14ac:dyDescent="0.25">
      <c r="A158" s="623" t="str">
        <f t="array" ref="A158">INDEX(AccountCodes[ACCOUNT NAME],MATCH(B158,AccountCodes[NGAS CODE],0))</f>
        <v>Due to GSIS - Housing Loan</v>
      </c>
      <c r="B158" s="597" t="s">
        <v>1504</v>
      </c>
      <c r="C158" s="625">
        <f t="array" ref="C158">INDEX(AccountCodes[PPSAS CODE],MATCH(B158,AccountCodes[NGAS CODE],0))</f>
        <v>2020102008</v>
      </c>
      <c r="D158" s="626">
        <f>IF(INDEX(AccountCodes[Normal Balance], MATCH(C158,AccountCodes[PPSAS CODE]))="Debit",E158-F158,0)</f>
        <v>0</v>
      </c>
      <c r="E158" s="626">
        <f>SUMIF(PostTB[Account Code (Old)],B158,(PostTB[Debit]))+SUMIF(CkDJ[Account Code],B158,(CkDJ[Debit]))+SUMIF(CsDJ[Account Code],B158,(CsDJ[Debit]))+SUMIF(CRDJ[Account Code],B158,(CRDJ[Debit]))+SUMIF(GJ[Account Code],B158,(GJ[Debit]))</f>
        <v>0</v>
      </c>
      <c r="F158" s="627">
        <f>SUMIF(PostTB[Account Code (Old)],B158,(PostTB[Credit]))+SUMIF(CkDJ[Account Code],B158,(CkDJ[Credit]))+SUMIF(CsDJ[Account Code],B158,(CsDJ[Credit]))+SUMIF(CRDJ[Account Code],B158,(CRDJ[Credit]))+SUMIF(GJ[Account Code],B158,(GJ[Credit]))</f>
        <v>0</v>
      </c>
      <c r="G158" s="627">
        <f>IF(INDEX(AccountCodes[Normal Balance], MATCH(C158,AccountCodes[PPSAS CODE]))="Credit",F158-E158,0)</f>
        <v>0</v>
      </c>
      <c r="H158" s="626">
        <f t="shared" si="2"/>
        <v>0</v>
      </c>
    </row>
    <row r="159" spans="1:10" ht="15.75" hidden="1" x14ac:dyDescent="0.25">
      <c r="A159" s="623" t="str">
        <f t="array" ref="A159">INDEX(AccountCodes[ACCOUNT NAME],MATCH(B159,AccountCodes[NGAS CODE],0))</f>
        <v>Due to Pag-IBIG</v>
      </c>
      <c r="B159" s="597" t="s">
        <v>111</v>
      </c>
      <c r="C159" s="625">
        <f t="array" ref="C159">INDEX(AccountCodes[PPSAS CODE],MATCH(B159,AccountCodes[NGAS CODE],0))</f>
        <v>2020103000</v>
      </c>
      <c r="D159" s="626">
        <f>IF(INDEX(AccountCodes[Normal Balance], MATCH(C159,AccountCodes[PPSAS CODE]))="Debit",E159-F159,0)</f>
        <v>0</v>
      </c>
      <c r="E159" s="626">
        <f>SUMIF(PostTB[Account Code (Old)],B159,(PostTB[Debit]))+SUMIF(CkDJ[Account Code],B159,(CkDJ[Debit]))+SUMIF(CsDJ[Account Code],B159,(CsDJ[Debit]))+SUMIF(CRDJ[Account Code],B159,(CRDJ[Debit]))+SUMIF(GJ[Account Code],B159,(GJ[Debit]))</f>
        <v>2500</v>
      </c>
      <c r="F159" s="627">
        <f>SUMIF(PostTB[Account Code (Old)],B159,(PostTB[Credit]))+SUMIF(CkDJ[Account Code],B159,(CkDJ[Credit]))+SUMIF(CsDJ[Account Code],B159,(CsDJ[Credit]))+SUMIF(CRDJ[Account Code],B159,(CRDJ[Credit]))+SUMIF(GJ[Account Code],B159,(GJ[Credit]))</f>
        <v>2500</v>
      </c>
      <c r="G159" s="627">
        <f>IF(INDEX(AccountCodes[Normal Balance], MATCH(C159,AccountCodes[PPSAS CODE]))="Credit",F159-E159,0)</f>
        <v>0</v>
      </c>
      <c r="H159" s="626">
        <f t="shared" si="2"/>
        <v>0</v>
      </c>
    </row>
    <row r="160" spans="1:10" ht="15.75" hidden="1" x14ac:dyDescent="0.25">
      <c r="A160" s="623" t="str">
        <f t="array" ref="A160">INDEX(AccountCodes[ACCOUNT NAME],MATCH(B160,AccountCodes[NGAS CODE],0))</f>
        <v>Due to Pag-IBIG - Pag-IBIG Premium</v>
      </c>
      <c r="B160" s="597" t="s">
        <v>1444</v>
      </c>
      <c r="C160" s="625">
        <f t="array" ref="C160">INDEX(AccountCodes[PPSAS CODE],MATCH(B160,AccountCodes[NGAS CODE],0))</f>
        <v>2020103001</v>
      </c>
      <c r="D160" s="626">
        <f>IF(INDEX(AccountCodes[Normal Balance], MATCH(C160,AccountCodes[PPSAS CODE]))="Debit",E160-F160,0)</f>
        <v>0</v>
      </c>
      <c r="E160" s="626">
        <f>SUMIF(PostTB[Account Code (Old)],B160,(PostTB[Debit]))+SUMIF(CkDJ[Account Code],B160,(CkDJ[Debit]))+SUMIF(CsDJ[Account Code],B160,(CsDJ[Debit]))+SUMIF(CRDJ[Account Code],B160,(CRDJ[Debit]))+SUMIF(GJ[Account Code],B160,(GJ[Debit]))</f>
        <v>18356.060000000001</v>
      </c>
      <c r="F160" s="627">
        <f>SUMIF(PostTB[Account Code (Old)],B160,(PostTB[Credit]))+SUMIF(CkDJ[Account Code],B160,(CkDJ[Credit]))+SUMIF(CsDJ[Account Code],B160,(CsDJ[Credit]))+SUMIF(CRDJ[Account Code],B160,(CRDJ[Credit]))+SUMIF(GJ[Account Code],B160,(GJ[Credit]))</f>
        <v>18356.060000000001</v>
      </c>
      <c r="G160" s="627">
        <f>IF(INDEX(AccountCodes[Normal Balance], MATCH(C160,AccountCodes[PPSAS CODE]))="Credit",F160-E160,0)</f>
        <v>0</v>
      </c>
      <c r="H160" s="626">
        <f t="shared" si="2"/>
        <v>0</v>
      </c>
      <c r="J160" s="700">
        <f>Table6[[#This Row],[DEBIT/CREDIT]]+H161+H162+H163+H164</f>
        <v>0</v>
      </c>
    </row>
    <row r="161" spans="1:10" ht="15.75" hidden="1" x14ac:dyDescent="0.25">
      <c r="A161" s="623" t="str">
        <f t="array" ref="A161">INDEX(AccountCodes[ACCOUNT NAME],MATCH(B161,AccountCodes[NGAS CODE],0))</f>
        <v>Due to Pag-IBIG - Pag-IBIG Multi-Purpose Loan</v>
      </c>
      <c r="B161" s="597" t="s">
        <v>1445</v>
      </c>
      <c r="C161" s="625">
        <f t="array" ref="C161">INDEX(AccountCodes[PPSAS CODE],MATCH(B161,AccountCodes[NGAS CODE],0))</f>
        <v>2020103002</v>
      </c>
      <c r="D161" s="626">
        <f>IF(INDEX(AccountCodes[Normal Balance], MATCH(C161,AccountCodes[PPSAS CODE]))="Debit",E161-F161,0)</f>
        <v>0</v>
      </c>
      <c r="E161" s="626">
        <f>SUMIF(PostTB[Account Code (Old)],B161,(PostTB[Debit]))+SUMIF(CkDJ[Account Code],B161,(CkDJ[Debit]))+SUMIF(CsDJ[Account Code],B161,(CsDJ[Debit]))+SUMIF(CRDJ[Account Code],B161,(CRDJ[Debit]))+SUMIF(GJ[Account Code],B161,(GJ[Debit]))</f>
        <v>2825.02</v>
      </c>
      <c r="F161" s="627">
        <f>SUMIF(PostTB[Account Code (Old)],B161,(PostTB[Credit]))+SUMIF(CkDJ[Account Code],B161,(CkDJ[Credit]))+SUMIF(CsDJ[Account Code],B161,(CsDJ[Credit]))+SUMIF(CRDJ[Account Code],B161,(CRDJ[Credit]))+SUMIF(GJ[Account Code],B161,(GJ[Credit]))</f>
        <v>2825.02</v>
      </c>
      <c r="G161" s="627">
        <f>IF(INDEX(AccountCodes[Normal Balance], MATCH(C161,AccountCodes[PPSAS CODE]))="Credit",F161-E161,0)</f>
        <v>0</v>
      </c>
      <c r="H161" s="626">
        <f t="shared" si="2"/>
        <v>0</v>
      </c>
    </row>
    <row r="162" spans="1:10" ht="15.75" hidden="1" x14ac:dyDescent="0.25">
      <c r="A162" s="623" t="str">
        <f t="array" ref="A162">INDEX(AccountCodes[ACCOUNT NAME],MATCH(B162,AccountCodes[NGAS CODE],0))</f>
        <v>Due to Pag-IBIG - Pag-IBIG Housing Loan</v>
      </c>
      <c r="B162" s="597" t="s">
        <v>1446</v>
      </c>
      <c r="C162" s="625">
        <f t="array" ref="C162">INDEX(AccountCodes[PPSAS CODE],MATCH(B162,AccountCodes[NGAS CODE],0))</f>
        <v>2020103003</v>
      </c>
      <c r="D162" s="626">
        <f>IF(INDEX(AccountCodes[Normal Balance], MATCH(C162,AccountCodes[PPSAS CODE]))="Debit",E162-F162,0)</f>
        <v>0</v>
      </c>
      <c r="E162" s="626">
        <f>SUMIF(PostTB[Account Code (Old)],B162,(PostTB[Debit]))+SUMIF(CkDJ[Account Code],B162,(CkDJ[Debit]))+SUMIF(CsDJ[Account Code],B162,(CsDJ[Debit]))+SUMIF(CRDJ[Account Code],B162,(CRDJ[Debit]))+SUMIF(GJ[Account Code],B162,(GJ[Debit]))</f>
        <v>0</v>
      </c>
      <c r="F162" s="627">
        <f>SUMIF(PostTB[Account Code (Old)],B162,(PostTB[Credit]))+SUMIF(CkDJ[Account Code],B162,(CkDJ[Credit]))+SUMIF(CsDJ[Account Code],B162,(CsDJ[Credit]))+SUMIF(CRDJ[Account Code],B162,(CRDJ[Credit]))+SUMIF(GJ[Account Code],B162,(GJ[Credit]))</f>
        <v>0</v>
      </c>
      <c r="G162" s="627">
        <f>IF(INDEX(AccountCodes[Normal Balance], MATCH(C162,AccountCodes[PPSAS CODE]))="Credit",F162-E162,0)</f>
        <v>0</v>
      </c>
      <c r="H162" s="626">
        <f t="shared" si="2"/>
        <v>0</v>
      </c>
    </row>
    <row r="163" spans="1:10" ht="15.75" hidden="1" x14ac:dyDescent="0.25">
      <c r="A163" s="623" t="str">
        <f t="array" ref="A163">INDEX(AccountCodes[ACCOUNT NAME],MATCH(B163,AccountCodes[NGAS CODE],0))</f>
        <v>Due to Pag-IBIG - Calamity Loan</v>
      </c>
      <c r="B163" s="597" t="s">
        <v>1506</v>
      </c>
      <c r="C163" s="625">
        <f t="array" ref="C163">INDEX(AccountCodes[PPSAS CODE],MATCH(B163,AccountCodes[NGAS CODE],0))</f>
        <v>2020103004</v>
      </c>
      <c r="D163" s="626">
        <f>IF(INDEX(AccountCodes[Normal Balance], MATCH(C163,AccountCodes[PPSAS CODE]))="Debit",E163-F163,0)</f>
        <v>0</v>
      </c>
      <c r="E163" s="626">
        <f>SUMIF(PostTB[Account Code (Old)],B163,(PostTB[Debit]))+SUMIF(CkDJ[Account Code],B163,(CkDJ[Debit]))+SUMIF(CsDJ[Account Code],B163,(CsDJ[Debit]))+SUMIF(CRDJ[Account Code],B163,(CRDJ[Debit]))+SUMIF(GJ[Account Code],B163,(GJ[Debit]))</f>
        <v>0</v>
      </c>
      <c r="F163" s="627">
        <f>SUMIF(PostTB[Account Code (Old)],B163,(PostTB[Credit]))+SUMIF(CkDJ[Account Code],B163,(CkDJ[Credit]))+SUMIF(CsDJ[Account Code],B163,(CsDJ[Credit]))+SUMIF(CRDJ[Account Code],B163,(CRDJ[Credit]))+SUMIF(GJ[Account Code],B163,(GJ[Credit]))</f>
        <v>0</v>
      </c>
      <c r="G163" s="627">
        <f>IF(INDEX(AccountCodes[Normal Balance], MATCH(C163,AccountCodes[PPSAS CODE]))="Credit",F163-E163,0)</f>
        <v>0</v>
      </c>
      <c r="H163" s="626">
        <f t="shared" si="2"/>
        <v>0</v>
      </c>
    </row>
    <row r="164" spans="1:10" ht="15.75" hidden="1" x14ac:dyDescent="0.25">
      <c r="A164" s="623" t="str">
        <f t="array" ref="A164">INDEX(AccountCodes[ACCOUNT NAME],MATCH(B164,AccountCodes[NGAS CODE],0))</f>
        <v>Due to Pag-IBIG - MP2</v>
      </c>
      <c r="B164" s="597" t="s">
        <v>1508</v>
      </c>
      <c r="C164" s="625">
        <f t="array" ref="C164">INDEX(AccountCodes[PPSAS CODE],MATCH(B164,AccountCodes[NGAS CODE],0))</f>
        <v>2020103005</v>
      </c>
      <c r="D164" s="626">
        <f>IF(INDEX(AccountCodes[Normal Balance], MATCH(C164,AccountCodes[PPSAS CODE]))="Debit",E164-F164,0)</f>
        <v>0</v>
      </c>
      <c r="E164" s="626">
        <f>SUMIF(PostTB[Account Code (Old)],B164,(PostTB[Debit]))+SUMIF(CkDJ[Account Code],B164,(CkDJ[Debit]))+SUMIF(CsDJ[Account Code],B164,(CsDJ[Debit]))+SUMIF(CRDJ[Account Code],B164,(CRDJ[Debit]))+SUMIF(GJ[Account Code],B164,(GJ[Debit]))</f>
        <v>27000</v>
      </c>
      <c r="F164" s="627">
        <f>SUMIF(PostTB[Account Code (Old)],B164,(PostTB[Credit]))+SUMIF(CkDJ[Account Code],B164,(CkDJ[Credit]))+SUMIF(CsDJ[Account Code],B164,(CsDJ[Credit]))+SUMIF(CRDJ[Account Code],B164,(CRDJ[Credit]))+SUMIF(GJ[Account Code],B164,(GJ[Credit]))</f>
        <v>27000</v>
      </c>
      <c r="G164" s="627">
        <f>IF(INDEX(AccountCodes[Normal Balance], MATCH(C164,AccountCodes[PPSAS CODE]))="Credit",F164-E164,0)</f>
        <v>0</v>
      </c>
      <c r="H164" s="626">
        <f t="shared" si="2"/>
        <v>0</v>
      </c>
    </row>
    <row r="165" spans="1:10" ht="15.75" hidden="1" x14ac:dyDescent="0.25">
      <c r="A165" s="623" t="str">
        <f t="array" ref="A165">INDEX(AccountCodes[ACCOUNT NAME],MATCH(B165,AccountCodes[NGAS CODE],0))</f>
        <v>Due to PhilHealth</v>
      </c>
      <c r="B165" s="597" t="s">
        <v>112</v>
      </c>
      <c r="C165" s="625">
        <f t="array" ref="C165">INDEX(AccountCodes[PPSAS CODE],MATCH(B165,AccountCodes[NGAS CODE],0))</f>
        <v>2020104000</v>
      </c>
      <c r="D165" s="626">
        <f>IF(INDEX(AccountCodes[Normal Balance], MATCH(C165,AccountCodes[PPSAS CODE]))="Debit",E165-F165,0)</f>
        <v>0</v>
      </c>
      <c r="E165" s="626">
        <f>SUMIF(PostTB[Account Code (Old)],B165,(PostTB[Debit]))+SUMIF(CkDJ[Account Code],B165,(CkDJ[Debit]))+SUMIF(CsDJ[Account Code],B165,(CsDJ[Debit]))+SUMIF(CRDJ[Account Code],B165,(CRDJ[Debit]))+SUMIF(GJ[Account Code],B165,(GJ[Debit]))</f>
        <v>22574.25</v>
      </c>
      <c r="F165" s="627">
        <f>SUMIF(PostTB[Account Code (Old)],B165,(PostTB[Credit]))+SUMIF(CkDJ[Account Code],B165,(CkDJ[Credit]))+SUMIF(CsDJ[Account Code],B165,(CsDJ[Credit]))+SUMIF(CRDJ[Account Code],B165,(CRDJ[Credit]))+SUMIF(GJ[Account Code],B165,(GJ[Credit]))</f>
        <v>22574.25</v>
      </c>
      <c r="G165" s="627">
        <f>IF(INDEX(AccountCodes[Normal Balance], MATCH(C165,AccountCodes[PPSAS CODE]))="Credit",F165-E165,0)</f>
        <v>0</v>
      </c>
      <c r="H165" s="626">
        <f t="shared" si="2"/>
        <v>0</v>
      </c>
    </row>
    <row r="166" spans="1:10" ht="15.75" hidden="1" x14ac:dyDescent="0.25">
      <c r="A166" s="623" t="str">
        <f t="array" ref="A166">INDEX(AccountCodes[ACCOUNT NAME],MATCH(B166,AccountCodes[NGAS CODE],0))</f>
        <v>Due to NGAs</v>
      </c>
      <c r="B166" s="597" t="s">
        <v>113</v>
      </c>
      <c r="C166" s="625">
        <f t="array" ref="C166">INDEX(AccountCodes[PPSAS CODE],MATCH(B166,AccountCodes[NGAS CODE],0))</f>
        <v>2020105000</v>
      </c>
      <c r="D166" s="626">
        <f>IF(INDEX(AccountCodes[Normal Balance], MATCH(C166,AccountCodes[PPSAS CODE]))="Debit",E166-F166,0)</f>
        <v>0</v>
      </c>
      <c r="E166" s="626">
        <f>SUMIF(PostTB[Account Code (Old)],B166,(PostTB[Debit]))+SUMIF(CkDJ[Account Code],B166,(CkDJ[Debit]))+SUMIF(CsDJ[Account Code],B166,(CsDJ[Debit]))+SUMIF(CRDJ[Account Code],B166,(CRDJ[Debit]))+SUMIF(GJ[Account Code],B166,(GJ[Debit]))</f>
        <v>0</v>
      </c>
      <c r="F166" s="627">
        <f>SUMIF(PostTB[Account Code (Old)],B166,(PostTB[Credit]))+SUMIF(CkDJ[Account Code],B166,(CkDJ[Credit]))+SUMIF(CsDJ[Account Code],B166,(CsDJ[Credit]))+SUMIF(CRDJ[Account Code],B166,(CRDJ[Credit]))+SUMIF(GJ[Account Code],B166,(GJ[Credit]))</f>
        <v>0</v>
      </c>
      <c r="G166" s="627">
        <f>IF(INDEX(AccountCodes[Normal Balance], MATCH(C166,AccountCodes[PPSAS CODE]))="Credit",F166-E166,0)</f>
        <v>0</v>
      </c>
      <c r="H166" s="626">
        <f t="shared" si="2"/>
        <v>0</v>
      </c>
    </row>
    <row r="167" spans="1:10" ht="15.75" hidden="1" x14ac:dyDescent="0.25">
      <c r="A167" s="623" t="str">
        <f t="array" ref="A167">INDEX(AccountCodes[ACCOUNT NAME],MATCH(B167,AccountCodes[NGAS CODE],0))</f>
        <v>Due to Central Office</v>
      </c>
      <c r="B167" s="597" t="s">
        <v>407</v>
      </c>
      <c r="C167" s="625">
        <f t="array" ref="C167">INDEX(AccountCodes[PPSAS CODE],MATCH(B167,AccountCodes[NGAS CODE],0))</f>
        <v>2030101000</v>
      </c>
      <c r="D167" s="626">
        <f>IF(INDEX(AccountCodes[Normal Balance], MATCH(C167,AccountCodes[PPSAS CODE]))="Debit",E167-F167,0)</f>
        <v>0</v>
      </c>
      <c r="E167" s="626">
        <f>SUMIF(PostTB[Account Code (Old)],B167,(PostTB[Debit]))+SUMIF(CkDJ[Account Code],B167,(CkDJ[Debit]))+SUMIF(CsDJ[Account Code],B167,(CsDJ[Debit]))+SUMIF(CRDJ[Account Code],B167,(CRDJ[Debit]))+SUMIF(GJ[Account Code],B167,(GJ[Debit]))</f>
        <v>0</v>
      </c>
      <c r="F167" s="627">
        <f>SUMIF(PostTB[Account Code (Old)],B167,(PostTB[Credit]))+SUMIF(CkDJ[Account Code],B167,(CkDJ[Credit]))+SUMIF(CsDJ[Account Code],B167,(CsDJ[Credit]))+SUMIF(CRDJ[Account Code],B167,(CRDJ[Credit]))+SUMIF(GJ[Account Code],B167,(GJ[Credit]))</f>
        <v>0</v>
      </c>
      <c r="G167" s="627">
        <f>IF(INDEX(AccountCodes[Normal Balance], MATCH(C167,AccountCodes[PPSAS CODE]))="Credit",F167-E167,0)</f>
        <v>0</v>
      </c>
      <c r="H167" s="626">
        <f t="shared" si="2"/>
        <v>0</v>
      </c>
    </row>
    <row r="168" spans="1:10" ht="15.75" hidden="1" x14ac:dyDescent="0.25">
      <c r="A168" s="623" t="str">
        <f t="array" ref="A168">INDEX(AccountCodes[ACCOUNT NAME],MATCH(B168,AccountCodes[NGAS CODE],0))</f>
        <v>Due to Regional Offices</v>
      </c>
      <c r="B168" s="597" t="s">
        <v>1229</v>
      </c>
      <c r="C168" s="625">
        <f t="array" ref="C168">INDEX(AccountCodes[PPSAS CODE],MATCH(B168,AccountCodes[NGAS CODE],0))</f>
        <v>2030103000</v>
      </c>
      <c r="D168" s="626">
        <f>IF(INDEX(AccountCodes[Normal Balance], MATCH(C168,AccountCodes[PPSAS CODE]))="Debit",E168-F168,0)</f>
        <v>0</v>
      </c>
      <c r="E168" s="626">
        <f>SUMIF(PostTB[Account Code (Old)],B168,(PostTB[Debit]))+SUMIF(CkDJ[Account Code],B168,(CkDJ[Debit]))+SUMIF(CsDJ[Account Code],B168,(CsDJ[Debit]))+SUMIF(CRDJ[Account Code],B168,(CRDJ[Debit]))+SUMIF(GJ[Account Code],B168,(GJ[Debit]))</f>
        <v>0</v>
      </c>
      <c r="F168" s="627">
        <f>SUMIF(PostTB[Account Code (Old)],B168,(PostTB[Credit]))+SUMIF(CkDJ[Account Code],B168,(CkDJ[Credit]))+SUMIF(CsDJ[Account Code],B168,(CsDJ[Credit]))+SUMIF(CRDJ[Account Code],B168,(CRDJ[Credit]))+SUMIF(GJ[Account Code],B168,(GJ[Credit]))</f>
        <v>0</v>
      </c>
      <c r="G168" s="627">
        <f>IF(INDEX(AccountCodes[Normal Balance], MATCH(C168,AccountCodes[PPSAS CODE]))="Credit",F168-E168,0)</f>
        <v>0</v>
      </c>
      <c r="H168" s="626">
        <f t="shared" si="2"/>
        <v>0</v>
      </c>
    </row>
    <row r="169" spans="1:10" ht="15.75" hidden="1" x14ac:dyDescent="0.25">
      <c r="A169" s="623" t="str">
        <f t="array" ref="A169">INDEX(AccountCodes[ACCOUNT NAME],MATCH(B169,AccountCodes[NGAS CODE],0))</f>
        <v>Due to Other Funds</v>
      </c>
      <c r="B169" s="597" t="s">
        <v>114</v>
      </c>
      <c r="C169" s="625">
        <f t="array" ref="C169">INDEX(AccountCodes[PPSAS CODE],MATCH(B169,AccountCodes[NGAS CODE],0))</f>
        <v>2030105000</v>
      </c>
      <c r="D169" s="626">
        <f>IF(INDEX(AccountCodes[Normal Balance], MATCH(C169,AccountCodes[PPSAS CODE]))="Debit",E169-F169,0)</f>
        <v>0</v>
      </c>
      <c r="E169" s="626">
        <f>SUMIF(PostTB[Account Code (Old)],B169,(PostTB[Debit]))+SUMIF(CkDJ[Account Code],B169,(CkDJ[Debit]))+SUMIF(CsDJ[Account Code],B169,(CsDJ[Debit]))+SUMIF(CRDJ[Account Code],B169,(CRDJ[Debit]))+SUMIF(GJ[Account Code],B169,(GJ[Debit]))</f>
        <v>0</v>
      </c>
      <c r="F169" s="627">
        <f>SUMIF(PostTB[Account Code (Old)],B169,(PostTB[Credit]))+SUMIF(CkDJ[Account Code],B169,(CkDJ[Credit]))+SUMIF(CsDJ[Account Code],B169,(CsDJ[Credit]))+SUMIF(CRDJ[Account Code],B169,(CRDJ[Credit]))+SUMIF(GJ[Account Code],B169,(GJ[Credit]))</f>
        <v>0</v>
      </c>
      <c r="G169" s="627">
        <f>IF(INDEX(AccountCodes[Normal Balance], MATCH(C169,AccountCodes[PPSAS CODE]))="Credit",F169-E169,0)</f>
        <v>0</v>
      </c>
      <c r="H169" s="626">
        <f t="shared" si="2"/>
        <v>0</v>
      </c>
    </row>
    <row r="170" spans="1:10" ht="15.75" hidden="1" x14ac:dyDescent="0.25">
      <c r="A170" s="623" t="str">
        <f t="array" ref="A170">INDEX(AccountCodes[ACCOUNT NAME],MATCH(B170,AccountCodes[NGAS CODE],0))</f>
        <v>Bail Bonds Payable</v>
      </c>
      <c r="B170" s="597" t="s">
        <v>116</v>
      </c>
      <c r="C170" s="625">
        <f t="array" ref="C170">INDEX(AccountCodes[PPSAS CODE],MATCH(B170,AccountCodes[NGAS CODE],0))</f>
        <v>2040103000</v>
      </c>
      <c r="D170" s="626">
        <f>IF(INDEX(AccountCodes[Normal Balance], MATCH(C170,AccountCodes[PPSAS CODE]))="Debit",E170-F170,0)</f>
        <v>0</v>
      </c>
      <c r="E170" s="626">
        <f>SUMIF(PostTB[Account Code (Old)],B170,(PostTB[Debit]))+SUMIF(CkDJ[Account Code],B170,(CkDJ[Debit]))+SUMIF(CsDJ[Account Code],B170,(CsDJ[Debit]))+SUMIF(CRDJ[Account Code],B170,(CRDJ[Debit]))+SUMIF(GJ[Account Code],B170,(GJ[Debit]))</f>
        <v>0</v>
      </c>
      <c r="F170" s="627">
        <f>SUMIF(PostTB[Account Code (Old)],B170,(PostTB[Credit]))+SUMIF(CkDJ[Account Code],B170,(CkDJ[Credit]))+SUMIF(CsDJ[Account Code],B170,(CsDJ[Credit]))+SUMIF(CRDJ[Account Code],B170,(CRDJ[Credit]))+SUMIF(GJ[Account Code],B170,(GJ[Credit]))</f>
        <v>0</v>
      </c>
      <c r="G170" s="627">
        <f>IF(INDEX(AccountCodes[Normal Balance], MATCH(C170,AccountCodes[PPSAS CODE]))="Credit",F170-E170,0)</f>
        <v>0</v>
      </c>
      <c r="H170" s="626">
        <f t="shared" si="2"/>
        <v>0</v>
      </c>
    </row>
    <row r="171" spans="1:10" ht="15.75" x14ac:dyDescent="0.25">
      <c r="A171" s="623" t="str">
        <f t="array" ref="A171">INDEX(AccountCodes[ACCOUNT NAME],MATCH(B171,AccountCodes[NGAS CODE],0))</f>
        <v>Guaranty/Security Deposits Payable</v>
      </c>
      <c r="B171" s="597" t="s">
        <v>115</v>
      </c>
      <c r="C171" s="625">
        <f t="array" ref="C171">INDEX(AccountCodes[PPSAS CODE],MATCH(B171,AccountCodes[NGAS CODE],0))</f>
        <v>2040104000</v>
      </c>
      <c r="D171" s="626">
        <f>IF(INDEX(AccountCodes[Normal Balance], MATCH(C171,AccountCodes[PPSAS CODE]))="Debit",E171-F171,0)</f>
        <v>0</v>
      </c>
      <c r="E171" s="626">
        <f>SUMIF(PostTB[Account Code (Old)],B171,(PostTB[Debit]))+SUMIF(CkDJ[Account Code],B171,(CkDJ[Debit]))+SUMIF(CsDJ[Account Code],B171,(CsDJ[Debit]))+SUMIF(CRDJ[Account Code],B171,(CRDJ[Debit]))+SUMIF(GJ[Account Code],B171,(GJ[Debit]))</f>
        <v>1077609.54</v>
      </c>
      <c r="F171" s="627">
        <f>SUMIF(PostTB[Account Code (Old)],B171,(PostTB[Credit]))+SUMIF(CkDJ[Account Code],B171,(CkDJ[Credit]))+SUMIF(CsDJ[Account Code],B171,(CsDJ[Credit]))+SUMIF(CRDJ[Account Code],B171,(CRDJ[Credit]))+SUMIF(GJ[Account Code],B171,(GJ[Credit]))</f>
        <v>3493353.37</v>
      </c>
      <c r="G171" s="627">
        <f>IF(INDEX(AccountCodes[Normal Balance], MATCH(C171,AccountCodes[PPSAS CODE]))="Credit",F171-E171,0)</f>
        <v>2415743.83</v>
      </c>
      <c r="H171" s="626">
        <f t="shared" si="2"/>
        <v>2415743.83</v>
      </c>
      <c r="J171" s="700">
        <f>Table6[[#This Row],[CREDIT]]+G175</f>
        <v>5092150.79</v>
      </c>
    </row>
    <row r="172" spans="1:10" ht="15.75" hidden="1" x14ac:dyDescent="0.25">
      <c r="A172" s="623" t="str">
        <f t="array" ref="A172">INDEX(AccountCodes[ACCOUNT NAME],MATCH(B172,AccountCodes[NGAS CODE],0))</f>
        <v>Other Deferred Credits (Irrigation Service Fee)</v>
      </c>
      <c r="B172" s="597" t="s">
        <v>120</v>
      </c>
      <c r="C172" s="625">
        <f t="array" ref="C172">INDEX(AccountCodes[PPSAS CODE],MATCH(B172,AccountCodes[NGAS CODE],0))</f>
        <v>2050199000</v>
      </c>
      <c r="D172" s="626">
        <f>IF(INDEX(AccountCodes[Normal Balance], MATCH(C172,AccountCodes[PPSAS CODE]))="Debit",E172-F172,0)</f>
        <v>0</v>
      </c>
      <c r="E172" s="626">
        <f>SUMIF(PostTB[Account Code (Old)],B172,(PostTB[Debit]))+SUMIF(CkDJ[Account Code],B172,(CkDJ[Debit]))+SUMIF(CsDJ[Account Code],B172,(CsDJ[Debit]))+SUMIF(CRDJ[Account Code],B172,(CRDJ[Debit]))+SUMIF(GJ[Account Code],B172,(GJ[Debit]))</f>
        <v>0</v>
      </c>
      <c r="F172" s="627">
        <f>SUMIF(PostTB[Account Code (Old)],B172,(PostTB[Credit]))+SUMIF(CkDJ[Account Code],B172,(CkDJ[Credit]))+SUMIF(CsDJ[Account Code],B172,(CsDJ[Credit]))+SUMIF(CRDJ[Account Code],B172,(CRDJ[Credit]))+SUMIF(GJ[Account Code],B172,(GJ[Credit]))</f>
        <v>0</v>
      </c>
      <c r="G172" s="627">
        <f>IF(INDEX(AccountCodes[Normal Balance], MATCH(C172,AccountCodes[PPSAS CODE]))="Credit",F172-E172,0)</f>
        <v>0</v>
      </c>
      <c r="H172" s="626">
        <f t="shared" si="2"/>
        <v>0</v>
      </c>
    </row>
    <row r="173" spans="1:10" ht="15.75" hidden="1" x14ac:dyDescent="0.25">
      <c r="A173" s="623" t="str">
        <f t="array" ref="A173">INDEX(AccountCodes[ACCOUNT NAME],MATCH(B173,AccountCodes[NGAS CODE],0))</f>
        <v>Other Deferred Credits (PA/CIS/CIP Equity)</v>
      </c>
      <c r="B173" s="597" t="s">
        <v>8</v>
      </c>
      <c r="C173" s="625">
        <f t="array" ref="C173">INDEX(AccountCodes[PPSAS CODE],MATCH(B173,AccountCodes[NGAS CODE],0))</f>
        <v>2050199000</v>
      </c>
      <c r="D173" s="626">
        <f>IF(INDEX(AccountCodes[Normal Balance], MATCH(C173,AccountCodes[PPSAS CODE]))="Debit",E173-F173,0)</f>
        <v>0</v>
      </c>
      <c r="E173" s="626">
        <f>SUMIF(PostTB[Account Code (Old)],B173,(PostTB[Debit]))+SUMIF(CkDJ[Account Code],B173,(CkDJ[Debit]))+SUMIF(CsDJ[Account Code],B173,(CsDJ[Debit]))+SUMIF(CRDJ[Account Code],B173,(CRDJ[Debit]))+SUMIF(GJ[Account Code],B173,(GJ[Debit]))</f>
        <v>0</v>
      </c>
      <c r="F173" s="627">
        <f>SUMIF(PostTB[Account Code (Old)],B173,(PostTB[Credit]))+SUMIF(CkDJ[Account Code],B173,(CkDJ[Credit]))+SUMIF(CsDJ[Account Code],B173,(CsDJ[Credit]))+SUMIF(CRDJ[Account Code],B173,(CRDJ[Credit]))+SUMIF(GJ[Account Code],B173,(GJ[Credit]))</f>
        <v>0</v>
      </c>
      <c r="G173" s="627">
        <f>IF(INDEX(AccountCodes[Normal Balance], MATCH(C173,AccountCodes[PPSAS CODE]))="Credit",F173-E173,0)</f>
        <v>0</v>
      </c>
      <c r="H173" s="626">
        <f t="shared" si="2"/>
        <v>0</v>
      </c>
    </row>
    <row r="174" spans="1:10" ht="15.75" hidden="1" x14ac:dyDescent="0.25">
      <c r="A174" s="623" t="str">
        <f t="array" ref="A174">INDEX(AccountCodes[ACCOUNT NAME],MATCH(B174,AccountCodes[NGAS CODE],0))</f>
        <v>Other Unearned Revenue</v>
      </c>
      <c r="B174" s="597" t="s">
        <v>121</v>
      </c>
      <c r="C174" s="625">
        <f t="array" ref="C174">INDEX(AccountCodes[PPSAS CODE],MATCH(B174,AccountCodes[NGAS CODE],0))</f>
        <v>2050299000</v>
      </c>
      <c r="D174" s="626">
        <f>IF(INDEX(AccountCodes[Normal Balance], MATCH(C174,AccountCodes[PPSAS CODE]))="Debit",E174-F174,0)</f>
        <v>0</v>
      </c>
      <c r="E174" s="626">
        <f>SUMIF(PostTB[Account Code (Old)],B174,(PostTB[Debit]))+SUMIF(CkDJ[Account Code],B174,(CkDJ[Debit]))+SUMIF(CsDJ[Account Code],B174,(CsDJ[Debit]))+SUMIF(CRDJ[Account Code],B174,(CRDJ[Debit]))+SUMIF(GJ[Account Code],B174,(GJ[Debit]))</f>
        <v>0</v>
      </c>
      <c r="F174" s="627">
        <f>SUMIF(PostTB[Account Code (Old)],B174,(PostTB[Credit]))+SUMIF(CkDJ[Account Code],B174,(CkDJ[Credit]))+SUMIF(CsDJ[Account Code],B174,(CsDJ[Credit]))+SUMIF(CRDJ[Account Code],B174,(CRDJ[Credit]))+SUMIF(GJ[Account Code],B174,(GJ[Credit]))</f>
        <v>0</v>
      </c>
      <c r="G174" s="627">
        <f>IF(INDEX(AccountCodes[Normal Balance], MATCH(C174,AccountCodes[PPSAS CODE]))="Credit",F174-E174,0)</f>
        <v>0</v>
      </c>
      <c r="H174" s="626">
        <f t="shared" si="2"/>
        <v>0</v>
      </c>
    </row>
    <row r="175" spans="1:10" ht="15.75" x14ac:dyDescent="0.25">
      <c r="A175" s="623" t="str">
        <f t="array" ref="A175">INDEX(AccountCodes[ACCOUNT NAME],MATCH(B175,AccountCodes[NGAS CODE],0))</f>
        <v>Other Payables</v>
      </c>
      <c r="B175" s="597" t="s">
        <v>117</v>
      </c>
      <c r="C175" s="625">
        <f t="array" ref="C175">INDEX(AccountCodes[PPSAS CODE],MATCH(B175,AccountCodes[NGAS CODE],0))</f>
        <v>2999999000</v>
      </c>
      <c r="D175" s="626">
        <f>IF(INDEX(AccountCodes[Normal Balance], MATCH(C175,AccountCodes[PPSAS CODE]))="Debit",E175-F175,0)</f>
        <v>0</v>
      </c>
      <c r="E175" s="626">
        <f>SUMIF(PostTB[Account Code (Old)],B175,(PostTB[Debit]))+SUMIF(CkDJ[Account Code],B175,(CkDJ[Debit]))+SUMIF(CsDJ[Account Code],B175,(CsDJ[Debit]))+SUMIF(CRDJ[Account Code],B175,(CRDJ[Debit]))+SUMIF(GJ[Account Code],B175,(GJ[Debit]))</f>
        <v>21960.36</v>
      </c>
      <c r="F175" s="627">
        <f>SUMIF(PostTB[Account Code (Old)],B175,(PostTB[Credit]))+SUMIF(CkDJ[Account Code],B175,(CkDJ[Credit]))+SUMIF(CsDJ[Account Code],B175,(CsDJ[Credit]))+SUMIF(CRDJ[Account Code],B175,(CRDJ[Credit]))+SUMIF(GJ[Account Code],B175,(GJ[Credit]))</f>
        <v>2698367.32</v>
      </c>
      <c r="G175" s="627">
        <f>IF(INDEX(AccountCodes[Normal Balance], MATCH(C175,AccountCodes[PPSAS CODE]))="Credit",F175-E175,0)</f>
        <v>2676406.96</v>
      </c>
      <c r="H175" s="626">
        <f t="shared" si="2"/>
        <v>2676406.96</v>
      </c>
    </row>
    <row r="176" spans="1:10" ht="15.75" x14ac:dyDescent="0.25">
      <c r="A176" s="623" t="str">
        <f t="array" ref="A176">INDEX(AccountCodes[ACCOUNT NAME],MATCH(B176,AccountCodes[NGAS CODE],0))</f>
        <v>Accumulated Surplus/(Deficit) (Government Equity)</v>
      </c>
      <c r="B176" s="597" t="s">
        <v>122</v>
      </c>
      <c r="C176" s="625">
        <f t="array" ref="C176">INDEX(AccountCodes[PPSAS CODE],MATCH(B176,AccountCodes[NGAS CODE],0))</f>
        <v>3010101000</v>
      </c>
      <c r="D176" s="626">
        <f>IF(INDEX(AccountCodes[Normal Balance], MATCH(C176,AccountCodes[PPSAS CODE]))="Debit",E176-F176,0)</f>
        <v>0</v>
      </c>
      <c r="E176" s="626">
        <f>SUMIF(PostTB[Account Code (Old)],B176,(PostTB[Debit]))+SUMIF(CkDJ[Account Code],B176,(CkDJ[Debit]))+SUMIF(CsDJ[Account Code],B176,(CsDJ[Debit]))+SUMIF(CRDJ[Account Code],B176,(CRDJ[Debit]))+SUMIF(GJ[Account Code],B176,(GJ[Debit]))</f>
        <v>345502.68</v>
      </c>
      <c r="F176" s="627">
        <f>SUMIF(PostTB[Account Code (Old)],B176,(PostTB[Credit]))+SUMIF(CkDJ[Account Code],B176,(CkDJ[Credit]))+SUMIF(CsDJ[Account Code],B176,(CsDJ[Credit]))+SUMIF(CRDJ[Account Code],B176,(CRDJ[Credit]))+SUMIF(GJ[Account Code],B176,(GJ[Credit]))</f>
        <v>118445801.70999999</v>
      </c>
      <c r="G176" s="627">
        <f>IF(INDEX(AccountCodes[Normal Balance], MATCH(C176,AccountCodes[PPSAS CODE]))="Credit",F176-E176,0)</f>
        <v>118100299.03</v>
      </c>
      <c r="H176" s="626">
        <f t="shared" si="2"/>
        <v>118100299.03</v>
      </c>
    </row>
    <row r="177" spans="1:8" ht="15.75" hidden="1" x14ac:dyDescent="0.25">
      <c r="A177" s="623" t="str">
        <f t="array" ref="A177">INDEX(AccountCodes[ACCOUNT NAME],MATCH(B177,AccountCodes[NGAS CODE],0))</f>
        <v>Accumulated Surplus/(Deficit) (Retained Earnings)</v>
      </c>
      <c r="B177" s="597" t="s">
        <v>123</v>
      </c>
      <c r="C177" s="625">
        <f t="array" ref="C177">INDEX(AccountCodes[PPSAS CODE],MATCH(B177,AccountCodes[NGAS CODE],0))</f>
        <v>3010101000</v>
      </c>
      <c r="D177" s="626">
        <f>IF(INDEX(AccountCodes[Normal Balance], MATCH(C177,AccountCodes[PPSAS CODE]))="Debit",E177-F177,0)</f>
        <v>0</v>
      </c>
      <c r="E177" s="626">
        <f>SUMIF(PostTB[Account Code (Old)],B177,(PostTB[Debit]))+SUMIF(CkDJ[Account Code],B177,(CkDJ[Debit]))+SUMIF(CsDJ[Account Code],B177,(CsDJ[Debit]))+SUMIF(CRDJ[Account Code],B177,(CRDJ[Debit]))+SUMIF(GJ[Account Code],B177,(GJ[Debit]))</f>
        <v>0</v>
      </c>
      <c r="F177" s="627">
        <f>SUMIF(PostTB[Account Code (Old)],B177,(PostTB[Credit]))+SUMIF(CkDJ[Account Code],B177,(CkDJ[Credit]))+SUMIF(CsDJ[Account Code],B177,(CsDJ[Credit]))+SUMIF(CRDJ[Account Code],B177,(CRDJ[Credit]))+SUMIF(GJ[Account Code],B177,(GJ[Credit]))</f>
        <v>0</v>
      </c>
      <c r="G177" s="627">
        <f>IF(INDEX(AccountCodes[Normal Balance], MATCH(C177,AccountCodes[PPSAS CODE]))="Credit",F177-E177,0)</f>
        <v>0</v>
      </c>
      <c r="H177" s="626">
        <f t="shared" si="2"/>
        <v>0</v>
      </c>
    </row>
    <row r="178" spans="1:8" ht="15.75" hidden="1" x14ac:dyDescent="0.25">
      <c r="A178" s="623" t="str">
        <f t="array" ref="A178">INDEX(AccountCodes[ACCOUNT NAME],MATCH(B178,AccountCodes[NGAS CODE],0))</f>
        <v>Revenue and Expense Summary</v>
      </c>
      <c r="B178" s="597" t="s">
        <v>124</v>
      </c>
      <c r="C178" s="625">
        <f t="array" ref="C178">INDEX(AccountCodes[PPSAS CODE],MATCH(B178,AccountCodes[NGAS CODE],0))</f>
        <v>3030101000</v>
      </c>
      <c r="D178" s="626">
        <f>IF(INDEX(AccountCodes[Normal Balance], MATCH(C178,AccountCodes[PPSAS CODE]))="Debit",E178-F178,0)</f>
        <v>0</v>
      </c>
      <c r="E178" s="626">
        <f>SUMIF(PostTB[Account Code (Old)],B178,(PostTB[Debit]))+SUMIF(CkDJ[Account Code],B178,(CkDJ[Debit]))+SUMIF(CsDJ[Account Code],B178,(CsDJ[Debit]))+SUMIF(CRDJ[Account Code],B178,(CRDJ[Debit]))+SUMIF(GJ[Account Code],B178,(GJ[Debit]))</f>
        <v>0</v>
      </c>
      <c r="F178" s="627">
        <f>SUMIF(PostTB[Account Code (Old)],B178,(PostTB[Credit]))+SUMIF(CkDJ[Account Code],B178,(CkDJ[Credit]))+SUMIF(CsDJ[Account Code],B178,(CsDJ[Credit]))+SUMIF(CRDJ[Account Code],B178,(CRDJ[Credit]))+SUMIF(GJ[Account Code],B178,(GJ[Credit]))</f>
        <v>0</v>
      </c>
      <c r="G178" s="627">
        <f>IF(INDEX(AccountCodes[Normal Balance], MATCH(C178,AccountCodes[PPSAS CODE]))="Credit",F178-E178,0)</f>
        <v>0</v>
      </c>
      <c r="H178" s="626">
        <f t="shared" si="2"/>
        <v>0</v>
      </c>
    </row>
    <row r="179" spans="1:8" ht="15.75" hidden="1" x14ac:dyDescent="0.25">
      <c r="A179" s="623" t="str">
        <f t="array" ref="A179">INDEX(AccountCodes[ACCOUNT NAME],MATCH(B179,AccountCodes[NGAS CODE],0))</f>
        <v>Other Service Income - Irrigation Service Fee (Back Account)</v>
      </c>
      <c r="B179" s="597" t="s">
        <v>126</v>
      </c>
      <c r="C179" s="625">
        <f t="array" ref="C179">INDEX(AccountCodes[PPSAS CODE],MATCH(B179,AccountCodes[NGAS CODE],0))</f>
        <v>4020199099</v>
      </c>
      <c r="D179" s="626">
        <f>IF(INDEX(AccountCodes[Normal Balance], MATCH(C179,AccountCodes[PPSAS CODE]))="Debit",E179-F179,0)</f>
        <v>0</v>
      </c>
      <c r="E179" s="626">
        <f>SUMIF(PostTB[Account Code (Old)],B179,(PostTB[Debit]))+SUMIF(CkDJ[Account Code],B179,(CkDJ[Debit]))+SUMIF(CsDJ[Account Code],B179,(CsDJ[Debit]))+SUMIF(CRDJ[Account Code],B179,(CRDJ[Debit]))+SUMIF(GJ[Account Code],B179,(GJ[Debit]))</f>
        <v>0</v>
      </c>
      <c r="F179" s="627">
        <f>SUMIF(PostTB[Account Code (Old)],B179,(PostTB[Credit]))+SUMIF(CkDJ[Account Code],B179,(CkDJ[Credit]))+SUMIF(CsDJ[Account Code],B179,(CsDJ[Credit]))+SUMIF(CRDJ[Account Code],B179,(CRDJ[Credit]))+SUMIF(GJ[Account Code],B179,(GJ[Credit]))</f>
        <v>0</v>
      </c>
      <c r="G179" s="627">
        <f>IF(INDEX(AccountCodes[Normal Balance], MATCH(C179,AccountCodes[PPSAS CODE]))="Credit",F179-E179,0)</f>
        <v>0</v>
      </c>
      <c r="H179" s="626">
        <f t="shared" si="2"/>
        <v>0</v>
      </c>
    </row>
    <row r="180" spans="1:8" ht="15.75" hidden="1" x14ac:dyDescent="0.25">
      <c r="A180" s="623" t="str">
        <f t="array" ref="A180">INDEX(AccountCodes[ACCOUNT NAME],MATCH(B180,AccountCodes[NGAS CODE],0))</f>
        <v>Other Service Income - Irrigation Service Fee (Back Account) (MC # 54)</v>
      </c>
      <c r="B180" s="597" t="s">
        <v>721</v>
      </c>
      <c r="C180" s="625">
        <f t="array" ref="C180">INDEX(AccountCodes[PPSAS CODE],MATCH(B180,AccountCodes[NGAS CODE],0))</f>
        <v>4020199099</v>
      </c>
      <c r="D180" s="626">
        <f>IF(INDEX(AccountCodes[Normal Balance], MATCH(C180,AccountCodes[PPSAS CODE]))="Debit",E180-F180,0)</f>
        <v>0</v>
      </c>
      <c r="E180" s="626">
        <f>SUMIF(PostTB[Account Code (Old)],B180,(PostTB[Debit]))+SUMIF(CkDJ[Account Code],B180,(CkDJ[Debit]))+SUMIF(CsDJ[Account Code],B180,(CsDJ[Debit]))+SUMIF(CRDJ[Account Code],B180,(CRDJ[Debit]))+SUMIF(GJ[Account Code],B180,(GJ[Debit]))</f>
        <v>0</v>
      </c>
      <c r="F180" s="627">
        <f>SUMIF(PostTB[Account Code (Old)],B180,(PostTB[Credit]))+SUMIF(CkDJ[Account Code],B180,(CkDJ[Credit]))+SUMIF(CsDJ[Account Code],B180,(CsDJ[Credit]))+SUMIF(CRDJ[Account Code],B180,(CRDJ[Credit]))+SUMIF(GJ[Account Code],B180,(GJ[Credit]))</f>
        <v>0</v>
      </c>
      <c r="G180" s="627">
        <f>IF(INDEX(AccountCodes[Normal Balance], MATCH(C180,AccountCodes[PPSAS CODE]))="Credit",F180-E180,0)</f>
        <v>0</v>
      </c>
      <c r="H180" s="626">
        <f t="shared" si="2"/>
        <v>0</v>
      </c>
    </row>
    <row r="181" spans="1:8" ht="15.75" hidden="1" x14ac:dyDescent="0.25">
      <c r="A181" s="623" t="str">
        <f t="array" ref="A181">INDEX(AccountCodes[ACCOUNT NAME],MATCH(B181,AccountCodes[NGAS CODE],0))</f>
        <v>Other Service Income - CIS Equity &amp; Amortization</v>
      </c>
      <c r="B181" s="597" t="s">
        <v>127</v>
      </c>
      <c r="C181" s="625">
        <f t="array" ref="C181">INDEX(AccountCodes[PPSAS CODE],MATCH(B181,AccountCodes[NGAS CODE],0))</f>
        <v>4020199099</v>
      </c>
      <c r="D181" s="626">
        <f>IF(INDEX(AccountCodes[Normal Balance], MATCH(C181,AccountCodes[PPSAS CODE]))="Debit",E181-F181,0)</f>
        <v>0</v>
      </c>
      <c r="E181" s="626">
        <f>SUMIF(PostTB[Account Code (Old)],B181,(PostTB[Debit]))+SUMIF(CkDJ[Account Code],B181,(CkDJ[Debit]))+SUMIF(CsDJ[Account Code],B181,(CsDJ[Debit]))+SUMIF(CRDJ[Account Code],B181,(CRDJ[Debit]))+SUMIF(GJ[Account Code],B181,(GJ[Debit]))</f>
        <v>0</v>
      </c>
      <c r="F181" s="627">
        <f>SUMIF(PostTB[Account Code (Old)],B181,(PostTB[Credit]))+SUMIF(CkDJ[Account Code],B181,(CkDJ[Credit]))+SUMIF(CsDJ[Account Code],B181,(CsDJ[Credit]))+SUMIF(CRDJ[Account Code],B181,(CRDJ[Credit]))+SUMIF(GJ[Account Code],B181,(GJ[Credit]))</f>
        <v>0</v>
      </c>
      <c r="G181" s="627">
        <f>IF(INDEX(AccountCodes[Normal Balance], MATCH(C181,AccountCodes[PPSAS CODE]))="Credit",F181-E181,0)</f>
        <v>0</v>
      </c>
      <c r="H181" s="626">
        <f t="shared" si="2"/>
        <v>0</v>
      </c>
    </row>
    <row r="182" spans="1:8" ht="15.75" hidden="1" x14ac:dyDescent="0.25">
      <c r="A182" s="623" t="str">
        <f t="array" ref="A182">INDEX(AccountCodes[ACCOUNT NAME],MATCH(B182,AccountCodes[NGAS CODE],0))</f>
        <v>Other Service Income - CIS Amortization (Current Account)</v>
      </c>
      <c r="B182" s="597" t="s">
        <v>128</v>
      </c>
      <c r="C182" s="625">
        <f t="array" ref="C182">INDEX(AccountCodes[PPSAS CODE],MATCH(B182,AccountCodes[NGAS CODE],0))</f>
        <v>4020199099</v>
      </c>
      <c r="D182" s="626">
        <f>IF(INDEX(AccountCodes[Normal Balance], MATCH(C182,AccountCodes[PPSAS CODE]))="Debit",E182-F182,0)</f>
        <v>0</v>
      </c>
      <c r="E182" s="626">
        <f>SUMIF(PostTB[Account Code (Old)],B182,(PostTB[Debit]))+SUMIF(CkDJ[Account Code],B182,(CkDJ[Debit]))+SUMIF(CsDJ[Account Code],B182,(CsDJ[Debit]))+SUMIF(CRDJ[Account Code],B182,(CRDJ[Debit]))+SUMIF(GJ[Account Code],B182,(GJ[Debit]))</f>
        <v>0</v>
      </c>
      <c r="F182" s="627">
        <f>SUMIF(PostTB[Account Code (Old)],B182,(PostTB[Credit]))+SUMIF(CkDJ[Account Code],B182,(CkDJ[Credit]))+SUMIF(CsDJ[Account Code],B182,(CsDJ[Credit]))+SUMIF(CRDJ[Account Code],B182,(CRDJ[Credit]))+SUMIF(GJ[Account Code],B182,(GJ[Credit]))</f>
        <v>0</v>
      </c>
      <c r="G182" s="627">
        <f>IF(INDEX(AccountCodes[Normal Balance], MATCH(C182,AccountCodes[PPSAS CODE]))="Credit",F182-E182,0)</f>
        <v>0</v>
      </c>
      <c r="H182" s="626">
        <f t="shared" si="2"/>
        <v>0</v>
      </c>
    </row>
    <row r="183" spans="1:8" ht="15.75" hidden="1" x14ac:dyDescent="0.25">
      <c r="A183" s="623" t="str">
        <f t="array" ref="A183">INDEX(AccountCodes[ACCOUNT NAME],MATCH(B183,AccountCodes[NGAS CODE],0))</f>
        <v>Other Service Income - CIS Amortization (Back Account)</v>
      </c>
      <c r="B183" s="597" t="s">
        <v>129</v>
      </c>
      <c r="C183" s="625">
        <f t="array" ref="C183">INDEX(AccountCodes[PPSAS CODE],MATCH(B183,AccountCodes[NGAS CODE],0))</f>
        <v>4020199099</v>
      </c>
      <c r="D183" s="626">
        <f>IF(INDEX(AccountCodes[Normal Balance], MATCH(C183,AccountCodes[PPSAS CODE]))="Debit",E183-F183,0)</f>
        <v>0</v>
      </c>
      <c r="E183" s="626">
        <f>SUMIF(PostTB[Account Code (Old)],B183,(PostTB[Debit]))+SUMIF(CkDJ[Account Code],B183,(CkDJ[Debit]))+SUMIF(CsDJ[Account Code],B183,(CsDJ[Debit]))+SUMIF(CRDJ[Account Code],B183,(CRDJ[Debit]))+SUMIF(GJ[Account Code],B183,(GJ[Debit]))</f>
        <v>0</v>
      </c>
      <c r="F183" s="627">
        <f>SUMIF(PostTB[Account Code (Old)],B183,(PostTB[Credit]))+SUMIF(CkDJ[Account Code],B183,(CkDJ[Credit]))+SUMIF(CsDJ[Account Code],B183,(CsDJ[Credit]))+SUMIF(CRDJ[Account Code],B183,(CRDJ[Credit]))+SUMIF(GJ[Account Code],B183,(GJ[Credit]))</f>
        <v>0</v>
      </c>
      <c r="G183" s="627">
        <f>IF(INDEX(AccountCodes[Normal Balance], MATCH(C183,AccountCodes[PPSAS CODE]))="Credit",F183-E183,0)</f>
        <v>0</v>
      </c>
      <c r="H183" s="626">
        <f t="shared" si="2"/>
        <v>0</v>
      </c>
    </row>
    <row r="184" spans="1:8" ht="15.75" hidden="1" x14ac:dyDescent="0.25">
      <c r="A184" s="623" t="str">
        <f t="array" ref="A184">INDEX(AccountCodes[ACCOUNT NAME],MATCH(B184,AccountCodes[NGAS CODE],0))</f>
        <v>Other Service Income - Pump Amortization (Current Account)</v>
      </c>
      <c r="B184" s="597" t="s">
        <v>131</v>
      </c>
      <c r="C184" s="625">
        <f t="array" ref="C184">INDEX(AccountCodes[PPSAS CODE],MATCH(B184,AccountCodes[NGAS CODE],0))</f>
        <v>4020199099</v>
      </c>
      <c r="D184" s="626">
        <f>IF(INDEX(AccountCodes[Normal Balance], MATCH(C184,AccountCodes[PPSAS CODE]))="Debit",E184-F184,0)</f>
        <v>0</v>
      </c>
      <c r="E184" s="626">
        <f>SUMIF(PostTB[Account Code (Old)],B184,(PostTB[Debit]))+SUMIF(CkDJ[Account Code],B184,(CkDJ[Debit]))+SUMIF(CsDJ[Account Code],B184,(CsDJ[Debit]))+SUMIF(CRDJ[Account Code],B184,(CRDJ[Debit]))+SUMIF(GJ[Account Code],B184,(GJ[Debit]))</f>
        <v>0</v>
      </c>
      <c r="F184" s="627">
        <f>SUMIF(PostTB[Account Code (Old)],B184,(PostTB[Credit]))+SUMIF(CkDJ[Account Code],B184,(CkDJ[Credit]))+SUMIF(CsDJ[Account Code],B184,(CsDJ[Credit]))+SUMIF(CRDJ[Account Code],B184,(CRDJ[Credit]))+SUMIF(GJ[Account Code],B184,(GJ[Credit]))</f>
        <v>0</v>
      </c>
      <c r="G184" s="627">
        <f>IF(INDEX(AccountCodes[Normal Balance], MATCH(C184,AccountCodes[PPSAS CODE]))="Credit",F184-E184,0)</f>
        <v>0</v>
      </c>
      <c r="H184" s="626">
        <f t="shared" si="2"/>
        <v>0</v>
      </c>
    </row>
    <row r="185" spans="1:8" ht="15.75" hidden="1" x14ac:dyDescent="0.25">
      <c r="A185" s="623" t="str">
        <f t="array" ref="A185">INDEX(AccountCodes[ACCOUNT NAME],MATCH(B185,AccountCodes[NGAS CODE],0))</f>
        <v>Other Service Income - Pump Amortization (Back Account)</v>
      </c>
      <c r="B185" s="597" t="s">
        <v>140</v>
      </c>
      <c r="C185" s="625">
        <f t="array" ref="C185">INDEX(AccountCodes[PPSAS CODE],MATCH(B185,AccountCodes[NGAS CODE],0))</f>
        <v>4020199099</v>
      </c>
      <c r="D185" s="626">
        <f>IF(INDEX(AccountCodes[Normal Balance], MATCH(C185,AccountCodes[PPSAS CODE]))="Debit",E185-F185,0)</f>
        <v>0</v>
      </c>
      <c r="E185" s="626">
        <f>SUMIF(PostTB[Account Code (Old)],B185,(PostTB[Debit]))+SUMIF(CkDJ[Account Code],B185,(CkDJ[Debit]))+SUMIF(CsDJ[Account Code],B185,(CsDJ[Debit]))+SUMIF(CRDJ[Account Code],B185,(CRDJ[Debit]))+SUMIF(GJ[Account Code],B185,(GJ[Debit]))</f>
        <v>0</v>
      </c>
      <c r="F185" s="627">
        <f>SUMIF(PostTB[Account Code (Old)],B185,(PostTB[Credit]))+SUMIF(CkDJ[Account Code],B185,(CkDJ[Credit]))+SUMIF(CsDJ[Account Code],B185,(CsDJ[Credit]))+SUMIF(CRDJ[Account Code],B185,(CRDJ[Credit]))+SUMIF(GJ[Account Code],B185,(GJ[Credit]))</f>
        <v>0</v>
      </c>
      <c r="G185" s="627">
        <f>IF(INDEX(AccountCodes[Normal Balance], MATCH(C185,AccountCodes[PPSAS CODE]))="Credit",F185-E185,0)</f>
        <v>0</v>
      </c>
      <c r="H185" s="626">
        <f t="shared" si="2"/>
        <v>0</v>
      </c>
    </row>
    <row r="186" spans="1:8" ht="15.75" hidden="1" x14ac:dyDescent="0.25">
      <c r="A186" s="623" t="str">
        <f t="array" ref="A186">INDEX(AccountCodes[ACCOUNT NAME],MATCH(B186,AccountCodes[NGAS CODE],0))</f>
        <v>Other Service Income - Pump Equity (Current Account)</v>
      </c>
      <c r="B186" s="597" t="s">
        <v>141</v>
      </c>
      <c r="C186" s="625">
        <f t="array" ref="C186">INDEX(AccountCodes[PPSAS CODE],MATCH(B186,AccountCodes[NGAS CODE],0))</f>
        <v>4020199099</v>
      </c>
      <c r="D186" s="626">
        <f>IF(INDEX(AccountCodes[Normal Balance], MATCH(C186,AccountCodes[PPSAS CODE]))="Debit",E186-F186,0)</f>
        <v>0</v>
      </c>
      <c r="E186" s="626">
        <f>SUMIF(PostTB[Account Code (Old)],B186,(PostTB[Debit]))+SUMIF(CkDJ[Account Code],B186,(CkDJ[Debit]))+SUMIF(CsDJ[Account Code],B186,(CsDJ[Debit]))+SUMIF(CRDJ[Account Code],B186,(CRDJ[Debit]))+SUMIF(GJ[Account Code],B186,(GJ[Debit]))</f>
        <v>0</v>
      </c>
      <c r="F186" s="627">
        <f>SUMIF(PostTB[Account Code (Old)],B186,(PostTB[Credit]))+SUMIF(CkDJ[Account Code],B186,(CkDJ[Credit]))+SUMIF(CsDJ[Account Code],B186,(CsDJ[Credit]))+SUMIF(CRDJ[Account Code],B186,(CRDJ[Credit]))+SUMIF(GJ[Account Code],B186,(GJ[Credit]))</f>
        <v>0</v>
      </c>
      <c r="G186" s="627">
        <f>IF(INDEX(AccountCodes[Normal Balance], MATCH(C186,AccountCodes[PPSAS CODE]))="Credit",F186-E186,0)</f>
        <v>0</v>
      </c>
      <c r="H186" s="626">
        <f t="shared" si="2"/>
        <v>0</v>
      </c>
    </row>
    <row r="187" spans="1:8" ht="15.75" hidden="1" x14ac:dyDescent="0.25">
      <c r="A187" s="623" t="str">
        <f t="array" ref="A187">INDEX(AccountCodes[ACCOUNT NAME],MATCH(B187,AccountCodes[NGAS CODE],0))</f>
        <v>Other Service Income - Pump Equity (Back Account)</v>
      </c>
      <c r="B187" s="597" t="s">
        <v>142</v>
      </c>
      <c r="C187" s="625">
        <f t="array" ref="C187">INDEX(AccountCodes[PPSAS CODE],MATCH(B187,AccountCodes[NGAS CODE],0))</f>
        <v>4020199099</v>
      </c>
      <c r="D187" s="626">
        <f>IF(INDEX(AccountCodes[Normal Balance], MATCH(C187,AccountCodes[PPSAS CODE]))="Debit",E187-F187,0)</f>
        <v>0</v>
      </c>
      <c r="E187" s="626">
        <f>SUMIF(PostTB[Account Code (Old)],B187,(PostTB[Debit]))+SUMIF(CkDJ[Account Code],B187,(CkDJ[Debit]))+SUMIF(CsDJ[Account Code],B187,(CsDJ[Debit]))+SUMIF(CRDJ[Account Code],B187,(CRDJ[Debit]))+SUMIF(GJ[Account Code],B187,(GJ[Debit]))</f>
        <v>0</v>
      </c>
      <c r="F187" s="627">
        <f>SUMIF(PostTB[Account Code (Old)],B187,(PostTB[Credit]))+SUMIF(CkDJ[Account Code],B187,(CkDJ[Credit]))+SUMIF(CsDJ[Account Code],B187,(CsDJ[Credit]))+SUMIF(CRDJ[Account Code],B187,(CRDJ[Credit]))+SUMIF(GJ[Account Code],B187,(GJ[Credit]))</f>
        <v>0</v>
      </c>
      <c r="G187" s="627">
        <f>IF(INDEX(AccountCodes[Normal Balance], MATCH(C187,AccountCodes[PPSAS CODE]))="Credit",F187-E187,0)</f>
        <v>0</v>
      </c>
      <c r="H187" s="626">
        <f t="shared" si="2"/>
        <v>0</v>
      </c>
    </row>
    <row r="188" spans="1:8" ht="15.75" hidden="1" x14ac:dyDescent="0.25">
      <c r="A188" s="623" t="str">
        <f t="array" ref="A188">INDEX(AccountCodes[ACCOUNT NAME],MATCH(B188,AccountCodes[NGAS CODE],0))</f>
        <v>Equipment Rental</v>
      </c>
      <c r="B188" s="597" t="s">
        <v>1540</v>
      </c>
      <c r="C188" s="625">
        <f t="array" ref="C188">INDEX(AccountCodes[PPSAS CODE],MATCH(B188,AccountCodes[NGAS CODE],0))</f>
        <v>4020205000</v>
      </c>
      <c r="D188" s="626">
        <f>IF(INDEX(AccountCodes[Normal Balance], MATCH(C188,AccountCodes[PPSAS CODE]))="Debit",E188-F188,0)</f>
        <v>0</v>
      </c>
      <c r="E188" s="626">
        <f>SUMIF(PostTB[Account Code (Old)],B188,(PostTB[Debit]))+SUMIF(CkDJ[Account Code],B188,(CkDJ[Debit]))+SUMIF(CsDJ[Account Code],B188,(CsDJ[Debit]))+SUMIF(CRDJ[Account Code],B188,(CRDJ[Debit]))+SUMIF(GJ[Account Code],B188,(GJ[Debit]))</f>
        <v>0</v>
      </c>
      <c r="F188" s="627">
        <f>SUMIF(PostTB[Account Code (Old)],B188,(PostTB[Credit]))+SUMIF(CkDJ[Account Code],B188,(CkDJ[Credit]))+SUMIF(CsDJ[Account Code],B188,(CsDJ[Credit]))+SUMIF(CRDJ[Account Code],B188,(CRDJ[Credit]))+SUMIF(GJ[Account Code],B188,(GJ[Credit]))</f>
        <v>0</v>
      </c>
      <c r="G188" s="627">
        <f>IF(INDEX(AccountCodes[Normal Balance], MATCH(C188,AccountCodes[PPSAS CODE]))="Credit",F188-E188,0)</f>
        <v>0</v>
      </c>
      <c r="H188" s="626">
        <f>IF(D188=0,G188,D188)</f>
        <v>0</v>
      </c>
    </row>
    <row r="189" spans="1:8" ht="15.75" hidden="1" x14ac:dyDescent="0.25">
      <c r="A189" s="623" t="str">
        <f t="array" ref="A189">INDEX(AccountCodes[ACCOUNT NAME],MATCH(B189,AccountCodes[NGAS CODE],0))</f>
        <v>Equipment Rental - Internal (CA)</v>
      </c>
      <c r="B189" s="597" t="s">
        <v>146</v>
      </c>
      <c r="C189" s="625">
        <f t="array" ref="C189">INDEX(AccountCodes[PPSAS CODE],MATCH(B189,AccountCodes[NGAS CODE],0))</f>
        <v>4020205001</v>
      </c>
      <c r="D189" s="626">
        <f>IF(INDEX(AccountCodes[Normal Balance], MATCH(C189,AccountCodes[PPSAS CODE]))="Debit",E189-F189,0)</f>
        <v>0</v>
      </c>
      <c r="E189" s="626">
        <f>SUMIF(PostTB[Account Code (Old)],B189,(PostTB[Debit]))+SUMIF(CkDJ[Account Code],B189,(CkDJ[Debit]))+SUMIF(CsDJ[Account Code],B189,(CsDJ[Debit]))+SUMIF(CRDJ[Account Code],B189,(CRDJ[Debit]))+SUMIF(GJ[Account Code],B189,(GJ[Debit]))</f>
        <v>0</v>
      </c>
      <c r="F189" s="627">
        <f>SUMIF(PostTB[Account Code (Old)],B189,(PostTB[Credit]))+SUMIF(CkDJ[Account Code],B189,(CkDJ[Credit]))+SUMIF(CsDJ[Account Code],B189,(CsDJ[Credit]))+SUMIF(CRDJ[Account Code],B189,(CRDJ[Credit]))+SUMIF(GJ[Account Code],B189,(GJ[Credit]))</f>
        <v>0</v>
      </c>
      <c r="G189" s="627">
        <f>IF(INDEX(AccountCodes[Normal Balance], MATCH(C189,AccountCodes[PPSAS CODE]))="Credit",F189-E189,0)</f>
        <v>0</v>
      </c>
      <c r="H189" s="626">
        <f t="shared" si="2"/>
        <v>0</v>
      </c>
    </row>
    <row r="190" spans="1:8" ht="15.75" hidden="1" x14ac:dyDescent="0.25">
      <c r="A190" s="623" t="str">
        <f t="array" ref="A190">INDEX(AccountCodes[ACCOUNT NAME],MATCH(B190,AccountCodes[NGAS CODE],0))</f>
        <v>Equipment Rental - External (CA)</v>
      </c>
      <c r="B190" s="597" t="s">
        <v>147</v>
      </c>
      <c r="C190" s="625">
        <f t="array" ref="C190">INDEX(AccountCodes[PPSAS CODE],MATCH(B190,AccountCodes[NGAS CODE],0))</f>
        <v>4020205002</v>
      </c>
      <c r="D190" s="626">
        <f>IF(INDEX(AccountCodes[Normal Balance], MATCH(C190,AccountCodes[PPSAS CODE]))="Debit",E190-F190,0)</f>
        <v>0</v>
      </c>
      <c r="E190" s="626">
        <f>SUMIF(PostTB[Account Code (Old)],B190,(PostTB[Debit]))+SUMIF(CkDJ[Account Code],B190,(CkDJ[Debit]))+SUMIF(CsDJ[Account Code],B190,(CsDJ[Debit]))+SUMIF(CRDJ[Account Code],B190,(CRDJ[Debit]))+SUMIF(GJ[Account Code],B190,(GJ[Debit]))</f>
        <v>0</v>
      </c>
      <c r="F190" s="627">
        <f>SUMIF(PostTB[Account Code (Old)],B190,(PostTB[Credit]))+SUMIF(CkDJ[Account Code],B190,(CkDJ[Credit]))+SUMIF(CsDJ[Account Code],B190,(CsDJ[Credit]))+SUMIF(CRDJ[Account Code],B190,(CRDJ[Credit]))+SUMIF(GJ[Account Code],B190,(GJ[Credit]))</f>
        <v>0</v>
      </c>
      <c r="G190" s="627">
        <f>IF(INDEX(AccountCodes[Normal Balance], MATCH(C190,AccountCodes[PPSAS CODE]))="Credit",F190-E190,0)</f>
        <v>0</v>
      </c>
      <c r="H190" s="626">
        <f t="shared" si="2"/>
        <v>0</v>
      </c>
    </row>
    <row r="191" spans="1:8" ht="15.75" hidden="1" x14ac:dyDescent="0.25">
      <c r="A191" s="623" t="str">
        <f t="array" ref="A191">INDEX(AccountCodes[ACCOUNT NAME],MATCH(B191,AccountCodes[NGAS CODE],0))</f>
        <v>Equipment Rental - Internal (BA)</v>
      </c>
      <c r="B191" s="597" t="s">
        <v>148</v>
      </c>
      <c r="C191" s="625">
        <f t="array" ref="C191">INDEX(AccountCodes[PPSAS CODE],MATCH(B191,AccountCodes[NGAS CODE],0))</f>
        <v>4020205003</v>
      </c>
      <c r="D191" s="626">
        <f>IF(INDEX(AccountCodes[Normal Balance], MATCH(C191,AccountCodes[PPSAS CODE]))="Debit",E191-F191,0)</f>
        <v>0</v>
      </c>
      <c r="E191" s="626">
        <f>SUMIF(PostTB[Account Code (Old)],B191,(PostTB[Debit]))+SUMIF(CkDJ[Account Code],B191,(CkDJ[Debit]))+SUMIF(CsDJ[Account Code],B191,(CsDJ[Debit]))+SUMIF(CRDJ[Account Code],B191,(CRDJ[Debit]))+SUMIF(GJ[Account Code],B191,(GJ[Debit]))</f>
        <v>0</v>
      </c>
      <c r="F191" s="627">
        <f>SUMIF(PostTB[Account Code (Old)],B191,(PostTB[Credit]))+SUMIF(CkDJ[Account Code],B191,(CkDJ[Credit]))+SUMIF(CsDJ[Account Code],B191,(CsDJ[Credit]))+SUMIF(CRDJ[Account Code],B191,(CRDJ[Credit]))+SUMIF(GJ[Account Code],B191,(GJ[Credit]))</f>
        <v>0</v>
      </c>
      <c r="G191" s="627">
        <f>IF(INDEX(AccountCodes[Normal Balance], MATCH(C191,AccountCodes[PPSAS CODE]))="Credit",F191-E191,0)</f>
        <v>0</v>
      </c>
      <c r="H191" s="626">
        <f t="shared" si="2"/>
        <v>0</v>
      </c>
    </row>
    <row r="192" spans="1:8" ht="15.75" hidden="1" x14ac:dyDescent="0.25">
      <c r="A192" s="623" t="str">
        <f t="array" ref="A192">INDEX(AccountCodes[ACCOUNT NAME],MATCH(B192,AccountCodes[NGAS CODE],0))</f>
        <v>Equipment Rental - External (BA)</v>
      </c>
      <c r="B192" s="597" t="s">
        <v>149</v>
      </c>
      <c r="C192" s="625">
        <f t="array" ref="C192">INDEX(AccountCodes[PPSAS CODE],MATCH(B192,AccountCodes[NGAS CODE],0))</f>
        <v>4020205004</v>
      </c>
      <c r="D192" s="626">
        <f>IF(INDEX(AccountCodes[Normal Balance], MATCH(C192,AccountCodes[PPSAS CODE]))="Debit",E192-F192,0)</f>
        <v>0</v>
      </c>
      <c r="E192" s="626">
        <f>SUMIF(PostTB[Account Code (Old)],B192,(PostTB[Debit]))+SUMIF(CkDJ[Account Code],B192,(CkDJ[Debit]))+SUMIF(CsDJ[Account Code],B192,(CsDJ[Debit]))+SUMIF(CRDJ[Account Code],B192,(CRDJ[Debit]))+SUMIF(GJ[Account Code],B192,(GJ[Debit]))</f>
        <v>0</v>
      </c>
      <c r="F192" s="627">
        <f>SUMIF(PostTB[Account Code (Old)],B192,(PostTB[Credit]))+SUMIF(CkDJ[Account Code],B192,(CkDJ[Credit]))+SUMIF(CsDJ[Account Code],B192,(CsDJ[Credit]))+SUMIF(CRDJ[Account Code],B192,(CRDJ[Credit]))+SUMIF(GJ[Account Code],B192,(GJ[Credit]))</f>
        <v>0</v>
      </c>
      <c r="G192" s="627">
        <f>IF(INDEX(AccountCodes[Normal Balance], MATCH(C192,AccountCodes[PPSAS CODE]))="Credit",F192-E192,0)</f>
        <v>0</v>
      </c>
      <c r="H192" s="626">
        <f t="shared" si="2"/>
        <v>0</v>
      </c>
    </row>
    <row r="193" spans="1:8" ht="15.75" hidden="1" x14ac:dyDescent="0.25">
      <c r="A193" s="623" t="str">
        <f t="array" ref="A193">INDEX(AccountCodes[ACCOUNT NAME],MATCH(B193,AccountCodes[NGAS CODE],0))</f>
        <v>Income from Hostels/Dormitories and Other Like Facilities</v>
      </c>
      <c r="B193" s="597" t="s">
        <v>150</v>
      </c>
      <c r="C193" s="625">
        <f t="array" ref="C193">INDEX(AccountCodes[PPSAS CODE],MATCH(B193,AccountCodes[NGAS CODE],0))</f>
        <v>4020213000</v>
      </c>
      <c r="D193" s="626">
        <f>IF(INDEX(AccountCodes[Normal Balance], MATCH(C193,AccountCodes[PPSAS CODE]))="Debit",E193-F193,0)</f>
        <v>0</v>
      </c>
      <c r="E193" s="626">
        <f>SUMIF(PostTB[Account Code (Old)],B193,(PostTB[Debit]))+SUMIF(CkDJ[Account Code],B193,(CkDJ[Debit]))+SUMIF(CsDJ[Account Code],B193,(CsDJ[Debit]))+SUMIF(CRDJ[Account Code],B193,(CRDJ[Debit]))+SUMIF(GJ[Account Code],B193,(GJ[Debit]))</f>
        <v>0</v>
      </c>
      <c r="F193" s="627">
        <f>SUMIF(PostTB[Account Code (Old)],B193,(PostTB[Credit]))+SUMIF(CkDJ[Account Code],B193,(CkDJ[Credit]))+SUMIF(CsDJ[Account Code],B193,(CsDJ[Credit]))+SUMIF(CRDJ[Account Code],B193,(CRDJ[Credit]))+SUMIF(GJ[Account Code],B193,(GJ[Credit]))</f>
        <v>0</v>
      </c>
      <c r="G193" s="627">
        <f>IF(INDEX(AccountCodes[Normal Balance], MATCH(C193,AccountCodes[PPSAS CODE]))="Credit",F193-E193,0)</f>
        <v>0</v>
      </c>
      <c r="H193" s="626">
        <f t="shared" si="2"/>
        <v>0</v>
      </c>
    </row>
    <row r="194" spans="1:8" ht="15.75" hidden="1" x14ac:dyDescent="0.25">
      <c r="A194" s="623" t="str">
        <f t="array" ref="A194">INDEX(AccountCodes[ACCOUNT NAME],MATCH(B194,AccountCodes[NGAS CODE],0))</f>
        <v>Interest Income</v>
      </c>
      <c r="B194" s="597" t="s">
        <v>154</v>
      </c>
      <c r="C194" s="625">
        <f t="array" ref="C194">INDEX(AccountCodes[PPSAS CODE],MATCH(B194,AccountCodes[NGAS CODE],0))</f>
        <v>4020221000</v>
      </c>
      <c r="D194" s="626">
        <f>IF(INDEX(AccountCodes[Normal Balance], MATCH(C194,AccountCodes[PPSAS CODE]))="Debit",E194-F194,0)</f>
        <v>0</v>
      </c>
      <c r="E194" s="626">
        <f>SUMIF(PostTB[Account Code (Old)],B194,(PostTB[Debit]))+SUMIF(CkDJ[Account Code],B194,(CkDJ[Debit]))+SUMIF(CsDJ[Account Code],B194,(CsDJ[Debit]))+SUMIF(CRDJ[Account Code],B194,(CRDJ[Debit]))+SUMIF(GJ[Account Code],B194,(GJ[Debit]))</f>
        <v>0</v>
      </c>
      <c r="F194" s="627">
        <f>SUMIF(PostTB[Account Code (Old)],B194,(PostTB[Credit]))+SUMIF(CkDJ[Account Code],B194,(CkDJ[Credit]))+SUMIF(CsDJ[Account Code],B194,(CsDJ[Credit]))+SUMIF(CRDJ[Account Code],B194,(CRDJ[Credit]))+SUMIF(GJ[Account Code],B194,(GJ[Credit]))</f>
        <v>0</v>
      </c>
      <c r="G194" s="627">
        <f>IF(INDEX(AccountCodes[Normal Balance], MATCH(C194,AccountCodes[PPSAS CODE]))="Credit",F194-E194,0)</f>
        <v>0</v>
      </c>
      <c r="H194" s="626">
        <f t="shared" si="2"/>
        <v>0</v>
      </c>
    </row>
    <row r="195" spans="1:8" ht="15.75" hidden="1" x14ac:dyDescent="0.25">
      <c r="A195" s="623" t="str">
        <f t="array" ref="A195">INDEX(AccountCodes[ACCOUNT NAME],MATCH(B195,AccountCodes[NGAS CODE],0))</f>
        <v>Fines and Penalties-Irrigation Service Fee</v>
      </c>
      <c r="B195" s="597" t="s">
        <v>143</v>
      </c>
      <c r="C195" s="625">
        <f t="array" ref="C195">INDEX(AccountCodes[PPSAS CODE],MATCH(B195,AccountCodes[NGAS CODE],0))</f>
        <v>4020223000</v>
      </c>
      <c r="D195" s="626">
        <f>IF(INDEX(AccountCodes[Normal Balance], MATCH(C195,AccountCodes[PPSAS CODE]))="Debit",E195-F195,0)</f>
        <v>0</v>
      </c>
      <c r="E195" s="626">
        <f>SUMIF(PostTB[Account Code (Old)],B195,(PostTB[Debit]))+SUMIF(CkDJ[Account Code],B195,(CkDJ[Debit]))+SUMIF(CsDJ[Account Code],B195,(CsDJ[Debit]))+SUMIF(CRDJ[Account Code],B195,(CRDJ[Debit]))+SUMIF(GJ[Account Code],B195,(GJ[Debit]))</f>
        <v>0</v>
      </c>
      <c r="F195" s="627">
        <f>SUMIF(PostTB[Account Code (Old)],B195,(PostTB[Credit]))+SUMIF(CkDJ[Account Code],B195,(CkDJ[Credit]))+SUMIF(CsDJ[Account Code],B195,(CsDJ[Credit]))+SUMIF(CRDJ[Account Code],B195,(CRDJ[Credit]))+SUMIF(GJ[Account Code],B195,(GJ[Credit]))</f>
        <v>0</v>
      </c>
      <c r="G195" s="627">
        <f>IF(INDEX(AccountCodes[Normal Balance], MATCH(C195,AccountCodes[PPSAS CODE]))="Credit",F195-E195,0)</f>
        <v>0</v>
      </c>
      <c r="H195" s="626">
        <f t="shared" si="2"/>
        <v>0</v>
      </c>
    </row>
    <row r="196" spans="1:8" ht="15.75" hidden="1" x14ac:dyDescent="0.25">
      <c r="A196" s="623" t="str">
        <f t="array" ref="A196">INDEX(AccountCodes[ACCOUNT NAME],MATCH(B196,AccountCodes[NGAS CODE],0))</f>
        <v>Subsidy from National Government</v>
      </c>
      <c r="B196" s="597" t="s">
        <v>151</v>
      </c>
      <c r="C196" s="625">
        <f t="array" ref="C196">INDEX(AccountCodes[PPSAS CODE],MATCH(B196,AccountCodes[NGAS CODE],0))</f>
        <v>4030101000</v>
      </c>
      <c r="D196" s="626">
        <f>IF(INDEX(AccountCodes[Normal Balance], MATCH(C196,AccountCodes[PPSAS CODE]))="Debit",E196-F196,0)</f>
        <v>0</v>
      </c>
      <c r="E196" s="626">
        <f>SUMIF(PostTB[Account Code (Old)],B196,(PostTB[Debit]))+SUMIF(CkDJ[Account Code],B196,(CkDJ[Debit]))+SUMIF(CsDJ[Account Code],B196,(CsDJ[Debit]))+SUMIF(CRDJ[Account Code],B196,(CRDJ[Debit]))+SUMIF(GJ[Account Code],B196,(GJ[Debit]))</f>
        <v>0</v>
      </c>
      <c r="F196" s="627">
        <f>SUMIF(PostTB[Account Code (Old)],B196,(PostTB[Credit]))+SUMIF(CkDJ[Account Code],B196,(CkDJ[Credit]))+SUMIF(CsDJ[Account Code],B196,(CsDJ[Credit]))+SUMIF(CRDJ[Account Code],B196,(CRDJ[Credit]))+SUMIF(GJ[Account Code],B196,(GJ[Credit]))</f>
        <v>0</v>
      </c>
      <c r="G196" s="627">
        <f>IF(INDEX(AccountCodes[Normal Balance], MATCH(C196,AccountCodes[PPSAS CODE]))="Credit",F196-E196,0)</f>
        <v>0</v>
      </c>
      <c r="H196" s="626">
        <f t="shared" si="2"/>
        <v>0</v>
      </c>
    </row>
    <row r="197" spans="1:8" ht="15.75" hidden="1" x14ac:dyDescent="0.25">
      <c r="A197" s="623" t="str">
        <f t="array" ref="A197">INDEX(AccountCodes[ACCOUNT NAME],MATCH(B197,AccountCodes[NGAS CODE],0))</f>
        <v>Assistance from Local Government Units</v>
      </c>
      <c r="B197" s="597" t="s">
        <v>1230</v>
      </c>
      <c r="C197" s="625">
        <f t="array" ref="C197">INDEX(AccountCodes[PPSAS CODE],MATCH(B197,AccountCodes[NGAS CODE],0))</f>
        <v>4030103000</v>
      </c>
      <c r="D197" s="626">
        <f>IF(INDEX(AccountCodes[Normal Balance], MATCH(C197,AccountCodes[PPSAS CODE]))="Debit",E197-F197,0)</f>
        <v>0</v>
      </c>
      <c r="E197" s="626">
        <f>SUMIF(PostTB[Account Code (Old)],B197,(PostTB[Debit]))+SUMIF(CkDJ[Account Code],B197,(CkDJ[Debit]))+SUMIF(CsDJ[Account Code],B197,(CsDJ[Debit]))+SUMIF(CRDJ[Account Code],B197,(CRDJ[Debit]))+SUMIF(GJ[Account Code],B197,(GJ[Debit]))</f>
        <v>0</v>
      </c>
      <c r="F197" s="627">
        <f>SUMIF(PostTB[Account Code (Old)],B197,(PostTB[Credit]))+SUMIF(CkDJ[Account Code],B197,(CkDJ[Credit]))+SUMIF(CsDJ[Account Code],B197,(CsDJ[Credit]))+SUMIF(CRDJ[Account Code],B197,(CRDJ[Credit]))+SUMIF(GJ[Account Code],B197,(GJ[Credit]))</f>
        <v>0</v>
      </c>
      <c r="G197" s="627">
        <f>IF(INDEX(AccountCodes[Normal Balance], MATCH(C197,AccountCodes[PPSAS CODE]))="Credit",F197-E197,0)</f>
        <v>0</v>
      </c>
      <c r="H197" s="626">
        <f t="shared" si="2"/>
        <v>0</v>
      </c>
    </row>
    <row r="198" spans="1:8" ht="15.75" hidden="1" x14ac:dyDescent="0.25">
      <c r="A198" s="623" t="str">
        <f t="array" ref="A198">INDEX(AccountCodes[ACCOUNT NAME],MATCH(B198,AccountCodes[NGAS CODE],0))</f>
        <v>Subsidy from Other Funds</v>
      </c>
      <c r="B198" s="597" t="s">
        <v>1232</v>
      </c>
      <c r="C198" s="625">
        <f t="array" ref="C198">INDEX(AccountCodes[PPSAS CODE],MATCH(B198,AccountCodes[NGAS CODE],0))</f>
        <v>4030105000</v>
      </c>
      <c r="D198" s="626">
        <f>IF(INDEX(AccountCodes[Normal Balance], MATCH(C198,AccountCodes[PPSAS CODE]))="Debit",E198-F198,0)</f>
        <v>0</v>
      </c>
      <c r="E198" s="626">
        <f>SUMIF(PostTB[Account Code (Old)],B198,(PostTB[Debit]))+SUMIF(CkDJ[Account Code],B198,(CkDJ[Debit]))+SUMIF(CsDJ[Account Code],B198,(CsDJ[Debit]))+SUMIF(CRDJ[Account Code],B198,(CRDJ[Debit]))+SUMIF(GJ[Account Code],B198,(GJ[Debit]))</f>
        <v>0</v>
      </c>
      <c r="F198" s="627">
        <f>SUMIF(PostTB[Account Code (Old)],B198,(PostTB[Credit]))+SUMIF(CkDJ[Account Code],B198,(CkDJ[Credit]))+SUMIF(CsDJ[Account Code],B198,(CsDJ[Credit]))+SUMIF(CRDJ[Account Code],B198,(CRDJ[Credit]))+SUMIF(GJ[Account Code],B198,(GJ[Credit]))</f>
        <v>0</v>
      </c>
      <c r="G198" s="627">
        <f>IF(INDEX(AccountCodes[Normal Balance], MATCH(C198,AccountCodes[PPSAS CODE]))="Credit",F198-E198,0)</f>
        <v>0</v>
      </c>
      <c r="H198" s="626">
        <f t="shared" ref="H198:H261" si="3">IF(D198=0,G198,D198)</f>
        <v>0</v>
      </c>
    </row>
    <row r="199" spans="1:8" ht="15.75" x14ac:dyDescent="0.25">
      <c r="A199" s="623" t="str">
        <f t="array" ref="A199">INDEX(AccountCodes[ACCOUNT NAME],MATCH(B199,AccountCodes[NGAS CODE],0))</f>
        <v>Subsidy from Central Office</v>
      </c>
      <c r="B199" s="597" t="s">
        <v>152</v>
      </c>
      <c r="C199" s="625">
        <f t="array" ref="C199">INDEX(AccountCodes[PPSAS CODE],MATCH(B199,AccountCodes[NGAS CODE],0))</f>
        <v>4030106000</v>
      </c>
      <c r="D199" s="626">
        <f>IF(INDEX(AccountCodes[Normal Balance], MATCH(C199,AccountCodes[PPSAS CODE]))="Debit",E199-F199,0)</f>
        <v>0</v>
      </c>
      <c r="E199" s="626">
        <f>SUMIF(PostTB[Account Code (Old)],B199,(PostTB[Debit]))+SUMIF(CkDJ[Account Code],B199,(CkDJ[Debit]))+SUMIF(CsDJ[Account Code],B199,(CsDJ[Debit]))+SUMIF(CRDJ[Account Code],B199,(CRDJ[Debit]))+SUMIF(GJ[Account Code],B199,(GJ[Debit]))</f>
        <v>0</v>
      </c>
      <c r="F199" s="627">
        <f>SUMIF(PostTB[Account Code (Old)],B199,(PostTB[Credit]))+SUMIF(CkDJ[Account Code],B199,(CkDJ[Credit]))+SUMIF(CsDJ[Account Code],B199,(CsDJ[Credit]))+SUMIF(CRDJ[Account Code],B199,(CRDJ[Credit]))+SUMIF(GJ[Account Code],B199,(GJ[Credit]))</f>
        <v>0</v>
      </c>
      <c r="G199" s="627">
        <f>IF(INDEX(AccountCodes[Normal Balance], MATCH(C199,AccountCodes[PPSAS CODE]))="Credit",F199-E199,0)</f>
        <v>0</v>
      </c>
      <c r="H199" s="626">
        <f t="shared" si="3"/>
        <v>0</v>
      </c>
    </row>
    <row r="200" spans="1:8" ht="15.75" hidden="1" x14ac:dyDescent="0.25">
      <c r="A200" s="623" t="str">
        <f t="array" ref="A200">INDEX(AccountCodes[ACCOUNT NAME],MATCH(B200,AccountCodes[NGAS CODE],0))</f>
        <v>Subsidy from Regional Office/Staff Bureau</v>
      </c>
      <c r="B200" s="597" t="s">
        <v>1231</v>
      </c>
      <c r="C200" s="625">
        <f t="array" ref="C200">INDEX(AccountCodes[PPSAS CODE],MATCH(B200,AccountCodes[NGAS CODE],0))</f>
        <v>4030107000</v>
      </c>
      <c r="D200" s="626">
        <f>IF(INDEX(AccountCodes[Normal Balance], MATCH(C200,AccountCodes[PPSAS CODE]))="Debit",E200-F200,0)</f>
        <v>0</v>
      </c>
      <c r="E200" s="626">
        <f>SUMIF(PostTB[Account Code (Old)],B200,(PostTB[Debit]))+SUMIF(CkDJ[Account Code],B200,(CkDJ[Debit]))+SUMIF(CsDJ[Account Code],B200,(CsDJ[Debit]))+SUMIF(CRDJ[Account Code],B200,(CRDJ[Debit]))+SUMIF(GJ[Account Code],B200,(GJ[Debit]))</f>
        <v>0</v>
      </c>
      <c r="F200" s="627">
        <f>SUMIF(PostTB[Account Code (Old)],B200,(PostTB[Credit]))+SUMIF(CkDJ[Account Code],B200,(CkDJ[Credit]))+SUMIF(CsDJ[Account Code],B200,(CsDJ[Credit]))+SUMIF(CRDJ[Account Code],B200,(CRDJ[Credit]))+SUMIF(GJ[Account Code],B200,(GJ[Credit]))</f>
        <v>0</v>
      </c>
      <c r="G200" s="627">
        <f>IF(INDEX(AccountCodes[Normal Balance], MATCH(C200,AccountCodes[PPSAS CODE]))="Credit",F200-E200,0)</f>
        <v>0</v>
      </c>
      <c r="H200" s="626">
        <f t="shared" si="3"/>
        <v>0</v>
      </c>
    </row>
    <row r="201" spans="1:8" ht="15.75" hidden="1" x14ac:dyDescent="0.25">
      <c r="A201" s="623" t="str">
        <f t="array" ref="A201">INDEX(AccountCodes[ACCOUNT NAME],MATCH(B201,AccountCodes[NGAS CODE],0))</f>
        <v>Sale of Unserviceable Property</v>
      </c>
      <c r="B201" s="597" t="s">
        <v>156</v>
      </c>
      <c r="C201" s="625">
        <f t="array" ref="C201">INDEX(AccountCodes[PPSAS CODE],MATCH(B201,AccountCodes[NGAS CODE],0))</f>
        <v>4060102000</v>
      </c>
      <c r="D201" s="626">
        <f>IF(INDEX(AccountCodes[Normal Balance], MATCH(C201,AccountCodes[PPSAS CODE]))="Debit",E201-F201,0)</f>
        <v>0</v>
      </c>
      <c r="E201" s="626">
        <f>SUMIF(PostTB[Account Code (Old)],B201,(PostTB[Debit]))+SUMIF(CkDJ[Account Code],B201,(CkDJ[Debit]))+SUMIF(CsDJ[Account Code],B201,(CsDJ[Debit]))+SUMIF(CRDJ[Account Code],B201,(CRDJ[Debit]))+SUMIF(GJ[Account Code],B201,(GJ[Debit]))</f>
        <v>0</v>
      </c>
      <c r="F201" s="627">
        <f>SUMIF(PostTB[Account Code (Old)],B201,(PostTB[Credit]))+SUMIF(CkDJ[Account Code],B201,(CkDJ[Credit]))+SUMIF(CsDJ[Account Code],B201,(CsDJ[Credit]))+SUMIF(CRDJ[Account Code],B201,(CRDJ[Credit]))+SUMIF(GJ[Account Code],B201,(GJ[Credit]))</f>
        <v>0</v>
      </c>
      <c r="G201" s="627">
        <f>IF(INDEX(AccountCodes[Normal Balance], MATCH(C201,AccountCodes[PPSAS CODE]))="Credit",F201-E201,0)</f>
        <v>0</v>
      </c>
      <c r="H201" s="626">
        <f t="shared" si="3"/>
        <v>0</v>
      </c>
    </row>
    <row r="202" spans="1:8" ht="15.75" hidden="1" x14ac:dyDescent="0.25">
      <c r="A202" s="623" t="str">
        <f t="array" ref="A202">INDEX(AccountCodes[ACCOUNT NAME],MATCH(B202,AccountCodes[NGAS CODE],0))</f>
        <v>Miscellaneous Income (Bid Documents)</v>
      </c>
      <c r="B202" s="597" t="s">
        <v>155</v>
      </c>
      <c r="C202" s="625">
        <f t="array" ref="C202">INDEX(AccountCodes[PPSAS CODE],MATCH(B202,AccountCodes[NGAS CODE],0))</f>
        <v>4060999000</v>
      </c>
      <c r="D202" s="626">
        <f>IF(INDEX(AccountCodes[Normal Balance], MATCH(C202,AccountCodes[PPSAS CODE]))="Debit",E202-F202,0)</f>
        <v>0</v>
      </c>
      <c r="E202" s="626">
        <f>SUMIF(PostTB[Account Code (Old)],B202,(PostTB[Debit]))+SUMIF(CkDJ[Account Code],B202,(CkDJ[Debit]))+SUMIF(CsDJ[Account Code],B202,(CsDJ[Debit]))+SUMIF(CRDJ[Account Code],B202,(CRDJ[Debit]))+SUMIF(GJ[Account Code],B202,(GJ[Debit]))</f>
        <v>0</v>
      </c>
      <c r="F202" s="627">
        <f>SUMIF(PostTB[Account Code (Old)],B202,(PostTB[Credit]))+SUMIF(CkDJ[Account Code],B202,(CkDJ[Credit]))+SUMIF(CsDJ[Account Code],B202,(CsDJ[Credit]))+SUMIF(CRDJ[Account Code],B202,(CRDJ[Credit]))+SUMIF(GJ[Account Code],B202,(GJ[Credit]))</f>
        <v>0</v>
      </c>
      <c r="G202" s="627">
        <f>IF(INDEX(AccountCodes[Normal Balance], MATCH(C202,AccountCodes[PPSAS CODE]))="Credit",F202-E202,0)</f>
        <v>0</v>
      </c>
      <c r="H202" s="626">
        <f t="shared" si="3"/>
        <v>0</v>
      </c>
    </row>
    <row r="203" spans="1:8" ht="15.75" hidden="1" x14ac:dyDescent="0.25">
      <c r="A203" s="623" t="str">
        <f t="array" ref="A203">INDEX(AccountCodes[ACCOUNT NAME],MATCH(B203,AccountCodes[NGAS CODE],0))</f>
        <v>Miscellaneous Income (Scrap of Fixed Assets)</v>
      </c>
      <c r="B203" s="597" t="s">
        <v>159</v>
      </c>
      <c r="C203" s="625">
        <f t="array" ref="C203">INDEX(AccountCodes[PPSAS CODE],MATCH(B203,AccountCodes[NGAS CODE],0))</f>
        <v>4060999000</v>
      </c>
      <c r="D203" s="626">
        <f>IF(INDEX(AccountCodes[Normal Balance], MATCH(C203,AccountCodes[PPSAS CODE]))="Debit",E203-F203,0)</f>
        <v>0</v>
      </c>
      <c r="E203" s="626">
        <f>SUMIF(PostTB[Account Code (Old)],B203,(PostTB[Debit]))+SUMIF(CkDJ[Account Code],B203,(CkDJ[Debit]))+SUMIF(CsDJ[Account Code],B203,(CsDJ[Debit]))+SUMIF(CRDJ[Account Code],B203,(CRDJ[Debit]))+SUMIF(GJ[Account Code],B203,(GJ[Debit]))</f>
        <v>0</v>
      </c>
      <c r="F203" s="627">
        <f>SUMIF(PostTB[Account Code (Old)],B203,(PostTB[Credit]))+SUMIF(CkDJ[Account Code],B203,(CkDJ[Credit]))+SUMIF(CsDJ[Account Code],B203,(CsDJ[Credit]))+SUMIF(CRDJ[Account Code],B203,(CRDJ[Credit]))+SUMIF(GJ[Account Code],B203,(GJ[Credit]))</f>
        <v>0</v>
      </c>
      <c r="G203" s="627">
        <f>IF(INDEX(AccountCodes[Normal Balance], MATCH(C203,AccountCodes[PPSAS CODE]))="Credit",F203-E203,0)</f>
        <v>0</v>
      </c>
      <c r="H203" s="626">
        <f>IF(D203=0,G203,D203)</f>
        <v>0</v>
      </c>
    </row>
    <row r="204" spans="1:8" ht="15.75" hidden="1" x14ac:dyDescent="0.25">
      <c r="A204" s="623" t="str">
        <f t="array" ref="A204">INDEX(AccountCodes[ACCOUNT NAME],MATCH(B204,AccountCodes[NGAS CODE],0))</f>
        <v>Miscellaneous Income (Others)</v>
      </c>
      <c r="B204" s="597" t="s">
        <v>160</v>
      </c>
      <c r="C204" s="625">
        <f t="array" ref="C204">INDEX(AccountCodes[PPSAS CODE],MATCH(B204,AccountCodes[NGAS CODE],0))</f>
        <v>4060999000</v>
      </c>
      <c r="D204" s="626">
        <f>IF(INDEX(AccountCodes[Normal Balance], MATCH(C204,AccountCodes[PPSAS CODE]))="Debit",E204-F204,0)</f>
        <v>0</v>
      </c>
      <c r="E204" s="626">
        <f>SUMIF(PostTB[Account Code (Old)],B204,(PostTB[Debit]))+SUMIF(CkDJ[Account Code],B204,(CkDJ[Debit]))+SUMIF(CsDJ[Account Code],B204,(CsDJ[Debit]))+SUMIF(CRDJ[Account Code],B204,(CRDJ[Debit]))+SUMIF(GJ[Account Code],B204,(GJ[Debit]))</f>
        <v>0</v>
      </c>
      <c r="F204" s="627">
        <f>SUMIF(PostTB[Account Code (Old)],B204,(PostTB[Credit]))+SUMIF(CkDJ[Account Code],B204,(CkDJ[Credit]))+SUMIF(CsDJ[Account Code],B204,(CsDJ[Credit]))+SUMIF(CRDJ[Account Code],B204,(CRDJ[Credit]))+SUMIF(GJ[Account Code],B204,(GJ[Credit]))</f>
        <v>0</v>
      </c>
      <c r="G204" s="627">
        <f>IF(INDEX(AccountCodes[Normal Balance], MATCH(C204,AccountCodes[PPSAS CODE]))="Credit",F204-E204,0)</f>
        <v>0</v>
      </c>
      <c r="H204" s="626">
        <f t="shared" si="3"/>
        <v>0</v>
      </c>
    </row>
    <row r="205" spans="1:8" ht="15.75" hidden="1" x14ac:dyDescent="0.25">
      <c r="A205" s="623" t="str">
        <f t="array" ref="A205">INDEX(AccountCodes[ACCOUNT NAME],MATCH(B205,AccountCodes[NGAS CODE],0))</f>
        <v>Miscellaneous Income (Power)</v>
      </c>
      <c r="B205" s="597" t="s">
        <v>352</v>
      </c>
      <c r="C205" s="625">
        <f t="array" ref="C205">INDEX(AccountCodes[PPSAS CODE],MATCH(B205,AccountCodes[NGAS CODE],0))</f>
        <v>4060999000</v>
      </c>
      <c r="D205" s="626">
        <f>IF(INDEX(AccountCodes[Normal Balance], MATCH(C205,AccountCodes[PPSAS CODE]))="Debit",E205-F205,0)</f>
        <v>0</v>
      </c>
      <c r="E205" s="626">
        <f>SUMIF(PostTB[Account Code (Old)],B205,(PostTB[Debit]))+SUMIF(CkDJ[Account Code],B205,(CkDJ[Debit]))+SUMIF(CsDJ[Account Code],B205,(CsDJ[Debit]))+SUMIF(CRDJ[Account Code],B205,(CRDJ[Debit]))+SUMIF(GJ[Account Code],B205,(GJ[Debit]))</f>
        <v>0</v>
      </c>
      <c r="F205" s="627">
        <f>SUMIF(PostTB[Account Code (Old)],B205,(PostTB[Credit]))+SUMIF(CkDJ[Account Code],B205,(CkDJ[Credit]))+SUMIF(CsDJ[Account Code],B205,(CsDJ[Credit]))+SUMIF(CRDJ[Account Code],B205,(CRDJ[Credit]))+SUMIF(GJ[Account Code],B205,(GJ[Credit]))</f>
        <v>0</v>
      </c>
      <c r="G205" s="627">
        <f>IF(INDEX(AccountCodes[Normal Balance], MATCH(C205,AccountCodes[PPSAS CODE]))="Credit",F205-E205,0)</f>
        <v>0</v>
      </c>
      <c r="H205" s="626">
        <f t="shared" si="3"/>
        <v>0</v>
      </c>
    </row>
    <row r="206" spans="1:8" ht="15.75" x14ac:dyDescent="0.25">
      <c r="A206" s="623" t="str">
        <f t="array" ref="A206">INDEX(AccountCodes[ACCOUNT NAME],MATCH(B206,AccountCodes[NGAS CODE],0))</f>
        <v>Salaries and Wages-Regular</v>
      </c>
      <c r="B206" s="597" t="s">
        <v>162</v>
      </c>
      <c r="C206" s="625">
        <f t="array" ref="C206">INDEX(AccountCodes[PPSAS CODE],MATCH(B206,AccountCodes[NGAS CODE],0))</f>
        <v>5010101000</v>
      </c>
      <c r="D206" s="626">
        <f>IF(INDEX(AccountCodes[Normal Balance], MATCH(C206,AccountCodes[PPSAS CODE]))="Debit",E206-F206,0)</f>
        <v>1004453.65</v>
      </c>
      <c r="E206" s="626">
        <f>SUMIF(PostTB[Account Code (Old)],B206,(PostTB[Debit]))+SUMIF(CkDJ[Account Code],B206,(CkDJ[Debit]))+SUMIF(CsDJ[Account Code],B206,(CsDJ[Debit]))+SUMIF(CRDJ[Account Code],B206,(CRDJ[Debit]))+SUMIF(GJ[Account Code],B206,(GJ[Debit]))</f>
        <v>1004453.65</v>
      </c>
      <c r="F206" s="627">
        <f>SUMIF(PostTB[Account Code (Old)],B206,(PostTB[Credit]))+SUMIF(CkDJ[Account Code],B206,(CkDJ[Credit]))+SUMIF(CsDJ[Account Code],B206,(CsDJ[Credit]))+SUMIF(CRDJ[Account Code],B206,(CRDJ[Credit]))+SUMIF(GJ[Account Code],B206,(GJ[Credit]))</f>
        <v>0</v>
      </c>
      <c r="G206" s="627">
        <f>IF(INDEX(AccountCodes[Normal Balance], MATCH(C206,AccountCodes[PPSAS CODE]))="Credit",F206-E206,0)</f>
        <v>0</v>
      </c>
      <c r="H206" s="626">
        <f t="shared" si="3"/>
        <v>1004453.65</v>
      </c>
    </row>
    <row r="207" spans="1:8" ht="15.75" hidden="1" x14ac:dyDescent="0.25">
      <c r="A207" s="623" t="str">
        <f t="array" ref="A207">INDEX(AccountCodes[ACCOUNT NAME],MATCH(B207,AccountCodes[NGAS CODE],0))</f>
        <v>Salaries and Wages-Casual/Contractual</v>
      </c>
      <c r="B207" s="597" t="s">
        <v>163</v>
      </c>
      <c r="C207" s="625">
        <f t="array" ref="C207">INDEX(AccountCodes[PPSAS CODE],MATCH(B207,AccountCodes[NGAS CODE],0))</f>
        <v>5010102000</v>
      </c>
      <c r="D207" s="626">
        <f>IF(INDEX(AccountCodes[Normal Balance], MATCH(C207,AccountCodes[PPSAS CODE]))="Debit",E207-F207,0)</f>
        <v>0</v>
      </c>
      <c r="E207" s="626">
        <f>SUMIF(PostTB[Account Code (Old)],B207,(PostTB[Debit]))+SUMIF(CkDJ[Account Code],B207,(CkDJ[Debit]))+SUMIF(CsDJ[Account Code],B207,(CsDJ[Debit]))+SUMIF(CRDJ[Account Code],B207,(CRDJ[Debit]))+SUMIF(GJ[Account Code],B207,(GJ[Debit]))</f>
        <v>0</v>
      </c>
      <c r="F207" s="627">
        <f>SUMIF(PostTB[Account Code (Old)],B207,(PostTB[Credit]))+SUMIF(CkDJ[Account Code],B207,(CkDJ[Credit]))+SUMIF(CsDJ[Account Code],B207,(CsDJ[Credit]))+SUMIF(CRDJ[Account Code],B207,(CRDJ[Credit]))+SUMIF(GJ[Account Code],B207,(GJ[Credit]))</f>
        <v>0</v>
      </c>
      <c r="G207" s="627">
        <f>IF(INDEX(AccountCodes[Normal Balance], MATCH(C207,AccountCodes[PPSAS CODE]))="Credit",F207-E207,0)</f>
        <v>0</v>
      </c>
      <c r="H207" s="626">
        <f t="shared" si="3"/>
        <v>0</v>
      </c>
    </row>
    <row r="208" spans="1:8" ht="15.75" x14ac:dyDescent="0.25">
      <c r="A208" s="623" t="str">
        <f t="array" ref="A208">INDEX(AccountCodes[ACCOUNT NAME],MATCH(B208,AccountCodes[NGAS CODE],0))</f>
        <v>Personal Economic Relief Allowance (PERA)</v>
      </c>
      <c r="B208" s="597" t="s">
        <v>164</v>
      </c>
      <c r="C208" s="625">
        <f t="array" ref="C208">INDEX(AccountCodes[PPSAS CODE],MATCH(B208,AccountCodes[NGAS CODE],0))</f>
        <v>5010201000</v>
      </c>
      <c r="D208" s="626">
        <f>IF(INDEX(AccountCodes[Normal Balance], MATCH(C208,AccountCodes[PPSAS CODE]))="Debit",E208-F208,0)</f>
        <v>72000</v>
      </c>
      <c r="E208" s="626">
        <f>SUMIF(PostTB[Account Code (Old)],B208,(PostTB[Debit]))+SUMIF(CkDJ[Account Code],B208,(CkDJ[Debit]))+SUMIF(CsDJ[Account Code],B208,(CsDJ[Debit]))+SUMIF(CRDJ[Account Code],B208,(CRDJ[Debit]))+SUMIF(GJ[Account Code],B208,(GJ[Debit]))</f>
        <v>72000</v>
      </c>
      <c r="F208" s="627">
        <f>SUMIF(PostTB[Account Code (Old)],B208,(PostTB[Credit]))+SUMIF(CkDJ[Account Code],B208,(CkDJ[Credit]))+SUMIF(CsDJ[Account Code],B208,(CsDJ[Credit]))+SUMIF(CRDJ[Account Code],B208,(CRDJ[Credit]))+SUMIF(GJ[Account Code],B208,(GJ[Credit]))</f>
        <v>0</v>
      </c>
      <c r="G208" s="627">
        <f>IF(INDEX(AccountCodes[Normal Balance], MATCH(C208,AccountCodes[PPSAS CODE]))="Credit",F208-E208,0)</f>
        <v>0</v>
      </c>
      <c r="H208" s="626">
        <f t="shared" si="3"/>
        <v>72000</v>
      </c>
    </row>
    <row r="209" spans="1:8" ht="15.75" hidden="1" x14ac:dyDescent="0.25">
      <c r="A209" s="623" t="str">
        <f t="array" ref="A209">INDEX(AccountCodes[ACCOUNT NAME],MATCH(B209,AccountCodes[NGAS CODE],0))</f>
        <v>Representation Allowance (RA)</v>
      </c>
      <c r="B209" s="597" t="s">
        <v>165</v>
      </c>
      <c r="C209" s="625">
        <f t="array" ref="C209">INDEX(AccountCodes[PPSAS CODE],MATCH(B209,AccountCodes[NGAS CODE],0))</f>
        <v>5010202000</v>
      </c>
      <c r="D209" s="626">
        <f>IF(INDEX(AccountCodes[Normal Balance], MATCH(C209,AccountCodes[PPSAS CODE]))="Debit",E209-F209,0)</f>
        <v>0</v>
      </c>
      <c r="E209" s="626">
        <f>SUMIF(PostTB[Account Code (Old)],B209,(PostTB[Debit]))+SUMIF(CkDJ[Account Code],B209,(CkDJ[Debit]))+SUMIF(CsDJ[Account Code],B209,(CsDJ[Debit]))+SUMIF(CRDJ[Account Code],B209,(CRDJ[Debit]))+SUMIF(GJ[Account Code],B209,(GJ[Debit]))</f>
        <v>0</v>
      </c>
      <c r="F209" s="627">
        <f>SUMIF(PostTB[Account Code (Old)],B209,(PostTB[Credit]))+SUMIF(CkDJ[Account Code],B209,(CkDJ[Credit]))+SUMIF(CsDJ[Account Code],B209,(CsDJ[Credit]))+SUMIF(CRDJ[Account Code],B209,(CRDJ[Credit]))+SUMIF(GJ[Account Code],B209,(GJ[Credit]))</f>
        <v>0</v>
      </c>
      <c r="G209" s="627">
        <f>IF(INDEX(AccountCodes[Normal Balance], MATCH(C209,AccountCodes[PPSAS CODE]))="Credit",F209-E209,0)</f>
        <v>0</v>
      </c>
      <c r="H209" s="626">
        <f t="shared" si="3"/>
        <v>0</v>
      </c>
    </row>
    <row r="210" spans="1:8" ht="15.75" hidden="1" x14ac:dyDescent="0.25">
      <c r="A210" s="623" t="str">
        <f t="array" ref="A210">INDEX(AccountCodes[ACCOUNT NAME],MATCH(B210,AccountCodes[NGAS CODE],0))</f>
        <v>Transportation Allowance (TA)</v>
      </c>
      <c r="B210" s="597" t="s">
        <v>166</v>
      </c>
      <c r="C210" s="625">
        <f t="array" ref="C210">INDEX(AccountCodes[PPSAS CODE],MATCH(B210,AccountCodes[NGAS CODE],0))</f>
        <v>5010203000</v>
      </c>
      <c r="D210" s="626">
        <f>IF(INDEX(AccountCodes[Normal Balance], MATCH(C210,AccountCodes[PPSAS CODE]))="Debit",E210-F210,0)</f>
        <v>0</v>
      </c>
      <c r="E210" s="626">
        <f>SUMIF(PostTB[Account Code (Old)],B210,(PostTB[Debit]))+SUMIF(CkDJ[Account Code],B210,(CkDJ[Debit]))+SUMIF(CsDJ[Account Code],B210,(CsDJ[Debit]))+SUMIF(CRDJ[Account Code],B210,(CRDJ[Debit]))+SUMIF(GJ[Account Code],B210,(GJ[Debit]))</f>
        <v>0</v>
      </c>
      <c r="F210" s="627">
        <f>SUMIF(PostTB[Account Code (Old)],B210,(PostTB[Credit]))+SUMIF(CkDJ[Account Code],B210,(CkDJ[Credit]))+SUMIF(CsDJ[Account Code],B210,(CsDJ[Credit]))+SUMIF(CRDJ[Account Code],B210,(CRDJ[Credit]))+SUMIF(GJ[Account Code],B210,(GJ[Credit]))</f>
        <v>0</v>
      </c>
      <c r="G210" s="627">
        <f>IF(INDEX(AccountCodes[Normal Balance], MATCH(C210,AccountCodes[PPSAS CODE]))="Credit",F210-E210,0)</f>
        <v>0</v>
      </c>
      <c r="H210" s="626">
        <f t="shared" si="3"/>
        <v>0</v>
      </c>
    </row>
    <row r="211" spans="1:8" ht="15.75" x14ac:dyDescent="0.25">
      <c r="A211" s="623" t="str">
        <f t="array" ref="A211">INDEX(AccountCodes[ACCOUNT NAME],MATCH(B211,AccountCodes[NGAS CODE],0))</f>
        <v>Clothing/Uniform Allowance</v>
      </c>
      <c r="B211" s="597" t="s">
        <v>167</v>
      </c>
      <c r="C211" s="625">
        <f t="array" ref="C211">INDEX(AccountCodes[PPSAS CODE],MATCH(B211,AccountCodes[NGAS CODE],0))</f>
        <v>5010204000</v>
      </c>
      <c r="D211" s="626">
        <f>IF(INDEX(AccountCodes[Normal Balance], MATCH(C211,AccountCodes[PPSAS CODE]))="Debit",E211-F211,0)</f>
        <v>18000</v>
      </c>
      <c r="E211" s="626">
        <f>SUMIF(PostTB[Account Code (Old)],B211,(PostTB[Debit]))+SUMIF(CkDJ[Account Code],B211,(CkDJ[Debit]))+SUMIF(CsDJ[Account Code],B211,(CsDJ[Debit]))+SUMIF(CRDJ[Account Code],B211,(CRDJ[Debit]))+SUMIF(GJ[Account Code],B211,(GJ[Debit]))</f>
        <v>18000</v>
      </c>
      <c r="F211" s="627">
        <f>SUMIF(PostTB[Account Code (Old)],B211,(PostTB[Credit]))+SUMIF(CkDJ[Account Code],B211,(CkDJ[Credit]))+SUMIF(CsDJ[Account Code],B211,(CsDJ[Credit]))+SUMIF(CRDJ[Account Code],B211,(CRDJ[Credit]))+SUMIF(GJ[Account Code],B211,(GJ[Credit]))</f>
        <v>0</v>
      </c>
      <c r="G211" s="627">
        <f>IF(INDEX(AccountCodes[Normal Balance], MATCH(C211,AccountCodes[PPSAS CODE]))="Credit",F211-E211,0)</f>
        <v>0</v>
      </c>
      <c r="H211" s="626">
        <f t="shared" si="3"/>
        <v>18000</v>
      </c>
    </row>
    <row r="212" spans="1:8" ht="15.75" hidden="1" x14ac:dyDescent="0.25">
      <c r="A212" s="623" t="str">
        <f t="array" ref="A212">INDEX(AccountCodes[ACCOUNT NAME],MATCH(B212,AccountCodes[NGAS CODE],0))</f>
        <v>Subsistence Allowance</v>
      </c>
      <c r="B212" s="597" t="s">
        <v>1262</v>
      </c>
      <c r="C212" s="625">
        <f t="array" ref="C212">INDEX(AccountCodes[PPSAS CODE],MATCH(B212,AccountCodes[NGAS CODE],0))</f>
        <v>5010205000</v>
      </c>
      <c r="D212" s="626">
        <f>IF(INDEX(AccountCodes[Normal Balance], MATCH(C212,AccountCodes[PPSAS CODE]))="Debit",E212-F212,0)</f>
        <v>0</v>
      </c>
      <c r="E212" s="626">
        <f>SUMIF(PostTB[Account Code (Old)],B212,(PostTB[Debit]))+SUMIF(CkDJ[Account Code],B212,(CkDJ[Debit]))+SUMIF(CsDJ[Account Code],B212,(CsDJ[Debit]))+SUMIF(CRDJ[Account Code],B212,(CRDJ[Debit]))+SUMIF(GJ[Account Code],B212,(GJ[Debit]))</f>
        <v>0</v>
      </c>
      <c r="F212" s="627">
        <f>SUMIF(PostTB[Account Code (Old)],B212,(PostTB[Credit]))+SUMIF(CkDJ[Account Code],B212,(CkDJ[Credit]))+SUMIF(CsDJ[Account Code],B212,(CsDJ[Credit]))+SUMIF(CRDJ[Account Code],B212,(CRDJ[Credit]))+SUMIF(GJ[Account Code],B212,(GJ[Credit]))</f>
        <v>0</v>
      </c>
      <c r="G212" s="627">
        <f>IF(INDEX(AccountCodes[Normal Balance], MATCH(C212,AccountCodes[PPSAS CODE]))="Credit",F212-E212,0)</f>
        <v>0</v>
      </c>
      <c r="H212" s="626">
        <f t="shared" si="3"/>
        <v>0</v>
      </c>
    </row>
    <row r="213" spans="1:8" ht="15.75" hidden="1" x14ac:dyDescent="0.25">
      <c r="A213" s="623" t="str">
        <f t="array" ref="A213">INDEX(AccountCodes[ACCOUNT NAME],MATCH(B213,AccountCodes[NGAS CODE],0))</f>
        <v>Laundry Allowance</v>
      </c>
      <c r="B213" s="597" t="s">
        <v>1263</v>
      </c>
      <c r="C213" s="625">
        <f t="array" ref="C213">INDEX(AccountCodes[PPSAS CODE],MATCH(B213,AccountCodes[NGAS CODE],0))</f>
        <v>5010206000</v>
      </c>
      <c r="D213" s="626">
        <f>IF(INDEX(AccountCodes[Normal Balance], MATCH(C213,AccountCodes[PPSAS CODE]))="Debit",E213-F213,0)</f>
        <v>0</v>
      </c>
      <c r="E213" s="626">
        <f>SUMIF(PostTB[Account Code (Old)],B213,(PostTB[Debit]))+SUMIF(CkDJ[Account Code],B213,(CkDJ[Debit]))+SUMIF(CsDJ[Account Code],B213,(CsDJ[Debit]))+SUMIF(CRDJ[Account Code],B213,(CRDJ[Debit]))+SUMIF(GJ[Account Code],B213,(GJ[Debit]))</f>
        <v>0</v>
      </c>
      <c r="F213" s="627">
        <f>SUMIF(PostTB[Account Code (Old)],B213,(PostTB[Credit]))+SUMIF(CkDJ[Account Code],B213,(CkDJ[Credit]))+SUMIF(CsDJ[Account Code],B213,(CsDJ[Credit]))+SUMIF(CRDJ[Account Code],B213,(CRDJ[Credit]))+SUMIF(GJ[Account Code],B213,(GJ[Credit]))</f>
        <v>0</v>
      </c>
      <c r="G213" s="627">
        <f>IF(INDEX(AccountCodes[Normal Balance], MATCH(C213,AccountCodes[PPSAS CODE]))="Credit",F213-E213,0)</f>
        <v>0</v>
      </c>
      <c r="H213" s="626">
        <f t="shared" si="3"/>
        <v>0</v>
      </c>
    </row>
    <row r="214" spans="1:8" ht="15.75" hidden="1" x14ac:dyDescent="0.25">
      <c r="A214" s="623" t="str">
        <f t="array" ref="A214">INDEX(AccountCodes[ACCOUNT NAME],MATCH(B214,AccountCodes[NGAS CODE],0))</f>
        <v>Quarters Allowance</v>
      </c>
      <c r="B214" s="597" t="s">
        <v>1264</v>
      </c>
      <c r="C214" s="625">
        <f t="array" ref="C214">INDEX(AccountCodes[PPSAS CODE],MATCH(B214,AccountCodes[NGAS CODE],0))</f>
        <v>5010207000</v>
      </c>
      <c r="D214" s="626">
        <f>IF(INDEX(AccountCodes[Normal Balance], MATCH(C214,AccountCodes[PPSAS CODE]))="Debit",E214-F214,0)</f>
        <v>0</v>
      </c>
      <c r="E214" s="626">
        <f>SUMIF(PostTB[Account Code (Old)],B214,(PostTB[Debit]))+SUMIF(CkDJ[Account Code],B214,(CkDJ[Debit]))+SUMIF(CsDJ[Account Code],B214,(CsDJ[Debit]))+SUMIF(CRDJ[Account Code],B214,(CRDJ[Debit]))+SUMIF(GJ[Account Code],B214,(GJ[Debit]))</f>
        <v>0</v>
      </c>
      <c r="F214" s="627">
        <f>SUMIF(PostTB[Account Code (Old)],B214,(PostTB[Credit]))+SUMIF(CkDJ[Account Code],B214,(CkDJ[Credit]))+SUMIF(CsDJ[Account Code],B214,(CsDJ[Credit]))+SUMIF(CRDJ[Account Code],B214,(CRDJ[Credit]))+SUMIF(GJ[Account Code],B214,(GJ[Credit]))</f>
        <v>0</v>
      </c>
      <c r="G214" s="627">
        <f>IF(INDEX(AccountCodes[Normal Balance], MATCH(C214,AccountCodes[PPSAS CODE]))="Credit",F214-E214,0)</f>
        <v>0</v>
      </c>
      <c r="H214" s="626">
        <f t="shared" si="3"/>
        <v>0</v>
      </c>
    </row>
    <row r="215" spans="1:8" ht="15.75" x14ac:dyDescent="0.25">
      <c r="A215" s="623" t="str">
        <f t="array" ref="A215">INDEX(AccountCodes[ACCOUNT NAME],MATCH(B215,AccountCodes[NGAS CODE],0))</f>
        <v>Productivity Incentive Allowance</v>
      </c>
      <c r="B215" s="597" t="s">
        <v>171</v>
      </c>
      <c r="C215" s="625">
        <f t="array" ref="C215">INDEX(AccountCodes[PPSAS CODE],MATCH(B215,AccountCodes[NGAS CODE],0))</f>
        <v>5010208000</v>
      </c>
      <c r="D215" s="626">
        <f>IF(INDEX(AccountCodes[Normal Balance], MATCH(C215,AccountCodes[PPSAS CODE]))="Debit",E215-F215,0)</f>
        <v>15000</v>
      </c>
      <c r="E215" s="626">
        <f>SUMIF(PostTB[Account Code (Old)],B215,(PostTB[Debit]))+SUMIF(CkDJ[Account Code],B215,(CkDJ[Debit]))+SUMIF(CsDJ[Account Code],B215,(CsDJ[Debit]))+SUMIF(CRDJ[Account Code],B215,(CRDJ[Debit]))+SUMIF(GJ[Account Code],B215,(GJ[Debit]))</f>
        <v>15000</v>
      </c>
      <c r="F215" s="627">
        <f>SUMIF(PostTB[Account Code (Old)],B215,(PostTB[Credit]))+SUMIF(CkDJ[Account Code],B215,(CkDJ[Credit]))+SUMIF(CsDJ[Account Code],B215,(CsDJ[Credit]))+SUMIF(CRDJ[Account Code],B215,(CRDJ[Credit]))+SUMIF(GJ[Account Code],B215,(GJ[Credit]))</f>
        <v>0</v>
      </c>
      <c r="G215" s="627">
        <f>IF(INDEX(AccountCodes[Normal Balance], MATCH(C215,AccountCodes[PPSAS CODE]))="Credit",F215-E215,0)</f>
        <v>0</v>
      </c>
      <c r="H215" s="626">
        <f t="shared" si="3"/>
        <v>15000</v>
      </c>
    </row>
    <row r="216" spans="1:8" ht="15.75" hidden="1" x14ac:dyDescent="0.25">
      <c r="A216" s="623" t="str">
        <f t="array" ref="A216">INDEX(AccountCodes[ACCOUNT NAME],MATCH(B216,AccountCodes[NGAS CODE],0))</f>
        <v>Honoraria</v>
      </c>
      <c r="B216" s="597" t="s">
        <v>173</v>
      </c>
      <c r="C216" s="625">
        <f t="array" ref="C216">INDEX(AccountCodes[PPSAS CODE],MATCH(B216,AccountCodes[NGAS CODE],0))</f>
        <v>5010210000</v>
      </c>
      <c r="D216" s="626">
        <f>IF(INDEX(AccountCodes[Normal Balance], MATCH(C216,AccountCodes[PPSAS CODE]))="Debit",E216-F216,0)</f>
        <v>0</v>
      </c>
      <c r="E216" s="626">
        <f>SUMIF(PostTB[Account Code (Old)],B216,(PostTB[Debit]))+SUMIF(CkDJ[Account Code],B216,(CkDJ[Debit]))+SUMIF(CsDJ[Account Code],B216,(CsDJ[Debit]))+SUMIF(CRDJ[Account Code],B216,(CRDJ[Debit]))+SUMIF(GJ[Account Code],B216,(GJ[Debit]))</f>
        <v>0</v>
      </c>
      <c r="F216" s="627">
        <f>SUMIF(PostTB[Account Code (Old)],B216,(PostTB[Credit]))+SUMIF(CkDJ[Account Code],B216,(CkDJ[Credit]))+SUMIF(CsDJ[Account Code],B216,(CsDJ[Credit]))+SUMIF(CRDJ[Account Code],B216,(CRDJ[Credit]))+SUMIF(GJ[Account Code],B216,(GJ[Credit]))</f>
        <v>0</v>
      </c>
      <c r="G216" s="627">
        <f>IF(INDEX(AccountCodes[Normal Balance], MATCH(C216,AccountCodes[PPSAS CODE]))="Credit",F216-E216,0)</f>
        <v>0</v>
      </c>
      <c r="H216" s="626">
        <f t="shared" si="3"/>
        <v>0</v>
      </c>
    </row>
    <row r="217" spans="1:8" ht="15.75" x14ac:dyDescent="0.25">
      <c r="A217" s="623" t="str">
        <f t="array" ref="A217">INDEX(AccountCodes[ACCOUNT NAME],MATCH(B217,AccountCodes[NGAS CODE],0))</f>
        <v>Hazard Pay</v>
      </c>
      <c r="B217" s="597" t="s">
        <v>215</v>
      </c>
      <c r="C217" s="625">
        <f t="array" ref="C217">INDEX(AccountCodes[PPSAS CODE],MATCH(B217,AccountCodes[NGAS CODE],0))</f>
        <v>5010211000</v>
      </c>
      <c r="D217" s="626">
        <f>IF(INDEX(AccountCodes[Normal Balance], MATCH(C217,AccountCodes[PPSAS CODE]))="Debit",E217-F217,0)</f>
        <v>0</v>
      </c>
      <c r="E217" s="626">
        <f>SUMIF(PostTB[Account Code (Old)],B217,(PostTB[Debit]))+SUMIF(CkDJ[Account Code],B217,(CkDJ[Debit]))+SUMIF(CsDJ[Account Code],B217,(CsDJ[Debit]))+SUMIF(CRDJ[Account Code],B217,(CRDJ[Debit]))+SUMIF(GJ[Account Code],B217,(GJ[Debit]))</f>
        <v>0</v>
      </c>
      <c r="F217" s="627">
        <f>SUMIF(PostTB[Account Code (Old)],B217,(PostTB[Credit]))+SUMIF(CkDJ[Account Code],B217,(CkDJ[Credit]))+SUMIF(CsDJ[Account Code],B217,(CsDJ[Credit]))+SUMIF(CRDJ[Account Code],B217,(CRDJ[Credit]))+SUMIF(GJ[Account Code],B217,(GJ[Credit]))</f>
        <v>0</v>
      </c>
      <c r="G217" s="627">
        <f>IF(INDEX(AccountCodes[Normal Balance], MATCH(C217,AccountCodes[PPSAS CODE]))="Credit",F217-E217,0)</f>
        <v>0</v>
      </c>
      <c r="H217" s="626">
        <f t="shared" si="3"/>
        <v>0</v>
      </c>
    </row>
    <row r="218" spans="1:8" ht="15.75" x14ac:dyDescent="0.25">
      <c r="A218" s="623" t="str">
        <f t="array" ref="A218">INDEX(AccountCodes[ACCOUNT NAME],MATCH(B218,AccountCodes[NGAS CODE],0))</f>
        <v>Longevity Pay</v>
      </c>
      <c r="B218" s="597" t="s">
        <v>216</v>
      </c>
      <c r="C218" s="625">
        <f t="array" ref="C218">INDEX(AccountCodes[PPSAS CODE],MATCH(B218,AccountCodes[NGAS CODE],0))</f>
        <v>5010212000</v>
      </c>
      <c r="D218" s="626">
        <f>IF(INDEX(AccountCodes[Normal Balance], MATCH(C218,AccountCodes[PPSAS CODE]))="Debit",E218-F218,0)</f>
        <v>0</v>
      </c>
      <c r="E218" s="626">
        <f>SUMIF(PostTB[Account Code (Old)],B218,(PostTB[Debit]))+SUMIF(CkDJ[Account Code],B218,(CkDJ[Debit]))+SUMIF(CsDJ[Account Code],B218,(CsDJ[Debit]))+SUMIF(CRDJ[Account Code],B218,(CRDJ[Debit]))+SUMIF(GJ[Account Code],B218,(GJ[Debit]))</f>
        <v>0</v>
      </c>
      <c r="F218" s="627">
        <f>SUMIF(PostTB[Account Code (Old)],B218,(PostTB[Credit]))+SUMIF(CkDJ[Account Code],B218,(CkDJ[Credit]))+SUMIF(CsDJ[Account Code],B218,(CsDJ[Credit]))+SUMIF(CRDJ[Account Code],B218,(CRDJ[Credit]))+SUMIF(GJ[Account Code],B218,(GJ[Credit]))</f>
        <v>0</v>
      </c>
      <c r="G218" s="627">
        <f>IF(INDEX(AccountCodes[Normal Balance], MATCH(C218,AccountCodes[PPSAS CODE]))="Credit",F218-E218,0)</f>
        <v>0</v>
      </c>
      <c r="H218" s="626">
        <f t="shared" si="3"/>
        <v>0</v>
      </c>
    </row>
    <row r="219" spans="1:8" ht="15.75" hidden="1" x14ac:dyDescent="0.25">
      <c r="A219" s="623" t="str">
        <f t="array" ref="A219">INDEX(AccountCodes[ACCOUNT NAME],MATCH(B219,AccountCodes[NGAS CODE],0))</f>
        <v>Overtime and Night Pay</v>
      </c>
      <c r="B219" s="597" t="s">
        <v>214</v>
      </c>
      <c r="C219" s="625">
        <f t="array" ref="C219">INDEX(AccountCodes[PPSAS CODE],MATCH(B219,AccountCodes[NGAS CODE],0))</f>
        <v>5010213000</v>
      </c>
      <c r="D219" s="626">
        <f>IF(INDEX(AccountCodes[Normal Balance], MATCH(C219,AccountCodes[PPSAS CODE]))="Debit",E219-F219,0)</f>
        <v>0</v>
      </c>
      <c r="E219" s="626">
        <f>SUMIF(PostTB[Account Code (Old)],B219,(PostTB[Debit]))+SUMIF(CkDJ[Account Code],B219,(CkDJ[Debit]))+SUMIF(CsDJ[Account Code],B219,(CsDJ[Debit]))+SUMIF(CRDJ[Account Code],B219,(CRDJ[Debit]))+SUMIF(GJ[Account Code],B219,(GJ[Debit]))</f>
        <v>0</v>
      </c>
      <c r="F219" s="627">
        <f>SUMIF(PostTB[Account Code (Old)],B219,(PostTB[Credit]))+SUMIF(CkDJ[Account Code],B219,(CkDJ[Credit]))+SUMIF(CsDJ[Account Code],B219,(CsDJ[Credit]))+SUMIF(CRDJ[Account Code],B219,(CRDJ[Credit]))+SUMIF(GJ[Account Code],B219,(GJ[Credit]))</f>
        <v>0</v>
      </c>
      <c r="G219" s="627">
        <f>IF(INDEX(AccountCodes[Normal Balance], MATCH(C219,AccountCodes[PPSAS CODE]))="Credit",F219-E219,0)</f>
        <v>0</v>
      </c>
      <c r="H219" s="626">
        <f t="shared" si="3"/>
        <v>0</v>
      </c>
    </row>
    <row r="220" spans="1:8" ht="15.75" x14ac:dyDescent="0.25">
      <c r="A220" s="623" t="str">
        <f t="array" ref="A220">INDEX(AccountCodes[ACCOUNT NAME],MATCH(B220,AccountCodes[NGAS CODE],0))</f>
        <v>Mid-Year/Year End Bonus</v>
      </c>
      <c r="B220" s="597" t="s">
        <v>174</v>
      </c>
      <c r="C220" s="625">
        <f t="array" ref="C220">INDEX(AccountCodes[PPSAS CODE],MATCH(B220,AccountCodes[NGAS CODE],0))</f>
        <v>5010214000</v>
      </c>
      <c r="D220" s="626">
        <f>IF(INDEX(AccountCodes[Normal Balance], MATCH(C220,AccountCodes[PPSAS CODE]))="Debit",E220-F220,0)</f>
        <v>158898</v>
      </c>
      <c r="E220" s="626">
        <f>SUMIF(PostTB[Account Code (Old)],B220,(PostTB[Debit]))+SUMIF(CkDJ[Account Code],B220,(CkDJ[Debit]))+SUMIF(CsDJ[Account Code],B220,(CsDJ[Debit]))+SUMIF(CRDJ[Account Code],B220,(CRDJ[Debit]))+SUMIF(GJ[Account Code],B220,(GJ[Debit]))</f>
        <v>158898</v>
      </c>
      <c r="F220" s="627">
        <f>SUMIF(PostTB[Account Code (Old)],B220,(PostTB[Credit]))+SUMIF(CkDJ[Account Code],B220,(CkDJ[Credit]))+SUMIF(CsDJ[Account Code],B220,(CsDJ[Credit]))+SUMIF(CRDJ[Account Code],B220,(CRDJ[Credit]))+SUMIF(GJ[Account Code],B220,(GJ[Credit]))</f>
        <v>0</v>
      </c>
      <c r="G220" s="627">
        <f>IF(INDEX(AccountCodes[Normal Balance], MATCH(C220,AccountCodes[PPSAS CODE]))="Credit",F220-E220,0)</f>
        <v>0</v>
      </c>
      <c r="H220" s="626">
        <f t="shared" si="3"/>
        <v>158898</v>
      </c>
    </row>
    <row r="221" spans="1:8" ht="15.75" x14ac:dyDescent="0.25">
      <c r="A221" s="623" t="str">
        <f t="array" ref="A221">INDEX(AccountCodes[ACCOUNT NAME],MATCH(B221,AccountCodes[NGAS CODE],0))</f>
        <v>Cash Gift</v>
      </c>
      <c r="B221" s="597" t="s">
        <v>172</v>
      </c>
      <c r="C221" s="625">
        <f t="array" ref="C221">INDEX(AccountCodes[PPSAS CODE],MATCH(B221,AccountCodes[NGAS CODE],0))</f>
        <v>5010215000</v>
      </c>
      <c r="D221" s="626">
        <f>IF(INDEX(AccountCodes[Normal Balance], MATCH(C221,AccountCodes[PPSAS CODE]))="Debit",E221-F221,0)</f>
        <v>15000</v>
      </c>
      <c r="E221" s="626">
        <f>SUMIF(PostTB[Account Code (Old)],B221,(PostTB[Debit]))+SUMIF(CkDJ[Account Code],B221,(CkDJ[Debit]))+SUMIF(CsDJ[Account Code],B221,(CsDJ[Debit]))+SUMIF(CRDJ[Account Code],B221,(CRDJ[Debit]))+SUMIF(GJ[Account Code],B221,(GJ[Debit]))</f>
        <v>15000</v>
      </c>
      <c r="F221" s="627">
        <f>SUMIF(PostTB[Account Code (Old)],B221,(PostTB[Credit]))+SUMIF(CkDJ[Account Code],B221,(CkDJ[Credit]))+SUMIF(CsDJ[Account Code],B221,(CsDJ[Credit]))+SUMIF(CRDJ[Account Code],B221,(CRDJ[Credit]))+SUMIF(GJ[Account Code],B221,(GJ[Credit]))</f>
        <v>0</v>
      </c>
      <c r="G221" s="627">
        <f>IF(INDEX(AccountCodes[Normal Balance], MATCH(C221,AccountCodes[PPSAS CODE]))="Credit",F221-E221,0)</f>
        <v>0</v>
      </c>
      <c r="H221" s="626">
        <f t="shared" si="3"/>
        <v>15000</v>
      </c>
    </row>
    <row r="222" spans="1:8" ht="15.75" hidden="1" x14ac:dyDescent="0.25">
      <c r="A222" s="623" t="str">
        <f t="array" ref="A222">INDEX(AccountCodes[ACCOUNT NAME],MATCH(B222,AccountCodes[NGAS CODE],0))</f>
        <v>Other Bonuses and Allowances - Collective Negotiation Agreement Incentive-Civilian</v>
      </c>
      <c r="B222" s="597" t="s">
        <v>168</v>
      </c>
      <c r="C222" s="625">
        <f t="array" ref="C222">INDEX(AccountCodes[PPSAS CODE],MATCH(B222,AccountCodes[NGAS CODE],0))</f>
        <v>5010299011</v>
      </c>
      <c r="D222" s="626">
        <f>IF(INDEX(AccountCodes[Normal Balance], MATCH(C222,AccountCodes[PPSAS CODE]))="Debit",E222-F222,0)</f>
        <v>0</v>
      </c>
      <c r="E222" s="626">
        <f>SUMIF(PostTB[Account Code (Old)],B222,(PostTB[Debit]))+SUMIF(CkDJ[Account Code],B222,(CkDJ[Debit]))+SUMIF(CsDJ[Account Code],B222,(CsDJ[Debit]))+SUMIF(CRDJ[Account Code],B222,(CRDJ[Debit]))+SUMIF(GJ[Account Code],B222,(GJ[Debit]))</f>
        <v>0</v>
      </c>
      <c r="F222" s="627">
        <f>SUMIF(PostTB[Account Code (Old)],B222,(PostTB[Credit]))+SUMIF(CkDJ[Account Code],B222,(CkDJ[Credit]))+SUMIF(CsDJ[Account Code],B222,(CsDJ[Credit]))+SUMIF(CRDJ[Account Code],B222,(CRDJ[Credit]))+SUMIF(GJ[Account Code],B222,(GJ[Credit]))</f>
        <v>0</v>
      </c>
      <c r="G222" s="627">
        <f>IF(INDEX(AccountCodes[Normal Balance], MATCH(C222,AccountCodes[PPSAS CODE]))="Credit",F222-E222,0)</f>
        <v>0</v>
      </c>
      <c r="H222" s="626">
        <f t="shared" si="3"/>
        <v>0</v>
      </c>
    </row>
    <row r="223" spans="1:8" ht="15.75" x14ac:dyDescent="0.25">
      <c r="A223" s="623" t="str">
        <f t="array" ref="A223">INDEX(AccountCodes[ACCOUNT NAME],MATCH(B223,AccountCodes[NGAS CODE],0))</f>
        <v>Other Bonuses and Allowances - Productivity Enhancement Incentive-Civilian</v>
      </c>
      <c r="B223" s="597" t="s">
        <v>170</v>
      </c>
      <c r="C223" s="625">
        <f t="array" ref="C223">INDEX(AccountCodes[PPSAS CODE],MATCH(B223,AccountCodes[NGAS CODE],0))</f>
        <v>5010299012</v>
      </c>
      <c r="D223" s="626">
        <f>IF(INDEX(AccountCodes[Normal Balance], MATCH(C223,AccountCodes[PPSAS CODE]))="Debit",E223-F223,0)</f>
        <v>60000</v>
      </c>
      <c r="E223" s="626">
        <f>SUMIF(PostTB[Account Code (Old)],B223,(PostTB[Debit]))+SUMIF(CkDJ[Account Code],B223,(CkDJ[Debit]))+SUMIF(CsDJ[Account Code],B223,(CsDJ[Debit]))+SUMIF(CRDJ[Account Code],B223,(CRDJ[Debit]))+SUMIF(GJ[Account Code],B223,(GJ[Debit]))</f>
        <v>60000</v>
      </c>
      <c r="F223" s="627">
        <f>SUMIF(PostTB[Account Code (Old)],B223,(PostTB[Credit]))+SUMIF(CkDJ[Account Code],B223,(CkDJ[Credit]))+SUMIF(CsDJ[Account Code],B223,(CsDJ[Credit]))+SUMIF(CRDJ[Account Code],B223,(CRDJ[Credit]))+SUMIF(GJ[Account Code],B223,(GJ[Credit]))</f>
        <v>0</v>
      </c>
      <c r="G223" s="627">
        <f>IF(INDEX(AccountCodes[Normal Balance], MATCH(C223,AccountCodes[PPSAS CODE]))="Credit",F223-E223,0)</f>
        <v>0</v>
      </c>
      <c r="H223" s="626">
        <f t="shared" si="3"/>
        <v>60000</v>
      </c>
    </row>
    <row r="224" spans="1:8" ht="15.75" hidden="1" x14ac:dyDescent="0.25">
      <c r="A224" s="623" t="str">
        <f t="array" ref="A224">INDEX(AccountCodes[ACCOUNT NAME],MATCH(B224,AccountCodes[NGAS CODE],0))</f>
        <v>Other Bonuses and Allowances - Medical Allowance</v>
      </c>
      <c r="B224" s="597" t="s">
        <v>5</v>
      </c>
      <c r="C224" s="625">
        <f t="array" ref="C224">INDEX(AccountCodes[PPSAS CODE],MATCH(B224,AccountCodes[NGAS CODE],0))</f>
        <v>5010299034</v>
      </c>
      <c r="D224" s="626">
        <f>IF(INDEX(AccountCodes[Normal Balance], MATCH(C224,AccountCodes[PPSAS CODE]))="Debit",E224-F224,0)</f>
        <v>0</v>
      </c>
      <c r="E224" s="626">
        <f>SUMIF(PostTB[Account Code (Old)],B224,(PostTB[Debit]))+SUMIF(CkDJ[Account Code],B224,(CkDJ[Debit]))+SUMIF(CsDJ[Account Code],B224,(CsDJ[Debit]))+SUMIF(CRDJ[Account Code],B224,(CRDJ[Debit]))+SUMIF(GJ[Account Code],B224,(GJ[Debit]))</f>
        <v>0</v>
      </c>
      <c r="F224" s="627">
        <f>SUMIF(PostTB[Account Code (Old)],B224,(PostTB[Credit]))+SUMIF(CkDJ[Account Code],B224,(CkDJ[Credit]))+SUMIF(CsDJ[Account Code],B224,(CsDJ[Credit]))+SUMIF(CRDJ[Account Code],B224,(CRDJ[Credit]))+SUMIF(GJ[Account Code],B224,(GJ[Credit]))</f>
        <v>0</v>
      </c>
      <c r="G224" s="627">
        <f>IF(INDEX(AccountCodes[Normal Balance], MATCH(C224,AccountCodes[PPSAS CODE]))="Credit",F224-E224,0)</f>
        <v>0</v>
      </c>
      <c r="H224" s="626">
        <f t="shared" si="3"/>
        <v>0</v>
      </c>
    </row>
    <row r="225" spans="1:8" ht="15.75" hidden="1" x14ac:dyDescent="0.25">
      <c r="A225" s="623" t="str">
        <f t="array" ref="A225">INDEX(AccountCodes[ACCOUNT NAME],MATCH(B225,AccountCodes[NGAS CODE],0))</f>
        <v>Other Bonuses and Allowances - Meal Allowance</v>
      </c>
      <c r="B225" s="597" t="s">
        <v>6</v>
      </c>
      <c r="C225" s="625">
        <f t="array" ref="C225">INDEX(AccountCodes[PPSAS CODE],MATCH(B225,AccountCodes[NGAS CODE],0))</f>
        <v>5010299035</v>
      </c>
      <c r="D225" s="626">
        <f>IF(INDEX(AccountCodes[Normal Balance], MATCH(C225,AccountCodes[PPSAS CODE]))="Debit",E225-F225,0)</f>
        <v>0</v>
      </c>
      <c r="E225" s="626">
        <f>SUMIF(PostTB[Account Code (Old)],B225,(PostTB[Debit]))+SUMIF(CkDJ[Account Code],B225,(CkDJ[Debit]))+SUMIF(CsDJ[Account Code],B225,(CsDJ[Debit]))+SUMIF(CRDJ[Account Code],B225,(CRDJ[Debit]))+SUMIF(GJ[Account Code],B225,(GJ[Debit]))</f>
        <v>0</v>
      </c>
      <c r="F225" s="627">
        <f>SUMIF(PostTB[Account Code (Old)],B225,(PostTB[Credit]))+SUMIF(CkDJ[Account Code],B225,(CkDJ[Credit]))+SUMIF(CsDJ[Account Code],B225,(CsDJ[Credit]))+SUMIF(CRDJ[Account Code],B225,(CRDJ[Credit]))+SUMIF(GJ[Account Code],B225,(GJ[Credit]))</f>
        <v>0</v>
      </c>
      <c r="G225" s="627">
        <f>IF(INDEX(AccountCodes[Normal Balance], MATCH(C225,AccountCodes[PPSAS CODE]))="Credit",F225-E225,0)</f>
        <v>0</v>
      </c>
      <c r="H225" s="626">
        <f t="shared" si="3"/>
        <v>0</v>
      </c>
    </row>
    <row r="226" spans="1:8" ht="15.75" hidden="1" x14ac:dyDescent="0.25">
      <c r="A226" s="623" t="str">
        <f t="array" ref="A226">INDEX(AccountCodes[ACCOUNT NAME],MATCH(B226,AccountCodes[NGAS CODE],0))</f>
        <v>Other Bonuses and Allowances - Children Allowance</v>
      </c>
      <c r="B226" s="597" t="s">
        <v>7</v>
      </c>
      <c r="C226" s="625">
        <f t="array" ref="C226">INDEX(AccountCodes[PPSAS CODE],MATCH(B226,AccountCodes[NGAS CODE],0))</f>
        <v>5010299036</v>
      </c>
      <c r="D226" s="626">
        <f>IF(INDEX(AccountCodes[Normal Balance], MATCH(C226,AccountCodes[PPSAS CODE]))="Debit",E226-F226,0)</f>
        <v>0</v>
      </c>
      <c r="E226" s="626">
        <f>SUMIF(PostTB[Account Code (Old)],B226,(PostTB[Debit]))+SUMIF(CkDJ[Account Code],B226,(CkDJ[Debit]))+SUMIF(CsDJ[Account Code],B226,(CsDJ[Debit]))+SUMIF(CRDJ[Account Code],B226,(CRDJ[Debit]))+SUMIF(GJ[Account Code],B226,(GJ[Debit]))</f>
        <v>0</v>
      </c>
      <c r="F226" s="627">
        <f>SUMIF(PostTB[Account Code (Old)],B226,(PostTB[Credit]))+SUMIF(CkDJ[Account Code],B226,(CkDJ[Credit]))+SUMIF(CsDJ[Account Code],B226,(CsDJ[Credit]))+SUMIF(CRDJ[Account Code],B226,(CRDJ[Credit]))+SUMIF(GJ[Account Code],B226,(GJ[Credit]))</f>
        <v>0</v>
      </c>
      <c r="G226" s="627">
        <f>IF(INDEX(AccountCodes[Normal Balance], MATCH(C226,AccountCodes[PPSAS CODE]))="Credit",F226-E226,0)</f>
        <v>0</v>
      </c>
      <c r="H226" s="626">
        <f t="shared" si="3"/>
        <v>0</v>
      </c>
    </row>
    <row r="227" spans="1:8" ht="15.75" hidden="1" x14ac:dyDescent="0.25">
      <c r="A227" s="623" t="str">
        <f t="array" ref="A227">INDEX(AccountCodes[ACCOUNT NAME],MATCH(B227,AccountCodes[NGAS CODE],0))</f>
        <v>Other Bonuses and Allowances - Anniversary Bonus</v>
      </c>
      <c r="B227" s="597" t="s">
        <v>169</v>
      </c>
      <c r="C227" s="625">
        <f t="array" ref="C227">INDEX(AccountCodes[PPSAS CODE],MATCH(B227,AccountCodes[NGAS CODE],0))</f>
        <v>5010299037</v>
      </c>
      <c r="D227" s="626">
        <f>IF(INDEX(AccountCodes[Normal Balance], MATCH(C227,AccountCodes[PPSAS CODE]))="Debit",E227-F227,0)</f>
        <v>0</v>
      </c>
      <c r="E227" s="626">
        <f>SUMIF(PostTB[Account Code (Old)],B227,(PostTB[Debit]))+SUMIF(CkDJ[Account Code],B227,(CkDJ[Debit]))+SUMIF(CsDJ[Account Code],B227,(CsDJ[Debit]))+SUMIF(CRDJ[Account Code],B227,(CRDJ[Debit]))+SUMIF(GJ[Account Code],B227,(GJ[Debit]))</f>
        <v>0</v>
      </c>
      <c r="F227" s="627">
        <f>SUMIF(PostTB[Account Code (Old)],B227,(PostTB[Credit]))+SUMIF(CkDJ[Account Code],B227,(CkDJ[Credit]))+SUMIF(CsDJ[Account Code],B227,(CsDJ[Credit]))+SUMIF(CRDJ[Account Code],B227,(CRDJ[Credit]))+SUMIF(GJ[Account Code],B227,(GJ[Credit]))</f>
        <v>0</v>
      </c>
      <c r="G227" s="627">
        <f>IF(INDEX(AccountCodes[Normal Balance], MATCH(C227,AccountCodes[PPSAS CODE]))="Credit",F227-E227,0)</f>
        <v>0</v>
      </c>
      <c r="H227" s="626">
        <f t="shared" si="3"/>
        <v>0</v>
      </c>
    </row>
    <row r="228" spans="1:8" ht="15.75" hidden="1" x14ac:dyDescent="0.25">
      <c r="A228" s="623" t="str">
        <f t="array" ref="A228">INDEX(AccountCodes[ACCOUNT NAME],MATCH(B228,AccountCodes[NGAS CODE],0))</f>
        <v>Other Bonuses and Allowances - Performance Based Bonus-Civilian</v>
      </c>
      <c r="B228" s="597" t="s">
        <v>1510</v>
      </c>
      <c r="C228" s="625">
        <f t="array" ref="C228">INDEX(AccountCodes[PPSAS CODE],MATCH(B228,AccountCodes[NGAS CODE],0))</f>
        <v>5010299014</v>
      </c>
      <c r="D228" s="626">
        <f>IF(INDEX(AccountCodes[Normal Balance], MATCH(C228,AccountCodes[PPSAS CODE]))="Debit",E228-F228,0)</f>
        <v>0</v>
      </c>
      <c r="E228" s="626">
        <f>SUMIF(PostTB[Account Code (Old)],B228,(PostTB[Debit]))+SUMIF(CkDJ[Account Code],B228,(CkDJ[Debit]))+SUMIF(CsDJ[Account Code],B228,(CsDJ[Debit]))+SUMIF(CRDJ[Account Code],B228,(CRDJ[Debit]))+SUMIF(GJ[Account Code],B228,(GJ[Debit]))</f>
        <v>0</v>
      </c>
      <c r="F228" s="627">
        <f>SUMIF(PostTB[Account Code (Old)],B228,(PostTB[Credit]))+SUMIF(CkDJ[Account Code],B228,(CkDJ[Credit]))+SUMIF(CsDJ[Account Code],B228,(CsDJ[Credit]))+SUMIF(CRDJ[Account Code],B228,(CRDJ[Credit]))+SUMIF(GJ[Account Code],B228,(GJ[Credit]))</f>
        <v>0</v>
      </c>
      <c r="G228" s="627">
        <f>IF(INDEX(AccountCodes[Normal Balance], MATCH(C228,AccountCodes[PPSAS CODE]))="Credit",F228-E228,0)</f>
        <v>0</v>
      </c>
      <c r="H228" s="626">
        <f t="shared" si="3"/>
        <v>0</v>
      </c>
    </row>
    <row r="229" spans="1:8" ht="15.75" x14ac:dyDescent="0.25">
      <c r="A229" s="623" t="str">
        <f t="array" ref="A229">INDEX(AccountCodes[ACCOUNT NAME],MATCH(B229,AccountCodes[NGAS CODE],0))</f>
        <v>Retirement and Life Insurance Premiums</v>
      </c>
      <c r="B229" s="597" t="s">
        <v>175</v>
      </c>
      <c r="C229" s="625">
        <f t="array" ref="C229">INDEX(AccountCodes[PPSAS CODE],MATCH(B229,AccountCodes[NGAS CODE],0))</f>
        <v>5010301000</v>
      </c>
      <c r="D229" s="626">
        <f>IF(INDEX(AccountCodes[Normal Balance], MATCH(C229,AccountCodes[PPSAS CODE]))="Debit",E229-F229,0)</f>
        <v>114406.56</v>
      </c>
      <c r="E229" s="626">
        <f>SUMIF(PostTB[Account Code (Old)],B229,(PostTB[Debit]))+SUMIF(CkDJ[Account Code],B229,(CkDJ[Debit]))+SUMIF(CsDJ[Account Code],B229,(CsDJ[Debit]))+SUMIF(CRDJ[Account Code],B229,(CRDJ[Debit]))+SUMIF(GJ[Account Code],B229,(GJ[Debit]))</f>
        <v>114406.56</v>
      </c>
      <c r="F229" s="627">
        <f>SUMIF(PostTB[Account Code (Old)],B229,(PostTB[Credit]))+SUMIF(CkDJ[Account Code],B229,(CkDJ[Credit]))+SUMIF(CsDJ[Account Code],B229,(CsDJ[Credit]))+SUMIF(CRDJ[Account Code],B229,(CRDJ[Credit]))+SUMIF(GJ[Account Code],B229,(GJ[Credit]))</f>
        <v>0</v>
      </c>
      <c r="G229" s="627">
        <f>IF(INDEX(AccountCodes[Normal Balance], MATCH(C229,AccountCodes[PPSAS CODE]))="Credit",F229-E229,0)</f>
        <v>0</v>
      </c>
      <c r="H229" s="626">
        <f t="shared" si="3"/>
        <v>114406.56</v>
      </c>
    </row>
    <row r="230" spans="1:8" ht="15.75" x14ac:dyDescent="0.25">
      <c r="A230" s="623" t="str">
        <f t="array" ref="A230">INDEX(AccountCodes[ACCOUNT NAME],MATCH(B230,AccountCodes[NGAS CODE],0))</f>
        <v>Pag-IBIG Contributions</v>
      </c>
      <c r="B230" s="597" t="s">
        <v>176</v>
      </c>
      <c r="C230" s="625">
        <f t="array" ref="C230">INDEX(AccountCodes[PPSAS CODE],MATCH(B230,AccountCodes[NGAS CODE],0))</f>
        <v>5010302000</v>
      </c>
      <c r="D230" s="626">
        <f>IF(INDEX(AccountCodes[Normal Balance], MATCH(C230,AccountCodes[PPSAS CODE]))="Debit",E230-F230,0)</f>
        <v>3600</v>
      </c>
      <c r="E230" s="626">
        <f>SUMIF(PostTB[Account Code (Old)],B230,(PostTB[Debit]))+SUMIF(CkDJ[Account Code],B230,(CkDJ[Debit]))+SUMIF(CsDJ[Account Code],B230,(CsDJ[Debit]))+SUMIF(CRDJ[Account Code],B230,(CRDJ[Debit]))+SUMIF(GJ[Account Code],B230,(GJ[Debit]))</f>
        <v>3600</v>
      </c>
      <c r="F230" s="627">
        <f>SUMIF(PostTB[Account Code (Old)],B230,(PostTB[Credit]))+SUMIF(CkDJ[Account Code],B230,(CkDJ[Credit]))+SUMIF(CsDJ[Account Code],B230,(CsDJ[Credit]))+SUMIF(CRDJ[Account Code],B230,(CRDJ[Credit]))+SUMIF(GJ[Account Code],B230,(GJ[Credit]))</f>
        <v>0</v>
      </c>
      <c r="G230" s="627">
        <f>IF(INDEX(AccountCodes[Normal Balance], MATCH(C230,AccountCodes[PPSAS CODE]))="Credit",F230-E230,0)</f>
        <v>0</v>
      </c>
      <c r="H230" s="626">
        <f t="shared" si="3"/>
        <v>3600</v>
      </c>
    </row>
    <row r="231" spans="1:8" ht="15.75" x14ac:dyDescent="0.25">
      <c r="A231" s="623" t="str">
        <f t="array" ref="A231">INDEX(AccountCodes[ACCOUNT NAME],MATCH(B231,AccountCodes[NGAS CODE],0))</f>
        <v>PhilHealth Contributions</v>
      </c>
      <c r="B231" s="597" t="s">
        <v>177</v>
      </c>
      <c r="C231" s="625">
        <f t="array" ref="C231">INDEX(AccountCodes[PPSAS CODE],MATCH(B231,AccountCodes[NGAS CODE],0))</f>
        <v>5010303000</v>
      </c>
      <c r="D231" s="626">
        <f>IF(INDEX(AccountCodes[Normal Balance], MATCH(C231,AccountCodes[PPSAS CODE]))="Debit",E231-F231,0)</f>
        <v>16560.88</v>
      </c>
      <c r="E231" s="626">
        <f>SUMIF(PostTB[Account Code (Old)],B231,(PostTB[Debit]))+SUMIF(CkDJ[Account Code],B231,(CkDJ[Debit]))+SUMIF(CsDJ[Account Code],B231,(CsDJ[Debit]))+SUMIF(CRDJ[Account Code],B231,(CRDJ[Debit]))+SUMIF(GJ[Account Code],B231,(GJ[Debit]))</f>
        <v>16560.88</v>
      </c>
      <c r="F231" s="627">
        <f>SUMIF(PostTB[Account Code (Old)],B231,(PostTB[Credit]))+SUMIF(CkDJ[Account Code],B231,(CkDJ[Credit]))+SUMIF(CsDJ[Account Code],B231,(CsDJ[Credit]))+SUMIF(CRDJ[Account Code],B231,(CRDJ[Credit]))+SUMIF(GJ[Account Code],B231,(GJ[Credit]))</f>
        <v>0</v>
      </c>
      <c r="G231" s="627">
        <f>IF(INDEX(AccountCodes[Normal Balance], MATCH(C231,AccountCodes[PPSAS CODE]))="Credit",F231-E231,0)</f>
        <v>0</v>
      </c>
      <c r="H231" s="626">
        <f t="shared" si="3"/>
        <v>16560.88</v>
      </c>
    </row>
    <row r="232" spans="1:8" ht="15.75" x14ac:dyDescent="0.25">
      <c r="A232" s="623" t="str">
        <f t="array" ref="A232">INDEX(AccountCodes[ACCOUNT NAME],MATCH(B232,AccountCodes[NGAS CODE],0))</f>
        <v>Employees Compensation Insurance Premiums</v>
      </c>
      <c r="B232" s="597" t="s">
        <v>178</v>
      </c>
      <c r="C232" s="625">
        <f t="array" ref="C232">INDEX(AccountCodes[PPSAS CODE],MATCH(B232,AccountCodes[NGAS CODE],0))</f>
        <v>5010304000</v>
      </c>
      <c r="D232" s="626">
        <f>IF(INDEX(AccountCodes[Normal Balance], MATCH(C232,AccountCodes[PPSAS CODE]))="Debit",E232-F232,0)</f>
        <v>3600</v>
      </c>
      <c r="E232" s="626">
        <f>SUMIF(PostTB[Account Code (Old)],B232,(PostTB[Debit]))+SUMIF(CkDJ[Account Code],B232,(CkDJ[Debit]))+SUMIF(CsDJ[Account Code],B232,(CsDJ[Debit]))+SUMIF(CRDJ[Account Code],B232,(CRDJ[Debit]))+SUMIF(GJ[Account Code],B232,(GJ[Debit]))</f>
        <v>3600</v>
      </c>
      <c r="F232" s="627">
        <f>SUMIF(PostTB[Account Code (Old)],B232,(PostTB[Credit]))+SUMIF(CkDJ[Account Code],B232,(CkDJ[Credit]))+SUMIF(CsDJ[Account Code],B232,(CsDJ[Credit]))+SUMIF(CRDJ[Account Code],B232,(CRDJ[Credit]))+SUMIF(GJ[Account Code],B232,(GJ[Credit]))</f>
        <v>0</v>
      </c>
      <c r="G232" s="627">
        <f>IF(INDEX(AccountCodes[Normal Balance], MATCH(C232,AccountCodes[PPSAS CODE]))="Credit",F232-E232,0)</f>
        <v>0</v>
      </c>
      <c r="H232" s="626">
        <f t="shared" si="3"/>
        <v>3600</v>
      </c>
    </row>
    <row r="233" spans="1:8" ht="15.75" hidden="1" x14ac:dyDescent="0.25">
      <c r="A233" s="623" t="str">
        <f t="array" ref="A233">INDEX(AccountCodes[ACCOUNT NAME],MATCH(B233,AccountCodes[NGAS CODE],0))</f>
        <v>Retirement Gratuity</v>
      </c>
      <c r="B233" s="597" t="s">
        <v>179</v>
      </c>
      <c r="C233" s="625">
        <f t="array" ref="C233">INDEX(AccountCodes[PPSAS CODE],MATCH(B233,AccountCodes[NGAS CODE],0))</f>
        <v>5010402000</v>
      </c>
      <c r="D233" s="626">
        <f>IF(INDEX(AccountCodes[Normal Balance], MATCH(C233,AccountCodes[PPSAS CODE]))="Debit",E233-F233,0)</f>
        <v>0</v>
      </c>
      <c r="E233" s="626">
        <f>SUMIF(PostTB[Account Code (Old)],B233,(PostTB[Debit]))+SUMIF(CkDJ[Account Code],B233,(CkDJ[Debit]))+SUMIF(CsDJ[Account Code],B233,(CsDJ[Debit]))+SUMIF(CRDJ[Account Code],B233,(CRDJ[Debit]))+SUMIF(GJ[Account Code],B233,(GJ[Debit]))</f>
        <v>0</v>
      </c>
      <c r="F233" s="627">
        <f>SUMIF(PostTB[Account Code (Old)],B233,(PostTB[Credit]))+SUMIF(CkDJ[Account Code],B233,(CkDJ[Credit]))+SUMIF(CsDJ[Account Code],B233,(CsDJ[Credit]))+SUMIF(CRDJ[Account Code],B233,(CRDJ[Credit]))+SUMIF(GJ[Account Code],B233,(GJ[Credit]))</f>
        <v>0</v>
      </c>
      <c r="G233" s="627">
        <f>IF(INDEX(AccountCodes[Normal Balance], MATCH(C233,AccountCodes[PPSAS CODE]))="Credit",F233-E233,0)</f>
        <v>0</v>
      </c>
      <c r="H233" s="626">
        <f t="shared" si="3"/>
        <v>0</v>
      </c>
    </row>
    <row r="234" spans="1:8" ht="15.75" x14ac:dyDescent="0.25">
      <c r="A234" s="623" t="str">
        <f t="array" ref="A234">INDEX(AccountCodes[ACCOUNT NAME],MATCH(B234,AccountCodes[NGAS CODE],0))</f>
        <v>Terminal Leave Benefits</v>
      </c>
      <c r="B234" s="597" t="s">
        <v>212</v>
      </c>
      <c r="C234" s="625">
        <f t="array" ref="C234">INDEX(AccountCodes[PPSAS CODE],MATCH(B234,AccountCodes[NGAS CODE],0))</f>
        <v>5010403000</v>
      </c>
      <c r="D234" s="626">
        <f>IF(INDEX(AccountCodes[Normal Balance], MATCH(C234,AccountCodes[PPSAS CODE]))="Debit",E234-F234,0)</f>
        <v>0</v>
      </c>
      <c r="E234" s="626">
        <f>SUMIF(PostTB[Account Code (Old)],B234,(PostTB[Debit]))+SUMIF(CkDJ[Account Code],B234,(CkDJ[Debit]))+SUMIF(CsDJ[Account Code],B234,(CsDJ[Debit]))+SUMIF(CRDJ[Account Code],B234,(CRDJ[Debit]))+SUMIF(GJ[Account Code],B234,(GJ[Debit]))</f>
        <v>0</v>
      </c>
      <c r="F234" s="627">
        <f>SUMIF(PostTB[Account Code (Old)],B234,(PostTB[Credit]))+SUMIF(CkDJ[Account Code],B234,(CkDJ[Credit]))+SUMIF(CsDJ[Account Code],B234,(CsDJ[Credit]))+SUMIF(CRDJ[Account Code],B234,(CRDJ[Credit]))+SUMIF(GJ[Account Code],B234,(GJ[Credit]))</f>
        <v>0</v>
      </c>
      <c r="G234" s="627">
        <f>IF(INDEX(AccountCodes[Normal Balance], MATCH(C234,AccountCodes[PPSAS CODE]))="Credit",F234-E234,0)</f>
        <v>0</v>
      </c>
      <c r="H234" s="626">
        <f t="shared" si="3"/>
        <v>0</v>
      </c>
    </row>
    <row r="235" spans="1:8" ht="15.75" hidden="1" x14ac:dyDescent="0.25">
      <c r="A235" s="623" t="str">
        <f t="array" ref="A235">INDEX(AccountCodes[ACCOUNT NAME],MATCH(B235,AccountCodes[NGAS CODE],0))</f>
        <v>Other Personnel Benefits</v>
      </c>
      <c r="B235" s="597" t="s">
        <v>213</v>
      </c>
      <c r="C235" s="625">
        <f t="array" ref="C235">INDEX(AccountCodes[PPSAS CODE],MATCH(B235,AccountCodes[NGAS CODE],0))</f>
        <v>5010499099</v>
      </c>
      <c r="D235" s="626">
        <f>IF(INDEX(AccountCodes[Normal Balance], MATCH(C235,AccountCodes[PPSAS CODE]))="Debit",E235-F235,0)</f>
        <v>0</v>
      </c>
      <c r="E235" s="626">
        <f>SUMIF(PostTB[Account Code (Old)],B235,(PostTB[Debit]))+SUMIF(CkDJ[Account Code],B235,(CkDJ[Debit]))+SUMIF(CsDJ[Account Code],B235,(CsDJ[Debit]))+SUMIF(CRDJ[Account Code],B235,(CRDJ[Debit]))+SUMIF(GJ[Account Code],B235,(GJ[Debit]))</f>
        <v>0</v>
      </c>
      <c r="F235" s="627">
        <f>SUMIF(PostTB[Account Code (Old)],B235,(PostTB[Credit]))+SUMIF(CkDJ[Account Code],B235,(CkDJ[Credit]))+SUMIF(CsDJ[Account Code],B235,(CsDJ[Credit]))+SUMIF(CRDJ[Account Code],B235,(CRDJ[Credit]))+SUMIF(GJ[Account Code],B235,(GJ[Credit]))</f>
        <v>0</v>
      </c>
      <c r="G235" s="627">
        <f>IF(INDEX(AccountCodes[Normal Balance], MATCH(C235,AccountCodes[PPSAS CODE]))="Credit",F235-E235,0)</f>
        <v>0</v>
      </c>
      <c r="H235" s="626">
        <f t="shared" si="3"/>
        <v>0</v>
      </c>
    </row>
    <row r="236" spans="1:8" ht="15.75" x14ac:dyDescent="0.25">
      <c r="A236" s="623" t="str">
        <f t="array" ref="A236">INDEX(AccountCodes[ACCOUNT NAME],MATCH(B236,AccountCodes[NGAS CODE],0))</f>
        <v>Traveling Expenses-Local</v>
      </c>
      <c r="B236" s="597" t="s">
        <v>223</v>
      </c>
      <c r="C236" s="625">
        <f t="array" ref="C236">INDEX(AccountCodes[PPSAS CODE],MATCH(B236,AccountCodes[NGAS CODE],0))</f>
        <v>5020101000</v>
      </c>
      <c r="D236" s="626">
        <f>IF(INDEX(AccountCodes[Normal Balance], MATCH(C236,AccountCodes[PPSAS CODE]))="Debit",E236-F236,0)</f>
        <v>52724.88</v>
      </c>
      <c r="E236" s="626">
        <f>SUMIF(PostTB[Account Code (Old)],B236,(PostTB[Debit]))+SUMIF(CkDJ[Account Code],B236,(CkDJ[Debit]))+SUMIF(CsDJ[Account Code],B236,(CsDJ[Debit]))+SUMIF(CRDJ[Account Code],B236,(CRDJ[Debit]))+SUMIF(GJ[Account Code],B236,(GJ[Debit]))</f>
        <v>52724.88</v>
      </c>
      <c r="F236" s="627">
        <f>SUMIF(PostTB[Account Code (Old)],B236,(PostTB[Credit]))+SUMIF(CkDJ[Account Code],B236,(CkDJ[Credit]))+SUMIF(CsDJ[Account Code],B236,(CsDJ[Credit]))+SUMIF(CRDJ[Account Code],B236,(CRDJ[Credit]))+SUMIF(GJ[Account Code],B236,(GJ[Credit]))</f>
        <v>0</v>
      </c>
      <c r="G236" s="627">
        <f>IF(INDEX(AccountCodes[Normal Balance], MATCH(C236,AccountCodes[PPSAS CODE]))="Credit",F236-E236,0)</f>
        <v>0</v>
      </c>
      <c r="H236" s="626">
        <f t="shared" si="3"/>
        <v>52724.88</v>
      </c>
    </row>
    <row r="237" spans="1:8" ht="15.75" hidden="1" x14ac:dyDescent="0.25">
      <c r="A237" s="623" t="str">
        <f t="array" ref="A237">INDEX(AccountCodes[ACCOUNT NAME],MATCH(B237,AccountCodes[NGAS CODE],0))</f>
        <v>Traveling Expenses-Foreign</v>
      </c>
      <c r="B237" s="597" t="s">
        <v>1233</v>
      </c>
      <c r="C237" s="625">
        <f t="array" ref="C237">INDEX(AccountCodes[PPSAS CODE],MATCH(B237,AccountCodes[NGAS CODE],0))</f>
        <v>5020102000</v>
      </c>
      <c r="D237" s="626">
        <f>IF(INDEX(AccountCodes[Normal Balance], MATCH(C237,AccountCodes[PPSAS CODE]))="Debit",E237-F237,0)</f>
        <v>0</v>
      </c>
      <c r="E237" s="626">
        <f>SUMIF(PostTB[Account Code (Old)],B237,(PostTB[Debit]))+SUMIF(CkDJ[Account Code],B237,(CkDJ[Debit]))+SUMIF(CsDJ[Account Code],B237,(CsDJ[Debit]))+SUMIF(CRDJ[Account Code],B237,(CRDJ[Debit]))+SUMIF(GJ[Account Code],B237,(GJ[Debit]))</f>
        <v>0</v>
      </c>
      <c r="F237" s="627">
        <f>SUMIF(PostTB[Account Code (Old)],B237,(PostTB[Credit]))+SUMIF(CkDJ[Account Code],B237,(CkDJ[Credit]))+SUMIF(CsDJ[Account Code],B237,(CsDJ[Credit]))+SUMIF(CRDJ[Account Code],B237,(CRDJ[Credit]))+SUMIF(GJ[Account Code],B237,(GJ[Credit]))</f>
        <v>0</v>
      </c>
      <c r="G237" s="627">
        <f>IF(INDEX(AccountCodes[Normal Balance], MATCH(C237,AccountCodes[PPSAS CODE]))="Credit",F237-E237,0)</f>
        <v>0</v>
      </c>
      <c r="H237" s="626">
        <f t="shared" si="3"/>
        <v>0</v>
      </c>
    </row>
    <row r="238" spans="1:8" ht="15.75" x14ac:dyDescent="0.25">
      <c r="A238" s="623" t="str">
        <f t="array" ref="A238">INDEX(AccountCodes[ACCOUNT NAME],MATCH(B238,AccountCodes[NGAS CODE],0))</f>
        <v>Training Expenses</v>
      </c>
      <c r="B238" s="597" t="s">
        <v>224</v>
      </c>
      <c r="C238" s="625">
        <f t="array" ref="C238">INDEX(AccountCodes[PPSAS CODE],MATCH(B238,AccountCodes[NGAS CODE],0))</f>
        <v>5020201000</v>
      </c>
      <c r="D238" s="626">
        <f>IF(INDEX(AccountCodes[Normal Balance], MATCH(C238,AccountCodes[PPSAS CODE]))="Debit",E238-F238,0)</f>
        <v>145637.48000000001</v>
      </c>
      <c r="E238" s="626">
        <f>SUMIF(PostTB[Account Code (Old)],B238,(PostTB[Debit]))+SUMIF(CkDJ[Account Code],B238,(CkDJ[Debit]))+SUMIF(CsDJ[Account Code],B238,(CsDJ[Debit]))+SUMIF(CRDJ[Account Code],B238,(CRDJ[Debit]))+SUMIF(GJ[Account Code],B238,(GJ[Debit]))</f>
        <v>145637.48000000001</v>
      </c>
      <c r="F238" s="627">
        <f>SUMIF(PostTB[Account Code (Old)],B238,(PostTB[Credit]))+SUMIF(CkDJ[Account Code],B238,(CkDJ[Credit]))+SUMIF(CsDJ[Account Code],B238,(CsDJ[Credit]))+SUMIF(CRDJ[Account Code],B238,(CRDJ[Credit]))+SUMIF(GJ[Account Code],B238,(GJ[Credit]))</f>
        <v>0</v>
      </c>
      <c r="G238" s="627">
        <f>IF(INDEX(AccountCodes[Normal Balance], MATCH(C238,AccountCodes[PPSAS CODE]))="Credit",F238-E238,0)</f>
        <v>0</v>
      </c>
      <c r="H238" s="626">
        <f t="shared" si="3"/>
        <v>145637.48000000001</v>
      </c>
    </row>
    <row r="239" spans="1:8" ht="15.75" hidden="1" x14ac:dyDescent="0.25">
      <c r="A239" s="623" t="str">
        <f t="array" ref="A239">INDEX(AccountCodes[ACCOUNT NAME],MATCH(B239,AccountCodes[NGAS CODE],0))</f>
        <v>Scholarship Grants/Expenses</v>
      </c>
      <c r="B239" s="597" t="s">
        <v>1234</v>
      </c>
      <c r="C239" s="625">
        <f t="array" ref="C239">INDEX(AccountCodes[PPSAS CODE],MATCH(B239,AccountCodes[NGAS CODE],0))</f>
        <v>5020202000</v>
      </c>
      <c r="D239" s="626">
        <f>IF(INDEX(AccountCodes[Normal Balance], MATCH(C239,AccountCodes[PPSAS CODE]))="Debit",E239-F239,0)</f>
        <v>0</v>
      </c>
      <c r="E239" s="626">
        <f>SUMIF(PostTB[Account Code (Old)],B239,(PostTB[Debit]))+SUMIF(CkDJ[Account Code],B239,(CkDJ[Debit]))+SUMIF(CsDJ[Account Code],B239,(CsDJ[Debit]))+SUMIF(CRDJ[Account Code],B239,(CRDJ[Debit]))+SUMIF(GJ[Account Code],B239,(GJ[Debit]))</f>
        <v>0</v>
      </c>
      <c r="F239" s="627">
        <f>SUMIF(PostTB[Account Code (Old)],B239,(PostTB[Credit]))+SUMIF(CkDJ[Account Code],B239,(CkDJ[Credit]))+SUMIF(CsDJ[Account Code],B239,(CsDJ[Credit]))+SUMIF(CRDJ[Account Code],B239,(CRDJ[Credit]))+SUMIF(GJ[Account Code],B239,(GJ[Credit]))</f>
        <v>0</v>
      </c>
      <c r="G239" s="627">
        <f>IF(INDEX(AccountCodes[Normal Balance], MATCH(C239,AccountCodes[PPSAS CODE]))="Credit",F239-E239,0)</f>
        <v>0</v>
      </c>
      <c r="H239" s="626">
        <f t="shared" si="3"/>
        <v>0</v>
      </c>
    </row>
    <row r="240" spans="1:8" ht="15.75" x14ac:dyDescent="0.25">
      <c r="A240" s="623" t="str">
        <f t="array" ref="A240">INDEX(AccountCodes[ACCOUNT NAME],MATCH(B240,AccountCodes[NGAS CODE],0))</f>
        <v>Office Supplies Expenses</v>
      </c>
      <c r="B240" s="597" t="s">
        <v>225</v>
      </c>
      <c r="C240" s="625">
        <f t="array" ref="C240">INDEX(AccountCodes[PPSAS CODE],MATCH(B240,AccountCodes[NGAS CODE],0))</f>
        <v>5020301000</v>
      </c>
      <c r="D240" s="626">
        <f>IF(INDEX(AccountCodes[Normal Balance], MATCH(C240,AccountCodes[PPSAS CODE]))="Debit",E240-F240,0)</f>
        <v>56298</v>
      </c>
      <c r="E240" s="626">
        <f>SUMIF(PostTB[Account Code (Old)],B240,(PostTB[Debit]))+SUMIF(CkDJ[Account Code],B240,(CkDJ[Debit]))+SUMIF(CsDJ[Account Code],B240,(CsDJ[Debit]))+SUMIF(CRDJ[Account Code],B240,(CRDJ[Debit]))+SUMIF(GJ[Account Code],B240,(GJ[Debit]))</f>
        <v>56298</v>
      </c>
      <c r="F240" s="627">
        <f>SUMIF(PostTB[Account Code (Old)],B240,(PostTB[Credit]))+SUMIF(CkDJ[Account Code],B240,(CkDJ[Credit]))+SUMIF(CsDJ[Account Code],B240,(CsDJ[Credit]))+SUMIF(CRDJ[Account Code],B240,(CRDJ[Credit]))+SUMIF(GJ[Account Code],B240,(GJ[Credit]))</f>
        <v>0</v>
      </c>
      <c r="G240" s="627">
        <f>IF(INDEX(AccountCodes[Normal Balance], MATCH(C240,AccountCodes[PPSAS CODE]))="Credit",F240-E240,0)</f>
        <v>0</v>
      </c>
      <c r="H240" s="626">
        <f t="shared" si="3"/>
        <v>56298</v>
      </c>
    </row>
    <row r="241" spans="1:8" ht="15.75" hidden="1" x14ac:dyDescent="0.25">
      <c r="A241" s="623" t="str">
        <f t="array" ref="A241">INDEX(AccountCodes[ACCOUNT NAME],MATCH(B241,AccountCodes[NGAS CODE],0))</f>
        <v>Accountable Forms Expenses</v>
      </c>
      <c r="B241" s="597" t="s">
        <v>226</v>
      </c>
      <c r="C241" s="625">
        <f t="array" ref="C241">INDEX(AccountCodes[PPSAS CODE],MATCH(B241,AccountCodes[NGAS CODE],0))</f>
        <v>5020302000</v>
      </c>
      <c r="D241" s="626">
        <f>IF(INDEX(AccountCodes[Normal Balance], MATCH(C241,AccountCodes[PPSAS CODE]))="Debit",E241-F241,0)</f>
        <v>0</v>
      </c>
      <c r="E241" s="626">
        <f>SUMIF(PostTB[Account Code (Old)],B241,(PostTB[Debit]))+SUMIF(CkDJ[Account Code],B241,(CkDJ[Debit]))+SUMIF(CsDJ[Account Code],B241,(CsDJ[Debit]))+SUMIF(CRDJ[Account Code],B241,(CRDJ[Debit]))+SUMIF(GJ[Account Code],B241,(GJ[Debit]))</f>
        <v>0</v>
      </c>
      <c r="F241" s="627">
        <f>SUMIF(PostTB[Account Code (Old)],B241,(PostTB[Credit]))+SUMIF(CkDJ[Account Code],B241,(CkDJ[Credit]))+SUMIF(CsDJ[Account Code],B241,(CsDJ[Credit]))+SUMIF(CRDJ[Account Code],B241,(CRDJ[Credit]))+SUMIF(GJ[Account Code],B241,(GJ[Credit]))</f>
        <v>0</v>
      </c>
      <c r="G241" s="627">
        <f>IF(INDEX(AccountCodes[Normal Balance], MATCH(C241,AccountCodes[PPSAS CODE]))="Credit",F241-E241,0)</f>
        <v>0</v>
      </c>
      <c r="H241" s="626">
        <f t="shared" si="3"/>
        <v>0</v>
      </c>
    </row>
    <row r="242" spans="1:8" ht="15.75" hidden="1" x14ac:dyDescent="0.25">
      <c r="A242" s="623" t="str">
        <f t="array" ref="A242">INDEX(AccountCodes[ACCOUNT NAME],MATCH(B242,AccountCodes[NGAS CODE],0))</f>
        <v>Food Supplies Expenses</v>
      </c>
      <c r="B242" s="597" t="s">
        <v>1235</v>
      </c>
      <c r="C242" s="625">
        <f t="array" ref="C242">INDEX(AccountCodes[PPSAS CODE],MATCH(B242,AccountCodes[NGAS CODE],0))</f>
        <v>5020305000</v>
      </c>
      <c r="D242" s="626">
        <f>IF(INDEX(AccountCodes[Normal Balance], MATCH(C242,AccountCodes[PPSAS CODE]))="Debit",E242-F242,0)</f>
        <v>0</v>
      </c>
      <c r="E242" s="626">
        <f>SUMIF(PostTB[Account Code (Old)],B242,(PostTB[Debit]))+SUMIF(CkDJ[Account Code],B242,(CkDJ[Debit]))+SUMIF(CsDJ[Account Code],B242,(CsDJ[Debit]))+SUMIF(CRDJ[Account Code],B242,(CRDJ[Debit]))+SUMIF(GJ[Account Code],B242,(GJ[Debit]))</f>
        <v>0</v>
      </c>
      <c r="F242" s="627">
        <f>SUMIF(PostTB[Account Code (Old)],B242,(PostTB[Credit]))+SUMIF(CkDJ[Account Code],B242,(CkDJ[Credit]))+SUMIF(CsDJ[Account Code],B242,(CsDJ[Credit]))+SUMIF(CRDJ[Account Code],B242,(CRDJ[Credit]))+SUMIF(GJ[Account Code],B242,(GJ[Credit]))</f>
        <v>0</v>
      </c>
      <c r="G242" s="627">
        <f>IF(INDEX(AccountCodes[Normal Balance], MATCH(C242,AccountCodes[PPSAS CODE]))="Credit",F242-E242,0)</f>
        <v>0</v>
      </c>
      <c r="H242" s="626">
        <f t="shared" si="3"/>
        <v>0</v>
      </c>
    </row>
    <row r="243" spans="1:8" ht="15.75" hidden="1" x14ac:dyDescent="0.25">
      <c r="A243" s="623" t="str">
        <f t="array" ref="A243">INDEX(AccountCodes[ACCOUNT NAME],MATCH(B243,AccountCodes[NGAS CODE],0))</f>
        <v>Drugs and Medicines Expenses</v>
      </c>
      <c r="B243" s="597" t="s">
        <v>227</v>
      </c>
      <c r="C243" s="625">
        <f t="array" ref="C243">INDEX(AccountCodes[PPSAS CODE],MATCH(B243,AccountCodes[NGAS CODE],0))</f>
        <v>5020307000</v>
      </c>
      <c r="D243" s="626">
        <f>IF(INDEX(AccountCodes[Normal Balance], MATCH(C243,AccountCodes[PPSAS CODE]))="Debit",E243-F243,0)</f>
        <v>0</v>
      </c>
      <c r="E243" s="626">
        <f>SUMIF(PostTB[Account Code (Old)],B243,(PostTB[Debit]))+SUMIF(CkDJ[Account Code],B243,(CkDJ[Debit]))+SUMIF(CsDJ[Account Code],B243,(CsDJ[Debit]))+SUMIF(CRDJ[Account Code],B243,(CRDJ[Debit]))+SUMIF(GJ[Account Code],B243,(GJ[Debit]))</f>
        <v>0</v>
      </c>
      <c r="F243" s="627">
        <f>SUMIF(PostTB[Account Code (Old)],B243,(PostTB[Credit]))+SUMIF(CkDJ[Account Code],B243,(CkDJ[Credit]))+SUMIF(CsDJ[Account Code],B243,(CsDJ[Credit]))+SUMIF(CRDJ[Account Code],B243,(CRDJ[Credit]))+SUMIF(GJ[Account Code],B243,(GJ[Credit]))</f>
        <v>0</v>
      </c>
      <c r="G243" s="627">
        <f>IF(INDEX(AccountCodes[Normal Balance], MATCH(C243,AccountCodes[PPSAS CODE]))="Credit",F243-E243,0)</f>
        <v>0</v>
      </c>
      <c r="H243" s="626">
        <f t="shared" si="3"/>
        <v>0</v>
      </c>
    </row>
    <row r="244" spans="1:8" ht="15.75" hidden="1" x14ac:dyDescent="0.25">
      <c r="A244" s="623" t="str">
        <f t="array" ref="A244">INDEX(AccountCodes[ACCOUNT NAME],MATCH(B244,AccountCodes[NGAS CODE],0))</f>
        <v>Medical, Dental and Laboratory Supplies Expenses</v>
      </c>
      <c r="B244" s="597" t="s">
        <v>228</v>
      </c>
      <c r="C244" s="625">
        <f t="array" ref="C244">INDEX(AccountCodes[PPSAS CODE],MATCH(B244,AccountCodes[NGAS CODE],0))</f>
        <v>5020308000</v>
      </c>
      <c r="D244" s="626">
        <f>IF(INDEX(AccountCodes[Normal Balance], MATCH(C244,AccountCodes[PPSAS CODE]))="Debit",E244-F244,0)</f>
        <v>0</v>
      </c>
      <c r="E244" s="626">
        <f>SUMIF(PostTB[Account Code (Old)],B244,(PostTB[Debit]))+SUMIF(CkDJ[Account Code],B244,(CkDJ[Debit]))+SUMIF(CsDJ[Account Code],B244,(CsDJ[Debit]))+SUMIF(CRDJ[Account Code],B244,(CRDJ[Debit]))+SUMIF(GJ[Account Code],B244,(GJ[Debit]))</f>
        <v>0</v>
      </c>
      <c r="F244" s="627">
        <f>SUMIF(PostTB[Account Code (Old)],B244,(PostTB[Credit]))+SUMIF(CkDJ[Account Code],B244,(CkDJ[Credit]))+SUMIF(CsDJ[Account Code],B244,(CsDJ[Credit]))+SUMIF(CRDJ[Account Code],B244,(CRDJ[Credit]))+SUMIF(GJ[Account Code],B244,(GJ[Credit]))</f>
        <v>0</v>
      </c>
      <c r="G244" s="627">
        <f>IF(INDEX(AccountCodes[Normal Balance], MATCH(C244,AccountCodes[PPSAS CODE]))="Credit",F244-E244,0)</f>
        <v>0</v>
      </c>
      <c r="H244" s="626">
        <f t="shared" si="3"/>
        <v>0</v>
      </c>
    </row>
    <row r="245" spans="1:8" ht="15.75" x14ac:dyDescent="0.25">
      <c r="A245" s="623" t="str">
        <f t="array" ref="A245">INDEX(AccountCodes[ACCOUNT NAME],MATCH(B245,AccountCodes[NGAS CODE],0))</f>
        <v>Fuel, Oil and Lubricants Expenses</v>
      </c>
      <c r="B245" s="597" t="s">
        <v>229</v>
      </c>
      <c r="C245" s="625">
        <f t="array" ref="C245">INDEX(AccountCodes[PPSAS CODE],MATCH(B245,AccountCodes[NGAS CODE],0))</f>
        <v>5020309000</v>
      </c>
      <c r="D245" s="626">
        <f>IF(INDEX(AccountCodes[Normal Balance], MATCH(C245,AccountCodes[PPSAS CODE]))="Debit",E245-F245,0)</f>
        <v>42921.19</v>
      </c>
      <c r="E245" s="626">
        <f>SUMIF(PostTB[Account Code (Old)],B245,(PostTB[Debit]))+SUMIF(CkDJ[Account Code],B245,(CkDJ[Debit]))+SUMIF(CsDJ[Account Code],B245,(CsDJ[Debit]))+SUMIF(CRDJ[Account Code],B245,(CRDJ[Debit]))+SUMIF(GJ[Account Code],B245,(GJ[Debit]))</f>
        <v>42921.19</v>
      </c>
      <c r="F245" s="627">
        <f>SUMIF(PostTB[Account Code (Old)],B245,(PostTB[Credit]))+SUMIF(CkDJ[Account Code],B245,(CkDJ[Credit]))+SUMIF(CsDJ[Account Code],B245,(CsDJ[Credit]))+SUMIF(CRDJ[Account Code],B245,(CRDJ[Credit]))+SUMIF(GJ[Account Code],B245,(GJ[Credit]))</f>
        <v>0</v>
      </c>
      <c r="G245" s="627">
        <f>IF(INDEX(AccountCodes[Normal Balance], MATCH(C245,AccountCodes[PPSAS CODE]))="Credit",F245-E245,0)</f>
        <v>0</v>
      </c>
      <c r="H245" s="626">
        <f t="shared" si="3"/>
        <v>42921.19</v>
      </c>
    </row>
    <row r="246" spans="1:8" ht="15.75" hidden="1" x14ac:dyDescent="0.25">
      <c r="A246" s="623" t="str">
        <f t="array" ref="A246">INDEX(AccountCodes[ACCOUNT NAME],MATCH(B246,AccountCodes[NGAS CODE],0))</f>
        <v>Textbooks and Instructional Materials Expenses</v>
      </c>
      <c r="B246" s="597" t="s">
        <v>230</v>
      </c>
      <c r="C246" s="625">
        <f t="array" ref="C246">INDEX(AccountCodes[PPSAS CODE],MATCH(B246,AccountCodes[NGAS CODE],0))</f>
        <v>5020311000</v>
      </c>
      <c r="D246" s="626">
        <f>IF(INDEX(AccountCodes[Normal Balance], MATCH(C246,AccountCodes[PPSAS CODE]))="Debit",E246-F246,0)</f>
        <v>0</v>
      </c>
      <c r="E246" s="626">
        <f>SUMIF(PostTB[Account Code (Old)],B246,(PostTB[Debit]))+SUMIF(CkDJ[Account Code],B246,(CkDJ[Debit]))+SUMIF(CsDJ[Account Code],B246,(CsDJ[Debit]))+SUMIF(CRDJ[Account Code],B246,(CRDJ[Debit]))+SUMIF(GJ[Account Code],B246,(GJ[Debit]))</f>
        <v>0</v>
      </c>
      <c r="F246" s="627">
        <f>SUMIF(PostTB[Account Code (Old)],B246,(PostTB[Credit]))+SUMIF(CkDJ[Account Code],B246,(CkDJ[Credit]))+SUMIF(CsDJ[Account Code],B246,(CsDJ[Credit]))+SUMIF(CRDJ[Account Code],B246,(CRDJ[Credit]))+SUMIF(GJ[Account Code],B246,(GJ[Credit]))</f>
        <v>0</v>
      </c>
      <c r="G246" s="627">
        <f>IF(INDEX(AccountCodes[Normal Balance], MATCH(C246,AccountCodes[PPSAS CODE]))="Credit",F246-E246,0)</f>
        <v>0</v>
      </c>
      <c r="H246" s="626">
        <f t="shared" si="3"/>
        <v>0</v>
      </c>
    </row>
    <row r="247" spans="1:8" ht="15.75" hidden="1" x14ac:dyDescent="0.25">
      <c r="A247" s="623" t="str">
        <f t="array" ref="A247">INDEX(AccountCodes[ACCOUNT NAME],MATCH(B247,AccountCodes[NGAS CODE],0))</f>
        <v>Military, Police and Traffic Supplies Expenses</v>
      </c>
      <c r="B247" s="597" t="s">
        <v>1236</v>
      </c>
      <c r="C247" s="625">
        <f t="array" ref="C247">INDEX(AccountCodes[PPSAS CODE],MATCH(B247,AccountCodes[NGAS CODE],0))</f>
        <v>5020312000</v>
      </c>
      <c r="D247" s="626">
        <f>IF(INDEX(AccountCodes[Normal Balance], MATCH(C247,AccountCodes[PPSAS CODE]))="Debit",E247-F247,0)</f>
        <v>0</v>
      </c>
      <c r="E247" s="626">
        <f>SUMIF(PostTB[Account Code (Old)],B247,(PostTB[Debit]))+SUMIF(CkDJ[Account Code],B247,(CkDJ[Debit]))+SUMIF(CsDJ[Account Code],B247,(CsDJ[Debit]))+SUMIF(CRDJ[Account Code],B247,(CRDJ[Debit]))+SUMIF(GJ[Account Code],B247,(GJ[Debit]))</f>
        <v>0</v>
      </c>
      <c r="F247" s="627">
        <f>SUMIF(PostTB[Account Code (Old)],B247,(PostTB[Credit]))+SUMIF(CkDJ[Account Code],B247,(CkDJ[Credit]))+SUMIF(CsDJ[Account Code],B247,(CsDJ[Credit]))+SUMIF(CRDJ[Account Code],B247,(CRDJ[Credit]))+SUMIF(GJ[Account Code],B247,(GJ[Credit]))</f>
        <v>0</v>
      </c>
      <c r="G247" s="627">
        <f>IF(INDEX(AccountCodes[Normal Balance], MATCH(C247,AccountCodes[PPSAS CODE]))="Credit",F247-E247,0)</f>
        <v>0</v>
      </c>
      <c r="H247" s="626">
        <f t="shared" si="3"/>
        <v>0</v>
      </c>
    </row>
    <row r="248" spans="1:8" ht="15.75" x14ac:dyDescent="0.25">
      <c r="A248" s="623" t="str">
        <f t="array" ref="A248">INDEX(AccountCodes[ACCOUNT NAME],MATCH(B248,AccountCodes[NGAS CODE],0))</f>
        <v>Semi-Expendable Machinery and Equipment Expenses</v>
      </c>
      <c r="B248" s="597" t="s">
        <v>1265</v>
      </c>
      <c r="C248" s="625">
        <f t="array" ref="C248">INDEX(AccountCodes[PPSAS CODE],MATCH(B248,AccountCodes[NGAS CODE],0))</f>
        <v>5020321000</v>
      </c>
      <c r="D248" s="626">
        <f>IF(INDEX(AccountCodes[Normal Balance], MATCH(C248,AccountCodes[PPSAS CODE]))="Debit",E248-F248,0)</f>
        <v>97912</v>
      </c>
      <c r="E248" s="626">
        <f>SUMIF(PostTB[Account Code (Old)],B248,(PostTB[Debit]))+SUMIF(CkDJ[Account Code],B248,(CkDJ[Debit]))+SUMIF(CsDJ[Account Code],B248,(CsDJ[Debit]))+SUMIF(CRDJ[Account Code],B248,(CRDJ[Debit]))+SUMIF(GJ[Account Code],B248,(GJ[Debit]))</f>
        <v>104392</v>
      </c>
      <c r="F248" s="627">
        <f>SUMIF(PostTB[Account Code (Old)],B248,(PostTB[Credit]))+SUMIF(CkDJ[Account Code],B248,(CkDJ[Credit]))+SUMIF(CsDJ[Account Code],B248,(CsDJ[Credit]))+SUMIF(CRDJ[Account Code],B248,(CRDJ[Credit]))+SUMIF(GJ[Account Code],B248,(GJ[Credit]))</f>
        <v>6480</v>
      </c>
      <c r="G248" s="627">
        <f>IF(INDEX(AccountCodes[Normal Balance], MATCH(C248,AccountCodes[PPSAS CODE]))="Credit",F248-E248,0)</f>
        <v>0</v>
      </c>
      <c r="H248" s="626">
        <f t="shared" si="3"/>
        <v>97912</v>
      </c>
    </row>
    <row r="249" spans="1:8" ht="15.75" x14ac:dyDescent="0.25">
      <c r="A249" s="623" t="str">
        <f t="array" ref="A249">INDEX(AccountCodes[ACCOUNT NAME],MATCH(B249,AccountCodes[NGAS CODE],0))</f>
        <v>Semi-Expendable Furniture, Fixtures and Books Expenses</v>
      </c>
      <c r="B249" s="597" t="s">
        <v>1266</v>
      </c>
      <c r="C249" s="625">
        <f t="array" ref="C249">INDEX(AccountCodes[PPSAS CODE],MATCH(B249,AccountCodes[NGAS CODE],0))</f>
        <v>5020322000</v>
      </c>
      <c r="D249" s="626">
        <f>IF(INDEX(AccountCodes[Normal Balance], MATCH(C249,AccountCodes[PPSAS CODE]))="Debit",E249-F249,0)</f>
        <v>15383</v>
      </c>
      <c r="E249" s="626">
        <f>SUMIF(PostTB[Account Code (Old)],B249,(PostTB[Debit]))+SUMIF(CkDJ[Account Code],B249,(CkDJ[Debit]))+SUMIF(CsDJ[Account Code],B249,(CsDJ[Debit]))+SUMIF(CRDJ[Account Code],B249,(CRDJ[Debit]))+SUMIF(GJ[Account Code],B249,(GJ[Debit]))</f>
        <v>15383</v>
      </c>
      <c r="F249" s="627">
        <f>SUMIF(PostTB[Account Code (Old)],B249,(PostTB[Credit]))+SUMIF(CkDJ[Account Code],B249,(CkDJ[Credit]))+SUMIF(CsDJ[Account Code],B249,(CsDJ[Credit]))+SUMIF(CRDJ[Account Code],B249,(CRDJ[Credit]))+SUMIF(GJ[Account Code],B249,(GJ[Credit]))</f>
        <v>0</v>
      </c>
      <c r="G249" s="627">
        <f>IF(INDEX(AccountCodes[Normal Balance], MATCH(C249,AccountCodes[PPSAS CODE]))="Credit",F249-E249,0)</f>
        <v>0</v>
      </c>
      <c r="H249" s="626">
        <f t="shared" si="3"/>
        <v>15383</v>
      </c>
    </row>
    <row r="250" spans="1:8" ht="15.75" x14ac:dyDescent="0.25">
      <c r="A250" s="623" t="str">
        <f t="array" ref="A250">INDEX(AccountCodes[ACCOUNT NAME],MATCH(B250,AccountCodes[NGAS CODE],0))</f>
        <v>Other Supplies and Materials Expenses</v>
      </c>
      <c r="B250" s="597" t="s">
        <v>231</v>
      </c>
      <c r="C250" s="625">
        <f t="array" ref="C250">INDEX(AccountCodes[PPSAS CODE],MATCH(B250,AccountCodes[NGAS CODE],0))</f>
        <v>5020399000</v>
      </c>
      <c r="D250" s="626">
        <f>IF(INDEX(AccountCodes[Normal Balance], MATCH(C250,AccountCodes[PPSAS CODE]))="Debit",E250-F250,0)</f>
        <v>13480</v>
      </c>
      <c r="E250" s="626">
        <f>SUMIF(PostTB[Account Code (Old)],B250,(PostTB[Debit]))+SUMIF(CkDJ[Account Code],B250,(CkDJ[Debit]))+SUMIF(CsDJ[Account Code],B250,(CsDJ[Debit]))+SUMIF(CRDJ[Account Code],B250,(CRDJ[Debit]))+SUMIF(GJ[Account Code],B250,(GJ[Debit]))</f>
        <v>13480</v>
      </c>
      <c r="F250" s="627">
        <f>SUMIF(PostTB[Account Code (Old)],B250,(PostTB[Credit]))+SUMIF(CkDJ[Account Code],B250,(CkDJ[Credit]))+SUMIF(CsDJ[Account Code],B250,(CsDJ[Credit]))+SUMIF(CRDJ[Account Code],B250,(CRDJ[Credit]))+SUMIF(GJ[Account Code],B250,(GJ[Credit]))</f>
        <v>0</v>
      </c>
      <c r="G250" s="627">
        <f>IF(INDEX(AccountCodes[Normal Balance], MATCH(C250,AccountCodes[PPSAS CODE]))="Credit",F250-E250,0)</f>
        <v>0</v>
      </c>
      <c r="H250" s="626">
        <f t="shared" si="3"/>
        <v>13480</v>
      </c>
    </row>
    <row r="251" spans="1:8" ht="15.75" x14ac:dyDescent="0.25">
      <c r="A251" s="623" t="str">
        <f t="array" ref="A251">INDEX(AccountCodes[ACCOUNT NAME],MATCH(B251,AccountCodes[NGAS CODE],0))</f>
        <v>Water Expenses</v>
      </c>
      <c r="B251" s="597" t="s">
        <v>232</v>
      </c>
      <c r="C251" s="625">
        <f t="array" ref="C251">INDEX(AccountCodes[PPSAS CODE],MATCH(B251,AccountCodes[NGAS CODE],0))</f>
        <v>5020401000</v>
      </c>
      <c r="D251" s="626">
        <f>IF(INDEX(AccountCodes[Normal Balance], MATCH(C251,AccountCodes[PPSAS CODE]))="Debit",E251-F251,0)</f>
        <v>0</v>
      </c>
      <c r="E251" s="626">
        <f>SUMIF(PostTB[Account Code (Old)],B251,(PostTB[Debit]))+SUMIF(CkDJ[Account Code],B251,(CkDJ[Debit]))+SUMIF(CsDJ[Account Code],B251,(CsDJ[Debit]))+SUMIF(CRDJ[Account Code],B251,(CRDJ[Debit]))+SUMIF(GJ[Account Code],B251,(GJ[Debit]))</f>
        <v>0</v>
      </c>
      <c r="F251" s="627">
        <f>SUMIF(PostTB[Account Code (Old)],B251,(PostTB[Credit]))+SUMIF(CkDJ[Account Code],B251,(CkDJ[Credit]))+SUMIF(CsDJ[Account Code],B251,(CsDJ[Credit]))+SUMIF(CRDJ[Account Code],B251,(CRDJ[Credit]))+SUMIF(GJ[Account Code],B251,(GJ[Credit]))</f>
        <v>0</v>
      </c>
      <c r="G251" s="627">
        <f>IF(INDEX(AccountCodes[Normal Balance], MATCH(C251,AccountCodes[PPSAS CODE]))="Credit",F251-E251,0)</f>
        <v>0</v>
      </c>
      <c r="H251" s="626">
        <f t="shared" si="3"/>
        <v>0</v>
      </c>
    </row>
    <row r="252" spans="1:8" ht="15.75" x14ac:dyDescent="0.25">
      <c r="A252" s="623" t="str">
        <f t="array" ref="A252">INDEX(AccountCodes[ACCOUNT NAME],MATCH(B252,AccountCodes[NGAS CODE],0))</f>
        <v>Electricity Expenses</v>
      </c>
      <c r="B252" s="597" t="s">
        <v>233</v>
      </c>
      <c r="C252" s="625">
        <f t="array" ref="C252">INDEX(AccountCodes[PPSAS CODE],MATCH(B252,AccountCodes[NGAS CODE],0))</f>
        <v>5020402000</v>
      </c>
      <c r="D252" s="626">
        <f>IF(INDEX(AccountCodes[Normal Balance], MATCH(C252,AccountCodes[PPSAS CODE]))="Debit",E252-F252,0)</f>
        <v>0</v>
      </c>
      <c r="E252" s="626">
        <f>SUMIF(PostTB[Account Code (Old)],B252,(PostTB[Debit]))+SUMIF(CkDJ[Account Code],B252,(CkDJ[Debit]))+SUMIF(CsDJ[Account Code],B252,(CsDJ[Debit]))+SUMIF(CRDJ[Account Code],B252,(CRDJ[Debit]))+SUMIF(GJ[Account Code],B252,(GJ[Debit]))</f>
        <v>0</v>
      </c>
      <c r="F252" s="627">
        <f>SUMIF(PostTB[Account Code (Old)],B252,(PostTB[Credit]))+SUMIF(CkDJ[Account Code],B252,(CkDJ[Credit]))+SUMIF(CsDJ[Account Code],B252,(CsDJ[Credit]))+SUMIF(CRDJ[Account Code],B252,(CRDJ[Credit]))+SUMIF(GJ[Account Code],B252,(GJ[Credit]))</f>
        <v>0</v>
      </c>
      <c r="G252" s="627">
        <f>IF(INDEX(AccountCodes[Normal Balance], MATCH(C252,AccountCodes[PPSAS CODE]))="Credit",F252-E252,0)</f>
        <v>0</v>
      </c>
      <c r="H252" s="626">
        <f t="shared" si="3"/>
        <v>0</v>
      </c>
    </row>
    <row r="253" spans="1:8" ht="15.75" x14ac:dyDescent="0.25">
      <c r="A253" s="623" t="str">
        <f t="array" ref="A253">INDEX(AccountCodes[ACCOUNT NAME],MATCH(B253,AccountCodes[NGAS CODE],0))</f>
        <v>Other Utility Expenses</v>
      </c>
      <c r="B253" s="597" t="s">
        <v>1237</v>
      </c>
      <c r="C253" s="625">
        <f t="array" ref="C253">INDEX(AccountCodes[PPSAS CODE],MATCH(B253,AccountCodes[NGAS CODE],0))</f>
        <v>5020499000</v>
      </c>
      <c r="D253" s="626">
        <f>IF(INDEX(AccountCodes[Normal Balance], MATCH(C253,AccountCodes[PPSAS CODE]))="Debit",E253-F253,0)</f>
        <v>0</v>
      </c>
      <c r="E253" s="626">
        <f>SUMIF(PostTB[Account Code (Old)],B253,(PostTB[Debit]))+SUMIF(CkDJ[Account Code],B253,(CkDJ[Debit]))+SUMIF(CsDJ[Account Code],B253,(CsDJ[Debit]))+SUMIF(CRDJ[Account Code],B253,(CRDJ[Debit]))+SUMIF(GJ[Account Code],B253,(GJ[Debit]))</f>
        <v>0</v>
      </c>
      <c r="F253" s="627">
        <f>SUMIF(PostTB[Account Code (Old)],B253,(PostTB[Credit]))+SUMIF(CkDJ[Account Code],B253,(CkDJ[Credit]))+SUMIF(CsDJ[Account Code],B253,(CsDJ[Credit]))+SUMIF(CRDJ[Account Code],B253,(CRDJ[Credit]))+SUMIF(GJ[Account Code],B253,(GJ[Credit]))</f>
        <v>0</v>
      </c>
      <c r="G253" s="627">
        <f>IF(INDEX(AccountCodes[Normal Balance], MATCH(C253,AccountCodes[PPSAS CODE]))="Credit",F253-E253,0)</f>
        <v>0</v>
      </c>
      <c r="H253" s="626">
        <f t="shared" si="3"/>
        <v>0</v>
      </c>
    </row>
    <row r="254" spans="1:8" ht="15.75" hidden="1" x14ac:dyDescent="0.25">
      <c r="A254" s="623" t="str">
        <f t="array" ref="A254">INDEX(AccountCodes[ACCOUNT NAME],MATCH(B254,AccountCodes[NGAS CODE],0))</f>
        <v>Postage and Courier Expenses</v>
      </c>
      <c r="B254" s="597" t="s">
        <v>234</v>
      </c>
      <c r="C254" s="625">
        <f t="array" ref="C254">INDEX(AccountCodes[PPSAS CODE],MATCH(B254,AccountCodes[NGAS CODE],0))</f>
        <v>5020501000</v>
      </c>
      <c r="D254" s="626">
        <f>IF(INDEX(AccountCodes[Normal Balance], MATCH(C254,AccountCodes[PPSAS CODE]))="Debit",E254-F254,0)</f>
        <v>0</v>
      </c>
      <c r="E254" s="626">
        <f>SUMIF(PostTB[Account Code (Old)],B254,(PostTB[Debit]))+SUMIF(CkDJ[Account Code],B254,(CkDJ[Debit]))+SUMIF(CsDJ[Account Code],B254,(CsDJ[Debit]))+SUMIF(CRDJ[Account Code],B254,(CRDJ[Debit]))+SUMIF(GJ[Account Code],B254,(GJ[Debit]))</f>
        <v>0</v>
      </c>
      <c r="F254" s="627">
        <f>SUMIF(PostTB[Account Code (Old)],B254,(PostTB[Credit]))+SUMIF(CkDJ[Account Code],B254,(CkDJ[Credit]))+SUMIF(CsDJ[Account Code],B254,(CsDJ[Credit]))+SUMIF(CRDJ[Account Code],B254,(CRDJ[Credit]))+SUMIF(GJ[Account Code],B254,(GJ[Credit]))</f>
        <v>0</v>
      </c>
      <c r="G254" s="627">
        <f>IF(INDEX(AccountCodes[Normal Balance], MATCH(C254,AccountCodes[PPSAS CODE]))="Credit",F254-E254,0)</f>
        <v>0</v>
      </c>
      <c r="H254" s="626">
        <f t="shared" si="3"/>
        <v>0</v>
      </c>
    </row>
    <row r="255" spans="1:8" ht="15.75" hidden="1" x14ac:dyDescent="0.25">
      <c r="A255" s="623" t="str">
        <f t="array" ref="A255">INDEX(AccountCodes[ACCOUNT NAME],MATCH(B255,AccountCodes[NGAS CODE],0))</f>
        <v>Telephone Expenses - Mobile</v>
      </c>
      <c r="B255" s="597" t="s">
        <v>236</v>
      </c>
      <c r="C255" s="625">
        <f t="array" ref="C255">INDEX(AccountCodes[PPSAS CODE],MATCH(B255,AccountCodes[NGAS CODE],0))</f>
        <v>5020502001</v>
      </c>
      <c r="D255" s="626">
        <f>IF(INDEX(AccountCodes[Normal Balance], MATCH(C255,AccountCodes[PPSAS CODE]))="Debit",E255-F255,0)</f>
        <v>0</v>
      </c>
      <c r="E255" s="626">
        <f>SUMIF(PostTB[Account Code (Old)],B255,(PostTB[Debit]))+SUMIF(CkDJ[Account Code],B255,(CkDJ[Debit]))+SUMIF(CsDJ[Account Code],B255,(CsDJ[Debit]))+SUMIF(CRDJ[Account Code],B255,(CRDJ[Debit]))+SUMIF(GJ[Account Code],B255,(GJ[Debit]))</f>
        <v>0</v>
      </c>
      <c r="F255" s="627">
        <f>SUMIF(PostTB[Account Code (Old)],B255,(PostTB[Credit]))+SUMIF(CkDJ[Account Code],B255,(CkDJ[Credit]))+SUMIF(CsDJ[Account Code],B255,(CsDJ[Credit]))+SUMIF(CRDJ[Account Code],B255,(CRDJ[Credit]))+SUMIF(GJ[Account Code],B255,(GJ[Credit]))</f>
        <v>0</v>
      </c>
      <c r="G255" s="627">
        <f>IF(INDEX(AccountCodes[Normal Balance], MATCH(C255,AccountCodes[PPSAS CODE]))="Credit",F255-E255,0)</f>
        <v>0</v>
      </c>
      <c r="H255" s="626">
        <f t="shared" si="3"/>
        <v>0</v>
      </c>
    </row>
    <row r="256" spans="1:8" ht="15.75" x14ac:dyDescent="0.25">
      <c r="A256" s="623" t="str">
        <f t="array" ref="A256">INDEX(AccountCodes[ACCOUNT NAME],MATCH(B256,AccountCodes[NGAS CODE],0))</f>
        <v>Telephone Expenses - Landline</v>
      </c>
      <c r="B256" s="597" t="s">
        <v>235</v>
      </c>
      <c r="C256" s="625">
        <f t="array" ref="C256">INDEX(AccountCodes[PPSAS CODE],MATCH(B256,AccountCodes[NGAS CODE],0))</f>
        <v>5020502002</v>
      </c>
      <c r="D256" s="626">
        <f>IF(INDEX(AccountCodes[Normal Balance], MATCH(C256,AccountCodes[PPSAS CODE]))="Debit",E256-F256,0)</f>
        <v>0</v>
      </c>
      <c r="E256" s="626">
        <f>SUMIF(PostTB[Account Code (Old)],B256,(PostTB[Debit]))+SUMIF(CkDJ[Account Code],B256,(CkDJ[Debit]))+SUMIF(CsDJ[Account Code],B256,(CsDJ[Debit]))+SUMIF(CRDJ[Account Code],B256,(CRDJ[Debit]))+SUMIF(GJ[Account Code],B256,(GJ[Debit]))</f>
        <v>0</v>
      </c>
      <c r="F256" s="627">
        <f>SUMIF(PostTB[Account Code (Old)],B256,(PostTB[Credit]))+SUMIF(CkDJ[Account Code],B256,(CkDJ[Credit]))+SUMIF(CsDJ[Account Code],B256,(CsDJ[Credit]))+SUMIF(CRDJ[Account Code],B256,(CRDJ[Credit]))+SUMIF(GJ[Account Code],B256,(GJ[Credit]))</f>
        <v>0</v>
      </c>
      <c r="G256" s="627">
        <f>IF(INDEX(AccountCodes[Normal Balance], MATCH(C256,AccountCodes[PPSAS CODE]))="Credit",F256-E256,0)</f>
        <v>0</v>
      </c>
      <c r="H256" s="626">
        <f t="shared" si="3"/>
        <v>0</v>
      </c>
    </row>
    <row r="257" spans="1:8" ht="15.75" hidden="1" x14ac:dyDescent="0.25">
      <c r="A257" s="623" t="str">
        <f t="array" ref="A257">INDEX(AccountCodes[ACCOUNT NAME],MATCH(B257,AccountCodes[NGAS CODE],0))</f>
        <v>Internet Subscription Expenses</v>
      </c>
      <c r="B257" s="597" t="s">
        <v>237</v>
      </c>
      <c r="C257" s="625">
        <f t="array" ref="C257">INDEX(AccountCodes[PPSAS CODE],MATCH(B257,AccountCodes[NGAS CODE],0))</f>
        <v>5020503000</v>
      </c>
      <c r="D257" s="626">
        <f>IF(INDEX(AccountCodes[Normal Balance], MATCH(C257,AccountCodes[PPSAS CODE]))="Debit",E257-F257,0)</f>
        <v>0</v>
      </c>
      <c r="E257" s="626">
        <f>SUMIF(PostTB[Account Code (Old)],B257,(PostTB[Debit]))+SUMIF(CkDJ[Account Code],B257,(CkDJ[Debit]))+SUMIF(CsDJ[Account Code],B257,(CsDJ[Debit]))+SUMIF(CRDJ[Account Code],B257,(CRDJ[Debit]))+SUMIF(GJ[Account Code],B257,(GJ[Debit]))</f>
        <v>0</v>
      </c>
      <c r="F257" s="627">
        <f>SUMIF(PostTB[Account Code (Old)],B257,(PostTB[Credit]))+SUMIF(CkDJ[Account Code],B257,(CkDJ[Credit]))+SUMIF(CsDJ[Account Code],B257,(CsDJ[Credit]))+SUMIF(CRDJ[Account Code],B257,(CRDJ[Credit]))+SUMIF(GJ[Account Code],B257,(GJ[Credit]))</f>
        <v>0</v>
      </c>
      <c r="G257" s="627">
        <f>IF(INDEX(AccountCodes[Normal Balance], MATCH(C257,AccountCodes[PPSAS CODE]))="Credit",F257-E257,0)</f>
        <v>0</v>
      </c>
      <c r="H257" s="626">
        <f t="shared" si="3"/>
        <v>0</v>
      </c>
    </row>
    <row r="258" spans="1:8" ht="15.75" hidden="1" x14ac:dyDescent="0.25">
      <c r="A258" s="623" t="str">
        <f t="array" ref="A258">INDEX(AccountCodes[ACCOUNT NAME],MATCH(B258,AccountCodes[NGAS CODE],0))</f>
        <v>Cable, Satellite, Telegraph and Radio Expenses</v>
      </c>
      <c r="B258" s="597" t="s">
        <v>238</v>
      </c>
      <c r="C258" s="625">
        <f t="array" ref="C258">INDEX(AccountCodes[PPSAS CODE],MATCH(B258,AccountCodes[NGAS CODE],0))</f>
        <v>5020504000</v>
      </c>
      <c r="D258" s="626">
        <f>IF(INDEX(AccountCodes[Normal Balance], MATCH(C258,AccountCodes[PPSAS CODE]))="Debit",E258-F258,0)</f>
        <v>0</v>
      </c>
      <c r="E258" s="626">
        <f>SUMIF(PostTB[Account Code (Old)],B258,(PostTB[Debit]))+SUMIF(CkDJ[Account Code],B258,(CkDJ[Debit]))+SUMIF(CsDJ[Account Code],B258,(CsDJ[Debit]))+SUMIF(CRDJ[Account Code],B258,(CRDJ[Debit]))+SUMIF(GJ[Account Code],B258,(GJ[Debit]))</f>
        <v>0</v>
      </c>
      <c r="F258" s="627">
        <f>SUMIF(PostTB[Account Code (Old)],B258,(PostTB[Credit]))+SUMIF(CkDJ[Account Code],B258,(CkDJ[Credit]))+SUMIF(CsDJ[Account Code],B258,(CsDJ[Credit]))+SUMIF(CRDJ[Account Code],B258,(CRDJ[Credit]))+SUMIF(GJ[Account Code],B258,(GJ[Credit]))</f>
        <v>0</v>
      </c>
      <c r="G258" s="627">
        <f>IF(INDEX(AccountCodes[Normal Balance], MATCH(C258,AccountCodes[PPSAS CODE]))="Credit",F258-E258,0)</f>
        <v>0</v>
      </c>
      <c r="H258" s="626">
        <f t="shared" si="3"/>
        <v>0</v>
      </c>
    </row>
    <row r="259" spans="1:8" ht="15.75" x14ac:dyDescent="0.25">
      <c r="A259" s="623" t="str">
        <f t="array" ref="A259">INDEX(AccountCodes[ACCOUNT NAME],MATCH(B259,AccountCodes[NGAS CODE],0))</f>
        <v>Awards/Rewards Expenses</v>
      </c>
      <c r="B259" s="597" t="s">
        <v>1238</v>
      </c>
      <c r="C259" s="625">
        <f t="array" ref="C259">INDEX(AccountCodes[PPSAS CODE],MATCH(B259,AccountCodes[NGAS CODE],0))</f>
        <v>5020601000</v>
      </c>
      <c r="D259" s="626">
        <f>IF(INDEX(AccountCodes[Normal Balance], MATCH(C259,AccountCodes[PPSAS CODE]))="Debit",E259-F259,0)</f>
        <v>0</v>
      </c>
      <c r="E259" s="626">
        <f>SUMIF(PostTB[Account Code (Old)],B259,(PostTB[Debit]))+SUMIF(CkDJ[Account Code],B259,(CkDJ[Debit]))+SUMIF(CsDJ[Account Code],B259,(CsDJ[Debit]))+SUMIF(CRDJ[Account Code],B259,(CRDJ[Debit]))+SUMIF(GJ[Account Code],B259,(GJ[Debit]))</f>
        <v>0</v>
      </c>
      <c r="F259" s="627">
        <f>SUMIF(PostTB[Account Code (Old)],B259,(PostTB[Credit]))+SUMIF(CkDJ[Account Code],B259,(CkDJ[Credit]))+SUMIF(CsDJ[Account Code],B259,(CsDJ[Credit]))+SUMIF(CRDJ[Account Code],B259,(CRDJ[Credit]))+SUMIF(GJ[Account Code],B259,(GJ[Credit]))</f>
        <v>0</v>
      </c>
      <c r="G259" s="627">
        <f>IF(INDEX(AccountCodes[Normal Balance], MATCH(C259,AccountCodes[PPSAS CODE]))="Credit",F259-E259,0)</f>
        <v>0</v>
      </c>
      <c r="H259" s="626">
        <f t="shared" si="3"/>
        <v>0</v>
      </c>
    </row>
    <row r="260" spans="1:8" ht="15.75" hidden="1" x14ac:dyDescent="0.25">
      <c r="A260" s="623" t="str">
        <f t="array" ref="A260">INDEX(AccountCodes[ACCOUNT NAME],MATCH(B260,AccountCodes[NGAS CODE],0))</f>
        <v>Legal Services</v>
      </c>
      <c r="B260" s="597" t="s">
        <v>246</v>
      </c>
      <c r="C260" s="625">
        <f t="array" ref="C260">INDEX(AccountCodes[PPSAS CODE],MATCH(B260,AccountCodes[NGAS CODE],0))</f>
        <v>5021101000</v>
      </c>
      <c r="D260" s="626">
        <f>IF(INDEX(AccountCodes[Normal Balance], MATCH(C260,AccountCodes[PPSAS CODE]))="Debit",E260-F260,0)</f>
        <v>0</v>
      </c>
      <c r="E260" s="626">
        <f>SUMIF(PostTB[Account Code (Old)],B260,(PostTB[Debit]))+SUMIF(CkDJ[Account Code],B260,(CkDJ[Debit]))+SUMIF(CsDJ[Account Code],B260,(CsDJ[Debit]))+SUMIF(CRDJ[Account Code],B260,(CRDJ[Debit]))+SUMIF(GJ[Account Code],B260,(GJ[Debit]))</f>
        <v>0</v>
      </c>
      <c r="F260" s="627">
        <f>SUMIF(PostTB[Account Code (Old)],B260,(PostTB[Credit]))+SUMIF(CkDJ[Account Code],B260,(CkDJ[Credit]))+SUMIF(CsDJ[Account Code],B260,(CsDJ[Credit]))+SUMIF(CRDJ[Account Code],B260,(CRDJ[Credit]))+SUMIF(GJ[Account Code],B260,(GJ[Credit]))</f>
        <v>0</v>
      </c>
      <c r="G260" s="627">
        <f>IF(INDEX(AccountCodes[Normal Balance], MATCH(C260,AccountCodes[PPSAS CODE]))="Credit",F260-E260,0)</f>
        <v>0</v>
      </c>
      <c r="H260" s="626">
        <f t="shared" si="3"/>
        <v>0</v>
      </c>
    </row>
    <row r="261" spans="1:8" ht="15.75" hidden="1" x14ac:dyDescent="0.25">
      <c r="A261" s="623" t="str">
        <f t="array" ref="A261">INDEX(AccountCodes[ACCOUNT NAME],MATCH(B261,AccountCodes[NGAS CODE],0))</f>
        <v>Auditing Services</v>
      </c>
      <c r="B261" s="597" t="s">
        <v>222</v>
      </c>
      <c r="C261" s="625">
        <f t="array" ref="C261">INDEX(AccountCodes[PPSAS CODE],MATCH(B261,AccountCodes[NGAS CODE],0))</f>
        <v>5021102000</v>
      </c>
      <c r="D261" s="626">
        <f>IF(INDEX(AccountCodes[Normal Balance], MATCH(C261,AccountCodes[PPSAS CODE]))="Debit",E261-F261,0)</f>
        <v>0</v>
      </c>
      <c r="E261" s="626">
        <f>SUMIF(PostTB[Account Code (Old)],B261,(PostTB[Debit]))+SUMIF(CkDJ[Account Code],B261,(CkDJ[Debit]))+SUMIF(CsDJ[Account Code],B261,(CsDJ[Debit]))+SUMIF(CRDJ[Account Code],B261,(CRDJ[Debit]))+SUMIF(GJ[Account Code],B261,(GJ[Debit]))</f>
        <v>0</v>
      </c>
      <c r="F261" s="627">
        <f>SUMIF(PostTB[Account Code (Old)],B261,(PostTB[Credit]))+SUMIF(CkDJ[Account Code],B261,(CkDJ[Credit]))+SUMIF(CsDJ[Account Code],B261,(CsDJ[Credit]))+SUMIF(CRDJ[Account Code],B261,(CRDJ[Credit]))+SUMIF(GJ[Account Code],B261,(GJ[Credit]))</f>
        <v>0</v>
      </c>
      <c r="G261" s="627">
        <f>IF(INDEX(AccountCodes[Normal Balance], MATCH(C261,AccountCodes[PPSAS CODE]))="Credit",F261-E261,0)</f>
        <v>0</v>
      </c>
      <c r="H261" s="626">
        <f t="shared" si="3"/>
        <v>0</v>
      </c>
    </row>
    <row r="262" spans="1:8" ht="15.75" hidden="1" x14ac:dyDescent="0.25">
      <c r="A262" s="623" t="str">
        <f t="array" ref="A262">INDEX(AccountCodes[ACCOUNT NAME],MATCH(B262,AccountCodes[NGAS CODE],0))</f>
        <v>Consultancy Services</v>
      </c>
      <c r="B262" s="597" t="s">
        <v>247</v>
      </c>
      <c r="C262" s="625">
        <f t="array" ref="C262">INDEX(AccountCodes[PPSAS CODE],MATCH(B262,AccountCodes[NGAS CODE],0))</f>
        <v>5021103000</v>
      </c>
      <c r="D262" s="626">
        <f>IF(INDEX(AccountCodes[Normal Balance], MATCH(C262,AccountCodes[PPSAS CODE]))="Debit",E262-F262,0)</f>
        <v>0</v>
      </c>
      <c r="E262" s="626">
        <f>SUMIF(PostTB[Account Code (Old)],B262,(PostTB[Debit]))+SUMIF(CkDJ[Account Code],B262,(CkDJ[Debit]))+SUMIF(CsDJ[Account Code],B262,(CsDJ[Debit]))+SUMIF(CRDJ[Account Code],B262,(CRDJ[Debit]))+SUMIF(GJ[Account Code],B262,(GJ[Debit]))</f>
        <v>0</v>
      </c>
      <c r="F262" s="627">
        <f>SUMIF(PostTB[Account Code (Old)],B262,(PostTB[Credit]))+SUMIF(CkDJ[Account Code],B262,(CkDJ[Credit]))+SUMIF(CsDJ[Account Code],B262,(CsDJ[Credit]))+SUMIF(CRDJ[Account Code],B262,(CRDJ[Credit]))+SUMIF(GJ[Account Code],B262,(GJ[Credit]))</f>
        <v>0</v>
      </c>
      <c r="G262" s="627">
        <f>IF(INDEX(AccountCodes[Normal Balance], MATCH(C262,AccountCodes[PPSAS CODE]))="Credit",F262-E262,0)</f>
        <v>0</v>
      </c>
      <c r="H262" s="626">
        <f t="shared" ref="H262:H321" si="4">IF(D262=0,G262,D262)</f>
        <v>0</v>
      </c>
    </row>
    <row r="263" spans="1:8" ht="15.75" x14ac:dyDescent="0.25">
      <c r="A263" s="623" t="str">
        <f t="array" ref="A263">INDEX(AccountCodes[ACCOUNT NAME],MATCH(B263,AccountCodes[NGAS CODE],0))</f>
        <v>Other Professional Services</v>
      </c>
      <c r="B263" s="597" t="s">
        <v>250</v>
      </c>
      <c r="C263" s="625">
        <f t="array" ref="C263">INDEX(AccountCodes[PPSAS CODE],MATCH(B263,AccountCodes[NGAS CODE],0))</f>
        <v>5021199000</v>
      </c>
      <c r="D263" s="626">
        <f>IF(INDEX(AccountCodes[Normal Balance], MATCH(C263,AccountCodes[PPSAS CODE]))="Debit",E263-F263,0)</f>
        <v>0</v>
      </c>
      <c r="E263" s="626">
        <f>SUMIF(PostTB[Account Code (Old)],B263,(PostTB[Debit]))+SUMIF(CkDJ[Account Code],B263,(CkDJ[Debit]))+SUMIF(CsDJ[Account Code],B263,(CsDJ[Debit]))+SUMIF(CRDJ[Account Code],B263,(CRDJ[Debit]))+SUMIF(GJ[Account Code],B263,(GJ[Debit]))</f>
        <v>0</v>
      </c>
      <c r="F263" s="627">
        <f>SUMIF(PostTB[Account Code (Old)],B263,(PostTB[Credit]))+SUMIF(CkDJ[Account Code],B263,(CkDJ[Credit]))+SUMIF(CsDJ[Account Code],B263,(CsDJ[Credit]))+SUMIF(CRDJ[Account Code],B263,(CRDJ[Credit]))+SUMIF(GJ[Account Code],B263,(GJ[Credit]))</f>
        <v>0</v>
      </c>
      <c r="G263" s="627">
        <f>IF(INDEX(AccountCodes[Normal Balance], MATCH(C263,AccountCodes[PPSAS CODE]))="Credit",F263-E263,0)</f>
        <v>0</v>
      </c>
      <c r="H263" s="626">
        <f t="shared" si="4"/>
        <v>0</v>
      </c>
    </row>
    <row r="264" spans="1:8" ht="15.75" hidden="1" x14ac:dyDescent="0.25">
      <c r="A264" s="623" t="str">
        <f t="array" ref="A264">INDEX(AccountCodes[ACCOUNT NAME],MATCH(B264,AccountCodes[NGAS CODE],0))</f>
        <v>Janitorial Services</v>
      </c>
      <c r="B264" s="597" t="s">
        <v>249</v>
      </c>
      <c r="C264" s="625">
        <f t="array" ref="C264">INDEX(AccountCodes[PPSAS CODE],MATCH(B264,AccountCodes[NGAS CODE],0))</f>
        <v>5021202000</v>
      </c>
      <c r="D264" s="626">
        <f>IF(INDEX(AccountCodes[Normal Balance], MATCH(C264,AccountCodes[PPSAS CODE]))="Debit",E264-F264,0)</f>
        <v>0</v>
      </c>
      <c r="E264" s="626">
        <f>SUMIF(PostTB[Account Code (Old)],B264,(PostTB[Debit]))+SUMIF(CkDJ[Account Code],B264,(CkDJ[Debit]))+SUMIF(CsDJ[Account Code],B264,(CsDJ[Debit]))+SUMIF(CRDJ[Account Code],B264,(CRDJ[Debit]))+SUMIF(GJ[Account Code],B264,(GJ[Debit]))</f>
        <v>0</v>
      </c>
      <c r="F264" s="627">
        <f>SUMIF(PostTB[Account Code (Old)],B264,(PostTB[Credit]))+SUMIF(CkDJ[Account Code],B264,(CkDJ[Credit]))+SUMIF(CsDJ[Account Code],B264,(CsDJ[Credit]))+SUMIF(CRDJ[Account Code],B264,(CRDJ[Credit]))+SUMIF(GJ[Account Code],B264,(GJ[Credit]))</f>
        <v>0</v>
      </c>
      <c r="G264" s="627">
        <f>IF(INDEX(AccountCodes[Normal Balance], MATCH(C264,AccountCodes[PPSAS CODE]))="Credit",F264-E264,0)</f>
        <v>0</v>
      </c>
      <c r="H264" s="626">
        <f t="shared" si="4"/>
        <v>0</v>
      </c>
    </row>
    <row r="265" spans="1:8" ht="15.75" hidden="1" x14ac:dyDescent="0.25">
      <c r="A265" s="623" t="str">
        <f t="array" ref="A265">INDEX(AccountCodes[ACCOUNT NAME],MATCH(B265,AccountCodes[NGAS CODE],0))</f>
        <v>Security Services</v>
      </c>
      <c r="B265" s="597" t="s">
        <v>1239</v>
      </c>
      <c r="C265" s="625">
        <f t="array" ref="C265">INDEX(AccountCodes[PPSAS CODE],MATCH(B265,AccountCodes[NGAS CODE],0))</f>
        <v>5021203000</v>
      </c>
      <c r="D265" s="626">
        <f>IF(INDEX(AccountCodes[Normal Balance], MATCH(C265,AccountCodes[PPSAS CODE]))="Debit",E265-F265,0)</f>
        <v>0</v>
      </c>
      <c r="E265" s="626">
        <f>SUMIF(PostTB[Account Code (Old)],B265,(PostTB[Debit]))+SUMIF(CkDJ[Account Code],B265,(CkDJ[Debit]))+SUMIF(CsDJ[Account Code],B265,(CsDJ[Debit]))+SUMIF(CRDJ[Account Code],B265,(CRDJ[Debit]))+SUMIF(GJ[Account Code],B265,(GJ[Debit]))</f>
        <v>0</v>
      </c>
      <c r="F265" s="627">
        <f>SUMIF(PostTB[Account Code (Old)],B265,(PostTB[Credit]))+SUMIF(CkDJ[Account Code],B265,(CkDJ[Credit]))+SUMIF(CsDJ[Account Code],B265,(CsDJ[Credit]))+SUMIF(CRDJ[Account Code],B265,(CRDJ[Credit]))+SUMIF(GJ[Account Code],B265,(GJ[Credit]))</f>
        <v>0</v>
      </c>
      <c r="G265" s="627">
        <f>IF(INDEX(AccountCodes[Normal Balance], MATCH(C265,AccountCodes[PPSAS CODE]))="Credit",F265-E265,0)</f>
        <v>0</v>
      </c>
      <c r="H265" s="626">
        <f t="shared" si="4"/>
        <v>0</v>
      </c>
    </row>
    <row r="266" spans="1:8" ht="15.75" hidden="1" x14ac:dyDescent="0.25">
      <c r="A266" s="623" t="str">
        <f t="array" ref="A266">INDEX(AccountCodes[ACCOUNT NAME],MATCH(B266,AccountCodes[NGAS CODE],0))</f>
        <v>Other General Services</v>
      </c>
      <c r="B266" s="597" t="s">
        <v>248</v>
      </c>
      <c r="C266" s="625">
        <f t="array" ref="C266">INDEX(AccountCodes[PPSAS CODE],MATCH(B266,AccountCodes[NGAS CODE],0))</f>
        <v>5021299000</v>
      </c>
      <c r="D266" s="626">
        <f>IF(INDEX(AccountCodes[Normal Balance], MATCH(C266,AccountCodes[PPSAS CODE]))="Debit",E266-F266,0)</f>
        <v>0</v>
      </c>
      <c r="E266" s="626">
        <f>SUMIF(PostTB[Account Code (Old)],B266,(PostTB[Debit]))+SUMIF(CkDJ[Account Code],B266,(CkDJ[Debit]))+SUMIF(CsDJ[Account Code],B266,(CsDJ[Debit]))+SUMIF(CRDJ[Account Code],B266,(CRDJ[Debit]))+SUMIF(GJ[Account Code],B266,(GJ[Debit]))</f>
        <v>0</v>
      </c>
      <c r="F266" s="627">
        <f>SUMIF(PostTB[Account Code (Old)],B266,(PostTB[Credit]))+SUMIF(CkDJ[Account Code],B266,(CkDJ[Credit]))+SUMIF(CsDJ[Account Code],B266,(CsDJ[Credit]))+SUMIF(CRDJ[Account Code],B266,(CRDJ[Credit]))+SUMIF(GJ[Account Code],B266,(GJ[Credit]))</f>
        <v>0</v>
      </c>
      <c r="G266" s="627">
        <f>IF(INDEX(AccountCodes[Normal Balance], MATCH(C266,AccountCodes[PPSAS CODE]))="Credit",F266-E266,0)</f>
        <v>0</v>
      </c>
      <c r="H266" s="626">
        <f t="shared" si="4"/>
        <v>0</v>
      </c>
    </row>
    <row r="267" spans="1:8" ht="15.75" hidden="1" x14ac:dyDescent="0.25">
      <c r="A267" s="623" t="str">
        <f t="array" ref="A267">INDEX(AccountCodes[ACCOUNT NAME],MATCH(B267,AccountCodes[NGAS CODE],0))</f>
        <v>Repairs and Maintenance-Land Improvements</v>
      </c>
      <c r="B267" s="597" t="s">
        <v>1240</v>
      </c>
      <c r="C267" s="625">
        <f t="array" ref="C267">INDEX(AccountCodes[PPSAS CODE],MATCH(B267,AccountCodes[NGAS CODE],0))</f>
        <v>5021302000</v>
      </c>
      <c r="D267" s="626">
        <f>IF(INDEX(AccountCodes[Normal Balance], MATCH(C267,AccountCodes[PPSAS CODE]))="Debit",E267-F267,0)</f>
        <v>0</v>
      </c>
      <c r="E267" s="626">
        <f>SUMIF(PostTB[Account Code (Old)],B267,(PostTB[Debit]))+SUMIF(CkDJ[Account Code],B267,(CkDJ[Debit]))+SUMIF(CsDJ[Account Code],B267,(CsDJ[Debit]))+SUMIF(CRDJ[Account Code],B267,(CRDJ[Debit]))+SUMIF(GJ[Account Code],B267,(GJ[Debit]))</f>
        <v>0</v>
      </c>
      <c r="F267" s="627">
        <f>SUMIF(PostTB[Account Code (Old)],B267,(PostTB[Credit]))+SUMIF(CkDJ[Account Code],B267,(CkDJ[Credit]))+SUMIF(CsDJ[Account Code],B267,(CsDJ[Credit]))+SUMIF(CRDJ[Account Code],B267,(CRDJ[Credit]))+SUMIF(GJ[Account Code],B267,(GJ[Credit]))</f>
        <v>0</v>
      </c>
      <c r="G267" s="627">
        <f>IF(INDEX(AccountCodes[Normal Balance], MATCH(C267,AccountCodes[PPSAS CODE]))="Credit",F267-E267,0)</f>
        <v>0</v>
      </c>
      <c r="H267" s="626">
        <f t="shared" si="4"/>
        <v>0</v>
      </c>
    </row>
    <row r="268" spans="1:8" ht="15.75" hidden="1" x14ac:dyDescent="0.25">
      <c r="A268" s="623" t="str">
        <f t="array" ref="A268">INDEX(AccountCodes[ACCOUNT NAME],MATCH(B268,AccountCodes[NGAS CODE],0))</f>
        <v>Repairs and Maintenance-Infrastructure Assets - Other Infrastructure Assets (Artesian Wells, Reservoirs, Pumps)</v>
      </c>
      <c r="B268" s="597" t="s">
        <v>266</v>
      </c>
      <c r="C268" s="625">
        <f t="array" ref="C268">INDEX(AccountCodes[PPSAS CODE],MATCH(B268,AccountCodes[NGAS CODE],0))</f>
        <v>5021303097</v>
      </c>
      <c r="D268" s="626">
        <f>IF(INDEX(AccountCodes[Normal Balance], MATCH(C268,AccountCodes[PPSAS CODE]))="Debit",E268-F268,0)</f>
        <v>0</v>
      </c>
      <c r="E268" s="626">
        <f>SUMIF(PostTB[Account Code (Old)],B268,(PostTB[Debit]))+SUMIF(CkDJ[Account Code],B268,(CkDJ[Debit]))+SUMIF(CsDJ[Account Code],B268,(CsDJ[Debit]))+SUMIF(CRDJ[Account Code],B268,(CRDJ[Debit]))+SUMIF(GJ[Account Code],B268,(GJ[Debit]))</f>
        <v>0</v>
      </c>
      <c r="F268" s="627">
        <f>SUMIF(PostTB[Account Code (Old)],B268,(PostTB[Credit]))+SUMIF(CkDJ[Account Code],B268,(CkDJ[Credit]))+SUMIF(CsDJ[Account Code],B268,(CsDJ[Credit]))+SUMIF(CRDJ[Account Code],B268,(CRDJ[Credit]))+SUMIF(GJ[Account Code],B268,(GJ[Credit]))</f>
        <v>0</v>
      </c>
      <c r="G268" s="627">
        <f>IF(INDEX(AccountCodes[Normal Balance], MATCH(C268,AccountCodes[PPSAS CODE]))="Credit",F268-E268,0)</f>
        <v>0</v>
      </c>
      <c r="H268" s="626">
        <f t="shared" si="4"/>
        <v>0</v>
      </c>
    </row>
    <row r="269" spans="1:8" ht="15.75" hidden="1" x14ac:dyDescent="0.25">
      <c r="A269" s="623" t="str">
        <f t="array" ref="A269">INDEX(AccountCodes[ACCOUNT NAME],MATCH(B269,AccountCodes[NGAS CODE],0))</f>
        <v>Repairs and Maintenance-Infrastructure Assets - Other Infrastructure Assets (Irrigation Canal &amp; Laterals)</v>
      </c>
      <c r="B269" s="597" t="s">
        <v>267</v>
      </c>
      <c r="C269" s="625">
        <f t="array" ref="C269">INDEX(AccountCodes[PPSAS CODE],MATCH(B269,AccountCodes[NGAS CODE],0))</f>
        <v>5021303098</v>
      </c>
      <c r="D269" s="626">
        <f>IF(INDEX(AccountCodes[Normal Balance], MATCH(C269,AccountCodes[PPSAS CODE]))="Debit",E269-F269,0)</f>
        <v>1364697.65</v>
      </c>
      <c r="E269" s="626">
        <f>SUMIF(PostTB[Account Code (Old)],B269,(PostTB[Debit]))+SUMIF(CkDJ[Account Code],B269,(CkDJ[Debit]))+SUMIF(CsDJ[Account Code],B269,(CsDJ[Debit]))+SUMIF(CRDJ[Account Code],B269,(CRDJ[Debit]))+SUMIF(GJ[Account Code],B269,(GJ[Debit]))</f>
        <v>1364697.65</v>
      </c>
      <c r="F269" s="627">
        <f>SUMIF(PostTB[Account Code (Old)],B269,(PostTB[Credit]))+SUMIF(CkDJ[Account Code],B269,(CkDJ[Credit]))+SUMIF(CsDJ[Account Code],B269,(CsDJ[Credit]))+SUMIF(CRDJ[Account Code],B269,(CRDJ[Credit]))+SUMIF(GJ[Account Code],B269,(GJ[Credit]))</f>
        <v>0</v>
      </c>
      <c r="G269" s="627">
        <f>IF(INDEX(AccountCodes[Normal Balance], MATCH(C269,AccountCodes[PPSAS CODE]))="Credit",F269-E269,0)</f>
        <v>0</v>
      </c>
      <c r="H269" s="626">
        <f t="shared" si="4"/>
        <v>1364697.65</v>
      </c>
    </row>
    <row r="270" spans="1:8" ht="15.75" hidden="1" x14ac:dyDescent="0.25">
      <c r="A270" s="623" t="str">
        <f t="array" ref="A270">INDEX(AccountCodes[ACCOUNT NAME],MATCH(B270,AccountCodes[NGAS CODE],0))</f>
        <v>Repairs and Maintenance-Buildings and Other Structures - Buildings</v>
      </c>
      <c r="B270" s="597" t="s">
        <v>251</v>
      </c>
      <c r="C270" s="625">
        <f t="array" ref="C270">INDEX(AccountCodes[PPSAS CODE],MATCH(B270,AccountCodes[NGAS CODE],0))</f>
        <v>5021304001</v>
      </c>
      <c r="D270" s="626">
        <f>IF(INDEX(AccountCodes[Normal Balance], MATCH(C270,AccountCodes[PPSAS CODE]))="Debit",E270-F270,0)</f>
        <v>0</v>
      </c>
      <c r="E270" s="626">
        <f>SUMIF(PostTB[Account Code (Old)],B270,(PostTB[Debit]))+SUMIF(CkDJ[Account Code],B270,(CkDJ[Debit]))+SUMIF(CsDJ[Account Code],B270,(CsDJ[Debit]))+SUMIF(CRDJ[Account Code],B270,(CRDJ[Debit]))+SUMIF(GJ[Account Code],B270,(GJ[Debit]))</f>
        <v>0</v>
      </c>
      <c r="F270" s="627">
        <f>SUMIF(PostTB[Account Code (Old)],B270,(PostTB[Credit]))+SUMIF(CkDJ[Account Code],B270,(CkDJ[Credit]))+SUMIF(CsDJ[Account Code],B270,(CsDJ[Credit]))+SUMIF(CRDJ[Account Code],B270,(CRDJ[Credit]))+SUMIF(GJ[Account Code],B270,(GJ[Credit]))</f>
        <v>0</v>
      </c>
      <c r="G270" s="627">
        <f>IF(INDEX(AccountCodes[Normal Balance], MATCH(C270,AccountCodes[PPSAS CODE]))="Credit",F270-E270,0)</f>
        <v>0</v>
      </c>
      <c r="H270" s="626">
        <f t="shared" si="4"/>
        <v>0</v>
      </c>
    </row>
    <row r="271" spans="1:8" ht="15.75" hidden="1" x14ac:dyDescent="0.25">
      <c r="A271" s="623" t="str">
        <f t="array" ref="A271">INDEX(AccountCodes[ACCOUNT NAME],MATCH(B271,AccountCodes[NGAS CODE],0))</f>
        <v>Repairs and Maintenance-Buildings and Other Structures - Other Structures</v>
      </c>
      <c r="B271" s="597" t="s">
        <v>252</v>
      </c>
      <c r="C271" s="625">
        <f t="array" ref="C271">INDEX(AccountCodes[PPSAS CODE],MATCH(B271,AccountCodes[NGAS CODE],0))</f>
        <v>5021304099</v>
      </c>
      <c r="D271" s="626">
        <f>IF(INDEX(AccountCodes[Normal Balance], MATCH(C271,AccountCodes[PPSAS CODE]))="Debit",E271-F271,0)</f>
        <v>0</v>
      </c>
      <c r="E271" s="626">
        <f>SUMIF(PostTB[Account Code (Old)],B271,(PostTB[Debit]))+SUMIF(CkDJ[Account Code],B271,(CkDJ[Debit]))+SUMIF(CsDJ[Account Code],B271,(CsDJ[Debit]))+SUMIF(CRDJ[Account Code],B271,(CRDJ[Debit]))+SUMIF(GJ[Account Code],B271,(GJ[Debit]))</f>
        <v>0</v>
      </c>
      <c r="F271" s="627">
        <f>SUMIF(PostTB[Account Code (Old)],B271,(PostTB[Credit]))+SUMIF(CkDJ[Account Code],B271,(CkDJ[Credit]))+SUMIF(CsDJ[Account Code],B271,(CsDJ[Credit]))+SUMIF(CRDJ[Account Code],B271,(CRDJ[Credit]))+SUMIF(GJ[Account Code],B271,(GJ[Credit]))</f>
        <v>0</v>
      </c>
      <c r="G271" s="627">
        <f>IF(INDEX(AccountCodes[Normal Balance], MATCH(C271,AccountCodes[PPSAS CODE]))="Credit",F271-E271,0)</f>
        <v>0</v>
      </c>
      <c r="H271" s="626">
        <f t="shared" si="4"/>
        <v>0</v>
      </c>
    </row>
    <row r="272" spans="1:8" ht="15.75" hidden="1" x14ac:dyDescent="0.25">
      <c r="A272" s="623" t="str">
        <f t="array" ref="A272">INDEX(AccountCodes[ACCOUNT NAME],MATCH(B272,AccountCodes[NGAS CODE],0))</f>
        <v>Repairs and Maintenance-Machinery and Equipment - Machinery</v>
      </c>
      <c r="B272" s="597" t="s">
        <v>256</v>
      </c>
      <c r="C272" s="625">
        <f t="array" ref="C272">INDEX(AccountCodes[PPSAS CODE],MATCH(B272,AccountCodes[NGAS CODE],0))</f>
        <v>5021305001</v>
      </c>
      <c r="D272" s="626">
        <f>IF(INDEX(AccountCodes[Normal Balance], MATCH(C272,AccountCodes[PPSAS CODE]))="Debit",E272-F272,0)</f>
        <v>0</v>
      </c>
      <c r="E272" s="626">
        <f>SUMIF(PostTB[Account Code (Old)],B272,(PostTB[Debit]))+SUMIF(CkDJ[Account Code],B272,(CkDJ[Debit]))+SUMIF(CsDJ[Account Code],B272,(CsDJ[Debit]))+SUMIF(CRDJ[Account Code],B272,(CRDJ[Debit]))+SUMIF(GJ[Account Code],B272,(GJ[Debit]))</f>
        <v>0</v>
      </c>
      <c r="F272" s="627">
        <f>SUMIF(PostTB[Account Code (Old)],B272,(PostTB[Credit]))+SUMIF(CkDJ[Account Code],B272,(CkDJ[Credit]))+SUMIF(CsDJ[Account Code],B272,(CsDJ[Credit]))+SUMIF(CRDJ[Account Code],B272,(CRDJ[Credit]))+SUMIF(GJ[Account Code],B272,(GJ[Credit]))</f>
        <v>0</v>
      </c>
      <c r="G272" s="627">
        <f>IF(INDEX(AccountCodes[Normal Balance], MATCH(C272,AccountCodes[PPSAS CODE]))="Credit",F272-E272,0)</f>
        <v>0</v>
      </c>
      <c r="H272" s="626">
        <f t="shared" si="4"/>
        <v>0</v>
      </c>
    </row>
    <row r="273" spans="1:8" ht="15.75" hidden="1" x14ac:dyDescent="0.25">
      <c r="A273" s="623" t="str">
        <f t="array" ref="A273">INDEX(AccountCodes[ACCOUNT NAME],MATCH(B273,AccountCodes[NGAS CODE],0))</f>
        <v>Repairs and Maintenance-Machinery and Equipment - Office Equipment</v>
      </c>
      <c r="B273" s="597" t="s">
        <v>253</v>
      </c>
      <c r="C273" s="625">
        <f t="array" ref="C273">INDEX(AccountCodes[PPSAS CODE],MATCH(B273,AccountCodes[NGAS CODE],0))</f>
        <v>5021305002</v>
      </c>
      <c r="D273" s="626">
        <f>IF(INDEX(AccountCodes[Normal Balance], MATCH(C273,AccountCodes[PPSAS CODE]))="Debit",E273-F273,0)</f>
        <v>0</v>
      </c>
      <c r="E273" s="626">
        <f>SUMIF(PostTB[Account Code (Old)],B273,(PostTB[Debit]))+SUMIF(CkDJ[Account Code],B273,(CkDJ[Debit]))+SUMIF(CsDJ[Account Code],B273,(CsDJ[Debit]))+SUMIF(CRDJ[Account Code],B273,(CRDJ[Debit]))+SUMIF(GJ[Account Code],B273,(GJ[Debit]))</f>
        <v>0</v>
      </c>
      <c r="F273" s="627">
        <f>SUMIF(PostTB[Account Code (Old)],B273,(PostTB[Credit]))+SUMIF(CkDJ[Account Code],B273,(CkDJ[Credit]))+SUMIF(CsDJ[Account Code],B273,(CsDJ[Credit]))+SUMIF(CRDJ[Account Code],B273,(CRDJ[Credit]))+SUMIF(GJ[Account Code],B273,(GJ[Credit]))</f>
        <v>0</v>
      </c>
      <c r="G273" s="627">
        <f>IF(INDEX(AccountCodes[Normal Balance], MATCH(C273,AccountCodes[PPSAS CODE]))="Credit",F273-E273,0)</f>
        <v>0</v>
      </c>
      <c r="H273" s="626">
        <f t="shared" si="4"/>
        <v>0</v>
      </c>
    </row>
    <row r="274" spans="1:8" ht="15.75" hidden="1" x14ac:dyDescent="0.25">
      <c r="A274" s="623" t="str">
        <f t="array" ref="A274">INDEX(AccountCodes[ACCOUNT NAME],MATCH(B274,AccountCodes[NGAS CODE],0))</f>
        <v>Repairs and Maintenance-Machinery and Equipment - ICT Equipment</v>
      </c>
      <c r="B274" s="597" t="s">
        <v>255</v>
      </c>
      <c r="C274" s="625">
        <f t="array" ref="C274">INDEX(AccountCodes[PPSAS CODE],MATCH(B274,AccountCodes[NGAS CODE],0))</f>
        <v>5021305003</v>
      </c>
      <c r="D274" s="626">
        <f>IF(INDEX(AccountCodes[Normal Balance], MATCH(C274,AccountCodes[PPSAS CODE]))="Debit",E274-F274,0)</f>
        <v>0</v>
      </c>
      <c r="E274" s="626">
        <f>SUMIF(PostTB[Account Code (Old)],B274,(PostTB[Debit]))+SUMIF(CkDJ[Account Code],B274,(CkDJ[Debit]))+SUMIF(CsDJ[Account Code],B274,(CsDJ[Debit]))+SUMIF(CRDJ[Account Code],B274,(CRDJ[Debit]))+SUMIF(GJ[Account Code],B274,(GJ[Debit]))</f>
        <v>0</v>
      </c>
      <c r="F274" s="627">
        <f>SUMIF(PostTB[Account Code (Old)],B274,(PostTB[Credit]))+SUMIF(CkDJ[Account Code],B274,(CkDJ[Credit]))+SUMIF(CsDJ[Account Code],B274,(CsDJ[Credit]))+SUMIF(CRDJ[Account Code],B274,(CRDJ[Credit]))+SUMIF(GJ[Account Code],B274,(GJ[Credit]))</f>
        <v>0</v>
      </c>
      <c r="G274" s="627">
        <f>IF(INDEX(AccountCodes[Normal Balance], MATCH(C274,AccountCodes[PPSAS CODE]))="Credit",F274-E274,0)</f>
        <v>0</v>
      </c>
      <c r="H274" s="626">
        <f>IF(D274=0,G274,D274)</f>
        <v>0</v>
      </c>
    </row>
    <row r="275" spans="1:8" ht="15.75" hidden="1" x14ac:dyDescent="0.25">
      <c r="A275" s="623" t="str">
        <f t="array" ref="A275">INDEX(AccountCodes[ACCOUNT NAME],MATCH(B275,AccountCodes[NGAS CODE],0))</f>
        <v>Repairs and Maintenance-Machinery and Equipment - Communication Equipment</v>
      </c>
      <c r="B275" s="597" t="s">
        <v>257</v>
      </c>
      <c r="C275" s="625">
        <f t="array" ref="C275">INDEX(AccountCodes[PPSAS CODE],MATCH(B275,AccountCodes[NGAS CODE],0))</f>
        <v>5021305007</v>
      </c>
      <c r="D275" s="626">
        <f>IF(INDEX(AccountCodes[Normal Balance], MATCH(C275,AccountCodes[PPSAS CODE]))="Debit",E275-F275,0)</f>
        <v>0</v>
      </c>
      <c r="E275" s="626">
        <f>SUMIF(PostTB[Account Code (Old)],B275,(PostTB[Debit]))+SUMIF(CkDJ[Account Code],B275,(CkDJ[Debit]))+SUMIF(CsDJ[Account Code],B275,(CsDJ[Debit]))+SUMIF(CRDJ[Account Code],B275,(CRDJ[Debit]))+SUMIF(GJ[Account Code],B275,(GJ[Debit]))</f>
        <v>0</v>
      </c>
      <c r="F275" s="627">
        <f>SUMIF(PostTB[Account Code (Old)],B275,(PostTB[Credit]))+SUMIF(CkDJ[Account Code],B275,(CkDJ[Credit]))+SUMIF(CsDJ[Account Code],B275,(CsDJ[Credit]))+SUMIF(CRDJ[Account Code],B275,(CRDJ[Credit]))+SUMIF(GJ[Account Code],B275,(GJ[Credit]))</f>
        <v>0</v>
      </c>
      <c r="G275" s="627">
        <f>IF(INDEX(AccountCodes[Normal Balance], MATCH(C275,AccountCodes[PPSAS CODE]))="Credit",F275-E275,0)</f>
        <v>0</v>
      </c>
      <c r="H275" s="626">
        <f t="shared" si="4"/>
        <v>0</v>
      </c>
    </row>
    <row r="276" spans="1:8" ht="15.75" hidden="1" x14ac:dyDescent="0.25">
      <c r="A276" s="623" t="str">
        <f t="array" ref="A276">INDEX(AccountCodes[ACCOUNT NAME],MATCH(B276,AccountCodes[NGAS CODE],0))</f>
        <v>Repairs and Maintenance-Machinery and Equipment - Construction and Heavy Equipment</v>
      </c>
      <c r="B276" s="597" t="s">
        <v>258</v>
      </c>
      <c r="C276" s="625">
        <f t="array" ref="C276">INDEX(AccountCodes[PPSAS CODE],MATCH(B276,AccountCodes[NGAS CODE],0))</f>
        <v>5021305008</v>
      </c>
      <c r="D276" s="626">
        <f>IF(INDEX(AccountCodes[Normal Balance], MATCH(C276,AccountCodes[PPSAS CODE]))="Debit",E276-F276,0)</f>
        <v>0</v>
      </c>
      <c r="E276" s="626">
        <f>SUMIF(PostTB[Account Code (Old)],B276,(PostTB[Debit]))+SUMIF(CkDJ[Account Code],B276,(CkDJ[Debit]))+SUMIF(CsDJ[Account Code],B276,(CsDJ[Debit]))+SUMIF(CRDJ[Account Code],B276,(CRDJ[Debit]))+SUMIF(GJ[Account Code],B276,(GJ[Debit]))</f>
        <v>0</v>
      </c>
      <c r="F276" s="627">
        <f>SUMIF(PostTB[Account Code (Old)],B276,(PostTB[Credit]))+SUMIF(CkDJ[Account Code],B276,(CkDJ[Credit]))+SUMIF(CsDJ[Account Code],B276,(CsDJ[Credit]))+SUMIF(CRDJ[Account Code],B276,(CRDJ[Credit]))+SUMIF(GJ[Account Code],B276,(GJ[Credit]))</f>
        <v>0</v>
      </c>
      <c r="G276" s="627">
        <f>IF(INDEX(AccountCodes[Normal Balance], MATCH(C276,AccountCodes[PPSAS CODE]))="Credit",F276-E276,0)</f>
        <v>0</v>
      </c>
      <c r="H276" s="626">
        <f t="shared" si="4"/>
        <v>0</v>
      </c>
    </row>
    <row r="277" spans="1:8" ht="15.75" hidden="1" x14ac:dyDescent="0.25">
      <c r="A277" s="623" t="str">
        <f t="array" ref="A277">INDEX(AccountCodes[ACCOUNT NAME],MATCH(B277,AccountCodes[NGAS CODE],0))</f>
        <v>Repairs and Maintenance-Machinery and Equipment - Disaster Response and Rescue Equipment</v>
      </c>
      <c r="B277" s="597" t="s">
        <v>259</v>
      </c>
      <c r="C277" s="625">
        <f t="array" ref="C277">INDEX(AccountCodes[PPSAS CODE],MATCH(B277,AccountCodes[NGAS CODE],0))</f>
        <v>5021305009</v>
      </c>
      <c r="D277" s="626">
        <f>IF(INDEX(AccountCodes[Normal Balance], MATCH(C277,AccountCodes[PPSAS CODE]))="Debit",E277-F277,0)</f>
        <v>0</v>
      </c>
      <c r="E277" s="626">
        <f>SUMIF(PostTB[Account Code (Old)],B277,(PostTB[Debit]))+SUMIF(CkDJ[Account Code],B277,(CkDJ[Debit]))+SUMIF(CsDJ[Account Code],B277,(CsDJ[Debit]))+SUMIF(CRDJ[Account Code],B277,(CRDJ[Debit]))+SUMIF(GJ[Account Code],B277,(GJ[Debit]))</f>
        <v>0</v>
      </c>
      <c r="F277" s="627">
        <f>SUMIF(PostTB[Account Code (Old)],B277,(PostTB[Credit]))+SUMIF(CkDJ[Account Code],B277,(CkDJ[Credit]))+SUMIF(CsDJ[Account Code],B277,(CsDJ[Credit]))+SUMIF(CRDJ[Account Code],B277,(CRDJ[Credit]))+SUMIF(GJ[Account Code],B277,(GJ[Credit]))</f>
        <v>0</v>
      </c>
      <c r="G277" s="627">
        <f>IF(INDEX(AccountCodes[Normal Balance], MATCH(C277,AccountCodes[PPSAS CODE]))="Credit",F277-E277,0)</f>
        <v>0</v>
      </c>
      <c r="H277" s="626">
        <f t="shared" si="4"/>
        <v>0</v>
      </c>
    </row>
    <row r="278" spans="1:8" ht="15.75" hidden="1" x14ac:dyDescent="0.25">
      <c r="A278" s="623" t="str">
        <f t="array" ref="A278">INDEX(AccountCodes[ACCOUNT NAME],MATCH(B278,AccountCodes[NGAS CODE],0))</f>
        <v>Repairs and Maintenance-Machinery and Equipment - Military, Police and Security Equipment</v>
      </c>
      <c r="B278" s="597" t="s">
        <v>1447</v>
      </c>
      <c r="C278" s="625">
        <f t="array" ref="C278">INDEX(AccountCodes[PPSAS CODE],MATCH(B278,AccountCodes[NGAS CODE],0))</f>
        <v>5021305010</v>
      </c>
      <c r="D278" s="626">
        <f>IF(INDEX(AccountCodes[Normal Balance], MATCH(C278,AccountCodes[PPSAS CODE]))="Debit",E278-F278,0)</f>
        <v>0</v>
      </c>
      <c r="E278" s="626">
        <f>SUMIF(PostTB[Account Code (Old)],B278,(PostTB[Debit]))+SUMIF(CkDJ[Account Code],B278,(CkDJ[Debit]))+SUMIF(CsDJ[Account Code],B278,(CsDJ[Debit]))+SUMIF(CRDJ[Account Code],B278,(CRDJ[Debit]))+SUMIF(GJ[Account Code],B278,(GJ[Debit]))</f>
        <v>0</v>
      </c>
      <c r="F278" s="627">
        <f>SUMIF(PostTB[Account Code (Old)],B278,(PostTB[Credit]))+SUMIF(CkDJ[Account Code],B278,(CkDJ[Credit]))+SUMIF(CsDJ[Account Code],B278,(CsDJ[Credit]))+SUMIF(CRDJ[Account Code],B278,(CRDJ[Credit]))+SUMIF(GJ[Account Code],B278,(GJ[Credit]))</f>
        <v>0</v>
      </c>
      <c r="G278" s="627">
        <f>IF(INDEX(AccountCodes[Normal Balance], MATCH(C278,AccountCodes[PPSAS CODE]))="Credit",F278-E278,0)</f>
        <v>0</v>
      </c>
      <c r="H278" s="626">
        <f t="shared" si="4"/>
        <v>0</v>
      </c>
    </row>
    <row r="279" spans="1:8" ht="15.75" hidden="1" x14ac:dyDescent="0.25">
      <c r="A279" s="623" t="str">
        <f t="array" ref="A279">INDEX(AccountCodes[ACCOUNT NAME],MATCH(B279,AccountCodes[NGAS CODE],0))</f>
        <v>Repairs and Maintenance-Machinery and Equipment - Medical Equipment</v>
      </c>
      <c r="B279" s="597" t="s">
        <v>1448</v>
      </c>
      <c r="C279" s="625">
        <f t="array" ref="C279">INDEX(AccountCodes[PPSAS CODE],MATCH(B279,AccountCodes[NGAS CODE],0))</f>
        <v>5021305011</v>
      </c>
      <c r="D279" s="626">
        <f>IF(INDEX(AccountCodes[Normal Balance], MATCH(C279,AccountCodes[PPSAS CODE]))="Debit",E279-F279,0)</f>
        <v>0</v>
      </c>
      <c r="E279" s="626">
        <f>SUMIF(PostTB[Account Code (Old)],B279,(PostTB[Debit]))+SUMIF(CkDJ[Account Code],B279,(CkDJ[Debit]))+SUMIF(CsDJ[Account Code],B279,(CsDJ[Debit]))+SUMIF(CRDJ[Account Code],B279,(CRDJ[Debit]))+SUMIF(GJ[Account Code],B279,(GJ[Debit]))</f>
        <v>0</v>
      </c>
      <c r="F279" s="627">
        <f>SUMIF(PostTB[Account Code (Old)],B279,(PostTB[Credit]))+SUMIF(CkDJ[Account Code],B279,(CkDJ[Credit]))+SUMIF(CsDJ[Account Code],B279,(CsDJ[Credit]))+SUMIF(CRDJ[Account Code],B279,(CRDJ[Credit]))+SUMIF(GJ[Account Code],B279,(GJ[Credit]))</f>
        <v>0</v>
      </c>
      <c r="G279" s="627">
        <f>IF(INDEX(AccountCodes[Normal Balance], MATCH(C279,AccountCodes[PPSAS CODE]))="Credit",F279-E279,0)</f>
        <v>0</v>
      </c>
      <c r="H279" s="626">
        <f t="shared" si="4"/>
        <v>0</v>
      </c>
    </row>
    <row r="280" spans="1:8" ht="15.75" hidden="1" x14ac:dyDescent="0.25">
      <c r="A280" s="623" t="str">
        <f t="array" ref="A280">INDEX(AccountCodes[ACCOUNT NAME],MATCH(B280,AccountCodes[NGAS CODE],0))</f>
        <v>Repairs and Maintenance-Machinery and Equipment - Printing Equipment</v>
      </c>
      <c r="B280" s="597" t="s">
        <v>1449</v>
      </c>
      <c r="C280" s="625">
        <f t="array" ref="C280">INDEX(AccountCodes[PPSAS CODE],MATCH(B280,AccountCodes[NGAS CODE],0))</f>
        <v>5021305012</v>
      </c>
      <c r="D280" s="626">
        <f>IF(INDEX(AccountCodes[Normal Balance], MATCH(C280,AccountCodes[PPSAS CODE]))="Debit",E280-F280,0)</f>
        <v>0</v>
      </c>
      <c r="E280" s="626">
        <f>SUMIF(PostTB[Account Code (Old)],B280,(PostTB[Debit]))+SUMIF(CkDJ[Account Code],B280,(CkDJ[Debit]))+SUMIF(CsDJ[Account Code],B280,(CsDJ[Debit]))+SUMIF(CRDJ[Account Code],B280,(CRDJ[Debit]))+SUMIF(GJ[Account Code],B280,(GJ[Debit]))</f>
        <v>0</v>
      </c>
      <c r="F280" s="627">
        <f>SUMIF(PostTB[Account Code (Old)],B280,(PostTB[Credit]))+SUMIF(CkDJ[Account Code],B280,(CkDJ[Credit]))+SUMIF(CsDJ[Account Code],B280,(CsDJ[Credit]))+SUMIF(CRDJ[Account Code],B280,(CRDJ[Credit]))+SUMIF(GJ[Account Code],B280,(GJ[Credit]))</f>
        <v>0</v>
      </c>
      <c r="G280" s="627">
        <f>IF(INDEX(AccountCodes[Normal Balance], MATCH(C280,AccountCodes[PPSAS CODE]))="Credit",F280-E280,0)</f>
        <v>0</v>
      </c>
      <c r="H280" s="626">
        <f t="shared" si="4"/>
        <v>0</v>
      </c>
    </row>
    <row r="281" spans="1:8" ht="15.75" hidden="1" x14ac:dyDescent="0.25">
      <c r="A281" s="623" t="str">
        <f t="array" ref="A281">INDEX(AccountCodes[ACCOUNT NAME],MATCH(B281,AccountCodes[NGAS CODE],0))</f>
        <v>Repairs and Maintenance-Machinery and Equipment - Sports Equipment</v>
      </c>
      <c r="B281" s="597" t="s">
        <v>1241</v>
      </c>
      <c r="C281" s="625">
        <f t="array" ref="C281">INDEX(AccountCodes[PPSAS CODE],MATCH(B281,AccountCodes[NGAS CODE],0))</f>
        <v>5021305013</v>
      </c>
      <c r="D281" s="626">
        <f>IF(INDEX(AccountCodes[Normal Balance], MATCH(C281,AccountCodes[PPSAS CODE]))="Debit",E281-F281,0)</f>
        <v>0</v>
      </c>
      <c r="E281" s="626">
        <f>SUMIF(PostTB[Account Code (Old)],B281,(PostTB[Debit]))+SUMIF(CkDJ[Account Code],B281,(CkDJ[Debit]))+SUMIF(CsDJ[Account Code],B281,(CsDJ[Debit]))+SUMIF(CRDJ[Account Code],B281,(CRDJ[Debit]))+SUMIF(GJ[Account Code],B281,(GJ[Debit]))</f>
        <v>0</v>
      </c>
      <c r="F281" s="627">
        <f>SUMIF(PostTB[Account Code (Old)],B281,(PostTB[Credit]))+SUMIF(CkDJ[Account Code],B281,(CkDJ[Credit]))+SUMIF(CsDJ[Account Code],B281,(CsDJ[Credit]))+SUMIF(CRDJ[Account Code],B281,(CRDJ[Credit]))+SUMIF(GJ[Account Code],B281,(GJ[Credit]))</f>
        <v>0</v>
      </c>
      <c r="G281" s="627">
        <f>IF(INDEX(AccountCodes[Normal Balance], MATCH(C281,AccountCodes[PPSAS CODE]))="Credit",F281-E281,0)</f>
        <v>0</v>
      </c>
      <c r="H281" s="626">
        <f t="shared" si="4"/>
        <v>0</v>
      </c>
    </row>
    <row r="282" spans="1:8" ht="15.75" hidden="1" x14ac:dyDescent="0.25">
      <c r="A282" s="623" t="str">
        <f t="array" ref="A282">INDEX(AccountCodes[ACCOUNT NAME],MATCH(B282,AccountCodes[NGAS CODE],0))</f>
        <v>Repairs and Maintenance-Machinery and Equipment - Technical and Scientific Equipment</v>
      </c>
      <c r="B282" s="597" t="s">
        <v>260</v>
      </c>
      <c r="C282" s="625">
        <f t="array" ref="C282">INDEX(AccountCodes[PPSAS CODE],MATCH(B282,AccountCodes[NGAS CODE],0))</f>
        <v>5021305014</v>
      </c>
      <c r="D282" s="626">
        <f>IF(INDEX(AccountCodes[Normal Balance], MATCH(C282,AccountCodes[PPSAS CODE]))="Debit",E282-F282,0)</f>
        <v>0</v>
      </c>
      <c r="E282" s="626">
        <f>SUMIF(PostTB[Account Code (Old)],B282,(PostTB[Debit]))+SUMIF(CkDJ[Account Code],B282,(CkDJ[Debit]))+SUMIF(CsDJ[Account Code],B282,(CsDJ[Debit]))+SUMIF(CRDJ[Account Code],B282,(CRDJ[Debit]))+SUMIF(GJ[Account Code],B282,(GJ[Debit]))</f>
        <v>0</v>
      </c>
      <c r="F282" s="627">
        <f>SUMIF(PostTB[Account Code (Old)],B282,(PostTB[Credit]))+SUMIF(CkDJ[Account Code],B282,(CkDJ[Credit]))+SUMIF(CsDJ[Account Code],B282,(CsDJ[Credit]))+SUMIF(CRDJ[Account Code],B282,(CRDJ[Credit]))+SUMIF(GJ[Account Code],B282,(GJ[Credit]))</f>
        <v>0</v>
      </c>
      <c r="G282" s="627">
        <f>IF(INDEX(AccountCodes[Normal Balance], MATCH(C282,AccountCodes[PPSAS CODE]))="Credit",F282-E282,0)</f>
        <v>0</v>
      </c>
      <c r="H282" s="626">
        <f t="shared" si="4"/>
        <v>0</v>
      </c>
    </row>
    <row r="283" spans="1:8" ht="15.75" hidden="1" x14ac:dyDescent="0.25">
      <c r="A283" s="623" t="str">
        <f t="array" ref="A283">INDEX(AccountCodes[ACCOUNT NAME],MATCH(B283,AccountCodes[NGAS CODE],0))</f>
        <v>Repairs and Maintenance-Machinery and Equipment - Other Machinery and Equipment</v>
      </c>
      <c r="B283" s="597" t="s">
        <v>261</v>
      </c>
      <c r="C283" s="625">
        <f t="array" ref="C283">INDEX(AccountCodes[PPSAS CODE],MATCH(B283,AccountCodes[NGAS CODE],0))</f>
        <v>5021305099</v>
      </c>
      <c r="D283" s="626">
        <f>IF(INDEX(AccountCodes[Normal Balance], MATCH(C283,AccountCodes[PPSAS CODE]))="Debit",E283-F283,0)</f>
        <v>0</v>
      </c>
      <c r="E283" s="626">
        <f>SUMIF(PostTB[Account Code (Old)],B283,(PostTB[Debit]))+SUMIF(CkDJ[Account Code],B283,(CkDJ[Debit]))+SUMIF(CsDJ[Account Code],B283,(CsDJ[Debit]))+SUMIF(CRDJ[Account Code],B283,(CRDJ[Debit]))+SUMIF(GJ[Account Code],B283,(GJ[Debit]))</f>
        <v>0</v>
      </c>
      <c r="F283" s="627">
        <f>SUMIF(PostTB[Account Code (Old)],B283,(PostTB[Credit]))+SUMIF(CkDJ[Account Code],B283,(CkDJ[Credit]))+SUMIF(CsDJ[Account Code],B283,(CsDJ[Credit]))+SUMIF(CRDJ[Account Code],B283,(CRDJ[Credit]))+SUMIF(GJ[Account Code],B283,(GJ[Credit]))</f>
        <v>0</v>
      </c>
      <c r="G283" s="627">
        <f>IF(INDEX(AccountCodes[Normal Balance], MATCH(C283,AccountCodes[PPSAS CODE]))="Credit",F283-E283,0)</f>
        <v>0</v>
      </c>
      <c r="H283" s="626">
        <f t="shared" si="4"/>
        <v>0</v>
      </c>
    </row>
    <row r="284" spans="1:8" ht="15.75" x14ac:dyDescent="0.25">
      <c r="A284" s="623" t="str">
        <f t="array" ref="A284">INDEX(AccountCodes[ACCOUNT NAME],MATCH(B284,AccountCodes[NGAS CODE],0))</f>
        <v>Repairs and Maintenance-Transportation Equipment - Motor Vehicles</v>
      </c>
      <c r="B284" s="597" t="s">
        <v>262</v>
      </c>
      <c r="C284" s="625">
        <f t="array" ref="C284">INDEX(AccountCodes[PPSAS CODE],MATCH(B284,AccountCodes[NGAS CODE],0))</f>
        <v>5021306001</v>
      </c>
      <c r="D284" s="626">
        <f>IF(INDEX(AccountCodes[Normal Balance], MATCH(C284,AccountCodes[PPSAS CODE]))="Debit",E284-F284,0)</f>
        <v>0</v>
      </c>
      <c r="E284" s="626">
        <f>SUMIF(PostTB[Account Code (Old)],B284,(PostTB[Debit]))+SUMIF(CkDJ[Account Code],B284,(CkDJ[Debit]))+SUMIF(CsDJ[Account Code],B284,(CsDJ[Debit]))+SUMIF(CRDJ[Account Code],B284,(CRDJ[Debit]))+SUMIF(GJ[Account Code],B284,(GJ[Debit]))</f>
        <v>0</v>
      </c>
      <c r="F284" s="627">
        <f>SUMIF(PostTB[Account Code (Old)],B284,(PostTB[Credit]))+SUMIF(CkDJ[Account Code],B284,(CkDJ[Credit]))+SUMIF(CsDJ[Account Code],B284,(CsDJ[Credit]))+SUMIF(CRDJ[Account Code],B284,(CRDJ[Credit]))+SUMIF(GJ[Account Code],B284,(GJ[Credit]))</f>
        <v>0</v>
      </c>
      <c r="G284" s="627">
        <f>IF(INDEX(AccountCodes[Normal Balance], MATCH(C284,AccountCodes[PPSAS CODE]))="Credit",F284-E284,0)</f>
        <v>0</v>
      </c>
      <c r="H284" s="626">
        <f t="shared" si="4"/>
        <v>0</v>
      </c>
    </row>
    <row r="285" spans="1:8" ht="15.75" hidden="1" x14ac:dyDescent="0.25">
      <c r="A285" s="623" t="str">
        <f t="array" ref="A285">INDEX(AccountCodes[ACCOUNT NAME],MATCH(B285,AccountCodes[NGAS CODE],0))</f>
        <v>Repairs and Maintenance-Transportation Equipment - Trains</v>
      </c>
      <c r="B285" s="597" t="s">
        <v>1450</v>
      </c>
      <c r="C285" s="625">
        <f t="array" ref="C285">INDEX(AccountCodes[PPSAS CODE],MATCH(B285,AccountCodes[NGAS CODE],0))</f>
        <v>5021306002</v>
      </c>
      <c r="D285" s="626">
        <f>IF(INDEX(AccountCodes[Normal Balance], MATCH(C285,AccountCodes[PPSAS CODE]))="Debit",E285-F285,0)</f>
        <v>0</v>
      </c>
      <c r="E285" s="626">
        <f>SUMIF(PostTB[Account Code (Old)],B285,(PostTB[Debit]))+SUMIF(CkDJ[Account Code],B285,(CkDJ[Debit]))+SUMIF(CsDJ[Account Code],B285,(CsDJ[Debit]))+SUMIF(CRDJ[Account Code],B285,(CRDJ[Debit]))+SUMIF(GJ[Account Code],B285,(GJ[Debit]))</f>
        <v>0</v>
      </c>
      <c r="F285" s="627">
        <f>SUMIF(PostTB[Account Code (Old)],B285,(PostTB[Credit]))+SUMIF(CkDJ[Account Code],B285,(CkDJ[Credit]))+SUMIF(CsDJ[Account Code],B285,(CsDJ[Credit]))+SUMIF(CRDJ[Account Code],B285,(CRDJ[Credit]))+SUMIF(GJ[Account Code],B285,(GJ[Credit]))</f>
        <v>0</v>
      </c>
      <c r="G285" s="627">
        <f>IF(INDEX(AccountCodes[Normal Balance], MATCH(C285,AccountCodes[PPSAS CODE]))="Credit",F285-E285,0)</f>
        <v>0</v>
      </c>
      <c r="H285" s="626">
        <f t="shared" si="4"/>
        <v>0</v>
      </c>
    </row>
    <row r="286" spans="1:8" ht="15.75" hidden="1" x14ac:dyDescent="0.25">
      <c r="A286" s="623" t="str">
        <f t="array" ref="A286">INDEX(AccountCodes[ACCOUNT NAME],MATCH(B286,AccountCodes[NGAS CODE],0))</f>
        <v>Repairs and Maintenance-Transportation Equipment - Aircrafts and Aircrafts Ground Equipment</v>
      </c>
      <c r="B286" s="597" t="s">
        <v>1451</v>
      </c>
      <c r="C286" s="625">
        <f t="array" ref="C286">INDEX(AccountCodes[PPSAS CODE],MATCH(B286,AccountCodes[NGAS CODE],0))</f>
        <v>5021306003</v>
      </c>
      <c r="D286" s="626">
        <f>IF(INDEX(AccountCodes[Normal Balance], MATCH(C286,AccountCodes[PPSAS CODE]))="Debit",E286-F286,0)</f>
        <v>0</v>
      </c>
      <c r="E286" s="626">
        <f>SUMIF(PostTB[Account Code (Old)],B286,(PostTB[Debit]))+SUMIF(CkDJ[Account Code],B286,(CkDJ[Debit]))+SUMIF(CsDJ[Account Code],B286,(CsDJ[Debit]))+SUMIF(CRDJ[Account Code],B286,(CRDJ[Debit]))+SUMIF(GJ[Account Code],B286,(GJ[Debit]))</f>
        <v>0</v>
      </c>
      <c r="F286" s="627">
        <f>SUMIF(PostTB[Account Code (Old)],B286,(PostTB[Credit]))+SUMIF(CkDJ[Account Code],B286,(CkDJ[Credit]))+SUMIF(CsDJ[Account Code],B286,(CsDJ[Credit]))+SUMIF(CRDJ[Account Code],B286,(CRDJ[Credit]))+SUMIF(GJ[Account Code],B286,(GJ[Credit]))</f>
        <v>0</v>
      </c>
      <c r="G286" s="627">
        <f>IF(INDEX(AccountCodes[Normal Balance], MATCH(C286,AccountCodes[PPSAS CODE]))="Credit",F286-E286,0)</f>
        <v>0</v>
      </c>
      <c r="H286" s="626">
        <f t="shared" si="4"/>
        <v>0</v>
      </c>
    </row>
    <row r="287" spans="1:8" ht="15.75" hidden="1" x14ac:dyDescent="0.25">
      <c r="A287" s="623" t="str">
        <f t="array" ref="A287">INDEX(AccountCodes[ACCOUNT NAME],MATCH(B287,AccountCodes[NGAS CODE],0))</f>
        <v>Repairs and Maintenance-Transportation Equipment - Watercrafts</v>
      </c>
      <c r="B287" s="597" t="s">
        <v>263</v>
      </c>
      <c r="C287" s="625">
        <f t="array" ref="C287">INDEX(AccountCodes[PPSAS CODE],MATCH(B287,AccountCodes[NGAS CODE],0))</f>
        <v>5021306004</v>
      </c>
      <c r="D287" s="626">
        <f>IF(INDEX(AccountCodes[Normal Balance], MATCH(C287,AccountCodes[PPSAS CODE]))="Debit",E287-F287,0)</f>
        <v>0</v>
      </c>
      <c r="E287" s="626">
        <f>SUMIF(PostTB[Account Code (Old)],B287,(PostTB[Debit]))+SUMIF(CkDJ[Account Code],B287,(CkDJ[Debit]))+SUMIF(CsDJ[Account Code],B287,(CsDJ[Debit]))+SUMIF(CRDJ[Account Code],B287,(CRDJ[Debit]))+SUMIF(GJ[Account Code],B287,(GJ[Debit]))</f>
        <v>0</v>
      </c>
      <c r="F287" s="627">
        <f>SUMIF(PostTB[Account Code (Old)],B287,(PostTB[Credit]))+SUMIF(CkDJ[Account Code],B287,(CkDJ[Credit]))+SUMIF(CsDJ[Account Code],B287,(CsDJ[Credit]))+SUMIF(CRDJ[Account Code],B287,(CRDJ[Credit]))+SUMIF(GJ[Account Code],B287,(GJ[Credit]))</f>
        <v>0</v>
      </c>
      <c r="G287" s="627">
        <f>IF(INDEX(AccountCodes[Normal Balance], MATCH(C287,AccountCodes[PPSAS CODE]))="Credit",F287-E287,0)</f>
        <v>0</v>
      </c>
      <c r="H287" s="626">
        <f t="shared" si="4"/>
        <v>0</v>
      </c>
    </row>
    <row r="288" spans="1:8" ht="15.75" hidden="1" x14ac:dyDescent="0.25">
      <c r="A288" s="623" t="str">
        <f t="array" ref="A288">INDEX(AccountCodes[ACCOUNT NAME],MATCH(B288,AccountCodes[NGAS CODE],0))</f>
        <v>Repairs and Maintenance-Transportation Equipment - Other Transportation Equipment</v>
      </c>
      <c r="B288" s="597" t="s">
        <v>264</v>
      </c>
      <c r="C288" s="625">
        <f t="array" ref="C288">INDEX(AccountCodes[PPSAS CODE],MATCH(B288,AccountCodes[NGAS CODE],0))</f>
        <v>5021306099</v>
      </c>
      <c r="D288" s="626">
        <f>IF(INDEX(AccountCodes[Normal Balance], MATCH(C288,AccountCodes[PPSAS CODE]))="Debit",E288-F288,0)</f>
        <v>0</v>
      </c>
      <c r="E288" s="626">
        <f>SUMIF(PostTB[Account Code (Old)],B288,(PostTB[Debit]))+SUMIF(CkDJ[Account Code],B288,(CkDJ[Debit]))+SUMIF(CsDJ[Account Code],B288,(CsDJ[Debit]))+SUMIF(CRDJ[Account Code],B288,(CRDJ[Debit]))+SUMIF(GJ[Account Code],B288,(GJ[Debit]))</f>
        <v>0</v>
      </c>
      <c r="F288" s="627">
        <f>SUMIF(PostTB[Account Code (Old)],B288,(PostTB[Credit]))+SUMIF(CkDJ[Account Code],B288,(CkDJ[Credit]))+SUMIF(CsDJ[Account Code],B288,(CsDJ[Credit]))+SUMIF(CRDJ[Account Code],B288,(CRDJ[Credit]))+SUMIF(GJ[Account Code],B288,(GJ[Credit]))</f>
        <v>0</v>
      </c>
      <c r="G288" s="627">
        <f>IF(INDEX(AccountCodes[Normal Balance], MATCH(C288,AccountCodes[PPSAS CODE]))="Credit",F288-E288,0)</f>
        <v>0</v>
      </c>
      <c r="H288" s="626">
        <f t="shared" si="4"/>
        <v>0</v>
      </c>
    </row>
    <row r="289" spans="1:12" ht="15.75" hidden="1" x14ac:dyDescent="0.25">
      <c r="A289" s="623" t="str">
        <f t="array" ref="A289">INDEX(AccountCodes[ACCOUNT NAME],MATCH(B289,AccountCodes[NGAS CODE],0))</f>
        <v>Repairs and Maintenance-Furniture and Fixtures</v>
      </c>
      <c r="B289" s="597" t="s">
        <v>254</v>
      </c>
      <c r="C289" s="625">
        <f t="array" ref="C289">INDEX(AccountCodes[PPSAS CODE],MATCH(B289,AccountCodes[NGAS CODE],0))</f>
        <v>5021307000</v>
      </c>
      <c r="D289" s="626">
        <f>IF(INDEX(AccountCodes[Normal Balance], MATCH(C289,AccountCodes[PPSAS CODE]))="Debit",E289-F289,0)</f>
        <v>0</v>
      </c>
      <c r="E289" s="626">
        <f>SUMIF(PostTB[Account Code (Old)],B289,(PostTB[Debit]))+SUMIF(CkDJ[Account Code],B289,(CkDJ[Debit]))+SUMIF(CsDJ[Account Code],B289,(CsDJ[Debit]))+SUMIF(CRDJ[Account Code],B289,(CRDJ[Debit]))+SUMIF(GJ[Account Code],B289,(GJ[Debit]))</f>
        <v>0</v>
      </c>
      <c r="F289" s="627">
        <f>SUMIF(PostTB[Account Code (Old)],B289,(PostTB[Credit]))+SUMIF(CkDJ[Account Code],B289,(CkDJ[Credit]))+SUMIF(CsDJ[Account Code],B289,(CsDJ[Credit]))+SUMIF(CRDJ[Account Code],B289,(CRDJ[Credit]))+SUMIF(GJ[Account Code],B289,(GJ[Credit]))</f>
        <v>0</v>
      </c>
      <c r="G289" s="627">
        <f>IF(INDEX(AccountCodes[Normal Balance], MATCH(C289,AccountCodes[PPSAS CODE]))="Credit",F289-E289,0)</f>
        <v>0</v>
      </c>
      <c r="H289" s="626">
        <f t="shared" si="4"/>
        <v>0</v>
      </c>
    </row>
    <row r="290" spans="1:12" ht="15.75" hidden="1" x14ac:dyDescent="0.25">
      <c r="A290" s="623" t="str">
        <f t="array" ref="A290">INDEX(AccountCodes[ACCOUNT NAME],MATCH(B290,AccountCodes[NGAS CODE],0))</f>
        <v>Repairs and Maintenance-Other Property, Plant and Equipment - Other Property, Plant and Equipment</v>
      </c>
      <c r="B290" s="597" t="s">
        <v>265</v>
      </c>
      <c r="C290" s="625">
        <f t="array" ref="C290">INDEX(AccountCodes[PPSAS CODE],MATCH(B290,AccountCodes[NGAS CODE],0))</f>
        <v>5021399099</v>
      </c>
      <c r="D290" s="626">
        <f>IF(INDEX(AccountCodes[Normal Balance], MATCH(C290,AccountCodes[PPSAS CODE]))="Debit",E290-F290,0)</f>
        <v>0</v>
      </c>
      <c r="E290" s="626">
        <f>SUMIF(PostTB[Account Code (Old)],B290,(PostTB[Debit]))+SUMIF(CkDJ[Account Code],B290,(CkDJ[Debit]))+SUMIF(CsDJ[Account Code],B290,(CsDJ[Debit]))+SUMIF(CRDJ[Account Code],B290,(CRDJ[Debit]))+SUMIF(GJ[Account Code],B290,(GJ[Debit]))</f>
        <v>0</v>
      </c>
      <c r="F290" s="627">
        <f>SUMIF(PostTB[Account Code (Old)],B290,(PostTB[Credit]))+SUMIF(CkDJ[Account Code],B290,(CkDJ[Credit]))+SUMIF(CsDJ[Account Code],B290,(CsDJ[Credit]))+SUMIF(CRDJ[Account Code],B290,(CRDJ[Credit]))+SUMIF(GJ[Account Code],B290,(GJ[Credit]))</f>
        <v>0</v>
      </c>
      <c r="G290" s="627">
        <f>IF(INDEX(AccountCodes[Normal Balance], MATCH(C290,AccountCodes[PPSAS CODE]))="Credit",F290-E290,0)</f>
        <v>0</v>
      </c>
      <c r="H290" s="626">
        <f t="shared" si="4"/>
        <v>0</v>
      </c>
    </row>
    <row r="291" spans="1:12" ht="15.75" hidden="1" x14ac:dyDescent="0.25">
      <c r="A291" s="623" t="str">
        <f t="array" ref="A291">INDEX(AccountCodes[ACCOUNT NAME],MATCH(B291,AccountCodes[NGAS CODE],0))</f>
        <v>Subsidy to Regional Offices/Staff Bureaus</v>
      </c>
      <c r="B291" s="597" t="s">
        <v>268</v>
      </c>
      <c r="C291" s="625">
        <f t="array" ref="C291">INDEX(AccountCodes[PPSAS CODE],MATCH(B291,AccountCodes[NGAS CODE],0))</f>
        <v>5021407000</v>
      </c>
      <c r="D291" s="626">
        <f>IF(INDEX(AccountCodes[Normal Balance], MATCH(C291,AccountCodes[PPSAS CODE]))="Debit",E291-F291,0)</f>
        <v>0</v>
      </c>
      <c r="E291" s="626">
        <f>SUMIF(PostTB[Account Code (Old)],B291,(PostTB[Debit]))+SUMIF(CkDJ[Account Code],B291,(CkDJ[Debit]))+SUMIF(CsDJ[Account Code],B291,(CsDJ[Debit]))+SUMIF(CRDJ[Account Code],B291,(CRDJ[Debit]))+SUMIF(GJ[Account Code],B291,(GJ[Debit]))</f>
        <v>0</v>
      </c>
      <c r="F291" s="627">
        <f>SUMIF(PostTB[Account Code (Old)],B291,(PostTB[Credit]))+SUMIF(CkDJ[Account Code],B291,(CkDJ[Credit]))+SUMIF(CsDJ[Account Code],B291,(CsDJ[Credit]))+SUMIF(CRDJ[Account Code],B291,(CRDJ[Credit]))+SUMIF(GJ[Account Code],B291,(GJ[Credit]))</f>
        <v>0</v>
      </c>
      <c r="G291" s="627">
        <f>IF(INDEX(AccountCodes[Normal Balance], MATCH(C291,AccountCodes[PPSAS CODE]))="Credit",F291-E291,0)</f>
        <v>0</v>
      </c>
      <c r="H291" s="626">
        <f t="shared" si="4"/>
        <v>0</v>
      </c>
    </row>
    <row r="292" spans="1:12" ht="15.75" hidden="1" x14ac:dyDescent="0.25">
      <c r="A292" s="623" t="str">
        <f t="array" ref="A292">INDEX(AccountCodes[ACCOUNT NAME],MATCH(B292,AccountCodes[NGAS CODE],0))</f>
        <v>Taxes, Duties and Licenses</v>
      </c>
      <c r="B292" s="597" t="s">
        <v>272</v>
      </c>
      <c r="C292" s="625">
        <f t="array" ref="C292">INDEX(AccountCodes[PPSAS CODE],MATCH(B292,AccountCodes[NGAS CODE],0))</f>
        <v>5021501000</v>
      </c>
      <c r="D292" s="626">
        <f>IF(INDEX(AccountCodes[Normal Balance], MATCH(C292,AccountCodes[PPSAS CODE]))="Debit",E292-F292,0)</f>
        <v>0</v>
      </c>
      <c r="E292" s="626">
        <f>SUMIF(PostTB[Account Code (Old)],B292,(PostTB[Debit]))+SUMIF(CkDJ[Account Code],B292,(CkDJ[Debit]))+SUMIF(CsDJ[Account Code],B292,(CsDJ[Debit]))+SUMIF(CRDJ[Account Code],B292,(CRDJ[Debit]))+SUMIF(GJ[Account Code],B292,(GJ[Debit]))</f>
        <v>0</v>
      </c>
      <c r="F292" s="627">
        <f>SUMIF(PostTB[Account Code (Old)],B292,(PostTB[Credit]))+SUMIF(CkDJ[Account Code],B292,(CkDJ[Credit]))+SUMIF(CsDJ[Account Code],B292,(CsDJ[Credit]))+SUMIF(CRDJ[Account Code],B292,(CRDJ[Credit]))+SUMIF(GJ[Account Code],B292,(GJ[Credit]))</f>
        <v>0</v>
      </c>
      <c r="G292" s="627">
        <f>IF(INDEX(AccountCodes[Normal Balance], MATCH(C292,AccountCodes[PPSAS CODE]))="Credit",F292-E292,0)</f>
        <v>0</v>
      </c>
      <c r="H292" s="626">
        <f t="shared" si="4"/>
        <v>0</v>
      </c>
    </row>
    <row r="293" spans="1:12" ht="15.75" x14ac:dyDescent="0.25">
      <c r="A293" s="623" t="str">
        <f t="array" ref="A293">INDEX(AccountCodes[ACCOUNT NAME],MATCH(B293,AccountCodes[NGAS CODE],0))</f>
        <v>Fidelity Bond Premiums</v>
      </c>
      <c r="B293" s="597" t="s">
        <v>273</v>
      </c>
      <c r="C293" s="625">
        <f t="array" ref="C293">INDEX(AccountCodes[PPSAS CODE],MATCH(B293,AccountCodes[NGAS CODE],0))</f>
        <v>5021502000</v>
      </c>
      <c r="D293" s="626">
        <f>IF(INDEX(AccountCodes[Normal Balance], MATCH(C293,AccountCodes[PPSAS CODE]))="Debit",E293-F293,0)</f>
        <v>0</v>
      </c>
      <c r="E293" s="626">
        <f>SUMIF(PostTB[Account Code (Old)],B293,(PostTB[Debit]))+SUMIF(CkDJ[Account Code],B293,(CkDJ[Debit]))+SUMIF(CsDJ[Account Code],B293,(CsDJ[Debit]))+SUMIF(CRDJ[Account Code],B293,(CRDJ[Debit]))+SUMIF(GJ[Account Code],B293,(GJ[Debit]))</f>
        <v>0</v>
      </c>
      <c r="F293" s="627">
        <f>SUMIF(PostTB[Account Code (Old)],B293,(PostTB[Credit]))+SUMIF(CkDJ[Account Code],B293,(CkDJ[Credit]))+SUMIF(CsDJ[Account Code],B293,(CsDJ[Credit]))+SUMIF(CRDJ[Account Code],B293,(CRDJ[Credit]))+SUMIF(GJ[Account Code],B293,(GJ[Credit]))</f>
        <v>0</v>
      </c>
      <c r="G293" s="627">
        <f>IF(INDEX(AccountCodes[Normal Balance], MATCH(C293,AccountCodes[PPSAS CODE]))="Credit",F293-E293,0)</f>
        <v>0</v>
      </c>
      <c r="H293" s="626">
        <f t="shared" si="4"/>
        <v>0</v>
      </c>
    </row>
    <row r="294" spans="1:12" ht="15.75" x14ac:dyDescent="0.25">
      <c r="A294" s="623" t="str">
        <f t="array" ref="A294">INDEX(AccountCodes[ACCOUNT NAME],MATCH(B294,AccountCodes[NGAS CODE],0))</f>
        <v>Insurance Expenses</v>
      </c>
      <c r="B294" s="597" t="s">
        <v>274</v>
      </c>
      <c r="C294" s="625">
        <f t="array" ref="C294">INDEX(AccountCodes[PPSAS CODE],MATCH(B294,AccountCodes[NGAS CODE],0))</f>
        <v>5021503000</v>
      </c>
      <c r="D294" s="626">
        <f>IF(INDEX(AccountCodes[Normal Balance], MATCH(C294,AccountCodes[PPSAS CODE]))="Debit",E294-F294,0)</f>
        <v>0</v>
      </c>
      <c r="E294" s="626">
        <f>SUMIF(PostTB[Account Code (Old)],B294,(PostTB[Debit]))+SUMIF(CkDJ[Account Code],B294,(CkDJ[Debit]))+SUMIF(CsDJ[Account Code],B294,(CsDJ[Debit]))+SUMIF(CRDJ[Account Code],B294,(CRDJ[Debit]))+SUMIF(GJ[Account Code],B294,(GJ[Debit]))</f>
        <v>0</v>
      </c>
      <c r="F294" s="627">
        <f>SUMIF(PostTB[Account Code (Old)],B294,(PostTB[Credit]))+SUMIF(CkDJ[Account Code],B294,(CkDJ[Credit]))+SUMIF(CsDJ[Account Code],B294,(CsDJ[Credit]))+SUMIF(CRDJ[Account Code],B294,(CRDJ[Credit]))+SUMIF(GJ[Account Code],B294,(GJ[Credit]))</f>
        <v>0</v>
      </c>
      <c r="G294" s="627">
        <f>IF(INDEX(AccountCodes[Normal Balance], MATCH(C294,AccountCodes[PPSAS CODE]))="Credit",F294-E294,0)</f>
        <v>0</v>
      </c>
      <c r="H294" s="626">
        <f t="shared" si="4"/>
        <v>0</v>
      </c>
    </row>
    <row r="295" spans="1:12" ht="15.75" hidden="1" x14ac:dyDescent="0.25">
      <c r="A295" s="623" t="str">
        <f t="array" ref="A295">INDEX(AccountCodes[ACCOUNT NAME],MATCH(B295,AccountCodes[NGAS CODE],0))</f>
        <v>Advertising Expenses</v>
      </c>
      <c r="B295" s="597" t="s">
        <v>240</v>
      </c>
      <c r="C295" s="625">
        <f t="array" ref="C295">INDEX(AccountCodes[PPSAS CODE],MATCH(B295,AccountCodes[NGAS CODE],0))</f>
        <v>5029901000</v>
      </c>
      <c r="D295" s="626">
        <f>IF(INDEX(AccountCodes[Normal Balance], MATCH(C295,AccountCodes[PPSAS CODE]))="Debit",E295-F295,0)</f>
        <v>0</v>
      </c>
      <c r="E295" s="626">
        <f>SUMIF(PostTB[Account Code (Old)],B295,(PostTB[Debit]))+SUMIF(CkDJ[Account Code],B295,(CkDJ[Debit]))+SUMIF(CsDJ[Account Code],B295,(CsDJ[Debit]))+SUMIF(CRDJ[Account Code],B295,(CRDJ[Debit]))+SUMIF(GJ[Account Code],B295,(GJ[Debit]))</f>
        <v>0</v>
      </c>
      <c r="F295" s="627">
        <f>SUMIF(PostTB[Account Code (Old)],B295,(PostTB[Credit]))+SUMIF(CkDJ[Account Code],B295,(CkDJ[Credit]))+SUMIF(CsDJ[Account Code],B295,(CsDJ[Credit]))+SUMIF(CRDJ[Account Code],B295,(CRDJ[Credit]))+SUMIF(GJ[Account Code],B295,(GJ[Credit]))</f>
        <v>0</v>
      </c>
      <c r="G295" s="627">
        <f>IF(INDEX(AccountCodes[Normal Balance], MATCH(C295,AccountCodes[PPSAS CODE]))="Credit",F295-E295,0)</f>
        <v>0</v>
      </c>
      <c r="H295" s="626">
        <f t="shared" si="4"/>
        <v>0</v>
      </c>
    </row>
    <row r="296" spans="1:12" ht="15.75" hidden="1" x14ac:dyDescent="0.25">
      <c r="A296" s="623" t="str">
        <f t="array" ref="A296">INDEX(AccountCodes[ACCOUNT NAME],MATCH(B296,AccountCodes[NGAS CODE],0))</f>
        <v>Printing and Publication Expenses</v>
      </c>
      <c r="B296" s="597" t="s">
        <v>241</v>
      </c>
      <c r="C296" s="625">
        <f t="array" ref="C296">INDEX(AccountCodes[PPSAS CODE],MATCH(B296,AccountCodes[NGAS CODE],0))</f>
        <v>5029902000</v>
      </c>
      <c r="D296" s="626">
        <f>IF(INDEX(AccountCodes[Normal Balance], MATCH(C296,AccountCodes[PPSAS CODE]))="Debit",E296-F296,0)</f>
        <v>0</v>
      </c>
      <c r="E296" s="626">
        <f>SUMIF(PostTB[Account Code (Old)],B296,(PostTB[Debit]))+SUMIF(CkDJ[Account Code],B296,(CkDJ[Debit]))+SUMIF(CsDJ[Account Code],B296,(CsDJ[Debit]))+SUMIF(CRDJ[Account Code],B296,(CRDJ[Debit]))+SUMIF(GJ[Account Code],B296,(GJ[Debit]))</f>
        <v>0</v>
      </c>
      <c r="F296" s="627">
        <f>SUMIF(PostTB[Account Code (Old)],B296,(PostTB[Credit]))+SUMIF(CkDJ[Account Code],B296,(CkDJ[Credit]))+SUMIF(CsDJ[Account Code],B296,(CsDJ[Credit]))+SUMIF(CRDJ[Account Code],B296,(CRDJ[Credit]))+SUMIF(GJ[Account Code],B296,(GJ[Credit]))</f>
        <v>0</v>
      </c>
      <c r="G296" s="627">
        <f>IF(INDEX(AccountCodes[Normal Balance], MATCH(C296,AccountCodes[PPSAS CODE]))="Credit",F296-E296,0)</f>
        <v>0</v>
      </c>
      <c r="H296" s="626">
        <f t="shared" si="4"/>
        <v>0</v>
      </c>
    </row>
    <row r="297" spans="1:12" ht="15.75" x14ac:dyDescent="0.25">
      <c r="A297" s="623" t="str">
        <f t="array" ref="A297">INDEX(AccountCodes[ACCOUNT NAME],MATCH(B297,AccountCodes[NGAS CODE],0))</f>
        <v>Representation Expenses</v>
      </c>
      <c r="B297" s="597" t="s">
        <v>243</v>
      </c>
      <c r="C297" s="625">
        <f t="array" ref="C297">INDEX(AccountCodes[PPSAS CODE],MATCH(B297,AccountCodes[NGAS CODE],0))</f>
        <v>5029903000</v>
      </c>
      <c r="D297" s="626">
        <f>IF(INDEX(AccountCodes[Normal Balance], MATCH(C297,AccountCodes[PPSAS CODE]))="Debit",E297-F297,0)</f>
        <v>0</v>
      </c>
      <c r="E297" s="626">
        <f>SUMIF(PostTB[Account Code (Old)],B297,(PostTB[Debit]))+SUMIF(CkDJ[Account Code],B297,(CkDJ[Debit]))+SUMIF(CsDJ[Account Code],B297,(CsDJ[Debit]))+SUMIF(CRDJ[Account Code],B297,(CRDJ[Debit]))+SUMIF(GJ[Account Code],B297,(GJ[Debit]))</f>
        <v>0</v>
      </c>
      <c r="F297" s="627">
        <f>SUMIF(PostTB[Account Code (Old)],B297,(PostTB[Credit]))+SUMIF(CkDJ[Account Code],B297,(CkDJ[Credit]))+SUMIF(CsDJ[Account Code],B297,(CsDJ[Credit]))+SUMIF(CRDJ[Account Code],B297,(CRDJ[Credit]))+SUMIF(GJ[Account Code],B297,(GJ[Credit]))</f>
        <v>0</v>
      </c>
      <c r="G297" s="627">
        <f>IF(INDEX(AccountCodes[Normal Balance], MATCH(C297,AccountCodes[PPSAS CODE]))="Credit",F297-E297,0)</f>
        <v>0</v>
      </c>
      <c r="H297" s="626">
        <f t="shared" si="4"/>
        <v>0</v>
      </c>
    </row>
    <row r="298" spans="1:12" ht="15.75" hidden="1" x14ac:dyDescent="0.25">
      <c r="A298" s="623" t="str">
        <f t="array" ref="A298">INDEX(AccountCodes[ACCOUNT NAME],MATCH(B298,AccountCodes[NGAS CODE],0))</f>
        <v>Transportation and Delivery Expenses</v>
      </c>
      <c r="B298" s="597" t="s">
        <v>244</v>
      </c>
      <c r="C298" s="625">
        <f t="array" ref="C298">INDEX(AccountCodes[PPSAS CODE],MATCH(B298,AccountCodes[NGAS CODE],0))</f>
        <v>5029904000</v>
      </c>
      <c r="D298" s="626">
        <f>IF(INDEX(AccountCodes[Normal Balance], MATCH(C298,AccountCodes[PPSAS CODE]))="Debit",E298-F298,0)</f>
        <v>0</v>
      </c>
      <c r="E298" s="626">
        <f>SUMIF(PostTB[Account Code (Old)],B298,(PostTB[Debit]))+SUMIF(CkDJ[Account Code],B298,(CkDJ[Debit]))+SUMIF(CsDJ[Account Code],B298,(CsDJ[Debit]))+SUMIF(CRDJ[Account Code],B298,(CRDJ[Debit]))+SUMIF(GJ[Account Code],B298,(GJ[Debit]))</f>
        <v>0</v>
      </c>
      <c r="F298" s="627">
        <f>SUMIF(PostTB[Account Code (Old)],B298,(PostTB[Credit]))+SUMIF(CkDJ[Account Code],B298,(CkDJ[Credit]))+SUMIF(CsDJ[Account Code],B298,(CsDJ[Credit]))+SUMIF(CRDJ[Account Code],B298,(CRDJ[Credit]))+SUMIF(GJ[Account Code],B298,(GJ[Credit]))</f>
        <v>0</v>
      </c>
      <c r="G298" s="627">
        <f>IF(INDEX(AccountCodes[Normal Balance], MATCH(C298,AccountCodes[PPSAS CODE]))="Credit",F298-E298,0)</f>
        <v>0</v>
      </c>
      <c r="H298" s="626">
        <f t="shared" si="4"/>
        <v>0</v>
      </c>
    </row>
    <row r="299" spans="1:12" ht="15.75" hidden="1" x14ac:dyDescent="0.25">
      <c r="A299" s="623" t="str">
        <f t="array" ref="A299">INDEX(AccountCodes[ACCOUNT NAME],MATCH(B299,AccountCodes[NGAS CODE],0))</f>
        <v>Rent/Lease Expenses</v>
      </c>
      <c r="B299" s="597" t="s">
        <v>242</v>
      </c>
      <c r="C299" s="625">
        <f t="array" ref="C299">INDEX(AccountCodes[PPSAS CODE],MATCH(B299,AccountCodes[NGAS CODE],0))</f>
        <v>5029905000</v>
      </c>
      <c r="D299" s="626">
        <f>IF(INDEX(AccountCodes[Normal Balance], MATCH(C299,AccountCodes[PPSAS CODE]))="Debit",E299-F299,0)</f>
        <v>0</v>
      </c>
      <c r="E299" s="626">
        <f>SUMIF(PostTB[Account Code (Old)],B299,(PostTB[Debit]))+SUMIF(CkDJ[Account Code],B299,(CkDJ[Debit]))+SUMIF(CsDJ[Account Code],B299,(CsDJ[Debit]))+SUMIF(CRDJ[Account Code],B299,(CRDJ[Debit]))+SUMIF(GJ[Account Code],B299,(GJ[Debit]))</f>
        <v>0</v>
      </c>
      <c r="F299" s="627">
        <f>SUMIF(PostTB[Account Code (Old)],B299,(PostTB[Credit]))+SUMIF(CkDJ[Account Code],B299,(CkDJ[Credit]))+SUMIF(CsDJ[Account Code],B299,(CsDJ[Credit]))+SUMIF(CRDJ[Account Code],B299,(CRDJ[Credit]))+SUMIF(GJ[Account Code],B299,(GJ[Credit]))</f>
        <v>0</v>
      </c>
      <c r="G299" s="627">
        <f>IF(INDEX(AccountCodes[Normal Balance], MATCH(C299,AccountCodes[PPSAS CODE]))="Credit",F299-E299,0)</f>
        <v>0</v>
      </c>
      <c r="H299" s="626">
        <f t="shared" si="4"/>
        <v>0</v>
      </c>
    </row>
    <row r="300" spans="1:12" ht="15.75" hidden="1" x14ac:dyDescent="0.25">
      <c r="A300" s="623" t="str">
        <f t="array" ref="A300">INDEX(AccountCodes[ACCOUNT NAME],MATCH(B300,AccountCodes[NGAS CODE],0))</f>
        <v>Membership Dues and Contributions to Organizations</v>
      </c>
      <c r="B300" s="597" t="s">
        <v>239</v>
      </c>
      <c r="C300" s="625">
        <f t="array" ref="C300">INDEX(AccountCodes[PPSAS CODE],MATCH(B300,AccountCodes[NGAS CODE],0))</f>
        <v>5029906000</v>
      </c>
      <c r="D300" s="626">
        <f>IF(INDEX(AccountCodes[Normal Balance], MATCH(C300,AccountCodes[PPSAS CODE]))="Debit",E300-F300,0)</f>
        <v>0</v>
      </c>
      <c r="E300" s="626">
        <f>SUMIF(PostTB[Account Code (Old)],B300,(PostTB[Debit]))+SUMIF(CkDJ[Account Code],B300,(CkDJ[Debit]))+SUMIF(CsDJ[Account Code],B300,(CsDJ[Debit]))+SUMIF(CRDJ[Account Code],B300,(CRDJ[Debit]))+SUMIF(GJ[Account Code],B300,(GJ[Debit]))</f>
        <v>0</v>
      </c>
      <c r="F300" s="627">
        <f>SUMIF(PostTB[Account Code (Old)],B300,(PostTB[Credit]))+SUMIF(CkDJ[Account Code],B300,(CkDJ[Credit]))+SUMIF(CsDJ[Account Code],B300,(CsDJ[Credit]))+SUMIF(CRDJ[Account Code],B300,(CRDJ[Credit]))+SUMIF(GJ[Account Code],B300,(GJ[Credit]))</f>
        <v>0</v>
      </c>
      <c r="G300" s="627">
        <f>IF(INDEX(AccountCodes[Normal Balance], MATCH(C300,AccountCodes[PPSAS CODE]))="Credit",F300-E300,0)</f>
        <v>0</v>
      </c>
      <c r="H300" s="626">
        <f t="shared" si="4"/>
        <v>0</v>
      </c>
    </row>
    <row r="301" spans="1:12" ht="15.75" hidden="1" x14ac:dyDescent="0.25">
      <c r="A301" s="623" t="str">
        <f t="array" ref="A301">INDEX(AccountCodes[ACCOUNT NAME],MATCH(B301,AccountCodes[NGAS CODE],0))</f>
        <v>Subscription Expenses</v>
      </c>
      <c r="B301" s="597" t="s">
        <v>339</v>
      </c>
      <c r="C301" s="625">
        <f t="array" ref="C301">INDEX(AccountCodes[PPSAS CODE],MATCH(B301,AccountCodes[NGAS CODE],0))</f>
        <v>5029907000</v>
      </c>
      <c r="D301" s="626">
        <f>IF(INDEX(AccountCodes[Normal Balance], MATCH(C301,AccountCodes[PPSAS CODE]))="Debit",E301-F301,0)</f>
        <v>0</v>
      </c>
      <c r="E301" s="626">
        <f>SUMIF(PostTB[Account Code (Old)],B301,(PostTB[Debit]))+SUMIF(CkDJ[Account Code],B301,(CkDJ[Debit]))+SUMIF(CsDJ[Account Code],B301,(CsDJ[Debit]))+SUMIF(CRDJ[Account Code],B301,(CRDJ[Debit]))+SUMIF(GJ[Account Code],B301,(GJ[Debit]))</f>
        <v>0</v>
      </c>
      <c r="F301" s="627">
        <f>SUMIF(PostTB[Account Code (Old)],B301,(PostTB[Credit]))+SUMIF(CkDJ[Account Code],B301,(CkDJ[Credit]))+SUMIF(CsDJ[Account Code],B301,(CsDJ[Credit]))+SUMIF(CRDJ[Account Code],B301,(CRDJ[Credit]))+SUMIF(GJ[Account Code],B301,(GJ[Credit]))</f>
        <v>0</v>
      </c>
      <c r="G301" s="627">
        <f>IF(INDEX(AccountCodes[Normal Balance], MATCH(C301,AccountCodes[PPSAS CODE]))="Credit",F301-E301,0)</f>
        <v>0</v>
      </c>
      <c r="H301" s="626">
        <f t="shared" si="4"/>
        <v>0</v>
      </c>
    </row>
    <row r="302" spans="1:12" ht="15.75" x14ac:dyDescent="0.25">
      <c r="A302" s="623" t="str">
        <f t="array" ref="A302">INDEX(AccountCodes[ACCOUNT NAME],MATCH(B302,AccountCodes[NGAS CODE],0))</f>
        <v>Donations</v>
      </c>
      <c r="B302" s="597" t="s">
        <v>269</v>
      </c>
      <c r="C302" s="625">
        <f t="array" ref="C302">INDEX(AccountCodes[PPSAS CODE],MATCH(B302,AccountCodes[NGAS CODE],0))</f>
        <v>5029908000</v>
      </c>
      <c r="D302" s="626">
        <f>IF(INDEX(AccountCodes[Normal Balance], MATCH(C302,AccountCodes[PPSAS CODE]))="Debit",E302-F302,0)</f>
        <v>0</v>
      </c>
      <c r="E302" s="626">
        <f>SUMIF(PostTB[Account Code (Old)],B302,(PostTB[Debit]))+SUMIF(CkDJ[Account Code],B302,(CkDJ[Debit]))+SUMIF(CsDJ[Account Code],B302,(CsDJ[Debit]))+SUMIF(CRDJ[Account Code],B302,(CRDJ[Debit]))+SUMIF(GJ[Account Code],B302,(GJ[Debit]))</f>
        <v>0</v>
      </c>
      <c r="F302" s="627">
        <f>SUMIF(PostTB[Account Code (Old)],B302,(PostTB[Credit]))+SUMIF(CkDJ[Account Code],B302,(CkDJ[Credit]))+SUMIF(CsDJ[Account Code],B302,(CsDJ[Credit]))+SUMIF(CRDJ[Account Code],B302,(CRDJ[Credit]))+SUMIF(GJ[Account Code],B302,(GJ[Credit]))</f>
        <v>0</v>
      </c>
      <c r="G302" s="627">
        <f>IF(INDEX(AccountCodes[Normal Balance], MATCH(C302,AccountCodes[PPSAS CODE]))="Credit",F302-E302,0)</f>
        <v>0</v>
      </c>
      <c r="H302" s="626">
        <f t="shared" si="4"/>
        <v>0</v>
      </c>
    </row>
    <row r="303" spans="1:12" ht="15.75" hidden="1" x14ac:dyDescent="0.25">
      <c r="A303" s="623" t="str">
        <f t="array" ref="A303">INDEX(AccountCodes[ACCOUNT NAME],MATCH(B303,AccountCodes[NGAS CODE],0))</f>
        <v>Other Maintenance and Operating Expenses</v>
      </c>
      <c r="B303" s="597" t="s">
        <v>408</v>
      </c>
      <c r="C303" s="625">
        <f t="array" ref="C303">INDEX(AccountCodes[PPSAS CODE],MATCH(B303,AccountCodes[NGAS CODE],0))</f>
        <v>5029999000</v>
      </c>
      <c r="D303" s="626">
        <f>IF(INDEX(AccountCodes[Normal Balance], MATCH(C303,AccountCodes[PPSAS CODE]))="Debit",E303-F303,0)</f>
        <v>0</v>
      </c>
      <c r="E303" s="626">
        <f>SUMIF(PostTB[Account Code (Old)],B303,(PostTB[Debit]))+SUMIF(CkDJ[Account Code],B303,(CkDJ[Debit]))+SUMIF(CsDJ[Account Code],B303,(CsDJ[Debit]))+SUMIF(CRDJ[Account Code],B303,(CRDJ[Debit]))+SUMIF(GJ[Account Code],B303,(GJ[Debit]))</f>
        <v>0</v>
      </c>
      <c r="F303" s="627">
        <f>SUMIF(PostTB[Account Code (Old)],B303,(PostTB[Credit]))+SUMIF(CkDJ[Account Code],B303,(CkDJ[Credit]))+SUMIF(CsDJ[Account Code],B303,(CsDJ[Credit]))+SUMIF(CRDJ[Account Code],B303,(CRDJ[Credit]))+SUMIF(GJ[Account Code],B303,(GJ[Credit]))</f>
        <v>0</v>
      </c>
      <c r="G303" s="627">
        <f>IF(INDEX(AccountCodes[Normal Balance], MATCH(C303,AccountCodes[PPSAS CODE]))="Credit",F303-E303,0)</f>
        <v>0</v>
      </c>
      <c r="H303" s="626">
        <f t="shared" si="4"/>
        <v>0</v>
      </c>
    </row>
    <row r="304" spans="1:12" ht="15.75" hidden="1" x14ac:dyDescent="0.25">
      <c r="A304" s="623" t="str">
        <f t="array" ref="A304">INDEX(AccountCodes[ACCOUNT NAME],MATCH(B304,AccountCodes[NGAS CODE],0))</f>
        <v>Other Maintenance and Operating Expenses - Other Maintenance and Operating Expenses</v>
      </c>
      <c r="B304" s="597" t="s">
        <v>271</v>
      </c>
      <c r="C304" s="625">
        <f t="array" ref="C304">INDEX(AccountCodes[PPSAS CODE],MATCH(B304,AccountCodes[NGAS CODE],0))</f>
        <v>5029999002</v>
      </c>
      <c r="D304" s="626">
        <f>IF(INDEX(AccountCodes[Normal Balance], MATCH(C304,AccountCodes[PPSAS CODE]))="Debit",E304-F304,0)</f>
        <v>0</v>
      </c>
      <c r="E304" s="626">
        <f>SUMIF(PostTB[Account Code (Old)],B304,(PostTB[Debit]))+SUMIF(CkDJ[Account Code],B304,(CkDJ[Debit]))+SUMIF(CsDJ[Account Code],B304,(CsDJ[Debit]))+SUMIF(CRDJ[Account Code],B304,(CRDJ[Debit]))+SUMIF(GJ[Account Code],B304,(GJ[Debit]))</f>
        <v>0</v>
      </c>
      <c r="F304" s="627">
        <f>SUMIF(PostTB[Account Code (Old)],B304,(PostTB[Credit]))+SUMIF(CkDJ[Account Code],B304,(CkDJ[Credit]))+SUMIF(CsDJ[Account Code],B304,(CsDJ[Credit]))+SUMIF(CRDJ[Account Code],B304,(CRDJ[Credit]))+SUMIF(GJ[Account Code],B304,(GJ[Credit]))</f>
        <v>0</v>
      </c>
      <c r="G304" s="627">
        <f>IF(INDEX(AccountCodes[Normal Balance], MATCH(C304,AccountCodes[PPSAS CODE]))="Credit",F304-E304,0)</f>
        <v>0</v>
      </c>
      <c r="H304" s="626">
        <f t="shared" si="4"/>
        <v>0</v>
      </c>
      <c r="K304" s="162"/>
      <c r="L304" s="162">
        <f>G196</f>
        <v>0</v>
      </c>
    </row>
    <row r="305" spans="1:12" ht="15.75" x14ac:dyDescent="0.25">
      <c r="A305" s="623" t="str">
        <f t="array" ref="A305">INDEX(AccountCodes[ACCOUNT NAME],MATCH(B305,AccountCodes[NGAS CODE],0))</f>
        <v>Other Maintenance and Operating Expenses - Other Maintenance and Operating Expenses</v>
      </c>
      <c r="B305" s="597" t="s">
        <v>405</v>
      </c>
      <c r="C305" s="625">
        <f t="array" ref="C305">INDEX(AccountCodes[PPSAS CODE],MATCH(B305,AccountCodes[NGAS CODE],0))</f>
        <v>5029999002</v>
      </c>
      <c r="D305" s="626">
        <f>IF(INDEX(AccountCodes[Normal Balance], MATCH(C305,AccountCodes[PPSAS CODE]))="Debit",E305-F305,0)</f>
        <v>192337.9</v>
      </c>
      <c r="E305" s="626">
        <f>SUMIF(PostTB[Account Code (Old)],B305,(PostTB[Debit]))+SUMIF(CkDJ[Account Code],B305,(CkDJ[Debit]))+SUMIF(CsDJ[Account Code],B305,(CsDJ[Debit]))+SUMIF(CRDJ[Account Code],B305,(CRDJ[Debit]))+SUMIF(GJ[Account Code],B305,(GJ[Debit]))</f>
        <v>192337.9</v>
      </c>
      <c r="F305" s="627">
        <f>SUMIF(PostTB[Account Code (Old)],B305,(PostTB[Credit]))+SUMIF(CkDJ[Account Code],B305,(CkDJ[Credit]))+SUMIF(CsDJ[Account Code],B305,(CsDJ[Credit]))+SUMIF(CRDJ[Account Code],B305,(CRDJ[Credit]))+SUMIF(GJ[Account Code],B305,(GJ[Credit]))</f>
        <v>0</v>
      </c>
      <c r="G305" s="627">
        <f>IF(INDEX(AccountCodes[Normal Balance], MATCH(C305,AccountCodes[PPSAS CODE]))="Credit",F305-E305,0)</f>
        <v>0</v>
      </c>
      <c r="H305" s="626">
        <f t="shared" si="4"/>
        <v>192337.9</v>
      </c>
      <c r="K305" s="162"/>
      <c r="L305" s="162"/>
    </row>
    <row r="306" spans="1:12" ht="15.75" hidden="1" x14ac:dyDescent="0.25">
      <c r="A306" s="623" t="str">
        <f t="array" ref="A306">INDEX(AccountCodes[ACCOUNT NAME],MATCH(B306,AccountCodes[NGAS CODE],0))</f>
        <v>Other Maintenance and Operating Expenses (Irrigator's Share/Remuneration/Subsidy)</v>
      </c>
      <c r="B306" s="597" t="s">
        <v>333</v>
      </c>
      <c r="C306" s="625">
        <f t="array" ref="C306">INDEX(AccountCodes[PPSAS CODE],MATCH(B306,AccountCodes[NGAS CODE],0))</f>
        <v>5029999098</v>
      </c>
      <c r="D306" s="626">
        <f>IF(INDEX(AccountCodes[Normal Balance], MATCH(C306,AccountCodes[PPSAS CODE]))="Debit",E306-F306,0)</f>
        <v>0</v>
      </c>
      <c r="E306" s="626">
        <f>SUMIF(PostTB[Account Code (Old)],B306,(PostTB[Debit]))+SUMIF(CkDJ[Account Code],B306,(CkDJ[Debit]))+SUMIF(CsDJ[Account Code],B306,(CsDJ[Debit]))+SUMIF(CRDJ[Account Code],B306,(CRDJ[Debit]))+SUMIF(GJ[Account Code],B306,(GJ[Debit]))</f>
        <v>0</v>
      </c>
      <c r="F306" s="627">
        <f>SUMIF(PostTB[Account Code (Old)],B306,(PostTB[Credit]))+SUMIF(CkDJ[Account Code],B306,(CkDJ[Credit]))+SUMIF(CsDJ[Account Code],B306,(CsDJ[Credit]))+SUMIF(CRDJ[Account Code],B306,(CRDJ[Credit]))+SUMIF(GJ[Account Code],B306,(GJ[Credit]))</f>
        <v>0</v>
      </c>
      <c r="G306" s="627">
        <f>IF(INDEX(AccountCodes[Normal Balance], MATCH(C306,AccountCodes[PPSAS CODE]))="Credit",F306-E306,0)</f>
        <v>0</v>
      </c>
      <c r="H306" s="626">
        <f t="shared" si="4"/>
        <v>0</v>
      </c>
      <c r="K306" s="162"/>
      <c r="L306" s="162"/>
    </row>
    <row r="307" spans="1:12" ht="15.75" hidden="1" x14ac:dyDescent="0.25">
      <c r="A307" s="623" t="str">
        <f t="array" ref="A307">INDEX(AccountCodes[ACCOUNT NAME],MATCH(B307,AccountCodes[NGAS CODE],0))</f>
        <v>Other Maintenance and Operating Expenses (Power Cost for Pumps)</v>
      </c>
      <c r="B307" s="597" t="s">
        <v>991</v>
      </c>
      <c r="C307" s="625">
        <f t="array" ref="C307">INDEX(AccountCodes[PPSAS CODE],MATCH(B307,AccountCodes[NGAS CODE],0))</f>
        <v>5029999099</v>
      </c>
      <c r="D307" s="626">
        <f>IF(INDEX(AccountCodes[Normal Balance], MATCH(C307,AccountCodes[PPSAS CODE]))="Debit",E307-F307,0)</f>
        <v>0</v>
      </c>
      <c r="E307" s="626">
        <f>SUMIF(PostTB[Account Code (Old)],B307,(PostTB[Debit]))+SUMIF(CkDJ[Account Code],B307,(CkDJ[Debit]))+SUMIF(CsDJ[Account Code],B307,(CsDJ[Debit]))+SUMIF(CRDJ[Account Code],B307,(CRDJ[Debit]))+SUMIF(GJ[Account Code],B307,(GJ[Debit]))</f>
        <v>0</v>
      </c>
      <c r="F307" s="627">
        <f>SUMIF(PostTB[Account Code (Old)],B307,(PostTB[Credit]))+SUMIF(CkDJ[Account Code],B307,(CkDJ[Credit]))+SUMIF(CsDJ[Account Code],B307,(CsDJ[Credit]))+SUMIF(CRDJ[Account Code],B307,(CRDJ[Credit]))+SUMIF(GJ[Account Code],B307,(GJ[Credit]))</f>
        <v>0</v>
      </c>
      <c r="G307" s="627">
        <f>IF(INDEX(AccountCodes[Normal Balance], MATCH(C307,AccountCodes[PPSAS CODE]))="Credit",F307-E307,0)</f>
        <v>0</v>
      </c>
      <c r="H307" s="626">
        <f t="shared" si="4"/>
        <v>0</v>
      </c>
      <c r="K307" s="162"/>
      <c r="L307" s="162"/>
    </row>
    <row r="308" spans="1:12" ht="15.75" hidden="1" x14ac:dyDescent="0.25">
      <c r="A308" s="623" t="str">
        <f t="array" ref="A308">INDEX(AccountCodes[ACCOUNT NAME],MATCH(B308,AccountCodes[NGAS CODE],0))</f>
        <v>Interest Expenses</v>
      </c>
      <c r="B308" s="597" t="s">
        <v>341</v>
      </c>
      <c r="C308" s="625">
        <f t="array" ref="C308">INDEX(AccountCodes[PPSAS CODE],MATCH(B308,AccountCodes[NGAS CODE],0))</f>
        <v>5030102000</v>
      </c>
      <c r="D308" s="626">
        <f>IF(INDEX(AccountCodes[Normal Balance], MATCH(C308,AccountCodes[PPSAS CODE]))="Debit",E308-F308,0)</f>
        <v>0</v>
      </c>
      <c r="E308" s="626">
        <f>SUMIF(PostTB[Account Code (Old)],B308,(PostTB[Debit]))+SUMIF(CkDJ[Account Code],B308,(CkDJ[Debit]))+SUMIF(CsDJ[Account Code],B308,(CsDJ[Debit]))+SUMIF(CRDJ[Account Code],B308,(CRDJ[Debit]))+SUMIF(GJ[Account Code],B308,(GJ[Debit]))</f>
        <v>0</v>
      </c>
      <c r="F308" s="627">
        <f>SUMIF(PostTB[Account Code (Old)],B308,(PostTB[Credit]))+SUMIF(CkDJ[Account Code],B308,(CkDJ[Credit]))+SUMIF(CsDJ[Account Code],B308,(CsDJ[Credit]))+SUMIF(CRDJ[Account Code],B308,(CRDJ[Credit]))+SUMIF(GJ[Account Code],B308,(GJ[Credit]))</f>
        <v>0</v>
      </c>
      <c r="G308" s="627">
        <f>IF(INDEX(AccountCodes[Normal Balance], MATCH(C308,AccountCodes[PPSAS CODE]))="Credit",F308-E308,0)</f>
        <v>0</v>
      </c>
      <c r="H308" s="626">
        <f t="shared" si="4"/>
        <v>0</v>
      </c>
      <c r="K308" s="162"/>
      <c r="L308" s="162"/>
    </row>
    <row r="309" spans="1:12" ht="15.75" x14ac:dyDescent="0.25">
      <c r="A309" s="623" t="str">
        <f t="array" ref="A309">INDEX(AccountCodes[ACCOUNT NAME],MATCH(B309,AccountCodes[NGAS CODE],0))</f>
        <v>Bank Charges</v>
      </c>
      <c r="B309" s="597" t="s">
        <v>340</v>
      </c>
      <c r="C309" s="625">
        <f t="array" ref="C309">INDEX(AccountCodes[PPSAS CODE],MATCH(B309,AccountCodes[NGAS CODE],0))</f>
        <v>5030104000</v>
      </c>
      <c r="D309" s="626">
        <f>IF(INDEX(AccountCodes[Normal Balance], MATCH(C309,AccountCodes[PPSAS CODE]))="Debit",E309-F309,0)</f>
        <v>600</v>
      </c>
      <c r="E309" s="626">
        <f>SUMIF(PostTB[Account Code (Old)],B309,(PostTB[Debit]))+SUMIF(CkDJ[Account Code],B309,(CkDJ[Debit]))+SUMIF(CsDJ[Account Code],B309,(CsDJ[Debit]))+SUMIF(CRDJ[Account Code],B309,(CRDJ[Debit]))+SUMIF(GJ[Account Code],B309,(GJ[Debit]))</f>
        <v>600</v>
      </c>
      <c r="F309" s="627">
        <f>SUMIF(PostTB[Account Code (Old)],B309,(PostTB[Credit]))+SUMIF(CkDJ[Account Code],B309,(CkDJ[Credit]))+SUMIF(CsDJ[Account Code],B309,(CsDJ[Credit]))+SUMIF(CRDJ[Account Code],B309,(CRDJ[Credit]))+SUMIF(GJ[Account Code],B309,(GJ[Credit]))</f>
        <v>0</v>
      </c>
      <c r="G309" s="627">
        <f>IF(INDEX(AccountCodes[Normal Balance], MATCH(C309,AccountCodes[PPSAS CODE]))="Credit",F309-E309,0)</f>
        <v>0</v>
      </c>
      <c r="H309" s="626">
        <f t="shared" si="4"/>
        <v>600</v>
      </c>
      <c r="K309" s="162"/>
      <c r="L309" s="162">
        <f>H199</f>
        <v>0</v>
      </c>
    </row>
    <row r="310" spans="1:12" ht="15.75" hidden="1" x14ac:dyDescent="0.25">
      <c r="A310" s="623" t="str">
        <f t="array" ref="A310">INDEX(AccountCodes[ACCOUNT NAME],MATCH(B310,AccountCodes[NGAS CODE],0))</f>
        <v>Depreciation-Land Improvements</v>
      </c>
      <c r="B310" s="597" t="s">
        <v>275</v>
      </c>
      <c r="C310" s="625">
        <f t="array" ref="C310">INDEX(AccountCodes[PPSAS CODE],MATCH(B310,AccountCodes[NGAS CODE],0))</f>
        <v>5050102000</v>
      </c>
      <c r="D310" s="626">
        <f>IF(INDEX(AccountCodes[Normal Balance], MATCH(C310,AccountCodes[PPSAS CODE]))="Debit",E310-F310,0)</f>
        <v>0</v>
      </c>
      <c r="E310" s="626">
        <f>SUMIF(PostTB[Account Code (Old)],B310,(PostTB[Debit]))+SUMIF(CkDJ[Account Code],B310,(CkDJ[Debit]))+SUMIF(CsDJ[Account Code],B310,(CsDJ[Debit]))+SUMIF(CRDJ[Account Code],B310,(CRDJ[Debit]))+SUMIF(GJ[Account Code],B310,(GJ[Debit]))</f>
        <v>0</v>
      </c>
      <c r="F310" s="627">
        <f>SUMIF(PostTB[Account Code (Old)],B310,(PostTB[Credit]))+SUMIF(CkDJ[Account Code],B310,(CkDJ[Credit]))+SUMIF(CsDJ[Account Code],B310,(CsDJ[Credit]))+SUMIF(CRDJ[Account Code],B310,(CRDJ[Credit]))+SUMIF(GJ[Account Code],B310,(GJ[Credit]))</f>
        <v>0</v>
      </c>
      <c r="G310" s="627">
        <f>IF(INDEX(AccountCodes[Normal Balance], MATCH(C310,AccountCodes[PPSAS CODE]))="Credit",F310-E310,0)</f>
        <v>0</v>
      </c>
      <c r="H310" s="626">
        <f t="shared" si="4"/>
        <v>0</v>
      </c>
      <c r="K310" s="162"/>
      <c r="L310" s="162"/>
    </row>
    <row r="311" spans="1:12" ht="15.75" x14ac:dyDescent="0.25">
      <c r="A311" s="623" t="str">
        <f t="array" ref="A311">INDEX(AccountCodes[ACCOUNT NAME],MATCH(B311,AccountCodes[NGAS CODE],0))</f>
        <v>Depreciation-Infrastructure Assets - Other Infrastructure Assets (Irrigation Canals &amp; Laterals)</v>
      </c>
      <c r="B311" s="597" t="s">
        <v>1452</v>
      </c>
      <c r="C311" s="625">
        <f t="array" ref="C311">INDEX(AccountCodes[PPSAS CODE],MATCH(B311,AccountCodes[NGAS CODE],0))</f>
        <v>5050103099</v>
      </c>
      <c r="D311" s="626">
        <f>IF(INDEX(AccountCodes[Normal Balance], MATCH(C311,AccountCodes[PPSAS CODE]))="Debit",E311-F311,0)</f>
        <v>1961384.4</v>
      </c>
      <c r="E311" s="626">
        <f>SUMIF(PostTB[Account Code (Old)],B311,(PostTB[Debit]))+SUMIF(CkDJ[Account Code],B311,(CkDJ[Debit]))+SUMIF(CsDJ[Account Code],B311,(CsDJ[Debit]))+SUMIF(CRDJ[Account Code],B311,(CRDJ[Debit]))+SUMIF(GJ[Account Code],B311,(GJ[Debit]))</f>
        <v>1961384.4</v>
      </c>
      <c r="F311" s="627">
        <f>SUMIF(PostTB[Account Code (Old)],B311,(PostTB[Credit]))+SUMIF(CkDJ[Account Code],B311,(CkDJ[Credit]))+SUMIF(CsDJ[Account Code],B311,(CsDJ[Credit]))+SUMIF(CRDJ[Account Code],B311,(CRDJ[Credit]))+SUMIF(GJ[Account Code],B311,(GJ[Credit]))</f>
        <v>0</v>
      </c>
      <c r="G311" s="627">
        <f>IF(INDEX(AccountCodes[Normal Balance], MATCH(C311,AccountCodes[PPSAS CODE]))="Credit",F311-E311,0)</f>
        <v>0</v>
      </c>
      <c r="H311" s="626">
        <f t="shared" si="4"/>
        <v>1961384.4</v>
      </c>
      <c r="K311" s="162"/>
      <c r="L311" s="162"/>
    </row>
    <row r="312" spans="1:12" ht="15.75" hidden="1" x14ac:dyDescent="0.25">
      <c r="A312" s="623" t="str">
        <f t="array" ref="A312">INDEX(AccountCodes[ACCOUNT NAME],MATCH(B312,AccountCodes[NGAS CODE],0))</f>
        <v>Depreciation-Buildings and Other Structures - Buildings</v>
      </c>
      <c r="B312" s="597" t="s">
        <v>276</v>
      </c>
      <c r="C312" s="625">
        <f t="array" ref="C312">INDEX(AccountCodes[PPSAS CODE],MATCH(B312,AccountCodes[NGAS CODE],0))</f>
        <v>5050104001</v>
      </c>
      <c r="D312" s="626">
        <f>IF(INDEX(AccountCodes[Normal Balance], MATCH(C312,AccountCodes[PPSAS CODE]))="Debit",E312-F312,0)</f>
        <v>0</v>
      </c>
      <c r="E312" s="626">
        <f>SUMIF(PostTB[Account Code (Old)],B312,(PostTB[Debit]))+SUMIF(CkDJ[Account Code],B312,(CkDJ[Debit]))+SUMIF(CsDJ[Account Code],B312,(CsDJ[Debit]))+SUMIF(CRDJ[Account Code],B312,(CRDJ[Debit]))+SUMIF(GJ[Account Code],B312,(GJ[Debit]))</f>
        <v>0</v>
      </c>
      <c r="F312" s="627">
        <f>SUMIF(PostTB[Account Code (Old)],B312,(PostTB[Credit]))+SUMIF(CkDJ[Account Code],B312,(CkDJ[Credit]))+SUMIF(CsDJ[Account Code],B312,(CsDJ[Credit]))+SUMIF(CRDJ[Account Code],B312,(CRDJ[Credit]))+SUMIF(GJ[Account Code],B312,(GJ[Credit]))</f>
        <v>0</v>
      </c>
      <c r="G312" s="627">
        <f>IF(INDEX(AccountCodes[Normal Balance], MATCH(C312,AccountCodes[PPSAS CODE]))="Credit",F312-E312,0)</f>
        <v>0</v>
      </c>
      <c r="H312" s="626">
        <f t="shared" si="4"/>
        <v>0</v>
      </c>
      <c r="K312" s="162"/>
      <c r="L312" s="162"/>
    </row>
    <row r="313" spans="1:12" ht="15.75" hidden="1" x14ac:dyDescent="0.25">
      <c r="A313" s="623" t="str">
        <f t="array" ref="A313">INDEX(AccountCodes[ACCOUNT NAME],MATCH(B313,AccountCodes[NGAS CODE],0))</f>
        <v>Depreciation-Buildings and Other Structures - Other Structures</v>
      </c>
      <c r="B313" s="597" t="s">
        <v>277</v>
      </c>
      <c r="C313" s="625">
        <f t="array" ref="C313">INDEX(AccountCodes[PPSAS CODE],MATCH(B313,AccountCodes[NGAS CODE],0))</f>
        <v>5050104099</v>
      </c>
      <c r="D313" s="626">
        <f>IF(INDEX(AccountCodes[Normal Balance], MATCH(C313,AccountCodes[PPSAS CODE]))="Debit",E313-F313,0)</f>
        <v>0</v>
      </c>
      <c r="E313" s="626">
        <f>SUMIF(PostTB[Account Code (Old)],B313,(PostTB[Debit]))+SUMIF(CkDJ[Account Code],B313,(CkDJ[Debit]))+SUMIF(CsDJ[Account Code],B313,(CsDJ[Debit]))+SUMIF(CRDJ[Account Code],B313,(CRDJ[Debit]))+SUMIF(GJ[Account Code],B313,(GJ[Debit]))</f>
        <v>0</v>
      </c>
      <c r="F313" s="627">
        <f>SUMIF(PostTB[Account Code (Old)],B313,(PostTB[Credit]))+SUMIF(CkDJ[Account Code],B313,(CkDJ[Credit]))+SUMIF(CsDJ[Account Code],B313,(CsDJ[Credit]))+SUMIF(CRDJ[Account Code],B313,(CRDJ[Credit]))+SUMIF(GJ[Account Code],B313,(GJ[Credit]))</f>
        <v>0</v>
      </c>
      <c r="G313" s="627">
        <f>IF(INDEX(AccountCodes[Normal Balance], MATCH(C313,AccountCodes[PPSAS CODE]))="Credit",F313-E313,0)</f>
        <v>0</v>
      </c>
      <c r="H313" s="626">
        <f t="shared" si="4"/>
        <v>0</v>
      </c>
      <c r="K313" s="162"/>
      <c r="L313" s="162"/>
    </row>
    <row r="314" spans="1:12" ht="15.75" x14ac:dyDescent="0.25">
      <c r="A314" s="623" t="str">
        <f t="array" ref="A314">INDEX(AccountCodes[ACCOUNT NAME],MATCH(B314,AccountCodes[NGAS CODE],0))</f>
        <v>Depreciation-Machinery and Equipment - Office Equipment</v>
      </c>
      <c r="B314" s="597" t="s">
        <v>278</v>
      </c>
      <c r="C314" s="625">
        <f t="array" ref="C314">INDEX(AccountCodes[PPSAS CODE],MATCH(B314,AccountCodes[NGAS CODE],0))</f>
        <v>5050105002</v>
      </c>
      <c r="D314" s="626">
        <f>IF(INDEX(AccountCodes[Normal Balance], MATCH(C314,AccountCodes[PPSAS CODE]))="Debit",E314-F314,0)</f>
        <v>46491.13</v>
      </c>
      <c r="E314" s="626">
        <f>SUMIF(PostTB[Account Code (Old)],B314,(PostTB[Debit]))+SUMIF(CkDJ[Account Code],B314,(CkDJ[Debit]))+SUMIF(CsDJ[Account Code],B314,(CsDJ[Debit]))+SUMIF(CRDJ[Account Code],B314,(CRDJ[Debit]))+SUMIF(GJ[Account Code],B314,(GJ[Debit]))</f>
        <v>56931.53</v>
      </c>
      <c r="F314" s="627">
        <f>SUMIF(PostTB[Account Code (Old)],B314,(PostTB[Credit]))+SUMIF(CkDJ[Account Code],B314,(CkDJ[Credit]))+SUMIF(CsDJ[Account Code],B314,(CsDJ[Credit]))+SUMIF(CRDJ[Account Code],B314,(CRDJ[Credit]))+SUMIF(GJ[Account Code],B314,(GJ[Credit]))</f>
        <v>10440.4</v>
      </c>
      <c r="G314" s="627">
        <f>IF(INDEX(AccountCodes[Normal Balance], MATCH(C314,AccountCodes[PPSAS CODE]))="Credit",F314-E314,0)</f>
        <v>0</v>
      </c>
      <c r="H314" s="626">
        <f t="shared" si="4"/>
        <v>46491.13</v>
      </c>
      <c r="K314" s="162"/>
      <c r="L314" s="162"/>
    </row>
    <row r="315" spans="1:12" ht="15.75" x14ac:dyDescent="0.25">
      <c r="A315" s="623" t="str">
        <f t="array" ref="A315">INDEX(AccountCodes[ACCOUNT NAME],MATCH(B315,AccountCodes[NGAS CODE],0))</f>
        <v>Depreciation-Machinery and Equipment - ICT Equipment</v>
      </c>
      <c r="B315" s="597" t="s">
        <v>280</v>
      </c>
      <c r="C315" s="625">
        <f t="array" ref="C315">INDEX(AccountCodes[PPSAS CODE],MATCH(B315,AccountCodes[NGAS CODE],0))</f>
        <v>5050105003</v>
      </c>
      <c r="D315" s="626">
        <f>IF(INDEX(AccountCodes[Normal Balance], MATCH(C315,AccountCodes[PPSAS CODE]))="Debit",E315-F315,0)</f>
        <v>74023.95</v>
      </c>
      <c r="E315" s="626">
        <f>SUMIF(PostTB[Account Code (Old)],B315,(PostTB[Debit]))+SUMIF(CkDJ[Account Code],B315,(CkDJ[Debit]))+SUMIF(CsDJ[Account Code],B315,(CsDJ[Debit]))+SUMIF(CRDJ[Account Code],B315,(CRDJ[Debit]))+SUMIF(GJ[Account Code],B315,(GJ[Debit]))</f>
        <v>85849.37</v>
      </c>
      <c r="F315" s="627">
        <f>SUMIF(PostTB[Account Code (Old)],B315,(PostTB[Credit]))+SUMIF(CkDJ[Account Code],B315,(CkDJ[Credit]))+SUMIF(CsDJ[Account Code],B315,(CsDJ[Credit]))+SUMIF(CRDJ[Account Code],B315,(CRDJ[Credit]))+SUMIF(GJ[Account Code],B315,(GJ[Credit]))</f>
        <v>11825.42</v>
      </c>
      <c r="G315" s="627">
        <f>IF(INDEX(AccountCodes[Normal Balance], MATCH(C315,AccountCodes[PPSAS CODE]))="Credit",F315-E315,0)</f>
        <v>0</v>
      </c>
      <c r="H315" s="626">
        <f t="shared" si="4"/>
        <v>74023.95</v>
      </c>
      <c r="K315" s="162"/>
      <c r="L315" s="162"/>
    </row>
    <row r="316" spans="1:12" ht="15.75" hidden="1" x14ac:dyDescent="0.25">
      <c r="A316" s="623" t="str">
        <f t="array" ref="A316">INDEX(AccountCodes[ACCOUNT NAME],MATCH(B316,AccountCodes[NGAS CODE],0))</f>
        <v>Depreciation-Machinery and Equipment - Agricultural and Forestry Equipment</v>
      </c>
      <c r="B316" s="597" t="s">
        <v>283</v>
      </c>
      <c r="C316" s="625">
        <f t="array" ref="C316">INDEX(AccountCodes[PPSAS CODE],MATCH(B316,AccountCodes[NGAS CODE],0))</f>
        <v>5050105004</v>
      </c>
      <c r="D316" s="626">
        <f>IF(INDEX(AccountCodes[Normal Balance], MATCH(C316,AccountCodes[PPSAS CODE]))="Debit",E316-F316,0)</f>
        <v>0</v>
      </c>
      <c r="E316" s="626">
        <f>SUMIF(PostTB[Account Code (Old)],B316,(PostTB[Debit]))+SUMIF(CkDJ[Account Code],B316,(CkDJ[Debit]))+SUMIF(CsDJ[Account Code],B316,(CsDJ[Debit]))+SUMIF(CRDJ[Account Code],B316,(CRDJ[Debit]))+SUMIF(GJ[Account Code],B316,(GJ[Debit]))</f>
        <v>0</v>
      </c>
      <c r="F316" s="627">
        <f>SUMIF(PostTB[Account Code (Old)],B316,(PostTB[Credit]))+SUMIF(CkDJ[Account Code],B316,(CkDJ[Credit]))+SUMIF(CsDJ[Account Code],B316,(CsDJ[Credit]))+SUMIF(CRDJ[Account Code],B316,(CRDJ[Credit]))+SUMIF(GJ[Account Code],B316,(GJ[Credit]))</f>
        <v>0</v>
      </c>
      <c r="G316" s="627">
        <f>IF(INDEX(AccountCodes[Normal Balance], MATCH(C316,AccountCodes[PPSAS CODE]))="Credit",F316-E316,0)</f>
        <v>0</v>
      </c>
      <c r="H316" s="626">
        <f t="shared" si="4"/>
        <v>0</v>
      </c>
      <c r="K316" s="162"/>
      <c r="L316" s="162"/>
    </row>
    <row r="317" spans="1:12" ht="15.75" hidden="1" x14ac:dyDescent="0.25">
      <c r="A317" s="623" t="str">
        <f t="array" ref="A317">INDEX(AccountCodes[ACCOUNT NAME],MATCH(B317,AccountCodes[NGAS CODE],0))</f>
        <v>Depreciation-Machinery and Equipment - Communication Equipment</v>
      </c>
      <c r="B317" s="597" t="s">
        <v>319</v>
      </c>
      <c r="C317" s="625">
        <f t="array" ref="C317">INDEX(AccountCodes[PPSAS CODE],MATCH(B317,AccountCodes[NGAS CODE],0))</f>
        <v>5050105007</v>
      </c>
      <c r="D317" s="626">
        <f>IF(INDEX(AccountCodes[Normal Balance], MATCH(C317,AccountCodes[PPSAS CODE]))="Debit",E317-F317,0)</f>
        <v>0</v>
      </c>
      <c r="E317" s="626">
        <f>SUMIF(PostTB[Account Code (Old)],B317,(PostTB[Debit]))+SUMIF(CkDJ[Account Code],B317,(CkDJ[Debit]))+SUMIF(CsDJ[Account Code],B317,(CsDJ[Debit]))+SUMIF(CRDJ[Account Code],B317,(CRDJ[Debit]))+SUMIF(GJ[Account Code],B317,(GJ[Debit]))</f>
        <v>0</v>
      </c>
      <c r="F317" s="627">
        <f>SUMIF(PostTB[Account Code (Old)],B317,(PostTB[Credit]))+SUMIF(CkDJ[Account Code],B317,(CkDJ[Credit]))+SUMIF(CsDJ[Account Code],B317,(CsDJ[Credit]))+SUMIF(CRDJ[Account Code],B317,(CRDJ[Credit]))+SUMIF(GJ[Account Code],B317,(GJ[Credit]))</f>
        <v>0</v>
      </c>
      <c r="G317" s="627">
        <f>IF(INDEX(AccountCodes[Normal Balance], MATCH(C317,AccountCodes[PPSAS CODE]))="Credit",F317-E317,0)</f>
        <v>0</v>
      </c>
      <c r="H317" s="626">
        <f t="shared" si="4"/>
        <v>0</v>
      </c>
      <c r="K317" s="162"/>
      <c r="L317" s="162"/>
    </row>
    <row r="318" spans="1:12" ht="15.75" hidden="1" x14ac:dyDescent="0.25">
      <c r="A318" s="623" t="str">
        <f t="array" ref="A318">INDEX(AccountCodes[ACCOUNT NAME],MATCH(B318,AccountCodes[NGAS CODE],0))</f>
        <v>Depreciation-Machinery and Equipment - Construction and Heavy Equipment</v>
      </c>
      <c r="B318" s="597" t="s">
        <v>320</v>
      </c>
      <c r="C318" s="625">
        <f t="array" ref="C318">INDEX(AccountCodes[PPSAS CODE],MATCH(B318,AccountCodes[NGAS CODE],0))</f>
        <v>5050105008</v>
      </c>
      <c r="D318" s="626">
        <f>IF(INDEX(AccountCodes[Normal Balance], MATCH(C318,AccountCodes[PPSAS CODE]))="Debit",E318-F318,0)</f>
        <v>0</v>
      </c>
      <c r="E318" s="626">
        <f>SUMIF(PostTB[Account Code (Old)],B318,(PostTB[Debit]))+SUMIF(CkDJ[Account Code],B318,(CkDJ[Debit]))+SUMIF(CsDJ[Account Code],B318,(CsDJ[Debit]))+SUMIF(CRDJ[Account Code],B318,(CRDJ[Debit]))+SUMIF(GJ[Account Code],B318,(GJ[Debit]))</f>
        <v>0</v>
      </c>
      <c r="F318" s="627">
        <f>SUMIF(PostTB[Account Code (Old)],B318,(PostTB[Credit]))+SUMIF(CkDJ[Account Code],B318,(CkDJ[Credit]))+SUMIF(CsDJ[Account Code],B318,(CsDJ[Credit]))+SUMIF(CRDJ[Account Code],B318,(CRDJ[Credit]))+SUMIF(GJ[Account Code],B318,(GJ[Credit]))</f>
        <v>0</v>
      </c>
      <c r="G318" s="627">
        <f>IF(INDEX(AccountCodes[Normal Balance], MATCH(C318,AccountCodes[PPSAS CODE]))="Credit",F318-E318,0)</f>
        <v>0</v>
      </c>
      <c r="H318" s="626">
        <f t="shared" si="4"/>
        <v>0</v>
      </c>
      <c r="K318" s="162"/>
      <c r="L318" s="162"/>
    </row>
    <row r="319" spans="1:12" ht="15.75" hidden="1" x14ac:dyDescent="0.25">
      <c r="A319" s="623" t="str">
        <f t="array" ref="A319">INDEX(AccountCodes[ACCOUNT NAME],MATCH(B319,AccountCodes[NGAS CODE],0))</f>
        <v>Depreciation-Machinery and Equipment - Disaster Response and Rescue Equipment</v>
      </c>
      <c r="B319" s="597" t="s">
        <v>321</v>
      </c>
      <c r="C319" s="625">
        <f t="array" ref="C319">INDEX(AccountCodes[PPSAS CODE],MATCH(B319,AccountCodes[NGAS CODE],0))</f>
        <v>5050105009</v>
      </c>
      <c r="D319" s="626">
        <f>IF(INDEX(AccountCodes[Normal Balance], MATCH(C319,AccountCodes[PPSAS CODE]))="Debit",E319-F319,0)</f>
        <v>0</v>
      </c>
      <c r="E319" s="626">
        <f>SUMIF(PostTB[Account Code (Old)],B319,(PostTB[Debit]))+SUMIF(CkDJ[Account Code],B319,(CkDJ[Debit]))+SUMIF(CsDJ[Account Code],B319,(CsDJ[Debit]))+SUMIF(CRDJ[Account Code],B319,(CRDJ[Debit]))+SUMIF(GJ[Account Code],B319,(GJ[Debit]))</f>
        <v>0</v>
      </c>
      <c r="F319" s="627">
        <f>SUMIF(PostTB[Account Code (Old)],B319,(PostTB[Credit]))+SUMIF(CkDJ[Account Code],B319,(CkDJ[Credit]))+SUMIF(CsDJ[Account Code],B319,(CsDJ[Credit]))+SUMIF(CRDJ[Account Code],B319,(CRDJ[Credit]))+SUMIF(GJ[Account Code],B319,(GJ[Credit]))</f>
        <v>0</v>
      </c>
      <c r="G319" s="627">
        <f>IF(INDEX(AccountCodes[Normal Balance], MATCH(C319,AccountCodes[PPSAS CODE]))="Credit",F319-E319,0)</f>
        <v>0</v>
      </c>
      <c r="H319" s="626">
        <f t="shared" si="4"/>
        <v>0</v>
      </c>
      <c r="K319" s="162"/>
      <c r="L319" s="162"/>
    </row>
    <row r="320" spans="1:12" ht="15.75" hidden="1" x14ac:dyDescent="0.25">
      <c r="A320" s="623" t="str">
        <f t="array" ref="A320">INDEX(AccountCodes[ACCOUNT NAME],MATCH(B320,AccountCodes[NGAS CODE],0))</f>
        <v>Depreciation-Machinery and Equipment - Military, Police and Security Equipment</v>
      </c>
      <c r="B320" s="597" t="s">
        <v>322</v>
      </c>
      <c r="C320" s="625">
        <f t="array" ref="C320">INDEX(AccountCodes[PPSAS CODE],MATCH(B320,AccountCodes[NGAS CODE],0))</f>
        <v>5050105010</v>
      </c>
      <c r="D320" s="626">
        <f>IF(INDEX(AccountCodes[Normal Balance], MATCH(C320,AccountCodes[PPSAS CODE]))="Debit",E320-F320,0)</f>
        <v>0</v>
      </c>
      <c r="E320" s="626">
        <f>SUMIF(PostTB[Account Code (Old)],B320,(PostTB[Debit]))+SUMIF(CkDJ[Account Code],B320,(CkDJ[Debit]))+SUMIF(CsDJ[Account Code],B320,(CsDJ[Debit]))+SUMIF(CRDJ[Account Code],B320,(CRDJ[Debit]))+SUMIF(GJ[Account Code],B320,(GJ[Debit]))</f>
        <v>0</v>
      </c>
      <c r="F320" s="627">
        <f>SUMIF(PostTB[Account Code (Old)],B320,(PostTB[Credit]))+SUMIF(CkDJ[Account Code],B320,(CkDJ[Credit]))+SUMIF(CsDJ[Account Code],B320,(CsDJ[Credit]))+SUMIF(CRDJ[Account Code],B320,(CRDJ[Credit]))+SUMIF(GJ[Account Code],B320,(GJ[Credit]))</f>
        <v>0</v>
      </c>
      <c r="G320" s="627">
        <f>IF(INDEX(AccountCodes[Normal Balance], MATCH(C320,AccountCodes[PPSAS CODE]))="Credit",F320-E320,0)</f>
        <v>0</v>
      </c>
      <c r="H320" s="626">
        <f t="shared" si="4"/>
        <v>0</v>
      </c>
      <c r="K320" s="162"/>
      <c r="L320" s="162"/>
    </row>
    <row r="321" spans="1:12" ht="15.75" hidden="1" x14ac:dyDescent="0.25">
      <c r="A321" s="623" t="str">
        <f t="array" ref="A321">INDEX(AccountCodes[ACCOUNT NAME],MATCH(B321,AccountCodes[NGAS CODE],0))</f>
        <v>Depreciation-Machinery and Equipment - Sports Equipment</v>
      </c>
      <c r="B321" s="597" t="s">
        <v>323</v>
      </c>
      <c r="C321" s="625">
        <f t="array" ref="C321">INDEX(AccountCodes[PPSAS CODE],MATCH(B321,AccountCodes[NGAS CODE],0))</f>
        <v>5050105013</v>
      </c>
      <c r="D321" s="626">
        <f>IF(INDEX(AccountCodes[Normal Balance], MATCH(C321,AccountCodes[PPSAS CODE]))="Debit",E321-F321,0)</f>
        <v>0</v>
      </c>
      <c r="E321" s="626">
        <f>SUMIF(PostTB[Account Code (Old)],B321,(PostTB[Debit]))+SUMIF(CkDJ[Account Code],B321,(CkDJ[Debit]))+SUMIF(CsDJ[Account Code],B321,(CsDJ[Debit]))+SUMIF(CRDJ[Account Code],B321,(CRDJ[Debit]))+SUMIF(GJ[Account Code],B321,(GJ[Debit]))</f>
        <v>0</v>
      </c>
      <c r="F321" s="627">
        <f>SUMIF(PostTB[Account Code (Old)],B321,(PostTB[Credit]))+SUMIF(CkDJ[Account Code],B321,(CkDJ[Credit]))+SUMIF(CsDJ[Account Code],B321,(CsDJ[Credit]))+SUMIF(CRDJ[Account Code],B321,(CRDJ[Credit]))+SUMIF(GJ[Account Code],B321,(GJ[Credit]))</f>
        <v>0</v>
      </c>
      <c r="G321" s="627">
        <f>IF(INDEX(AccountCodes[Normal Balance], MATCH(C321,AccountCodes[PPSAS CODE]))="Credit",F321-E321,0)</f>
        <v>0</v>
      </c>
      <c r="H321" s="626">
        <f t="shared" si="4"/>
        <v>0</v>
      </c>
      <c r="K321" s="162"/>
      <c r="L321" s="162"/>
    </row>
    <row r="322" spans="1:12" ht="15.75" hidden="1" x14ac:dyDescent="0.25">
      <c r="A322" s="623" t="str">
        <f t="array" ref="A322">INDEX(AccountCodes[ACCOUNT NAME],MATCH(B322,AccountCodes[NGAS CODE],0))</f>
        <v>Depreciation-Machinery and Equipment - Technical and Scientific Equipment</v>
      </c>
      <c r="B322" s="628" t="s">
        <v>324</v>
      </c>
      <c r="C322" s="625">
        <f t="array" ref="C322">INDEX(AccountCodes[PPSAS CODE],MATCH(B322,AccountCodes[NGAS CODE],0))</f>
        <v>5050105014</v>
      </c>
      <c r="D322" s="626">
        <f>IF(INDEX(AccountCodes[Normal Balance], MATCH(C322,AccountCodes[PPSAS CODE]))="Debit",E322-F322,0)</f>
        <v>0</v>
      </c>
      <c r="E322" s="626">
        <f>SUMIF(PostTB[Account Code (Old)],B322,(PostTB[Debit]))+SUMIF(CkDJ[Account Code],B322,(CkDJ[Debit]))+SUMIF(CsDJ[Account Code],B322,(CsDJ[Debit]))+SUMIF(CRDJ[Account Code],B322,(CRDJ[Debit]))+SUMIF(GJ[Account Code],B322,(GJ[Debit]))</f>
        <v>0</v>
      </c>
      <c r="F322" s="627">
        <f>SUMIF(PostTB[Account Code (Old)],B322,(PostTB[Credit]))+SUMIF(CkDJ[Account Code],B322,(CkDJ[Credit]))+SUMIF(CsDJ[Account Code],B322,(CsDJ[Credit]))+SUMIF(CRDJ[Account Code],B322,(CRDJ[Credit]))+SUMIF(GJ[Account Code],B322,(GJ[Credit]))</f>
        <v>0</v>
      </c>
      <c r="G322" s="627">
        <f>IF(INDEX(AccountCodes[Normal Balance], MATCH(C322,AccountCodes[PPSAS CODE]))="Credit",F322-E322,0)</f>
        <v>0</v>
      </c>
      <c r="H322" s="626">
        <f t="shared" ref="H322:H331" si="5">IF(D322=0,G322,D322)</f>
        <v>0</v>
      </c>
      <c r="K322" s="162"/>
      <c r="L322" s="162"/>
    </row>
    <row r="323" spans="1:12" ht="15.75" hidden="1" x14ac:dyDescent="0.25">
      <c r="A323" s="623" t="str">
        <f t="array" ref="A323">INDEX(AccountCodes[ACCOUNT NAME],MATCH(B323,AccountCodes[NGAS CODE],0))</f>
        <v>Depreciation-Machinery and Equipment - Other Machinery and Equipment</v>
      </c>
      <c r="B323" s="628" t="s">
        <v>325</v>
      </c>
      <c r="C323" s="625">
        <f t="array" ref="C323">INDEX(AccountCodes[PPSAS CODE],MATCH(B323,AccountCodes[NGAS CODE],0))</f>
        <v>5050105099</v>
      </c>
      <c r="D323" s="626">
        <f>IF(INDEX(AccountCodes[Normal Balance], MATCH(C323,AccountCodes[PPSAS CODE]))="Debit",E323-F323,0)</f>
        <v>0</v>
      </c>
      <c r="E323" s="626">
        <f>SUMIF(PostTB[Account Code (Old)],B323,(PostTB[Debit]))+SUMIF(CkDJ[Account Code],B323,(CkDJ[Debit]))+SUMIF(CsDJ[Account Code],B323,(CsDJ[Debit]))+SUMIF(CRDJ[Account Code],B323,(CRDJ[Debit]))+SUMIF(GJ[Account Code],B323,(GJ[Debit]))</f>
        <v>0</v>
      </c>
      <c r="F323" s="627">
        <f>SUMIF(PostTB[Account Code (Old)],B323,(PostTB[Credit]))+SUMIF(CkDJ[Account Code],B323,(CkDJ[Credit]))+SUMIF(CsDJ[Account Code],B323,(CsDJ[Credit]))+SUMIF(CRDJ[Account Code],B323,(CRDJ[Credit]))+SUMIF(GJ[Account Code],B323,(GJ[Credit]))</f>
        <v>0</v>
      </c>
      <c r="G323" s="627">
        <f>IF(INDEX(AccountCodes[Normal Balance], MATCH(C323,AccountCodes[PPSAS CODE]))="Credit",F323-E323,0)</f>
        <v>0</v>
      </c>
      <c r="H323" s="626">
        <f t="shared" si="5"/>
        <v>0</v>
      </c>
      <c r="K323" s="162"/>
      <c r="L323" s="162"/>
    </row>
    <row r="324" spans="1:12" ht="15.75" hidden="1" x14ac:dyDescent="0.25">
      <c r="A324" s="623" t="str">
        <f t="array" ref="A324">INDEX(AccountCodes[ACCOUNT NAME],MATCH(B324,AccountCodes[NGAS CODE],0))</f>
        <v>Depreciation-Transportation Equipment - Motor Vehicles</v>
      </c>
      <c r="B324" s="628" t="s">
        <v>326</v>
      </c>
      <c r="C324" s="625">
        <f t="array" ref="C324">INDEX(AccountCodes[PPSAS CODE],MATCH(B324,AccountCodes[NGAS CODE],0))</f>
        <v>5050106001</v>
      </c>
      <c r="D324" s="626">
        <f>IF(INDEX(AccountCodes[Normal Balance], MATCH(C324,AccountCodes[PPSAS CODE]))="Debit",E324-F324,0)</f>
        <v>0</v>
      </c>
      <c r="E324" s="626">
        <f>SUMIF(PostTB[Account Code (Old)],B324,(PostTB[Debit]))+SUMIF(CkDJ[Account Code],B324,(CkDJ[Debit]))+SUMIF(CsDJ[Account Code],B324,(CsDJ[Debit]))+SUMIF(CRDJ[Account Code],B324,(CRDJ[Debit]))+SUMIF(GJ[Account Code],B324,(GJ[Debit]))</f>
        <v>0</v>
      </c>
      <c r="F324" s="627">
        <f>SUMIF(PostTB[Account Code (Old)],B324,(PostTB[Credit]))+SUMIF(CkDJ[Account Code],B324,(CkDJ[Credit]))+SUMIF(CsDJ[Account Code],B324,(CsDJ[Credit]))+SUMIF(CRDJ[Account Code],B324,(CRDJ[Credit]))+SUMIF(GJ[Account Code],B324,(GJ[Credit]))</f>
        <v>0</v>
      </c>
      <c r="G324" s="627">
        <f>IF(INDEX(AccountCodes[Normal Balance], MATCH(C324,AccountCodes[PPSAS CODE]))="Credit",F324-E324,0)</f>
        <v>0</v>
      </c>
      <c r="H324" s="626">
        <f t="shared" si="5"/>
        <v>0</v>
      </c>
      <c r="K324" s="162"/>
      <c r="L324" s="162"/>
    </row>
    <row r="325" spans="1:12" ht="15.75" hidden="1" x14ac:dyDescent="0.25">
      <c r="A325" s="623" t="str">
        <f t="array" ref="A325">INDEX(AccountCodes[ACCOUNT NAME],MATCH(B325,AccountCodes[NGAS CODE],0))</f>
        <v>Depreciation-Transportation Equipment - Trains</v>
      </c>
      <c r="B325" s="628" t="s">
        <v>1453</v>
      </c>
      <c r="C325" s="625">
        <f t="array" ref="C325">INDEX(AccountCodes[PPSAS CODE],MATCH(B325,AccountCodes[NGAS CODE],0))</f>
        <v>5050106002</v>
      </c>
      <c r="D325" s="626">
        <f>IF(INDEX(AccountCodes[Normal Balance], MATCH(C325,AccountCodes[PPSAS CODE]))="Debit",E325-F325,0)</f>
        <v>0</v>
      </c>
      <c r="E325" s="626">
        <f>SUMIF(PostTB[Account Code (Old)],B325,(PostTB[Debit]))+SUMIF(CkDJ[Account Code],B325,(CkDJ[Debit]))+SUMIF(CsDJ[Account Code],B325,(CsDJ[Debit]))+SUMIF(CRDJ[Account Code],B325,(CRDJ[Debit]))+SUMIF(GJ[Account Code],B325,(GJ[Debit]))</f>
        <v>0</v>
      </c>
      <c r="F325" s="627">
        <f>SUMIF(PostTB[Account Code (Old)],B325,(PostTB[Credit]))+SUMIF(CkDJ[Account Code],B325,(CkDJ[Credit]))+SUMIF(CsDJ[Account Code],B325,(CsDJ[Credit]))+SUMIF(CRDJ[Account Code],B325,(CRDJ[Credit]))+SUMIF(GJ[Account Code],B325,(GJ[Credit]))</f>
        <v>0</v>
      </c>
      <c r="G325" s="627">
        <f>IF(INDEX(AccountCodes[Normal Balance], MATCH(C325,AccountCodes[PPSAS CODE]))="Credit",F325-E325,0)</f>
        <v>0</v>
      </c>
      <c r="H325" s="626">
        <f t="shared" si="5"/>
        <v>0</v>
      </c>
      <c r="K325" s="162"/>
      <c r="L325" s="162"/>
    </row>
    <row r="326" spans="1:12" ht="15.75" hidden="1" x14ac:dyDescent="0.25">
      <c r="A326" s="623" t="str">
        <f t="array" ref="A326">INDEX(AccountCodes[ACCOUNT NAME],MATCH(B326,AccountCodes[NGAS CODE],0))</f>
        <v>Depreciation-Transportation Equipment - Aircrafts and Aircrafts Ground Equipment</v>
      </c>
      <c r="B326" s="628" t="s">
        <v>327</v>
      </c>
      <c r="C326" s="625">
        <f t="array" ref="C326">INDEX(AccountCodes[PPSAS CODE],MATCH(B326,AccountCodes[NGAS CODE],0))</f>
        <v>5050106003</v>
      </c>
      <c r="D326" s="626">
        <f>IF(INDEX(AccountCodes[Normal Balance], MATCH(C326,AccountCodes[PPSAS CODE]))="Debit",E326-F326,0)</f>
        <v>0</v>
      </c>
      <c r="E326" s="626">
        <f>SUMIF(PostTB[Account Code (Old)],B326,(PostTB[Debit]))+SUMIF(CkDJ[Account Code],B326,(CkDJ[Debit]))+SUMIF(CsDJ[Account Code],B326,(CsDJ[Debit]))+SUMIF(CRDJ[Account Code],B326,(CRDJ[Debit]))+SUMIF(GJ[Account Code],B326,(GJ[Debit]))</f>
        <v>0</v>
      </c>
      <c r="F326" s="627">
        <f>SUMIF(PostTB[Account Code (Old)],B326,(PostTB[Credit]))+SUMIF(CkDJ[Account Code],B326,(CkDJ[Credit]))+SUMIF(CsDJ[Account Code],B326,(CsDJ[Credit]))+SUMIF(CRDJ[Account Code],B326,(CRDJ[Credit]))+SUMIF(GJ[Account Code],B326,(GJ[Credit]))</f>
        <v>0</v>
      </c>
      <c r="G326" s="627">
        <f>IF(INDEX(AccountCodes[Normal Balance], MATCH(C326,AccountCodes[PPSAS CODE]))="Credit",F326-E326,0)</f>
        <v>0</v>
      </c>
      <c r="H326" s="626">
        <f t="shared" si="5"/>
        <v>0</v>
      </c>
      <c r="K326" s="162"/>
      <c r="L326" s="162"/>
    </row>
    <row r="327" spans="1:12" ht="15.75" hidden="1" x14ac:dyDescent="0.25">
      <c r="A327" s="623" t="str">
        <f t="array" ref="A327">INDEX(AccountCodes[ACCOUNT NAME],MATCH(B327,AccountCodes[NGAS CODE],0))</f>
        <v>Depreciation-Transportation Equipment - Watercrafts</v>
      </c>
      <c r="B327" s="628" t="s">
        <v>328</v>
      </c>
      <c r="C327" s="625">
        <f t="array" ref="C327">INDEX(AccountCodes[PPSAS CODE],MATCH(B327,AccountCodes[NGAS CODE],0))</f>
        <v>5050106004</v>
      </c>
      <c r="D327" s="626">
        <f>IF(INDEX(AccountCodes[Normal Balance], MATCH(C327,AccountCodes[PPSAS CODE]))="Debit",E327-F327,0)</f>
        <v>0</v>
      </c>
      <c r="E327" s="626">
        <f>SUMIF(PostTB[Account Code (Old)],B327,(PostTB[Debit]))+SUMIF(CkDJ[Account Code],B327,(CkDJ[Debit]))+SUMIF(CsDJ[Account Code],B327,(CsDJ[Debit]))+SUMIF(CRDJ[Account Code],B327,(CRDJ[Debit]))+SUMIF(GJ[Account Code],B327,(GJ[Debit]))</f>
        <v>0</v>
      </c>
      <c r="F327" s="627">
        <f>SUMIF(PostTB[Account Code (Old)],B327,(PostTB[Credit]))+SUMIF(CkDJ[Account Code],B327,(CkDJ[Credit]))+SUMIF(CsDJ[Account Code],B327,(CsDJ[Credit]))+SUMIF(CRDJ[Account Code],B327,(CRDJ[Credit]))+SUMIF(GJ[Account Code],B327,(GJ[Credit]))</f>
        <v>0</v>
      </c>
      <c r="G327" s="627">
        <f>IF(INDEX(AccountCodes[Normal Balance], MATCH(C327,AccountCodes[PPSAS CODE]))="Credit",F327-E327,0)</f>
        <v>0</v>
      </c>
      <c r="H327" s="626">
        <f t="shared" si="5"/>
        <v>0</v>
      </c>
      <c r="K327" s="162"/>
      <c r="L327" s="162"/>
    </row>
    <row r="328" spans="1:12" ht="15.75" hidden="1" x14ac:dyDescent="0.25">
      <c r="A328" s="623" t="str">
        <f t="array" ref="A328">INDEX(AccountCodes[ACCOUNT NAME],MATCH(B328,AccountCodes[NGAS CODE],0))</f>
        <v>Depreciation-Transportation Equipment - Other Transportation Equipment</v>
      </c>
      <c r="B328" s="628" t="s">
        <v>329</v>
      </c>
      <c r="C328" s="625">
        <f t="array" ref="C328">INDEX(AccountCodes[PPSAS CODE],MATCH(B328,AccountCodes[NGAS CODE],0))</f>
        <v>5050106099</v>
      </c>
      <c r="D328" s="626">
        <f>IF(INDEX(AccountCodes[Normal Balance], MATCH(C328,AccountCodes[PPSAS CODE]))="Debit",E328-F328,0)</f>
        <v>0</v>
      </c>
      <c r="E328" s="626">
        <f>SUMIF(PostTB[Account Code (Old)],B328,(PostTB[Debit]))+SUMIF(CkDJ[Account Code],B328,(CkDJ[Debit]))+SUMIF(CsDJ[Account Code],B328,(CsDJ[Debit]))+SUMIF(CRDJ[Account Code],B328,(CRDJ[Debit]))+SUMIF(GJ[Account Code],B328,(GJ[Debit]))</f>
        <v>0</v>
      </c>
      <c r="F328" s="627">
        <f>SUMIF(PostTB[Account Code (Old)],B328,(PostTB[Credit]))+SUMIF(CkDJ[Account Code],B328,(CkDJ[Credit]))+SUMIF(CsDJ[Account Code],B328,(CsDJ[Credit]))+SUMIF(CRDJ[Account Code],B328,(CRDJ[Credit]))+SUMIF(GJ[Account Code],B328,(GJ[Credit]))</f>
        <v>0</v>
      </c>
      <c r="G328" s="627">
        <f>IF(INDEX(AccountCodes[Normal Balance], MATCH(C328,AccountCodes[PPSAS CODE]))="Credit",F328-E328,0)</f>
        <v>0</v>
      </c>
      <c r="H328" s="626">
        <f t="shared" si="5"/>
        <v>0</v>
      </c>
      <c r="K328" s="162"/>
      <c r="L328" s="162"/>
    </row>
    <row r="329" spans="1:12" ht="15.75" hidden="1" x14ac:dyDescent="0.25">
      <c r="A329" s="623" t="str">
        <f t="array" ref="A329">INDEX(AccountCodes[ACCOUNT NAME],MATCH(B329,AccountCodes[NGAS CODE],0))</f>
        <v>Depreciation-Furniture, Fixtures and Books - Furniture and Fixtures</v>
      </c>
      <c r="B329" s="628" t="s">
        <v>279</v>
      </c>
      <c r="C329" s="625">
        <f t="array" ref="C329">INDEX(AccountCodes[PPSAS CODE],MATCH(B329,AccountCodes[NGAS CODE],0))</f>
        <v>5050107001</v>
      </c>
      <c r="D329" s="626">
        <f>IF(INDEX(AccountCodes[Normal Balance], MATCH(C329,AccountCodes[PPSAS CODE]))="Debit",E329-F329,0)</f>
        <v>0</v>
      </c>
      <c r="E329" s="626">
        <f>SUMIF(PostTB[Account Code (Old)],B329,(PostTB[Debit]))+SUMIF(CkDJ[Account Code],B329,(CkDJ[Debit]))+SUMIF(CsDJ[Account Code],B329,(CsDJ[Debit]))+SUMIF(CRDJ[Account Code],B329,(CRDJ[Debit]))+SUMIF(GJ[Account Code],B329,(GJ[Debit]))</f>
        <v>0</v>
      </c>
      <c r="F329" s="627">
        <f>SUMIF(PostTB[Account Code (Old)],B329,(PostTB[Credit]))+SUMIF(CkDJ[Account Code],B329,(CkDJ[Credit]))+SUMIF(CsDJ[Account Code],B329,(CsDJ[Credit]))+SUMIF(CRDJ[Account Code],B329,(CRDJ[Credit]))+SUMIF(GJ[Account Code],B329,(GJ[Credit]))</f>
        <v>0</v>
      </c>
      <c r="G329" s="627">
        <f>IF(INDEX(AccountCodes[Normal Balance], MATCH(C329,AccountCodes[PPSAS CODE]))="Credit",F329-E329,0)</f>
        <v>0</v>
      </c>
      <c r="H329" s="626">
        <f t="shared" si="5"/>
        <v>0</v>
      </c>
      <c r="K329" s="162"/>
      <c r="L329" s="162"/>
    </row>
    <row r="330" spans="1:12" ht="15.75" hidden="1" x14ac:dyDescent="0.25">
      <c r="A330" s="623" t="str">
        <f t="array" ref="A330">INDEX(AccountCodes[ACCOUNT NAME],MATCH(B330,AccountCodes[NGAS CODE],0))</f>
        <v>Depreciation-Furniture, Fixtures and Books - Books</v>
      </c>
      <c r="B330" s="628" t="s">
        <v>281</v>
      </c>
      <c r="C330" s="625">
        <f t="array" ref="C330">INDEX(AccountCodes[PPSAS CODE],MATCH(B330,AccountCodes[NGAS CODE],0))</f>
        <v>5050107002</v>
      </c>
      <c r="D330" s="626">
        <f>IF(INDEX(AccountCodes[Normal Balance], MATCH(C330,AccountCodes[PPSAS CODE]))="Debit",E330-F330,0)</f>
        <v>0</v>
      </c>
      <c r="E330" s="626">
        <f>SUMIF(PostTB[Account Code (Old)],B330,(PostTB[Debit]))+SUMIF(CkDJ[Account Code],B330,(CkDJ[Debit]))+SUMIF(CsDJ[Account Code],B330,(CsDJ[Debit]))+SUMIF(CRDJ[Account Code],B330,(CRDJ[Debit]))+SUMIF(GJ[Account Code],B330,(GJ[Debit]))</f>
        <v>0</v>
      </c>
      <c r="F330" s="627">
        <f>SUMIF(PostTB[Account Code (Old)],B330,(PostTB[Credit]))+SUMIF(CkDJ[Account Code],B330,(CkDJ[Credit]))+SUMIF(CsDJ[Account Code],B330,(CsDJ[Credit]))+SUMIF(CRDJ[Account Code],B330,(CRDJ[Credit]))+SUMIF(GJ[Account Code],B330,(GJ[Credit]))</f>
        <v>0</v>
      </c>
      <c r="G330" s="627">
        <f>IF(INDEX(AccountCodes[Normal Balance], MATCH(C330,AccountCodes[PPSAS CODE]))="Credit",F330-E330,0)</f>
        <v>0</v>
      </c>
      <c r="H330" s="626">
        <f t="shared" si="5"/>
        <v>0</v>
      </c>
      <c r="K330" s="162"/>
      <c r="L330" s="162"/>
    </row>
    <row r="331" spans="1:12" ht="15.75" hidden="1" x14ac:dyDescent="0.25">
      <c r="A331" s="623" t="str">
        <f t="array" ref="A331">INDEX(AccountCodes[ACCOUNT NAME],MATCH(B331,AccountCodes[NGAS CODE],0))</f>
        <v>Depreciation-Other Property, Plant and Equipment</v>
      </c>
      <c r="B331" s="628" t="s">
        <v>330</v>
      </c>
      <c r="C331" s="625">
        <f t="array" ref="C331">INDEX(AccountCodes[PPSAS CODE],MATCH(B331,AccountCodes[NGAS CODE],0))</f>
        <v>5050199000</v>
      </c>
      <c r="D331" s="626">
        <f>IF(INDEX(AccountCodes[Normal Balance], MATCH(C331,AccountCodes[PPSAS CODE]))="Debit",E331-F331,0)</f>
        <v>0</v>
      </c>
      <c r="E331" s="626">
        <f>SUMIF(PostTB[Account Code (Old)],B331,(PostTB[Debit]))+SUMIF(CkDJ[Account Code],B331,(CkDJ[Debit]))+SUMIF(CsDJ[Account Code],B331,(CsDJ[Debit]))+SUMIF(CRDJ[Account Code],B331,(CRDJ[Debit]))+SUMIF(GJ[Account Code],B331,(GJ[Debit]))</f>
        <v>0</v>
      </c>
      <c r="F331" s="627">
        <f>SUMIF(PostTB[Account Code (Old)],B331,(PostTB[Credit]))+SUMIF(CkDJ[Account Code],B331,(CkDJ[Credit]))+SUMIF(CsDJ[Account Code],B331,(CsDJ[Credit]))+SUMIF(CRDJ[Account Code],B331,(CRDJ[Credit]))+SUMIF(GJ[Account Code],B331,(GJ[Credit]))</f>
        <v>0</v>
      </c>
      <c r="G331" s="627">
        <f>IF(INDEX(AccountCodes[Normal Balance], MATCH(C331,AccountCodes[PPSAS CODE]))="Credit",F331-E331,0)</f>
        <v>0</v>
      </c>
      <c r="H331" s="626">
        <f t="shared" si="5"/>
        <v>0</v>
      </c>
      <c r="K331" s="162"/>
      <c r="L331" s="162"/>
    </row>
    <row r="332" spans="1:12" ht="15.75" x14ac:dyDescent="0.25">
      <c r="A332" s="650" t="s">
        <v>831</v>
      </c>
      <c r="B332" s="651"/>
      <c r="C332" s="651"/>
      <c r="D332" s="652">
        <f>SUBTOTAL(109,Table6[DEBIT])</f>
        <v>145700756.69999999</v>
      </c>
      <c r="E332" s="652">
        <f>SUBTOTAL(109,Table6[DEBIT
TOTAL])</f>
        <v>198610196.03999999</v>
      </c>
      <c r="F332" s="652">
        <f>SUBTOTAL(109,Table6[CREDIT
TOTAL])</f>
        <v>189288379.68000001</v>
      </c>
      <c r="G332" s="652">
        <f>SUBTOTAL(109,Table6[CREDIT])</f>
        <v>136378940.34</v>
      </c>
      <c r="H332" s="652">
        <f>SUBTOTAL(109,Table6[DEBIT/CREDIT])</f>
        <v>282079697.04000002</v>
      </c>
      <c r="J332" s="142" t="s">
        <v>1574</v>
      </c>
      <c r="K332" s="162">
        <f>D206+D207+D208+D211+D215+D217+D218+D220+D221+D223+D229+D230+D231+D232+D234</f>
        <v>1481519.09</v>
      </c>
      <c r="L332" s="162"/>
    </row>
    <row r="333" spans="1:12" x14ac:dyDescent="0.2">
      <c r="J333" s="142" t="s">
        <v>1575</v>
      </c>
      <c r="K333" s="162">
        <f>D236+D238+D240+D245+D248+D249+D250+D251+D252+D253+D256+D259+D263+D284+D293+D294+D297+D302+D305+D309</f>
        <v>617294.44999999995</v>
      </c>
      <c r="L333" s="162"/>
    </row>
    <row r="334" spans="1:12" ht="15.75" x14ac:dyDescent="0.25">
      <c r="A334" s="731" t="s">
        <v>1589</v>
      </c>
      <c r="B334" s="729"/>
      <c r="D334" s="729" t="s">
        <v>1606</v>
      </c>
      <c r="E334" s="729"/>
      <c r="F334" s="729"/>
      <c r="G334" s="729"/>
      <c r="J334" s="142" t="s">
        <v>1576</v>
      </c>
      <c r="K334" s="162">
        <v>0</v>
      </c>
    </row>
    <row r="335" spans="1:12" ht="15.75" x14ac:dyDescent="0.25">
      <c r="A335" s="731"/>
      <c r="B335" s="729"/>
      <c r="C335" s="729"/>
      <c r="D335" s="729"/>
      <c r="E335" s="729"/>
      <c r="F335" s="729"/>
      <c r="G335" s="729"/>
      <c r="J335" s="142" t="s">
        <v>1596</v>
      </c>
      <c r="K335" s="701">
        <f>D311+D314+D315</f>
        <v>2081899.48</v>
      </c>
    </row>
    <row r="336" spans="1:12" s="730" customFormat="1" ht="15.75" x14ac:dyDescent="0.25">
      <c r="A336" s="732" t="s">
        <v>1571</v>
      </c>
      <c r="B336" s="737"/>
      <c r="D336" s="773" t="s">
        <v>1591</v>
      </c>
      <c r="E336" s="729"/>
      <c r="F336" s="729"/>
      <c r="H336" s="629"/>
      <c r="J336" s="142" t="s">
        <v>1576</v>
      </c>
      <c r="K336" s="738"/>
      <c r="L336" s="738">
        <f>K332+K333+K334+K335</f>
        <v>4180713.02</v>
      </c>
    </row>
    <row r="337" spans="1:12" s="730" customFormat="1" ht="15.75" x14ac:dyDescent="0.25">
      <c r="A337" s="733" t="s">
        <v>1572</v>
      </c>
      <c r="B337" s="729"/>
      <c r="C337" s="729"/>
      <c r="D337" s="739" t="s">
        <v>1570</v>
      </c>
      <c r="E337" s="729"/>
      <c r="F337" s="729"/>
      <c r="H337" s="629"/>
      <c r="J337" s="142"/>
      <c r="K337" s="142"/>
      <c r="L337" s="701">
        <f>L309-L336</f>
        <v>-4180713.02</v>
      </c>
    </row>
    <row r="338" spans="1:12" s="730" customFormat="1" ht="15.75" x14ac:dyDescent="0.25">
      <c r="H338" s="629"/>
    </row>
    <row r="339" spans="1:12" s="730" customFormat="1" ht="15.75" x14ac:dyDescent="0.25">
      <c r="H339" s="629"/>
      <c r="L339" s="730">
        <v>34321457.009999998</v>
      </c>
    </row>
    <row r="340" spans="1:12" s="730" customFormat="1" ht="15.75" x14ac:dyDescent="0.25">
      <c r="A340" s="729"/>
      <c r="B340" s="729"/>
      <c r="C340" s="729"/>
      <c r="D340" s="729"/>
      <c r="E340" s="729"/>
      <c r="F340" s="729"/>
      <c r="G340" s="729"/>
      <c r="H340" s="629"/>
      <c r="J340" s="730">
        <f>Table6[[#Totals],[CREDIT]]-Table6[[#Totals],[DEBIT]]</f>
        <v>-9321816.3599999808</v>
      </c>
      <c r="L340" s="889">
        <f>L337-L339</f>
        <v>-38502170.030000001</v>
      </c>
    </row>
    <row r="341" spans="1:12" s="730" customFormat="1" ht="15.75" x14ac:dyDescent="0.25">
      <c r="A341" s="729"/>
      <c r="B341" s="729"/>
      <c r="C341" s="729"/>
      <c r="D341" s="729"/>
      <c r="E341" s="729"/>
      <c r="F341" s="729"/>
      <c r="G341" s="729"/>
      <c r="H341" s="629"/>
    </row>
    <row r="354" spans="7:7" ht="15.75" x14ac:dyDescent="0.25">
      <c r="G354" s="629">
        <f>Table6[[#Totals],[CREDIT]]-Table6[[#Totals],[DEBIT]]</f>
        <v>-9321816.3599999994</v>
      </c>
    </row>
  </sheetData>
  <sheetProtection autoFilter="0"/>
  <printOptions horizontalCentered="1"/>
  <pageMargins left="0.23622047244094491" right="0.23622047244094491" top="0.78740157480314965" bottom="0.11811023622047245" header="0.31496062992125984" footer="0.12"/>
  <pageSetup paperSize="14" scale="80" orientation="portrait" horizontalDpi="360" verticalDpi="360" r:id="rId1"/>
  <headerFooter alignWithMargins="0">
    <oddFooter>&amp;L&amp;"Arial,Italic"&amp;9NIA-RO1-AFD-FS-INT-Form39Rev00</oddFooter>
  </headerFooter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355"/>
  <sheetViews>
    <sheetView zoomScaleNormal="100" workbookViewId="0"/>
  </sheetViews>
  <sheetFormatPr defaultColWidth="9" defaultRowHeight="12.75" x14ac:dyDescent="0.2"/>
  <cols>
    <col min="1" max="1" width="56.375" style="604" customWidth="1"/>
    <col min="2" max="2" width="13.625" style="619" customWidth="1"/>
    <col min="3" max="3" width="13.625" style="604" customWidth="1"/>
    <col min="4" max="4" width="17.625" style="604" customWidth="1"/>
    <col min="5" max="6" width="16.375" style="142" hidden="1" customWidth="1"/>
    <col min="7" max="7" width="18.125" style="142" customWidth="1"/>
    <col min="8" max="8" width="19.625" style="162" customWidth="1"/>
    <col min="9" max="16384" width="9" style="142"/>
  </cols>
  <sheetData>
    <row r="1" spans="1:8" ht="27.75" x14ac:dyDescent="0.5">
      <c r="A1" s="736" t="s">
        <v>355</v>
      </c>
      <c r="B1" s="605"/>
      <c r="C1" s="606"/>
      <c r="D1" s="606"/>
      <c r="E1" s="161"/>
      <c r="F1" s="161"/>
      <c r="G1" s="161"/>
    </row>
    <row r="2" spans="1:8" ht="18.75" customHeight="1" x14ac:dyDescent="0.35">
      <c r="A2" s="607" t="s">
        <v>1064</v>
      </c>
      <c r="B2" s="605"/>
      <c r="C2" s="606"/>
      <c r="D2" s="606"/>
      <c r="E2" s="161"/>
      <c r="F2" s="161"/>
      <c r="G2" s="161"/>
    </row>
    <row r="3" spans="1:8" ht="19.5" customHeight="1" x14ac:dyDescent="0.35">
      <c r="A3" s="589" t="s">
        <v>1538</v>
      </c>
      <c r="B3" s="605"/>
      <c r="C3" s="606"/>
      <c r="D3" s="606"/>
      <c r="E3" s="161"/>
      <c r="F3" s="161"/>
      <c r="G3" s="161"/>
    </row>
    <row r="4" spans="1:8" ht="15.75" x14ac:dyDescent="0.25">
      <c r="A4" s="607" t="s">
        <v>1539</v>
      </c>
      <c r="B4" s="608"/>
      <c r="C4" s="590"/>
      <c r="D4" s="590"/>
      <c r="E4" s="140"/>
      <c r="F4" s="140"/>
      <c r="G4" s="140"/>
    </row>
    <row r="5" spans="1:8" ht="15.75" x14ac:dyDescent="0.25">
      <c r="A5" s="589" t="s">
        <v>363</v>
      </c>
      <c r="B5" s="608"/>
      <c r="C5" s="590"/>
      <c r="D5" s="590"/>
      <c r="E5" s="141"/>
      <c r="F5" s="140"/>
      <c r="G5" s="140"/>
    </row>
    <row r="6" spans="1:8" ht="15.75" x14ac:dyDescent="0.25">
      <c r="A6" s="607" t="str">
        <f>Account!$G$1</f>
        <v>FUND 501 CARP</v>
      </c>
      <c r="B6" s="608"/>
      <c r="C6" s="590"/>
      <c r="D6" s="590"/>
      <c r="E6" s="140"/>
      <c r="F6" s="140"/>
      <c r="G6" s="140"/>
    </row>
    <row r="7" spans="1:8" ht="15.75" x14ac:dyDescent="0.25">
      <c r="A7" s="609">
        <f>Account!G2</f>
        <v>44500</v>
      </c>
      <c r="B7" s="608"/>
      <c r="C7" s="590"/>
      <c r="D7" s="610"/>
      <c r="E7" s="140"/>
      <c r="F7" s="140"/>
      <c r="G7" s="140"/>
    </row>
    <row r="8" spans="1:8" ht="18.75" x14ac:dyDescent="0.3">
      <c r="A8" s="611"/>
      <c r="B8" s="608"/>
      <c r="C8" s="590"/>
      <c r="D8" s="612"/>
      <c r="E8" s="342"/>
      <c r="F8" s="140"/>
      <c r="G8" s="140"/>
    </row>
    <row r="9" spans="1:8" ht="47.25" x14ac:dyDescent="0.2">
      <c r="A9" s="593" t="s">
        <v>364</v>
      </c>
      <c r="B9" s="594" t="s">
        <v>1242</v>
      </c>
      <c r="C9" s="594" t="s">
        <v>1243</v>
      </c>
      <c r="D9" s="594" t="s">
        <v>357</v>
      </c>
      <c r="E9" s="486" t="s">
        <v>383</v>
      </c>
      <c r="F9" s="486" t="s">
        <v>384</v>
      </c>
      <c r="G9" s="486" t="s">
        <v>356</v>
      </c>
      <c r="H9" s="487" t="s">
        <v>496</v>
      </c>
    </row>
    <row r="10" spans="1:8" ht="15.75" hidden="1" x14ac:dyDescent="0.25">
      <c r="A10" s="613" t="str">
        <f t="array" ref="A10">INDEX(AccountCodes[ACCOUNT NAME],MATCH(B10,AccountCodes[NGAS CODE],0))</f>
        <v>Cash-Collecting Officers</v>
      </c>
      <c r="B10" s="614" t="s">
        <v>9</v>
      </c>
      <c r="C10" s="615">
        <f t="array" ref="C10">INDEX(AccountCodes[PPSAS CODE],MATCH(B10,AccountCodes[NGAS CODE],0))</f>
        <v>1010101000</v>
      </c>
      <c r="D10" s="616">
        <f>IF(INDEX(AccountCodes[Normal Balance], MATCH(C10,AccountCodes[PPSAS CODE]))="Debit",E10-F10,0)</f>
        <v>0</v>
      </c>
      <c r="E10" s="489">
        <f t="array" ref="E10">(SUM(IF((PostTB[Account Code (Old)]=B10),(PostTB[Debit])))+(SUM(IF((CkDJ[Account Code]=B10)*(CkDJ[Date]&lt;=$A$7),(CkDJ[Debit])))+(SUM(IF((CsDJ[Account Code]=B10)*(CsDJ[Date]&lt;=$A$7),(CsDJ[Debit])))+(SUM(IF((CRDJ[Account Code]=B10)*(CRDJ[Date]&lt;=$A$7),(CRDJ[Debit])))+(SUM(IF((GJ[Account Code]=B10)*(GJ[Date]&lt;=$A$7),(GJ[Debit]))))))))</f>
        <v>0</v>
      </c>
      <c r="F10" s="490">
        <f t="array" ref="F10">(SUM(IF((PostTB[Account Code (Old)]=B10),(PostTB[Credit])))+(SUM(IF((CkDJ[Account Code]=B10)*(CkDJ[Date]&lt;=$A$7),(CkDJ[Credit])))+(SUM(IF((CsDJ[Account Code]=B10)*(CsDJ[Date]&lt;=$A$7),(CsDJ[Credit])))+(SUM(IF((CRDJ[Account Code]=B10)*(CRDJ[Date]&lt;=$A$7),(CRDJ[Credit])))+(SUM(IF((GJ[Account Code]=B10)*(GJ[Date]&lt;=$A$7),(GJ[Credit]))))))))</f>
        <v>0</v>
      </c>
      <c r="G10" s="620">
        <f>IF(INDEX(AccountCodes[Normal Balance], MATCH(C10,AccountCodes[PPSAS CODE]))="Credit",F10-E10,0)</f>
        <v>0</v>
      </c>
      <c r="H10" s="621">
        <f t="shared" ref="H10:H73" si="0">IF(D10=0,G10,D10)</f>
        <v>0</v>
      </c>
    </row>
    <row r="11" spans="1:8" ht="15.75" hidden="1" x14ac:dyDescent="0.25">
      <c r="A11" s="613" t="str">
        <f t="array" ref="A11">INDEX(AccountCodes[ACCOUNT NAME],MATCH(B11,AccountCodes[NGAS CODE],0))</f>
        <v>Petty Cash</v>
      </c>
      <c r="B11" s="602" t="s">
        <v>11</v>
      </c>
      <c r="C11" s="615">
        <f t="array" ref="C11">INDEX(AccountCodes[PPSAS CODE],MATCH(B11,AccountCodes[NGAS CODE],0))</f>
        <v>1010102000</v>
      </c>
      <c r="D11" s="616">
        <f>IF(INDEX(AccountCodes[Normal Balance], MATCH(C11,AccountCodes[PPSAS CODE]))="Debit",E11-F11,0)</f>
        <v>0</v>
      </c>
      <c r="E11" s="488">
        <f t="array" ref="E11">(SUM(IF((PostTB[Account Code (Old)]=B11),(PostTB[Debit])))+(SUM(IF((CkDJ[Account Code]=B11)*(CkDJ[Date]&lt;=$A$7),(CkDJ[Debit])))+(SUM(IF((CsDJ[Account Code]=B11)*(CsDJ[Date]&lt;=$A$7),(CsDJ[Debit])))+(SUM(IF((CRDJ[Account Code]=B11)*(CRDJ[Date]&lt;=$A$7),(CRDJ[Debit])))+(SUM(IF((GJ[Account Code]=B11)*(GJ[Date]&lt;=$A$7),(GJ[Debit]))))))))</f>
        <v>0</v>
      </c>
      <c r="F11" s="490">
        <f t="array" ref="F11">(SUM(IF((PostTB[Account Code (Old)]=B11),(PostTB[Credit])))+(SUM(IF((CkDJ[Account Code]=B11)*(CkDJ[Date]&lt;=$A$7),(CkDJ[Credit])))+(SUM(IF((CsDJ[Account Code]=B11)*(CsDJ[Date]&lt;=$A$7),(CsDJ[Credit])))+(SUM(IF((CRDJ[Account Code]=B11)*(CRDJ[Date]&lt;=$A$7),(CRDJ[Credit])))+(SUM(IF((GJ[Account Code]=B11)*(GJ[Date]&lt;=$A$7),(GJ[Credit]))))))))</f>
        <v>0</v>
      </c>
      <c r="G11" s="620">
        <f>IF(INDEX(AccountCodes[Normal Balance], MATCH(C11,AccountCodes[PPSAS CODE]))="Credit",F11-E11,0)</f>
        <v>0</v>
      </c>
      <c r="H11" s="621">
        <f t="shared" si="0"/>
        <v>0</v>
      </c>
    </row>
    <row r="12" spans="1:8" ht="15.75" hidden="1" x14ac:dyDescent="0.25">
      <c r="A12" s="613" t="str">
        <f t="array" ref="A12">INDEX(AccountCodes[ACCOUNT NAME],MATCH(B12,AccountCodes[NGAS CODE],0))</f>
        <v>Cash in Bank-Local Currency, Current Account</v>
      </c>
      <c r="B12" s="602" t="s">
        <v>13</v>
      </c>
      <c r="C12" s="615">
        <f t="array" ref="C12">INDEX(AccountCodes[PPSAS CODE],MATCH(B12,AccountCodes[NGAS CODE],0))</f>
        <v>1010202000</v>
      </c>
      <c r="D12" s="616">
        <f>IF(INDEX(AccountCodes[Normal Balance], MATCH(C12,AccountCodes[PPSAS CODE]))="Debit",E12-F12,0)</f>
        <v>0</v>
      </c>
      <c r="E12" s="488">
        <f t="array" ref="E12">(SUM(IF((PostTB[Account Code (Old)]=B12),(PostTB[Debit])))+(SUM(IF((CkDJ[Account Code]=B12)*(CkDJ[Date]&lt;=$A$7),(CkDJ[Debit])))+(SUM(IF((CsDJ[Account Code]=B12)*(CsDJ[Date]&lt;=$A$7),(CsDJ[Debit])))+(SUM(IF((CRDJ[Account Code]=B12)*(CRDJ[Date]&lt;=$A$7),(CRDJ[Debit])))+(SUM(IF((GJ[Account Code]=B12)*(GJ[Date]&lt;=$A$7),(GJ[Debit]))))))))</f>
        <v>0</v>
      </c>
      <c r="F12" s="490">
        <f t="array" ref="F12">(SUM(IF((PostTB[Account Code (Old)]=B12),(PostTB[Credit])))+(SUM(IF((CkDJ[Account Code]=B12)*(CkDJ[Date]&lt;=$A$7),(CkDJ[Credit])))+(SUM(IF((CsDJ[Account Code]=B12)*(CsDJ[Date]&lt;=$A$7),(CsDJ[Credit])))+(SUM(IF((CRDJ[Account Code]=B12)*(CRDJ[Date]&lt;=$A$7),(CRDJ[Credit])))+(SUM(IF((GJ[Account Code]=B12)*(GJ[Date]&lt;=$A$7),(GJ[Credit]))))))))</f>
        <v>0</v>
      </c>
      <c r="G12" s="620">
        <f>IF(INDEX(AccountCodes[Normal Balance], MATCH(C12,AccountCodes[PPSAS CODE]))="Credit",F12-E12,0)</f>
        <v>0</v>
      </c>
      <c r="H12" s="621">
        <f t="shared" si="0"/>
        <v>0</v>
      </c>
    </row>
    <row r="13" spans="1:8" ht="15.75" x14ac:dyDescent="0.25">
      <c r="A13" s="613" t="str">
        <f t="array" ref="A13">INDEX(AccountCodes[ACCOUNT NAME],MATCH(B13,AccountCodes[NGAS CODE],0))</f>
        <v>Cash in Bank-Local Currency, Current Account - RO</v>
      </c>
      <c r="B13" s="602" t="s">
        <v>1478</v>
      </c>
      <c r="C13" s="615" t="str">
        <f t="array" ref="C13">INDEX(AccountCodes[PPSAS CODE],MATCH(B13,AccountCodes[NGAS CODE],0))</f>
        <v>1010202000RO</v>
      </c>
      <c r="D13" s="616">
        <f>IF(INDEX(AccountCodes[Normal Balance], MATCH(C13,AccountCodes[PPSAS CODE]))="Debit",E13-F13,0)</f>
        <v>4370388.76</v>
      </c>
      <c r="E13" s="488">
        <f t="array" ref="E13">(SUM(IF((PostTB[Account Code (Old)]=B13),(PostTB[Debit])))+(SUM(IF((CkDJ[Account Code]=B13)*(CkDJ[Date]&lt;=$A$7),(CkDJ[Debit])))+(SUM(IF((CsDJ[Account Code]=B13)*(CsDJ[Date]&lt;=$A$7),(CsDJ[Debit])))+(SUM(IF((CRDJ[Account Code]=B13)*(CRDJ[Date]&lt;=$A$7),(CRDJ[Debit])))+(SUM(IF((GJ[Account Code]=B13)*(GJ[Date]&lt;=$A$7),(GJ[Debit]))))))))</f>
        <v>4370388.76</v>
      </c>
      <c r="F13" s="490">
        <f t="array" ref="F13">(SUM(IF((PostTB[Account Code (Old)]=B13),(PostTB[Credit])))+(SUM(IF((CkDJ[Account Code]=B13)*(CkDJ[Date]&lt;=$A$7),(CkDJ[Credit])))+(SUM(IF((CsDJ[Account Code]=B13)*(CsDJ[Date]&lt;=$A$7),(CsDJ[Credit])))+(SUM(IF((CRDJ[Account Code]=B13)*(CRDJ[Date]&lt;=$A$7),(CRDJ[Credit])))+(SUM(IF((GJ[Account Code]=B13)*(GJ[Date]&lt;=$A$7),(GJ[Credit]))))))))</f>
        <v>0</v>
      </c>
      <c r="G13" s="620">
        <f>IF(INDEX(AccountCodes[Normal Balance], MATCH(C13,AccountCodes[PPSAS CODE]))="Credit",F13-E13,0)</f>
        <v>0</v>
      </c>
      <c r="H13" s="621">
        <f t="shared" si="0"/>
        <v>4370388.76</v>
      </c>
    </row>
    <row r="14" spans="1:8" ht="15.75" hidden="1" x14ac:dyDescent="0.25">
      <c r="A14" s="613" t="str">
        <f t="array" ref="A14">INDEX(AccountCodes[ACCOUNT NAME],MATCH(B14,AccountCodes[NGAS CODE],0))</f>
        <v>Cash in Bank-Local Currency, Current Account - RO Subsidy/Capital Outlay</v>
      </c>
      <c r="B14" s="602" t="s">
        <v>1482</v>
      </c>
      <c r="C14" s="615" t="str">
        <f t="array" ref="C14">INDEX(AccountCodes[PPSAS CODE],MATCH(B14,AccountCodes[NGAS CODE],0))</f>
        <v>1010202000ROSCO</v>
      </c>
      <c r="D14" s="616">
        <f>IF(INDEX(AccountCodes[Normal Balance], MATCH(C14,AccountCodes[PPSAS CODE]))="Debit",E14-F14,0)</f>
        <v>0</v>
      </c>
      <c r="E14" s="488">
        <f t="array" ref="E14">(SUM(IF((PostTB[Account Code (Old)]=B14),(PostTB[Debit])))+(SUM(IF((CkDJ[Account Code]=B14)*(CkDJ[Date]&lt;=$A$7),(CkDJ[Debit])))+(SUM(IF((CsDJ[Account Code]=B14)*(CsDJ[Date]&lt;=$A$7),(CsDJ[Debit])))+(SUM(IF((CRDJ[Account Code]=B14)*(CRDJ[Date]&lt;=$A$7),(CRDJ[Debit])))+(SUM(IF((GJ[Account Code]=B14)*(GJ[Date]&lt;=$A$7),(GJ[Debit]))))))))</f>
        <v>0</v>
      </c>
      <c r="F14" s="490">
        <f t="array" ref="F14">(SUM(IF((PostTB[Account Code (Old)]=B14),(PostTB[Credit])))+(SUM(IF((CkDJ[Account Code]=B14)*(CkDJ[Date]&lt;=$A$7),(CkDJ[Credit])))+(SUM(IF((CsDJ[Account Code]=B14)*(CsDJ[Date]&lt;=$A$7),(CsDJ[Credit])))+(SUM(IF((CRDJ[Account Code]=B14)*(CRDJ[Date]&lt;=$A$7),(CRDJ[Credit])))+(SUM(IF((GJ[Account Code]=B14)*(GJ[Date]&lt;=$A$7),(GJ[Credit]))))))))</f>
        <v>0</v>
      </c>
      <c r="G14" s="620">
        <f>IF(INDEX(AccountCodes[Normal Balance], MATCH(C14,AccountCodes[PPSAS CODE]))="Credit",F14-E14,0)</f>
        <v>0</v>
      </c>
      <c r="H14" s="621">
        <f t="shared" si="0"/>
        <v>0</v>
      </c>
    </row>
    <row r="15" spans="1:8" ht="15.75" hidden="1" x14ac:dyDescent="0.25">
      <c r="A15" s="613" t="str">
        <f t="array" ref="A15">INDEX(AccountCodes[ACCOUNT NAME],MATCH(B15,AccountCodes[NGAS CODE],0))</f>
        <v>Cash in Bank-Local Currency, Current Account - RO Back Accounts</v>
      </c>
      <c r="B15" s="602" t="s">
        <v>1484</v>
      </c>
      <c r="C15" s="615" t="str">
        <f t="array" ref="C15">INDEX(AccountCodes[PPSAS CODE],MATCH(B15,AccountCodes[NGAS CODE],0))</f>
        <v>1010202000ROBA</v>
      </c>
      <c r="D15" s="616">
        <f>IF(INDEX(AccountCodes[Normal Balance], MATCH(C15,AccountCodes[PPSAS CODE]))="Debit",E15-F15,0)</f>
        <v>0</v>
      </c>
      <c r="E15" s="488">
        <f t="array" ref="E15">(SUM(IF((PostTB[Account Code (Old)]=B15),(PostTB[Debit])))+(SUM(IF((CkDJ[Account Code]=B15)*(CkDJ[Date]&lt;=$A$7),(CkDJ[Debit])))+(SUM(IF((CsDJ[Account Code]=B15)*(CsDJ[Date]&lt;=$A$7),(CsDJ[Debit])))+(SUM(IF((CRDJ[Account Code]=B15)*(CRDJ[Date]&lt;=$A$7),(CRDJ[Debit])))+(SUM(IF((GJ[Account Code]=B15)*(GJ[Date]&lt;=$A$7),(GJ[Debit]))))))))</f>
        <v>0</v>
      </c>
      <c r="F15" s="490">
        <f t="array" ref="F15">(SUM(IF((PostTB[Account Code (Old)]=B15),(PostTB[Credit])))+(SUM(IF((CkDJ[Account Code]=B15)*(CkDJ[Date]&lt;=$A$7),(CkDJ[Credit])))+(SUM(IF((CsDJ[Account Code]=B15)*(CsDJ[Date]&lt;=$A$7),(CsDJ[Credit])))+(SUM(IF((CRDJ[Account Code]=B15)*(CRDJ[Date]&lt;=$A$7),(CRDJ[Credit])))+(SUM(IF((GJ[Account Code]=B15)*(GJ[Date]&lt;=$A$7),(GJ[Credit]))))))))</f>
        <v>0</v>
      </c>
      <c r="G15" s="620">
        <f>IF(INDEX(AccountCodes[Normal Balance], MATCH(C15,AccountCodes[PPSAS CODE]))="Credit",F15-E15,0)</f>
        <v>0</v>
      </c>
      <c r="H15" s="621">
        <f t="shared" si="0"/>
        <v>0</v>
      </c>
    </row>
    <row r="16" spans="1:8" ht="15.75" hidden="1" x14ac:dyDescent="0.25">
      <c r="A16" s="613" t="str">
        <f t="array" ref="A16">INDEX(AccountCodes[ACCOUNT NAME],MATCH(B16,AccountCodes[NGAS CODE],0))</f>
        <v>Cash in Bank-Local Currency, Current Account - RO NIMF</v>
      </c>
      <c r="B16" s="602" t="s">
        <v>1486</v>
      </c>
      <c r="C16" s="615" t="str">
        <f t="array" ref="C16">INDEX(AccountCodes[PPSAS CODE],MATCH(B16,AccountCodes[NGAS CODE],0))</f>
        <v>1010202000RONIMF</v>
      </c>
      <c r="D16" s="616">
        <f>IF(INDEX(AccountCodes[Normal Balance], MATCH(C16,AccountCodes[PPSAS CODE]))="Debit",E16-F16,0)</f>
        <v>0</v>
      </c>
      <c r="E16" s="488">
        <f t="array" ref="E16">(SUM(IF((PostTB[Account Code (Old)]=B16),(PostTB[Debit])))+(SUM(IF((CkDJ[Account Code]=B16)*(CkDJ[Date]&lt;=$A$7),(CkDJ[Debit])))+(SUM(IF((CsDJ[Account Code]=B16)*(CsDJ[Date]&lt;=$A$7),(CsDJ[Debit])))+(SUM(IF((CRDJ[Account Code]=B16)*(CRDJ[Date]&lt;=$A$7),(CRDJ[Debit])))+(SUM(IF((GJ[Account Code]=B16)*(GJ[Date]&lt;=$A$7),(GJ[Debit]))))))))</f>
        <v>0</v>
      </c>
      <c r="F16" s="490">
        <f t="array" ref="F16">(SUM(IF((PostTB[Account Code (Old)]=B16),(PostTB[Credit])))+(SUM(IF((CkDJ[Account Code]=B16)*(CkDJ[Date]&lt;=$A$7),(CkDJ[Credit])))+(SUM(IF((CsDJ[Account Code]=B16)*(CsDJ[Date]&lt;=$A$7),(CsDJ[Credit])))+(SUM(IF((CRDJ[Account Code]=B16)*(CRDJ[Date]&lt;=$A$7),(CRDJ[Credit])))+(SUM(IF((GJ[Account Code]=B16)*(GJ[Date]&lt;=$A$7),(GJ[Credit]))))))))</f>
        <v>0</v>
      </c>
      <c r="G16" s="620">
        <f>IF(INDEX(AccountCodes[Normal Balance], MATCH(C16,AccountCodes[PPSAS CODE]))="Credit",F16-E16,0)</f>
        <v>0</v>
      </c>
      <c r="H16" s="621">
        <f t="shared" si="0"/>
        <v>0</v>
      </c>
    </row>
    <row r="17" spans="1:8" ht="15.75" hidden="1" x14ac:dyDescent="0.25">
      <c r="A17" s="613" t="str">
        <f t="array" ref="A17">INDEX(AccountCodes[ACCOUNT NAME],MATCH(B17,AccountCodes[NGAS CODE],0))</f>
        <v>Cash in Bank-Local Currency, Current Account - RO - PC</v>
      </c>
      <c r="B17" s="602" t="s">
        <v>1488</v>
      </c>
      <c r="C17" s="615" t="str">
        <f t="array" ref="C17">INDEX(AccountCodes[PPSAS CODE],MATCH(B17,AccountCodes[NGAS CODE],0))</f>
        <v>1010202000ROPC</v>
      </c>
      <c r="D17" s="616">
        <f>IF(INDEX(AccountCodes[Normal Balance], MATCH(C17,AccountCodes[PPSAS CODE]))="Debit",E17-F17,0)</f>
        <v>0</v>
      </c>
      <c r="E17" s="488">
        <f t="array" ref="E17">(SUM(IF((PostTB[Account Code (Old)]=B17),(PostTB[Debit])))+(SUM(IF((CkDJ[Account Code]=B17)*(CkDJ[Date]&lt;=$A$7),(CkDJ[Debit])))+(SUM(IF((CsDJ[Account Code]=B17)*(CsDJ[Date]&lt;=$A$7),(CsDJ[Debit])))+(SUM(IF((CRDJ[Account Code]=B17)*(CRDJ[Date]&lt;=$A$7),(CRDJ[Debit])))+(SUM(IF((GJ[Account Code]=B17)*(GJ[Date]&lt;=$A$7),(GJ[Debit]))))))))</f>
        <v>0</v>
      </c>
      <c r="F17" s="490">
        <f t="array" ref="F17">(SUM(IF((PostTB[Account Code (Old)]=B17),(PostTB[Credit])))+(SUM(IF((CkDJ[Account Code]=B17)*(CkDJ[Date]&lt;=$A$7),(CkDJ[Credit])))+(SUM(IF((CsDJ[Account Code]=B17)*(CsDJ[Date]&lt;=$A$7),(CsDJ[Credit])))+(SUM(IF((CRDJ[Account Code]=B17)*(CRDJ[Date]&lt;=$A$7),(CRDJ[Credit])))+(SUM(IF((GJ[Account Code]=B17)*(GJ[Date]&lt;=$A$7),(GJ[Credit]))))))))</f>
        <v>0</v>
      </c>
      <c r="G17" s="620">
        <f>IF(INDEX(AccountCodes[Normal Balance], MATCH(C17,AccountCodes[PPSAS CODE]))="Credit",F17-E17,0)</f>
        <v>0</v>
      </c>
      <c r="H17" s="621">
        <f t="shared" si="0"/>
        <v>0</v>
      </c>
    </row>
    <row r="18" spans="1:8" ht="15.75" hidden="1" x14ac:dyDescent="0.25">
      <c r="A18" s="613" t="str">
        <f t="array" ref="A18">INDEX(AccountCodes[ACCOUNT NAME],MATCH(B18,AccountCodes[NGAS CODE],0))</f>
        <v>Cash in Bank-Local Currency, Current Account - RO - LP</v>
      </c>
      <c r="B18" s="602" t="s">
        <v>1490</v>
      </c>
      <c r="C18" s="615" t="str">
        <f t="array" ref="C18">INDEX(AccountCodes[PPSAS CODE],MATCH(B18,AccountCodes[NGAS CODE],0))</f>
        <v>1010202000ROLP</v>
      </c>
      <c r="D18" s="616">
        <f>IF(INDEX(AccountCodes[Normal Balance], MATCH(C18,AccountCodes[PPSAS CODE]))="Debit",E18-F18,0)</f>
        <v>0</v>
      </c>
      <c r="E18" s="488">
        <f t="array" ref="E18">(SUM(IF((PostTB[Account Code (Old)]=B18),(PostTB[Debit])))+(SUM(IF((CkDJ[Account Code]=B18)*(CkDJ[Date]&lt;=$A$7),(CkDJ[Debit])))+(SUM(IF((CsDJ[Account Code]=B18)*(CsDJ[Date]&lt;=$A$7),(CsDJ[Debit])))+(SUM(IF((CRDJ[Account Code]=B18)*(CRDJ[Date]&lt;=$A$7),(CRDJ[Debit])))+(SUM(IF((GJ[Account Code]=B18)*(GJ[Date]&lt;=$A$7),(GJ[Debit]))))))))</f>
        <v>0</v>
      </c>
      <c r="F18" s="490">
        <f t="array" ref="F18">(SUM(IF((PostTB[Account Code (Old)]=B18),(PostTB[Credit])))+(SUM(IF((CkDJ[Account Code]=B18)*(CkDJ[Date]&lt;=$A$7),(CkDJ[Credit])))+(SUM(IF((CsDJ[Account Code]=B18)*(CsDJ[Date]&lt;=$A$7),(CsDJ[Credit])))+(SUM(IF((CRDJ[Account Code]=B18)*(CRDJ[Date]&lt;=$A$7),(CRDJ[Credit])))+(SUM(IF((GJ[Account Code]=B18)*(GJ[Date]&lt;=$A$7),(GJ[Credit]))))))))</f>
        <v>0</v>
      </c>
      <c r="G18" s="620">
        <f>IF(INDEX(AccountCodes[Normal Balance], MATCH(C18,AccountCodes[PPSAS CODE]))="Credit",F18-E18,0)</f>
        <v>0</v>
      </c>
      <c r="H18" s="621">
        <f t="shared" si="0"/>
        <v>0</v>
      </c>
    </row>
    <row r="19" spans="1:8" ht="15.75" x14ac:dyDescent="0.25">
      <c r="A19" s="613" t="str">
        <f t="array" ref="A19">INDEX(AccountCodes[ACCOUNT NAME],MATCH(B19,AccountCodes[NGAS CODE],0))</f>
        <v>Cash in Bank-Local Currency, Current Account - FO</v>
      </c>
      <c r="B19" s="602" t="s">
        <v>1479</v>
      </c>
      <c r="C19" s="615" t="str">
        <f t="array" ref="C19">INDEX(AccountCodes[PPSAS CODE],MATCH(B19,AccountCodes[NGAS CODE],0))</f>
        <v>1010202000FO</v>
      </c>
      <c r="D19" s="616">
        <f>IF(INDEX(AccountCodes[Normal Balance], MATCH(C19,AccountCodes[PPSAS CODE]))="Debit",E19-F19,0)</f>
        <v>14371719.74</v>
      </c>
      <c r="E19" s="488">
        <f t="array" ref="E19">(SUM(IF((PostTB[Account Code (Old)]=B19),(PostTB[Debit])))+(SUM(IF((CkDJ[Account Code]=B19)*(CkDJ[Date]&lt;=$A$7),(CkDJ[Debit])))+(SUM(IF((CsDJ[Account Code]=B19)*(CsDJ[Date]&lt;=$A$7),(CsDJ[Debit])))+(SUM(IF((CRDJ[Account Code]=B19)*(CRDJ[Date]&lt;=$A$7),(CRDJ[Debit])))+(SUM(IF((GJ[Account Code]=B19)*(GJ[Date]&lt;=$A$7),(GJ[Debit]))))))))</f>
        <v>14371719.74</v>
      </c>
      <c r="F19" s="490">
        <f t="array" ref="F19">(SUM(IF((PostTB[Account Code (Old)]=B19),(PostTB[Credit])))+(SUM(IF((CkDJ[Account Code]=B19)*(CkDJ[Date]&lt;=$A$7),(CkDJ[Credit])))+(SUM(IF((CsDJ[Account Code]=B19)*(CsDJ[Date]&lt;=$A$7),(CsDJ[Credit])))+(SUM(IF((CRDJ[Account Code]=B19)*(CRDJ[Date]&lt;=$A$7),(CRDJ[Credit])))+(SUM(IF((GJ[Account Code]=B19)*(GJ[Date]&lt;=$A$7),(GJ[Credit]))))))))</f>
        <v>0</v>
      </c>
      <c r="G19" s="620">
        <f>IF(INDEX(AccountCodes[Normal Balance], MATCH(C19,AccountCodes[PPSAS CODE]))="Credit",F19-E19,0)</f>
        <v>0</v>
      </c>
      <c r="H19" s="621">
        <f t="shared" si="0"/>
        <v>14371719.74</v>
      </c>
    </row>
    <row r="20" spans="1:8" ht="15.75" hidden="1" x14ac:dyDescent="0.25">
      <c r="A20" s="613" t="str">
        <f t="array" ref="A20">INDEX(AccountCodes[ACCOUNT NAME],MATCH(B20,AccountCodes[NGAS CODE],0))</f>
        <v>Cash in Bank-Local Currency, Current Account - FO - PC</v>
      </c>
      <c r="B20" s="602" t="s">
        <v>1492</v>
      </c>
      <c r="C20" s="615" t="str">
        <f t="array" ref="C20">INDEX(AccountCodes[PPSAS CODE],MATCH(B20,AccountCodes[NGAS CODE],0))</f>
        <v>1010202000FOPC</v>
      </c>
      <c r="D20" s="616">
        <f>IF(INDEX(AccountCodes[Normal Balance], MATCH(C20,AccountCodes[PPSAS CODE]))="Debit",E20-F20,0)</f>
        <v>0</v>
      </c>
      <c r="E20" s="488">
        <f t="array" ref="E20">(SUM(IF((PostTB[Account Code (Old)]=B20),(PostTB[Debit])))+(SUM(IF((CkDJ[Account Code]=B20)*(CkDJ[Date]&lt;=$A$7),(CkDJ[Debit])))+(SUM(IF((CsDJ[Account Code]=B20)*(CsDJ[Date]&lt;=$A$7),(CsDJ[Debit])))+(SUM(IF((CRDJ[Account Code]=B20)*(CRDJ[Date]&lt;=$A$7),(CRDJ[Debit])))+(SUM(IF((GJ[Account Code]=B20)*(GJ[Date]&lt;=$A$7),(GJ[Debit]))))))))</f>
        <v>0</v>
      </c>
      <c r="F20" s="490">
        <f t="array" ref="F20">(SUM(IF((PostTB[Account Code (Old)]=B20),(PostTB[Credit])))+(SUM(IF((CkDJ[Account Code]=B20)*(CkDJ[Date]&lt;=$A$7),(CkDJ[Credit])))+(SUM(IF((CsDJ[Account Code]=B20)*(CsDJ[Date]&lt;=$A$7),(CsDJ[Credit])))+(SUM(IF((CRDJ[Account Code]=B20)*(CRDJ[Date]&lt;=$A$7),(CRDJ[Credit])))+(SUM(IF((GJ[Account Code]=B20)*(GJ[Date]&lt;=$A$7),(GJ[Credit]))))))))</f>
        <v>0</v>
      </c>
      <c r="G20" s="620">
        <f>IF(INDEX(AccountCodes[Normal Balance], MATCH(C20,AccountCodes[PPSAS CODE]))="Credit",F20-E20,0)</f>
        <v>0</v>
      </c>
      <c r="H20" s="621">
        <f t="shared" si="0"/>
        <v>0</v>
      </c>
    </row>
    <row r="21" spans="1:8" ht="15.75" hidden="1" x14ac:dyDescent="0.25">
      <c r="A21" s="613" t="str">
        <f t="array" ref="A21">INDEX(AccountCodes[ACCOUNT NAME],MATCH(B21,AccountCodes[NGAS CODE],0))</f>
        <v>Cash in Bank-Local Currency, Current Account - FO - LP</v>
      </c>
      <c r="B21" s="602" t="s">
        <v>1494</v>
      </c>
      <c r="C21" s="615" t="str">
        <f t="array" ref="C21">INDEX(AccountCodes[PPSAS CODE],MATCH(B21,AccountCodes[NGAS CODE],0))</f>
        <v>1010202000FOLP</v>
      </c>
      <c r="D21" s="616">
        <f>IF(INDEX(AccountCodes[Normal Balance], MATCH(C21,AccountCodes[PPSAS CODE]))="Debit",E21-F21,0)</f>
        <v>0</v>
      </c>
      <c r="E21" s="488">
        <f t="array" ref="E21">(SUM(IF((PostTB[Account Code (Old)]=B21),(PostTB[Debit])))+(SUM(IF((CkDJ[Account Code]=B21)*(CkDJ[Date]&lt;=$A$7),(CkDJ[Debit])))+(SUM(IF((CsDJ[Account Code]=B21)*(CsDJ[Date]&lt;=$A$7),(CsDJ[Debit])))+(SUM(IF((CRDJ[Account Code]=B21)*(CRDJ[Date]&lt;=$A$7),(CRDJ[Debit])))+(SUM(IF((GJ[Account Code]=B21)*(GJ[Date]&lt;=$A$7),(GJ[Debit]))))))))</f>
        <v>0</v>
      </c>
      <c r="F21" s="490">
        <f t="array" ref="F21">(SUM(IF((PostTB[Account Code (Old)]=B21),(PostTB[Credit])))+(SUM(IF((CkDJ[Account Code]=B21)*(CkDJ[Date]&lt;=$A$7),(CkDJ[Credit])))+(SUM(IF((CsDJ[Account Code]=B21)*(CsDJ[Date]&lt;=$A$7),(CsDJ[Credit])))+(SUM(IF((CRDJ[Account Code]=B21)*(CRDJ[Date]&lt;=$A$7),(CRDJ[Credit])))+(SUM(IF((GJ[Account Code]=B21)*(GJ[Date]&lt;=$A$7),(GJ[Credit]))))))))</f>
        <v>0</v>
      </c>
      <c r="G21" s="620">
        <f>IF(INDEX(AccountCodes[Normal Balance], MATCH(C21,AccountCodes[PPSAS CODE]))="Credit",F21-E21,0)</f>
        <v>0</v>
      </c>
      <c r="H21" s="621">
        <f t="shared" si="0"/>
        <v>0</v>
      </c>
    </row>
    <row r="22" spans="1:8" ht="15.75" hidden="1" x14ac:dyDescent="0.25">
      <c r="A22" s="613" t="str">
        <f t="array" ref="A22">INDEX(AccountCodes[ACCOUNT NAME],MATCH(B22,AccountCodes[NGAS CODE],0))</f>
        <v>Cash in Bank-Local Currency, Current Account</v>
      </c>
      <c r="B22" s="602" t="s">
        <v>13</v>
      </c>
      <c r="C22" s="615">
        <f t="array" ref="C22">INDEX(AccountCodes[PPSAS CODE],MATCH(B22,AccountCodes[NGAS CODE],0))</f>
        <v>1010202000</v>
      </c>
      <c r="D22" s="616">
        <f>IF(INDEX(AccountCodes[Normal Balance], MATCH(C22,AccountCodes[PPSAS CODE]))="Debit",E22-F22,0)</f>
        <v>0</v>
      </c>
      <c r="E22" s="488">
        <f t="array" ref="E22">(SUM(IF((PostTB[Account Code (Old)]=B22),(PostTB[Debit])))+(SUM(IF((CkDJ[Account Code]=B22)*(CkDJ[Date]&lt;=$A$7),(CkDJ[Debit])))+(SUM(IF((CsDJ[Account Code]=B22)*(CsDJ[Date]&lt;=$A$7),(CsDJ[Debit])))+(SUM(IF((CRDJ[Account Code]=B22)*(CRDJ[Date]&lt;=$A$7),(CRDJ[Debit])))+(SUM(IF((GJ[Account Code]=B22)*(GJ[Date]&lt;=$A$7),(GJ[Debit]))))))))</f>
        <v>0</v>
      </c>
      <c r="F22" s="490">
        <f t="array" ref="F22">(SUM(IF((PostTB[Account Code (Old)]=B22),(PostTB[Credit])))+(SUM(IF((CkDJ[Account Code]=B22)*(CkDJ[Date]&lt;=$A$7),(CkDJ[Credit])))+(SUM(IF((CsDJ[Account Code]=B22)*(CsDJ[Date]&lt;=$A$7),(CsDJ[Credit])))+(SUM(IF((CRDJ[Account Code]=B22)*(CRDJ[Date]&lt;=$A$7),(CRDJ[Credit])))+(SUM(IF((GJ[Account Code]=B22)*(GJ[Date]&lt;=$A$7),(GJ[Credit]))))))))</f>
        <v>0</v>
      </c>
      <c r="G22" s="620">
        <f>IF(INDEX(AccountCodes[Normal Balance], MATCH(C22,AccountCodes[PPSAS CODE]))="Credit",F22-E22,0)</f>
        <v>0</v>
      </c>
      <c r="H22" s="621">
        <f t="shared" si="0"/>
        <v>0</v>
      </c>
    </row>
    <row r="23" spans="1:8" ht="15.75" hidden="1" x14ac:dyDescent="0.25">
      <c r="A23" s="613" t="str">
        <f t="array" ref="A23">INDEX(AccountCodes[ACCOUNT NAME],MATCH(B23,AccountCodes[NGAS CODE],0))</f>
        <v>Cash in Bank-Local Currency, Current Account</v>
      </c>
      <c r="B23" s="602" t="s">
        <v>13</v>
      </c>
      <c r="C23" s="615">
        <f t="array" ref="C23">INDEX(AccountCodes[PPSAS CODE],MATCH(B23,AccountCodes[NGAS CODE],0))</f>
        <v>1010202000</v>
      </c>
      <c r="D23" s="616">
        <f>IF(INDEX(AccountCodes[Normal Balance], MATCH(C23,AccountCodes[PPSAS CODE]))="Debit",E23-F23,0)</f>
        <v>0</v>
      </c>
      <c r="E23" s="488">
        <f t="array" ref="E23">(SUM(IF((PostTB[Account Code (Old)]=B23),(PostTB[Debit])))+(SUM(IF((CkDJ[Account Code]=B23)*(CkDJ[Date]&lt;=$A$7),(CkDJ[Debit])))+(SUM(IF((CsDJ[Account Code]=B23)*(CsDJ[Date]&lt;=$A$7),(CsDJ[Debit])))+(SUM(IF((CRDJ[Account Code]=B23)*(CRDJ[Date]&lt;=$A$7),(CRDJ[Debit])))+(SUM(IF((GJ[Account Code]=B23)*(GJ[Date]&lt;=$A$7),(GJ[Debit]))))))))</f>
        <v>0</v>
      </c>
      <c r="F23" s="490">
        <f t="array" ref="F23">(SUM(IF((PostTB[Account Code (Old)]=B23),(PostTB[Credit])))+(SUM(IF((CkDJ[Account Code]=B23)*(CkDJ[Date]&lt;=$A$7),(CkDJ[Credit])))+(SUM(IF((CsDJ[Account Code]=B23)*(CsDJ[Date]&lt;=$A$7),(CsDJ[Credit])))+(SUM(IF((CRDJ[Account Code]=B23)*(CRDJ[Date]&lt;=$A$7),(CRDJ[Credit])))+(SUM(IF((GJ[Account Code]=B23)*(GJ[Date]&lt;=$A$7),(GJ[Credit]))))))))</f>
        <v>0</v>
      </c>
      <c r="G23" s="620">
        <f>IF(INDEX(AccountCodes[Normal Balance], MATCH(C23,AccountCodes[PPSAS CODE]))="Credit",F23-E23,0)</f>
        <v>0</v>
      </c>
      <c r="H23" s="621">
        <f t="shared" si="0"/>
        <v>0</v>
      </c>
    </row>
    <row r="24" spans="1:8" ht="15.75" hidden="1" x14ac:dyDescent="0.25">
      <c r="A24" s="613" t="str">
        <f t="array" ref="A24">INDEX(AccountCodes[ACCOUNT NAME],MATCH(B24,AccountCodes[NGAS CODE],0))</f>
        <v>Cash in Bank-Local Currency, Savings Account</v>
      </c>
      <c r="B24" s="602" t="s">
        <v>14</v>
      </c>
      <c r="C24" s="615">
        <f t="array" ref="C24">INDEX(AccountCodes[PPSAS CODE],MATCH(B24,AccountCodes[NGAS CODE],0))</f>
        <v>1010203000</v>
      </c>
      <c r="D24" s="616">
        <f>IF(INDEX(AccountCodes[Normal Balance], MATCH(C24,AccountCodes[PPSAS CODE]))="Debit",E24-F24,0)</f>
        <v>0</v>
      </c>
      <c r="E24" s="488">
        <f t="array" ref="E24">(SUM(IF((PostTB[Account Code (Old)]=B24),(PostTB[Debit])))+(SUM(IF((CkDJ[Account Code]=B24)*(CkDJ[Date]&lt;=$A$7),(CkDJ[Debit])))+(SUM(IF((CsDJ[Account Code]=B24)*(CsDJ[Date]&lt;=$A$7),(CsDJ[Debit])))+(SUM(IF((CRDJ[Account Code]=B24)*(CRDJ[Date]&lt;=$A$7),(CRDJ[Debit])))+(SUM(IF((GJ[Account Code]=B24)*(GJ[Date]&lt;=$A$7),(GJ[Debit]))))))))</f>
        <v>0</v>
      </c>
      <c r="F24" s="490">
        <f t="array" ref="F24">(SUM(IF((PostTB[Account Code (Old)]=B24),(PostTB[Credit])))+(SUM(IF((CkDJ[Account Code]=B24)*(CkDJ[Date]&lt;=$A$7),(CkDJ[Credit])))+(SUM(IF((CsDJ[Account Code]=B24)*(CsDJ[Date]&lt;=$A$7),(CsDJ[Credit])))+(SUM(IF((CRDJ[Account Code]=B24)*(CRDJ[Date]&lt;=$A$7),(CRDJ[Credit])))+(SUM(IF((GJ[Account Code]=B24)*(GJ[Date]&lt;=$A$7),(GJ[Credit]))))))))</f>
        <v>0</v>
      </c>
      <c r="G24" s="620">
        <f>IF(INDEX(AccountCodes[Normal Balance], MATCH(C24,AccountCodes[PPSAS CODE]))="Credit",F24-E24,0)</f>
        <v>0</v>
      </c>
      <c r="H24" s="621">
        <f t="shared" si="0"/>
        <v>0</v>
      </c>
    </row>
    <row r="25" spans="1:8" ht="15.75" hidden="1" x14ac:dyDescent="0.25">
      <c r="A25" s="613" t="str">
        <f t="array" ref="A25">INDEX(AccountCodes[ACCOUNT NAME],MATCH(B25,AccountCodes[NGAS CODE],0))</f>
        <v>Cash in Bank-Local Currency, Savings Account</v>
      </c>
      <c r="B25" s="602" t="s">
        <v>14</v>
      </c>
      <c r="C25" s="615">
        <f t="array" ref="C25">INDEX(AccountCodes[PPSAS CODE],MATCH(B25,AccountCodes[NGAS CODE],0))</f>
        <v>1010203000</v>
      </c>
      <c r="D25" s="616">
        <f>IF(INDEX(AccountCodes[Normal Balance], MATCH(C25,AccountCodes[PPSAS CODE]))="Debit",E25-F25,0)</f>
        <v>0</v>
      </c>
      <c r="E25" s="488">
        <f t="array" ref="E25">(SUM(IF((PostTB[Account Code (Old)]=B25),(PostTB[Debit])))+(SUM(IF((CkDJ[Account Code]=B25)*(CkDJ[Date]&lt;=$A$7),(CkDJ[Debit])))+(SUM(IF((CsDJ[Account Code]=B25)*(CsDJ[Date]&lt;=$A$7),(CsDJ[Debit])))+(SUM(IF((CRDJ[Account Code]=B25)*(CRDJ[Date]&lt;=$A$7),(CRDJ[Debit])))+(SUM(IF((GJ[Account Code]=B25)*(GJ[Date]&lt;=$A$7),(GJ[Debit]))))))))</f>
        <v>0</v>
      </c>
      <c r="F25" s="490">
        <f t="array" ref="F25">(SUM(IF((PostTB[Account Code (Old)]=B25),(PostTB[Credit])))+(SUM(IF((CkDJ[Account Code]=B25)*(CkDJ[Date]&lt;=$A$7),(CkDJ[Credit])))+(SUM(IF((CsDJ[Account Code]=B25)*(CsDJ[Date]&lt;=$A$7),(CsDJ[Credit])))+(SUM(IF((CRDJ[Account Code]=B25)*(CRDJ[Date]&lt;=$A$7),(CRDJ[Credit])))+(SUM(IF((GJ[Account Code]=B25)*(GJ[Date]&lt;=$A$7),(GJ[Credit]))))))))</f>
        <v>0</v>
      </c>
      <c r="G25" s="620">
        <f>IF(INDEX(AccountCodes[Normal Balance], MATCH(C25,AccountCodes[PPSAS CODE]))="Credit",F25-E25,0)</f>
        <v>0</v>
      </c>
      <c r="H25" s="621">
        <f t="shared" si="0"/>
        <v>0</v>
      </c>
    </row>
    <row r="26" spans="1:8" ht="15.75" hidden="1" x14ac:dyDescent="0.25">
      <c r="A26" s="613" t="str">
        <f t="array" ref="A26">INDEX(AccountCodes[ACCOUNT NAME],MATCH(B26,AccountCodes[NGAS CODE],0))</f>
        <v>Cash in Bank-Local Currency, Savings Account</v>
      </c>
      <c r="B26" s="602" t="s">
        <v>14</v>
      </c>
      <c r="C26" s="615">
        <f t="array" ref="C26">INDEX(AccountCodes[PPSAS CODE],MATCH(B26,AccountCodes[NGAS CODE],0))</f>
        <v>1010203000</v>
      </c>
      <c r="D26" s="616">
        <f>IF(INDEX(AccountCodes[Normal Balance], MATCH(C26,AccountCodes[PPSAS CODE]))="Debit",E26-F26,0)</f>
        <v>0</v>
      </c>
      <c r="E26" s="488">
        <f t="array" ref="E26">(SUM(IF((PostTB[Account Code (Old)]=B26),(PostTB[Debit])))+(SUM(IF((CkDJ[Account Code]=B26)*(CkDJ[Date]&lt;=$A$7),(CkDJ[Debit])))+(SUM(IF((CsDJ[Account Code]=B26)*(CsDJ[Date]&lt;=$A$7),(CsDJ[Debit])))+(SUM(IF((CRDJ[Account Code]=B26)*(CRDJ[Date]&lt;=$A$7),(CRDJ[Debit])))+(SUM(IF((GJ[Account Code]=B26)*(GJ[Date]&lt;=$A$7),(GJ[Debit]))))))))</f>
        <v>0</v>
      </c>
      <c r="F26" s="490">
        <f t="array" ref="F26">(SUM(IF((PostTB[Account Code (Old)]=B26),(PostTB[Credit])))+(SUM(IF((CkDJ[Account Code]=B26)*(CkDJ[Date]&lt;=$A$7),(CkDJ[Credit])))+(SUM(IF((CsDJ[Account Code]=B26)*(CsDJ[Date]&lt;=$A$7),(CsDJ[Credit])))+(SUM(IF((CRDJ[Account Code]=B26)*(CRDJ[Date]&lt;=$A$7),(CRDJ[Credit])))+(SUM(IF((GJ[Account Code]=B26)*(GJ[Date]&lt;=$A$7),(GJ[Credit]))))))))</f>
        <v>0</v>
      </c>
      <c r="G26" s="620">
        <f>IF(INDEX(AccountCodes[Normal Balance], MATCH(C26,AccountCodes[PPSAS CODE]))="Credit",F26-E26,0)</f>
        <v>0</v>
      </c>
      <c r="H26" s="621">
        <f t="shared" si="0"/>
        <v>0</v>
      </c>
    </row>
    <row r="27" spans="1:8" ht="15.75" hidden="1" x14ac:dyDescent="0.25">
      <c r="A27" s="613" t="str">
        <f t="array" ref="A27">INDEX(AccountCodes[ACCOUNT NAME],MATCH(B27,AccountCodes[NGAS CODE],0))</f>
        <v>Cash in Bank-Local Currency, Time Deposits</v>
      </c>
      <c r="B27" s="602" t="s">
        <v>15</v>
      </c>
      <c r="C27" s="615">
        <f t="array" ref="C27">INDEX(AccountCodes[PPSAS CODE],MATCH(B27,AccountCodes[NGAS CODE],0))</f>
        <v>1010204000</v>
      </c>
      <c r="D27" s="616">
        <f>IF(INDEX(AccountCodes[Normal Balance], MATCH(C27,AccountCodes[PPSAS CODE]))="Debit",E27-F27,0)</f>
        <v>0</v>
      </c>
      <c r="E27" s="488">
        <f t="array" ref="E27">(SUM(IF((PostTB[Account Code (Old)]=B27),(PostTB[Debit])))+(SUM(IF((CkDJ[Account Code]=B27)*(CkDJ[Date]&lt;=$A$7),(CkDJ[Debit])))+(SUM(IF((CsDJ[Account Code]=B27)*(CsDJ[Date]&lt;=$A$7),(CsDJ[Debit])))+(SUM(IF((CRDJ[Account Code]=B27)*(CRDJ[Date]&lt;=$A$7),(CRDJ[Debit])))+(SUM(IF((GJ[Account Code]=B27)*(GJ[Date]&lt;=$A$7),(GJ[Debit]))))))))</f>
        <v>0</v>
      </c>
      <c r="F27" s="490">
        <f t="array" ref="F27">(SUM(IF((PostTB[Account Code (Old)]=B27),(PostTB[Credit])))+(SUM(IF((CkDJ[Account Code]=B27)*(CkDJ[Date]&lt;=$A$7),(CkDJ[Credit])))+(SUM(IF((CsDJ[Account Code]=B27)*(CsDJ[Date]&lt;=$A$7),(CsDJ[Credit])))+(SUM(IF((CRDJ[Account Code]=B27)*(CRDJ[Date]&lt;=$A$7),(CRDJ[Credit])))+(SUM(IF((GJ[Account Code]=B27)*(GJ[Date]&lt;=$A$7),(GJ[Credit]))))))))</f>
        <v>0</v>
      </c>
      <c r="G27" s="620">
        <f>IF(INDEX(AccountCodes[Normal Balance], MATCH(C27,AccountCodes[PPSAS CODE]))="Credit",F27-E27,0)</f>
        <v>0</v>
      </c>
      <c r="H27" s="621">
        <f t="shared" si="0"/>
        <v>0</v>
      </c>
    </row>
    <row r="28" spans="1:8" ht="15.75" hidden="1" x14ac:dyDescent="0.25">
      <c r="A28" s="613" t="str">
        <f t="array" ref="A28">INDEX(AccountCodes[ACCOUNT NAME],MATCH(B28,AccountCodes[NGAS CODE],0))</f>
        <v>Cash in Bank-Local Currency, Time Deposits</v>
      </c>
      <c r="B28" s="602" t="s">
        <v>15</v>
      </c>
      <c r="C28" s="615">
        <f t="array" ref="C28">INDEX(AccountCodes[PPSAS CODE],MATCH(B28,AccountCodes[NGAS CODE],0))</f>
        <v>1010204000</v>
      </c>
      <c r="D28" s="616">
        <f>IF(INDEX(AccountCodes[Normal Balance], MATCH(C28,AccountCodes[PPSAS CODE]))="Debit",E28-F28,0)</f>
        <v>0</v>
      </c>
      <c r="E28" s="488">
        <f t="array" ref="E28">(SUM(IF((PostTB[Account Code (Old)]=B28),(PostTB[Debit])))+(SUM(IF((CkDJ[Account Code]=B28)*(CkDJ[Date]&lt;=$A$7),(CkDJ[Debit])))+(SUM(IF((CsDJ[Account Code]=B28)*(CsDJ[Date]&lt;=$A$7),(CsDJ[Debit])))+(SUM(IF((CRDJ[Account Code]=B28)*(CRDJ[Date]&lt;=$A$7),(CRDJ[Debit])))+(SUM(IF((GJ[Account Code]=B28)*(GJ[Date]&lt;=$A$7),(GJ[Debit]))))))))</f>
        <v>0</v>
      </c>
      <c r="F28" s="490">
        <f t="array" ref="F28">(SUM(IF((PostTB[Account Code (Old)]=B28),(PostTB[Credit])))+(SUM(IF((CkDJ[Account Code]=B28)*(CkDJ[Date]&lt;=$A$7),(CkDJ[Credit])))+(SUM(IF((CsDJ[Account Code]=B28)*(CsDJ[Date]&lt;=$A$7),(CsDJ[Credit])))+(SUM(IF((CRDJ[Account Code]=B28)*(CRDJ[Date]&lt;=$A$7),(CRDJ[Credit])))+(SUM(IF((GJ[Account Code]=B28)*(GJ[Date]&lt;=$A$7),(GJ[Credit]))))))))</f>
        <v>0</v>
      </c>
      <c r="G28" s="620">
        <f>IF(INDEX(AccountCodes[Normal Balance], MATCH(C28,AccountCodes[PPSAS CODE]))="Credit",F28-E28,0)</f>
        <v>0</v>
      </c>
      <c r="H28" s="621">
        <f t="shared" si="0"/>
        <v>0</v>
      </c>
    </row>
    <row r="29" spans="1:8" ht="15.75" hidden="1" x14ac:dyDescent="0.25">
      <c r="A29" s="613" t="str">
        <f t="array" ref="A29">INDEX(AccountCodes[ACCOUNT NAME],MATCH(B29,AccountCodes[NGAS CODE],0))</f>
        <v>Cash in Bank-Foreign Currency, Current Account</v>
      </c>
      <c r="B29" s="602" t="s">
        <v>16</v>
      </c>
      <c r="C29" s="615">
        <f t="array" ref="C29">INDEX(AccountCodes[PPSAS CODE],MATCH(B29,AccountCodes[NGAS CODE],0))</f>
        <v>1010302000</v>
      </c>
      <c r="D29" s="616">
        <f>IF(INDEX(AccountCodes[Normal Balance], MATCH(C29,AccountCodes[PPSAS CODE]))="Debit",E29-F29,0)</f>
        <v>0</v>
      </c>
      <c r="E29" s="488">
        <f t="array" ref="E29">(SUM(IF((PostTB[Account Code (Old)]=B29),(PostTB[Debit])))+(SUM(IF((CkDJ[Account Code]=B29)*(CkDJ[Date]&lt;=$A$7),(CkDJ[Debit])))+(SUM(IF((CsDJ[Account Code]=B29)*(CsDJ[Date]&lt;=$A$7),(CsDJ[Debit])))+(SUM(IF((CRDJ[Account Code]=B29)*(CRDJ[Date]&lt;=$A$7),(CRDJ[Debit])))+(SUM(IF((GJ[Account Code]=B29)*(GJ[Date]&lt;=$A$7),(GJ[Debit]))))))))</f>
        <v>0</v>
      </c>
      <c r="F29" s="490">
        <f t="array" ref="F29">(SUM(IF((PostTB[Account Code (Old)]=B29),(PostTB[Credit])))+(SUM(IF((CkDJ[Account Code]=B29)*(CkDJ[Date]&lt;=$A$7),(CkDJ[Credit])))+(SUM(IF((CsDJ[Account Code]=B29)*(CsDJ[Date]&lt;=$A$7),(CsDJ[Credit])))+(SUM(IF((CRDJ[Account Code]=B29)*(CRDJ[Date]&lt;=$A$7),(CRDJ[Credit])))+(SUM(IF((GJ[Account Code]=B29)*(GJ[Date]&lt;=$A$7),(GJ[Credit]))))))))</f>
        <v>0</v>
      </c>
      <c r="G29" s="620">
        <f>IF(INDEX(AccountCodes[Normal Balance], MATCH(C29,AccountCodes[PPSAS CODE]))="Credit",F29-E29,0)</f>
        <v>0</v>
      </c>
      <c r="H29" s="621">
        <f t="shared" si="0"/>
        <v>0</v>
      </c>
    </row>
    <row r="30" spans="1:8" ht="15.75" hidden="1" x14ac:dyDescent="0.25">
      <c r="A30" s="613" t="str">
        <f t="array" ref="A30">INDEX(AccountCodes[ACCOUNT NAME],MATCH(B30,AccountCodes[NGAS CODE],0))</f>
        <v>Cash in Bank-Foreign Currency, Current Account</v>
      </c>
      <c r="B30" s="602" t="s">
        <v>16</v>
      </c>
      <c r="C30" s="615">
        <f t="array" ref="C30">INDEX(AccountCodes[PPSAS CODE],MATCH(B30,AccountCodes[NGAS CODE],0))</f>
        <v>1010302000</v>
      </c>
      <c r="D30" s="616">
        <f>IF(INDEX(AccountCodes[Normal Balance], MATCH(C30,AccountCodes[PPSAS CODE]))="Debit",E30-F30,0)</f>
        <v>0</v>
      </c>
      <c r="E30" s="488">
        <f t="array" ref="E30">(SUM(IF((PostTB[Account Code (Old)]=B30),(PostTB[Debit])))+(SUM(IF((CkDJ[Account Code]=B30)*(CkDJ[Date]&lt;=$A$7),(CkDJ[Debit])))+(SUM(IF((CsDJ[Account Code]=B30)*(CsDJ[Date]&lt;=$A$7),(CsDJ[Debit])))+(SUM(IF((CRDJ[Account Code]=B30)*(CRDJ[Date]&lt;=$A$7),(CRDJ[Debit])))+(SUM(IF((GJ[Account Code]=B30)*(GJ[Date]&lt;=$A$7),(GJ[Debit]))))))))</f>
        <v>0</v>
      </c>
      <c r="F30" s="490">
        <f t="array" ref="F30">(SUM(IF((PostTB[Account Code (Old)]=B30),(PostTB[Credit])))+(SUM(IF((CkDJ[Account Code]=B30)*(CkDJ[Date]&lt;=$A$7),(CkDJ[Credit])))+(SUM(IF((CsDJ[Account Code]=B30)*(CsDJ[Date]&lt;=$A$7),(CsDJ[Credit])))+(SUM(IF((CRDJ[Account Code]=B30)*(CRDJ[Date]&lt;=$A$7),(CRDJ[Credit])))+(SUM(IF((GJ[Account Code]=B30)*(GJ[Date]&lt;=$A$7),(GJ[Credit]))))))))</f>
        <v>0</v>
      </c>
      <c r="G30" s="620">
        <f>IF(INDEX(AccountCodes[Normal Balance], MATCH(C30,AccountCodes[PPSAS CODE]))="Credit",F30-E30,0)</f>
        <v>0</v>
      </c>
      <c r="H30" s="621">
        <f t="shared" si="0"/>
        <v>0</v>
      </c>
    </row>
    <row r="31" spans="1:8" ht="15.75" hidden="1" x14ac:dyDescent="0.25">
      <c r="A31" s="613" t="str">
        <f t="array" ref="A31">INDEX(AccountCodes[ACCOUNT NAME],MATCH(B31,AccountCodes[NGAS CODE],0))</f>
        <v>Cash in Bank-Foreign Currency, Current Account</v>
      </c>
      <c r="B31" s="602" t="s">
        <v>16</v>
      </c>
      <c r="C31" s="615">
        <f t="array" ref="C31">INDEX(AccountCodes[PPSAS CODE],MATCH(B31,AccountCodes[NGAS CODE],0))</f>
        <v>1010302000</v>
      </c>
      <c r="D31" s="616">
        <f>IF(INDEX(AccountCodes[Normal Balance], MATCH(C31,AccountCodes[PPSAS CODE]))="Debit",E31-F31,0)</f>
        <v>0</v>
      </c>
      <c r="E31" s="488">
        <f t="array" ref="E31">(SUM(IF((PostTB[Account Code (Old)]=B31),(PostTB[Debit])))+(SUM(IF((CkDJ[Account Code]=B31)*(CkDJ[Date]&lt;=$A$7),(CkDJ[Debit])))+(SUM(IF((CsDJ[Account Code]=B31)*(CsDJ[Date]&lt;=$A$7),(CsDJ[Debit])))+(SUM(IF((CRDJ[Account Code]=B31)*(CRDJ[Date]&lt;=$A$7),(CRDJ[Debit])))+(SUM(IF((GJ[Account Code]=B31)*(GJ[Date]&lt;=$A$7),(GJ[Debit]))))))))</f>
        <v>0</v>
      </c>
      <c r="F31" s="490">
        <f t="array" ref="F31">(SUM(IF((PostTB[Account Code (Old)]=B31),(PostTB[Credit])))+(SUM(IF((CkDJ[Account Code]=B31)*(CkDJ[Date]&lt;=$A$7),(CkDJ[Credit])))+(SUM(IF((CsDJ[Account Code]=B31)*(CsDJ[Date]&lt;=$A$7),(CsDJ[Credit])))+(SUM(IF((CRDJ[Account Code]=B31)*(CRDJ[Date]&lt;=$A$7),(CRDJ[Credit])))+(SUM(IF((GJ[Account Code]=B31)*(GJ[Date]&lt;=$A$7),(GJ[Credit]))))))))</f>
        <v>0</v>
      </c>
      <c r="G31" s="620">
        <f>IF(INDEX(AccountCodes[Normal Balance], MATCH(C31,AccountCodes[PPSAS CODE]))="Credit",F31-E31,0)</f>
        <v>0</v>
      </c>
      <c r="H31" s="621">
        <f t="shared" si="0"/>
        <v>0</v>
      </c>
    </row>
    <row r="32" spans="1:8" ht="15.75" hidden="1" x14ac:dyDescent="0.25">
      <c r="A32" s="613" t="str">
        <f t="array" ref="A32">INDEX(AccountCodes[ACCOUNT NAME],MATCH(B32,AccountCodes[NGAS CODE],0))</f>
        <v>Cash in Bank-Foreign Currency, Time Deposits</v>
      </c>
      <c r="B32" s="602" t="s">
        <v>17</v>
      </c>
      <c r="C32" s="615">
        <f t="array" ref="C32">INDEX(AccountCodes[PPSAS CODE],MATCH(B32,AccountCodes[NGAS CODE],0))</f>
        <v>1010304000</v>
      </c>
      <c r="D32" s="616">
        <f>IF(INDEX(AccountCodes[Normal Balance], MATCH(C32,AccountCodes[PPSAS CODE]))="Debit",E32-F32,0)</f>
        <v>0</v>
      </c>
      <c r="E32" s="488">
        <f t="array" ref="E32">(SUM(IF((PostTB[Account Code (Old)]=B32),(PostTB[Debit])))+(SUM(IF((CkDJ[Account Code]=B32)*(CkDJ[Date]&lt;=$A$7),(CkDJ[Debit])))+(SUM(IF((CsDJ[Account Code]=B32)*(CsDJ[Date]&lt;=$A$7),(CsDJ[Debit])))+(SUM(IF((CRDJ[Account Code]=B32)*(CRDJ[Date]&lt;=$A$7),(CRDJ[Debit])))+(SUM(IF((GJ[Account Code]=B32)*(GJ[Date]&lt;=$A$7),(GJ[Debit]))))))))</f>
        <v>0</v>
      </c>
      <c r="F32" s="490">
        <f t="array" ref="F32">(SUM(IF((PostTB[Account Code (Old)]=B32),(PostTB[Credit])))+(SUM(IF((CkDJ[Account Code]=B32)*(CkDJ[Date]&lt;=$A$7),(CkDJ[Credit])))+(SUM(IF((CsDJ[Account Code]=B32)*(CsDJ[Date]&lt;=$A$7),(CsDJ[Credit])))+(SUM(IF((CRDJ[Account Code]=B32)*(CRDJ[Date]&lt;=$A$7),(CRDJ[Credit])))+(SUM(IF((GJ[Account Code]=B32)*(GJ[Date]&lt;=$A$7),(GJ[Credit]))))))))</f>
        <v>0</v>
      </c>
      <c r="G32" s="620">
        <f>IF(INDEX(AccountCodes[Normal Balance], MATCH(C32,AccountCodes[PPSAS CODE]))="Credit",F32-E32,0)</f>
        <v>0</v>
      </c>
      <c r="H32" s="621">
        <f t="shared" si="0"/>
        <v>0</v>
      </c>
    </row>
    <row r="33" spans="1:8" ht="15.75" hidden="1" x14ac:dyDescent="0.25">
      <c r="A33" s="613" t="str">
        <f t="array" ref="A33">INDEX(AccountCodes[ACCOUNT NAME],MATCH(B33,AccountCodes[NGAS CODE],0))</f>
        <v>Cash in Bank-Foreign Currency, Time Deposits</v>
      </c>
      <c r="B33" s="602" t="s">
        <v>17</v>
      </c>
      <c r="C33" s="615">
        <f t="array" ref="C33">INDEX(AccountCodes[PPSAS CODE],MATCH(B33,AccountCodes[NGAS CODE],0))</f>
        <v>1010304000</v>
      </c>
      <c r="D33" s="616">
        <f>IF(INDEX(AccountCodes[Normal Balance], MATCH(C33,AccountCodes[PPSAS CODE]))="Debit",E33-F33,0)</f>
        <v>0</v>
      </c>
      <c r="E33" s="488">
        <f t="array" ref="E33">(SUM(IF((PostTB[Account Code (Old)]=B33),(PostTB[Debit])))+(SUM(IF((CkDJ[Account Code]=B33)*(CkDJ[Date]&lt;=$A$7),(CkDJ[Debit])))+(SUM(IF((CsDJ[Account Code]=B33)*(CsDJ[Date]&lt;=$A$7),(CsDJ[Debit])))+(SUM(IF((CRDJ[Account Code]=B33)*(CRDJ[Date]&lt;=$A$7),(CRDJ[Debit])))+(SUM(IF((GJ[Account Code]=B33)*(GJ[Date]&lt;=$A$7),(GJ[Debit]))))))))</f>
        <v>0</v>
      </c>
      <c r="F33" s="490">
        <f t="array" ref="F33">(SUM(IF((PostTB[Account Code (Old)]=B33),(PostTB[Credit])))+(SUM(IF((CkDJ[Account Code]=B33)*(CkDJ[Date]&lt;=$A$7),(CkDJ[Credit])))+(SUM(IF((CsDJ[Account Code]=B33)*(CsDJ[Date]&lt;=$A$7),(CsDJ[Credit])))+(SUM(IF((CRDJ[Account Code]=B33)*(CRDJ[Date]&lt;=$A$7),(CRDJ[Credit])))+(SUM(IF((GJ[Account Code]=B33)*(GJ[Date]&lt;=$A$7),(GJ[Credit]))))))))</f>
        <v>0</v>
      </c>
      <c r="G33" s="620">
        <f>IF(INDEX(AccountCodes[Normal Balance], MATCH(C33,AccountCodes[PPSAS CODE]))="Credit",F33-E33,0)</f>
        <v>0</v>
      </c>
      <c r="H33" s="621">
        <f t="shared" si="0"/>
        <v>0</v>
      </c>
    </row>
    <row r="34" spans="1:8" ht="15.75" hidden="1" x14ac:dyDescent="0.25">
      <c r="A34" s="613" t="str">
        <f t="array" ref="A34">INDEX(AccountCodes[ACCOUNT NAME],MATCH(B34,AccountCodes[NGAS CODE],0))</f>
        <v>Accounts Receivable</v>
      </c>
      <c r="B34" s="602" t="s">
        <v>1437</v>
      </c>
      <c r="C34" s="615">
        <f t="array" ref="C34">INDEX(AccountCodes[PPSAS CODE],MATCH(B34,AccountCodes[NGAS CODE],0))</f>
        <v>1030101000</v>
      </c>
      <c r="D34" s="616">
        <f>IF(INDEX(AccountCodes[Normal Balance], MATCH(C34,AccountCodes[PPSAS CODE]))="Debit",E34-F34,0)</f>
        <v>0</v>
      </c>
      <c r="E34" s="488">
        <f t="array" ref="E34">(SUM(IF((PostTB[Account Code (Old)]=B34),(PostTB[Debit])))+(SUM(IF((CkDJ[Account Code]=B34)*(CkDJ[Date]&lt;=$A$7),(CkDJ[Debit])))+(SUM(IF((CsDJ[Account Code]=B34)*(CsDJ[Date]&lt;=$A$7),(CsDJ[Debit])))+(SUM(IF((CRDJ[Account Code]=B34)*(CRDJ[Date]&lt;=$A$7),(CRDJ[Debit])))+(SUM(IF((GJ[Account Code]=B34)*(GJ[Date]&lt;=$A$7),(GJ[Debit]))))))))</f>
        <v>0</v>
      </c>
      <c r="F34" s="490">
        <f t="array" ref="F34">(SUM(IF((PostTB[Account Code (Old)]=B34),(PostTB[Credit])))+(SUM(IF((CkDJ[Account Code]=B34)*(CkDJ[Date]&lt;=$A$7),(CkDJ[Credit])))+(SUM(IF((CsDJ[Account Code]=B34)*(CsDJ[Date]&lt;=$A$7),(CsDJ[Credit])))+(SUM(IF((CRDJ[Account Code]=B34)*(CRDJ[Date]&lt;=$A$7),(CRDJ[Credit])))+(SUM(IF((GJ[Account Code]=B34)*(GJ[Date]&lt;=$A$7),(GJ[Credit]))))))))</f>
        <v>0</v>
      </c>
      <c r="G34" s="620">
        <f>IF(INDEX(AccountCodes[Normal Balance], MATCH(C34,AccountCodes[PPSAS CODE]))="Credit",F34-E34,0)</f>
        <v>0</v>
      </c>
      <c r="H34" s="621">
        <f t="shared" si="0"/>
        <v>0</v>
      </c>
    </row>
    <row r="35" spans="1:8" ht="15.75" hidden="1" x14ac:dyDescent="0.25">
      <c r="A35" s="613" t="str">
        <f t="array" ref="A35">INDEX(AccountCodes[ACCOUNT NAME],MATCH(B35,AccountCodes[NGAS CODE],0))</f>
        <v>Accounts Receivable - ISF (Current &amp; Back Accounts)</v>
      </c>
      <c r="B35" s="602" t="s">
        <v>351</v>
      </c>
      <c r="C35" s="615">
        <f t="array" ref="C35">INDEX(AccountCodes[PPSAS CODE],MATCH(B35,AccountCodes[NGAS CODE],0))</f>
        <v>1030101001</v>
      </c>
      <c r="D35" s="616">
        <f>IF(INDEX(AccountCodes[Normal Balance], MATCH(C35,AccountCodes[PPSAS CODE]))="Debit",E35-F35,0)</f>
        <v>0</v>
      </c>
      <c r="E35" s="488">
        <f t="array" ref="E35">(SUM(IF((PostTB[Account Code (Old)]=B35),(PostTB[Debit])))+(SUM(IF((CkDJ[Account Code]=B35)*(CkDJ[Date]&lt;=$A$7),(CkDJ[Debit])))+(SUM(IF((CsDJ[Account Code]=B35)*(CsDJ[Date]&lt;=$A$7),(CsDJ[Debit])))+(SUM(IF((CRDJ[Account Code]=B35)*(CRDJ[Date]&lt;=$A$7),(CRDJ[Debit])))+(SUM(IF((GJ[Account Code]=B35)*(GJ[Date]&lt;=$A$7),(GJ[Debit]))))))))</f>
        <v>0</v>
      </c>
      <c r="F35" s="490">
        <f t="array" ref="F35">(SUM(IF((PostTB[Account Code (Old)]=B35),(PostTB[Credit])))+(SUM(IF((CkDJ[Account Code]=B35)*(CkDJ[Date]&lt;=$A$7),(CkDJ[Credit])))+(SUM(IF((CsDJ[Account Code]=B35)*(CsDJ[Date]&lt;=$A$7),(CsDJ[Credit])))+(SUM(IF((CRDJ[Account Code]=B35)*(CRDJ[Date]&lt;=$A$7),(CRDJ[Credit])))+(SUM(IF((GJ[Account Code]=B35)*(GJ[Date]&lt;=$A$7),(GJ[Credit]))))))))</f>
        <v>0</v>
      </c>
      <c r="G35" s="620">
        <f>IF(INDEX(AccountCodes[Normal Balance], MATCH(C35,AccountCodes[PPSAS CODE]))="Credit",F35-E35,0)</f>
        <v>0</v>
      </c>
      <c r="H35" s="621">
        <f t="shared" si="0"/>
        <v>0</v>
      </c>
    </row>
    <row r="36" spans="1:8" ht="15.75" hidden="1" x14ac:dyDescent="0.25">
      <c r="A36" s="613" t="str">
        <f t="array" ref="A36">INDEX(AccountCodes[ACCOUNT NAME],MATCH(B36,AccountCodes[NGAS CODE],0))</f>
        <v>Accounts Receivable - Pump/CIP/CIS Equity</v>
      </c>
      <c r="B36" s="602" t="s">
        <v>19</v>
      </c>
      <c r="C36" s="615">
        <f t="array" ref="C36">INDEX(AccountCodes[PPSAS CODE],MATCH(B36,AccountCodes[NGAS CODE],0))</f>
        <v>1030101002</v>
      </c>
      <c r="D36" s="616">
        <f>IF(INDEX(AccountCodes[Normal Balance], MATCH(C36,AccountCodes[PPSAS CODE]))="Debit",E36-F36,0)</f>
        <v>0</v>
      </c>
      <c r="E36" s="488">
        <f t="array" ref="E36">(SUM(IF((PostTB[Account Code (Old)]=B36),(PostTB[Debit])))+(SUM(IF((CkDJ[Account Code]=B36)*(CkDJ[Date]&lt;=$A$7),(CkDJ[Debit])))+(SUM(IF((CsDJ[Account Code]=B36)*(CsDJ[Date]&lt;=$A$7),(CsDJ[Debit])))+(SUM(IF((CRDJ[Account Code]=B36)*(CRDJ[Date]&lt;=$A$7),(CRDJ[Debit])))+(SUM(IF((GJ[Account Code]=B36)*(GJ[Date]&lt;=$A$7),(GJ[Debit]))))))))</f>
        <v>0</v>
      </c>
      <c r="F36" s="490">
        <f t="array" ref="F36">(SUM(IF((PostTB[Account Code (Old)]=B36),(PostTB[Credit])))+(SUM(IF((CkDJ[Account Code]=B36)*(CkDJ[Date]&lt;=$A$7),(CkDJ[Credit])))+(SUM(IF((CsDJ[Account Code]=B36)*(CsDJ[Date]&lt;=$A$7),(CsDJ[Credit])))+(SUM(IF((CRDJ[Account Code]=B36)*(CRDJ[Date]&lt;=$A$7),(CRDJ[Credit])))+(SUM(IF((GJ[Account Code]=B36)*(GJ[Date]&lt;=$A$7),(GJ[Credit]))))))))</f>
        <v>0</v>
      </c>
      <c r="G36" s="620">
        <f>IF(INDEX(AccountCodes[Normal Balance], MATCH(C36,AccountCodes[PPSAS CODE]))="Credit",F36-E36,0)</f>
        <v>0</v>
      </c>
      <c r="H36" s="621">
        <f t="shared" si="0"/>
        <v>0</v>
      </c>
    </row>
    <row r="37" spans="1:8" ht="15.75" hidden="1" x14ac:dyDescent="0.25">
      <c r="A37" s="613" t="str">
        <f t="array" ref="A37">INDEX(AccountCodes[ACCOUNT NAME],MATCH(B37,AccountCodes[NGAS CODE],0))</f>
        <v>Accounts Receivable - Others</v>
      </c>
      <c r="B37" s="602" t="s">
        <v>18</v>
      </c>
      <c r="C37" s="615">
        <f t="array" ref="C37">INDEX(AccountCodes[PPSAS CODE],MATCH(B37,AccountCodes[NGAS CODE],0))</f>
        <v>1030101003</v>
      </c>
      <c r="D37" s="616">
        <f>IF(INDEX(AccountCodes[Normal Balance], MATCH(C37,AccountCodes[PPSAS CODE]))="Debit",E37-F37,0)</f>
        <v>0</v>
      </c>
      <c r="E37" s="488">
        <f t="array" ref="E37">(SUM(IF((PostTB[Account Code (Old)]=B37),(PostTB[Debit])))+(SUM(IF((CkDJ[Account Code]=B37)*(CkDJ[Date]&lt;=$A$7),(CkDJ[Debit])))+(SUM(IF((CsDJ[Account Code]=B37)*(CsDJ[Date]&lt;=$A$7),(CsDJ[Debit])))+(SUM(IF((CRDJ[Account Code]=B37)*(CRDJ[Date]&lt;=$A$7),(CRDJ[Debit])))+(SUM(IF((GJ[Account Code]=B37)*(GJ[Date]&lt;=$A$7),(GJ[Debit]))))))))</f>
        <v>0</v>
      </c>
      <c r="F37" s="490">
        <f t="array" ref="F37">(SUM(IF((PostTB[Account Code (Old)]=B37),(PostTB[Credit])))+(SUM(IF((CkDJ[Account Code]=B37)*(CkDJ[Date]&lt;=$A$7),(CkDJ[Credit])))+(SUM(IF((CsDJ[Account Code]=B37)*(CsDJ[Date]&lt;=$A$7),(CsDJ[Credit])))+(SUM(IF((CRDJ[Account Code]=B37)*(CRDJ[Date]&lt;=$A$7),(CRDJ[Credit])))+(SUM(IF((GJ[Account Code]=B37)*(GJ[Date]&lt;=$A$7),(GJ[Credit]))))))))</f>
        <v>0</v>
      </c>
      <c r="G37" s="620">
        <f>IF(INDEX(AccountCodes[Normal Balance], MATCH(C37,AccountCodes[PPSAS CODE]))="Credit",F37-E37,0)</f>
        <v>0</v>
      </c>
      <c r="H37" s="621">
        <f t="shared" si="0"/>
        <v>0</v>
      </c>
    </row>
    <row r="38" spans="1:8" ht="15.75" hidden="1" x14ac:dyDescent="0.25">
      <c r="A38" s="613" t="str">
        <f t="array" ref="A38">INDEX(AccountCodes[ACCOUNT NAME],MATCH(B38,AccountCodes[NGAS CODE],0))</f>
        <v>Allowance for Impairment-Accounts Receivable</v>
      </c>
      <c r="B38" s="602" t="s">
        <v>84</v>
      </c>
      <c r="C38" s="615">
        <f t="array" ref="C38">INDEX(AccountCodes[PPSAS CODE],MATCH(B38,AccountCodes[NGAS CODE],0))</f>
        <v>1030101100</v>
      </c>
      <c r="D38" s="616">
        <f>IF(INDEX(AccountCodes[Normal Balance], MATCH(C38,AccountCodes[PPSAS CODE]))="Debit",E38-F38,0)</f>
        <v>0</v>
      </c>
      <c r="E38" s="488">
        <f t="array" ref="E38">(SUM(IF((PostTB[Account Code (Old)]=B38),(PostTB[Debit])))+(SUM(IF((CkDJ[Account Code]=B38)*(CkDJ[Date]&lt;=$A$7),(CkDJ[Debit])))+(SUM(IF((CsDJ[Account Code]=B38)*(CsDJ[Date]&lt;=$A$7),(CsDJ[Debit])))+(SUM(IF((CRDJ[Account Code]=B38)*(CRDJ[Date]&lt;=$A$7),(CRDJ[Debit])))+(SUM(IF((GJ[Account Code]=B38)*(GJ[Date]&lt;=$A$7),(GJ[Debit]))))))))</f>
        <v>0</v>
      </c>
      <c r="F38" s="490">
        <f t="array" ref="F38">(SUM(IF((PostTB[Account Code (Old)]=B38),(PostTB[Credit])))+(SUM(IF((CkDJ[Account Code]=B38)*(CkDJ[Date]&lt;=$A$7),(CkDJ[Credit])))+(SUM(IF((CsDJ[Account Code]=B38)*(CsDJ[Date]&lt;=$A$7),(CsDJ[Credit])))+(SUM(IF((CRDJ[Account Code]=B38)*(CRDJ[Date]&lt;=$A$7),(CRDJ[Credit])))+(SUM(IF((GJ[Account Code]=B38)*(GJ[Date]&lt;=$A$7),(GJ[Credit]))))))))</f>
        <v>0</v>
      </c>
      <c r="G38" s="620">
        <f>IF(INDEX(AccountCodes[Normal Balance], MATCH(C38,AccountCodes[PPSAS CODE]))="Credit",F38-E38,0)</f>
        <v>0</v>
      </c>
      <c r="H38" s="621">
        <f t="shared" si="0"/>
        <v>0</v>
      </c>
    </row>
    <row r="39" spans="1:8" ht="15.75" hidden="1" x14ac:dyDescent="0.25">
      <c r="A39" s="613" t="str">
        <f t="array" ref="A39">INDEX(AccountCodes[ACCOUNT NAME],MATCH(B39,AccountCodes[NGAS CODE],0))</f>
        <v>Due from National Government Agencies</v>
      </c>
      <c r="B39" s="602" t="s">
        <v>21</v>
      </c>
      <c r="C39" s="615">
        <f t="array" ref="C39">INDEX(AccountCodes[PPSAS CODE],MATCH(B39,AccountCodes[NGAS CODE],0))</f>
        <v>1030301000</v>
      </c>
      <c r="D39" s="616">
        <f>IF(INDEX(AccountCodes[Normal Balance], MATCH(C39,AccountCodes[PPSAS CODE]))="Debit",E39-F39,0)</f>
        <v>0</v>
      </c>
      <c r="E39" s="488">
        <f t="array" ref="E39">(SUM(IF((PostTB[Account Code (Old)]=B39),(PostTB[Debit])))+(SUM(IF((CkDJ[Account Code]=B39)*(CkDJ[Date]&lt;=$A$7),(CkDJ[Debit])))+(SUM(IF((CsDJ[Account Code]=B39)*(CsDJ[Date]&lt;=$A$7),(CsDJ[Debit])))+(SUM(IF((CRDJ[Account Code]=B39)*(CRDJ[Date]&lt;=$A$7),(CRDJ[Debit])))+(SUM(IF((GJ[Account Code]=B39)*(GJ[Date]&lt;=$A$7),(GJ[Debit]))))))))</f>
        <v>0</v>
      </c>
      <c r="F39" s="490">
        <f t="array" ref="F39">(SUM(IF((PostTB[Account Code (Old)]=B39),(PostTB[Credit])))+(SUM(IF((CkDJ[Account Code]=B39)*(CkDJ[Date]&lt;=$A$7),(CkDJ[Credit])))+(SUM(IF((CsDJ[Account Code]=B39)*(CsDJ[Date]&lt;=$A$7),(CsDJ[Credit])))+(SUM(IF((CRDJ[Account Code]=B39)*(CRDJ[Date]&lt;=$A$7),(CRDJ[Credit])))+(SUM(IF((GJ[Account Code]=B39)*(GJ[Date]&lt;=$A$7),(GJ[Credit]))))))))</f>
        <v>0</v>
      </c>
      <c r="G39" s="620">
        <f>IF(INDEX(AccountCodes[Normal Balance], MATCH(C39,AccountCodes[PPSAS CODE]))="Credit",F39-E39,0)</f>
        <v>0</v>
      </c>
      <c r="H39" s="621">
        <f t="shared" si="0"/>
        <v>0</v>
      </c>
    </row>
    <row r="40" spans="1:8" ht="15.75" hidden="1" x14ac:dyDescent="0.25">
      <c r="A40" s="613" t="str">
        <f t="array" ref="A40">INDEX(AccountCodes[ACCOUNT NAME],MATCH(B40,AccountCodes[NGAS CODE],0))</f>
        <v>Due from Government-Owned or Controlled Corporations</v>
      </c>
      <c r="B40" s="602" t="s">
        <v>22</v>
      </c>
      <c r="C40" s="615">
        <f t="array" ref="C40">INDEX(AccountCodes[PPSAS CODE],MATCH(B40,AccountCodes[NGAS CODE],0))</f>
        <v>1030302000</v>
      </c>
      <c r="D40" s="616">
        <f>IF(INDEX(AccountCodes[Normal Balance], MATCH(C40,AccountCodes[PPSAS CODE]))="Debit",E40-F40,0)</f>
        <v>0</v>
      </c>
      <c r="E40" s="488">
        <f t="array" ref="E40">(SUM(IF((PostTB[Account Code (Old)]=B40),(PostTB[Debit])))+(SUM(IF((CkDJ[Account Code]=B40)*(CkDJ[Date]&lt;=$A$7),(CkDJ[Debit])))+(SUM(IF((CsDJ[Account Code]=B40)*(CsDJ[Date]&lt;=$A$7),(CsDJ[Debit])))+(SUM(IF((CRDJ[Account Code]=B40)*(CRDJ[Date]&lt;=$A$7),(CRDJ[Debit])))+(SUM(IF((GJ[Account Code]=B40)*(GJ[Date]&lt;=$A$7),(GJ[Debit]))))))))</f>
        <v>0</v>
      </c>
      <c r="F40" s="490">
        <f t="array" ref="F40">(SUM(IF((PostTB[Account Code (Old)]=B40),(PostTB[Credit])))+(SUM(IF((CkDJ[Account Code]=B40)*(CkDJ[Date]&lt;=$A$7),(CkDJ[Credit])))+(SUM(IF((CsDJ[Account Code]=B40)*(CsDJ[Date]&lt;=$A$7),(CsDJ[Credit])))+(SUM(IF((CRDJ[Account Code]=B40)*(CRDJ[Date]&lt;=$A$7),(CRDJ[Credit])))+(SUM(IF((GJ[Account Code]=B40)*(GJ[Date]&lt;=$A$7),(GJ[Credit]))))))))</f>
        <v>0</v>
      </c>
      <c r="G40" s="620">
        <f>IF(INDEX(AccountCodes[Normal Balance], MATCH(C40,AccountCodes[PPSAS CODE]))="Credit",F40-E40,0)</f>
        <v>0</v>
      </c>
      <c r="H40" s="621">
        <f t="shared" si="0"/>
        <v>0</v>
      </c>
    </row>
    <row r="41" spans="1:8" ht="15.75" hidden="1" x14ac:dyDescent="0.25">
      <c r="A41" s="613" t="str">
        <f t="array" ref="A41">INDEX(AccountCodes[ACCOUNT NAME],MATCH(B41,AccountCodes[NGAS CODE],0))</f>
        <v>Due from Local Government Units</v>
      </c>
      <c r="B41" s="602" t="s">
        <v>23</v>
      </c>
      <c r="C41" s="615">
        <f t="array" ref="C41">INDEX(AccountCodes[PPSAS CODE],MATCH(B41,AccountCodes[NGAS CODE],0))</f>
        <v>1030303000</v>
      </c>
      <c r="D41" s="616">
        <f>IF(INDEX(AccountCodes[Normal Balance], MATCH(C41,AccountCodes[PPSAS CODE]))="Debit",E41-F41,0)</f>
        <v>0</v>
      </c>
      <c r="E41" s="488">
        <f t="array" ref="E41">(SUM(IF((PostTB[Account Code (Old)]=B41),(PostTB[Debit])))+(SUM(IF((CkDJ[Account Code]=B41)*(CkDJ[Date]&lt;=$A$7),(CkDJ[Debit])))+(SUM(IF((CsDJ[Account Code]=B41)*(CsDJ[Date]&lt;=$A$7),(CsDJ[Debit])))+(SUM(IF((CRDJ[Account Code]=B41)*(CRDJ[Date]&lt;=$A$7),(CRDJ[Debit])))+(SUM(IF((GJ[Account Code]=B41)*(GJ[Date]&lt;=$A$7),(GJ[Debit]))))))))</f>
        <v>0</v>
      </c>
      <c r="F41" s="490">
        <f t="array" ref="F41">(SUM(IF((PostTB[Account Code (Old)]=B41),(PostTB[Credit])))+(SUM(IF((CkDJ[Account Code]=B41)*(CkDJ[Date]&lt;=$A$7),(CkDJ[Credit])))+(SUM(IF((CsDJ[Account Code]=B41)*(CsDJ[Date]&lt;=$A$7),(CsDJ[Credit])))+(SUM(IF((CRDJ[Account Code]=B41)*(CRDJ[Date]&lt;=$A$7),(CRDJ[Credit])))+(SUM(IF((GJ[Account Code]=B41)*(GJ[Date]&lt;=$A$7),(GJ[Credit]))))))))</f>
        <v>0</v>
      </c>
      <c r="G41" s="620">
        <f>IF(INDEX(AccountCodes[Normal Balance], MATCH(C41,AccountCodes[PPSAS CODE]))="Credit",F41-E41,0)</f>
        <v>0</v>
      </c>
      <c r="H41" s="621">
        <f t="shared" si="0"/>
        <v>0</v>
      </c>
    </row>
    <row r="42" spans="1:8" ht="15.75" hidden="1" x14ac:dyDescent="0.25">
      <c r="A42" s="613" t="str">
        <f t="array" ref="A42">INDEX(AccountCodes[ACCOUNT NAME],MATCH(B42,AccountCodes[NGAS CODE],0))</f>
        <v>Due from Central Office</v>
      </c>
      <c r="B42" s="602" t="s">
        <v>1159</v>
      </c>
      <c r="C42" s="615">
        <f t="array" ref="C42">INDEX(AccountCodes[PPSAS CODE],MATCH(B42,AccountCodes[NGAS CODE],0))</f>
        <v>1030401000</v>
      </c>
      <c r="D42" s="616">
        <f>IF(INDEX(AccountCodes[Normal Balance], MATCH(C42,AccountCodes[PPSAS CODE]))="Debit",E42-F42,0)</f>
        <v>0</v>
      </c>
      <c r="E42" s="488">
        <f t="array" ref="E42">(SUM(IF((PostTB[Account Code (Old)]=B42),(PostTB[Debit])))+(SUM(IF((CkDJ[Account Code]=B42)*(CkDJ[Date]&lt;=$A$7),(CkDJ[Debit])))+(SUM(IF((CsDJ[Account Code]=B42)*(CsDJ[Date]&lt;=$A$7),(CsDJ[Debit])))+(SUM(IF((CRDJ[Account Code]=B42)*(CRDJ[Date]&lt;=$A$7),(CRDJ[Debit])))+(SUM(IF((GJ[Account Code]=B42)*(GJ[Date]&lt;=$A$7),(GJ[Debit]))))))))</f>
        <v>0</v>
      </c>
      <c r="F42" s="490">
        <f t="array" ref="F42">(SUM(IF((PostTB[Account Code (Old)]=B42),(PostTB[Credit])))+(SUM(IF((CkDJ[Account Code]=B42)*(CkDJ[Date]&lt;=$A$7),(CkDJ[Credit])))+(SUM(IF((CsDJ[Account Code]=B42)*(CsDJ[Date]&lt;=$A$7),(CsDJ[Credit])))+(SUM(IF((CRDJ[Account Code]=B42)*(CRDJ[Date]&lt;=$A$7),(CRDJ[Credit])))+(SUM(IF((GJ[Account Code]=B42)*(GJ[Date]&lt;=$A$7),(GJ[Credit]))))))))</f>
        <v>0</v>
      </c>
      <c r="G42" s="620">
        <f>IF(INDEX(AccountCodes[Normal Balance], MATCH(C42,AccountCodes[PPSAS CODE]))="Credit",F42-E42,0)</f>
        <v>0</v>
      </c>
      <c r="H42" s="621">
        <f t="shared" si="0"/>
        <v>0</v>
      </c>
    </row>
    <row r="43" spans="1:8" ht="15.75" hidden="1" x14ac:dyDescent="0.25">
      <c r="A43" s="613" t="str">
        <f t="array" ref="A43">INDEX(AccountCodes[ACCOUNT NAME],MATCH(B43,AccountCodes[NGAS CODE],0))</f>
        <v>Due from Regional Offices</v>
      </c>
      <c r="B43" s="602" t="s">
        <v>24</v>
      </c>
      <c r="C43" s="615">
        <f t="array" ref="C43">INDEX(AccountCodes[PPSAS CODE],MATCH(B43,AccountCodes[NGAS CODE],0))</f>
        <v>1030403000</v>
      </c>
      <c r="D43" s="616">
        <f>IF(INDEX(AccountCodes[Normal Balance], MATCH(C43,AccountCodes[PPSAS CODE]))="Debit",E43-F43,0)</f>
        <v>0</v>
      </c>
      <c r="E43" s="488">
        <f t="array" ref="E43">(SUM(IF((PostTB[Account Code (Old)]=B43),(PostTB[Debit])))+(SUM(IF((CkDJ[Account Code]=B43)*(CkDJ[Date]&lt;=$A$7),(CkDJ[Debit])))+(SUM(IF((CsDJ[Account Code]=B43)*(CsDJ[Date]&lt;=$A$7),(CsDJ[Debit])))+(SUM(IF((CRDJ[Account Code]=B43)*(CRDJ[Date]&lt;=$A$7),(CRDJ[Debit])))+(SUM(IF((GJ[Account Code]=B43)*(GJ[Date]&lt;=$A$7),(GJ[Debit]))))))))</f>
        <v>0</v>
      </c>
      <c r="F43" s="490">
        <f t="array" ref="F43">(SUM(IF((PostTB[Account Code (Old)]=B43),(PostTB[Credit])))+(SUM(IF((CkDJ[Account Code]=B43)*(CkDJ[Date]&lt;=$A$7),(CkDJ[Credit])))+(SUM(IF((CsDJ[Account Code]=B43)*(CsDJ[Date]&lt;=$A$7),(CsDJ[Credit])))+(SUM(IF((CRDJ[Account Code]=B43)*(CRDJ[Date]&lt;=$A$7),(CRDJ[Credit])))+(SUM(IF((GJ[Account Code]=B43)*(GJ[Date]&lt;=$A$7),(GJ[Credit]))))))))</f>
        <v>0</v>
      </c>
      <c r="G43" s="620">
        <f>IF(INDEX(AccountCodes[Normal Balance], MATCH(C43,AccountCodes[PPSAS CODE]))="Credit",F43-E43,0)</f>
        <v>0</v>
      </c>
      <c r="H43" s="621">
        <f t="shared" si="0"/>
        <v>0</v>
      </c>
    </row>
    <row r="44" spans="1:8" ht="15.75" hidden="1" x14ac:dyDescent="0.25">
      <c r="A44" s="613" t="str">
        <f t="array" ref="A44">INDEX(AccountCodes[ACCOUNT NAME],MATCH(B44,AccountCodes[NGAS CODE],0))</f>
        <v>Due from Other Funds</v>
      </c>
      <c r="B44" s="602" t="s">
        <v>25</v>
      </c>
      <c r="C44" s="615">
        <f t="array" ref="C44">INDEX(AccountCodes[PPSAS CODE],MATCH(B44,AccountCodes[NGAS CODE],0))</f>
        <v>1030405000</v>
      </c>
      <c r="D44" s="616">
        <f>IF(INDEX(AccountCodes[Normal Balance], MATCH(C44,AccountCodes[PPSAS CODE]))="Debit",E44-F44,0)</f>
        <v>0</v>
      </c>
      <c r="E44" s="488">
        <f t="array" ref="E44">(SUM(IF((PostTB[Account Code (Old)]=B44),(PostTB[Debit])))+(SUM(IF((CkDJ[Account Code]=B44)*(CkDJ[Date]&lt;=$A$7),(CkDJ[Debit])))+(SUM(IF((CsDJ[Account Code]=B44)*(CsDJ[Date]&lt;=$A$7),(CsDJ[Debit])))+(SUM(IF((CRDJ[Account Code]=B44)*(CRDJ[Date]&lt;=$A$7),(CRDJ[Debit])))+(SUM(IF((GJ[Account Code]=B44)*(GJ[Date]&lt;=$A$7),(GJ[Debit]))))))))</f>
        <v>0</v>
      </c>
      <c r="F44" s="490">
        <f t="array" ref="F44">(SUM(IF((PostTB[Account Code (Old)]=B44),(PostTB[Credit])))+(SUM(IF((CkDJ[Account Code]=B44)*(CkDJ[Date]&lt;=$A$7),(CkDJ[Credit])))+(SUM(IF((CsDJ[Account Code]=B44)*(CsDJ[Date]&lt;=$A$7),(CsDJ[Credit])))+(SUM(IF((CRDJ[Account Code]=B44)*(CRDJ[Date]&lt;=$A$7),(CRDJ[Credit])))+(SUM(IF((GJ[Account Code]=B44)*(GJ[Date]&lt;=$A$7),(GJ[Credit]))))))))</f>
        <v>0</v>
      </c>
      <c r="G44" s="620">
        <f>IF(INDEX(AccountCodes[Normal Balance], MATCH(C44,AccountCodes[PPSAS CODE]))="Credit",F44-E44,0)</f>
        <v>0</v>
      </c>
      <c r="H44" s="621">
        <f t="shared" si="0"/>
        <v>0</v>
      </c>
    </row>
    <row r="45" spans="1:8" ht="15.75" hidden="1" x14ac:dyDescent="0.25">
      <c r="A45" s="613" t="str">
        <f t="array" ref="A45">INDEX(AccountCodes[ACCOUNT NAME],MATCH(B45,AccountCodes[NGAS CODE],0))</f>
        <v>Receivables-Disallowances/Charges</v>
      </c>
      <c r="B45" s="602" t="s">
        <v>26</v>
      </c>
      <c r="C45" s="615">
        <f t="array" ref="C45">INDEX(AccountCodes[PPSAS CODE],MATCH(B45,AccountCodes[NGAS CODE],0))</f>
        <v>1030501000</v>
      </c>
      <c r="D45" s="616">
        <f>IF(INDEX(AccountCodes[Normal Balance], MATCH(C45,AccountCodes[PPSAS CODE]))="Debit",E45-F45,0)</f>
        <v>0</v>
      </c>
      <c r="E45" s="488">
        <f t="array" ref="E45">(SUM(IF((PostTB[Account Code (Old)]=B45),(PostTB[Debit])))+(SUM(IF((CkDJ[Account Code]=B45)*(CkDJ[Date]&lt;=$A$7),(CkDJ[Debit])))+(SUM(IF((CsDJ[Account Code]=B45)*(CsDJ[Date]&lt;=$A$7),(CsDJ[Debit])))+(SUM(IF((CRDJ[Account Code]=B45)*(CRDJ[Date]&lt;=$A$7),(CRDJ[Debit])))+(SUM(IF((GJ[Account Code]=B45)*(GJ[Date]&lt;=$A$7),(GJ[Debit]))))))))</f>
        <v>0</v>
      </c>
      <c r="F45" s="490">
        <f t="array" ref="F45">(SUM(IF((PostTB[Account Code (Old)]=B45),(PostTB[Credit])))+(SUM(IF((CkDJ[Account Code]=B45)*(CkDJ[Date]&lt;=$A$7),(CkDJ[Credit])))+(SUM(IF((CsDJ[Account Code]=B45)*(CsDJ[Date]&lt;=$A$7),(CsDJ[Credit])))+(SUM(IF((CRDJ[Account Code]=B45)*(CRDJ[Date]&lt;=$A$7),(CRDJ[Credit])))+(SUM(IF((GJ[Account Code]=B45)*(GJ[Date]&lt;=$A$7),(GJ[Credit]))))))))</f>
        <v>0</v>
      </c>
      <c r="G45" s="620">
        <f>IF(INDEX(AccountCodes[Normal Balance], MATCH(C45,AccountCodes[PPSAS CODE]))="Credit",F45-E45,0)</f>
        <v>0</v>
      </c>
      <c r="H45" s="621">
        <f t="shared" si="0"/>
        <v>0</v>
      </c>
    </row>
    <row r="46" spans="1:8" ht="15.75" hidden="1" x14ac:dyDescent="0.25">
      <c r="A46" s="613" t="str">
        <f t="array" ref="A46">INDEX(AccountCodes[ACCOUNT NAME],MATCH(B46,AccountCodes[NGAS CODE],0))</f>
        <v>Due from Officers and Employees</v>
      </c>
      <c r="B46" s="602" t="s">
        <v>20</v>
      </c>
      <c r="C46" s="615">
        <f t="array" ref="C46">INDEX(AccountCodes[PPSAS CODE],MATCH(B46,AccountCodes[NGAS CODE],0))</f>
        <v>1030502000</v>
      </c>
      <c r="D46" s="616">
        <f>IF(INDEX(AccountCodes[Normal Balance], MATCH(C46,AccountCodes[PPSAS CODE]))="Debit",E46-F46,0)</f>
        <v>0</v>
      </c>
      <c r="E46" s="488">
        <f t="array" ref="E46">(SUM(IF((PostTB[Account Code (Old)]=B46),(PostTB[Debit])))+(SUM(IF((CkDJ[Account Code]=B46)*(CkDJ[Date]&lt;=$A$7),(CkDJ[Debit])))+(SUM(IF((CsDJ[Account Code]=B46)*(CsDJ[Date]&lt;=$A$7),(CsDJ[Debit])))+(SUM(IF((CRDJ[Account Code]=B46)*(CRDJ[Date]&lt;=$A$7),(CRDJ[Debit])))+(SUM(IF((GJ[Account Code]=B46)*(GJ[Date]&lt;=$A$7),(GJ[Debit]))))))))</f>
        <v>0</v>
      </c>
      <c r="F46" s="490">
        <f t="array" ref="F46">(SUM(IF((PostTB[Account Code (Old)]=B46),(PostTB[Credit])))+(SUM(IF((CkDJ[Account Code]=B46)*(CkDJ[Date]&lt;=$A$7),(CkDJ[Credit])))+(SUM(IF((CsDJ[Account Code]=B46)*(CsDJ[Date]&lt;=$A$7),(CsDJ[Credit])))+(SUM(IF((CRDJ[Account Code]=B46)*(CRDJ[Date]&lt;=$A$7),(CRDJ[Credit])))+(SUM(IF((GJ[Account Code]=B46)*(GJ[Date]&lt;=$A$7),(GJ[Credit]))))))))</f>
        <v>0</v>
      </c>
      <c r="G46" s="620">
        <f>IF(INDEX(AccountCodes[Normal Balance], MATCH(C46,AccountCodes[PPSAS CODE]))="Credit",F46-E46,0)</f>
        <v>0</v>
      </c>
      <c r="H46" s="621">
        <f t="shared" si="0"/>
        <v>0</v>
      </c>
    </row>
    <row r="47" spans="1:8" ht="15.75" hidden="1" x14ac:dyDescent="0.25">
      <c r="A47" s="613" t="str">
        <f t="array" ref="A47">INDEX(AccountCodes[ACCOUNT NAME],MATCH(B47,AccountCodes[NGAS CODE],0))</f>
        <v>Other Receivables</v>
      </c>
      <c r="B47" s="602" t="s">
        <v>28</v>
      </c>
      <c r="C47" s="615">
        <f t="array" ref="C47">INDEX(AccountCodes[PPSAS CODE],MATCH(B47,AccountCodes[NGAS CODE],0))</f>
        <v>1030599000</v>
      </c>
      <c r="D47" s="616">
        <f>IF(INDEX(AccountCodes[Normal Balance], MATCH(C47,AccountCodes[PPSAS CODE]))="Debit",E47-F47,0)</f>
        <v>0</v>
      </c>
      <c r="E47" s="488">
        <f t="array" ref="E47">(SUM(IF((PostTB[Account Code (Old)]=B47),(PostTB[Debit])))+(SUM(IF((CkDJ[Account Code]=B47)*(CkDJ[Date]&lt;=$A$7),(CkDJ[Debit])))+(SUM(IF((CsDJ[Account Code]=B47)*(CsDJ[Date]&lt;=$A$7),(CsDJ[Debit])))+(SUM(IF((CRDJ[Account Code]=B47)*(CRDJ[Date]&lt;=$A$7),(CRDJ[Debit])))+(SUM(IF((GJ[Account Code]=B47)*(GJ[Date]&lt;=$A$7),(GJ[Debit]))))))))</f>
        <v>0</v>
      </c>
      <c r="F47" s="490">
        <f t="array" ref="F47">(SUM(IF((PostTB[Account Code (Old)]=B47),(PostTB[Credit])))+(SUM(IF((CkDJ[Account Code]=B47)*(CkDJ[Date]&lt;=$A$7),(CkDJ[Credit])))+(SUM(IF((CsDJ[Account Code]=B47)*(CsDJ[Date]&lt;=$A$7),(CsDJ[Credit])))+(SUM(IF((CRDJ[Account Code]=B47)*(CRDJ[Date]&lt;=$A$7),(CRDJ[Credit])))+(SUM(IF((GJ[Account Code]=B47)*(GJ[Date]&lt;=$A$7),(GJ[Credit]))))))))</f>
        <v>0</v>
      </c>
      <c r="G47" s="620">
        <f>IF(INDEX(AccountCodes[Normal Balance], MATCH(C47,AccountCodes[PPSAS CODE]))="Credit",F47-E47,0)</f>
        <v>0</v>
      </c>
      <c r="H47" s="621">
        <f t="shared" si="0"/>
        <v>0</v>
      </c>
    </row>
    <row r="48" spans="1:8" ht="15.75" hidden="1" x14ac:dyDescent="0.25">
      <c r="A48" s="613" t="str">
        <f t="array" ref="A48">INDEX(AccountCodes[ACCOUNT NAME],MATCH(B48,AccountCodes[NGAS CODE],0))</f>
        <v>Merchandise Inventory</v>
      </c>
      <c r="B48" s="602" t="s">
        <v>29</v>
      </c>
      <c r="C48" s="615">
        <f t="array" ref="C48">INDEX(AccountCodes[PPSAS CODE],MATCH(B48,AccountCodes[NGAS CODE],0))</f>
        <v>1040101000</v>
      </c>
      <c r="D48" s="616">
        <f>IF(INDEX(AccountCodes[Normal Balance], MATCH(C48,AccountCodes[PPSAS CODE]))="Debit",E48-F48,0)</f>
        <v>0</v>
      </c>
      <c r="E48" s="488">
        <f t="array" ref="E48">(SUM(IF((PostTB[Account Code (Old)]=B48),(PostTB[Debit])))+(SUM(IF((CkDJ[Account Code]=B48)*(CkDJ[Date]&lt;=$A$7),(CkDJ[Debit])))+(SUM(IF((CsDJ[Account Code]=B48)*(CsDJ[Date]&lt;=$A$7),(CsDJ[Debit])))+(SUM(IF((CRDJ[Account Code]=B48)*(CRDJ[Date]&lt;=$A$7),(CRDJ[Debit])))+(SUM(IF((GJ[Account Code]=B48)*(GJ[Date]&lt;=$A$7),(GJ[Debit]))))))))</f>
        <v>0</v>
      </c>
      <c r="F48" s="490">
        <f t="array" ref="F48">(SUM(IF((PostTB[Account Code (Old)]=B48),(PostTB[Credit])))+(SUM(IF((CkDJ[Account Code]=B48)*(CkDJ[Date]&lt;=$A$7),(CkDJ[Credit])))+(SUM(IF((CsDJ[Account Code]=B48)*(CsDJ[Date]&lt;=$A$7),(CsDJ[Credit])))+(SUM(IF((CRDJ[Account Code]=B48)*(CRDJ[Date]&lt;=$A$7),(CRDJ[Credit])))+(SUM(IF((GJ[Account Code]=B48)*(GJ[Date]&lt;=$A$7),(GJ[Credit]))))))))</f>
        <v>0</v>
      </c>
      <c r="G48" s="620">
        <f>IF(INDEX(AccountCodes[Normal Balance], MATCH(C48,AccountCodes[PPSAS CODE]))="Credit",F48-E48,0)</f>
        <v>0</v>
      </c>
      <c r="H48" s="621">
        <f t="shared" si="0"/>
        <v>0</v>
      </c>
    </row>
    <row r="49" spans="1:8" ht="15.75" hidden="1" x14ac:dyDescent="0.25">
      <c r="A49" s="613" t="str">
        <f t="array" ref="A49">INDEX(AccountCodes[ACCOUNT NAME],MATCH(B49,AccountCodes[NGAS CODE],0))</f>
        <v>Office Supplies Inventory</v>
      </c>
      <c r="B49" s="602" t="s">
        <v>30</v>
      </c>
      <c r="C49" s="615">
        <f t="array" ref="C49">INDEX(AccountCodes[PPSAS CODE],MATCH(B49,AccountCodes[NGAS CODE],0))</f>
        <v>1040401000</v>
      </c>
      <c r="D49" s="616">
        <f>IF(INDEX(AccountCodes[Normal Balance], MATCH(C49,AccountCodes[PPSAS CODE]))="Debit",E49-F49,0)</f>
        <v>0</v>
      </c>
      <c r="E49" s="488">
        <f t="array" ref="E49">(SUM(IF((PostTB[Account Code (Old)]=B49),(PostTB[Debit])))+(SUM(IF((CkDJ[Account Code]=B49)*(CkDJ[Date]&lt;=$A$7),(CkDJ[Debit])))+(SUM(IF((CsDJ[Account Code]=B49)*(CsDJ[Date]&lt;=$A$7),(CsDJ[Debit])))+(SUM(IF((CRDJ[Account Code]=B49)*(CRDJ[Date]&lt;=$A$7),(CRDJ[Debit])))+(SUM(IF((GJ[Account Code]=B49)*(GJ[Date]&lt;=$A$7),(GJ[Debit]))))))))</f>
        <v>0</v>
      </c>
      <c r="F49" s="490">
        <f t="array" ref="F49">(SUM(IF((PostTB[Account Code (Old)]=B49),(PostTB[Credit])))+(SUM(IF((CkDJ[Account Code]=B49)*(CkDJ[Date]&lt;=$A$7),(CkDJ[Credit])))+(SUM(IF((CsDJ[Account Code]=B49)*(CsDJ[Date]&lt;=$A$7),(CsDJ[Credit])))+(SUM(IF((CRDJ[Account Code]=B49)*(CRDJ[Date]&lt;=$A$7),(CRDJ[Credit])))+(SUM(IF((GJ[Account Code]=B49)*(GJ[Date]&lt;=$A$7),(GJ[Credit]))))))))</f>
        <v>0</v>
      </c>
      <c r="G49" s="620">
        <f>IF(INDEX(AccountCodes[Normal Balance], MATCH(C49,AccountCodes[PPSAS CODE]))="Credit",F49-E49,0)</f>
        <v>0</v>
      </c>
      <c r="H49" s="621">
        <f t="shared" si="0"/>
        <v>0</v>
      </c>
    </row>
    <row r="50" spans="1:8" ht="15.75" hidden="1" x14ac:dyDescent="0.25">
      <c r="A50" s="613" t="str">
        <f t="array" ref="A50">INDEX(AccountCodes[ACCOUNT NAME],MATCH(B50,AccountCodes[NGAS CODE],0))</f>
        <v>Accountable Forms, Plates and Stickers Inventory</v>
      </c>
      <c r="B50" s="602" t="s">
        <v>1157</v>
      </c>
      <c r="C50" s="615">
        <f t="array" ref="C50">INDEX(AccountCodes[PPSAS CODE],MATCH(B50,AccountCodes[NGAS CODE],0))</f>
        <v>1040402000</v>
      </c>
      <c r="D50" s="616">
        <f>IF(INDEX(AccountCodes[Normal Balance], MATCH(C50,AccountCodes[PPSAS CODE]))="Debit",E50-F50,0)</f>
        <v>0</v>
      </c>
      <c r="E50" s="488">
        <f t="array" ref="E50">(SUM(IF((PostTB[Account Code (Old)]=B50),(PostTB[Debit])))+(SUM(IF((CkDJ[Account Code]=B50)*(CkDJ[Date]&lt;=$A$7),(CkDJ[Debit])))+(SUM(IF((CsDJ[Account Code]=B50)*(CsDJ[Date]&lt;=$A$7),(CsDJ[Debit])))+(SUM(IF((CRDJ[Account Code]=B50)*(CRDJ[Date]&lt;=$A$7),(CRDJ[Debit])))+(SUM(IF((GJ[Account Code]=B50)*(GJ[Date]&lt;=$A$7),(GJ[Debit]))))))))</f>
        <v>0</v>
      </c>
      <c r="F50" s="490">
        <f t="array" ref="F50">(SUM(IF((PostTB[Account Code (Old)]=B50),(PostTB[Credit])))+(SUM(IF((CkDJ[Account Code]=B50)*(CkDJ[Date]&lt;=$A$7),(CkDJ[Credit])))+(SUM(IF((CsDJ[Account Code]=B50)*(CsDJ[Date]&lt;=$A$7),(CsDJ[Credit])))+(SUM(IF((CRDJ[Account Code]=B50)*(CRDJ[Date]&lt;=$A$7),(CRDJ[Credit])))+(SUM(IF((GJ[Account Code]=B50)*(GJ[Date]&lt;=$A$7),(GJ[Credit]))))))))</f>
        <v>0</v>
      </c>
      <c r="G50" s="620">
        <f>IF(INDEX(AccountCodes[Normal Balance], MATCH(C50,AccountCodes[PPSAS CODE]))="Credit",F50-E50,0)</f>
        <v>0</v>
      </c>
      <c r="H50" s="621">
        <f t="shared" si="0"/>
        <v>0</v>
      </c>
    </row>
    <row r="51" spans="1:8" ht="15.75" hidden="1" x14ac:dyDescent="0.25">
      <c r="A51" s="613" t="str">
        <f t="array" ref="A51">INDEX(AccountCodes[ACCOUNT NAME],MATCH(B51,AccountCodes[NGAS CODE],0))</f>
        <v>Medical, Dental and Laboratory Supplies Inventory</v>
      </c>
      <c r="B51" s="602" t="s">
        <v>1221</v>
      </c>
      <c r="C51" s="615">
        <f t="array" ref="C51">INDEX(AccountCodes[PPSAS CODE],MATCH(B51,AccountCodes[NGAS CODE],0))</f>
        <v>1040407000</v>
      </c>
      <c r="D51" s="616">
        <f>IF(INDEX(AccountCodes[Normal Balance], MATCH(C51,AccountCodes[PPSAS CODE]))="Debit",E51-F51,0)</f>
        <v>0</v>
      </c>
      <c r="E51" s="488">
        <f t="array" ref="E51">(SUM(IF((PostTB[Account Code (Old)]=B51),(PostTB[Debit])))+(SUM(IF((CkDJ[Account Code]=B51)*(CkDJ[Date]&lt;=$A$7),(CkDJ[Debit])))+(SUM(IF((CsDJ[Account Code]=B51)*(CsDJ[Date]&lt;=$A$7),(CsDJ[Debit])))+(SUM(IF((CRDJ[Account Code]=B51)*(CRDJ[Date]&lt;=$A$7),(CRDJ[Debit])))+(SUM(IF((GJ[Account Code]=B51)*(GJ[Date]&lt;=$A$7),(GJ[Debit]))))))))</f>
        <v>0</v>
      </c>
      <c r="F51" s="490">
        <f t="array" ref="F51">(SUM(IF((PostTB[Account Code (Old)]=B51),(PostTB[Credit])))+(SUM(IF((CkDJ[Account Code]=B51)*(CkDJ[Date]&lt;=$A$7),(CkDJ[Credit])))+(SUM(IF((CsDJ[Account Code]=B51)*(CsDJ[Date]&lt;=$A$7),(CsDJ[Credit])))+(SUM(IF((CRDJ[Account Code]=B51)*(CRDJ[Date]&lt;=$A$7),(CRDJ[Credit])))+(SUM(IF((GJ[Account Code]=B51)*(GJ[Date]&lt;=$A$7),(GJ[Credit]))))))))</f>
        <v>0</v>
      </c>
      <c r="G51" s="620">
        <f>IF(INDEX(AccountCodes[Normal Balance], MATCH(C51,AccountCodes[PPSAS CODE]))="Credit",F51-E51,0)</f>
        <v>0</v>
      </c>
      <c r="H51" s="621">
        <f t="shared" si="0"/>
        <v>0</v>
      </c>
    </row>
    <row r="52" spans="1:8" ht="15.75" hidden="1" x14ac:dyDescent="0.25">
      <c r="A52" s="613" t="str">
        <f t="array" ref="A52">INDEX(AccountCodes[ACCOUNT NAME],MATCH(B52,AccountCodes[NGAS CODE],0))</f>
        <v>Fuel, Oil and Lubricants Inventory</v>
      </c>
      <c r="B52" s="602" t="s">
        <v>31</v>
      </c>
      <c r="C52" s="615">
        <f t="array" ref="C52">INDEX(AccountCodes[PPSAS CODE],MATCH(B52,AccountCodes[NGAS CODE],0))</f>
        <v>1040408000</v>
      </c>
      <c r="D52" s="616">
        <f>IF(INDEX(AccountCodes[Normal Balance], MATCH(C52,AccountCodes[PPSAS CODE]))="Debit",E52-F52,0)</f>
        <v>0</v>
      </c>
      <c r="E52" s="488">
        <f t="array" ref="E52">(SUM(IF((PostTB[Account Code (Old)]=B52),(PostTB[Debit])))+(SUM(IF((CkDJ[Account Code]=B52)*(CkDJ[Date]&lt;=$A$7),(CkDJ[Debit])))+(SUM(IF((CsDJ[Account Code]=B52)*(CsDJ[Date]&lt;=$A$7),(CsDJ[Debit])))+(SUM(IF((CRDJ[Account Code]=B52)*(CRDJ[Date]&lt;=$A$7),(CRDJ[Debit])))+(SUM(IF((GJ[Account Code]=B52)*(GJ[Date]&lt;=$A$7),(GJ[Debit]))))))))</f>
        <v>0</v>
      </c>
      <c r="F52" s="490">
        <f t="array" ref="F52">(SUM(IF((PostTB[Account Code (Old)]=B52),(PostTB[Credit])))+(SUM(IF((CkDJ[Account Code]=B52)*(CkDJ[Date]&lt;=$A$7),(CkDJ[Credit])))+(SUM(IF((CsDJ[Account Code]=B52)*(CsDJ[Date]&lt;=$A$7),(CsDJ[Credit])))+(SUM(IF((CRDJ[Account Code]=B52)*(CRDJ[Date]&lt;=$A$7),(CRDJ[Credit])))+(SUM(IF((GJ[Account Code]=B52)*(GJ[Date]&lt;=$A$7),(GJ[Credit]))))))))</f>
        <v>0</v>
      </c>
      <c r="G52" s="620">
        <f>IF(INDEX(AccountCodes[Normal Balance], MATCH(C52,AccountCodes[PPSAS CODE]))="Credit",F52-E52,0)</f>
        <v>0</v>
      </c>
      <c r="H52" s="621">
        <f t="shared" si="0"/>
        <v>0</v>
      </c>
    </row>
    <row r="53" spans="1:8" ht="15.75" hidden="1" x14ac:dyDescent="0.25">
      <c r="A53" s="613" t="str">
        <f t="array" ref="A53">INDEX(AccountCodes[ACCOUNT NAME],MATCH(B53,AccountCodes[NGAS CODE],0))</f>
        <v>Textbooks and Instructional Materials Inventory</v>
      </c>
      <c r="B53" s="602" t="s">
        <v>1222</v>
      </c>
      <c r="C53" s="615">
        <f t="array" ref="C53">INDEX(AccountCodes[PPSAS CODE],MATCH(B53,AccountCodes[NGAS CODE],0))</f>
        <v>1040410000</v>
      </c>
      <c r="D53" s="616">
        <f>IF(INDEX(AccountCodes[Normal Balance], MATCH(C53,AccountCodes[PPSAS CODE]))="Debit",E53-F53,0)</f>
        <v>0</v>
      </c>
      <c r="E53" s="488">
        <f t="array" ref="E53">(SUM(IF((PostTB[Account Code (Old)]=B53),(PostTB[Debit])))+(SUM(IF((CkDJ[Account Code]=B53)*(CkDJ[Date]&lt;=$A$7),(CkDJ[Debit])))+(SUM(IF((CsDJ[Account Code]=B53)*(CsDJ[Date]&lt;=$A$7),(CsDJ[Debit])))+(SUM(IF((CRDJ[Account Code]=B53)*(CRDJ[Date]&lt;=$A$7),(CRDJ[Debit])))+(SUM(IF((GJ[Account Code]=B53)*(GJ[Date]&lt;=$A$7),(GJ[Debit]))))))))</f>
        <v>0</v>
      </c>
      <c r="F53" s="490">
        <f t="array" ref="F53">(SUM(IF((PostTB[Account Code (Old)]=B53),(PostTB[Credit])))+(SUM(IF((CkDJ[Account Code]=B53)*(CkDJ[Date]&lt;=$A$7),(CkDJ[Credit])))+(SUM(IF((CsDJ[Account Code]=B53)*(CsDJ[Date]&lt;=$A$7),(CsDJ[Credit])))+(SUM(IF((CRDJ[Account Code]=B53)*(CRDJ[Date]&lt;=$A$7),(CRDJ[Credit])))+(SUM(IF((GJ[Account Code]=B53)*(GJ[Date]&lt;=$A$7),(GJ[Credit]))))))))</f>
        <v>0</v>
      </c>
      <c r="G53" s="620">
        <f>IF(INDEX(AccountCodes[Normal Balance], MATCH(C53,AccountCodes[PPSAS CODE]))="Credit",F53-E53,0)</f>
        <v>0</v>
      </c>
      <c r="H53" s="621">
        <f t="shared" si="0"/>
        <v>0</v>
      </c>
    </row>
    <row r="54" spans="1:8" ht="15.75" hidden="1" x14ac:dyDescent="0.25">
      <c r="A54" s="613" t="str">
        <f t="array" ref="A54">INDEX(AccountCodes[ACCOUNT NAME],MATCH(B54,AccountCodes[NGAS CODE],0))</f>
        <v>Construction Materials Inventory</v>
      </c>
      <c r="B54" s="602" t="s">
        <v>1223</v>
      </c>
      <c r="C54" s="615">
        <f t="array" ref="C54">INDEX(AccountCodes[PPSAS CODE],MATCH(B54,AccountCodes[NGAS CODE],0))</f>
        <v>1040413000</v>
      </c>
      <c r="D54" s="616">
        <f>IF(INDEX(AccountCodes[Normal Balance], MATCH(C54,AccountCodes[PPSAS CODE]))="Debit",E54-F54,0)</f>
        <v>0</v>
      </c>
      <c r="E54" s="488">
        <f t="array" ref="E54">(SUM(IF((PostTB[Account Code (Old)]=B54),(PostTB[Debit])))+(SUM(IF((CkDJ[Account Code]=B54)*(CkDJ[Date]&lt;=$A$7),(CkDJ[Debit])))+(SUM(IF((CsDJ[Account Code]=B54)*(CsDJ[Date]&lt;=$A$7),(CsDJ[Debit])))+(SUM(IF((CRDJ[Account Code]=B54)*(CRDJ[Date]&lt;=$A$7),(CRDJ[Debit])))+(SUM(IF((GJ[Account Code]=B54)*(GJ[Date]&lt;=$A$7),(GJ[Debit]))))))))</f>
        <v>0</v>
      </c>
      <c r="F54" s="490">
        <f t="array" ref="F54">(SUM(IF((PostTB[Account Code (Old)]=B54),(PostTB[Credit])))+(SUM(IF((CkDJ[Account Code]=B54)*(CkDJ[Date]&lt;=$A$7),(CkDJ[Credit])))+(SUM(IF((CsDJ[Account Code]=B54)*(CsDJ[Date]&lt;=$A$7),(CsDJ[Credit])))+(SUM(IF((CRDJ[Account Code]=B54)*(CRDJ[Date]&lt;=$A$7),(CRDJ[Credit])))+(SUM(IF((GJ[Account Code]=B54)*(GJ[Date]&lt;=$A$7),(GJ[Credit]))))))))</f>
        <v>0</v>
      </c>
      <c r="G54" s="620">
        <f>IF(INDEX(AccountCodes[Normal Balance], MATCH(C54,AccountCodes[PPSAS CODE]))="Credit",F54-E54,0)</f>
        <v>0</v>
      </c>
      <c r="H54" s="621">
        <f t="shared" si="0"/>
        <v>0</v>
      </c>
    </row>
    <row r="55" spans="1:8" ht="15.75" hidden="1" x14ac:dyDescent="0.25">
      <c r="A55" s="613" t="str">
        <f t="array" ref="A55">INDEX(AccountCodes[ACCOUNT NAME],MATCH(B55,AccountCodes[NGAS CODE],0))</f>
        <v>Other Supplies and Materials Inventory</v>
      </c>
      <c r="B55" s="602" t="s">
        <v>32</v>
      </c>
      <c r="C55" s="615">
        <f t="array" ref="C55">INDEX(AccountCodes[PPSAS CODE],MATCH(B55,AccountCodes[NGAS CODE],0))</f>
        <v>1040499000</v>
      </c>
      <c r="D55" s="616">
        <f>IF(INDEX(AccountCodes[Normal Balance], MATCH(C55,AccountCodes[PPSAS CODE]))="Debit",E55-F55,0)</f>
        <v>0</v>
      </c>
      <c r="E55" s="488">
        <f t="array" ref="E55">(SUM(IF((PostTB[Account Code (Old)]=B55),(PostTB[Debit])))+(SUM(IF((CkDJ[Account Code]=B55)*(CkDJ[Date]&lt;=$A$7),(CkDJ[Debit])))+(SUM(IF((CsDJ[Account Code]=B55)*(CsDJ[Date]&lt;=$A$7),(CsDJ[Debit])))+(SUM(IF((CRDJ[Account Code]=B55)*(CRDJ[Date]&lt;=$A$7),(CRDJ[Debit])))+(SUM(IF((GJ[Account Code]=B55)*(GJ[Date]&lt;=$A$7),(GJ[Debit]))))))))</f>
        <v>0</v>
      </c>
      <c r="F55" s="490">
        <f t="array" ref="F55">(SUM(IF((PostTB[Account Code (Old)]=B55),(PostTB[Credit])))+(SUM(IF((CkDJ[Account Code]=B55)*(CkDJ[Date]&lt;=$A$7),(CkDJ[Credit])))+(SUM(IF((CsDJ[Account Code]=B55)*(CsDJ[Date]&lt;=$A$7),(CsDJ[Credit])))+(SUM(IF((CRDJ[Account Code]=B55)*(CRDJ[Date]&lt;=$A$7),(CRDJ[Credit])))+(SUM(IF((GJ[Account Code]=B55)*(GJ[Date]&lt;=$A$7),(GJ[Credit]))))))))</f>
        <v>0</v>
      </c>
      <c r="G55" s="620">
        <f>IF(INDEX(AccountCodes[Normal Balance], MATCH(C55,AccountCodes[PPSAS CODE]))="Credit",F55-E55,0)</f>
        <v>0</v>
      </c>
      <c r="H55" s="621">
        <f t="shared" si="0"/>
        <v>0</v>
      </c>
    </row>
    <row r="56" spans="1:8" ht="15.75" hidden="1" x14ac:dyDescent="0.25">
      <c r="A56" s="613" t="str">
        <f t="array" ref="A56">INDEX(AccountCodes[ACCOUNT NAME],MATCH(B56,AccountCodes[NGAS CODE],0))</f>
        <v>Semi-Expendable Machinery</v>
      </c>
      <c r="B56" s="602" t="s">
        <v>1244</v>
      </c>
      <c r="C56" s="615">
        <f t="array" ref="C56">INDEX(AccountCodes[PPSAS CODE],MATCH(B56,AccountCodes[NGAS CODE],0))</f>
        <v>1040501000</v>
      </c>
      <c r="D56" s="616">
        <f>IF(INDEX(AccountCodes[Normal Balance], MATCH(C56,AccountCodes[PPSAS CODE]))="Debit",E56-F56,0)</f>
        <v>0</v>
      </c>
      <c r="E56" s="488">
        <f t="array" ref="E56">(SUM(IF((PostTB[Account Code (Old)]=B56),(PostTB[Debit])))+(SUM(IF((CkDJ[Account Code]=B56)*(CkDJ[Date]&lt;=$A$7),(CkDJ[Debit])))+(SUM(IF((CsDJ[Account Code]=B56)*(CsDJ[Date]&lt;=$A$7),(CsDJ[Debit])))+(SUM(IF((CRDJ[Account Code]=B56)*(CRDJ[Date]&lt;=$A$7),(CRDJ[Debit])))+(SUM(IF((GJ[Account Code]=B56)*(GJ[Date]&lt;=$A$7),(GJ[Debit]))))))))</f>
        <v>0</v>
      </c>
      <c r="F56" s="490">
        <f t="array" ref="F56">(SUM(IF((PostTB[Account Code (Old)]=B56),(PostTB[Credit])))+(SUM(IF((CkDJ[Account Code]=B56)*(CkDJ[Date]&lt;=$A$7),(CkDJ[Credit])))+(SUM(IF((CsDJ[Account Code]=B56)*(CsDJ[Date]&lt;=$A$7),(CsDJ[Credit])))+(SUM(IF((CRDJ[Account Code]=B56)*(CRDJ[Date]&lt;=$A$7),(CRDJ[Credit])))+(SUM(IF((GJ[Account Code]=B56)*(GJ[Date]&lt;=$A$7),(GJ[Credit]))))))))</f>
        <v>0</v>
      </c>
      <c r="G56" s="620">
        <f>IF(INDEX(AccountCodes[Normal Balance], MATCH(C56,AccountCodes[PPSAS CODE]))="Credit",F56-E56,0)</f>
        <v>0</v>
      </c>
      <c r="H56" s="621">
        <f t="shared" si="0"/>
        <v>0</v>
      </c>
    </row>
    <row r="57" spans="1:8" ht="15.75" hidden="1" x14ac:dyDescent="0.25">
      <c r="A57" s="613" t="str">
        <f t="array" ref="A57">INDEX(AccountCodes[ACCOUNT NAME],MATCH(B57,AccountCodes[NGAS CODE],0))</f>
        <v>Semi-Expendable Office Equipment</v>
      </c>
      <c r="B57" s="602" t="s">
        <v>1245</v>
      </c>
      <c r="C57" s="615">
        <f t="array" ref="C57">INDEX(AccountCodes[PPSAS CODE],MATCH(B57,AccountCodes[NGAS CODE],0))</f>
        <v>1040502000</v>
      </c>
      <c r="D57" s="616">
        <f>IF(INDEX(AccountCodes[Normal Balance], MATCH(C57,AccountCodes[PPSAS CODE]))="Debit",E57-F57,0)</f>
        <v>0</v>
      </c>
      <c r="E57" s="488">
        <f t="array" ref="E57">(SUM(IF((PostTB[Account Code (Old)]=B57),(PostTB[Debit])))+(SUM(IF((CkDJ[Account Code]=B57)*(CkDJ[Date]&lt;=$A$7),(CkDJ[Debit])))+(SUM(IF((CsDJ[Account Code]=B57)*(CsDJ[Date]&lt;=$A$7),(CsDJ[Debit])))+(SUM(IF((CRDJ[Account Code]=B57)*(CRDJ[Date]&lt;=$A$7),(CRDJ[Debit])))+(SUM(IF((GJ[Account Code]=B57)*(GJ[Date]&lt;=$A$7),(GJ[Debit]))))))))</f>
        <v>0</v>
      </c>
      <c r="F57" s="490">
        <f t="array" ref="F57">(SUM(IF((PostTB[Account Code (Old)]=B57),(PostTB[Credit])))+(SUM(IF((CkDJ[Account Code]=B57)*(CkDJ[Date]&lt;=$A$7),(CkDJ[Credit])))+(SUM(IF((CsDJ[Account Code]=B57)*(CsDJ[Date]&lt;=$A$7),(CsDJ[Credit])))+(SUM(IF((CRDJ[Account Code]=B57)*(CRDJ[Date]&lt;=$A$7),(CRDJ[Credit])))+(SUM(IF((GJ[Account Code]=B57)*(GJ[Date]&lt;=$A$7),(GJ[Credit]))))))))</f>
        <v>0</v>
      </c>
      <c r="G57" s="620">
        <f>IF(INDEX(AccountCodes[Normal Balance], MATCH(C57,AccountCodes[PPSAS CODE]))="Credit",F57-E57,0)</f>
        <v>0</v>
      </c>
      <c r="H57" s="621">
        <f t="shared" si="0"/>
        <v>0</v>
      </c>
    </row>
    <row r="58" spans="1:8" ht="15.75" hidden="1" x14ac:dyDescent="0.25">
      <c r="A58" s="613" t="str">
        <f t="array" ref="A58">INDEX(AccountCodes[ACCOUNT NAME],MATCH(B58,AccountCodes[NGAS CODE],0))</f>
        <v>Semi-Expendable Information and Communications Technology Equipment</v>
      </c>
      <c r="B58" s="602" t="s">
        <v>1246</v>
      </c>
      <c r="C58" s="615">
        <f t="array" ref="C58">INDEX(AccountCodes[PPSAS CODE],MATCH(B58,AccountCodes[NGAS CODE],0))</f>
        <v>1040503000</v>
      </c>
      <c r="D58" s="616">
        <f>IF(INDEX(AccountCodes[Normal Balance], MATCH(C58,AccountCodes[PPSAS CODE]))="Debit",E58-F58,0)</f>
        <v>0</v>
      </c>
      <c r="E58" s="488">
        <f t="array" ref="E58">(SUM(IF((PostTB[Account Code (Old)]=B58),(PostTB[Debit])))+(SUM(IF((CkDJ[Account Code]=B58)*(CkDJ[Date]&lt;=$A$7),(CkDJ[Debit])))+(SUM(IF((CsDJ[Account Code]=B58)*(CsDJ[Date]&lt;=$A$7),(CsDJ[Debit])))+(SUM(IF((CRDJ[Account Code]=B58)*(CRDJ[Date]&lt;=$A$7),(CRDJ[Debit])))+(SUM(IF((GJ[Account Code]=B58)*(GJ[Date]&lt;=$A$7),(GJ[Debit]))))))))</f>
        <v>0</v>
      </c>
      <c r="F58" s="490">
        <f t="array" ref="F58">(SUM(IF((PostTB[Account Code (Old)]=B58),(PostTB[Credit])))+(SUM(IF((CkDJ[Account Code]=B58)*(CkDJ[Date]&lt;=$A$7),(CkDJ[Credit])))+(SUM(IF((CsDJ[Account Code]=B58)*(CsDJ[Date]&lt;=$A$7),(CsDJ[Credit])))+(SUM(IF((CRDJ[Account Code]=B58)*(CRDJ[Date]&lt;=$A$7),(CRDJ[Credit])))+(SUM(IF((GJ[Account Code]=B58)*(GJ[Date]&lt;=$A$7),(GJ[Credit]))))))))</f>
        <v>0</v>
      </c>
      <c r="G58" s="620">
        <f>IF(INDEX(AccountCodes[Normal Balance], MATCH(C58,AccountCodes[PPSAS CODE]))="Credit",F58-E58,0)</f>
        <v>0</v>
      </c>
      <c r="H58" s="621">
        <f t="shared" si="0"/>
        <v>0</v>
      </c>
    </row>
    <row r="59" spans="1:8" ht="15.75" hidden="1" x14ac:dyDescent="0.25">
      <c r="A59" s="613" t="str">
        <f t="array" ref="A59">INDEX(AccountCodes[ACCOUNT NAME],MATCH(B59,AccountCodes[NGAS CODE],0))</f>
        <v>Semi-Expendable Agricultural and Forestry Equipment</v>
      </c>
      <c r="B59" s="602" t="s">
        <v>1247</v>
      </c>
      <c r="C59" s="615">
        <f t="array" ref="C59">INDEX(AccountCodes[PPSAS CODE],MATCH(B59,AccountCodes[NGAS CODE],0))</f>
        <v>1040504000</v>
      </c>
      <c r="D59" s="616">
        <f>IF(INDEX(AccountCodes[Normal Balance], MATCH(C59,AccountCodes[PPSAS CODE]))="Debit",E59-F59,0)</f>
        <v>0</v>
      </c>
      <c r="E59" s="488">
        <f t="array" ref="E59">(SUM(IF((PostTB[Account Code (Old)]=B59),(PostTB[Debit])))+(SUM(IF((CkDJ[Account Code]=B59)*(CkDJ[Date]&lt;=$A$7),(CkDJ[Debit])))+(SUM(IF((CsDJ[Account Code]=B59)*(CsDJ[Date]&lt;=$A$7),(CsDJ[Debit])))+(SUM(IF((CRDJ[Account Code]=B59)*(CRDJ[Date]&lt;=$A$7),(CRDJ[Debit])))+(SUM(IF((GJ[Account Code]=B59)*(GJ[Date]&lt;=$A$7),(GJ[Debit]))))))))</f>
        <v>0</v>
      </c>
      <c r="F59" s="490">
        <f t="array" ref="F59">(SUM(IF((PostTB[Account Code (Old)]=B59),(PostTB[Credit])))+(SUM(IF((CkDJ[Account Code]=B59)*(CkDJ[Date]&lt;=$A$7),(CkDJ[Credit])))+(SUM(IF((CsDJ[Account Code]=B59)*(CsDJ[Date]&lt;=$A$7),(CsDJ[Credit])))+(SUM(IF((CRDJ[Account Code]=B59)*(CRDJ[Date]&lt;=$A$7),(CRDJ[Credit])))+(SUM(IF((GJ[Account Code]=B59)*(GJ[Date]&lt;=$A$7),(GJ[Credit]))))))))</f>
        <v>0</v>
      </c>
      <c r="G59" s="620">
        <f>IF(INDEX(AccountCodes[Normal Balance], MATCH(C59,AccountCodes[PPSAS CODE]))="Credit",F59-E59,0)</f>
        <v>0</v>
      </c>
      <c r="H59" s="621">
        <f t="shared" si="0"/>
        <v>0</v>
      </c>
    </row>
    <row r="60" spans="1:8" ht="15.75" hidden="1" x14ac:dyDescent="0.25">
      <c r="A60" s="613" t="str">
        <f t="array" ref="A60">INDEX(AccountCodes[ACCOUNT NAME],MATCH(B60,AccountCodes[NGAS CODE],0))</f>
        <v>Semi-Expendable Marine and Fishery Equipment</v>
      </c>
      <c r="B60" s="602" t="s">
        <v>1248</v>
      </c>
      <c r="C60" s="615">
        <f t="array" ref="C60">INDEX(AccountCodes[PPSAS CODE],MATCH(B60,AccountCodes[NGAS CODE],0))</f>
        <v>1040505000</v>
      </c>
      <c r="D60" s="616">
        <f>IF(INDEX(AccountCodes[Normal Balance], MATCH(C60,AccountCodes[PPSAS CODE]))="Debit",E60-F60,0)</f>
        <v>0</v>
      </c>
      <c r="E60" s="488">
        <f t="array" ref="E60">(SUM(IF((PostTB[Account Code (Old)]=B60),(PostTB[Debit])))+(SUM(IF((CkDJ[Account Code]=B60)*(CkDJ[Date]&lt;=$A$7),(CkDJ[Debit])))+(SUM(IF((CsDJ[Account Code]=B60)*(CsDJ[Date]&lt;=$A$7),(CsDJ[Debit])))+(SUM(IF((CRDJ[Account Code]=B60)*(CRDJ[Date]&lt;=$A$7),(CRDJ[Debit])))+(SUM(IF((GJ[Account Code]=B60)*(GJ[Date]&lt;=$A$7),(GJ[Debit]))))))))</f>
        <v>0</v>
      </c>
      <c r="F60" s="490">
        <f t="array" ref="F60">(SUM(IF((PostTB[Account Code (Old)]=B60),(PostTB[Credit])))+(SUM(IF((CkDJ[Account Code]=B60)*(CkDJ[Date]&lt;=$A$7),(CkDJ[Credit])))+(SUM(IF((CsDJ[Account Code]=B60)*(CsDJ[Date]&lt;=$A$7),(CsDJ[Credit])))+(SUM(IF((CRDJ[Account Code]=B60)*(CRDJ[Date]&lt;=$A$7),(CRDJ[Credit])))+(SUM(IF((GJ[Account Code]=B60)*(GJ[Date]&lt;=$A$7),(GJ[Credit]))))))))</f>
        <v>0</v>
      </c>
      <c r="G60" s="620">
        <f>IF(INDEX(AccountCodes[Normal Balance], MATCH(C60,AccountCodes[PPSAS CODE]))="Credit",F60-E60,0)</f>
        <v>0</v>
      </c>
      <c r="H60" s="621">
        <f t="shared" si="0"/>
        <v>0</v>
      </c>
    </row>
    <row r="61" spans="1:8" ht="15.75" hidden="1" x14ac:dyDescent="0.25">
      <c r="A61" s="613" t="str">
        <f t="array" ref="A61">INDEX(AccountCodes[ACCOUNT NAME],MATCH(B61,AccountCodes[NGAS CODE],0))</f>
        <v>Semi-Expendable Airport Equipment</v>
      </c>
      <c r="B61" s="602" t="s">
        <v>1249</v>
      </c>
      <c r="C61" s="615">
        <f t="array" ref="C61">INDEX(AccountCodes[PPSAS CODE],MATCH(B61,AccountCodes[NGAS CODE],0))</f>
        <v>1040506000</v>
      </c>
      <c r="D61" s="616">
        <f>IF(INDEX(AccountCodes[Normal Balance], MATCH(C61,AccountCodes[PPSAS CODE]))="Debit",E61-F61,0)</f>
        <v>0</v>
      </c>
      <c r="E61" s="488">
        <f t="array" ref="E61">(SUM(IF((PostTB[Account Code (Old)]=B61),(PostTB[Debit])))+(SUM(IF((CkDJ[Account Code]=B61)*(CkDJ[Date]&lt;=$A$7),(CkDJ[Debit])))+(SUM(IF((CsDJ[Account Code]=B61)*(CsDJ[Date]&lt;=$A$7),(CsDJ[Debit])))+(SUM(IF((CRDJ[Account Code]=B61)*(CRDJ[Date]&lt;=$A$7),(CRDJ[Debit])))+(SUM(IF((GJ[Account Code]=B61)*(GJ[Date]&lt;=$A$7),(GJ[Debit]))))))))</f>
        <v>0</v>
      </c>
      <c r="F61" s="490">
        <f t="array" ref="F61">(SUM(IF((PostTB[Account Code (Old)]=B61),(PostTB[Credit])))+(SUM(IF((CkDJ[Account Code]=B61)*(CkDJ[Date]&lt;=$A$7),(CkDJ[Credit])))+(SUM(IF((CsDJ[Account Code]=B61)*(CsDJ[Date]&lt;=$A$7),(CsDJ[Credit])))+(SUM(IF((CRDJ[Account Code]=B61)*(CRDJ[Date]&lt;=$A$7),(CRDJ[Credit])))+(SUM(IF((GJ[Account Code]=B61)*(GJ[Date]&lt;=$A$7),(GJ[Credit]))))))))</f>
        <v>0</v>
      </c>
      <c r="G61" s="620">
        <f>IF(INDEX(AccountCodes[Normal Balance], MATCH(C61,AccountCodes[PPSAS CODE]))="Credit",F61-E61,0)</f>
        <v>0</v>
      </c>
      <c r="H61" s="621">
        <f t="shared" si="0"/>
        <v>0</v>
      </c>
    </row>
    <row r="62" spans="1:8" ht="15.75" hidden="1" x14ac:dyDescent="0.25">
      <c r="A62" s="613" t="str">
        <f t="array" ref="A62">INDEX(AccountCodes[ACCOUNT NAME],MATCH(B62,AccountCodes[NGAS CODE],0))</f>
        <v>Semi-Expendable Communications Equipment</v>
      </c>
      <c r="B62" s="602" t="s">
        <v>1250</v>
      </c>
      <c r="C62" s="615">
        <f t="array" ref="C62">INDEX(AccountCodes[PPSAS CODE],MATCH(B62,AccountCodes[NGAS CODE],0))</f>
        <v>1040507000</v>
      </c>
      <c r="D62" s="616">
        <f>IF(INDEX(AccountCodes[Normal Balance], MATCH(C62,AccountCodes[PPSAS CODE]))="Debit",E62-F62,0)</f>
        <v>0</v>
      </c>
      <c r="E62" s="488">
        <f t="array" ref="E62">(SUM(IF((PostTB[Account Code (Old)]=B62),(PostTB[Debit])))+(SUM(IF((CkDJ[Account Code]=B62)*(CkDJ[Date]&lt;=$A$7),(CkDJ[Debit])))+(SUM(IF((CsDJ[Account Code]=B62)*(CsDJ[Date]&lt;=$A$7),(CsDJ[Debit])))+(SUM(IF((CRDJ[Account Code]=B62)*(CRDJ[Date]&lt;=$A$7),(CRDJ[Debit])))+(SUM(IF((GJ[Account Code]=B62)*(GJ[Date]&lt;=$A$7),(GJ[Debit]))))))))</f>
        <v>0</v>
      </c>
      <c r="F62" s="490">
        <f t="array" ref="F62">(SUM(IF((PostTB[Account Code (Old)]=B62),(PostTB[Credit])))+(SUM(IF((CkDJ[Account Code]=B62)*(CkDJ[Date]&lt;=$A$7),(CkDJ[Credit])))+(SUM(IF((CsDJ[Account Code]=B62)*(CsDJ[Date]&lt;=$A$7),(CsDJ[Credit])))+(SUM(IF((CRDJ[Account Code]=B62)*(CRDJ[Date]&lt;=$A$7),(CRDJ[Credit])))+(SUM(IF((GJ[Account Code]=B62)*(GJ[Date]&lt;=$A$7),(GJ[Credit]))))))))</f>
        <v>0</v>
      </c>
      <c r="G62" s="620">
        <f>IF(INDEX(AccountCodes[Normal Balance], MATCH(C62,AccountCodes[PPSAS CODE]))="Credit",F62-E62,0)</f>
        <v>0</v>
      </c>
      <c r="H62" s="621">
        <f t="shared" si="0"/>
        <v>0</v>
      </c>
    </row>
    <row r="63" spans="1:8" ht="15.75" hidden="1" x14ac:dyDescent="0.25">
      <c r="A63" s="613" t="str">
        <f t="array" ref="A63">INDEX(AccountCodes[ACCOUNT NAME],MATCH(B63,AccountCodes[NGAS CODE],0))</f>
        <v>Semi-Expendable Disaster Response and Rescue Equipment</v>
      </c>
      <c r="B63" s="602" t="s">
        <v>1251</v>
      </c>
      <c r="C63" s="615">
        <f t="array" ref="C63">INDEX(AccountCodes[PPSAS CODE],MATCH(B63,AccountCodes[NGAS CODE],0))</f>
        <v>1040508000</v>
      </c>
      <c r="D63" s="616">
        <f>IF(INDEX(AccountCodes[Normal Balance], MATCH(C63,AccountCodes[PPSAS CODE]))="Debit",E63-F63,0)</f>
        <v>0</v>
      </c>
      <c r="E63" s="488">
        <f t="array" ref="E63">(SUM(IF((PostTB[Account Code (Old)]=B63),(PostTB[Debit])))+(SUM(IF((CkDJ[Account Code]=B63)*(CkDJ[Date]&lt;=$A$7),(CkDJ[Debit])))+(SUM(IF((CsDJ[Account Code]=B63)*(CsDJ[Date]&lt;=$A$7),(CsDJ[Debit])))+(SUM(IF((CRDJ[Account Code]=B63)*(CRDJ[Date]&lt;=$A$7),(CRDJ[Debit])))+(SUM(IF((GJ[Account Code]=B63)*(GJ[Date]&lt;=$A$7),(GJ[Debit]))))))))</f>
        <v>0</v>
      </c>
      <c r="F63" s="490">
        <f t="array" ref="F63">(SUM(IF((PostTB[Account Code (Old)]=B63),(PostTB[Credit])))+(SUM(IF((CkDJ[Account Code]=B63)*(CkDJ[Date]&lt;=$A$7),(CkDJ[Credit])))+(SUM(IF((CsDJ[Account Code]=B63)*(CsDJ[Date]&lt;=$A$7),(CsDJ[Credit])))+(SUM(IF((CRDJ[Account Code]=B63)*(CRDJ[Date]&lt;=$A$7),(CRDJ[Credit])))+(SUM(IF((GJ[Account Code]=B63)*(GJ[Date]&lt;=$A$7),(GJ[Credit]))))))))</f>
        <v>0</v>
      </c>
      <c r="G63" s="620">
        <f>IF(INDEX(AccountCodes[Normal Balance], MATCH(C63,AccountCodes[PPSAS CODE]))="Credit",F63-E63,0)</f>
        <v>0</v>
      </c>
      <c r="H63" s="621">
        <f t="shared" si="0"/>
        <v>0</v>
      </c>
    </row>
    <row r="64" spans="1:8" ht="15.75" hidden="1" x14ac:dyDescent="0.25">
      <c r="A64" s="613" t="str">
        <f t="array" ref="A64">INDEX(AccountCodes[ACCOUNT NAME],MATCH(B64,AccountCodes[NGAS CODE],0))</f>
        <v>Semi-Expendable Military, Police and Security Equipment</v>
      </c>
      <c r="B64" s="602" t="s">
        <v>1252</v>
      </c>
      <c r="C64" s="615">
        <f t="array" ref="C64">INDEX(AccountCodes[PPSAS CODE],MATCH(B64,AccountCodes[NGAS CODE],0))</f>
        <v>1040509000</v>
      </c>
      <c r="D64" s="616">
        <f>IF(INDEX(AccountCodes[Normal Balance], MATCH(C64,AccountCodes[PPSAS CODE]))="Debit",E64-F64,0)</f>
        <v>0</v>
      </c>
      <c r="E64" s="488">
        <f t="array" ref="E64">(SUM(IF((PostTB[Account Code (Old)]=B64),(PostTB[Debit])))+(SUM(IF((CkDJ[Account Code]=B64)*(CkDJ[Date]&lt;=$A$7),(CkDJ[Debit])))+(SUM(IF((CsDJ[Account Code]=B64)*(CsDJ[Date]&lt;=$A$7),(CsDJ[Debit])))+(SUM(IF((CRDJ[Account Code]=B64)*(CRDJ[Date]&lt;=$A$7),(CRDJ[Debit])))+(SUM(IF((GJ[Account Code]=B64)*(GJ[Date]&lt;=$A$7),(GJ[Debit]))))))))</f>
        <v>0</v>
      </c>
      <c r="F64" s="490">
        <f t="array" ref="F64">(SUM(IF((PostTB[Account Code (Old)]=B64),(PostTB[Credit])))+(SUM(IF((CkDJ[Account Code]=B64)*(CkDJ[Date]&lt;=$A$7),(CkDJ[Credit])))+(SUM(IF((CsDJ[Account Code]=B64)*(CsDJ[Date]&lt;=$A$7),(CsDJ[Credit])))+(SUM(IF((CRDJ[Account Code]=B64)*(CRDJ[Date]&lt;=$A$7),(CRDJ[Credit])))+(SUM(IF((GJ[Account Code]=B64)*(GJ[Date]&lt;=$A$7),(GJ[Credit]))))))))</f>
        <v>0</v>
      </c>
      <c r="G64" s="620">
        <f>IF(INDEX(AccountCodes[Normal Balance], MATCH(C64,AccountCodes[PPSAS CODE]))="Credit",F64-E64,0)</f>
        <v>0</v>
      </c>
      <c r="H64" s="621">
        <f t="shared" si="0"/>
        <v>0</v>
      </c>
    </row>
    <row r="65" spans="1:8" ht="15.75" hidden="1" x14ac:dyDescent="0.25">
      <c r="A65" s="613" t="str">
        <f t="array" ref="A65">INDEX(AccountCodes[ACCOUNT NAME],MATCH(B65,AccountCodes[NGAS CODE],0))</f>
        <v>Semi-Expendable Medical Equipment</v>
      </c>
      <c r="B65" s="602" t="s">
        <v>1253</v>
      </c>
      <c r="C65" s="615">
        <f t="array" ref="C65">INDEX(AccountCodes[PPSAS CODE],MATCH(B65,AccountCodes[NGAS CODE],0))</f>
        <v>1040510000</v>
      </c>
      <c r="D65" s="616">
        <f>IF(INDEX(AccountCodes[Normal Balance], MATCH(C65,AccountCodes[PPSAS CODE]))="Debit",E65-F65,0)</f>
        <v>0</v>
      </c>
      <c r="E65" s="488">
        <f t="array" ref="E65">(SUM(IF((PostTB[Account Code (Old)]=B65),(PostTB[Debit])))+(SUM(IF((CkDJ[Account Code]=B65)*(CkDJ[Date]&lt;=$A$7),(CkDJ[Debit])))+(SUM(IF((CsDJ[Account Code]=B65)*(CsDJ[Date]&lt;=$A$7),(CsDJ[Debit])))+(SUM(IF((CRDJ[Account Code]=B65)*(CRDJ[Date]&lt;=$A$7),(CRDJ[Debit])))+(SUM(IF((GJ[Account Code]=B65)*(GJ[Date]&lt;=$A$7),(GJ[Debit]))))))))</f>
        <v>0</v>
      </c>
      <c r="F65" s="490">
        <f t="array" ref="F65">(SUM(IF((PostTB[Account Code (Old)]=B65),(PostTB[Credit])))+(SUM(IF((CkDJ[Account Code]=B65)*(CkDJ[Date]&lt;=$A$7),(CkDJ[Credit])))+(SUM(IF((CsDJ[Account Code]=B65)*(CsDJ[Date]&lt;=$A$7),(CsDJ[Credit])))+(SUM(IF((CRDJ[Account Code]=B65)*(CRDJ[Date]&lt;=$A$7),(CRDJ[Credit])))+(SUM(IF((GJ[Account Code]=B65)*(GJ[Date]&lt;=$A$7),(GJ[Credit]))))))))</f>
        <v>0</v>
      </c>
      <c r="G65" s="620">
        <f>IF(INDEX(AccountCodes[Normal Balance], MATCH(C65,AccountCodes[PPSAS CODE]))="Credit",F65-E65,0)</f>
        <v>0</v>
      </c>
      <c r="H65" s="621">
        <f t="shared" si="0"/>
        <v>0</v>
      </c>
    </row>
    <row r="66" spans="1:8" ht="15.75" hidden="1" x14ac:dyDescent="0.25">
      <c r="A66" s="613" t="str">
        <f t="array" ref="A66">INDEX(AccountCodes[ACCOUNT NAME],MATCH(B66,AccountCodes[NGAS CODE],0))</f>
        <v>Semi-Expendable Printing Equipment</v>
      </c>
      <c r="B66" s="602" t="s">
        <v>1254</v>
      </c>
      <c r="C66" s="615">
        <f t="array" ref="C66">INDEX(AccountCodes[PPSAS CODE],MATCH(B66,AccountCodes[NGAS CODE],0))</f>
        <v>1040511000</v>
      </c>
      <c r="D66" s="616">
        <f>IF(INDEX(AccountCodes[Normal Balance], MATCH(C66,AccountCodes[PPSAS CODE]))="Debit",E66-F66,0)</f>
        <v>0</v>
      </c>
      <c r="E66" s="488">
        <f t="array" ref="E66">(SUM(IF((PostTB[Account Code (Old)]=B66),(PostTB[Debit])))+(SUM(IF((CkDJ[Account Code]=B66)*(CkDJ[Date]&lt;=$A$7),(CkDJ[Debit])))+(SUM(IF((CsDJ[Account Code]=B66)*(CsDJ[Date]&lt;=$A$7),(CsDJ[Debit])))+(SUM(IF((CRDJ[Account Code]=B66)*(CRDJ[Date]&lt;=$A$7),(CRDJ[Debit])))+(SUM(IF((GJ[Account Code]=B66)*(GJ[Date]&lt;=$A$7),(GJ[Debit]))))))))</f>
        <v>0</v>
      </c>
      <c r="F66" s="490">
        <f t="array" ref="F66">(SUM(IF((PostTB[Account Code (Old)]=B66),(PostTB[Credit])))+(SUM(IF((CkDJ[Account Code]=B66)*(CkDJ[Date]&lt;=$A$7),(CkDJ[Credit])))+(SUM(IF((CsDJ[Account Code]=B66)*(CsDJ[Date]&lt;=$A$7),(CsDJ[Credit])))+(SUM(IF((CRDJ[Account Code]=B66)*(CRDJ[Date]&lt;=$A$7),(CRDJ[Credit])))+(SUM(IF((GJ[Account Code]=B66)*(GJ[Date]&lt;=$A$7),(GJ[Credit]))))))))</f>
        <v>0</v>
      </c>
      <c r="G66" s="620">
        <f>IF(INDEX(AccountCodes[Normal Balance], MATCH(C66,AccountCodes[PPSAS CODE]))="Credit",F66-E66,0)</f>
        <v>0</v>
      </c>
      <c r="H66" s="621">
        <f t="shared" si="0"/>
        <v>0</v>
      </c>
    </row>
    <row r="67" spans="1:8" ht="15.75" hidden="1" x14ac:dyDescent="0.25">
      <c r="A67" s="613" t="str">
        <f t="array" ref="A67">INDEX(AccountCodes[ACCOUNT NAME],MATCH(B67,AccountCodes[NGAS CODE],0))</f>
        <v>Semi-Expendable Sports Equipment</v>
      </c>
      <c r="B67" s="602" t="s">
        <v>1255</v>
      </c>
      <c r="C67" s="615">
        <f t="array" ref="C67">INDEX(AccountCodes[PPSAS CODE],MATCH(B67,AccountCodes[NGAS CODE],0))</f>
        <v>1040512000</v>
      </c>
      <c r="D67" s="616">
        <f>IF(INDEX(AccountCodes[Normal Balance], MATCH(C67,AccountCodes[PPSAS CODE]))="Debit",E67-F67,0)</f>
        <v>0</v>
      </c>
      <c r="E67" s="488">
        <f t="array" ref="E67">(SUM(IF((PostTB[Account Code (Old)]=B67),(PostTB[Debit])))+(SUM(IF((CkDJ[Account Code]=B67)*(CkDJ[Date]&lt;=$A$7),(CkDJ[Debit])))+(SUM(IF((CsDJ[Account Code]=B67)*(CsDJ[Date]&lt;=$A$7),(CsDJ[Debit])))+(SUM(IF((CRDJ[Account Code]=B67)*(CRDJ[Date]&lt;=$A$7),(CRDJ[Debit])))+(SUM(IF((GJ[Account Code]=B67)*(GJ[Date]&lt;=$A$7),(GJ[Debit]))))))))</f>
        <v>0</v>
      </c>
      <c r="F67" s="490">
        <f t="array" ref="F67">(SUM(IF((PostTB[Account Code (Old)]=B67),(PostTB[Credit])))+(SUM(IF((CkDJ[Account Code]=B67)*(CkDJ[Date]&lt;=$A$7),(CkDJ[Credit])))+(SUM(IF((CsDJ[Account Code]=B67)*(CsDJ[Date]&lt;=$A$7),(CsDJ[Credit])))+(SUM(IF((CRDJ[Account Code]=B67)*(CRDJ[Date]&lt;=$A$7),(CRDJ[Credit])))+(SUM(IF((GJ[Account Code]=B67)*(GJ[Date]&lt;=$A$7),(GJ[Credit]))))))))</f>
        <v>0</v>
      </c>
      <c r="G67" s="620">
        <f>IF(INDEX(AccountCodes[Normal Balance], MATCH(C67,AccountCodes[PPSAS CODE]))="Credit",F67-E67,0)</f>
        <v>0</v>
      </c>
      <c r="H67" s="621">
        <f t="shared" si="0"/>
        <v>0</v>
      </c>
    </row>
    <row r="68" spans="1:8" ht="15.75" hidden="1" x14ac:dyDescent="0.25">
      <c r="A68" s="613" t="str">
        <f t="array" ref="A68">INDEX(AccountCodes[ACCOUNT NAME],MATCH(B68,AccountCodes[NGAS CODE],0))</f>
        <v>Semi-Expendable Technical and Scientific Equipment</v>
      </c>
      <c r="B68" s="602" t="s">
        <v>1256</v>
      </c>
      <c r="C68" s="615">
        <f t="array" ref="C68">INDEX(AccountCodes[PPSAS CODE],MATCH(B68,AccountCodes[NGAS CODE],0))</f>
        <v>1040513000</v>
      </c>
      <c r="D68" s="616">
        <f>IF(INDEX(AccountCodes[Normal Balance], MATCH(C68,AccountCodes[PPSAS CODE]))="Debit",E68-F68,0)</f>
        <v>6000</v>
      </c>
      <c r="E68" s="488">
        <f t="array" ref="E68">(SUM(IF((PostTB[Account Code (Old)]=B68),(PostTB[Debit])))+(SUM(IF((CkDJ[Account Code]=B68)*(CkDJ[Date]&lt;=$A$7),(CkDJ[Debit])))+(SUM(IF((CsDJ[Account Code]=B68)*(CsDJ[Date]&lt;=$A$7),(CsDJ[Debit])))+(SUM(IF((CRDJ[Account Code]=B68)*(CRDJ[Date]&lt;=$A$7),(CRDJ[Debit])))+(SUM(IF((GJ[Account Code]=B68)*(GJ[Date]&lt;=$A$7),(GJ[Debit]))))))))</f>
        <v>6000</v>
      </c>
      <c r="F68" s="490">
        <f t="array" ref="F68">(SUM(IF((PostTB[Account Code (Old)]=B68),(PostTB[Credit])))+(SUM(IF((CkDJ[Account Code]=B68)*(CkDJ[Date]&lt;=$A$7),(CkDJ[Credit])))+(SUM(IF((CsDJ[Account Code]=B68)*(CsDJ[Date]&lt;=$A$7),(CsDJ[Credit])))+(SUM(IF((CRDJ[Account Code]=B68)*(CRDJ[Date]&lt;=$A$7),(CRDJ[Credit])))+(SUM(IF((GJ[Account Code]=B68)*(GJ[Date]&lt;=$A$7),(GJ[Credit]))))))))</f>
        <v>0</v>
      </c>
      <c r="G68" s="620">
        <f>IF(INDEX(AccountCodes[Normal Balance], MATCH(C68,AccountCodes[PPSAS CODE]))="Credit",F68-E68,0)</f>
        <v>0</v>
      </c>
      <c r="H68" s="621">
        <f t="shared" si="0"/>
        <v>6000</v>
      </c>
    </row>
    <row r="69" spans="1:8" ht="15.75" hidden="1" x14ac:dyDescent="0.25">
      <c r="A69" s="613" t="str">
        <f t="array" ref="A69">INDEX(AccountCodes[ACCOUNT NAME],MATCH(B69,AccountCodes[NGAS CODE],0))</f>
        <v>Semi-Expendable Other Machinery and Equipment</v>
      </c>
      <c r="B69" s="602" t="s">
        <v>1257</v>
      </c>
      <c r="C69" s="615">
        <f t="array" ref="C69">INDEX(AccountCodes[PPSAS CODE],MATCH(B69,AccountCodes[NGAS CODE],0))</f>
        <v>1040519000</v>
      </c>
      <c r="D69" s="616">
        <f>IF(INDEX(AccountCodes[Normal Balance], MATCH(C69,AccountCodes[PPSAS CODE]))="Debit",E69-F69,0)</f>
        <v>0</v>
      </c>
      <c r="E69" s="488">
        <f t="array" ref="E69">(SUM(IF((PostTB[Account Code (Old)]=B69),(PostTB[Debit])))+(SUM(IF((CkDJ[Account Code]=B69)*(CkDJ[Date]&lt;=$A$7),(CkDJ[Debit])))+(SUM(IF((CsDJ[Account Code]=B69)*(CsDJ[Date]&lt;=$A$7),(CsDJ[Debit])))+(SUM(IF((CRDJ[Account Code]=B69)*(CRDJ[Date]&lt;=$A$7),(CRDJ[Debit])))+(SUM(IF((GJ[Account Code]=B69)*(GJ[Date]&lt;=$A$7),(GJ[Debit]))))))))</f>
        <v>0</v>
      </c>
      <c r="F69" s="490">
        <f t="array" ref="F69">(SUM(IF((PostTB[Account Code (Old)]=B69),(PostTB[Credit])))+(SUM(IF((CkDJ[Account Code]=B69)*(CkDJ[Date]&lt;=$A$7),(CkDJ[Credit])))+(SUM(IF((CsDJ[Account Code]=B69)*(CsDJ[Date]&lt;=$A$7),(CsDJ[Credit])))+(SUM(IF((CRDJ[Account Code]=B69)*(CRDJ[Date]&lt;=$A$7),(CRDJ[Credit])))+(SUM(IF((GJ[Account Code]=B69)*(GJ[Date]&lt;=$A$7),(GJ[Credit]))))))))</f>
        <v>0</v>
      </c>
      <c r="G69" s="620">
        <f>IF(INDEX(AccountCodes[Normal Balance], MATCH(C69,AccountCodes[PPSAS CODE]))="Credit",F69-E69,0)</f>
        <v>0</v>
      </c>
      <c r="H69" s="621">
        <f t="shared" si="0"/>
        <v>0</v>
      </c>
    </row>
    <row r="70" spans="1:8" ht="15.75" hidden="1" x14ac:dyDescent="0.25">
      <c r="A70" s="613" t="str">
        <f t="array" ref="A70">INDEX(AccountCodes[ACCOUNT NAME],MATCH(B70,AccountCodes[NGAS CODE],0))</f>
        <v>Semi-Expendable Furniture and Fixtures</v>
      </c>
      <c r="B70" s="602" t="s">
        <v>1438</v>
      </c>
      <c r="C70" s="615">
        <f t="array" ref="C70">INDEX(AccountCodes[PPSAS CODE],MATCH(B70,AccountCodes[NGAS CODE],0))</f>
        <v>1040601000</v>
      </c>
      <c r="D70" s="616">
        <f>IF(INDEX(AccountCodes[Normal Balance], MATCH(C70,AccountCodes[PPSAS CODE]))="Debit",E70-F70,0)</f>
        <v>0</v>
      </c>
      <c r="E70" s="488">
        <f t="array" ref="E70">(SUM(IF((PostTB[Account Code (Old)]=B70),(PostTB[Debit])))+(SUM(IF((CkDJ[Account Code]=B70)*(CkDJ[Date]&lt;=$A$7),(CkDJ[Debit])))+(SUM(IF((CsDJ[Account Code]=B70)*(CsDJ[Date]&lt;=$A$7),(CsDJ[Debit])))+(SUM(IF((CRDJ[Account Code]=B70)*(CRDJ[Date]&lt;=$A$7),(CRDJ[Debit])))+(SUM(IF((GJ[Account Code]=B70)*(GJ[Date]&lt;=$A$7),(GJ[Debit]))))))))</f>
        <v>0</v>
      </c>
      <c r="F70" s="490">
        <f t="array" ref="F70">(SUM(IF((PostTB[Account Code (Old)]=B70),(PostTB[Credit])))+(SUM(IF((CkDJ[Account Code]=B70)*(CkDJ[Date]&lt;=$A$7),(CkDJ[Credit])))+(SUM(IF((CsDJ[Account Code]=B70)*(CsDJ[Date]&lt;=$A$7),(CsDJ[Credit])))+(SUM(IF((CRDJ[Account Code]=B70)*(CRDJ[Date]&lt;=$A$7),(CRDJ[Credit])))+(SUM(IF((GJ[Account Code]=B70)*(GJ[Date]&lt;=$A$7),(GJ[Credit]))))))))</f>
        <v>0</v>
      </c>
      <c r="G70" s="620">
        <f>IF(INDEX(AccountCodes[Normal Balance], MATCH(C70,AccountCodes[PPSAS CODE]))="Credit",F70-E70,0)</f>
        <v>0</v>
      </c>
      <c r="H70" s="621">
        <f t="shared" si="0"/>
        <v>0</v>
      </c>
    </row>
    <row r="71" spans="1:8" ht="15.75" hidden="1" x14ac:dyDescent="0.25">
      <c r="A71" s="613" t="str">
        <f t="array" ref="A71">INDEX(AccountCodes[ACCOUNT NAME],MATCH(B71,AccountCodes[NGAS CODE],0))</f>
        <v>Semi-Expendable Books</v>
      </c>
      <c r="B71" s="602" t="s">
        <v>1439</v>
      </c>
      <c r="C71" s="615">
        <f t="array" ref="C71">INDEX(AccountCodes[PPSAS CODE],MATCH(B71,AccountCodes[NGAS CODE],0))</f>
        <v>1040602000</v>
      </c>
      <c r="D71" s="616">
        <f>IF(INDEX(AccountCodes[Normal Balance], MATCH(C71,AccountCodes[PPSAS CODE]))="Debit",E71-F71,0)</f>
        <v>0</v>
      </c>
      <c r="E71" s="488">
        <f t="array" ref="E71">(SUM(IF((PostTB[Account Code (Old)]=B71),(PostTB[Debit])))+(SUM(IF((CkDJ[Account Code]=B71)*(CkDJ[Date]&lt;=$A$7),(CkDJ[Debit])))+(SUM(IF((CsDJ[Account Code]=B71)*(CsDJ[Date]&lt;=$A$7),(CsDJ[Debit])))+(SUM(IF((CRDJ[Account Code]=B71)*(CRDJ[Date]&lt;=$A$7),(CRDJ[Debit])))+(SUM(IF((GJ[Account Code]=B71)*(GJ[Date]&lt;=$A$7),(GJ[Debit]))))))))</f>
        <v>0</v>
      </c>
      <c r="F71" s="490">
        <f t="array" ref="F71">(SUM(IF((PostTB[Account Code (Old)]=B71),(PostTB[Credit])))+(SUM(IF((CkDJ[Account Code]=B71)*(CkDJ[Date]&lt;=$A$7),(CkDJ[Credit])))+(SUM(IF((CsDJ[Account Code]=B71)*(CsDJ[Date]&lt;=$A$7),(CsDJ[Credit])))+(SUM(IF((CRDJ[Account Code]=B71)*(CRDJ[Date]&lt;=$A$7),(CRDJ[Credit])))+(SUM(IF((GJ[Account Code]=B71)*(GJ[Date]&lt;=$A$7),(GJ[Credit]))))))))</f>
        <v>0</v>
      </c>
      <c r="G71" s="620">
        <f>IF(INDEX(AccountCodes[Normal Balance], MATCH(C71,AccountCodes[PPSAS CODE]))="Credit",F71-E71,0)</f>
        <v>0</v>
      </c>
      <c r="H71" s="621">
        <f t="shared" si="0"/>
        <v>0</v>
      </c>
    </row>
    <row r="72" spans="1:8" ht="15.75" hidden="1" x14ac:dyDescent="0.25">
      <c r="A72" s="613" t="str">
        <f t="array" ref="A72">INDEX(AccountCodes[ACCOUNT NAME],MATCH(B72,AccountCodes[NGAS CODE],0))</f>
        <v>Land</v>
      </c>
      <c r="B72" s="602" t="s">
        <v>38</v>
      </c>
      <c r="C72" s="615">
        <f t="array" ref="C72">INDEX(AccountCodes[PPSAS CODE],MATCH(B72,AccountCodes[NGAS CODE],0))</f>
        <v>1060101000</v>
      </c>
      <c r="D72" s="616">
        <f>IF(INDEX(AccountCodes[Normal Balance], MATCH(C72,AccountCodes[PPSAS CODE]))="Debit",E72-F72,0)</f>
        <v>0</v>
      </c>
      <c r="E72" s="488">
        <f t="array" ref="E72">(SUM(IF((PostTB[Account Code (Old)]=B72),(PostTB[Debit])))+(SUM(IF((CkDJ[Account Code]=B72)*(CkDJ[Date]&lt;=$A$7),(CkDJ[Debit])))+(SUM(IF((CsDJ[Account Code]=B72)*(CsDJ[Date]&lt;=$A$7),(CsDJ[Debit])))+(SUM(IF((CRDJ[Account Code]=B72)*(CRDJ[Date]&lt;=$A$7),(CRDJ[Debit])))+(SUM(IF((GJ[Account Code]=B72)*(GJ[Date]&lt;=$A$7),(GJ[Debit]))))))))</f>
        <v>0</v>
      </c>
      <c r="F72" s="490">
        <f t="array" ref="F72">(SUM(IF((PostTB[Account Code (Old)]=B72),(PostTB[Credit])))+(SUM(IF((CkDJ[Account Code]=B72)*(CkDJ[Date]&lt;=$A$7),(CkDJ[Credit])))+(SUM(IF((CsDJ[Account Code]=B72)*(CsDJ[Date]&lt;=$A$7),(CsDJ[Credit])))+(SUM(IF((CRDJ[Account Code]=B72)*(CRDJ[Date]&lt;=$A$7),(CRDJ[Credit])))+(SUM(IF((GJ[Account Code]=B72)*(GJ[Date]&lt;=$A$7),(GJ[Credit]))))))))</f>
        <v>0</v>
      </c>
      <c r="G72" s="620">
        <f>IF(INDEX(AccountCodes[Normal Balance], MATCH(C72,AccountCodes[PPSAS CODE]))="Credit",F72-E72,0)</f>
        <v>0</v>
      </c>
      <c r="H72" s="621">
        <f t="shared" si="0"/>
        <v>0</v>
      </c>
    </row>
    <row r="73" spans="1:8" ht="15.75" hidden="1" x14ac:dyDescent="0.25">
      <c r="A73" s="613" t="str">
        <f t="array" ref="A73">INDEX(AccountCodes[ACCOUNT NAME],MATCH(B73,AccountCodes[NGAS CODE],0))</f>
        <v>Other Land Improvements</v>
      </c>
      <c r="B73" s="602" t="s">
        <v>39</v>
      </c>
      <c r="C73" s="615">
        <f t="array" ref="C73">INDEX(AccountCodes[PPSAS CODE],MATCH(B73,AccountCodes[NGAS CODE],0))</f>
        <v>1060299000</v>
      </c>
      <c r="D73" s="616">
        <f>IF(INDEX(AccountCodes[Normal Balance], MATCH(C73,AccountCodes[PPSAS CODE]))="Debit",E73-F73,0)</f>
        <v>0</v>
      </c>
      <c r="E73" s="488">
        <f t="array" ref="E73">(SUM(IF((PostTB[Account Code (Old)]=B73),(PostTB[Debit])))+(SUM(IF((CkDJ[Account Code]=B73)*(CkDJ[Date]&lt;=$A$7),(CkDJ[Debit])))+(SUM(IF((CsDJ[Account Code]=B73)*(CsDJ[Date]&lt;=$A$7),(CsDJ[Debit])))+(SUM(IF((CRDJ[Account Code]=B73)*(CRDJ[Date]&lt;=$A$7),(CRDJ[Debit])))+(SUM(IF((GJ[Account Code]=B73)*(GJ[Date]&lt;=$A$7),(GJ[Debit]))))))))</f>
        <v>0</v>
      </c>
      <c r="F73" s="490">
        <f t="array" ref="F73">(SUM(IF((PostTB[Account Code (Old)]=B73),(PostTB[Credit])))+(SUM(IF((CkDJ[Account Code]=B73)*(CkDJ[Date]&lt;=$A$7),(CkDJ[Credit])))+(SUM(IF((CsDJ[Account Code]=B73)*(CsDJ[Date]&lt;=$A$7),(CsDJ[Credit])))+(SUM(IF((CRDJ[Account Code]=B73)*(CRDJ[Date]&lt;=$A$7),(CRDJ[Credit])))+(SUM(IF((GJ[Account Code]=B73)*(GJ[Date]&lt;=$A$7),(GJ[Credit]))))))))</f>
        <v>0</v>
      </c>
      <c r="G73" s="620">
        <f>IF(INDEX(AccountCodes[Normal Balance], MATCH(C73,AccountCodes[PPSAS CODE]))="Credit",F73-E73,0)</f>
        <v>0</v>
      </c>
      <c r="H73" s="621">
        <f t="shared" si="0"/>
        <v>0</v>
      </c>
    </row>
    <row r="74" spans="1:8" ht="15.75" hidden="1" x14ac:dyDescent="0.25">
      <c r="A74" s="613" t="str">
        <f t="array" ref="A74">INDEX(AccountCodes[ACCOUNT NAME],MATCH(B74,AccountCodes[NGAS CODE],0))</f>
        <v>Accumulated Depreciation-Other Land Improvements</v>
      </c>
      <c r="B74" s="602" t="s">
        <v>85</v>
      </c>
      <c r="C74" s="615">
        <f t="array" ref="C74">INDEX(AccountCodes[PPSAS CODE],MATCH(B74,AccountCodes[NGAS CODE],0))</f>
        <v>1060299100</v>
      </c>
      <c r="D74" s="616">
        <f>IF(INDEX(AccountCodes[Normal Balance], MATCH(C74,AccountCodes[PPSAS CODE]))="Debit",E74-F74,0)</f>
        <v>0</v>
      </c>
      <c r="E74" s="488">
        <f t="array" ref="E74">(SUM(IF((PostTB[Account Code (Old)]=B74),(PostTB[Debit])))+(SUM(IF((CkDJ[Account Code]=B74)*(CkDJ[Date]&lt;=$A$7),(CkDJ[Debit])))+(SUM(IF((CsDJ[Account Code]=B74)*(CsDJ[Date]&lt;=$A$7),(CsDJ[Debit])))+(SUM(IF((CRDJ[Account Code]=B74)*(CRDJ[Date]&lt;=$A$7),(CRDJ[Debit])))+(SUM(IF((GJ[Account Code]=B74)*(GJ[Date]&lt;=$A$7),(GJ[Debit]))))))))</f>
        <v>0</v>
      </c>
      <c r="F74" s="490">
        <f t="array" ref="F74">(SUM(IF((PostTB[Account Code (Old)]=B74),(PostTB[Credit])))+(SUM(IF((CkDJ[Account Code]=B74)*(CkDJ[Date]&lt;=$A$7),(CkDJ[Credit])))+(SUM(IF((CsDJ[Account Code]=B74)*(CsDJ[Date]&lt;=$A$7),(CsDJ[Credit])))+(SUM(IF((CRDJ[Account Code]=B74)*(CRDJ[Date]&lt;=$A$7),(CRDJ[Credit])))+(SUM(IF((GJ[Account Code]=B74)*(GJ[Date]&lt;=$A$7),(GJ[Credit]))))))))</f>
        <v>0</v>
      </c>
      <c r="G74" s="620">
        <f>IF(INDEX(AccountCodes[Normal Balance], MATCH(C74,AccountCodes[PPSAS CODE]))="Credit",F74-E74,0)</f>
        <v>0</v>
      </c>
      <c r="H74" s="621">
        <f t="shared" ref="H74:H137" si="1">IF(D74=0,G74,D74)</f>
        <v>0</v>
      </c>
    </row>
    <row r="75" spans="1:8" ht="15.75" hidden="1" x14ac:dyDescent="0.25">
      <c r="A75" s="613" t="str">
        <f t="array" ref="A75">INDEX(AccountCodes[ACCOUNT NAME],MATCH(B75,AccountCodes[NGAS CODE],0))</f>
        <v>Road Networks</v>
      </c>
      <c r="B75" s="602" t="s">
        <v>1226</v>
      </c>
      <c r="C75" s="615">
        <f t="array" ref="C75">INDEX(AccountCodes[PPSAS CODE],MATCH(B75,AccountCodes[NGAS CODE],0))</f>
        <v>1060301000</v>
      </c>
      <c r="D75" s="616">
        <f>IF(INDEX(AccountCodes[Normal Balance], MATCH(C75,AccountCodes[PPSAS CODE]))="Debit",E75-F75,0)</f>
        <v>0</v>
      </c>
      <c r="E75" s="488">
        <f t="array" ref="E75">(SUM(IF((PostTB[Account Code (Old)]=B75),(PostTB[Debit])))+(SUM(IF((CkDJ[Account Code]=B75)*(CkDJ[Date]&lt;=$A$7),(CkDJ[Debit])))+(SUM(IF((CsDJ[Account Code]=B75)*(CsDJ[Date]&lt;=$A$7),(CsDJ[Debit])))+(SUM(IF((CRDJ[Account Code]=B75)*(CRDJ[Date]&lt;=$A$7),(CRDJ[Debit])))+(SUM(IF((GJ[Account Code]=B75)*(GJ[Date]&lt;=$A$7),(GJ[Debit]))))))))</f>
        <v>0</v>
      </c>
      <c r="F75" s="490">
        <f t="array" ref="F75">(SUM(IF((PostTB[Account Code (Old)]=B75),(PostTB[Credit])))+(SUM(IF((CkDJ[Account Code]=B75)*(CkDJ[Date]&lt;=$A$7),(CkDJ[Credit])))+(SUM(IF((CsDJ[Account Code]=B75)*(CsDJ[Date]&lt;=$A$7),(CsDJ[Credit])))+(SUM(IF((CRDJ[Account Code]=B75)*(CRDJ[Date]&lt;=$A$7),(CRDJ[Credit])))+(SUM(IF((GJ[Account Code]=B75)*(GJ[Date]&lt;=$A$7),(GJ[Credit]))))))))</f>
        <v>0</v>
      </c>
      <c r="G75" s="620">
        <f>IF(INDEX(AccountCodes[Normal Balance], MATCH(C75,AccountCodes[PPSAS CODE]))="Credit",F75-E75,0)</f>
        <v>0</v>
      </c>
      <c r="H75" s="621">
        <f t="shared" si="1"/>
        <v>0</v>
      </c>
    </row>
    <row r="76" spans="1:8" ht="15.75" hidden="1" x14ac:dyDescent="0.25">
      <c r="A76" s="613" t="str">
        <f t="array" ref="A76">INDEX(AccountCodes[ACCOUNT NAME],MATCH(B76,AccountCodes[NGAS CODE],0))</f>
        <v>Accumulated Depreciation-Road Networks</v>
      </c>
      <c r="B76" s="602" t="s">
        <v>1260</v>
      </c>
      <c r="C76" s="615">
        <f t="array" ref="C76">INDEX(AccountCodes[PPSAS CODE],MATCH(B76,AccountCodes[NGAS CODE],0))</f>
        <v>1060301100</v>
      </c>
      <c r="D76" s="616">
        <f>IF(INDEX(AccountCodes[Normal Balance], MATCH(C76,AccountCodes[PPSAS CODE]))="Debit",E76-F76,0)</f>
        <v>0</v>
      </c>
      <c r="E76" s="488">
        <f t="array" ref="E76">(SUM(IF((PostTB[Account Code (Old)]=B76),(PostTB[Debit])))+(SUM(IF((CkDJ[Account Code]=B76)*(CkDJ[Date]&lt;=$A$7),(CkDJ[Debit])))+(SUM(IF((CsDJ[Account Code]=B76)*(CsDJ[Date]&lt;=$A$7),(CsDJ[Debit])))+(SUM(IF((CRDJ[Account Code]=B76)*(CRDJ[Date]&lt;=$A$7),(CRDJ[Debit])))+(SUM(IF((GJ[Account Code]=B76)*(GJ[Date]&lt;=$A$7),(GJ[Debit]))))))))</f>
        <v>0</v>
      </c>
      <c r="F76" s="490">
        <f t="array" ref="F76">(SUM(IF((PostTB[Account Code (Old)]=B76),(PostTB[Credit])))+(SUM(IF((CkDJ[Account Code]=B76)*(CkDJ[Date]&lt;=$A$7),(CkDJ[Credit])))+(SUM(IF((CsDJ[Account Code]=B76)*(CsDJ[Date]&lt;=$A$7),(CsDJ[Credit])))+(SUM(IF((CRDJ[Account Code]=B76)*(CRDJ[Date]&lt;=$A$7),(CRDJ[Credit])))+(SUM(IF((GJ[Account Code]=B76)*(GJ[Date]&lt;=$A$7),(GJ[Credit]))))))))</f>
        <v>0</v>
      </c>
      <c r="G76" s="620">
        <f>IF(INDEX(AccountCodes[Normal Balance], MATCH(C76,AccountCodes[PPSAS CODE]))="Credit",F76-E76,0)</f>
        <v>0</v>
      </c>
      <c r="H76" s="621">
        <f t="shared" si="1"/>
        <v>0</v>
      </c>
    </row>
    <row r="77" spans="1:8" ht="15.75" x14ac:dyDescent="0.25">
      <c r="A77" s="613" t="str">
        <f t="array" ref="A77">INDEX(AccountCodes[ACCOUNT NAME],MATCH(B77,AccountCodes[NGAS CODE],0))</f>
        <v>Water Supply Systems</v>
      </c>
      <c r="B77" s="602" t="s">
        <v>60</v>
      </c>
      <c r="C77" s="615">
        <f t="array" ref="C77">INDEX(AccountCodes[PPSAS CODE],MATCH(B77,AccountCodes[NGAS CODE],0))</f>
        <v>1060304000</v>
      </c>
      <c r="D77" s="616">
        <f>IF(INDEX(AccountCodes[Normal Balance], MATCH(C77,AccountCodes[PPSAS CODE]))="Debit",E77-F77,0)</f>
        <v>104191863.31999999</v>
      </c>
      <c r="E77" s="488">
        <f t="array" ref="E77">(SUM(IF((PostTB[Account Code (Old)]=B77),(PostTB[Debit])))+(SUM(IF((CkDJ[Account Code]=B77)*(CkDJ[Date]&lt;=$A$7),(CkDJ[Debit])))+(SUM(IF((CsDJ[Account Code]=B77)*(CsDJ[Date]&lt;=$A$7),(CsDJ[Debit])))+(SUM(IF((CRDJ[Account Code]=B77)*(CRDJ[Date]&lt;=$A$7),(CRDJ[Debit])))+(SUM(IF((GJ[Account Code]=B77)*(GJ[Date]&lt;=$A$7),(GJ[Debit]))))))))</f>
        <v>104191863.31999999</v>
      </c>
      <c r="F77" s="490">
        <f t="array" ref="F77">(SUM(IF((PostTB[Account Code (Old)]=B77),(PostTB[Credit])))+(SUM(IF((CkDJ[Account Code]=B77)*(CkDJ[Date]&lt;=$A$7),(CkDJ[Credit])))+(SUM(IF((CsDJ[Account Code]=B77)*(CsDJ[Date]&lt;=$A$7),(CsDJ[Credit])))+(SUM(IF((CRDJ[Account Code]=B77)*(CRDJ[Date]&lt;=$A$7),(CRDJ[Credit])))+(SUM(IF((GJ[Account Code]=B77)*(GJ[Date]&lt;=$A$7),(GJ[Credit]))))))))</f>
        <v>0</v>
      </c>
      <c r="G77" s="620">
        <f>IF(INDEX(AccountCodes[Normal Balance], MATCH(C77,AccountCodes[PPSAS CODE]))="Credit",F77-E77,0)</f>
        <v>0</v>
      </c>
      <c r="H77" s="621">
        <f t="shared" si="1"/>
        <v>104191863.31999999</v>
      </c>
    </row>
    <row r="78" spans="1:8" ht="15.75" x14ac:dyDescent="0.25">
      <c r="A78" s="613" t="str">
        <f t="array" ref="A78">INDEX(AccountCodes[ACCOUNT NAME],MATCH(B78,AccountCodes[NGAS CODE],0))</f>
        <v>Accumulated Depreciation-Water Supply Systems</v>
      </c>
      <c r="B78" s="602" t="s">
        <v>1261</v>
      </c>
      <c r="C78" s="615">
        <f t="array" ref="C78">INDEX(AccountCodes[PPSAS CODE],MATCH(B78,AccountCodes[NGAS CODE],0))</f>
        <v>1060304100</v>
      </c>
      <c r="D78" s="616">
        <f>IF(INDEX(AccountCodes[Normal Balance], MATCH(C78,AccountCodes[PPSAS CODE]))="Debit",E78-F78,0)</f>
        <v>0</v>
      </c>
      <c r="E78" s="488">
        <f t="array" ref="E78">(SUM(IF((PostTB[Account Code (Old)]=B78),(PostTB[Debit])))+(SUM(IF((CkDJ[Account Code]=B78)*(CkDJ[Date]&lt;=$A$7),(CkDJ[Debit])))+(SUM(IF((CsDJ[Account Code]=B78)*(CsDJ[Date]&lt;=$A$7),(CsDJ[Debit])))+(SUM(IF((CRDJ[Account Code]=B78)*(CRDJ[Date]&lt;=$A$7),(CRDJ[Debit])))+(SUM(IF((GJ[Account Code]=B78)*(GJ[Date]&lt;=$A$7),(GJ[Debit]))))))))</f>
        <v>0</v>
      </c>
      <c r="F78" s="490">
        <f t="array" ref="F78">(SUM(IF((PostTB[Account Code (Old)]=B78),(PostTB[Credit])))+(SUM(IF((CkDJ[Account Code]=B78)*(CkDJ[Date]&lt;=$A$7),(CkDJ[Credit])))+(SUM(IF((CsDJ[Account Code]=B78)*(CsDJ[Date]&lt;=$A$7),(CsDJ[Credit])))+(SUM(IF((CRDJ[Account Code]=B78)*(CRDJ[Date]&lt;=$A$7),(CRDJ[Credit])))+(SUM(IF((GJ[Account Code]=B78)*(GJ[Date]&lt;=$A$7),(GJ[Credit]))))))))</f>
        <v>8043162.0700000003</v>
      </c>
      <c r="G78" s="620">
        <f>IF(INDEX(AccountCodes[Normal Balance], MATCH(C78,AccountCodes[PPSAS CODE]))="Credit",F78-E78,0)</f>
        <v>8043162.0700000003</v>
      </c>
      <c r="H78" s="621">
        <f t="shared" si="1"/>
        <v>8043162.0700000003</v>
      </c>
    </row>
    <row r="79" spans="1:8" ht="15.75" hidden="1" x14ac:dyDescent="0.25">
      <c r="A79" s="613" t="str">
        <f t="array" ref="A79">INDEX(AccountCodes[ACCOUNT NAME],MATCH(B79,AccountCodes[NGAS CODE],0))</f>
        <v>Power Supply Systems</v>
      </c>
      <c r="B79" s="602" t="s">
        <v>1225</v>
      </c>
      <c r="C79" s="615">
        <f t="array" ref="C79">INDEX(AccountCodes[PPSAS CODE],MATCH(B79,AccountCodes[NGAS CODE],0))</f>
        <v>1060305000</v>
      </c>
      <c r="D79" s="616">
        <f>IF(INDEX(AccountCodes[Normal Balance], MATCH(C79,AccountCodes[PPSAS CODE]))="Debit",E79-F79,0)</f>
        <v>0</v>
      </c>
      <c r="E79" s="488">
        <f t="array" ref="E79">(SUM(IF((PostTB[Account Code (Old)]=B79),(PostTB[Debit])))+(SUM(IF((CkDJ[Account Code]=B79)*(CkDJ[Date]&lt;=$A$7),(CkDJ[Debit])))+(SUM(IF((CsDJ[Account Code]=B79)*(CsDJ[Date]&lt;=$A$7),(CsDJ[Debit])))+(SUM(IF((CRDJ[Account Code]=B79)*(CRDJ[Date]&lt;=$A$7),(CRDJ[Debit])))+(SUM(IF((GJ[Account Code]=B79)*(GJ[Date]&lt;=$A$7),(GJ[Debit]))))))))</f>
        <v>0</v>
      </c>
      <c r="F79" s="490">
        <f t="array" ref="F79">(SUM(IF((PostTB[Account Code (Old)]=B79),(PostTB[Credit])))+(SUM(IF((CkDJ[Account Code]=B79)*(CkDJ[Date]&lt;=$A$7),(CkDJ[Credit])))+(SUM(IF((CsDJ[Account Code]=B79)*(CsDJ[Date]&lt;=$A$7),(CsDJ[Credit])))+(SUM(IF((CRDJ[Account Code]=B79)*(CRDJ[Date]&lt;=$A$7),(CRDJ[Credit])))+(SUM(IF((GJ[Account Code]=B79)*(GJ[Date]&lt;=$A$7),(GJ[Credit]))))))))</f>
        <v>0</v>
      </c>
      <c r="G79" s="620">
        <f>IF(INDEX(AccountCodes[Normal Balance], MATCH(C79,AccountCodes[PPSAS CODE]))="Credit",F79-E79,0)</f>
        <v>0</v>
      </c>
      <c r="H79" s="621">
        <f t="shared" si="1"/>
        <v>0</v>
      </c>
    </row>
    <row r="80" spans="1:8" ht="15.75" hidden="1" x14ac:dyDescent="0.25">
      <c r="A80" s="613" t="str">
        <f t="array" ref="A80">INDEX(AccountCodes[ACCOUNT NAME],MATCH(B80,AccountCodes[NGAS CODE],0))</f>
        <v>Accumulated Depreciation-Power Supply Systems</v>
      </c>
      <c r="B80" s="602" t="s">
        <v>1227</v>
      </c>
      <c r="C80" s="615">
        <f t="array" ref="C80">INDEX(AccountCodes[PPSAS CODE],MATCH(B80,AccountCodes[NGAS CODE],0))</f>
        <v>1060305100</v>
      </c>
      <c r="D80" s="616">
        <f>IF(INDEX(AccountCodes[Normal Balance], MATCH(C80,AccountCodes[PPSAS CODE]))="Debit",E80-F80,0)</f>
        <v>0</v>
      </c>
      <c r="E80" s="488">
        <f t="array" ref="E80">(SUM(IF((PostTB[Account Code (Old)]=B80),(PostTB[Debit])))+(SUM(IF((CkDJ[Account Code]=B80)*(CkDJ[Date]&lt;=$A$7),(CkDJ[Debit])))+(SUM(IF((CsDJ[Account Code]=B80)*(CsDJ[Date]&lt;=$A$7),(CsDJ[Debit])))+(SUM(IF((CRDJ[Account Code]=B80)*(CRDJ[Date]&lt;=$A$7),(CRDJ[Debit])))+(SUM(IF((GJ[Account Code]=B80)*(GJ[Date]&lt;=$A$7),(GJ[Debit]))))))))</f>
        <v>0</v>
      </c>
      <c r="F80" s="490">
        <f t="array" ref="F80">(SUM(IF((PostTB[Account Code (Old)]=B80),(PostTB[Credit])))+(SUM(IF((CkDJ[Account Code]=B80)*(CkDJ[Date]&lt;=$A$7),(CkDJ[Credit])))+(SUM(IF((CsDJ[Account Code]=B80)*(CsDJ[Date]&lt;=$A$7),(CsDJ[Credit])))+(SUM(IF((CRDJ[Account Code]=B80)*(CRDJ[Date]&lt;=$A$7),(CRDJ[Credit])))+(SUM(IF((GJ[Account Code]=B80)*(GJ[Date]&lt;=$A$7),(GJ[Credit]))))))))</f>
        <v>0</v>
      </c>
      <c r="G80" s="620">
        <f>IF(INDEX(AccountCodes[Normal Balance], MATCH(C80,AccountCodes[PPSAS CODE]))="Credit",F80-E80,0)</f>
        <v>0</v>
      </c>
      <c r="H80" s="621">
        <f t="shared" si="1"/>
        <v>0</v>
      </c>
    </row>
    <row r="81" spans="1:8" ht="15.75" hidden="1" x14ac:dyDescent="0.25">
      <c r="A81" s="613" t="str">
        <f t="array" ref="A81">INDEX(AccountCodes[ACCOUNT NAME],MATCH(B81,AccountCodes[NGAS CODE],0))</f>
        <v>Buildings</v>
      </c>
      <c r="B81" s="602" t="s">
        <v>40</v>
      </c>
      <c r="C81" s="615">
        <f t="array" ref="C81">INDEX(AccountCodes[PPSAS CODE],MATCH(B81,AccountCodes[NGAS CODE],0))</f>
        <v>1060401000</v>
      </c>
      <c r="D81" s="616">
        <f>IF(INDEX(AccountCodes[Normal Balance], MATCH(C81,AccountCodes[PPSAS CODE]))="Debit",E81-F81,0)</f>
        <v>0</v>
      </c>
      <c r="E81" s="488">
        <f t="array" ref="E81">(SUM(IF((PostTB[Account Code (Old)]=B81),(PostTB[Debit])))+(SUM(IF((CkDJ[Account Code]=B81)*(CkDJ[Date]&lt;=$A$7),(CkDJ[Debit])))+(SUM(IF((CsDJ[Account Code]=B81)*(CsDJ[Date]&lt;=$A$7),(CsDJ[Debit])))+(SUM(IF((CRDJ[Account Code]=B81)*(CRDJ[Date]&lt;=$A$7),(CRDJ[Debit])))+(SUM(IF((GJ[Account Code]=B81)*(GJ[Date]&lt;=$A$7),(GJ[Debit]))))))))</f>
        <v>0</v>
      </c>
      <c r="F81" s="490">
        <f t="array" ref="F81">(SUM(IF((PostTB[Account Code (Old)]=B81),(PostTB[Credit])))+(SUM(IF((CkDJ[Account Code]=B81)*(CkDJ[Date]&lt;=$A$7),(CkDJ[Credit])))+(SUM(IF((CsDJ[Account Code]=B81)*(CsDJ[Date]&lt;=$A$7),(CsDJ[Credit])))+(SUM(IF((CRDJ[Account Code]=B81)*(CRDJ[Date]&lt;=$A$7),(CRDJ[Credit])))+(SUM(IF((GJ[Account Code]=B81)*(GJ[Date]&lt;=$A$7),(GJ[Credit]))))))))</f>
        <v>0</v>
      </c>
      <c r="G81" s="620">
        <f>IF(INDEX(AccountCodes[Normal Balance], MATCH(C81,AccountCodes[PPSAS CODE]))="Credit",F81-E81,0)</f>
        <v>0</v>
      </c>
      <c r="H81" s="621">
        <f t="shared" si="1"/>
        <v>0</v>
      </c>
    </row>
    <row r="82" spans="1:8" ht="15.75" hidden="1" x14ac:dyDescent="0.25">
      <c r="A82" s="613" t="str">
        <f t="array" ref="A82">INDEX(AccountCodes[ACCOUNT NAME],MATCH(B82,AccountCodes[NGAS CODE],0))</f>
        <v>Accumulated Depreciation-Buildings</v>
      </c>
      <c r="B82" s="602" t="s">
        <v>86</v>
      </c>
      <c r="C82" s="615">
        <f t="array" ref="C82">INDEX(AccountCodes[PPSAS CODE],MATCH(B82,AccountCodes[NGAS CODE],0))</f>
        <v>1060401100</v>
      </c>
      <c r="D82" s="616">
        <f>IF(INDEX(AccountCodes[Normal Balance], MATCH(C82,AccountCodes[PPSAS CODE]))="Debit",E82-F82,0)</f>
        <v>0</v>
      </c>
      <c r="E82" s="488">
        <f t="array" ref="E82">(SUM(IF((PostTB[Account Code (Old)]=B82),(PostTB[Debit])))+(SUM(IF((CkDJ[Account Code]=B82)*(CkDJ[Date]&lt;=$A$7),(CkDJ[Debit])))+(SUM(IF((CsDJ[Account Code]=B82)*(CsDJ[Date]&lt;=$A$7),(CsDJ[Debit])))+(SUM(IF((CRDJ[Account Code]=B82)*(CRDJ[Date]&lt;=$A$7),(CRDJ[Debit])))+(SUM(IF((GJ[Account Code]=B82)*(GJ[Date]&lt;=$A$7),(GJ[Debit]))))))))</f>
        <v>0</v>
      </c>
      <c r="F82" s="490">
        <f t="array" ref="F82">(SUM(IF((PostTB[Account Code (Old)]=B82),(PostTB[Credit])))+(SUM(IF((CkDJ[Account Code]=B82)*(CkDJ[Date]&lt;=$A$7),(CkDJ[Credit])))+(SUM(IF((CsDJ[Account Code]=B82)*(CsDJ[Date]&lt;=$A$7),(CsDJ[Credit])))+(SUM(IF((CRDJ[Account Code]=B82)*(CRDJ[Date]&lt;=$A$7),(CRDJ[Credit])))+(SUM(IF((GJ[Account Code]=B82)*(GJ[Date]&lt;=$A$7),(GJ[Credit]))))))))</f>
        <v>0</v>
      </c>
      <c r="G82" s="620">
        <f>IF(INDEX(AccountCodes[Normal Balance], MATCH(C82,AccountCodes[PPSAS CODE]))="Credit",F82-E82,0)</f>
        <v>0</v>
      </c>
      <c r="H82" s="621">
        <f t="shared" si="1"/>
        <v>0</v>
      </c>
    </row>
    <row r="83" spans="1:8" ht="15.75" hidden="1" x14ac:dyDescent="0.25">
      <c r="A83" s="613" t="str">
        <f t="array" ref="A83">INDEX(AccountCodes[ACCOUNT NAME],MATCH(B83,AccountCodes[NGAS CODE],0))</f>
        <v>Other Structures</v>
      </c>
      <c r="B83" s="602" t="s">
        <v>41</v>
      </c>
      <c r="C83" s="615">
        <f t="array" ref="C83">INDEX(AccountCodes[PPSAS CODE],MATCH(B83,AccountCodes[NGAS CODE],0))</f>
        <v>1060499000</v>
      </c>
      <c r="D83" s="616">
        <f>IF(INDEX(AccountCodes[Normal Balance], MATCH(C83,AccountCodes[PPSAS CODE]))="Debit",E83-F83,0)</f>
        <v>0</v>
      </c>
      <c r="E83" s="488">
        <f t="array" ref="E83">(SUM(IF((PostTB[Account Code (Old)]=B83),(PostTB[Debit])))+(SUM(IF((CkDJ[Account Code]=B83)*(CkDJ[Date]&lt;=$A$7),(CkDJ[Debit])))+(SUM(IF((CsDJ[Account Code]=B83)*(CsDJ[Date]&lt;=$A$7),(CsDJ[Debit])))+(SUM(IF((CRDJ[Account Code]=B83)*(CRDJ[Date]&lt;=$A$7),(CRDJ[Debit])))+(SUM(IF((GJ[Account Code]=B83)*(GJ[Date]&lt;=$A$7),(GJ[Debit]))))))))</f>
        <v>0</v>
      </c>
      <c r="F83" s="490">
        <f t="array" ref="F83">(SUM(IF((PostTB[Account Code (Old)]=B83),(PostTB[Credit])))+(SUM(IF((CkDJ[Account Code]=B83)*(CkDJ[Date]&lt;=$A$7),(CkDJ[Credit])))+(SUM(IF((CsDJ[Account Code]=B83)*(CsDJ[Date]&lt;=$A$7),(CsDJ[Credit])))+(SUM(IF((CRDJ[Account Code]=B83)*(CRDJ[Date]&lt;=$A$7),(CRDJ[Credit])))+(SUM(IF((GJ[Account Code]=B83)*(GJ[Date]&lt;=$A$7),(GJ[Credit]))))))))</f>
        <v>0</v>
      </c>
      <c r="G83" s="620">
        <f>IF(INDEX(AccountCodes[Normal Balance], MATCH(C83,AccountCodes[PPSAS CODE]))="Credit",F83-E83,0)</f>
        <v>0</v>
      </c>
      <c r="H83" s="621">
        <f t="shared" si="1"/>
        <v>0</v>
      </c>
    </row>
    <row r="84" spans="1:8" ht="15.75" hidden="1" x14ac:dyDescent="0.25">
      <c r="A84" s="613" t="str">
        <f t="array" ref="A84">INDEX(AccountCodes[ACCOUNT NAME],MATCH(B84,AccountCodes[NGAS CODE],0))</f>
        <v>Accumulated Depreciation-Other Structures</v>
      </c>
      <c r="B84" s="602" t="s">
        <v>87</v>
      </c>
      <c r="C84" s="615">
        <f t="array" ref="C84">INDEX(AccountCodes[PPSAS CODE],MATCH(B84,AccountCodes[NGAS CODE],0))</f>
        <v>1060499100</v>
      </c>
      <c r="D84" s="616">
        <f>IF(INDEX(AccountCodes[Normal Balance], MATCH(C84,AccountCodes[PPSAS CODE]))="Debit",E84-F84,0)</f>
        <v>0</v>
      </c>
      <c r="E84" s="488">
        <f t="array" ref="E84">(SUM(IF((PostTB[Account Code (Old)]=B84),(PostTB[Debit])))+(SUM(IF((CkDJ[Account Code]=B84)*(CkDJ[Date]&lt;=$A$7),(CkDJ[Debit])))+(SUM(IF((CsDJ[Account Code]=B84)*(CsDJ[Date]&lt;=$A$7),(CsDJ[Debit])))+(SUM(IF((CRDJ[Account Code]=B84)*(CRDJ[Date]&lt;=$A$7),(CRDJ[Debit])))+(SUM(IF((GJ[Account Code]=B84)*(GJ[Date]&lt;=$A$7),(GJ[Debit]))))))))</f>
        <v>0</v>
      </c>
      <c r="F84" s="490">
        <f t="array" ref="F84">(SUM(IF((PostTB[Account Code (Old)]=B84),(PostTB[Credit])))+(SUM(IF((CkDJ[Account Code]=B84)*(CkDJ[Date]&lt;=$A$7),(CkDJ[Credit])))+(SUM(IF((CsDJ[Account Code]=B84)*(CsDJ[Date]&lt;=$A$7),(CsDJ[Credit])))+(SUM(IF((CRDJ[Account Code]=B84)*(CRDJ[Date]&lt;=$A$7),(CRDJ[Credit])))+(SUM(IF((GJ[Account Code]=B84)*(GJ[Date]&lt;=$A$7),(GJ[Credit]))))))))</f>
        <v>0</v>
      </c>
      <c r="G84" s="620">
        <f>IF(INDEX(AccountCodes[Normal Balance], MATCH(C84,AccountCodes[PPSAS CODE]))="Credit",F84-E84,0)</f>
        <v>0</v>
      </c>
      <c r="H84" s="621">
        <f t="shared" si="1"/>
        <v>0</v>
      </c>
    </row>
    <row r="85" spans="1:8" ht="15.75" hidden="1" x14ac:dyDescent="0.25">
      <c r="A85" s="613" t="str">
        <f t="array" ref="A85">INDEX(AccountCodes[ACCOUNT NAME],MATCH(B85,AccountCodes[NGAS CODE],0))</f>
        <v>Machinery</v>
      </c>
      <c r="B85" s="602" t="s">
        <v>46</v>
      </c>
      <c r="C85" s="615">
        <f t="array" ref="C85">INDEX(AccountCodes[PPSAS CODE],MATCH(B85,AccountCodes[NGAS CODE],0))</f>
        <v>1060501000</v>
      </c>
      <c r="D85" s="616">
        <f>IF(INDEX(AccountCodes[Normal Balance], MATCH(C85,AccountCodes[PPSAS CODE]))="Debit",E85-F85,0)</f>
        <v>0</v>
      </c>
      <c r="E85" s="488">
        <f t="array" ref="E85">(SUM(IF((PostTB[Account Code (Old)]=B85),(PostTB[Debit])))+(SUM(IF((CkDJ[Account Code]=B85)*(CkDJ[Date]&lt;=$A$7),(CkDJ[Debit])))+(SUM(IF((CsDJ[Account Code]=B85)*(CsDJ[Date]&lt;=$A$7),(CsDJ[Debit])))+(SUM(IF((CRDJ[Account Code]=B85)*(CRDJ[Date]&lt;=$A$7),(CRDJ[Debit])))+(SUM(IF((GJ[Account Code]=B85)*(GJ[Date]&lt;=$A$7),(GJ[Debit]))))))))</f>
        <v>0</v>
      </c>
      <c r="F85" s="490">
        <f t="array" ref="F85">(SUM(IF((PostTB[Account Code (Old)]=B85),(PostTB[Credit])))+(SUM(IF((CkDJ[Account Code]=B85)*(CkDJ[Date]&lt;=$A$7),(CkDJ[Credit])))+(SUM(IF((CsDJ[Account Code]=B85)*(CsDJ[Date]&lt;=$A$7),(CsDJ[Credit])))+(SUM(IF((CRDJ[Account Code]=B85)*(CRDJ[Date]&lt;=$A$7),(CRDJ[Credit])))+(SUM(IF((GJ[Account Code]=B85)*(GJ[Date]&lt;=$A$7),(GJ[Credit]))))))))</f>
        <v>0</v>
      </c>
      <c r="G85" s="620">
        <f>IF(INDEX(AccountCodes[Normal Balance], MATCH(C85,AccountCodes[PPSAS CODE]))="Credit",F85-E85,0)</f>
        <v>0</v>
      </c>
      <c r="H85" s="621">
        <f t="shared" si="1"/>
        <v>0</v>
      </c>
    </row>
    <row r="86" spans="1:8" ht="15.75" hidden="1" x14ac:dyDescent="0.25">
      <c r="A86" s="613" t="str">
        <f t="array" ref="A86">INDEX(AccountCodes[ACCOUNT NAME],MATCH(B86,AccountCodes[NGAS CODE],0))</f>
        <v>Accumulated Depreciation-Machinery</v>
      </c>
      <c r="B86" s="602" t="s">
        <v>92</v>
      </c>
      <c r="C86" s="615">
        <f t="array" ref="C86">INDEX(AccountCodes[PPSAS CODE],MATCH(B86,AccountCodes[NGAS CODE],0))</f>
        <v>1060501100</v>
      </c>
      <c r="D86" s="616">
        <f>IF(INDEX(AccountCodes[Normal Balance], MATCH(C86,AccountCodes[PPSAS CODE]))="Debit",E86-F86,0)</f>
        <v>0</v>
      </c>
      <c r="E86" s="488">
        <f t="array" ref="E86">(SUM(IF((PostTB[Account Code (Old)]=B86),(PostTB[Debit])))+(SUM(IF((CkDJ[Account Code]=B86)*(CkDJ[Date]&lt;=$A$7),(CkDJ[Debit])))+(SUM(IF((CsDJ[Account Code]=B86)*(CsDJ[Date]&lt;=$A$7),(CsDJ[Debit])))+(SUM(IF((CRDJ[Account Code]=B86)*(CRDJ[Date]&lt;=$A$7),(CRDJ[Debit])))+(SUM(IF((GJ[Account Code]=B86)*(GJ[Date]&lt;=$A$7),(GJ[Debit]))))))))</f>
        <v>0</v>
      </c>
      <c r="F86" s="490">
        <f t="array" ref="F86">(SUM(IF((PostTB[Account Code (Old)]=B86),(PostTB[Credit])))+(SUM(IF((CkDJ[Account Code]=B86)*(CkDJ[Date]&lt;=$A$7),(CkDJ[Credit])))+(SUM(IF((CsDJ[Account Code]=B86)*(CsDJ[Date]&lt;=$A$7),(CsDJ[Credit])))+(SUM(IF((CRDJ[Account Code]=B86)*(CRDJ[Date]&lt;=$A$7),(CRDJ[Credit])))+(SUM(IF((GJ[Account Code]=B86)*(GJ[Date]&lt;=$A$7),(GJ[Credit]))))))))</f>
        <v>0</v>
      </c>
      <c r="G86" s="620">
        <f>IF(INDEX(AccountCodes[Normal Balance], MATCH(C86,AccountCodes[PPSAS CODE]))="Credit",F86-E86,0)</f>
        <v>0</v>
      </c>
      <c r="H86" s="621">
        <f t="shared" si="1"/>
        <v>0</v>
      </c>
    </row>
    <row r="87" spans="1:8" ht="15.75" x14ac:dyDescent="0.25">
      <c r="A87" s="613" t="str">
        <f t="array" ref="A87">INDEX(AccountCodes[ACCOUNT NAME],MATCH(B87,AccountCodes[NGAS CODE],0))</f>
        <v>Office Equipment</v>
      </c>
      <c r="B87" s="602" t="s">
        <v>42</v>
      </c>
      <c r="C87" s="615">
        <f t="array" ref="C87">INDEX(AccountCodes[PPSAS CODE],MATCH(B87,AccountCodes[NGAS CODE],0))</f>
        <v>1060502000</v>
      </c>
      <c r="D87" s="616">
        <f>IF(INDEX(AccountCodes[Normal Balance], MATCH(C87,AccountCodes[PPSAS CODE]))="Debit",E87-F87,0)</f>
        <v>477722</v>
      </c>
      <c r="E87" s="488">
        <f t="array" ref="E87">(SUM(IF((PostTB[Account Code (Old)]=B87),(PostTB[Debit])))+(SUM(IF((CkDJ[Account Code]=B87)*(CkDJ[Date]&lt;=$A$7),(CkDJ[Debit])))+(SUM(IF((CsDJ[Account Code]=B87)*(CsDJ[Date]&lt;=$A$7),(CsDJ[Debit])))+(SUM(IF((CRDJ[Account Code]=B87)*(CRDJ[Date]&lt;=$A$7),(CRDJ[Debit])))+(SUM(IF((GJ[Account Code]=B87)*(GJ[Date]&lt;=$A$7),(GJ[Debit]))))))))</f>
        <v>477722</v>
      </c>
      <c r="F87" s="490">
        <f t="array" ref="F87">(SUM(IF((PostTB[Account Code (Old)]=B87),(PostTB[Credit])))+(SUM(IF((CkDJ[Account Code]=B87)*(CkDJ[Date]&lt;=$A$7),(CkDJ[Credit])))+(SUM(IF((CsDJ[Account Code]=B87)*(CsDJ[Date]&lt;=$A$7),(CsDJ[Credit])))+(SUM(IF((CRDJ[Account Code]=B87)*(CRDJ[Date]&lt;=$A$7),(CRDJ[Credit])))+(SUM(IF((GJ[Account Code]=B87)*(GJ[Date]&lt;=$A$7),(GJ[Credit]))))))))</f>
        <v>0</v>
      </c>
      <c r="G87" s="620">
        <f>IF(INDEX(AccountCodes[Normal Balance], MATCH(C87,AccountCodes[PPSAS CODE]))="Credit",F87-E87,0)</f>
        <v>0</v>
      </c>
      <c r="H87" s="621">
        <f t="shared" si="1"/>
        <v>477722</v>
      </c>
    </row>
    <row r="88" spans="1:8" ht="15.75" x14ac:dyDescent="0.25">
      <c r="A88" s="613" t="str">
        <f t="array" ref="A88">INDEX(AccountCodes[ACCOUNT NAME],MATCH(B88,AccountCodes[NGAS CODE],0))</f>
        <v>Accumulated Depreciation-Office Equipment</v>
      </c>
      <c r="B88" s="602" t="s">
        <v>88</v>
      </c>
      <c r="C88" s="615">
        <f t="array" ref="C88">INDEX(AccountCodes[PPSAS CODE],MATCH(B88,AccountCodes[NGAS CODE],0))</f>
        <v>1060502100</v>
      </c>
      <c r="D88" s="616">
        <f>IF(INDEX(AccountCodes[Normal Balance], MATCH(C88,AccountCodes[PPSAS CODE]))="Debit",E88-F88,0)</f>
        <v>0</v>
      </c>
      <c r="E88" s="488">
        <f t="array" ref="E88">(SUM(IF((PostTB[Account Code (Old)]=B88),(PostTB[Debit])))+(SUM(IF((CkDJ[Account Code]=B88)*(CkDJ[Date]&lt;=$A$7),(CkDJ[Debit])))+(SUM(IF((CsDJ[Account Code]=B88)*(CsDJ[Date]&lt;=$A$7),(CsDJ[Debit])))+(SUM(IF((CRDJ[Account Code]=B88)*(CRDJ[Date]&lt;=$A$7),(CRDJ[Debit])))+(SUM(IF((GJ[Account Code]=B88)*(GJ[Date]&lt;=$A$7),(GJ[Debit]))))))))</f>
        <v>0</v>
      </c>
      <c r="F88" s="490">
        <f t="array" ref="F88">(SUM(IF((PostTB[Account Code (Old)]=B88),(PostTB[Credit])))+(SUM(IF((CkDJ[Account Code]=B88)*(CkDJ[Date]&lt;=$A$7),(CkDJ[Credit])))+(SUM(IF((CsDJ[Account Code]=B88)*(CsDJ[Date]&lt;=$A$7),(CsDJ[Credit])))+(SUM(IF((CRDJ[Account Code]=B88)*(CRDJ[Date]&lt;=$A$7),(CRDJ[Credit])))+(SUM(IF((GJ[Account Code]=B88)*(GJ[Date]&lt;=$A$7),(GJ[Credit]))))))))</f>
        <v>100984.92</v>
      </c>
      <c r="G88" s="620">
        <f>IF(INDEX(AccountCodes[Normal Balance], MATCH(C88,AccountCodes[PPSAS CODE]))="Credit",F88-E88,0)</f>
        <v>100984.92</v>
      </c>
      <c r="H88" s="621">
        <f t="shared" si="1"/>
        <v>100984.92</v>
      </c>
    </row>
    <row r="89" spans="1:8" ht="15.75" x14ac:dyDescent="0.25">
      <c r="A89" s="613" t="str">
        <f t="array" ref="A89">INDEX(AccountCodes[ACCOUNT NAME],MATCH(B89,AccountCodes[NGAS CODE],0))</f>
        <v>Information and Communications Technology Equipment</v>
      </c>
      <c r="B89" s="602" t="s">
        <v>44</v>
      </c>
      <c r="C89" s="615">
        <f t="array" ref="C89">INDEX(AccountCodes[PPSAS CODE],MATCH(B89,AccountCodes[NGAS CODE],0))</f>
        <v>1060503000</v>
      </c>
      <c r="D89" s="616">
        <f>IF(INDEX(AccountCodes[Normal Balance], MATCH(C89,AccountCodes[PPSAS CODE]))="Debit",E89-F89,0)</f>
        <v>892854</v>
      </c>
      <c r="E89" s="488">
        <f t="array" ref="E89">(SUM(IF((PostTB[Account Code (Old)]=B89),(PostTB[Debit])))+(SUM(IF((CkDJ[Account Code]=B89)*(CkDJ[Date]&lt;=$A$7),(CkDJ[Debit])))+(SUM(IF((CsDJ[Account Code]=B89)*(CsDJ[Date]&lt;=$A$7),(CsDJ[Debit])))+(SUM(IF((CRDJ[Account Code]=B89)*(CRDJ[Date]&lt;=$A$7),(CRDJ[Debit])))+(SUM(IF((GJ[Account Code]=B89)*(GJ[Date]&lt;=$A$7),(GJ[Debit]))))))))</f>
        <v>892854</v>
      </c>
      <c r="F89" s="490">
        <f t="array" ref="F89">(SUM(IF((PostTB[Account Code (Old)]=B89),(PostTB[Credit])))+(SUM(IF((CkDJ[Account Code]=B89)*(CkDJ[Date]&lt;=$A$7),(CkDJ[Credit])))+(SUM(IF((CsDJ[Account Code]=B89)*(CsDJ[Date]&lt;=$A$7),(CsDJ[Credit])))+(SUM(IF((CRDJ[Account Code]=B89)*(CRDJ[Date]&lt;=$A$7),(CRDJ[Credit])))+(SUM(IF((GJ[Account Code]=B89)*(GJ[Date]&lt;=$A$7),(GJ[Credit]))))))))</f>
        <v>0</v>
      </c>
      <c r="G89" s="620">
        <f>IF(INDEX(AccountCodes[Normal Balance], MATCH(C89,AccountCodes[PPSAS CODE]))="Credit",F89-E89,0)</f>
        <v>0</v>
      </c>
      <c r="H89" s="621">
        <f t="shared" si="1"/>
        <v>892854</v>
      </c>
    </row>
    <row r="90" spans="1:8" ht="15.75" x14ac:dyDescent="0.25">
      <c r="A90" s="613" t="str">
        <f t="array" ref="A90">INDEX(AccountCodes[ACCOUNT NAME],MATCH(B90,AccountCodes[NGAS CODE],0))</f>
        <v>Accumulated Depreciation-Information and Communications Technology Equipment</v>
      </c>
      <c r="B90" s="602" t="s">
        <v>90</v>
      </c>
      <c r="C90" s="615">
        <f t="array" ref="C90">INDEX(AccountCodes[PPSAS CODE],MATCH(B90,AccountCodes[NGAS CODE],0))</f>
        <v>1060503100</v>
      </c>
      <c r="D90" s="616">
        <f>IF(INDEX(AccountCodes[Normal Balance], MATCH(C90,AccountCodes[PPSAS CODE]))="Debit",E90-F90,0)</f>
        <v>0</v>
      </c>
      <c r="E90" s="488">
        <f t="array" ref="E90">(SUM(IF((PostTB[Account Code (Old)]=B90),(PostTB[Debit])))+(SUM(IF((CkDJ[Account Code]=B90)*(CkDJ[Date]&lt;=$A$7),(CkDJ[Debit])))+(SUM(IF((CsDJ[Account Code]=B90)*(CsDJ[Date]&lt;=$A$7),(CsDJ[Debit])))+(SUM(IF((CRDJ[Account Code]=B90)*(CRDJ[Date]&lt;=$A$7),(CRDJ[Debit])))+(SUM(IF((GJ[Account Code]=B90)*(GJ[Date]&lt;=$A$7),(GJ[Debit]))))))))</f>
        <v>0</v>
      </c>
      <c r="F90" s="490">
        <f t="array" ref="F90">(SUM(IF((PostTB[Account Code (Old)]=B90),(PostTB[Credit])))+(SUM(IF((CkDJ[Account Code]=B90)*(CkDJ[Date]&lt;=$A$7),(CkDJ[Credit])))+(SUM(IF((CsDJ[Account Code]=B90)*(CsDJ[Date]&lt;=$A$7),(CsDJ[Credit])))+(SUM(IF((CRDJ[Account Code]=B90)*(CRDJ[Date]&lt;=$A$7),(CRDJ[Credit])))+(SUM(IF((GJ[Account Code]=B90)*(GJ[Date]&lt;=$A$7),(GJ[Credit]))))))))</f>
        <v>118725.1</v>
      </c>
      <c r="G90" s="620">
        <f>IF(INDEX(AccountCodes[Normal Balance], MATCH(C90,AccountCodes[PPSAS CODE]))="Credit",F90-E90,0)</f>
        <v>118725.1</v>
      </c>
      <c r="H90" s="621">
        <f t="shared" si="1"/>
        <v>118725.1</v>
      </c>
    </row>
    <row r="91" spans="1:8" ht="15.75" hidden="1" x14ac:dyDescent="0.25">
      <c r="A91" s="613" t="str">
        <f t="array" ref="A91">INDEX(AccountCodes[ACCOUNT NAME],MATCH(B91,AccountCodes[NGAS CODE],0))</f>
        <v>Agricultural and Forestry Equipment</v>
      </c>
      <c r="B91" s="602" t="s">
        <v>47</v>
      </c>
      <c r="C91" s="615">
        <f t="array" ref="C91">INDEX(AccountCodes[PPSAS CODE],MATCH(B91,AccountCodes[NGAS CODE],0))</f>
        <v>1060504000</v>
      </c>
      <c r="D91" s="616">
        <f>IF(INDEX(AccountCodes[Normal Balance], MATCH(C91,AccountCodes[PPSAS CODE]))="Debit",E91-F91,0)</f>
        <v>0</v>
      </c>
      <c r="E91" s="488">
        <f t="array" ref="E91">(SUM(IF((PostTB[Account Code (Old)]=B91),(PostTB[Debit])))+(SUM(IF((CkDJ[Account Code]=B91)*(CkDJ[Date]&lt;=$A$7),(CkDJ[Debit])))+(SUM(IF((CsDJ[Account Code]=B91)*(CsDJ[Date]&lt;=$A$7),(CsDJ[Debit])))+(SUM(IF((CRDJ[Account Code]=B91)*(CRDJ[Date]&lt;=$A$7),(CRDJ[Debit])))+(SUM(IF((GJ[Account Code]=B91)*(GJ[Date]&lt;=$A$7),(GJ[Debit]))))))))</f>
        <v>0</v>
      </c>
      <c r="F91" s="490">
        <f t="array" ref="F91">(SUM(IF((PostTB[Account Code (Old)]=B91),(PostTB[Credit])))+(SUM(IF((CkDJ[Account Code]=B91)*(CkDJ[Date]&lt;=$A$7),(CkDJ[Credit])))+(SUM(IF((CsDJ[Account Code]=B91)*(CsDJ[Date]&lt;=$A$7),(CsDJ[Credit])))+(SUM(IF((CRDJ[Account Code]=B91)*(CRDJ[Date]&lt;=$A$7),(CRDJ[Credit])))+(SUM(IF((GJ[Account Code]=B91)*(GJ[Date]&lt;=$A$7),(GJ[Credit]))))))))</f>
        <v>0</v>
      </c>
      <c r="G91" s="620">
        <f>IF(INDEX(AccountCodes[Normal Balance], MATCH(C91,AccountCodes[PPSAS CODE]))="Credit",F91-E91,0)</f>
        <v>0</v>
      </c>
      <c r="H91" s="621">
        <f t="shared" si="1"/>
        <v>0</v>
      </c>
    </row>
    <row r="92" spans="1:8" ht="15.75" hidden="1" x14ac:dyDescent="0.25">
      <c r="A92" s="613" t="str">
        <f t="array" ref="A92">INDEX(AccountCodes[ACCOUNT NAME],MATCH(B92,AccountCodes[NGAS CODE],0))</f>
        <v>Accumulated Depreciation-Agricultural and Forestry Equipment</v>
      </c>
      <c r="B92" s="602" t="s">
        <v>93</v>
      </c>
      <c r="C92" s="615">
        <f t="array" ref="C92">INDEX(AccountCodes[PPSAS CODE],MATCH(B92,AccountCodes[NGAS CODE],0))</f>
        <v>1060504100</v>
      </c>
      <c r="D92" s="616">
        <f>IF(INDEX(AccountCodes[Normal Balance], MATCH(C92,AccountCodes[PPSAS CODE]))="Debit",E92-F92,0)</f>
        <v>0</v>
      </c>
      <c r="E92" s="488">
        <f t="array" ref="E92">(SUM(IF((PostTB[Account Code (Old)]=B92),(PostTB[Debit])))+(SUM(IF((CkDJ[Account Code]=B92)*(CkDJ[Date]&lt;=$A$7),(CkDJ[Debit])))+(SUM(IF((CsDJ[Account Code]=B92)*(CsDJ[Date]&lt;=$A$7),(CsDJ[Debit])))+(SUM(IF((CRDJ[Account Code]=B92)*(CRDJ[Date]&lt;=$A$7),(CRDJ[Debit])))+(SUM(IF((GJ[Account Code]=B92)*(GJ[Date]&lt;=$A$7),(GJ[Debit]))))))))</f>
        <v>0</v>
      </c>
      <c r="F92" s="490">
        <f t="array" ref="F92">(SUM(IF((PostTB[Account Code (Old)]=B92),(PostTB[Credit])))+(SUM(IF((CkDJ[Account Code]=B92)*(CkDJ[Date]&lt;=$A$7),(CkDJ[Credit])))+(SUM(IF((CsDJ[Account Code]=B92)*(CsDJ[Date]&lt;=$A$7),(CsDJ[Credit])))+(SUM(IF((CRDJ[Account Code]=B92)*(CRDJ[Date]&lt;=$A$7),(CRDJ[Credit])))+(SUM(IF((GJ[Account Code]=B92)*(GJ[Date]&lt;=$A$7),(GJ[Credit]))))))))</f>
        <v>0</v>
      </c>
      <c r="G92" s="620">
        <f>IF(INDEX(AccountCodes[Normal Balance], MATCH(C92,AccountCodes[PPSAS CODE]))="Credit",F92-E92,0)</f>
        <v>0</v>
      </c>
      <c r="H92" s="621">
        <f t="shared" si="1"/>
        <v>0</v>
      </c>
    </row>
    <row r="93" spans="1:8" ht="15.75" hidden="1" x14ac:dyDescent="0.25">
      <c r="A93" s="613" t="str">
        <f t="array" ref="A93">INDEX(AccountCodes[ACCOUNT NAME],MATCH(B93,AccountCodes[NGAS CODE],0))</f>
        <v>Marine and Fishery Equipment</v>
      </c>
      <c r="B93" s="602" t="s">
        <v>1258</v>
      </c>
      <c r="C93" s="615">
        <f t="array" ref="C93">INDEX(AccountCodes[PPSAS CODE],MATCH(B93,AccountCodes[NGAS CODE],0))</f>
        <v>1060505000</v>
      </c>
      <c r="D93" s="616">
        <f>IF(INDEX(AccountCodes[Normal Balance], MATCH(C93,AccountCodes[PPSAS CODE]))="Debit",E93-F93,0)</f>
        <v>0</v>
      </c>
      <c r="E93" s="488">
        <f t="array" ref="E93">(SUM(IF((PostTB[Account Code (Old)]=B93),(PostTB[Debit])))+(SUM(IF((CkDJ[Account Code]=B93)*(CkDJ[Date]&lt;=$A$7),(CkDJ[Debit])))+(SUM(IF((CsDJ[Account Code]=B93)*(CsDJ[Date]&lt;=$A$7),(CsDJ[Debit])))+(SUM(IF((CRDJ[Account Code]=B93)*(CRDJ[Date]&lt;=$A$7),(CRDJ[Debit])))+(SUM(IF((GJ[Account Code]=B93)*(GJ[Date]&lt;=$A$7),(GJ[Debit]))))))))</f>
        <v>0</v>
      </c>
      <c r="F93" s="490">
        <f t="array" ref="F93">(SUM(IF((PostTB[Account Code (Old)]=B93),(PostTB[Credit])))+(SUM(IF((CkDJ[Account Code]=B93)*(CkDJ[Date]&lt;=$A$7),(CkDJ[Credit])))+(SUM(IF((CsDJ[Account Code]=B93)*(CsDJ[Date]&lt;=$A$7),(CsDJ[Credit])))+(SUM(IF((CRDJ[Account Code]=B93)*(CRDJ[Date]&lt;=$A$7),(CRDJ[Credit])))+(SUM(IF((GJ[Account Code]=B93)*(GJ[Date]&lt;=$A$7),(GJ[Credit]))))))))</f>
        <v>0</v>
      </c>
      <c r="G93" s="620">
        <f>IF(INDEX(AccountCodes[Normal Balance], MATCH(C93,AccountCodes[PPSAS CODE]))="Credit",F93-E93,0)</f>
        <v>0</v>
      </c>
      <c r="H93" s="621">
        <f t="shared" si="1"/>
        <v>0</v>
      </c>
    </row>
    <row r="94" spans="1:8" ht="15.75" hidden="1" x14ac:dyDescent="0.25">
      <c r="A94" s="613" t="str">
        <f t="array" ref="A94">INDEX(AccountCodes[ACCOUNT NAME],MATCH(B94,AccountCodes[NGAS CODE],0))</f>
        <v>Accumulated Depreciation-Marine and Fishery Equipment</v>
      </c>
      <c r="B94" s="602" t="s">
        <v>1259</v>
      </c>
      <c r="C94" s="615">
        <f t="array" ref="C94">INDEX(AccountCodes[PPSAS CODE],MATCH(B94,AccountCodes[NGAS CODE],0))</f>
        <v>1060505100</v>
      </c>
      <c r="D94" s="616">
        <f>IF(INDEX(AccountCodes[Normal Balance], MATCH(C94,AccountCodes[PPSAS CODE]))="Debit",E94-F94,0)</f>
        <v>0</v>
      </c>
      <c r="E94" s="488">
        <f t="array" ref="E94">(SUM(IF((PostTB[Account Code (Old)]=B94),(PostTB[Debit])))+(SUM(IF((CkDJ[Account Code]=B94)*(CkDJ[Date]&lt;=$A$7),(CkDJ[Debit])))+(SUM(IF((CsDJ[Account Code]=B94)*(CsDJ[Date]&lt;=$A$7),(CsDJ[Debit])))+(SUM(IF((CRDJ[Account Code]=B94)*(CRDJ[Date]&lt;=$A$7),(CRDJ[Debit])))+(SUM(IF((GJ[Account Code]=B94)*(GJ[Date]&lt;=$A$7),(GJ[Debit]))))))))</f>
        <v>0</v>
      </c>
      <c r="F94" s="490">
        <f t="array" ref="F94">(SUM(IF((PostTB[Account Code (Old)]=B94),(PostTB[Credit])))+(SUM(IF((CkDJ[Account Code]=B94)*(CkDJ[Date]&lt;=$A$7),(CkDJ[Credit])))+(SUM(IF((CsDJ[Account Code]=B94)*(CsDJ[Date]&lt;=$A$7),(CsDJ[Credit])))+(SUM(IF((CRDJ[Account Code]=B94)*(CRDJ[Date]&lt;=$A$7),(CRDJ[Credit])))+(SUM(IF((GJ[Account Code]=B94)*(GJ[Date]&lt;=$A$7),(GJ[Credit]))))))))</f>
        <v>0</v>
      </c>
      <c r="G94" s="620">
        <f>IF(INDEX(AccountCodes[Normal Balance], MATCH(C94,AccountCodes[PPSAS CODE]))="Credit",F94-E94,0)</f>
        <v>0</v>
      </c>
      <c r="H94" s="621">
        <f t="shared" si="1"/>
        <v>0</v>
      </c>
    </row>
    <row r="95" spans="1:8" ht="15.75" hidden="1" x14ac:dyDescent="0.25">
      <c r="A95" s="613" t="str">
        <f t="array" ref="A95">INDEX(AccountCodes[ACCOUNT NAME],MATCH(B95,AccountCodes[NGAS CODE],0))</f>
        <v>Communication Equipment</v>
      </c>
      <c r="B95" s="602" t="s">
        <v>48</v>
      </c>
      <c r="C95" s="615">
        <f t="array" ref="C95">INDEX(AccountCodes[PPSAS CODE],MATCH(B95,AccountCodes[NGAS CODE],0))</f>
        <v>1060507000</v>
      </c>
      <c r="D95" s="616">
        <f>IF(INDEX(AccountCodes[Normal Balance], MATCH(C95,AccountCodes[PPSAS CODE]))="Debit",E95-F95,0)</f>
        <v>0</v>
      </c>
      <c r="E95" s="488">
        <f t="array" ref="E95">(SUM(IF((PostTB[Account Code (Old)]=B95),(PostTB[Debit])))+(SUM(IF((CkDJ[Account Code]=B95)*(CkDJ[Date]&lt;=$A$7),(CkDJ[Debit])))+(SUM(IF((CsDJ[Account Code]=B95)*(CsDJ[Date]&lt;=$A$7),(CsDJ[Debit])))+(SUM(IF((CRDJ[Account Code]=B95)*(CRDJ[Date]&lt;=$A$7),(CRDJ[Debit])))+(SUM(IF((GJ[Account Code]=B95)*(GJ[Date]&lt;=$A$7),(GJ[Debit]))))))))</f>
        <v>0</v>
      </c>
      <c r="F95" s="490">
        <f t="array" ref="F95">(SUM(IF((PostTB[Account Code (Old)]=B95),(PostTB[Credit])))+(SUM(IF((CkDJ[Account Code]=B95)*(CkDJ[Date]&lt;=$A$7),(CkDJ[Credit])))+(SUM(IF((CsDJ[Account Code]=B95)*(CsDJ[Date]&lt;=$A$7),(CsDJ[Credit])))+(SUM(IF((CRDJ[Account Code]=B95)*(CRDJ[Date]&lt;=$A$7),(CRDJ[Credit])))+(SUM(IF((GJ[Account Code]=B95)*(GJ[Date]&lt;=$A$7),(GJ[Credit]))))))))</f>
        <v>0</v>
      </c>
      <c r="G95" s="620">
        <f>IF(INDEX(AccountCodes[Normal Balance], MATCH(C95,AccountCodes[PPSAS CODE]))="Credit",F95-E95,0)</f>
        <v>0</v>
      </c>
      <c r="H95" s="621">
        <f t="shared" si="1"/>
        <v>0</v>
      </c>
    </row>
    <row r="96" spans="1:8" ht="15.75" hidden="1" x14ac:dyDescent="0.25">
      <c r="A96" s="613" t="str">
        <f t="array" ref="A96">INDEX(AccountCodes[ACCOUNT NAME],MATCH(B96,AccountCodes[NGAS CODE],0))</f>
        <v>Accumulated Depreciation-Communication Equipment</v>
      </c>
      <c r="B96" s="602" t="s">
        <v>94</v>
      </c>
      <c r="C96" s="615">
        <f t="array" ref="C96">INDEX(AccountCodes[PPSAS CODE],MATCH(B96,AccountCodes[NGAS CODE],0))</f>
        <v>1060507100</v>
      </c>
      <c r="D96" s="616">
        <f>IF(INDEX(AccountCodes[Normal Balance], MATCH(C96,AccountCodes[PPSAS CODE]))="Debit",E96-F96,0)</f>
        <v>0</v>
      </c>
      <c r="E96" s="488">
        <f t="array" ref="E96">(SUM(IF((PostTB[Account Code (Old)]=B96),(PostTB[Debit])))+(SUM(IF((CkDJ[Account Code]=B96)*(CkDJ[Date]&lt;=$A$7),(CkDJ[Debit])))+(SUM(IF((CsDJ[Account Code]=B96)*(CsDJ[Date]&lt;=$A$7),(CsDJ[Debit])))+(SUM(IF((CRDJ[Account Code]=B96)*(CRDJ[Date]&lt;=$A$7),(CRDJ[Debit])))+(SUM(IF((GJ[Account Code]=B96)*(GJ[Date]&lt;=$A$7),(GJ[Debit]))))))))</f>
        <v>0</v>
      </c>
      <c r="F96" s="490">
        <f t="array" ref="F96">(SUM(IF((PostTB[Account Code (Old)]=B96),(PostTB[Credit])))+(SUM(IF((CkDJ[Account Code]=B96)*(CkDJ[Date]&lt;=$A$7),(CkDJ[Credit])))+(SUM(IF((CsDJ[Account Code]=B96)*(CsDJ[Date]&lt;=$A$7),(CsDJ[Credit])))+(SUM(IF((CRDJ[Account Code]=B96)*(CRDJ[Date]&lt;=$A$7),(CRDJ[Credit])))+(SUM(IF((GJ[Account Code]=B96)*(GJ[Date]&lt;=$A$7),(GJ[Credit]))))))))</f>
        <v>0</v>
      </c>
      <c r="G96" s="620">
        <f>IF(INDEX(AccountCodes[Normal Balance], MATCH(C96,AccountCodes[PPSAS CODE]))="Credit",F96-E96,0)</f>
        <v>0</v>
      </c>
      <c r="H96" s="621">
        <f t="shared" si="1"/>
        <v>0</v>
      </c>
    </row>
    <row r="97" spans="1:8" ht="15.75" hidden="1" x14ac:dyDescent="0.25">
      <c r="A97" s="613" t="str">
        <f t="array" ref="A97">INDEX(AccountCodes[ACCOUNT NAME],MATCH(B97,AccountCodes[NGAS CODE],0))</f>
        <v>Construction and Heavy Equipment</v>
      </c>
      <c r="B97" s="602" t="s">
        <v>49</v>
      </c>
      <c r="C97" s="615">
        <f t="array" ref="C97">INDEX(AccountCodes[PPSAS CODE],MATCH(B97,AccountCodes[NGAS CODE],0))</f>
        <v>1060508000</v>
      </c>
      <c r="D97" s="616">
        <f>IF(INDEX(AccountCodes[Normal Balance], MATCH(C97,AccountCodes[PPSAS CODE]))="Debit",E97-F97,0)</f>
        <v>0</v>
      </c>
      <c r="E97" s="488">
        <f t="array" ref="E97">(SUM(IF((PostTB[Account Code (Old)]=B97),(PostTB[Debit])))+(SUM(IF((CkDJ[Account Code]=B97)*(CkDJ[Date]&lt;=$A$7),(CkDJ[Debit])))+(SUM(IF((CsDJ[Account Code]=B97)*(CsDJ[Date]&lt;=$A$7),(CsDJ[Debit])))+(SUM(IF((CRDJ[Account Code]=B97)*(CRDJ[Date]&lt;=$A$7),(CRDJ[Debit])))+(SUM(IF((GJ[Account Code]=B97)*(GJ[Date]&lt;=$A$7),(GJ[Debit]))))))))</f>
        <v>0</v>
      </c>
      <c r="F97" s="490">
        <f t="array" ref="F97">(SUM(IF((PostTB[Account Code (Old)]=B97),(PostTB[Credit])))+(SUM(IF((CkDJ[Account Code]=B97)*(CkDJ[Date]&lt;=$A$7),(CkDJ[Credit])))+(SUM(IF((CsDJ[Account Code]=B97)*(CsDJ[Date]&lt;=$A$7),(CsDJ[Credit])))+(SUM(IF((CRDJ[Account Code]=B97)*(CRDJ[Date]&lt;=$A$7),(CRDJ[Credit])))+(SUM(IF((GJ[Account Code]=B97)*(GJ[Date]&lt;=$A$7),(GJ[Credit]))))))))</f>
        <v>0</v>
      </c>
      <c r="G97" s="620">
        <f>IF(INDEX(AccountCodes[Normal Balance], MATCH(C97,AccountCodes[PPSAS CODE]))="Credit",F97-E97,0)</f>
        <v>0</v>
      </c>
      <c r="H97" s="621">
        <f t="shared" si="1"/>
        <v>0</v>
      </c>
    </row>
    <row r="98" spans="1:8" ht="15.75" hidden="1" x14ac:dyDescent="0.25">
      <c r="A98" s="613" t="str">
        <f t="array" ref="A98">INDEX(AccountCodes[ACCOUNT NAME],MATCH(B98,AccountCodes[NGAS CODE],0))</f>
        <v>Accumulated Depreciation-Construction and Heavy Equipment</v>
      </c>
      <c r="B98" s="602" t="s">
        <v>95</v>
      </c>
      <c r="C98" s="615">
        <f t="array" ref="C98">INDEX(AccountCodes[PPSAS CODE],MATCH(B98,AccountCodes[NGAS CODE],0))</f>
        <v>1060508100</v>
      </c>
      <c r="D98" s="616">
        <f>IF(INDEX(AccountCodes[Normal Balance], MATCH(C98,AccountCodes[PPSAS CODE]))="Debit",E98-F98,0)</f>
        <v>0</v>
      </c>
      <c r="E98" s="488">
        <f t="array" ref="E98">(SUM(IF((PostTB[Account Code (Old)]=B98),(PostTB[Debit])))+(SUM(IF((CkDJ[Account Code]=B98)*(CkDJ[Date]&lt;=$A$7),(CkDJ[Debit])))+(SUM(IF((CsDJ[Account Code]=B98)*(CsDJ[Date]&lt;=$A$7),(CsDJ[Debit])))+(SUM(IF((CRDJ[Account Code]=B98)*(CRDJ[Date]&lt;=$A$7),(CRDJ[Debit])))+(SUM(IF((GJ[Account Code]=B98)*(GJ[Date]&lt;=$A$7),(GJ[Debit]))))))))</f>
        <v>0</v>
      </c>
      <c r="F98" s="490">
        <f t="array" ref="F98">(SUM(IF((PostTB[Account Code (Old)]=B98),(PostTB[Credit])))+(SUM(IF((CkDJ[Account Code]=B98)*(CkDJ[Date]&lt;=$A$7),(CkDJ[Credit])))+(SUM(IF((CsDJ[Account Code]=B98)*(CsDJ[Date]&lt;=$A$7),(CsDJ[Credit])))+(SUM(IF((CRDJ[Account Code]=B98)*(CRDJ[Date]&lt;=$A$7),(CRDJ[Credit])))+(SUM(IF((GJ[Account Code]=B98)*(GJ[Date]&lt;=$A$7),(GJ[Credit]))))))))</f>
        <v>0</v>
      </c>
      <c r="G98" s="620">
        <f>IF(INDEX(AccountCodes[Normal Balance], MATCH(C98,AccountCodes[PPSAS CODE]))="Credit",F98-E98,0)</f>
        <v>0</v>
      </c>
      <c r="H98" s="621">
        <f t="shared" si="1"/>
        <v>0</v>
      </c>
    </row>
    <row r="99" spans="1:8" ht="15.75" hidden="1" x14ac:dyDescent="0.25">
      <c r="A99" s="613" t="str">
        <f t="array" ref="A99">INDEX(AccountCodes[ACCOUNT NAME],MATCH(B99,AccountCodes[NGAS CODE],0))</f>
        <v>Disaster Response and Rescue Equipment</v>
      </c>
      <c r="B99" s="602" t="s">
        <v>50</v>
      </c>
      <c r="C99" s="615">
        <f t="array" ref="C99">INDEX(AccountCodes[PPSAS CODE],MATCH(B99,AccountCodes[NGAS CODE],0))</f>
        <v>1060509000</v>
      </c>
      <c r="D99" s="616">
        <f>IF(INDEX(AccountCodes[Normal Balance], MATCH(C99,AccountCodes[PPSAS CODE]))="Debit",E99-F99,0)</f>
        <v>0</v>
      </c>
      <c r="E99" s="488">
        <f t="array" ref="E99">(SUM(IF((PostTB[Account Code (Old)]=B99),(PostTB[Debit])))+(SUM(IF((CkDJ[Account Code]=B99)*(CkDJ[Date]&lt;=$A$7),(CkDJ[Debit])))+(SUM(IF((CsDJ[Account Code]=B99)*(CsDJ[Date]&lt;=$A$7),(CsDJ[Debit])))+(SUM(IF((CRDJ[Account Code]=B99)*(CRDJ[Date]&lt;=$A$7),(CRDJ[Debit])))+(SUM(IF((GJ[Account Code]=B99)*(GJ[Date]&lt;=$A$7),(GJ[Debit]))))))))</f>
        <v>0</v>
      </c>
      <c r="F99" s="490">
        <f t="array" ref="F99">(SUM(IF((PostTB[Account Code (Old)]=B99),(PostTB[Credit])))+(SUM(IF((CkDJ[Account Code]=B99)*(CkDJ[Date]&lt;=$A$7),(CkDJ[Credit])))+(SUM(IF((CsDJ[Account Code]=B99)*(CsDJ[Date]&lt;=$A$7),(CsDJ[Credit])))+(SUM(IF((CRDJ[Account Code]=B99)*(CRDJ[Date]&lt;=$A$7),(CRDJ[Credit])))+(SUM(IF((GJ[Account Code]=B99)*(GJ[Date]&lt;=$A$7),(GJ[Credit]))))))))</f>
        <v>0</v>
      </c>
      <c r="G99" s="620">
        <f>IF(INDEX(AccountCodes[Normal Balance], MATCH(C99,AccountCodes[PPSAS CODE]))="Credit",F99-E99,0)</f>
        <v>0</v>
      </c>
      <c r="H99" s="621">
        <f t="shared" si="1"/>
        <v>0</v>
      </c>
    </row>
    <row r="100" spans="1:8" ht="15.75" hidden="1" x14ac:dyDescent="0.25">
      <c r="A100" s="613" t="str">
        <f t="array" ref="A100">INDEX(AccountCodes[ACCOUNT NAME],MATCH(B100,AccountCodes[NGAS CODE],0))</f>
        <v>Accumulated Depreciation-Disaster Response and Rescue Equipment</v>
      </c>
      <c r="B100" s="602" t="s">
        <v>96</v>
      </c>
      <c r="C100" s="615">
        <f t="array" ref="C100">INDEX(AccountCodes[PPSAS CODE],MATCH(B100,AccountCodes[NGAS CODE],0))</f>
        <v>1060509100</v>
      </c>
      <c r="D100" s="616">
        <f>IF(INDEX(AccountCodes[Normal Balance], MATCH(C100,AccountCodes[PPSAS CODE]))="Debit",E100-F100,0)</f>
        <v>0</v>
      </c>
      <c r="E100" s="488">
        <f t="array" ref="E100">(SUM(IF((PostTB[Account Code (Old)]=B100),(PostTB[Debit])))+(SUM(IF((CkDJ[Account Code]=B100)*(CkDJ[Date]&lt;=$A$7),(CkDJ[Debit])))+(SUM(IF((CsDJ[Account Code]=B100)*(CsDJ[Date]&lt;=$A$7),(CsDJ[Debit])))+(SUM(IF((CRDJ[Account Code]=B100)*(CRDJ[Date]&lt;=$A$7),(CRDJ[Debit])))+(SUM(IF((GJ[Account Code]=B100)*(GJ[Date]&lt;=$A$7),(GJ[Debit]))))))))</f>
        <v>0</v>
      </c>
      <c r="F100" s="490">
        <f t="array" ref="F100">(SUM(IF((PostTB[Account Code (Old)]=B100),(PostTB[Credit])))+(SUM(IF((CkDJ[Account Code]=B100)*(CkDJ[Date]&lt;=$A$7),(CkDJ[Credit])))+(SUM(IF((CsDJ[Account Code]=B100)*(CsDJ[Date]&lt;=$A$7),(CsDJ[Credit])))+(SUM(IF((CRDJ[Account Code]=B100)*(CRDJ[Date]&lt;=$A$7),(CRDJ[Credit])))+(SUM(IF((GJ[Account Code]=B100)*(GJ[Date]&lt;=$A$7),(GJ[Credit]))))))))</f>
        <v>0</v>
      </c>
      <c r="G100" s="620">
        <f>IF(INDEX(AccountCodes[Normal Balance], MATCH(C100,AccountCodes[PPSAS CODE]))="Credit",F100-E100,0)</f>
        <v>0</v>
      </c>
      <c r="H100" s="621">
        <f t="shared" si="1"/>
        <v>0</v>
      </c>
    </row>
    <row r="101" spans="1:8" ht="15.75" hidden="1" x14ac:dyDescent="0.25">
      <c r="A101" s="613" t="str">
        <f t="array" ref="A101">INDEX(AccountCodes[ACCOUNT NAME],MATCH(B101,AccountCodes[NGAS CODE],0))</f>
        <v>Military, Police and Security Equipment</v>
      </c>
      <c r="B101" s="602" t="s">
        <v>51</v>
      </c>
      <c r="C101" s="615">
        <f t="array" ref="C101">INDEX(AccountCodes[PPSAS CODE],MATCH(B101,AccountCodes[NGAS CODE],0))</f>
        <v>1060510000</v>
      </c>
      <c r="D101" s="616">
        <f>IF(INDEX(AccountCodes[Normal Balance], MATCH(C101,AccountCodes[PPSAS CODE]))="Debit",E101-F101,0)</f>
        <v>0</v>
      </c>
      <c r="E101" s="488">
        <f t="array" ref="E101">(SUM(IF((PostTB[Account Code (Old)]=B101),(PostTB[Debit])))+(SUM(IF((CkDJ[Account Code]=B101)*(CkDJ[Date]&lt;=$A$7),(CkDJ[Debit])))+(SUM(IF((CsDJ[Account Code]=B101)*(CsDJ[Date]&lt;=$A$7),(CsDJ[Debit])))+(SUM(IF((CRDJ[Account Code]=B101)*(CRDJ[Date]&lt;=$A$7),(CRDJ[Debit])))+(SUM(IF((GJ[Account Code]=B101)*(GJ[Date]&lt;=$A$7),(GJ[Debit]))))))))</f>
        <v>0</v>
      </c>
      <c r="F101" s="490">
        <f t="array" ref="F101">(SUM(IF((PostTB[Account Code (Old)]=B101),(PostTB[Credit])))+(SUM(IF((CkDJ[Account Code]=B101)*(CkDJ[Date]&lt;=$A$7),(CkDJ[Credit])))+(SUM(IF((CsDJ[Account Code]=B101)*(CsDJ[Date]&lt;=$A$7),(CsDJ[Credit])))+(SUM(IF((CRDJ[Account Code]=B101)*(CRDJ[Date]&lt;=$A$7),(CRDJ[Credit])))+(SUM(IF((GJ[Account Code]=B101)*(GJ[Date]&lt;=$A$7),(GJ[Credit]))))))))</f>
        <v>0</v>
      </c>
      <c r="G101" s="620">
        <f>IF(INDEX(AccountCodes[Normal Balance], MATCH(C101,AccountCodes[PPSAS CODE]))="Credit",F101-E101,0)</f>
        <v>0</v>
      </c>
      <c r="H101" s="621">
        <f t="shared" si="1"/>
        <v>0</v>
      </c>
    </row>
    <row r="102" spans="1:8" ht="15.75" hidden="1" x14ac:dyDescent="0.25">
      <c r="A102" s="613" t="str">
        <f t="array" ref="A102">INDEX(AccountCodes[ACCOUNT NAME],MATCH(B102,AccountCodes[NGAS CODE],0))</f>
        <v>Accumulated Depreciation-Military, Police and Security Equipment</v>
      </c>
      <c r="B102" s="602" t="s">
        <v>97</v>
      </c>
      <c r="C102" s="615">
        <f t="array" ref="C102">INDEX(AccountCodes[PPSAS CODE],MATCH(B102,AccountCodes[NGAS CODE],0))</f>
        <v>1060510100</v>
      </c>
      <c r="D102" s="616">
        <f>IF(INDEX(AccountCodes[Normal Balance], MATCH(C102,AccountCodes[PPSAS CODE]))="Debit",E102-F102,0)</f>
        <v>0</v>
      </c>
      <c r="E102" s="488">
        <f t="array" ref="E102">(SUM(IF((PostTB[Account Code (Old)]=B102),(PostTB[Debit])))+(SUM(IF((CkDJ[Account Code]=B102)*(CkDJ[Date]&lt;=$A$7),(CkDJ[Debit])))+(SUM(IF((CsDJ[Account Code]=B102)*(CsDJ[Date]&lt;=$A$7),(CsDJ[Debit])))+(SUM(IF((CRDJ[Account Code]=B102)*(CRDJ[Date]&lt;=$A$7),(CRDJ[Debit])))+(SUM(IF((GJ[Account Code]=B102)*(GJ[Date]&lt;=$A$7),(GJ[Debit]))))))))</f>
        <v>0</v>
      </c>
      <c r="F102" s="490">
        <f t="array" ref="F102">(SUM(IF((PostTB[Account Code (Old)]=B102),(PostTB[Credit])))+(SUM(IF((CkDJ[Account Code]=B102)*(CkDJ[Date]&lt;=$A$7),(CkDJ[Credit])))+(SUM(IF((CsDJ[Account Code]=B102)*(CsDJ[Date]&lt;=$A$7),(CsDJ[Credit])))+(SUM(IF((CRDJ[Account Code]=B102)*(CRDJ[Date]&lt;=$A$7),(CRDJ[Credit])))+(SUM(IF((GJ[Account Code]=B102)*(GJ[Date]&lt;=$A$7),(GJ[Credit]))))))))</f>
        <v>0</v>
      </c>
      <c r="G102" s="620">
        <f>IF(INDEX(AccountCodes[Normal Balance], MATCH(C102,AccountCodes[PPSAS CODE]))="Credit",F102-E102,0)</f>
        <v>0</v>
      </c>
      <c r="H102" s="621">
        <f t="shared" si="1"/>
        <v>0</v>
      </c>
    </row>
    <row r="103" spans="1:8" ht="15.75" hidden="1" x14ac:dyDescent="0.25">
      <c r="A103" s="613" t="str">
        <f t="array" ref="A103">INDEX(AccountCodes[ACCOUNT NAME],MATCH(B103,AccountCodes[NGAS CODE],0))</f>
        <v>Medical Equipment</v>
      </c>
      <c r="B103" s="602" t="s">
        <v>406</v>
      </c>
      <c r="C103" s="615">
        <f t="array" ref="C103">INDEX(AccountCodes[PPSAS CODE],MATCH(B103,AccountCodes[NGAS CODE],0))</f>
        <v>1060511000</v>
      </c>
      <c r="D103" s="616">
        <f>IF(INDEX(AccountCodes[Normal Balance], MATCH(C103,AccountCodes[PPSAS CODE]))="Debit",E103-F103,0)</f>
        <v>0</v>
      </c>
      <c r="E103" s="488">
        <f t="array" ref="E103">(SUM(IF((PostTB[Account Code (Old)]=B103),(PostTB[Debit])))+(SUM(IF((CkDJ[Account Code]=B103)*(CkDJ[Date]&lt;=$A$7),(CkDJ[Debit])))+(SUM(IF((CsDJ[Account Code]=B103)*(CsDJ[Date]&lt;=$A$7),(CsDJ[Debit])))+(SUM(IF((CRDJ[Account Code]=B103)*(CRDJ[Date]&lt;=$A$7),(CRDJ[Debit])))+(SUM(IF((GJ[Account Code]=B103)*(GJ[Date]&lt;=$A$7),(GJ[Debit]))))))))</f>
        <v>0</v>
      </c>
      <c r="F103" s="490">
        <f t="array" ref="F103">(SUM(IF((PostTB[Account Code (Old)]=B103),(PostTB[Credit])))+(SUM(IF((CkDJ[Account Code]=B103)*(CkDJ[Date]&lt;=$A$7),(CkDJ[Credit])))+(SUM(IF((CsDJ[Account Code]=B103)*(CsDJ[Date]&lt;=$A$7),(CsDJ[Credit])))+(SUM(IF((CRDJ[Account Code]=B103)*(CRDJ[Date]&lt;=$A$7),(CRDJ[Credit])))+(SUM(IF((GJ[Account Code]=B103)*(GJ[Date]&lt;=$A$7),(GJ[Credit]))))))))</f>
        <v>0</v>
      </c>
      <c r="G103" s="620">
        <f>IF(INDEX(AccountCodes[Normal Balance], MATCH(C103,AccountCodes[PPSAS CODE]))="Credit",F103-E103,0)</f>
        <v>0</v>
      </c>
      <c r="H103" s="621">
        <f t="shared" si="1"/>
        <v>0</v>
      </c>
    </row>
    <row r="104" spans="1:8" ht="15.75" hidden="1" x14ac:dyDescent="0.25">
      <c r="A104" s="613" t="str">
        <f t="array" ref="A104">INDEX(AccountCodes[ACCOUNT NAME],MATCH(B104,AccountCodes[NGAS CODE],0))</f>
        <v>Accumulated Depreciation-Medical Equipment</v>
      </c>
      <c r="B104" s="602" t="s">
        <v>1228</v>
      </c>
      <c r="C104" s="615">
        <f t="array" ref="C104">INDEX(AccountCodes[PPSAS CODE],MATCH(B104,AccountCodes[NGAS CODE],0))</f>
        <v>1060511100</v>
      </c>
      <c r="D104" s="616">
        <f>IF(INDEX(AccountCodes[Normal Balance], MATCH(C104,AccountCodes[PPSAS CODE]))="Debit",E104-F104,0)</f>
        <v>0</v>
      </c>
      <c r="E104" s="488">
        <f t="array" ref="E104">(SUM(IF((PostTB[Account Code (Old)]=B104),(PostTB[Debit])))+(SUM(IF((CkDJ[Account Code]=B104)*(CkDJ[Date]&lt;=$A$7),(CkDJ[Debit])))+(SUM(IF((CsDJ[Account Code]=B104)*(CsDJ[Date]&lt;=$A$7),(CsDJ[Debit])))+(SUM(IF((CRDJ[Account Code]=B104)*(CRDJ[Date]&lt;=$A$7),(CRDJ[Debit])))+(SUM(IF((GJ[Account Code]=B104)*(GJ[Date]&lt;=$A$7),(GJ[Debit]))))))))</f>
        <v>0</v>
      </c>
      <c r="F104" s="490">
        <f t="array" ref="F104">(SUM(IF((PostTB[Account Code (Old)]=B104),(PostTB[Credit])))+(SUM(IF((CkDJ[Account Code]=B104)*(CkDJ[Date]&lt;=$A$7),(CkDJ[Credit])))+(SUM(IF((CsDJ[Account Code]=B104)*(CsDJ[Date]&lt;=$A$7),(CsDJ[Credit])))+(SUM(IF((CRDJ[Account Code]=B104)*(CRDJ[Date]&lt;=$A$7),(CRDJ[Credit])))+(SUM(IF((GJ[Account Code]=B104)*(GJ[Date]&lt;=$A$7),(GJ[Credit]))))))))</f>
        <v>0</v>
      </c>
      <c r="G104" s="620">
        <f>IF(INDEX(AccountCodes[Normal Balance], MATCH(C104,AccountCodes[PPSAS CODE]))="Credit",F104-E104,0)</f>
        <v>0</v>
      </c>
      <c r="H104" s="621">
        <f t="shared" si="1"/>
        <v>0</v>
      </c>
    </row>
    <row r="105" spans="1:8" ht="15.75" hidden="1" x14ac:dyDescent="0.25">
      <c r="A105" s="613" t="str">
        <f t="array" ref="A105">INDEX(AccountCodes[ACCOUNT NAME],MATCH(B105,AccountCodes[NGAS CODE],0))</f>
        <v>Sports Equipment</v>
      </c>
      <c r="B105" s="602" t="s">
        <v>52</v>
      </c>
      <c r="C105" s="615">
        <f t="array" ref="C105">INDEX(AccountCodes[PPSAS CODE],MATCH(B105,AccountCodes[NGAS CODE],0))</f>
        <v>1060513000</v>
      </c>
      <c r="D105" s="616">
        <f>IF(INDEX(AccountCodes[Normal Balance], MATCH(C105,AccountCodes[PPSAS CODE]))="Debit",E105-F105,0)</f>
        <v>0</v>
      </c>
      <c r="E105" s="488">
        <f t="array" ref="E105">(SUM(IF((PostTB[Account Code (Old)]=B105),(PostTB[Debit])))+(SUM(IF((CkDJ[Account Code]=B105)*(CkDJ[Date]&lt;=$A$7),(CkDJ[Debit])))+(SUM(IF((CsDJ[Account Code]=B105)*(CsDJ[Date]&lt;=$A$7),(CsDJ[Debit])))+(SUM(IF((CRDJ[Account Code]=B105)*(CRDJ[Date]&lt;=$A$7),(CRDJ[Debit])))+(SUM(IF((GJ[Account Code]=B105)*(GJ[Date]&lt;=$A$7),(GJ[Debit]))))))))</f>
        <v>0</v>
      </c>
      <c r="F105" s="490">
        <f t="array" ref="F105">(SUM(IF((PostTB[Account Code (Old)]=B105),(PostTB[Credit])))+(SUM(IF((CkDJ[Account Code]=B105)*(CkDJ[Date]&lt;=$A$7),(CkDJ[Credit])))+(SUM(IF((CsDJ[Account Code]=B105)*(CsDJ[Date]&lt;=$A$7),(CsDJ[Credit])))+(SUM(IF((CRDJ[Account Code]=B105)*(CRDJ[Date]&lt;=$A$7),(CRDJ[Credit])))+(SUM(IF((GJ[Account Code]=B105)*(GJ[Date]&lt;=$A$7),(GJ[Credit]))))))))</f>
        <v>0</v>
      </c>
      <c r="G105" s="620">
        <f>IF(INDEX(AccountCodes[Normal Balance], MATCH(C105,AccountCodes[PPSAS CODE]))="Credit",F105-E105,0)</f>
        <v>0</v>
      </c>
      <c r="H105" s="621">
        <f t="shared" si="1"/>
        <v>0</v>
      </c>
    </row>
    <row r="106" spans="1:8" ht="15.75" hidden="1" x14ac:dyDescent="0.25">
      <c r="A106" s="613" t="str">
        <f t="array" ref="A106">INDEX(AccountCodes[ACCOUNT NAME],MATCH(B106,AccountCodes[NGAS CODE],0))</f>
        <v>Accumulated Depreciation-Sports Equipment</v>
      </c>
      <c r="B106" s="602" t="s">
        <v>98</v>
      </c>
      <c r="C106" s="615">
        <f t="array" ref="C106">INDEX(AccountCodes[PPSAS CODE],MATCH(B106,AccountCodes[NGAS CODE],0))</f>
        <v>1060513100</v>
      </c>
      <c r="D106" s="616">
        <f>IF(INDEX(AccountCodes[Normal Balance], MATCH(C106,AccountCodes[PPSAS CODE]))="Debit",E106-F106,0)</f>
        <v>0</v>
      </c>
      <c r="E106" s="488">
        <f t="array" ref="E106">(SUM(IF((PostTB[Account Code (Old)]=B106),(PostTB[Debit])))+(SUM(IF((CkDJ[Account Code]=B106)*(CkDJ[Date]&lt;=$A$7),(CkDJ[Debit])))+(SUM(IF((CsDJ[Account Code]=B106)*(CsDJ[Date]&lt;=$A$7),(CsDJ[Debit])))+(SUM(IF((CRDJ[Account Code]=B106)*(CRDJ[Date]&lt;=$A$7),(CRDJ[Debit])))+(SUM(IF((GJ[Account Code]=B106)*(GJ[Date]&lt;=$A$7),(GJ[Debit]))))))))</f>
        <v>0</v>
      </c>
      <c r="F106" s="490">
        <f t="array" ref="F106">(SUM(IF((PostTB[Account Code (Old)]=B106),(PostTB[Credit])))+(SUM(IF((CkDJ[Account Code]=B106)*(CkDJ[Date]&lt;=$A$7),(CkDJ[Credit])))+(SUM(IF((CsDJ[Account Code]=B106)*(CsDJ[Date]&lt;=$A$7),(CsDJ[Credit])))+(SUM(IF((CRDJ[Account Code]=B106)*(CRDJ[Date]&lt;=$A$7),(CRDJ[Credit])))+(SUM(IF((GJ[Account Code]=B106)*(GJ[Date]&lt;=$A$7),(GJ[Credit]))))))))</f>
        <v>0</v>
      </c>
      <c r="G106" s="620">
        <f>IF(INDEX(AccountCodes[Normal Balance], MATCH(C106,AccountCodes[PPSAS CODE]))="Credit",F106-E106,0)</f>
        <v>0</v>
      </c>
      <c r="H106" s="621">
        <f t="shared" si="1"/>
        <v>0</v>
      </c>
    </row>
    <row r="107" spans="1:8" ht="15.75" hidden="1" x14ac:dyDescent="0.25">
      <c r="A107" s="613" t="str">
        <f t="array" ref="A107">INDEX(AccountCodes[ACCOUNT NAME],MATCH(B107,AccountCodes[NGAS CODE],0))</f>
        <v>Technical and Scientific Equipment</v>
      </c>
      <c r="B107" s="602" t="s">
        <v>53</v>
      </c>
      <c r="C107" s="615">
        <f t="array" ref="C107">INDEX(AccountCodes[PPSAS CODE],MATCH(B107,AccountCodes[NGAS CODE],0))</f>
        <v>1060514000</v>
      </c>
      <c r="D107" s="616">
        <f>IF(INDEX(AccountCodes[Normal Balance], MATCH(C107,AccountCodes[PPSAS CODE]))="Debit",E107-F107,0)</f>
        <v>0</v>
      </c>
      <c r="E107" s="488">
        <f t="array" ref="E107">(SUM(IF((PostTB[Account Code (Old)]=B107),(PostTB[Debit])))+(SUM(IF((CkDJ[Account Code]=B107)*(CkDJ[Date]&lt;=$A$7),(CkDJ[Debit])))+(SUM(IF((CsDJ[Account Code]=B107)*(CsDJ[Date]&lt;=$A$7),(CsDJ[Debit])))+(SUM(IF((CRDJ[Account Code]=B107)*(CRDJ[Date]&lt;=$A$7),(CRDJ[Debit])))+(SUM(IF((GJ[Account Code]=B107)*(GJ[Date]&lt;=$A$7),(GJ[Debit]))))))))</f>
        <v>0</v>
      </c>
      <c r="F107" s="490">
        <f t="array" ref="F107">(SUM(IF((PostTB[Account Code (Old)]=B107),(PostTB[Credit])))+(SUM(IF((CkDJ[Account Code]=B107)*(CkDJ[Date]&lt;=$A$7),(CkDJ[Credit])))+(SUM(IF((CsDJ[Account Code]=B107)*(CsDJ[Date]&lt;=$A$7),(CsDJ[Credit])))+(SUM(IF((CRDJ[Account Code]=B107)*(CRDJ[Date]&lt;=$A$7),(CRDJ[Credit])))+(SUM(IF((GJ[Account Code]=B107)*(GJ[Date]&lt;=$A$7),(GJ[Credit]))))))))</f>
        <v>0</v>
      </c>
      <c r="G107" s="620">
        <f>IF(INDEX(AccountCodes[Normal Balance], MATCH(C107,AccountCodes[PPSAS CODE]))="Credit",F107-E107,0)</f>
        <v>0</v>
      </c>
      <c r="H107" s="621">
        <f t="shared" si="1"/>
        <v>0</v>
      </c>
    </row>
    <row r="108" spans="1:8" ht="15.75" hidden="1" x14ac:dyDescent="0.25">
      <c r="A108" s="613" t="str">
        <f t="array" ref="A108">INDEX(AccountCodes[ACCOUNT NAME],MATCH(B108,AccountCodes[NGAS CODE],0))</f>
        <v>Accumulated Depreciation-Technical and Scientific Equipment</v>
      </c>
      <c r="B108" s="602" t="s">
        <v>99</v>
      </c>
      <c r="C108" s="615">
        <f t="array" ref="C108">INDEX(AccountCodes[PPSAS CODE],MATCH(B108,AccountCodes[NGAS CODE],0))</f>
        <v>1060514100</v>
      </c>
      <c r="D108" s="616">
        <f>IF(INDEX(AccountCodes[Normal Balance], MATCH(C108,AccountCodes[PPSAS CODE]))="Debit",E108-F108,0)</f>
        <v>0</v>
      </c>
      <c r="E108" s="488">
        <f t="array" ref="E108">(SUM(IF((PostTB[Account Code (Old)]=B108),(PostTB[Debit])))+(SUM(IF((CkDJ[Account Code]=B108)*(CkDJ[Date]&lt;=$A$7),(CkDJ[Debit])))+(SUM(IF((CsDJ[Account Code]=B108)*(CsDJ[Date]&lt;=$A$7),(CsDJ[Debit])))+(SUM(IF((CRDJ[Account Code]=B108)*(CRDJ[Date]&lt;=$A$7),(CRDJ[Debit])))+(SUM(IF((GJ[Account Code]=B108)*(GJ[Date]&lt;=$A$7),(GJ[Debit]))))))))</f>
        <v>0</v>
      </c>
      <c r="F108" s="490">
        <f t="array" ref="F108">(SUM(IF((PostTB[Account Code (Old)]=B108),(PostTB[Credit])))+(SUM(IF((CkDJ[Account Code]=B108)*(CkDJ[Date]&lt;=$A$7),(CkDJ[Credit])))+(SUM(IF((CsDJ[Account Code]=B108)*(CsDJ[Date]&lt;=$A$7),(CsDJ[Credit])))+(SUM(IF((CRDJ[Account Code]=B108)*(CRDJ[Date]&lt;=$A$7),(CRDJ[Credit])))+(SUM(IF((GJ[Account Code]=B108)*(GJ[Date]&lt;=$A$7),(GJ[Credit]))))))))</f>
        <v>0</v>
      </c>
      <c r="G108" s="620">
        <f>IF(INDEX(AccountCodes[Normal Balance], MATCH(C108,AccountCodes[PPSAS CODE]))="Credit",F108-E108,0)</f>
        <v>0</v>
      </c>
      <c r="H108" s="621">
        <f t="shared" si="1"/>
        <v>0</v>
      </c>
    </row>
    <row r="109" spans="1:8" ht="15.75" hidden="1" x14ac:dyDescent="0.25">
      <c r="A109" s="613" t="str">
        <f t="array" ref="A109">INDEX(AccountCodes[ACCOUNT NAME],MATCH(B109,AccountCodes[NGAS CODE],0))</f>
        <v>Other Machinery and Equipment</v>
      </c>
      <c r="B109" s="602" t="s">
        <v>54</v>
      </c>
      <c r="C109" s="615">
        <f t="array" ref="C109">INDEX(AccountCodes[PPSAS CODE],MATCH(B109,AccountCodes[NGAS CODE],0))</f>
        <v>1060599000</v>
      </c>
      <c r="D109" s="616">
        <f>IF(INDEX(AccountCodes[Normal Balance], MATCH(C109,AccountCodes[PPSAS CODE]))="Debit",E109-F109,0)</f>
        <v>0</v>
      </c>
      <c r="E109" s="488">
        <f t="array" ref="E109">(SUM(IF((PostTB[Account Code (Old)]=B109),(PostTB[Debit])))+(SUM(IF((CkDJ[Account Code]=B109)*(CkDJ[Date]&lt;=$A$7),(CkDJ[Debit])))+(SUM(IF((CsDJ[Account Code]=B109)*(CsDJ[Date]&lt;=$A$7),(CsDJ[Debit])))+(SUM(IF((CRDJ[Account Code]=B109)*(CRDJ[Date]&lt;=$A$7),(CRDJ[Debit])))+(SUM(IF((GJ[Account Code]=B109)*(GJ[Date]&lt;=$A$7),(GJ[Debit]))))))))</f>
        <v>0</v>
      </c>
      <c r="F109" s="490">
        <f t="array" ref="F109">(SUM(IF((PostTB[Account Code (Old)]=B109),(PostTB[Credit])))+(SUM(IF((CkDJ[Account Code]=B109)*(CkDJ[Date]&lt;=$A$7),(CkDJ[Credit])))+(SUM(IF((CsDJ[Account Code]=B109)*(CsDJ[Date]&lt;=$A$7),(CsDJ[Credit])))+(SUM(IF((CRDJ[Account Code]=B109)*(CRDJ[Date]&lt;=$A$7),(CRDJ[Credit])))+(SUM(IF((GJ[Account Code]=B109)*(GJ[Date]&lt;=$A$7),(GJ[Credit]))))))))</f>
        <v>0</v>
      </c>
      <c r="G109" s="620">
        <f>IF(INDEX(AccountCodes[Normal Balance], MATCH(C109,AccountCodes[PPSAS CODE]))="Credit",F109-E109,0)</f>
        <v>0</v>
      </c>
      <c r="H109" s="621">
        <f t="shared" si="1"/>
        <v>0</v>
      </c>
    </row>
    <row r="110" spans="1:8" ht="15.75" hidden="1" x14ac:dyDescent="0.25">
      <c r="A110" s="613" t="str">
        <f t="array" ref="A110">INDEX(AccountCodes[ACCOUNT NAME],MATCH(B110,AccountCodes[NGAS CODE],0))</f>
        <v>Accumulated Depreciation-Other Machinery and Equipment</v>
      </c>
      <c r="B110" s="602" t="s">
        <v>100</v>
      </c>
      <c r="C110" s="615">
        <f t="array" ref="C110">INDEX(AccountCodes[PPSAS CODE],MATCH(B110,AccountCodes[NGAS CODE],0))</f>
        <v>1060599100</v>
      </c>
      <c r="D110" s="616">
        <f>IF(INDEX(AccountCodes[Normal Balance], MATCH(C110,AccountCodes[PPSAS CODE]))="Debit",E110-F110,0)</f>
        <v>0</v>
      </c>
      <c r="E110" s="488">
        <f t="array" ref="E110">(SUM(IF((PostTB[Account Code (Old)]=B110),(PostTB[Debit])))+(SUM(IF((CkDJ[Account Code]=B110)*(CkDJ[Date]&lt;=$A$7),(CkDJ[Debit])))+(SUM(IF((CsDJ[Account Code]=B110)*(CsDJ[Date]&lt;=$A$7),(CsDJ[Debit])))+(SUM(IF((CRDJ[Account Code]=B110)*(CRDJ[Date]&lt;=$A$7),(CRDJ[Debit])))+(SUM(IF((GJ[Account Code]=B110)*(GJ[Date]&lt;=$A$7),(GJ[Debit]))))))))</f>
        <v>0</v>
      </c>
      <c r="F110" s="490">
        <f t="array" ref="F110">(SUM(IF((PostTB[Account Code (Old)]=B110),(PostTB[Credit])))+(SUM(IF((CkDJ[Account Code]=B110)*(CkDJ[Date]&lt;=$A$7),(CkDJ[Credit])))+(SUM(IF((CsDJ[Account Code]=B110)*(CsDJ[Date]&lt;=$A$7),(CsDJ[Credit])))+(SUM(IF((CRDJ[Account Code]=B110)*(CRDJ[Date]&lt;=$A$7),(CRDJ[Credit])))+(SUM(IF((GJ[Account Code]=B110)*(GJ[Date]&lt;=$A$7),(GJ[Credit]))))))))</f>
        <v>0</v>
      </c>
      <c r="G110" s="620">
        <f>IF(INDEX(AccountCodes[Normal Balance], MATCH(C110,AccountCodes[PPSAS CODE]))="Credit",F110-E110,0)</f>
        <v>0</v>
      </c>
      <c r="H110" s="621">
        <f t="shared" si="1"/>
        <v>0</v>
      </c>
    </row>
    <row r="111" spans="1:8" ht="15.75" hidden="1" x14ac:dyDescent="0.25">
      <c r="A111" s="613" t="str">
        <f t="array" ref="A111">INDEX(AccountCodes[ACCOUNT NAME],MATCH(B111,AccountCodes[NGAS CODE],0))</f>
        <v>Motor Vehicles</v>
      </c>
      <c r="B111" s="602" t="s">
        <v>55</v>
      </c>
      <c r="C111" s="615">
        <f t="array" ref="C111">INDEX(AccountCodes[PPSAS CODE],MATCH(B111,AccountCodes[NGAS CODE],0))</f>
        <v>1060601000</v>
      </c>
      <c r="D111" s="616">
        <f>IF(INDEX(AccountCodes[Normal Balance], MATCH(C111,AccountCodes[PPSAS CODE]))="Debit",E111-F111,0)</f>
        <v>0</v>
      </c>
      <c r="E111" s="488">
        <f t="array" ref="E111">(SUM(IF((PostTB[Account Code (Old)]=B111),(PostTB[Debit])))+(SUM(IF((CkDJ[Account Code]=B111)*(CkDJ[Date]&lt;=$A$7),(CkDJ[Debit])))+(SUM(IF((CsDJ[Account Code]=B111)*(CsDJ[Date]&lt;=$A$7),(CsDJ[Debit])))+(SUM(IF((CRDJ[Account Code]=B111)*(CRDJ[Date]&lt;=$A$7),(CRDJ[Debit])))+(SUM(IF((GJ[Account Code]=B111)*(GJ[Date]&lt;=$A$7),(GJ[Debit]))))))))</f>
        <v>0</v>
      </c>
      <c r="F111" s="490">
        <f t="array" ref="F111">(SUM(IF((PostTB[Account Code (Old)]=B111),(PostTB[Credit])))+(SUM(IF((CkDJ[Account Code]=B111)*(CkDJ[Date]&lt;=$A$7),(CkDJ[Credit])))+(SUM(IF((CsDJ[Account Code]=B111)*(CsDJ[Date]&lt;=$A$7),(CsDJ[Credit])))+(SUM(IF((CRDJ[Account Code]=B111)*(CRDJ[Date]&lt;=$A$7),(CRDJ[Credit])))+(SUM(IF((GJ[Account Code]=B111)*(GJ[Date]&lt;=$A$7),(GJ[Credit]))))))))</f>
        <v>0</v>
      </c>
      <c r="G111" s="620">
        <f>IF(INDEX(AccountCodes[Normal Balance], MATCH(C111,AccountCodes[PPSAS CODE]))="Credit",F111-E111,0)</f>
        <v>0</v>
      </c>
      <c r="H111" s="621">
        <f t="shared" si="1"/>
        <v>0</v>
      </c>
    </row>
    <row r="112" spans="1:8" ht="15.75" hidden="1" x14ac:dyDescent="0.25">
      <c r="A112" s="613" t="str">
        <f t="array" ref="A112">INDEX(AccountCodes[ACCOUNT NAME],MATCH(B112,AccountCodes[NGAS CODE],0))</f>
        <v>Accumulated Depreciation-Motor Vehicles</v>
      </c>
      <c r="B112" s="602" t="s">
        <v>101</v>
      </c>
      <c r="C112" s="615">
        <f t="array" ref="C112">INDEX(AccountCodes[PPSAS CODE],MATCH(B112,AccountCodes[NGAS CODE],0))</f>
        <v>1060601100</v>
      </c>
      <c r="D112" s="616">
        <f>IF(INDEX(AccountCodes[Normal Balance], MATCH(C112,AccountCodes[PPSAS CODE]))="Debit",E112-F112,0)</f>
        <v>0</v>
      </c>
      <c r="E112" s="488">
        <f t="array" ref="E112">(SUM(IF((PostTB[Account Code (Old)]=B112),(PostTB[Debit])))+(SUM(IF((CkDJ[Account Code]=B112)*(CkDJ[Date]&lt;=$A$7),(CkDJ[Debit])))+(SUM(IF((CsDJ[Account Code]=B112)*(CsDJ[Date]&lt;=$A$7),(CsDJ[Debit])))+(SUM(IF((CRDJ[Account Code]=B112)*(CRDJ[Date]&lt;=$A$7),(CRDJ[Debit])))+(SUM(IF((GJ[Account Code]=B112)*(GJ[Date]&lt;=$A$7),(GJ[Debit]))))))))</f>
        <v>0</v>
      </c>
      <c r="F112" s="490">
        <f t="array" ref="F112">(SUM(IF((PostTB[Account Code (Old)]=B112),(PostTB[Credit])))+(SUM(IF((CkDJ[Account Code]=B112)*(CkDJ[Date]&lt;=$A$7),(CkDJ[Credit])))+(SUM(IF((CsDJ[Account Code]=B112)*(CsDJ[Date]&lt;=$A$7),(CsDJ[Credit])))+(SUM(IF((CRDJ[Account Code]=B112)*(CRDJ[Date]&lt;=$A$7),(CRDJ[Credit])))+(SUM(IF((GJ[Account Code]=B112)*(GJ[Date]&lt;=$A$7),(GJ[Credit]))))))))</f>
        <v>0</v>
      </c>
      <c r="G112" s="620">
        <f>IF(INDEX(AccountCodes[Normal Balance], MATCH(C112,AccountCodes[PPSAS CODE]))="Credit",F112-E112,0)</f>
        <v>0</v>
      </c>
      <c r="H112" s="621">
        <f t="shared" si="1"/>
        <v>0</v>
      </c>
    </row>
    <row r="113" spans="1:8" ht="15.75" hidden="1" x14ac:dyDescent="0.25">
      <c r="A113" s="613" t="str">
        <f t="array" ref="A113">INDEX(AccountCodes[ACCOUNT NAME],MATCH(B113,AccountCodes[NGAS CODE],0))</f>
        <v>Aircrafts and Aircrafts Ground Equipment</v>
      </c>
      <c r="B113" s="602" t="s">
        <v>56</v>
      </c>
      <c r="C113" s="615">
        <f t="array" ref="C113">INDEX(AccountCodes[PPSAS CODE],MATCH(B113,AccountCodes[NGAS CODE],0))</f>
        <v>1060603000</v>
      </c>
      <c r="D113" s="616">
        <f>IF(INDEX(AccountCodes[Normal Balance], MATCH(C113,AccountCodes[PPSAS CODE]))="Debit",E113-F113,0)</f>
        <v>0</v>
      </c>
      <c r="E113" s="488">
        <f t="array" ref="E113">(SUM(IF((PostTB[Account Code (Old)]=B113),(PostTB[Debit])))+(SUM(IF((CkDJ[Account Code]=B113)*(CkDJ[Date]&lt;=$A$7),(CkDJ[Debit])))+(SUM(IF((CsDJ[Account Code]=B113)*(CsDJ[Date]&lt;=$A$7),(CsDJ[Debit])))+(SUM(IF((CRDJ[Account Code]=B113)*(CRDJ[Date]&lt;=$A$7),(CRDJ[Debit])))+(SUM(IF((GJ[Account Code]=B113)*(GJ[Date]&lt;=$A$7),(GJ[Debit]))))))))</f>
        <v>0</v>
      </c>
      <c r="F113" s="490">
        <f t="array" ref="F113">(SUM(IF((PostTB[Account Code (Old)]=B113),(PostTB[Credit])))+(SUM(IF((CkDJ[Account Code]=B113)*(CkDJ[Date]&lt;=$A$7),(CkDJ[Credit])))+(SUM(IF((CsDJ[Account Code]=B113)*(CsDJ[Date]&lt;=$A$7),(CsDJ[Credit])))+(SUM(IF((CRDJ[Account Code]=B113)*(CRDJ[Date]&lt;=$A$7),(CRDJ[Credit])))+(SUM(IF((GJ[Account Code]=B113)*(GJ[Date]&lt;=$A$7),(GJ[Credit]))))))))</f>
        <v>0</v>
      </c>
      <c r="G113" s="620">
        <f>IF(INDEX(AccountCodes[Normal Balance], MATCH(C113,AccountCodes[PPSAS CODE]))="Credit",F113-E113,0)</f>
        <v>0</v>
      </c>
      <c r="H113" s="621">
        <f t="shared" si="1"/>
        <v>0</v>
      </c>
    </row>
    <row r="114" spans="1:8" ht="15.75" hidden="1" x14ac:dyDescent="0.25">
      <c r="A114" s="613" t="str">
        <f t="array" ref="A114">INDEX(AccountCodes[ACCOUNT NAME],MATCH(B114,AccountCodes[NGAS CODE],0))</f>
        <v>Accumulated Depreciation-Aircrafts and Aircrafts Ground Equipment</v>
      </c>
      <c r="B114" s="602" t="s">
        <v>102</v>
      </c>
      <c r="C114" s="615">
        <f t="array" ref="C114">INDEX(AccountCodes[PPSAS CODE],MATCH(B114,AccountCodes[NGAS CODE],0))</f>
        <v>1060603100</v>
      </c>
      <c r="D114" s="616">
        <f>IF(INDEX(AccountCodes[Normal Balance], MATCH(C114,AccountCodes[PPSAS CODE]))="Debit",E114-F114,0)</f>
        <v>0</v>
      </c>
      <c r="E114" s="488">
        <f t="array" ref="E114">(SUM(IF((PostTB[Account Code (Old)]=B114),(PostTB[Debit])))+(SUM(IF((CkDJ[Account Code]=B114)*(CkDJ[Date]&lt;=$A$7),(CkDJ[Debit])))+(SUM(IF((CsDJ[Account Code]=B114)*(CsDJ[Date]&lt;=$A$7),(CsDJ[Debit])))+(SUM(IF((CRDJ[Account Code]=B114)*(CRDJ[Date]&lt;=$A$7),(CRDJ[Debit])))+(SUM(IF((GJ[Account Code]=B114)*(GJ[Date]&lt;=$A$7),(GJ[Debit]))))))))</f>
        <v>0</v>
      </c>
      <c r="F114" s="490">
        <f t="array" ref="F114">(SUM(IF((PostTB[Account Code (Old)]=B114),(PostTB[Credit])))+(SUM(IF((CkDJ[Account Code]=B114)*(CkDJ[Date]&lt;=$A$7),(CkDJ[Credit])))+(SUM(IF((CsDJ[Account Code]=B114)*(CsDJ[Date]&lt;=$A$7),(CsDJ[Credit])))+(SUM(IF((CRDJ[Account Code]=B114)*(CRDJ[Date]&lt;=$A$7),(CRDJ[Credit])))+(SUM(IF((GJ[Account Code]=B114)*(GJ[Date]&lt;=$A$7),(GJ[Credit]))))))))</f>
        <v>0</v>
      </c>
      <c r="G114" s="620">
        <f>IF(INDEX(AccountCodes[Normal Balance], MATCH(C114,AccountCodes[PPSAS CODE]))="Credit",F114-E114,0)</f>
        <v>0</v>
      </c>
      <c r="H114" s="621">
        <f t="shared" si="1"/>
        <v>0</v>
      </c>
    </row>
    <row r="115" spans="1:8" ht="15.75" hidden="1" x14ac:dyDescent="0.25">
      <c r="A115" s="613" t="str">
        <f t="array" ref="A115">INDEX(AccountCodes[ACCOUNT NAME],MATCH(B115,AccountCodes[NGAS CODE],0))</f>
        <v>Watercrafts</v>
      </c>
      <c r="B115" s="602" t="s">
        <v>57</v>
      </c>
      <c r="C115" s="615">
        <f t="array" ref="C115">INDEX(AccountCodes[PPSAS CODE],MATCH(B115,AccountCodes[NGAS CODE],0))</f>
        <v>1060604000</v>
      </c>
      <c r="D115" s="616">
        <f>IF(INDEX(AccountCodes[Normal Balance], MATCH(C115,AccountCodes[PPSAS CODE]))="Debit",E115-F115,0)</f>
        <v>0</v>
      </c>
      <c r="E115" s="488">
        <f t="array" ref="E115">(SUM(IF((PostTB[Account Code (Old)]=B115),(PostTB[Debit])))+(SUM(IF((CkDJ[Account Code]=B115)*(CkDJ[Date]&lt;=$A$7),(CkDJ[Debit])))+(SUM(IF((CsDJ[Account Code]=B115)*(CsDJ[Date]&lt;=$A$7),(CsDJ[Debit])))+(SUM(IF((CRDJ[Account Code]=B115)*(CRDJ[Date]&lt;=$A$7),(CRDJ[Debit])))+(SUM(IF((GJ[Account Code]=B115)*(GJ[Date]&lt;=$A$7),(GJ[Debit]))))))))</f>
        <v>0</v>
      </c>
      <c r="F115" s="490">
        <f t="array" ref="F115">(SUM(IF((PostTB[Account Code (Old)]=B115),(PostTB[Credit])))+(SUM(IF((CkDJ[Account Code]=B115)*(CkDJ[Date]&lt;=$A$7),(CkDJ[Credit])))+(SUM(IF((CsDJ[Account Code]=B115)*(CsDJ[Date]&lt;=$A$7),(CsDJ[Credit])))+(SUM(IF((CRDJ[Account Code]=B115)*(CRDJ[Date]&lt;=$A$7),(CRDJ[Credit])))+(SUM(IF((GJ[Account Code]=B115)*(GJ[Date]&lt;=$A$7),(GJ[Credit]))))))))</f>
        <v>0</v>
      </c>
      <c r="G115" s="620">
        <f>IF(INDEX(AccountCodes[Normal Balance], MATCH(C115,AccountCodes[PPSAS CODE]))="Credit",F115-E115,0)</f>
        <v>0</v>
      </c>
      <c r="H115" s="621">
        <f t="shared" si="1"/>
        <v>0</v>
      </c>
    </row>
    <row r="116" spans="1:8" ht="15.75" hidden="1" x14ac:dyDescent="0.25">
      <c r="A116" s="613" t="str">
        <f t="array" ref="A116">INDEX(AccountCodes[ACCOUNT NAME],MATCH(B116,AccountCodes[NGAS CODE],0))</f>
        <v>Accumulated Depreciation-Watercrafts</v>
      </c>
      <c r="B116" s="602" t="s">
        <v>103</v>
      </c>
      <c r="C116" s="615">
        <f t="array" ref="C116">INDEX(AccountCodes[PPSAS CODE],MATCH(B116,AccountCodes[NGAS CODE],0))</f>
        <v>1060604100</v>
      </c>
      <c r="D116" s="616">
        <f>IF(INDEX(AccountCodes[Normal Balance], MATCH(C116,AccountCodes[PPSAS CODE]))="Debit",E116-F116,0)</f>
        <v>0</v>
      </c>
      <c r="E116" s="488">
        <f t="array" ref="E116">(SUM(IF((PostTB[Account Code (Old)]=B116),(PostTB[Debit])))+(SUM(IF((CkDJ[Account Code]=B116)*(CkDJ[Date]&lt;=$A$7),(CkDJ[Debit])))+(SUM(IF((CsDJ[Account Code]=B116)*(CsDJ[Date]&lt;=$A$7),(CsDJ[Debit])))+(SUM(IF((CRDJ[Account Code]=B116)*(CRDJ[Date]&lt;=$A$7),(CRDJ[Debit])))+(SUM(IF((GJ[Account Code]=B116)*(GJ[Date]&lt;=$A$7),(GJ[Debit]))))))))</f>
        <v>0</v>
      </c>
      <c r="F116" s="490">
        <f t="array" ref="F116">(SUM(IF((PostTB[Account Code (Old)]=B116),(PostTB[Credit])))+(SUM(IF((CkDJ[Account Code]=B116)*(CkDJ[Date]&lt;=$A$7),(CkDJ[Credit])))+(SUM(IF((CsDJ[Account Code]=B116)*(CsDJ[Date]&lt;=$A$7),(CsDJ[Credit])))+(SUM(IF((CRDJ[Account Code]=B116)*(CRDJ[Date]&lt;=$A$7),(CRDJ[Credit])))+(SUM(IF((GJ[Account Code]=B116)*(GJ[Date]&lt;=$A$7),(GJ[Credit]))))))))</f>
        <v>0</v>
      </c>
      <c r="G116" s="620">
        <f>IF(INDEX(AccountCodes[Normal Balance], MATCH(C116,AccountCodes[PPSAS CODE]))="Credit",F116-E116,0)</f>
        <v>0</v>
      </c>
      <c r="H116" s="621">
        <f t="shared" si="1"/>
        <v>0</v>
      </c>
    </row>
    <row r="117" spans="1:8" ht="15.75" hidden="1" x14ac:dyDescent="0.25">
      <c r="A117" s="613" t="str">
        <f t="array" ref="A117">INDEX(AccountCodes[ACCOUNT NAME],MATCH(B117,AccountCodes[NGAS CODE],0))</f>
        <v>Other Transportation Equipment</v>
      </c>
      <c r="B117" s="602" t="s">
        <v>58</v>
      </c>
      <c r="C117" s="615">
        <f t="array" ref="C117">INDEX(AccountCodes[PPSAS CODE],MATCH(B117,AccountCodes[NGAS CODE],0))</f>
        <v>1060699000</v>
      </c>
      <c r="D117" s="616">
        <f>IF(INDEX(AccountCodes[Normal Balance], MATCH(C117,AccountCodes[PPSAS CODE]))="Debit",E117-F117,0)</f>
        <v>0</v>
      </c>
      <c r="E117" s="488">
        <f t="array" ref="E117">(SUM(IF((PostTB[Account Code (Old)]=B117),(PostTB[Debit])))+(SUM(IF((CkDJ[Account Code]=B117)*(CkDJ[Date]&lt;=$A$7),(CkDJ[Debit])))+(SUM(IF((CsDJ[Account Code]=B117)*(CsDJ[Date]&lt;=$A$7),(CsDJ[Debit])))+(SUM(IF((CRDJ[Account Code]=B117)*(CRDJ[Date]&lt;=$A$7),(CRDJ[Debit])))+(SUM(IF((GJ[Account Code]=B117)*(GJ[Date]&lt;=$A$7),(GJ[Debit]))))))))</f>
        <v>0</v>
      </c>
      <c r="F117" s="490">
        <f t="array" ref="F117">(SUM(IF((PostTB[Account Code (Old)]=B117),(PostTB[Credit])))+(SUM(IF((CkDJ[Account Code]=B117)*(CkDJ[Date]&lt;=$A$7),(CkDJ[Credit])))+(SUM(IF((CsDJ[Account Code]=B117)*(CsDJ[Date]&lt;=$A$7),(CsDJ[Credit])))+(SUM(IF((CRDJ[Account Code]=B117)*(CRDJ[Date]&lt;=$A$7),(CRDJ[Credit])))+(SUM(IF((GJ[Account Code]=B117)*(GJ[Date]&lt;=$A$7),(GJ[Credit]))))))))</f>
        <v>0</v>
      </c>
      <c r="G117" s="620">
        <f>IF(INDEX(AccountCodes[Normal Balance], MATCH(C117,AccountCodes[PPSAS CODE]))="Credit",F117-E117,0)</f>
        <v>0</v>
      </c>
      <c r="H117" s="621">
        <f t="shared" si="1"/>
        <v>0</v>
      </c>
    </row>
    <row r="118" spans="1:8" ht="15.75" hidden="1" x14ac:dyDescent="0.25">
      <c r="A118" s="613" t="str">
        <f t="array" ref="A118">INDEX(AccountCodes[ACCOUNT NAME],MATCH(B118,AccountCodes[NGAS CODE],0))</f>
        <v>Accumulated Depreciation-Other Transportation Equipment</v>
      </c>
      <c r="B118" s="602" t="s">
        <v>104</v>
      </c>
      <c r="C118" s="615">
        <f t="array" ref="C118">INDEX(AccountCodes[PPSAS CODE],MATCH(B118,AccountCodes[NGAS CODE],0))</f>
        <v>1060699100</v>
      </c>
      <c r="D118" s="616">
        <f>IF(INDEX(AccountCodes[Normal Balance], MATCH(C118,AccountCodes[PPSAS CODE]))="Debit",E118-F118,0)</f>
        <v>0</v>
      </c>
      <c r="E118" s="488">
        <f t="array" ref="E118">(SUM(IF((PostTB[Account Code (Old)]=B118),(PostTB[Debit])))+(SUM(IF((CkDJ[Account Code]=B118)*(CkDJ[Date]&lt;=$A$7),(CkDJ[Debit])))+(SUM(IF((CsDJ[Account Code]=B118)*(CsDJ[Date]&lt;=$A$7),(CsDJ[Debit])))+(SUM(IF((CRDJ[Account Code]=B118)*(CRDJ[Date]&lt;=$A$7),(CRDJ[Debit])))+(SUM(IF((GJ[Account Code]=B118)*(GJ[Date]&lt;=$A$7),(GJ[Debit]))))))))</f>
        <v>0</v>
      </c>
      <c r="F118" s="490">
        <f t="array" ref="F118">(SUM(IF((PostTB[Account Code (Old)]=B118),(PostTB[Credit])))+(SUM(IF((CkDJ[Account Code]=B118)*(CkDJ[Date]&lt;=$A$7),(CkDJ[Credit])))+(SUM(IF((CsDJ[Account Code]=B118)*(CsDJ[Date]&lt;=$A$7),(CsDJ[Credit])))+(SUM(IF((CRDJ[Account Code]=B118)*(CRDJ[Date]&lt;=$A$7),(CRDJ[Credit])))+(SUM(IF((GJ[Account Code]=B118)*(GJ[Date]&lt;=$A$7),(GJ[Credit]))))))))</f>
        <v>0</v>
      </c>
      <c r="G118" s="620">
        <f>IF(INDEX(AccountCodes[Normal Balance], MATCH(C118,AccountCodes[PPSAS CODE]))="Credit",F118-E118,0)</f>
        <v>0</v>
      </c>
      <c r="H118" s="621">
        <f t="shared" si="1"/>
        <v>0</v>
      </c>
    </row>
    <row r="119" spans="1:8" ht="15.75" hidden="1" x14ac:dyDescent="0.25">
      <c r="A119" s="613" t="str">
        <f t="array" ref="A119">INDEX(AccountCodes[ACCOUNT NAME],MATCH(B119,AccountCodes[NGAS CODE],0))</f>
        <v>Furniture and Fixtures</v>
      </c>
      <c r="B119" s="602" t="s">
        <v>43</v>
      </c>
      <c r="C119" s="615">
        <f t="array" ref="C119">INDEX(AccountCodes[PPSAS CODE],MATCH(B119,AccountCodes[NGAS CODE],0))</f>
        <v>1060701000</v>
      </c>
      <c r="D119" s="616">
        <f>IF(INDEX(AccountCodes[Normal Balance], MATCH(C119,AccountCodes[PPSAS CODE]))="Debit",E119-F119,0)</f>
        <v>0</v>
      </c>
      <c r="E119" s="488">
        <f t="array" ref="E119">(SUM(IF((PostTB[Account Code (Old)]=B119),(PostTB[Debit])))+(SUM(IF((CkDJ[Account Code]=B119)*(CkDJ[Date]&lt;=$A$7),(CkDJ[Debit])))+(SUM(IF((CsDJ[Account Code]=B119)*(CsDJ[Date]&lt;=$A$7),(CsDJ[Debit])))+(SUM(IF((CRDJ[Account Code]=B119)*(CRDJ[Date]&lt;=$A$7),(CRDJ[Debit])))+(SUM(IF((GJ[Account Code]=B119)*(GJ[Date]&lt;=$A$7),(GJ[Debit]))))))))</f>
        <v>0</v>
      </c>
      <c r="F119" s="490">
        <f t="array" ref="F119">(SUM(IF((PostTB[Account Code (Old)]=B119),(PostTB[Credit])))+(SUM(IF((CkDJ[Account Code]=B119)*(CkDJ[Date]&lt;=$A$7),(CkDJ[Credit])))+(SUM(IF((CsDJ[Account Code]=B119)*(CsDJ[Date]&lt;=$A$7),(CsDJ[Credit])))+(SUM(IF((CRDJ[Account Code]=B119)*(CRDJ[Date]&lt;=$A$7),(CRDJ[Credit])))+(SUM(IF((GJ[Account Code]=B119)*(GJ[Date]&lt;=$A$7),(GJ[Credit]))))))))</f>
        <v>0</v>
      </c>
      <c r="G119" s="620">
        <f>IF(INDEX(AccountCodes[Normal Balance], MATCH(C119,AccountCodes[PPSAS CODE]))="Credit",F119-E119,0)</f>
        <v>0</v>
      </c>
      <c r="H119" s="621">
        <f t="shared" si="1"/>
        <v>0</v>
      </c>
    </row>
    <row r="120" spans="1:8" ht="15.75" hidden="1" x14ac:dyDescent="0.25">
      <c r="A120" s="613" t="str">
        <f t="array" ref="A120">INDEX(AccountCodes[ACCOUNT NAME],MATCH(B120,AccountCodes[NGAS CODE],0))</f>
        <v>Accumulated Depreciation-Furniture and Fixtures</v>
      </c>
      <c r="B120" s="602" t="s">
        <v>89</v>
      </c>
      <c r="C120" s="615">
        <f t="array" ref="C120">INDEX(AccountCodes[PPSAS CODE],MATCH(B120,AccountCodes[NGAS CODE],0))</f>
        <v>1060701100</v>
      </c>
      <c r="D120" s="616">
        <f>IF(INDEX(AccountCodes[Normal Balance], MATCH(C120,AccountCodes[PPSAS CODE]))="Debit",E120-F120,0)</f>
        <v>0</v>
      </c>
      <c r="E120" s="488">
        <f t="array" ref="E120">(SUM(IF((PostTB[Account Code (Old)]=B120),(PostTB[Debit])))+(SUM(IF((CkDJ[Account Code]=B120)*(CkDJ[Date]&lt;=$A$7),(CkDJ[Debit])))+(SUM(IF((CsDJ[Account Code]=B120)*(CsDJ[Date]&lt;=$A$7),(CsDJ[Debit])))+(SUM(IF((CRDJ[Account Code]=B120)*(CRDJ[Date]&lt;=$A$7),(CRDJ[Debit])))+(SUM(IF((GJ[Account Code]=B120)*(GJ[Date]&lt;=$A$7),(GJ[Debit]))))))))</f>
        <v>0</v>
      </c>
      <c r="F120" s="490">
        <f t="array" ref="F120">(SUM(IF((PostTB[Account Code (Old)]=B120),(PostTB[Credit])))+(SUM(IF((CkDJ[Account Code]=B120)*(CkDJ[Date]&lt;=$A$7),(CkDJ[Credit])))+(SUM(IF((CsDJ[Account Code]=B120)*(CsDJ[Date]&lt;=$A$7),(CsDJ[Credit])))+(SUM(IF((CRDJ[Account Code]=B120)*(CRDJ[Date]&lt;=$A$7),(CRDJ[Credit])))+(SUM(IF((GJ[Account Code]=B120)*(GJ[Date]&lt;=$A$7),(GJ[Credit]))))))))</f>
        <v>0</v>
      </c>
      <c r="G120" s="620">
        <f>IF(INDEX(AccountCodes[Normal Balance], MATCH(C120,AccountCodes[PPSAS CODE]))="Credit",F120-E120,0)</f>
        <v>0</v>
      </c>
      <c r="H120" s="621">
        <f t="shared" si="1"/>
        <v>0</v>
      </c>
    </row>
    <row r="121" spans="1:8" ht="15.75" hidden="1" x14ac:dyDescent="0.25">
      <c r="A121" s="613" t="str">
        <f t="array" ref="A121">INDEX(AccountCodes[ACCOUNT NAME],MATCH(B121,AccountCodes[NGAS CODE],0))</f>
        <v>Books</v>
      </c>
      <c r="B121" s="602" t="s">
        <v>45</v>
      </c>
      <c r="C121" s="615">
        <f t="array" ref="C121">INDEX(AccountCodes[PPSAS CODE],MATCH(B121,AccountCodes[NGAS CODE],0))</f>
        <v>1060702000</v>
      </c>
      <c r="D121" s="616">
        <f>IF(INDEX(AccountCodes[Normal Balance], MATCH(C121,AccountCodes[PPSAS CODE]))="Debit",E121-F121,0)</f>
        <v>0</v>
      </c>
      <c r="E121" s="488">
        <f t="array" ref="E121">(SUM(IF((PostTB[Account Code (Old)]=B121),(PostTB[Debit])))+(SUM(IF((CkDJ[Account Code]=B121)*(CkDJ[Date]&lt;=$A$7),(CkDJ[Debit])))+(SUM(IF((CsDJ[Account Code]=B121)*(CsDJ[Date]&lt;=$A$7),(CsDJ[Debit])))+(SUM(IF((CRDJ[Account Code]=B121)*(CRDJ[Date]&lt;=$A$7),(CRDJ[Debit])))+(SUM(IF((GJ[Account Code]=B121)*(GJ[Date]&lt;=$A$7),(GJ[Debit]))))))))</f>
        <v>0</v>
      </c>
      <c r="F121" s="490">
        <f t="array" ref="F121">(SUM(IF((PostTB[Account Code (Old)]=B121),(PostTB[Credit])))+(SUM(IF((CkDJ[Account Code]=B121)*(CkDJ[Date]&lt;=$A$7),(CkDJ[Credit])))+(SUM(IF((CsDJ[Account Code]=B121)*(CsDJ[Date]&lt;=$A$7),(CsDJ[Credit])))+(SUM(IF((CRDJ[Account Code]=B121)*(CRDJ[Date]&lt;=$A$7),(CRDJ[Credit])))+(SUM(IF((GJ[Account Code]=B121)*(GJ[Date]&lt;=$A$7),(GJ[Credit]))))))))</f>
        <v>0</v>
      </c>
      <c r="G121" s="620">
        <f>IF(INDEX(AccountCodes[Normal Balance], MATCH(C121,AccountCodes[PPSAS CODE]))="Credit",F121-E121,0)</f>
        <v>0</v>
      </c>
      <c r="H121" s="621">
        <f t="shared" si="1"/>
        <v>0</v>
      </c>
    </row>
    <row r="122" spans="1:8" ht="15.75" hidden="1" x14ac:dyDescent="0.25">
      <c r="A122" s="613" t="str">
        <f t="array" ref="A122">INDEX(AccountCodes[ACCOUNT NAME],MATCH(B122,AccountCodes[NGAS CODE],0))</f>
        <v>Accumulated Depreciation-Books</v>
      </c>
      <c r="B122" s="602" t="s">
        <v>91</v>
      </c>
      <c r="C122" s="615">
        <f t="array" ref="C122">INDEX(AccountCodes[PPSAS CODE],MATCH(B122,AccountCodes[NGAS CODE],0))</f>
        <v>1060702100</v>
      </c>
      <c r="D122" s="616">
        <f>IF(INDEX(AccountCodes[Normal Balance], MATCH(C122,AccountCodes[PPSAS CODE]))="Debit",E122-F122,0)</f>
        <v>0</v>
      </c>
      <c r="E122" s="488">
        <f t="array" ref="E122">(SUM(IF((PostTB[Account Code (Old)]=B122),(PostTB[Debit])))+(SUM(IF((CkDJ[Account Code]=B122)*(CkDJ[Date]&lt;=$A$7),(CkDJ[Debit])))+(SUM(IF((CsDJ[Account Code]=B122)*(CsDJ[Date]&lt;=$A$7),(CsDJ[Debit])))+(SUM(IF((CRDJ[Account Code]=B122)*(CRDJ[Date]&lt;=$A$7),(CRDJ[Debit])))+(SUM(IF((GJ[Account Code]=B122)*(GJ[Date]&lt;=$A$7),(GJ[Debit]))))))))</f>
        <v>0</v>
      </c>
      <c r="F122" s="490">
        <f t="array" ref="F122">(SUM(IF((PostTB[Account Code (Old)]=B122),(PostTB[Credit])))+(SUM(IF((CkDJ[Account Code]=B122)*(CkDJ[Date]&lt;=$A$7),(CkDJ[Credit])))+(SUM(IF((CsDJ[Account Code]=B122)*(CsDJ[Date]&lt;=$A$7),(CsDJ[Credit])))+(SUM(IF((CRDJ[Account Code]=B122)*(CRDJ[Date]&lt;=$A$7),(CRDJ[Credit])))+(SUM(IF((GJ[Account Code]=B122)*(GJ[Date]&lt;=$A$7),(GJ[Credit]))))))))</f>
        <v>0</v>
      </c>
      <c r="G122" s="620">
        <f>IF(INDEX(AccountCodes[Normal Balance], MATCH(C122,AccountCodes[PPSAS CODE]))="Credit",F122-E122,0)</f>
        <v>0</v>
      </c>
      <c r="H122" s="621">
        <f t="shared" si="1"/>
        <v>0</v>
      </c>
    </row>
    <row r="123" spans="1:8" ht="15.75" hidden="1" x14ac:dyDescent="0.25">
      <c r="A123" s="613" t="str">
        <f t="array" ref="A123">INDEX(AccountCodes[ACCOUNT NAME],MATCH(B123,AccountCodes[NGAS CODE],0))</f>
        <v>Other Property, Plant and Equipment</v>
      </c>
      <c r="B123" s="602" t="s">
        <v>59</v>
      </c>
      <c r="C123" s="615">
        <f t="array" ref="C123">INDEX(AccountCodes[PPSAS CODE],MATCH(B123,AccountCodes[NGAS CODE],0))</f>
        <v>1069899000</v>
      </c>
      <c r="D123" s="616">
        <f>IF(INDEX(AccountCodes[Normal Balance], MATCH(C123,AccountCodes[PPSAS CODE]))="Debit",E123-F123,0)</f>
        <v>0</v>
      </c>
      <c r="E123" s="488">
        <f t="array" ref="E123">(SUM(IF((PostTB[Account Code (Old)]=B123),(PostTB[Debit])))+(SUM(IF((CkDJ[Account Code]=B123)*(CkDJ[Date]&lt;=$A$7),(CkDJ[Debit])))+(SUM(IF((CsDJ[Account Code]=B123)*(CsDJ[Date]&lt;=$A$7),(CsDJ[Debit])))+(SUM(IF((CRDJ[Account Code]=B123)*(CRDJ[Date]&lt;=$A$7),(CRDJ[Debit])))+(SUM(IF((GJ[Account Code]=B123)*(GJ[Date]&lt;=$A$7),(GJ[Debit]))))))))</f>
        <v>0</v>
      </c>
      <c r="F123" s="490">
        <f t="array" ref="F123">(SUM(IF((PostTB[Account Code (Old)]=B123),(PostTB[Credit])))+(SUM(IF((CkDJ[Account Code]=B123)*(CkDJ[Date]&lt;=$A$7),(CkDJ[Credit])))+(SUM(IF((CsDJ[Account Code]=B123)*(CsDJ[Date]&lt;=$A$7),(CsDJ[Credit])))+(SUM(IF((CRDJ[Account Code]=B123)*(CRDJ[Date]&lt;=$A$7),(CRDJ[Credit])))+(SUM(IF((GJ[Account Code]=B123)*(GJ[Date]&lt;=$A$7),(GJ[Credit]))))))))</f>
        <v>0</v>
      </c>
      <c r="G123" s="620">
        <f>IF(INDEX(AccountCodes[Normal Balance], MATCH(C123,AccountCodes[PPSAS CODE]))="Credit",F123-E123,0)</f>
        <v>0</v>
      </c>
      <c r="H123" s="621">
        <f t="shared" si="1"/>
        <v>0</v>
      </c>
    </row>
    <row r="124" spans="1:8" ht="15.75" hidden="1" x14ac:dyDescent="0.25">
      <c r="A124" s="613" t="str">
        <f t="array" ref="A124">INDEX(AccountCodes[ACCOUNT NAME],MATCH(B124,AccountCodes[NGAS CODE],0))</f>
        <v>Accumulated Depreciation-Other Property, Plant and Equipment</v>
      </c>
      <c r="B124" s="602" t="s">
        <v>105</v>
      </c>
      <c r="C124" s="615">
        <f t="array" ref="C124">INDEX(AccountCodes[PPSAS CODE],MATCH(B124,AccountCodes[NGAS CODE],0))</f>
        <v>1069899100</v>
      </c>
      <c r="D124" s="616">
        <f>IF(INDEX(AccountCodes[Normal Balance], MATCH(C124,AccountCodes[PPSAS CODE]))="Debit",E124-F124,0)</f>
        <v>0</v>
      </c>
      <c r="E124" s="488">
        <f t="array" ref="E124">(SUM(IF((PostTB[Account Code (Old)]=B124),(PostTB[Debit])))+(SUM(IF((CkDJ[Account Code]=B124)*(CkDJ[Date]&lt;=$A$7),(CkDJ[Debit])))+(SUM(IF((CsDJ[Account Code]=B124)*(CsDJ[Date]&lt;=$A$7),(CsDJ[Debit])))+(SUM(IF((CRDJ[Account Code]=B124)*(CRDJ[Date]&lt;=$A$7),(CRDJ[Debit])))+(SUM(IF((GJ[Account Code]=B124)*(GJ[Date]&lt;=$A$7),(GJ[Debit]))))))))</f>
        <v>0</v>
      </c>
      <c r="F124" s="490">
        <f t="array" ref="F124">(SUM(IF((PostTB[Account Code (Old)]=B124),(PostTB[Credit])))+(SUM(IF((CkDJ[Account Code]=B124)*(CkDJ[Date]&lt;=$A$7),(CkDJ[Credit])))+(SUM(IF((CsDJ[Account Code]=B124)*(CsDJ[Date]&lt;=$A$7),(CsDJ[Credit])))+(SUM(IF((CRDJ[Account Code]=B124)*(CRDJ[Date]&lt;=$A$7),(CRDJ[Credit])))+(SUM(IF((GJ[Account Code]=B124)*(GJ[Date]&lt;=$A$7),(GJ[Credit]))))))))</f>
        <v>0</v>
      </c>
      <c r="G124" s="620">
        <f>IF(INDEX(AccountCodes[Normal Balance], MATCH(C124,AccountCodes[PPSAS CODE]))="Credit",F124-E124,0)</f>
        <v>0</v>
      </c>
      <c r="H124" s="621">
        <f t="shared" si="1"/>
        <v>0</v>
      </c>
    </row>
    <row r="125" spans="1:8" ht="15.75" hidden="1" x14ac:dyDescent="0.25">
      <c r="A125" s="613" t="str">
        <f t="array" ref="A125">INDEX(AccountCodes[ACCOUNT NAME],MATCH(B125,AccountCodes[NGAS CODE],0))</f>
        <v>Construction in Progress-Infrastructure Assets (Agency Assets)</v>
      </c>
      <c r="B125" s="602" t="s">
        <v>61</v>
      </c>
      <c r="C125" s="615">
        <f t="array" ref="C125">INDEX(AccountCodes[PPSAS CODE],MATCH(B125,AccountCodes[NGAS CODE],0))</f>
        <v>1069902099</v>
      </c>
      <c r="D125" s="616">
        <f>IF(INDEX(AccountCodes[Normal Balance], MATCH(C125,AccountCodes[PPSAS CODE]))="Debit",E125-F125,0)</f>
        <v>0</v>
      </c>
      <c r="E125" s="488">
        <f t="array" ref="E125">(SUM(IF((PostTB[Account Code (Old)]=B125),(PostTB[Debit])))+(SUM(IF((CkDJ[Account Code]=B125)*(CkDJ[Date]&lt;=$A$7),(CkDJ[Debit])))+(SUM(IF((CsDJ[Account Code]=B125)*(CsDJ[Date]&lt;=$A$7),(CsDJ[Debit])))+(SUM(IF((CRDJ[Account Code]=B125)*(CRDJ[Date]&lt;=$A$7),(CRDJ[Debit])))+(SUM(IF((GJ[Account Code]=B125)*(GJ[Date]&lt;=$A$7),(GJ[Debit]))))))))</f>
        <v>0</v>
      </c>
      <c r="F125" s="490">
        <f t="array" ref="F125">(SUM(IF((PostTB[Account Code (Old)]=B125),(PostTB[Credit])))+(SUM(IF((CkDJ[Account Code]=B125)*(CkDJ[Date]&lt;=$A$7),(CkDJ[Credit])))+(SUM(IF((CsDJ[Account Code]=B125)*(CsDJ[Date]&lt;=$A$7),(CsDJ[Credit])))+(SUM(IF((CRDJ[Account Code]=B125)*(CRDJ[Date]&lt;=$A$7),(CRDJ[Credit])))+(SUM(IF((GJ[Account Code]=B125)*(GJ[Date]&lt;=$A$7),(GJ[Credit]))))))))</f>
        <v>0</v>
      </c>
      <c r="G125" s="620">
        <f>IF(INDEX(AccountCodes[Normal Balance], MATCH(C125,AccountCodes[PPSAS CODE]))="Credit",F125-E125,0)</f>
        <v>0</v>
      </c>
      <c r="H125" s="621">
        <f t="shared" si="1"/>
        <v>0</v>
      </c>
    </row>
    <row r="126" spans="1:8" ht="15.75" hidden="1" x14ac:dyDescent="0.25">
      <c r="A126" s="613" t="str">
        <f t="array" ref="A126">INDEX(AccountCodes[ACCOUNT NAME],MATCH(B126,AccountCodes[NGAS CODE],0))</f>
        <v>Construction in Progress-Infrastructure Assets (Artesian Wells, Reservoirs, Pumping Stations &amp; Conduits)</v>
      </c>
      <c r="B126" s="602" t="s">
        <v>62</v>
      </c>
      <c r="C126" s="615">
        <f t="array" ref="C126">INDEX(AccountCodes[PPSAS CODE],MATCH(B126,AccountCodes[NGAS CODE],0))</f>
        <v>1069902099</v>
      </c>
      <c r="D126" s="616">
        <f>IF(INDEX(AccountCodes[Normal Balance], MATCH(C126,AccountCodes[PPSAS CODE]))="Debit",E126-F126,0)</f>
        <v>0</v>
      </c>
      <c r="E126" s="488">
        <f t="array" ref="E126">(SUM(IF((PostTB[Account Code (Old)]=B126),(PostTB[Debit])))+(SUM(IF((CkDJ[Account Code]=B126)*(CkDJ[Date]&lt;=$A$7),(CkDJ[Debit])))+(SUM(IF((CsDJ[Account Code]=B126)*(CsDJ[Date]&lt;=$A$7),(CsDJ[Debit])))+(SUM(IF((CRDJ[Account Code]=B126)*(CRDJ[Date]&lt;=$A$7),(CRDJ[Debit])))+(SUM(IF((GJ[Account Code]=B126)*(GJ[Date]&lt;=$A$7),(GJ[Debit]))))))))</f>
        <v>0</v>
      </c>
      <c r="F126" s="490">
        <f t="array" ref="F126">(SUM(IF((PostTB[Account Code (Old)]=B126),(PostTB[Credit])))+(SUM(IF((CkDJ[Account Code]=B126)*(CkDJ[Date]&lt;=$A$7),(CkDJ[Credit])))+(SUM(IF((CsDJ[Account Code]=B126)*(CsDJ[Date]&lt;=$A$7),(CsDJ[Credit])))+(SUM(IF((CRDJ[Account Code]=B126)*(CRDJ[Date]&lt;=$A$7),(CRDJ[Credit])))+(SUM(IF((GJ[Account Code]=B126)*(GJ[Date]&lt;=$A$7),(GJ[Credit]))))))))</f>
        <v>0</v>
      </c>
      <c r="G126" s="620">
        <f>IF(INDEX(AccountCodes[Normal Balance], MATCH(C126,AccountCodes[PPSAS CODE]))="Credit",F126-E126,0)</f>
        <v>0</v>
      </c>
      <c r="H126" s="621">
        <f t="shared" si="1"/>
        <v>0</v>
      </c>
    </row>
    <row r="127" spans="1:8" ht="15.75" x14ac:dyDescent="0.25">
      <c r="A127" s="613" t="str">
        <f t="array" ref="A127">INDEX(AccountCodes[ACCOUNT NAME],MATCH(B127,AccountCodes[NGAS CODE],0))</f>
        <v>Construction in Progress-Infrastructure Assets (Irrigation, Canals and Laterals)</v>
      </c>
      <c r="B127" s="602" t="s">
        <v>82</v>
      </c>
      <c r="C127" s="615">
        <f t="array" ref="C127">INDEX(AccountCodes[PPSAS CODE],MATCH(B127,AccountCodes[NGAS CODE],0))</f>
        <v>1069902099</v>
      </c>
      <c r="D127" s="616">
        <f>IF(INDEX(AccountCodes[Normal Balance], MATCH(C127,AccountCodes[PPSAS CODE]))="Debit",E127-F127,0)</f>
        <v>20393630.399999999</v>
      </c>
      <c r="E127" s="488">
        <f t="array" ref="E127">(SUM(IF((PostTB[Account Code (Old)]=B127),(PostTB[Debit])))+(SUM(IF((CkDJ[Account Code]=B127)*(CkDJ[Date]&lt;=$A$7),(CkDJ[Debit])))+(SUM(IF((CsDJ[Account Code]=B127)*(CsDJ[Date]&lt;=$A$7),(CsDJ[Debit])))+(SUM(IF((CRDJ[Account Code]=B127)*(CRDJ[Date]&lt;=$A$7),(CRDJ[Debit])))+(SUM(IF((GJ[Account Code]=B127)*(GJ[Date]&lt;=$A$7),(GJ[Debit]))))))))</f>
        <v>20393630.399999999</v>
      </c>
      <c r="F127" s="490">
        <f t="array" ref="F127">(SUM(IF((PostTB[Account Code (Old)]=B127),(PostTB[Credit])))+(SUM(IF((CkDJ[Account Code]=B127)*(CkDJ[Date]&lt;=$A$7),(CkDJ[Credit])))+(SUM(IF((CsDJ[Account Code]=B127)*(CsDJ[Date]&lt;=$A$7),(CsDJ[Credit])))+(SUM(IF((CRDJ[Account Code]=B127)*(CRDJ[Date]&lt;=$A$7),(CRDJ[Credit])))+(SUM(IF((GJ[Account Code]=B127)*(GJ[Date]&lt;=$A$7),(GJ[Credit]))))))))</f>
        <v>0</v>
      </c>
      <c r="G127" s="620">
        <f>IF(INDEX(AccountCodes[Normal Balance], MATCH(C127,AccountCodes[PPSAS CODE]))="Credit",F127-E127,0)</f>
        <v>0</v>
      </c>
      <c r="H127" s="621">
        <f t="shared" si="1"/>
        <v>20393630.399999999</v>
      </c>
    </row>
    <row r="128" spans="1:8" ht="15.75" hidden="1" x14ac:dyDescent="0.25">
      <c r="A128" s="613" t="str">
        <f t="array" ref="A128">INDEX(AccountCodes[ACCOUNT NAME],MATCH(B128,AccountCodes[NGAS CODE],0))</f>
        <v>Advances for Payroll</v>
      </c>
      <c r="B128" s="602" t="s">
        <v>12</v>
      </c>
      <c r="C128" s="615">
        <f t="array" ref="C128">INDEX(AccountCodes[PPSAS CODE],MATCH(B128,AccountCodes[NGAS CODE],0))</f>
        <v>1990102000</v>
      </c>
      <c r="D128" s="616">
        <f>IF(INDEX(AccountCodes[Normal Balance], MATCH(C128,AccountCodes[PPSAS CODE]))="Debit",E128-F128,0)</f>
        <v>0</v>
      </c>
      <c r="E128" s="488">
        <f t="array" ref="E128">(SUM(IF((PostTB[Account Code (Old)]=B128),(PostTB[Debit])))+(SUM(IF((CkDJ[Account Code]=B128)*(CkDJ[Date]&lt;=$A$7),(CkDJ[Debit])))+(SUM(IF((CsDJ[Account Code]=B128)*(CsDJ[Date]&lt;=$A$7),(CsDJ[Debit])))+(SUM(IF((CRDJ[Account Code]=B128)*(CRDJ[Date]&lt;=$A$7),(CRDJ[Debit])))+(SUM(IF((GJ[Account Code]=B128)*(GJ[Date]&lt;=$A$7),(GJ[Debit]))))))))</f>
        <v>0</v>
      </c>
      <c r="F128" s="490">
        <f t="array" ref="F128">(SUM(IF((PostTB[Account Code (Old)]=B128),(PostTB[Credit])))+(SUM(IF((CkDJ[Account Code]=B128)*(CkDJ[Date]&lt;=$A$7),(CkDJ[Credit])))+(SUM(IF((CsDJ[Account Code]=B128)*(CsDJ[Date]&lt;=$A$7),(CsDJ[Credit])))+(SUM(IF((CRDJ[Account Code]=B128)*(CRDJ[Date]&lt;=$A$7),(CRDJ[Credit])))+(SUM(IF((GJ[Account Code]=B128)*(GJ[Date]&lt;=$A$7),(GJ[Credit]))))))))</f>
        <v>0</v>
      </c>
      <c r="G128" s="620">
        <f>IF(INDEX(AccountCodes[Normal Balance], MATCH(C128,AccountCodes[PPSAS CODE]))="Credit",F128-E128,0)</f>
        <v>0</v>
      </c>
      <c r="H128" s="621">
        <f t="shared" si="1"/>
        <v>0</v>
      </c>
    </row>
    <row r="129" spans="1:8" ht="15.75" hidden="1" x14ac:dyDescent="0.25">
      <c r="A129" s="613" t="str">
        <f t="array" ref="A129">INDEX(AccountCodes[ACCOUNT NAME],MATCH(B129,AccountCodes[NGAS CODE],0))</f>
        <v>Advances to Special Disbursing Officer</v>
      </c>
      <c r="B129" s="602" t="s">
        <v>10</v>
      </c>
      <c r="C129" s="615">
        <f t="array" ref="C129">INDEX(AccountCodes[PPSAS CODE],MATCH(B129,AccountCodes[NGAS CODE],0))</f>
        <v>1990103000</v>
      </c>
      <c r="D129" s="616">
        <f>IF(INDEX(AccountCodes[Normal Balance], MATCH(C129,AccountCodes[PPSAS CODE]))="Debit",E129-F129,0)</f>
        <v>0</v>
      </c>
      <c r="E129" s="488">
        <f t="array" ref="E129">(SUM(IF((PostTB[Account Code (Old)]=B129),(PostTB[Debit])))+(SUM(IF((CkDJ[Account Code]=B129)*(CkDJ[Date]&lt;=$A$7),(CkDJ[Debit])))+(SUM(IF((CsDJ[Account Code]=B129)*(CsDJ[Date]&lt;=$A$7),(CsDJ[Debit])))+(SUM(IF((CRDJ[Account Code]=B129)*(CRDJ[Date]&lt;=$A$7),(CRDJ[Debit])))+(SUM(IF((GJ[Account Code]=B129)*(GJ[Date]&lt;=$A$7),(GJ[Debit]))))))))</f>
        <v>0</v>
      </c>
      <c r="F129" s="490">
        <f t="array" ref="F129">(SUM(IF((PostTB[Account Code (Old)]=B129),(PostTB[Credit])))+(SUM(IF((CkDJ[Account Code]=B129)*(CkDJ[Date]&lt;=$A$7),(CkDJ[Credit])))+(SUM(IF((CsDJ[Account Code]=B129)*(CsDJ[Date]&lt;=$A$7),(CsDJ[Credit])))+(SUM(IF((CRDJ[Account Code]=B129)*(CRDJ[Date]&lt;=$A$7),(CRDJ[Credit])))+(SUM(IF((GJ[Account Code]=B129)*(GJ[Date]&lt;=$A$7),(GJ[Credit]))))))))</f>
        <v>0</v>
      </c>
      <c r="G129" s="620">
        <f>IF(INDEX(AccountCodes[Normal Balance], MATCH(C129,AccountCodes[PPSAS CODE]))="Credit",F129-E129,0)</f>
        <v>0</v>
      </c>
      <c r="H129" s="621">
        <f t="shared" si="1"/>
        <v>0</v>
      </c>
    </row>
    <row r="130" spans="1:8" ht="15.75" hidden="1" x14ac:dyDescent="0.25">
      <c r="A130" s="613" t="str">
        <f t="array" ref="A130">INDEX(AccountCodes[ACCOUNT NAME],MATCH(B130,AccountCodes[NGAS CODE],0))</f>
        <v>Advances to Officers and Employees</v>
      </c>
      <c r="B130" s="602" t="s">
        <v>27</v>
      </c>
      <c r="C130" s="615">
        <f t="array" ref="C130">INDEX(AccountCodes[PPSAS CODE],MATCH(B130,AccountCodes[NGAS CODE],0))</f>
        <v>1990104000</v>
      </c>
      <c r="D130" s="616">
        <f>IF(INDEX(AccountCodes[Normal Balance], MATCH(C130,AccountCodes[PPSAS CODE]))="Debit",E130-F130,0)</f>
        <v>0</v>
      </c>
      <c r="E130" s="488">
        <f t="array" ref="E130">(SUM(IF((PostTB[Account Code (Old)]=B130),(PostTB[Debit])))+(SUM(IF((CkDJ[Account Code]=B130)*(CkDJ[Date]&lt;=$A$7),(CkDJ[Debit])))+(SUM(IF((CsDJ[Account Code]=B130)*(CsDJ[Date]&lt;=$A$7),(CsDJ[Debit])))+(SUM(IF((CRDJ[Account Code]=B130)*(CRDJ[Date]&lt;=$A$7),(CRDJ[Debit])))+(SUM(IF((GJ[Account Code]=B130)*(GJ[Date]&lt;=$A$7),(GJ[Debit]))))))))</f>
        <v>0</v>
      </c>
      <c r="F130" s="490">
        <f t="array" ref="F130">(SUM(IF((PostTB[Account Code (Old)]=B130),(PostTB[Credit])))+(SUM(IF((CkDJ[Account Code]=B130)*(CkDJ[Date]&lt;=$A$7),(CkDJ[Credit])))+(SUM(IF((CsDJ[Account Code]=B130)*(CsDJ[Date]&lt;=$A$7),(CsDJ[Credit])))+(SUM(IF((CRDJ[Account Code]=B130)*(CRDJ[Date]&lt;=$A$7),(CRDJ[Credit])))+(SUM(IF((GJ[Account Code]=B130)*(GJ[Date]&lt;=$A$7),(GJ[Credit]))))))))</f>
        <v>0</v>
      </c>
      <c r="G130" s="620">
        <f>IF(INDEX(AccountCodes[Normal Balance], MATCH(C130,AccountCodes[PPSAS CODE]))="Credit",F130-E130,0)</f>
        <v>0</v>
      </c>
      <c r="H130" s="621">
        <f t="shared" si="1"/>
        <v>0</v>
      </c>
    </row>
    <row r="131" spans="1:8" ht="15.75" hidden="1" x14ac:dyDescent="0.25">
      <c r="A131" s="613" t="str">
        <f t="array" ref="A131">INDEX(AccountCodes[ACCOUNT NAME],MATCH(B131,AccountCodes[NGAS CODE],0))</f>
        <v>Advances to Contractors</v>
      </c>
      <c r="B131" s="602" t="s">
        <v>35</v>
      </c>
      <c r="C131" s="615">
        <f t="array" ref="C131">INDEX(AccountCodes[PPSAS CODE],MATCH(B131,AccountCodes[NGAS CODE],0))</f>
        <v>1990201000</v>
      </c>
      <c r="D131" s="616">
        <f>IF(INDEX(AccountCodes[Normal Balance], MATCH(C131,AccountCodes[PPSAS CODE]))="Debit",E131-F131,0)</f>
        <v>0</v>
      </c>
      <c r="E131" s="488">
        <f t="array" ref="E131">(SUM(IF((PostTB[Account Code (Old)]=B131),(PostTB[Debit])))+(SUM(IF((CkDJ[Account Code]=B131)*(CkDJ[Date]&lt;=$A$7),(CkDJ[Debit])))+(SUM(IF((CsDJ[Account Code]=B131)*(CsDJ[Date]&lt;=$A$7),(CsDJ[Debit])))+(SUM(IF((CRDJ[Account Code]=B131)*(CRDJ[Date]&lt;=$A$7),(CRDJ[Debit])))+(SUM(IF((GJ[Account Code]=B131)*(GJ[Date]&lt;=$A$7),(GJ[Debit]))))))))</f>
        <v>0</v>
      </c>
      <c r="F131" s="490">
        <f t="array" ref="F131">(SUM(IF((PostTB[Account Code (Old)]=B131),(PostTB[Credit])))+(SUM(IF((CkDJ[Account Code]=B131)*(CkDJ[Date]&lt;=$A$7),(CkDJ[Credit])))+(SUM(IF((CsDJ[Account Code]=B131)*(CsDJ[Date]&lt;=$A$7),(CsDJ[Credit])))+(SUM(IF((CRDJ[Account Code]=B131)*(CRDJ[Date]&lt;=$A$7),(CRDJ[Credit])))+(SUM(IF((GJ[Account Code]=B131)*(GJ[Date]&lt;=$A$7),(GJ[Credit]))))))))</f>
        <v>0</v>
      </c>
      <c r="G131" s="620">
        <f>IF(INDEX(AccountCodes[Normal Balance], MATCH(C131,AccountCodes[PPSAS CODE]))="Credit",F131-E131,0)</f>
        <v>0</v>
      </c>
      <c r="H131" s="621">
        <f t="shared" si="1"/>
        <v>0</v>
      </c>
    </row>
    <row r="132" spans="1:8" ht="15.75" hidden="1" x14ac:dyDescent="0.25">
      <c r="A132" s="613" t="str">
        <f t="array" ref="A132">INDEX(AccountCodes[ACCOUNT NAME],MATCH(B132,AccountCodes[NGAS CODE],0))</f>
        <v>Prepaid Rent</v>
      </c>
      <c r="B132" s="602" t="s">
        <v>33</v>
      </c>
      <c r="C132" s="615">
        <f t="array" ref="C132">INDEX(AccountCodes[PPSAS CODE],MATCH(B132,AccountCodes[NGAS CODE],0))</f>
        <v>1990202000</v>
      </c>
      <c r="D132" s="616">
        <f>IF(INDEX(AccountCodes[Normal Balance], MATCH(C132,AccountCodes[PPSAS CODE]))="Debit",E132-F132,0)</f>
        <v>0</v>
      </c>
      <c r="E132" s="488">
        <f t="array" ref="E132">(SUM(IF((PostTB[Account Code (Old)]=B132),(PostTB[Debit])))+(SUM(IF((CkDJ[Account Code]=B132)*(CkDJ[Date]&lt;=$A$7),(CkDJ[Debit])))+(SUM(IF((CsDJ[Account Code]=B132)*(CsDJ[Date]&lt;=$A$7),(CsDJ[Debit])))+(SUM(IF((CRDJ[Account Code]=B132)*(CRDJ[Date]&lt;=$A$7),(CRDJ[Debit])))+(SUM(IF((GJ[Account Code]=B132)*(GJ[Date]&lt;=$A$7),(GJ[Debit]))))))))</f>
        <v>0</v>
      </c>
      <c r="F132" s="490">
        <f t="array" ref="F132">(SUM(IF((PostTB[Account Code (Old)]=B132),(PostTB[Credit])))+(SUM(IF((CkDJ[Account Code]=B132)*(CkDJ[Date]&lt;=$A$7),(CkDJ[Credit])))+(SUM(IF((CsDJ[Account Code]=B132)*(CsDJ[Date]&lt;=$A$7),(CsDJ[Credit])))+(SUM(IF((CRDJ[Account Code]=B132)*(CRDJ[Date]&lt;=$A$7),(CRDJ[Credit])))+(SUM(IF((GJ[Account Code]=B132)*(GJ[Date]&lt;=$A$7),(GJ[Credit]))))))))</f>
        <v>0</v>
      </c>
      <c r="G132" s="620">
        <f>IF(INDEX(AccountCodes[Normal Balance], MATCH(C132,AccountCodes[PPSAS CODE]))="Credit",F132-E132,0)</f>
        <v>0</v>
      </c>
      <c r="H132" s="621">
        <f t="shared" si="1"/>
        <v>0</v>
      </c>
    </row>
    <row r="133" spans="1:8" ht="15.75" hidden="1" x14ac:dyDescent="0.25">
      <c r="A133" s="613" t="str">
        <f t="array" ref="A133">INDEX(AccountCodes[ACCOUNT NAME],MATCH(B133,AccountCodes[NGAS CODE],0))</f>
        <v>Prepaid Insurance</v>
      </c>
      <c r="B133" s="602" t="s">
        <v>1224</v>
      </c>
      <c r="C133" s="615">
        <f t="array" ref="C133">INDEX(AccountCodes[PPSAS CODE],MATCH(B133,AccountCodes[NGAS CODE],0))</f>
        <v>1990205000</v>
      </c>
      <c r="D133" s="616">
        <f>IF(INDEX(AccountCodes[Normal Balance], MATCH(C133,AccountCodes[PPSAS CODE]))="Debit",E133-F133,0)</f>
        <v>0</v>
      </c>
      <c r="E133" s="488">
        <f t="array" ref="E133">(SUM(IF((PostTB[Account Code (Old)]=B133),(PostTB[Debit])))+(SUM(IF((CkDJ[Account Code]=B133)*(CkDJ[Date]&lt;=$A$7),(CkDJ[Debit])))+(SUM(IF((CsDJ[Account Code]=B133)*(CsDJ[Date]&lt;=$A$7),(CsDJ[Debit])))+(SUM(IF((CRDJ[Account Code]=B133)*(CRDJ[Date]&lt;=$A$7),(CRDJ[Debit])))+(SUM(IF((GJ[Account Code]=B133)*(GJ[Date]&lt;=$A$7),(GJ[Debit]))))))))</f>
        <v>0</v>
      </c>
      <c r="F133" s="490">
        <f t="array" ref="F133">(SUM(IF((PostTB[Account Code (Old)]=B133),(PostTB[Credit])))+(SUM(IF((CkDJ[Account Code]=B133)*(CkDJ[Date]&lt;=$A$7),(CkDJ[Credit])))+(SUM(IF((CsDJ[Account Code]=B133)*(CsDJ[Date]&lt;=$A$7),(CsDJ[Credit])))+(SUM(IF((CRDJ[Account Code]=B133)*(CRDJ[Date]&lt;=$A$7),(CRDJ[Credit])))+(SUM(IF((GJ[Account Code]=B133)*(GJ[Date]&lt;=$A$7),(GJ[Credit]))))))))</f>
        <v>0</v>
      </c>
      <c r="G133" s="620">
        <f>IF(INDEX(AccountCodes[Normal Balance], MATCH(C133,AccountCodes[PPSAS CODE]))="Credit",F133-E133,0)</f>
        <v>0</v>
      </c>
      <c r="H133" s="621">
        <f t="shared" si="1"/>
        <v>0</v>
      </c>
    </row>
    <row r="134" spans="1:8" ht="15.75" hidden="1" x14ac:dyDescent="0.25">
      <c r="A134" s="613" t="str">
        <f t="array" ref="A134">INDEX(AccountCodes[ACCOUNT NAME],MATCH(B134,AccountCodes[NGAS CODE],0))</f>
        <v>Other Prepayments</v>
      </c>
      <c r="B134" s="602" t="s">
        <v>36</v>
      </c>
      <c r="C134" s="615">
        <f t="array" ref="C134">INDEX(AccountCodes[PPSAS CODE],MATCH(B134,AccountCodes[NGAS CODE],0))</f>
        <v>1990299000</v>
      </c>
      <c r="D134" s="616">
        <f>IF(INDEX(AccountCodes[Normal Balance], MATCH(C134,AccountCodes[PPSAS CODE]))="Debit",E134-F134,0)</f>
        <v>0</v>
      </c>
      <c r="E134" s="488">
        <f t="array" ref="E134">(SUM(IF((PostTB[Account Code (Old)]=B134),(PostTB[Debit])))+(SUM(IF((CkDJ[Account Code]=B134)*(CkDJ[Date]&lt;=$A$7),(CkDJ[Debit])))+(SUM(IF((CsDJ[Account Code]=B134)*(CsDJ[Date]&lt;=$A$7),(CsDJ[Debit])))+(SUM(IF((CRDJ[Account Code]=B134)*(CRDJ[Date]&lt;=$A$7),(CRDJ[Debit])))+(SUM(IF((GJ[Account Code]=B134)*(GJ[Date]&lt;=$A$7),(GJ[Debit]))))))))</f>
        <v>0</v>
      </c>
      <c r="F134" s="490">
        <f t="array" ref="F134">(SUM(IF((PostTB[Account Code (Old)]=B134),(PostTB[Credit])))+(SUM(IF((CkDJ[Account Code]=B134)*(CkDJ[Date]&lt;=$A$7),(CkDJ[Credit])))+(SUM(IF((CsDJ[Account Code]=B134)*(CsDJ[Date]&lt;=$A$7),(CsDJ[Credit])))+(SUM(IF((CRDJ[Account Code]=B134)*(CRDJ[Date]&lt;=$A$7),(CRDJ[Credit])))+(SUM(IF((GJ[Account Code]=B134)*(GJ[Date]&lt;=$A$7),(GJ[Credit]))))))))</f>
        <v>0</v>
      </c>
      <c r="G134" s="620">
        <f>IF(INDEX(AccountCodes[Normal Balance], MATCH(C134,AccountCodes[PPSAS CODE]))="Credit",F134-E134,0)</f>
        <v>0</v>
      </c>
      <c r="H134" s="621">
        <f t="shared" si="1"/>
        <v>0</v>
      </c>
    </row>
    <row r="135" spans="1:8" ht="15.75" hidden="1" x14ac:dyDescent="0.25">
      <c r="A135" s="613" t="str">
        <f t="array" ref="A135">INDEX(AccountCodes[ACCOUNT NAME],MATCH(B135,AccountCodes[NGAS CODE],0))</f>
        <v>Deposit on Letters of Credit</v>
      </c>
      <c r="B135" s="602" t="s">
        <v>34</v>
      </c>
      <c r="C135" s="615">
        <f t="array" ref="C135">INDEX(AccountCodes[PPSAS CODE],MATCH(B135,AccountCodes[NGAS CODE],0))</f>
        <v>1990301000</v>
      </c>
      <c r="D135" s="616">
        <f>IF(INDEX(AccountCodes[Normal Balance], MATCH(C135,AccountCodes[PPSAS CODE]))="Debit",E135-F135,0)</f>
        <v>0</v>
      </c>
      <c r="E135" s="488">
        <f t="array" ref="E135">(SUM(IF((PostTB[Account Code (Old)]=B135),(PostTB[Debit])))+(SUM(IF((CkDJ[Account Code]=B135)*(CkDJ[Date]&lt;=$A$7),(CkDJ[Debit])))+(SUM(IF((CsDJ[Account Code]=B135)*(CsDJ[Date]&lt;=$A$7),(CsDJ[Debit])))+(SUM(IF((CRDJ[Account Code]=B135)*(CRDJ[Date]&lt;=$A$7),(CRDJ[Debit])))+(SUM(IF((GJ[Account Code]=B135)*(GJ[Date]&lt;=$A$7),(GJ[Debit]))))))))</f>
        <v>0</v>
      </c>
      <c r="F135" s="490">
        <f t="array" ref="F135">(SUM(IF((PostTB[Account Code (Old)]=B135),(PostTB[Credit])))+(SUM(IF((CkDJ[Account Code]=B135)*(CkDJ[Date]&lt;=$A$7),(CkDJ[Credit])))+(SUM(IF((CsDJ[Account Code]=B135)*(CsDJ[Date]&lt;=$A$7),(CsDJ[Credit])))+(SUM(IF((CRDJ[Account Code]=B135)*(CRDJ[Date]&lt;=$A$7),(CRDJ[Credit])))+(SUM(IF((GJ[Account Code]=B135)*(GJ[Date]&lt;=$A$7),(GJ[Credit]))))))))</f>
        <v>0</v>
      </c>
      <c r="G135" s="620">
        <f>IF(INDEX(AccountCodes[Normal Balance], MATCH(C135,AccountCodes[PPSAS CODE]))="Credit",F135-E135,0)</f>
        <v>0</v>
      </c>
      <c r="H135" s="621">
        <f t="shared" si="1"/>
        <v>0</v>
      </c>
    </row>
    <row r="136" spans="1:8" ht="15.75" hidden="1" x14ac:dyDescent="0.25">
      <c r="A136" s="613" t="str">
        <f t="array" ref="A136">INDEX(AccountCodes[ACCOUNT NAME],MATCH(B136,AccountCodes[NGAS CODE],0))</f>
        <v>Guaranty Deposits</v>
      </c>
      <c r="B136" s="602" t="s">
        <v>37</v>
      </c>
      <c r="C136" s="615">
        <f t="array" ref="C136">INDEX(AccountCodes[PPSAS CODE],MATCH(B136,AccountCodes[NGAS CODE],0))</f>
        <v>1990302000</v>
      </c>
      <c r="D136" s="616">
        <f>IF(INDEX(AccountCodes[Normal Balance], MATCH(C136,AccountCodes[PPSAS CODE]))="Debit",E136-F136,0)</f>
        <v>0</v>
      </c>
      <c r="E136" s="488">
        <f t="array" ref="E136">(SUM(IF((PostTB[Account Code (Old)]=B136),(PostTB[Debit])))+(SUM(IF((CkDJ[Account Code]=B136)*(CkDJ[Date]&lt;=$A$7),(CkDJ[Debit])))+(SUM(IF((CsDJ[Account Code]=B136)*(CsDJ[Date]&lt;=$A$7),(CsDJ[Debit])))+(SUM(IF((CRDJ[Account Code]=B136)*(CRDJ[Date]&lt;=$A$7),(CRDJ[Debit])))+(SUM(IF((GJ[Account Code]=B136)*(GJ[Date]&lt;=$A$7),(GJ[Debit]))))))))</f>
        <v>0</v>
      </c>
      <c r="F136" s="490">
        <f t="array" ref="F136">(SUM(IF((PostTB[Account Code (Old)]=B136),(PostTB[Credit])))+(SUM(IF((CkDJ[Account Code]=B136)*(CkDJ[Date]&lt;=$A$7),(CkDJ[Credit])))+(SUM(IF((CsDJ[Account Code]=B136)*(CsDJ[Date]&lt;=$A$7),(CsDJ[Credit])))+(SUM(IF((CRDJ[Account Code]=B136)*(CRDJ[Date]&lt;=$A$7),(CRDJ[Credit])))+(SUM(IF((GJ[Account Code]=B136)*(GJ[Date]&lt;=$A$7),(GJ[Credit]))))))))</f>
        <v>0</v>
      </c>
      <c r="G136" s="620">
        <f>IF(INDEX(AccountCodes[Normal Balance], MATCH(C136,AccountCodes[PPSAS CODE]))="Credit",F136-E136,0)</f>
        <v>0</v>
      </c>
      <c r="H136" s="621">
        <f t="shared" si="1"/>
        <v>0</v>
      </c>
    </row>
    <row r="137" spans="1:8" ht="15.75" hidden="1" x14ac:dyDescent="0.25">
      <c r="A137" s="613" t="str">
        <f t="array" ref="A137">INDEX(AccountCodes[ACCOUNT NAME],MATCH(B137,AccountCodes[NGAS CODE],0))</f>
        <v>Other Assets</v>
      </c>
      <c r="B137" s="602" t="s">
        <v>83</v>
      </c>
      <c r="C137" s="615">
        <f t="array" ref="C137">INDEX(AccountCodes[PPSAS CODE],MATCH(B137,AccountCodes[NGAS CODE],0))</f>
        <v>1999999000</v>
      </c>
      <c r="D137" s="616">
        <f>IF(INDEX(AccountCodes[Normal Balance], MATCH(C137,AccountCodes[PPSAS CODE]))="Debit",E137-F137,0)</f>
        <v>0</v>
      </c>
      <c r="E137" s="488">
        <f t="array" ref="E137">(SUM(IF((PostTB[Account Code (Old)]=B137),(PostTB[Debit])))+(SUM(IF((CkDJ[Account Code]=B137)*(CkDJ[Date]&lt;=$A$7),(CkDJ[Debit])))+(SUM(IF((CsDJ[Account Code]=B137)*(CsDJ[Date]&lt;=$A$7),(CsDJ[Debit])))+(SUM(IF((CRDJ[Account Code]=B137)*(CRDJ[Date]&lt;=$A$7),(CRDJ[Debit])))+(SUM(IF((GJ[Account Code]=B137)*(GJ[Date]&lt;=$A$7),(GJ[Debit]))))))))</f>
        <v>0</v>
      </c>
      <c r="F137" s="490">
        <f t="array" ref="F137">(SUM(IF((PostTB[Account Code (Old)]=B137),(PostTB[Credit])))+(SUM(IF((CkDJ[Account Code]=B137)*(CkDJ[Date]&lt;=$A$7),(CkDJ[Credit])))+(SUM(IF((CsDJ[Account Code]=B137)*(CsDJ[Date]&lt;=$A$7),(CsDJ[Credit])))+(SUM(IF((CRDJ[Account Code]=B137)*(CRDJ[Date]&lt;=$A$7),(CRDJ[Credit])))+(SUM(IF((GJ[Account Code]=B137)*(GJ[Date]&lt;=$A$7),(GJ[Credit]))))))))</f>
        <v>0</v>
      </c>
      <c r="G137" s="620">
        <f>IF(INDEX(AccountCodes[Normal Balance], MATCH(C137,AccountCodes[PPSAS CODE]))="Credit",F137-E137,0)</f>
        <v>0</v>
      </c>
      <c r="H137" s="621">
        <f t="shared" si="1"/>
        <v>0</v>
      </c>
    </row>
    <row r="138" spans="1:8" ht="15.75" hidden="1" x14ac:dyDescent="0.25">
      <c r="A138" s="613" t="str">
        <f t="array" ref="A138">INDEX(AccountCodes[ACCOUNT NAME],MATCH(B138,AccountCodes[NGAS CODE],0))</f>
        <v>Accumulated Impairment Losses-Other Assets</v>
      </c>
      <c r="B138" s="602" t="s">
        <v>509</v>
      </c>
      <c r="C138" s="615">
        <f t="array" ref="C138">INDEX(AccountCodes[PPSAS CODE],MATCH(B138,AccountCodes[NGAS CODE],0))</f>
        <v>1999999100</v>
      </c>
      <c r="D138" s="616">
        <f>IF(INDEX(AccountCodes[Normal Balance], MATCH(C138,AccountCodes[PPSAS CODE]))="Debit",E138-F138,0)</f>
        <v>0</v>
      </c>
      <c r="E138" s="488">
        <f t="array" ref="E138">(SUM(IF((PostTB[Account Code (Old)]=B138),(PostTB[Debit])))+(SUM(IF((CkDJ[Account Code]=B138)*(CkDJ[Date]&lt;=$A$7),(CkDJ[Debit])))+(SUM(IF((CsDJ[Account Code]=B138)*(CsDJ[Date]&lt;=$A$7),(CsDJ[Debit])))+(SUM(IF((CRDJ[Account Code]=B138)*(CRDJ[Date]&lt;=$A$7),(CRDJ[Debit])))+(SUM(IF((GJ[Account Code]=B138)*(GJ[Date]&lt;=$A$7),(GJ[Debit]))))))))</f>
        <v>0</v>
      </c>
      <c r="F138" s="490">
        <f t="array" ref="F138">(SUM(IF((PostTB[Account Code (Old)]=B138),(PostTB[Credit])))+(SUM(IF((CkDJ[Account Code]=B138)*(CkDJ[Date]&lt;=$A$7),(CkDJ[Credit])))+(SUM(IF((CsDJ[Account Code]=B138)*(CsDJ[Date]&lt;=$A$7),(CsDJ[Credit])))+(SUM(IF((CRDJ[Account Code]=B138)*(CRDJ[Date]&lt;=$A$7),(CRDJ[Credit])))+(SUM(IF((GJ[Account Code]=B138)*(GJ[Date]&lt;=$A$7),(GJ[Credit]))))))))</f>
        <v>0</v>
      </c>
      <c r="G138" s="620">
        <f>IF(INDEX(AccountCodes[Normal Balance], MATCH(C138,AccountCodes[PPSAS CODE]))="Credit",F138-E138,0)</f>
        <v>0</v>
      </c>
      <c r="H138" s="621">
        <f t="shared" ref="H138:H207" si="2">IF(D138=0,G138,D138)</f>
        <v>0</v>
      </c>
    </row>
    <row r="139" spans="1:8" ht="15.75" hidden="1" x14ac:dyDescent="0.25">
      <c r="A139" s="613" t="str">
        <f t="array" ref="A139">INDEX(AccountCodes[ACCOUNT NAME],MATCH(B139,AccountCodes[NGAS CODE],0))</f>
        <v>Accounts Payable</v>
      </c>
      <c r="B139" s="602" t="s">
        <v>106</v>
      </c>
      <c r="C139" s="615">
        <f t="array" ref="C139">INDEX(AccountCodes[PPSAS CODE],MATCH(B139,AccountCodes[NGAS CODE],0))</f>
        <v>2010101000</v>
      </c>
      <c r="D139" s="616">
        <f>IF(INDEX(AccountCodes[Normal Balance], MATCH(C139,AccountCodes[PPSAS CODE]))="Debit",E139-F139,0)</f>
        <v>0</v>
      </c>
      <c r="E139" s="488">
        <f t="array" ref="E139">(SUM(IF((PostTB[Account Code (Old)]=B139),(PostTB[Debit])))+(SUM(IF((CkDJ[Account Code]=B139)*(CkDJ[Date]&lt;=$A$7),(CkDJ[Debit])))+(SUM(IF((CsDJ[Account Code]=B139)*(CsDJ[Date]&lt;=$A$7),(CsDJ[Debit])))+(SUM(IF((CRDJ[Account Code]=B139)*(CRDJ[Date]&lt;=$A$7),(CRDJ[Debit])))+(SUM(IF((GJ[Account Code]=B139)*(GJ[Date]&lt;=$A$7),(GJ[Debit]))))))))</f>
        <v>0</v>
      </c>
      <c r="F139" s="490">
        <f t="array" ref="F139">(SUM(IF((PostTB[Account Code (Old)]=B139),(PostTB[Credit])))+(SUM(IF((CkDJ[Account Code]=B139)*(CkDJ[Date]&lt;=$A$7),(CkDJ[Credit])))+(SUM(IF((CsDJ[Account Code]=B139)*(CsDJ[Date]&lt;=$A$7),(CsDJ[Credit])))+(SUM(IF((CRDJ[Account Code]=B139)*(CRDJ[Date]&lt;=$A$7),(CRDJ[Credit])))+(SUM(IF((GJ[Account Code]=B139)*(GJ[Date]&lt;=$A$7),(GJ[Credit]))))))))</f>
        <v>2668086.44</v>
      </c>
      <c r="G139" s="620">
        <f>IF(INDEX(AccountCodes[Normal Balance], MATCH(C139,AccountCodes[PPSAS CODE]))="Credit",F139-E139,0)</f>
        <v>2668086.44</v>
      </c>
      <c r="H139" s="621">
        <f t="shared" si="2"/>
        <v>2668086.44</v>
      </c>
    </row>
    <row r="140" spans="1:8" ht="15.75" hidden="1" x14ac:dyDescent="0.25">
      <c r="A140" s="613" t="str">
        <f t="array" ref="A140">INDEX(AccountCodes[ACCOUNT NAME],MATCH(B140,AccountCodes[NGAS CODE],0))</f>
        <v>Due to Officers and Employees</v>
      </c>
      <c r="B140" s="602" t="s">
        <v>108</v>
      </c>
      <c r="C140" s="615">
        <f t="array" ref="C140">INDEX(AccountCodes[PPSAS CODE],MATCH(B140,AccountCodes[NGAS CODE],0))</f>
        <v>2010102000</v>
      </c>
      <c r="D140" s="616">
        <f>IF(INDEX(AccountCodes[Normal Balance], MATCH(C140,AccountCodes[PPSAS CODE]))="Debit",E140-F140,0)</f>
        <v>0</v>
      </c>
      <c r="E140" s="488">
        <f t="array" ref="E140">(SUM(IF((PostTB[Account Code (Old)]=B140),(PostTB[Debit])))+(SUM(IF((CkDJ[Account Code]=B140)*(CkDJ[Date]&lt;=$A$7),(CkDJ[Debit])))+(SUM(IF((CsDJ[Account Code]=B140)*(CsDJ[Date]&lt;=$A$7),(CsDJ[Debit])))+(SUM(IF((CRDJ[Account Code]=B140)*(CRDJ[Date]&lt;=$A$7),(CRDJ[Debit])))+(SUM(IF((GJ[Account Code]=B140)*(GJ[Date]&lt;=$A$7),(GJ[Debit]))))))))</f>
        <v>0</v>
      </c>
      <c r="F140" s="490">
        <f t="array" ref="F140">(SUM(IF((PostTB[Account Code (Old)]=B140),(PostTB[Credit])))+(SUM(IF((CkDJ[Account Code]=B140)*(CkDJ[Date]&lt;=$A$7),(CkDJ[Credit])))+(SUM(IF((CsDJ[Account Code]=B140)*(CsDJ[Date]&lt;=$A$7),(CsDJ[Credit])))+(SUM(IF((CRDJ[Account Code]=B140)*(CRDJ[Date]&lt;=$A$7),(CRDJ[Credit])))+(SUM(IF((GJ[Account Code]=B140)*(GJ[Date]&lt;=$A$7),(GJ[Credit]))))))))</f>
        <v>0</v>
      </c>
      <c r="G140" s="620">
        <f>IF(INDEX(AccountCodes[Normal Balance], MATCH(C140,AccountCodes[PPSAS CODE]))="Credit",F140-E140,0)</f>
        <v>0</v>
      </c>
      <c r="H140" s="621">
        <f t="shared" si="2"/>
        <v>0</v>
      </c>
    </row>
    <row r="141" spans="1:8" ht="15.75" hidden="1" x14ac:dyDescent="0.25">
      <c r="A141" s="613" t="str">
        <f t="array" ref="A141">INDEX(AccountCodes[ACCOUNT NAME],MATCH(B141,AccountCodes[NGAS CODE],0))</f>
        <v>Notes Payable</v>
      </c>
      <c r="B141" s="602" t="s">
        <v>107</v>
      </c>
      <c r="C141" s="615">
        <f t="array" ref="C141">INDEX(AccountCodes[PPSAS CODE],MATCH(B141,AccountCodes[NGAS CODE],0))</f>
        <v>2010104000</v>
      </c>
      <c r="D141" s="616">
        <f>IF(INDEX(AccountCodes[Normal Balance], MATCH(C141,AccountCodes[PPSAS CODE]))="Debit",E141-F141,0)</f>
        <v>0</v>
      </c>
      <c r="E141" s="488">
        <f t="array" ref="E141">(SUM(IF((PostTB[Account Code (Old)]=B141),(PostTB[Debit])))+(SUM(IF((CkDJ[Account Code]=B141)*(CkDJ[Date]&lt;=$A$7),(CkDJ[Debit])))+(SUM(IF((CsDJ[Account Code]=B141)*(CsDJ[Date]&lt;=$A$7),(CsDJ[Debit])))+(SUM(IF((CRDJ[Account Code]=B141)*(CRDJ[Date]&lt;=$A$7),(CRDJ[Debit])))+(SUM(IF((GJ[Account Code]=B141)*(GJ[Date]&lt;=$A$7),(GJ[Debit]))))))))</f>
        <v>0</v>
      </c>
      <c r="F141" s="490">
        <f t="array" ref="F141">(SUM(IF((PostTB[Account Code (Old)]=B141),(PostTB[Credit])))+(SUM(IF((CkDJ[Account Code]=B141)*(CkDJ[Date]&lt;=$A$7),(CkDJ[Credit])))+(SUM(IF((CsDJ[Account Code]=B141)*(CsDJ[Date]&lt;=$A$7),(CsDJ[Credit])))+(SUM(IF((CRDJ[Account Code]=B141)*(CRDJ[Date]&lt;=$A$7),(CRDJ[Credit])))+(SUM(IF((GJ[Account Code]=B141)*(GJ[Date]&lt;=$A$7),(GJ[Credit]))))))))</f>
        <v>0</v>
      </c>
      <c r="G141" s="620">
        <f>IF(INDEX(AccountCodes[Normal Balance], MATCH(C141,AccountCodes[PPSAS CODE]))="Credit",F141-E141,0)</f>
        <v>0</v>
      </c>
      <c r="H141" s="621">
        <f t="shared" si="2"/>
        <v>0</v>
      </c>
    </row>
    <row r="142" spans="1:8" ht="15.75" hidden="1" x14ac:dyDescent="0.25">
      <c r="A142" s="613" t="str">
        <f t="array" ref="A142">INDEX(AccountCodes[ACCOUNT NAME],MATCH(B142,AccountCodes[NGAS CODE],0))</f>
        <v>Loans Payable-Domestic</v>
      </c>
      <c r="B142" s="602" t="s">
        <v>118</v>
      </c>
      <c r="C142" s="615">
        <f t="array" ref="C142">INDEX(AccountCodes[PPSAS CODE],MATCH(B142,AccountCodes[NGAS CODE],0))</f>
        <v>2010204000</v>
      </c>
      <c r="D142" s="616">
        <f>IF(INDEX(AccountCodes[Normal Balance], MATCH(C142,AccountCodes[PPSAS CODE]))="Debit",E142-F142,0)</f>
        <v>0</v>
      </c>
      <c r="E142" s="488">
        <f t="array" ref="E142">(SUM(IF((PostTB[Account Code (Old)]=B142),(PostTB[Debit])))+(SUM(IF((CkDJ[Account Code]=B142)*(CkDJ[Date]&lt;=$A$7),(CkDJ[Debit])))+(SUM(IF((CsDJ[Account Code]=B142)*(CsDJ[Date]&lt;=$A$7),(CsDJ[Debit])))+(SUM(IF((CRDJ[Account Code]=B142)*(CRDJ[Date]&lt;=$A$7),(CRDJ[Debit])))+(SUM(IF((GJ[Account Code]=B142)*(GJ[Date]&lt;=$A$7),(GJ[Debit]))))))))</f>
        <v>0</v>
      </c>
      <c r="F142" s="490">
        <f t="array" ref="F142">(SUM(IF((PostTB[Account Code (Old)]=B142),(PostTB[Credit])))+(SUM(IF((CkDJ[Account Code]=B142)*(CkDJ[Date]&lt;=$A$7),(CkDJ[Credit])))+(SUM(IF((CsDJ[Account Code]=B142)*(CsDJ[Date]&lt;=$A$7),(CsDJ[Credit])))+(SUM(IF((CRDJ[Account Code]=B142)*(CRDJ[Date]&lt;=$A$7),(CRDJ[Credit])))+(SUM(IF((GJ[Account Code]=B142)*(GJ[Date]&lt;=$A$7),(GJ[Credit]))))))))</f>
        <v>0</v>
      </c>
      <c r="G142" s="620">
        <f>IF(INDEX(AccountCodes[Normal Balance], MATCH(C142,AccountCodes[PPSAS CODE]))="Credit",F142-E142,0)</f>
        <v>0</v>
      </c>
      <c r="H142" s="621">
        <f t="shared" si="2"/>
        <v>0</v>
      </c>
    </row>
    <row r="143" spans="1:8" ht="15.75" hidden="1" x14ac:dyDescent="0.25">
      <c r="A143" s="613" t="str">
        <f t="array" ref="A143">INDEX(AccountCodes[ACCOUNT NAME],MATCH(B143,AccountCodes[NGAS CODE],0))</f>
        <v>Loans Payable-Foreign</v>
      </c>
      <c r="B143" s="602" t="s">
        <v>119</v>
      </c>
      <c r="C143" s="615">
        <f t="array" ref="C143">INDEX(AccountCodes[PPSAS CODE],MATCH(B143,AccountCodes[NGAS CODE],0))</f>
        <v>2010205000</v>
      </c>
      <c r="D143" s="616">
        <f>IF(INDEX(AccountCodes[Normal Balance], MATCH(C143,AccountCodes[PPSAS CODE]))="Debit",E143-F143,0)</f>
        <v>0</v>
      </c>
      <c r="E143" s="488">
        <f t="array" ref="E143">(SUM(IF((PostTB[Account Code (Old)]=B143),(PostTB[Debit])))+(SUM(IF((CkDJ[Account Code]=B143)*(CkDJ[Date]&lt;=$A$7),(CkDJ[Debit])))+(SUM(IF((CsDJ[Account Code]=B143)*(CsDJ[Date]&lt;=$A$7),(CsDJ[Debit])))+(SUM(IF((CRDJ[Account Code]=B143)*(CRDJ[Date]&lt;=$A$7),(CRDJ[Debit])))+(SUM(IF((GJ[Account Code]=B143)*(GJ[Date]&lt;=$A$7),(GJ[Debit]))))))))</f>
        <v>0</v>
      </c>
      <c r="F143" s="490">
        <f t="array" ref="F143">(SUM(IF((PostTB[Account Code (Old)]=B143),(PostTB[Credit])))+(SUM(IF((CkDJ[Account Code]=B143)*(CkDJ[Date]&lt;=$A$7),(CkDJ[Credit])))+(SUM(IF((CsDJ[Account Code]=B143)*(CsDJ[Date]&lt;=$A$7),(CsDJ[Credit])))+(SUM(IF((CRDJ[Account Code]=B143)*(CRDJ[Date]&lt;=$A$7),(CRDJ[Credit])))+(SUM(IF((GJ[Account Code]=B143)*(GJ[Date]&lt;=$A$7),(GJ[Credit]))))))))</f>
        <v>0</v>
      </c>
      <c r="G143" s="620">
        <f>IF(INDEX(AccountCodes[Normal Balance], MATCH(C143,AccountCodes[PPSAS CODE]))="Credit",F143-E143,0)</f>
        <v>0</v>
      </c>
      <c r="H143" s="621">
        <f t="shared" si="2"/>
        <v>0</v>
      </c>
    </row>
    <row r="144" spans="1:8" ht="15.75" x14ac:dyDescent="0.25">
      <c r="A144" s="613" t="str">
        <f t="array" ref="A144">INDEX(AccountCodes[ACCOUNT NAME],MATCH(B144,AccountCodes[NGAS CODE],0))</f>
        <v>Due to the Treasurer of the Philippines</v>
      </c>
      <c r="B144" s="602" t="s">
        <v>1496</v>
      </c>
      <c r="C144" s="615">
        <f t="array" ref="C144">INDEX(AccountCodes[PPSAS CODE],MATCH(B144,AccountCodes[NGAS CODE],0))</f>
        <v>2020109000</v>
      </c>
      <c r="D144" s="616">
        <f>IF(INDEX(AccountCodes[Normal Balance], MATCH(C144,AccountCodes[PPSAS CODE]))="Debit",E144-F144,0)</f>
        <v>0</v>
      </c>
      <c r="E144" s="488">
        <f t="array" ref="E144">(SUM(IF((PostTB[Account Code (Old)]=B144),(PostTB[Debit])))+(SUM(IF((CkDJ[Account Code]=B144)*(CkDJ[Date]&lt;=$A$7),(CkDJ[Debit])))+(SUM(IF((CsDJ[Account Code]=B144)*(CsDJ[Date]&lt;=$A$7),(CsDJ[Debit])))+(SUM(IF((CRDJ[Account Code]=B144)*(CRDJ[Date]&lt;=$A$7),(CRDJ[Debit])))+(SUM(IF((GJ[Account Code]=B144)*(GJ[Date]&lt;=$A$7),(GJ[Debit]))))))))</f>
        <v>0</v>
      </c>
      <c r="F144" s="490">
        <f t="array" ref="F144">(SUM(IF((PostTB[Account Code (Old)]=B144),(PostTB[Credit])))+(SUM(IF((CkDJ[Account Code]=B144)*(CkDJ[Date]&lt;=$A$7),(CkDJ[Credit])))+(SUM(IF((CsDJ[Account Code]=B144)*(CsDJ[Date]&lt;=$A$7),(CsDJ[Credit])))+(SUM(IF((CRDJ[Account Code]=B144)*(CRDJ[Date]&lt;=$A$7),(CRDJ[Credit])))+(SUM(IF((GJ[Account Code]=B144)*(GJ[Date]&lt;=$A$7),(GJ[Credit]))))))))</f>
        <v>3852.23</v>
      </c>
      <c r="G144" s="620">
        <f>IF(INDEX(AccountCodes[Normal Balance], MATCH(C144,AccountCodes[PPSAS CODE]))="Credit",F144-E144,0)</f>
        <v>3852.23</v>
      </c>
      <c r="H144" s="621">
        <f t="shared" si="2"/>
        <v>3852.23</v>
      </c>
    </row>
    <row r="145" spans="1:8" ht="15.75" hidden="1" x14ac:dyDescent="0.25">
      <c r="A145" s="613" t="str">
        <f t="array" ref="A145">INDEX(AccountCodes[ACCOUNT NAME],MATCH(B145,AccountCodes[NGAS CODE],0))</f>
        <v>Due to BIR</v>
      </c>
      <c r="B145" s="602" t="s">
        <v>109</v>
      </c>
      <c r="C145" s="615">
        <f t="array" ref="C145">INDEX(AccountCodes[PPSAS CODE],MATCH(B145,AccountCodes[NGAS CODE],0))</f>
        <v>2020101000</v>
      </c>
      <c r="D145" s="616">
        <f>IF(INDEX(AccountCodes[Normal Balance], MATCH(C145,AccountCodes[PPSAS CODE]))="Debit",E145-F145,0)</f>
        <v>0</v>
      </c>
      <c r="E145" s="488">
        <f t="array" ref="E145">(SUM(IF((PostTB[Account Code (Old)]=B145),(PostTB[Debit])))+(SUM(IF((CkDJ[Account Code]=B145)*(CkDJ[Date]&lt;=$A$7),(CkDJ[Debit])))+(SUM(IF((CsDJ[Account Code]=B145)*(CsDJ[Date]&lt;=$A$7),(CsDJ[Debit])))+(SUM(IF((CRDJ[Account Code]=B145)*(CRDJ[Date]&lt;=$A$7),(CRDJ[Debit])))+(SUM(IF((GJ[Account Code]=B145)*(GJ[Date]&lt;=$A$7),(GJ[Debit]))))))))</f>
        <v>0</v>
      </c>
      <c r="F145" s="490">
        <f t="array" ref="F145">(SUM(IF((PostTB[Account Code (Old)]=B145),(PostTB[Credit])))+(SUM(IF((CkDJ[Account Code]=B145)*(CkDJ[Date]&lt;=$A$7),(CkDJ[Credit])))+(SUM(IF((CsDJ[Account Code]=B145)*(CsDJ[Date]&lt;=$A$7),(CsDJ[Credit])))+(SUM(IF((CRDJ[Account Code]=B145)*(CRDJ[Date]&lt;=$A$7),(CRDJ[Credit])))+(SUM(IF((GJ[Account Code]=B145)*(GJ[Date]&lt;=$A$7),(GJ[Credit]))))))))</f>
        <v>0</v>
      </c>
      <c r="G145" s="620">
        <f>IF(INDEX(AccountCodes[Normal Balance], MATCH(C145,AccountCodes[PPSAS CODE]))="Credit",F145-E145,0)</f>
        <v>0</v>
      </c>
      <c r="H145" s="621">
        <f t="shared" si="2"/>
        <v>0</v>
      </c>
    </row>
    <row r="146" spans="1:8" ht="15.75" x14ac:dyDescent="0.25">
      <c r="A146" s="643" t="str">
        <f t="array" ref="A146">INDEX(AccountCodes[ACCOUNT NAME],MATCH(B146,AccountCodes[NGAS CODE],0))</f>
        <v>Due to BIR - Compensation</v>
      </c>
      <c r="B146" s="636" t="s">
        <v>1546</v>
      </c>
      <c r="C146" s="644">
        <f t="array" ref="C146">INDEX(AccountCodes[PPSAS CODE],MATCH(B146,AccountCodes[NGAS CODE],0))</f>
        <v>2020101001</v>
      </c>
      <c r="D146" s="645">
        <f>IF(INDEX(AccountCodes[Normal Balance], MATCH(C146,AccountCodes[PPSAS CODE]))="Debit",E146-F146,0)</f>
        <v>0</v>
      </c>
      <c r="E146" s="646">
        <f t="array" ref="E146">(SUM(IF((PostTB[Account Code (Old)]=B146),(PostTB[Debit])))+(SUM(IF((CkDJ[Account Code]=B146)*(CkDJ[Date]&lt;=$A$7),(CkDJ[Debit])))+(SUM(IF((CsDJ[Account Code]=B146)*(CsDJ[Date]&lt;=$A$7),(CsDJ[Debit])))+(SUM(IF((CRDJ[Account Code]=B146)*(CRDJ[Date]&lt;=$A$7),(CRDJ[Debit])))+(SUM(IF((GJ[Account Code]=B146)*(GJ[Date]&lt;=$A$7),(GJ[Debit]))))))))</f>
        <v>0.01</v>
      </c>
      <c r="F146" s="647">
        <f t="array" ref="F146">(SUM(IF((PostTB[Account Code (Old)]=B146),(PostTB[Credit])))+(SUM(IF((CkDJ[Account Code]=B146)*(CkDJ[Date]&lt;=$A$7),(CkDJ[Credit])))+(SUM(IF((CsDJ[Account Code]=B146)*(CsDJ[Date]&lt;=$A$7),(CsDJ[Credit])))+(SUM(IF((CRDJ[Account Code]=B146)*(CRDJ[Date]&lt;=$A$7),(CRDJ[Credit])))+(SUM(IF((GJ[Account Code]=B146)*(GJ[Date]&lt;=$A$7),(GJ[Credit]))))))))</f>
        <v>870.06</v>
      </c>
      <c r="G146" s="648">
        <f>IF(INDEX(AccountCodes[Normal Balance], MATCH(C146,AccountCodes[PPSAS CODE]))="Credit",F146-E146,0)</f>
        <v>870.05</v>
      </c>
      <c r="H146" s="649">
        <f>IF(D146=0,G146,D146)</f>
        <v>870.05</v>
      </c>
    </row>
    <row r="147" spans="1:8" ht="15.75" x14ac:dyDescent="0.25">
      <c r="A147" s="643" t="str">
        <f t="array" ref="A147">INDEX(AccountCodes[ACCOUNT NAME],MATCH(B147,AccountCodes[NGAS CODE],0))</f>
        <v>Due to BIR - 5%</v>
      </c>
      <c r="B147" s="636" t="s">
        <v>1548</v>
      </c>
      <c r="C147" s="637">
        <f t="array" ref="C147">INDEX(AccountCodes[PPSAS CODE],MATCH(B147,AccountCodes[NGAS CODE],0))</f>
        <v>2020101002</v>
      </c>
      <c r="D147" s="638">
        <f>IF(INDEX(AccountCodes[Normal Balance], MATCH(C147,AccountCodes[PPSAS CODE]))="Debit",E147-F147,0)</f>
        <v>0</v>
      </c>
      <c r="E147" s="639">
        <f t="array" ref="E147">(SUM(IF((PostTB[Account Code (Old)]=B147),(PostTB[Debit])))+(SUM(IF((CkDJ[Account Code]=B147)*(CkDJ[Date]&lt;=$A$7),(CkDJ[Debit])))+(SUM(IF((CsDJ[Account Code]=B147)*(CsDJ[Date]&lt;=$A$7),(CsDJ[Debit])))+(SUM(IF((CRDJ[Account Code]=B147)*(CRDJ[Date]&lt;=$A$7),(CRDJ[Debit])))+(SUM(IF((GJ[Account Code]=B147)*(GJ[Date]&lt;=$A$7),(GJ[Debit]))))))))</f>
        <v>0</v>
      </c>
      <c r="F147" s="640">
        <f t="array" ref="F147">(SUM(IF((PostTB[Account Code (Old)]=B147),(PostTB[Credit])))+(SUM(IF((CkDJ[Account Code]=B147)*(CkDJ[Date]&lt;=$A$7),(CkDJ[Credit])))+(SUM(IF((CsDJ[Account Code]=B147)*(CsDJ[Date]&lt;=$A$7),(CsDJ[Credit])))+(SUM(IF((CRDJ[Account Code]=B147)*(CRDJ[Date]&lt;=$A$7),(CRDJ[Credit])))+(SUM(IF((GJ[Account Code]=B147)*(GJ[Date]&lt;=$A$7),(GJ[Credit]))))))))</f>
        <v>7649.33</v>
      </c>
      <c r="G147" s="641">
        <f>IF(INDEX(AccountCodes[Normal Balance], MATCH(C147,AccountCodes[PPSAS CODE]))="Credit",F147-E147,0)</f>
        <v>7649.33</v>
      </c>
      <c r="H147" s="642">
        <f>IF(D147=0,G147,D147)</f>
        <v>7649.33</v>
      </c>
    </row>
    <row r="148" spans="1:8" ht="15.75" x14ac:dyDescent="0.25">
      <c r="A148" s="643" t="str">
        <f t="array" ref="A148">INDEX(AccountCodes[ACCOUNT NAME],MATCH(B148,AccountCodes[NGAS CODE],0))</f>
        <v>Due to BIR - 3%</v>
      </c>
      <c r="B148" s="636" t="s">
        <v>1549</v>
      </c>
      <c r="C148" s="637">
        <f t="array" ref="C148">INDEX(AccountCodes[PPSAS CODE],MATCH(B148,AccountCodes[NGAS CODE],0))</f>
        <v>2020101003</v>
      </c>
      <c r="D148" s="638">
        <f>IF(INDEX(AccountCodes[Normal Balance], MATCH(C148,AccountCodes[PPSAS CODE]))="Debit",E148-F148,0)</f>
        <v>0</v>
      </c>
      <c r="E148" s="639">
        <f t="array" ref="E148">(SUM(IF((PostTB[Account Code (Old)]=B148),(PostTB[Debit])))+(SUM(IF((CkDJ[Account Code]=B148)*(CkDJ[Date]&lt;=$A$7),(CkDJ[Debit])))+(SUM(IF((CsDJ[Account Code]=B148)*(CsDJ[Date]&lt;=$A$7),(CsDJ[Debit])))+(SUM(IF((CRDJ[Account Code]=B148)*(CRDJ[Date]&lt;=$A$7),(CRDJ[Debit])))+(SUM(IF((GJ[Account Code]=B148)*(GJ[Date]&lt;=$A$7),(GJ[Debit]))))))))</f>
        <v>0</v>
      </c>
      <c r="F148" s="640">
        <f t="array" ref="F148">(SUM(IF((PostTB[Account Code (Old)]=B148),(PostTB[Credit])))+(SUM(IF((CkDJ[Account Code]=B148)*(CkDJ[Date]&lt;=$A$7),(CkDJ[Credit])))+(SUM(IF((CsDJ[Account Code]=B148)*(CsDJ[Date]&lt;=$A$7),(CsDJ[Credit])))+(SUM(IF((CRDJ[Account Code]=B148)*(CRDJ[Date]&lt;=$A$7),(CRDJ[Credit])))+(SUM(IF((GJ[Account Code]=B148)*(GJ[Date]&lt;=$A$7),(GJ[Credit]))))))))</f>
        <v>0</v>
      </c>
      <c r="G148" s="641">
        <f>IF(INDEX(AccountCodes[Normal Balance], MATCH(C148,AccountCodes[PPSAS CODE]))="Credit",F148-E148,0)</f>
        <v>0</v>
      </c>
      <c r="H148" s="642">
        <f>IF(D148=0,G148,D148)</f>
        <v>0</v>
      </c>
    </row>
    <row r="149" spans="1:8" ht="15.75" x14ac:dyDescent="0.25">
      <c r="A149" s="643" t="str">
        <f t="array" ref="A149">INDEX(AccountCodes[ACCOUNT NAME],MATCH(B149,AccountCodes[NGAS CODE],0))</f>
        <v>Due to BIR - 2%</v>
      </c>
      <c r="B149" s="636" t="s">
        <v>1550</v>
      </c>
      <c r="C149" s="637">
        <f t="array" ref="C149">INDEX(AccountCodes[PPSAS CODE],MATCH(B149,AccountCodes[NGAS CODE],0))</f>
        <v>2020101004</v>
      </c>
      <c r="D149" s="638">
        <f>IF(INDEX(AccountCodes[Normal Balance], MATCH(C149,AccountCodes[PPSAS CODE]))="Debit",E149-F149,0)</f>
        <v>0</v>
      </c>
      <c r="E149" s="639">
        <f t="array" ref="E149">(SUM(IF((PostTB[Account Code (Old)]=B149),(PostTB[Debit])))+(SUM(IF((CkDJ[Account Code]=B149)*(CkDJ[Date]&lt;=$A$7),(CkDJ[Debit])))+(SUM(IF((CsDJ[Account Code]=B149)*(CsDJ[Date]&lt;=$A$7),(CsDJ[Debit])))+(SUM(IF((CRDJ[Account Code]=B149)*(CRDJ[Date]&lt;=$A$7),(CRDJ[Debit])))+(SUM(IF((GJ[Account Code]=B149)*(GJ[Date]&lt;=$A$7),(GJ[Debit]))))))))</f>
        <v>0</v>
      </c>
      <c r="F149" s="640">
        <f t="array" ref="F149">(SUM(IF((PostTB[Account Code (Old)]=B149),(PostTB[Credit])))+(SUM(IF((CkDJ[Account Code]=B149)*(CkDJ[Date]&lt;=$A$7),(CkDJ[Credit])))+(SUM(IF((CsDJ[Account Code]=B149)*(CsDJ[Date]&lt;=$A$7),(CsDJ[Credit])))+(SUM(IF((CRDJ[Account Code]=B149)*(CRDJ[Date]&lt;=$A$7),(CRDJ[Credit])))+(SUM(IF((GJ[Account Code]=B149)*(GJ[Date]&lt;=$A$7),(GJ[Credit]))))))))</f>
        <v>0</v>
      </c>
      <c r="G149" s="641">
        <f>IF(INDEX(AccountCodes[Normal Balance], MATCH(C149,AccountCodes[PPSAS CODE]))="Credit",F149-E149,0)</f>
        <v>0</v>
      </c>
      <c r="H149" s="642">
        <f>IF(D149=0,G149,D149)</f>
        <v>0</v>
      </c>
    </row>
    <row r="150" spans="1:8" ht="15.75" x14ac:dyDescent="0.25">
      <c r="A150" s="643" t="str">
        <f t="array" ref="A150">INDEX(AccountCodes[ACCOUNT NAME],MATCH(B150,AccountCodes[NGAS CODE],0))</f>
        <v>Due to BIR - 1%</v>
      </c>
      <c r="B150" s="636" t="s">
        <v>1554</v>
      </c>
      <c r="C150" s="637">
        <f t="array" ref="C150">INDEX(AccountCodes[PPSAS CODE],MATCH(B150,AccountCodes[NGAS CODE],0))</f>
        <v>2020101005</v>
      </c>
      <c r="D150" s="638">
        <f>IF(INDEX(AccountCodes[Normal Balance], MATCH(C150,AccountCodes[PPSAS CODE]))="Debit",E150-F150,0)</f>
        <v>0</v>
      </c>
      <c r="E150" s="639">
        <f t="array" ref="E150">(SUM(IF((PostTB[Account Code (Old)]=B150),(PostTB[Debit])))+(SUM(IF((CkDJ[Account Code]=B150)*(CkDJ[Date]&lt;=$A$7),(CkDJ[Debit])))+(SUM(IF((CsDJ[Account Code]=B150)*(CsDJ[Date]&lt;=$A$7),(CsDJ[Debit])))+(SUM(IF((CRDJ[Account Code]=B150)*(CRDJ[Date]&lt;=$A$7),(CRDJ[Debit])))+(SUM(IF((GJ[Account Code]=B150)*(GJ[Date]&lt;=$A$7),(GJ[Debit]))))))))</f>
        <v>0</v>
      </c>
      <c r="F150" s="640">
        <f t="array" ref="F150">(SUM(IF((PostTB[Account Code (Old)]=B150),(PostTB[Credit])))+(SUM(IF((CkDJ[Account Code]=B150)*(CkDJ[Date]&lt;=$A$7),(CkDJ[Credit])))+(SUM(IF((CsDJ[Account Code]=B150)*(CsDJ[Date]&lt;=$A$7),(CsDJ[Credit])))+(SUM(IF((CRDJ[Account Code]=B150)*(CRDJ[Date]&lt;=$A$7),(CRDJ[Credit])))+(SUM(IF((GJ[Account Code]=B150)*(GJ[Date]&lt;=$A$7),(GJ[Credit]))))))))</f>
        <v>1529.87</v>
      </c>
      <c r="G150" s="641">
        <f>IF(INDEX(AccountCodes[Normal Balance], MATCH(C150,AccountCodes[PPSAS CODE]))="Credit",F150-E150,0)</f>
        <v>1529.87</v>
      </c>
      <c r="H150" s="642">
        <f>IF(D150=0,G150,D150)</f>
        <v>1529.87</v>
      </c>
    </row>
    <row r="151" spans="1:8" ht="15.75" hidden="1" x14ac:dyDescent="0.25">
      <c r="A151" s="613" t="str">
        <f t="array" ref="A151">INDEX(AccountCodes[ACCOUNT NAME],MATCH(B151,AccountCodes[NGAS CODE],0))</f>
        <v>Due to GSIS</v>
      </c>
      <c r="B151" s="602" t="s">
        <v>110</v>
      </c>
      <c r="C151" s="615">
        <f t="array" ref="C151">INDEX(AccountCodes[PPSAS CODE],MATCH(B151,AccountCodes[NGAS CODE],0))</f>
        <v>2020102000</v>
      </c>
      <c r="D151" s="616">
        <f>IF(INDEX(AccountCodes[Normal Balance], MATCH(C151,AccountCodes[PPSAS CODE]))="Debit",E151-F151,0)</f>
        <v>0</v>
      </c>
      <c r="E151" s="488">
        <f t="array" ref="E151">(SUM(IF((PostTB[Account Code (Old)]=B151),(PostTB[Debit])))+(SUM(IF((CkDJ[Account Code]=B151)*(CkDJ[Date]&lt;=$A$7),(CkDJ[Debit])))+(SUM(IF((CsDJ[Account Code]=B151)*(CsDJ[Date]&lt;=$A$7),(CsDJ[Debit])))+(SUM(IF((CRDJ[Account Code]=B151)*(CRDJ[Date]&lt;=$A$7),(CRDJ[Debit])))+(SUM(IF((GJ[Account Code]=B151)*(GJ[Date]&lt;=$A$7),(GJ[Debit]))))))))</f>
        <v>0</v>
      </c>
      <c r="F151" s="490">
        <f t="array" ref="F151">(SUM(IF((PostTB[Account Code (Old)]=B151),(PostTB[Credit])))+(SUM(IF((CkDJ[Account Code]=B151)*(CkDJ[Date]&lt;=$A$7),(CkDJ[Credit])))+(SUM(IF((CsDJ[Account Code]=B151)*(CsDJ[Date]&lt;=$A$7),(CsDJ[Credit])))+(SUM(IF((CRDJ[Account Code]=B151)*(CRDJ[Date]&lt;=$A$7),(CRDJ[Credit])))+(SUM(IF((GJ[Account Code]=B151)*(GJ[Date]&lt;=$A$7),(GJ[Credit]))))))))</f>
        <v>0</v>
      </c>
      <c r="G151" s="620">
        <f>IF(INDEX(AccountCodes[Normal Balance], MATCH(C151,AccountCodes[PPSAS CODE]))="Credit",F151-E151,0)</f>
        <v>0</v>
      </c>
      <c r="H151" s="621">
        <f t="shared" si="2"/>
        <v>0</v>
      </c>
    </row>
    <row r="152" spans="1:8" ht="15.75" x14ac:dyDescent="0.25">
      <c r="A152" s="613" t="str">
        <f t="array" ref="A152">INDEX(AccountCodes[ACCOUNT NAME],MATCH(B152,AccountCodes[NGAS CODE],0))</f>
        <v>Due to GSIS - Life and Retirement Premium</v>
      </c>
      <c r="B152" s="602" t="s">
        <v>1440</v>
      </c>
      <c r="C152" s="615">
        <f t="array" ref="C152">INDEX(AccountCodes[PPSAS CODE],MATCH(B152,AccountCodes[NGAS CODE],0))</f>
        <v>2020102001</v>
      </c>
      <c r="D152" s="616">
        <f>IF(INDEX(AccountCodes[Normal Balance], MATCH(C152,AccountCodes[PPSAS CODE]))="Debit",E152-F152,0)</f>
        <v>0</v>
      </c>
      <c r="E152" s="488">
        <f t="array" ref="E152">(SUM(IF((PostTB[Account Code (Old)]=B152),(PostTB[Debit])))+(SUM(IF((CkDJ[Account Code]=B152)*(CkDJ[Date]&lt;=$A$7),(CkDJ[Debit])))+(SUM(IF((CsDJ[Account Code]=B152)*(CsDJ[Date]&lt;=$A$7),(CsDJ[Debit])))+(SUM(IF((CRDJ[Account Code]=B152)*(CRDJ[Date]&lt;=$A$7),(CRDJ[Debit])))+(SUM(IF((GJ[Account Code]=B152)*(GJ[Date]&lt;=$A$7),(GJ[Debit]))))))))</f>
        <v>0</v>
      </c>
      <c r="F152" s="490">
        <f t="array" ref="F152">(SUM(IF((PostTB[Account Code (Old)]=B152),(PostTB[Credit])))+(SUM(IF((CkDJ[Account Code]=B152)*(CkDJ[Date]&lt;=$A$7),(CkDJ[Credit])))+(SUM(IF((CsDJ[Account Code]=B152)*(CsDJ[Date]&lt;=$A$7),(CsDJ[Credit])))+(SUM(IF((CRDJ[Account Code]=B152)*(CRDJ[Date]&lt;=$A$7),(CRDJ[Credit])))+(SUM(IF((GJ[Account Code]=B152)*(GJ[Date]&lt;=$A$7),(GJ[Credit]))))))))</f>
        <v>10385.82</v>
      </c>
      <c r="G152" s="620">
        <f>IF(INDEX(AccountCodes[Normal Balance], MATCH(C152,AccountCodes[PPSAS CODE]))="Credit",F152-E152,0)</f>
        <v>10385.82</v>
      </c>
      <c r="H152" s="621">
        <f t="shared" si="2"/>
        <v>10385.82</v>
      </c>
    </row>
    <row r="153" spans="1:8" ht="15.75" hidden="1" x14ac:dyDescent="0.25">
      <c r="A153" s="613" t="str">
        <f t="array" ref="A153">INDEX(AccountCodes[ACCOUNT NAME],MATCH(B153,AccountCodes[NGAS CODE],0))</f>
        <v>Due to GSIS - ECC</v>
      </c>
      <c r="B153" s="602" t="s">
        <v>1441</v>
      </c>
      <c r="C153" s="615">
        <f t="array" ref="C153">INDEX(AccountCodes[PPSAS CODE],MATCH(B153,AccountCodes[NGAS CODE],0))</f>
        <v>2020102002</v>
      </c>
      <c r="D153" s="616">
        <f>IF(INDEX(AccountCodes[Normal Balance], MATCH(C153,AccountCodes[PPSAS CODE]))="Debit",E153-F153,0)</f>
        <v>0</v>
      </c>
      <c r="E153" s="488">
        <f t="array" ref="E153">(SUM(IF((PostTB[Account Code (Old)]=B153),(PostTB[Debit])))+(SUM(IF((CkDJ[Account Code]=B153)*(CkDJ[Date]&lt;=$A$7),(CkDJ[Debit])))+(SUM(IF((CsDJ[Account Code]=B153)*(CsDJ[Date]&lt;=$A$7),(CsDJ[Debit])))+(SUM(IF((CRDJ[Account Code]=B153)*(CRDJ[Date]&lt;=$A$7),(CRDJ[Debit])))+(SUM(IF((GJ[Account Code]=B153)*(GJ[Date]&lt;=$A$7),(GJ[Debit]))))))))</f>
        <v>0</v>
      </c>
      <c r="F153" s="490">
        <f t="array" ref="F153">(SUM(IF((PostTB[Account Code (Old)]=B153),(PostTB[Credit])))+(SUM(IF((CkDJ[Account Code]=B153)*(CkDJ[Date]&lt;=$A$7),(CkDJ[Credit])))+(SUM(IF((CsDJ[Account Code]=B153)*(CsDJ[Date]&lt;=$A$7),(CsDJ[Credit])))+(SUM(IF((CRDJ[Account Code]=B153)*(CRDJ[Date]&lt;=$A$7),(CRDJ[Credit])))+(SUM(IF((GJ[Account Code]=B153)*(GJ[Date]&lt;=$A$7),(GJ[Credit]))))))))</f>
        <v>0</v>
      </c>
      <c r="G153" s="620">
        <f>IF(INDEX(AccountCodes[Normal Balance], MATCH(C153,AccountCodes[PPSAS CODE]))="Credit",F153-E153,0)</f>
        <v>0</v>
      </c>
      <c r="H153" s="621">
        <f t="shared" si="2"/>
        <v>0</v>
      </c>
    </row>
    <row r="154" spans="1:8" ht="15.75" x14ac:dyDescent="0.25">
      <c r="A154" s="613" t="str">
        <f t="array" ref="A154">INDEX(AccountCodes[ACCOUNT NAME],MATCH(B154,AccountCodes[NGAS CODE],0))</f>
        <v>Due to GSIS - Salary Loan</v>
      </c>
      <c r="B154" s="602" t="s">
        <v>1498</v>
      </c>
      <c r="C154" s="615">
        <f t="array" ref="C154">INDEX(AccountCodes[PPSAS CODE],MATCH(B154,AccountCodes[NGAS CODE],0))</f>
        <v>2020102003</v>
      </c>
      <c r="D154" s="616">
        <f>IF(INDEX(AccountCodes[Normal Balance], MATCH(C154,AccountCodes[PPSAS CODE]))="Debit",E154-F154,0)</f>
        <v>0</v>
      </c>
      <c r="E154" s="488">
        <f t="array" ref="E154">(SUM(IF((PostTB[Account Code (Old)]=B154),(PostTB[Debit])))+(SUM(IF((CkDJ[Account Code]=B154)*(CkDJ[Date]&lt;=$A$7),(CkDJ[Debit])))+(SUM(IF((CsDJ[Account Code]=B154)*(CsDJ[Date]&lt;=$A$7),(CsDJ[Debit])))+(SUM(IF((CRDJ[Account Code]=B154)*(CRDJ[Date]&lt;=$A$7),(CRDJ[Debit])))+(SUM(IF((GJ[Account Code]=B154)*(GJ[Date]&lt;=$A$7),(GJ[Debit]))))))))</f>
        <v>0</v>
      </c>
      <c r="F154" s="490">
        <f t="array" ref="F154">(SUM(IF((PostTB[Account Code (Old)]=B154),(PostTB[Credit])))+(SUM(IF((CkDJ[Account Code]=B154)*(CkDJ[Date]&lt;=$A$7),(CkDJ[Credit])))+(SUM(IF((CsDJ[Account Code]=B154)*(CsDJ[Date]&lt;=$A$7),(CsDJ[Credit])))+(SUM(IF((CRDJ[Account Code]=B154)*(CRDJ[Date]&lt;=$A$7),(CRDJ[Credit])))+(SUM(IF((GJ[Account Code]=B154)*(GJ[Date]&lt;=$A$7),(GJ[Credit]))))))))</f>
        <v>0</v>
      </c>
      <c r="G154" s="620">
        <f>IF(INDEX(AccountCodes[Normal Balance], MATCH(C154,AccountCodes[PPSAS CODE]))="Credit",F154-E154,0)</f>
        <v>0</v>
      </c>
      <c r="H154" s="621">
        <f t="shared" si="2"/>
        <v>0</v>
      </c>
    </row>
    <row r="155" spans="1:8" ht="15.75" hidden="1" x14ac:dyDescent="0.25">
      <c r="A155" s="613" t="str">
        <f t="array" ref="A155">INDEX(AccountCodes[ACCOUNT NAME],MATCH(B155,AccountCodes[NGAS CODE],0))</f>
        <v>Due to GSIS - Policy Loan</v>
      </c>
      <c r="B155" s="602" t="s">
        <v>1442</v>
      </c>
      <c r="C155" s="615">
        <f t="array" ref="C155">INDEX(AccountCodes[PPSAS CODE],MATCH(B155,AccountCodes[NGAS CODE],0))</f>
        <v>2020102004</v>
      </c>
      <c r="D155" s="616">
        <f>IF(INDEX(AccountCodes[Normal Balance], MATCH(C155,AccountCodes[PPSAS CODE]))="Debit",E155-F155,0)</f>
        <v>0</v>
      </c>
      <c r="E155" s="488">
        <f t="array" ref="E155">(SUM(IF((PostTB[Account Code (Old)]=B155),(PostTB[Debit])))+(SUM(IF((CkDJ[Account Code]=B155)*(CkDJ[Date]&lt;=$A$7),(CkDJ[Debit])))+(SUM(IF((CsDJ[Account Code]=B155)*(CsDJ[Date]&lt;=$A$7),(CsDJ[Debit])))+(SUM(IF((CRDJ[Account Code]=B155)*(CRDJ[Date]&lt;=$A$7),(CRDJ[Debit])))+(SUM(IF((GJ[Account Code]=B155)*(GJ[Date]&lt;=$A$7),(GJ[Debit]))))))))</f>
        <v>0</v>
      </c>
      <c r="F155" s="490">
        <f t="array" ref="F155">(SUM(IF((PostTB[Account Code (Old)]=B155),(PostTB[Credit])))+(SUM(IF((CkDJ[Account Code]=B155)*(CkDJ[Date]&lt;=$A$7),(CkDJ[Credit])))+(SUM(IF((CsDJ[Account Code]=B155)*(CsDJ[Date]&lt;=$A$7),(CsDJ[Credit])))+(SUM(IF((CRDJ[Account Code]=B155)*(CRDJ[Date]&lt;=$A$7),(CRDJ[Credit])))+(SUM(IF((GJ[Account Code]=B155)*(GJ[Date]&lt;=$A$7),(GJ[Credit]))))))))</f>
        <v>0</v>
      </c>
      <c r="G155" s="620">
        <f>IF(INDEX(AccountCodes[Normal Balance], MATCH(C155,AccountCodes[PPSAS CODE]))="Credit",F155-E155,0)</f>
        <v>0</v>
      </c>
      <c r="H155" s="621">
        <f t="shared" si="2"/>
        <v>0</v>
      </c>
    </row>
    <row r="156" spans="1:8" ht="15.75" hidden="1" x14ac:dyDescent="0.25">
      <c r="A156" s="613" t="str">
        <f t="array" ref="A156">INDEX(AccountCodes[ACCOUNT NAME],MATCH(B156,AccountCodes[NGAS CODE],0))</f>
        <v>Due to GSIS - Educ Assist Loan</v>
      </c>
      <c r="B156" s="602" t="s">
        <v>1443</v>
      </c>
      <c r="C156" s="615">
        <f t="array" ref="C156">INDEX(AccountCodes[PPSAS CODE],MATCH(B156,AccountCodes[NGAS CODE],0))</f>
        <v>2020102005</v>
      </c>
      <c r="D156" s="616">
        <f>IF(INDEX(AccountCodes[Normal Balance], MATCH(C156,AccountCodes[PPSAS CODE]))="Debit",E156-F156,0)</f>
        <v>0</v>
      </c>
      <c r="E156" s="488">
        <f t="array" ref="E156">(SUM(IF((PostTB[Account Code (Old)]=B156),(PostTB[Debit])))+(SUM(IF((CkDJ[Account Code]=B156)*(CkDJ[Date]&lt;=$A$7),(CkDJ[Debit])))+(SUM(IF((CsDJ[Account Code]=B156)*(CsDJ[Date]&lt;=$A$7),(CsDJ[Debit])))+(SUM(IF((CRDJ[Account Code]=B156)*(CRDJ[Date]&lt;=$A$7),(CRDJ[Debit])))+(SUM(IF((GJ[Account Code]=B156)*(GJ[Date]&lt;=$A$7),(GJ[Debit]))))))))</f>
        <v>0</v>
      </c>
      <c r="F156" s="490">
        <f t="array" ref="F156">(SUM(IF((PostTB[Account Code (Old)]=B156),(PostTB[Credit])))+(SUM(IF((CkDJ[Account Code]=B156)*(CkDJ[Date]&lt;=$A$7),(CkDJ[Credit])))+(SUM(IF((CsDJ[Account Code]=B156)*(CsDJ[Date]&lt;=$A$7),(CsDJ[Credit])))+(SUM(IF((CRDJ[Account Code]=B156)*(CRDJ[Date]&lt;=$A$7),(CRDJ[Credit])))+(SUM(IF((GJ[Account Code]=B156)*(GJ[Date]&lt;=$A$7),(GJ[Credit]))))))))</f>
        <v>0</v>
      </c>
      <c r="G156" s="620">
        <f>IF(INDEX(AccountCodes[Normal Balance], MATCH(C156,AccountCodes[PPSAS CODE]))="Credit",F156-E156,0)</f>
        <v>0</v>
      </c>
      <c r="H156" s="621">
        <f t="shared" si="2"/>
        <v>0</v>
      </c>
    </row>
    <row r="157" spans="1:8" ht="15.75" hidden="1" x14ac:dyDescent="0.25">
      <c r="A157" s="613" t="str">
        <f t="array" ref="A157">INDEX(AccountCodes[ACCOUNT NAME],MATCH(B157,AccountCodes[NGAS CODE],0))</f>
        <v>Due to GSIS - Emergency Loan</v>
      </c>
      <c r="B157" s="602" t="s">
        <v>1500</v>
      </c>
      <c r="C157" s="615">
        <f t="array" ref="C157">INDEX(AccountCodes[PPSAS CODE],MATCH(B157,AccountCodes[NGAS CODE],0))</f>
        <v>2020102006</v>
      </c>
      <c r="D157" s="616">
        <f>IF(INDEX(AccountCodes[Normal Balance], MATCH(C157,AccountCodes[PPSAS CODE]))="Debit",E157-F157,0)</f>
        <v>0</v>
      </c>
      <c r="E157" s="488">
        <f t="array" ref="E157">(SUM(IF((PostTB[Account Code (Old)]=B157),(PostTB[Debit])))+(SUM(IF((CkDJ[Account Code]=B157)*(CkDJ[Date]&lt;=$A$7),(CkDJ[Debit])))+(SUM(IF((CsDJ[Account Code]=B157)*(CsDJ[Date]&lt;=$A$7),(CsDJ[Debit])))+(SUM(IF((CRDJ[Account Code]=B157)*(CRDJ[Date]&lt;=$A$7),(CRDJ[Debit])))+(SUM(IF((GJ[Account Code]=B157)*(GJ[Date]&lt;=$A$7),(GJ[Debit]))))))))</f>
        <v>0</v>
      </c>
      <c r="F157" s="490">
        <f t="array" ref="F157">(SUM(IF((PostTB[Account Code (Old)]=B157),(PostTB[Credit])))+(SUM(IF((CkDJ[Account Code]=B157)*(CkDJ[Date]&lt;=$A$7),(CkDJ[Credit])))+(SUM(IF((CsDJ[Account Code]=B157)*(CsDJ[Date]&lt;=$A$7),(CsDJ[Credit])))+(SUM(IF((CRDJ[Account Code]=B157)*(CRDJ[Date]&lt;=$A$7),(CRDJ[Credit])))+(SUM(IF((GJ[Account Code]=B157)*(GJ[Date]&lt;=$A$7),(GJ[Credit]))))))))</f>
        <v>0</v>
      </c>
      <c r="G157" s="620">
        <f>IF(INDEX(AccountCodes[Normal Balance], MATCH(C157,AccountCodes[PPSAS CODE]))="Credit",F157-E157,0)</f>
        <v>0</v>
      </c>
      <c r="H157" s="621">
        <f t="shared" si="2"/>
        <v>0</v>
      </c>
    </row>
    <row r="158" spans="1:8" ht="15.75" hidden="1" x14ac:dyDescent="0.25">
      <c r="A158" s="613" t="str">
        <f t="array" ref="A158">INDEX(AccountCodes[ACCOUNT NAME],MATCH(B158,AccountCodes[NGAS CODE],0))</f>
        <v>Due to GSIS - Calamity Loan</v>
      </c>
      <c r="B158" s="602" t="s">
        <v>1502</v>
      </c>
      <c r="C158" s="615">
        <f t="array" ref="C158">INDEX(AccountCodes[PPSAS CODE],MATCH(B158,AccountCodes[NGAS CODE],0))</f>
        <v>2020102007</v>
      </c>
      <c r="D158" s="616">
        <f>IF(INDEX(AccountCodes[Normal Balance], MATCH(C158,AccountCodes[PPSAS CODE]))="Debit",E158-F158,0)</f>
        <v>0</v>
      </c>
      <c r="E158" s="488">
        <f t="array" ref="E158">(SUM(IF((PostTB[Account Code (Old)]=B158),(PostTB[Debit])))+(SUM(IF((CkDJ[Account Code]=B158)*(CkDJ[Date]&lt;=$A$7),(CkDJ[Debit])))+(SUM(IF((CsDJ[Account Code]=B158)*(CsDJ[Date]&lt;=$A$7),(CsDJ[Debit])))+(SUM(IF((CRDJ[Account Code]=B158)*(CRDJ[Date]&lt;=$A$7),(CRDJ[Debit])))+(SUM(IF((GJ[Account Code]=B158)*(GJ[Date]&lt;=$A$7),(GJ[Debit]))))))))</f>
        <v>0</v>
      </c>
      <c r="F158" s="490">
        <f t="array" ref="F158">(SUM(IF((PostTB[Account Code (Old)]=B158),(PostTB[Credit])))+(SUM(IF((CkDJ[Account Code]=B158)*(CkDJ[Date]&lt;=$A$7),(CkDJ[Credit])))+(SUM(IF((CsDJ[Account Code]=B158)*(CsDJ[Date]&lt;=$A$7),(CsDJ[Credit])))+(SUM(IF((CRDJ[Account Code]=B158)*(CRDJ[Date]&lt;=$A$7),(CRDJ[Credit])))+(SUM(IF((GJ[Account Code]=B158)*(GJ[Date]&lt;=$A$7),(GJ[Credit]))))))))</f>
        <v>0</v>
      </c>
      <c r="G158" s="620">
        <f>IF(INDEX(AccountCodes[Normal Balance], MATCH(C158,AccountCodes[PPSAS CODE]))="Credit",F158-E158,0)</f>
        <v>0</v>
      </c>
      <c r="H158" s="621">
        <f t="shared" si="2"/>
        <v>0</v>
      </c>
    </row>
    <row r="159" spans="1:8" ht="15.75" hidden="1" x14ac:dyDescent="0.25">
      <c r="A159" s="613" t="str">
        <f t="array" ref="A159">INDEX(AccountCodes[ACCOUNT NAME],MATCH(B159,AccountCodes[NGAS CODE],0))</f>
        <v>Due to GSIS - Housing Loan</v>
      </c>
      <c r="B159" s="602" t="s">
        <v>1504</v>
      </c>
      <c r="C159" s="615">
        <f t="array" ref="C159">INDEX(AccountCodes[PPSAS CODE],MATCH(B159,AccountCodes[NGAS CODE],0))</f>
        <v>2020102008</v>
      </c>
      <c r="D159" s="616">
        <f>IF(INDEX(AccountCodes[Normal Balance], MATCH(C159,AccountCodes[PPSAS CODE]))="Debit",E159-F159,0)</f>
        <v>0</v>
      </c>
      <c r="E159" s="488">
        <f t="array" ref="E159">(SUM(IF((PostTB[Account Code (Old)]=B159),(PostTB[Debit])))+(SUM(IF((CkDJ[Account Code]=B159)*(CkDJ[Date]&lt;=$A$7),(CkDJ[Debit])))+(SUM(IF((CsDJ[Account Code]=B159)*(CsDJ[Date]&lt;=$A$7),(CsDJ[Debit])))+(SUM(IF((CRDJ[Account Code]=B159)*(CRDJ[Date]&lt;=$A$7),(CRDJ[Debit])))+(SUM(IF((GJ[Account Code]=B159)*(GJ[Date]&lt;=$A$7),(GJ[Debit]))))))))</f>
        <v>0</v>
      </c>
      <c r="F159" s="490">
        <f t="array" ref="F159">(SUM(IF((PostTB[Account Code (Old)]=B159),(PostTB[Credit])))+(SUM(IF((CkDJ[Account Code]=B159)*(CkDJ[Date]&lt;=$A$7),(CkDJ[Credit])))+(SUM(IF((CsDJ[Account Code]=B159)*(CsDJ[Date]&lt;=$A$7),(CsDJ[Credit])))+(SUM(IF((CRDJ[Account Code]=B159)*(CRDJ[Date]&lt;=$A$7),(CRDJ[Credit])))+(SUM(IF((GJ[Account Code]=B159)*(GJ[Date]&lt;=$A$7),(GJ[Credit]))))))))</f>
        <v>0</v>
      </c>
      <c r="G159" s="620">
        <f>IF(INDEX(AccountCodes[Normal Balance], MATCH(C159,AccountCodes[PPSAS CODE]))="Credit",F159-E159,0)</f>
        <v>0</v>
      </c>
      <c r="H159" s="621">
        <f t="shared" si="2"/>
        <v>0</v>
      </c>
    </row>
    <row r="160" spans="1:8" ht="15.75" hidden="1" x14ac:dyDescent="0.25">
      <c r="A160" s="613" t="str">
        <f t="array" ref="A160">INDEX(AccountCodes[ACCOUNT NAME],MATCH(B160,AccountCodes[NGAS CODE],0))</f>
        <v>Due to Pag-IBIG</v>
      </c>
      <c r="B160" s="602" t="s">
        <v>111</v>
      </c>
      <c r="C160" s="615">
        <f t="array" ref="C160">INDEX(AccountCodes[PPSAS CODE],MATCH(B160,AccountCodes[NGAS CODE],0))</f>
        <v>2020103000</v>
      </c>
      <c r="D160" s="616">
        <f>IF(INDEX(AccountCodes[Normal Balance], MATCH(C160,AccountCodes[PPSAS CODE]))="Debit",E160-F160,0)</f>
        <v>0</v>
      </c>
      <c r="E160" s="488">
        <f t="array" ref="E160">(SUM(IF((PostTB[Account Code (Old)]=B160),(PostTB[Debit])))+(SUM(IF((CkDJ[Account Code]=B160)*(CkDJ[Date]&lt;=$A$7),(CkDJ[Debit])))+(SUM(IF((CsDJ[Account Code]=B160)*(CsDJ[Date]&lt;=$A$7),(CsDJ[Debit])))+(SUM(IF((CRDJ[Account Code]=B160)*(CRDJ[Date]&lt;=$A$7),(CRDJ[Debit])))+(SUM(IF((GJ[Account Code]=B160)*(GJ[Date]&lt;=$A$7),(GJ[Debit]))))))))</f>
        <v>0</v>
      </c>
      <c r="F160" s="490">
        <f t="array" ref="F160">(SUM(IF((PostTB[Account Code (Old)]=B160),(PostTB[Credit])))+(SUM(IF((CkDJ[Account Code]=B160)*(CkDJ[Date]&lt;=$A$7),(CkDJ[Credit])))+(SUM(IF((CsDJ[Account Code]=B160)*(CsDJ[Date]&lt;=$A$7),(CsDJ[Credit])))+(SUM(IF((CRDJ[Account Code]=B160)*(CRDJ[Date]&lt;=$A$7),(CRDJ[Credit])))+(SUM(IF((GJ[Account Code]=B160)*(GJ[Date]&lt;=$A$7),(GJ[Credit]))))))))</f>
        <v>0</v>
      </c>
      <c r="G160" s="620">
        <f>IF(INDEX(AccountCodes[Normal Balance], MATCH(C160,AccountCodes[PPSAS CODE]))="Credit",F160-E160,0)</f>
        <v>0</v>
      </c>
      <c r="H160" s="621">
        <f t="shared" si="2"/>
        <v>0</v>
      </c>
    </row>
    <row r="161" spans="1:8" ht="15.75" x14ac:dyDescent="0.25">
      <c r="A161" s="613" t="str">
        <f t="array" ref="A161">INDEX(AccountCodes[ACCOUNT NAME],MATCH(B161,AccountCodes[NGAS CODE],0))</f>
        <v>Due to Pag-IBIG - Pag-IBIG Premium</v>
      </c>
      <c r="B161" s="602" t="s">
        <v>1444</v>
      </c>
      <c r="C161" s="615">
        <f t="array" ref="C161">INDEX(AccountCodes[PPSAS CODE],MATCH(B161,AccountCodes[NGAS CODE],0))</f>
        <v>2020103001</v>
      </c>
      <c r="D161" s="616">
        <f>IF(INDEX(AccountCodes[Normal Balance], MATCH(C161,AccountCodes[PPSAS CODE]))="Debit",E161-F161,0)</f>
        <v>0</v>
      </c>
      <c r="E161" s="488">
        <f t="array" ref="E161">(SUM(IF((PostTB[Account Code (Old)]=B161),(PostTB[Debit])))+(SUM(IF((CkDJ[Account Code]=B161)*(CkDJ[Date]&lt;=$A$7),(CkDJ[Debit])))+(SUM(IF((CsDJ[Account Code]=B161)*(CsDJ[Date]&lt;=$A$7),(CsDJ[Debit])))+(SUM(IF((CRDJ[Account Code]=B161)*(CRDJ[Date]&lt;=$A$7),(CRDJ[Debit])))+(SUM(IF((GJ[Account Code]=B161)*(GJ[Date]&lt;=$A$7),(GJ[Debit]))))))))</f>
        <v>0</v>
      </c>
      <c r="F161" s="490">
        <f t="array" ref="F161">(SUM(IF((PostTB[Account Code (Old)]=B161),(PostTB[Credit])))+(SUM(IF((CkDJ[Account Code]=B161)*(CkDJ[Date]&lt;=$A$7),(CkDJ[Credit])))+(SUM(IF((CsDJ[Account Code]=B161)*(CsDJ[Date]&lt;=$A$7),(CsDJ[Credit])))+(SUM(IF((CRDJ[Account Code]=B161)*(CRDJ[Date]&lt;=$A$7),(CRDJ[Credit])))+(SUM(IF((GJ[Account Code]=B161)*(GJ[Date]&lt;=$A$7),(GJ[Credit]))))))))</f>
        <v>0</v>
      </c>
      <c r="G161" s="620">
        <f>IF(INDEX(AccountCodes[Normal Balance], MATCH(C161,AccountCodes[PPSAS CODE]))="Credit",F161-E161,0)</f>
        <v>0</v>
      </c>
      <c r="H161" s="621">
        <f t="shared" si="2"/>
        <v>0</v>
      </c>
    </row>
    <row r="162" spans="1:8" ht="15.75" hidden="1" x14ac:dyDescent="0.25">
      <c r="A162" s="613" t="str">
        <f t="array" ref="A162">INDEX(AccountCodes[ACCOUNT NAME],MATCH(B162,AccountCodes[NGAS CODE],0))</f>
        <v>Due to Pag-IBIG - Pag-IBIG Multi-Purpose Loan</v>
      </c>
      <c r="B162" s="602" t="s">
        <v>1445</v>
      </c>
      <c r="C162" s="615">
        <f t="array" ref="C162">INDEX(AccountCodes[PPSAS CODE],MATCH(B162,AccountCodes[NGAS CODE],0))</f>
        <v>2020103002</v>
      </c>
      <c r="D162" s="616">
        <f>IF(INDEX(AccountCodes[Normal Balance], MATCH(C162,AccountCodes[PPSAS CODE]))="Debit",E162-F162,0)</f>
        <v>0</v>
      </c>
      <c r="E162" s="488">
        <f t="array" ref="E162">(SUM(IF((PostTB[Account Code (Old)]=B162),(PostTB[Debit])))+(SUM(IF((CkDJ[Account Code]=B162)*(CkDJ[Date]&lt;=$A$7),(CkDJ[Debit])))+(SUM(IF((CsDJ[Account Code]=B162)*(CsDJ[Date]&lt;=$A$7),(CsDJ[Debit])))+(SUM(IF((CRDJ[Account Code]=B162)*(CRDJ[Date]&lt;=$A$7),(CRDJ[Debit])))+(SUM(IF((GJ[Account Code]=B162)*(GJ[Date]&lt;=$A$7),(GJ[Debit]))))))))</f>
        <v>0</v>
      </c>
      <c r="F162" s="490">
        <f t="array" ref="F162">(SUM(IF((PostTB[Account Code (Old)]=B162),(PostTB[Credit])))+(SUM(IF((CkDJ[Account Code]=B162)*(CkDJ[Date]&lt;=$A$7),(CkDJ[Credit])))+(SUM(IF((CsDJ[Account Code]=B162)*(CsDJ[Date]&lt;=$A$7),(CsDJ[Credit])))+(SUM(IF((CRDJ[Account Code]=B162)*(CRDJ[Date]&lt;=$A$7),(CRDJ[Credit])))+(SUM(IF((GJ[Account Code]=B162)*(GJ[Date]&lt;=$A$7),(GJ[Credit]))))))))</f>
        <v>0</v>
      </c>
      <c r="G162" s="620">
        <f>IF(INDEX(AccountCodes[Normal Balance], MATCH(C162,AccountCodes[PPSAS CODE]))="Credit",F162-E162,0)</f>
        <v>0</v>
      </c>
      <c r="H162" s="621">
        <f t="shared" si="2"/>
        <v>0</v>
      </c>
    </row>
    <row r="163" spans="1:8" ht="15.75" hidden="1" x14ac:dyDescent="0.25">
      <c r="A163" s="613" t="str">
        <f t="array" ref="A163">INDEX(AccountCodes[ACCOUNT NAME],MATCH(B163,AccountCodes[NGAS CODE],0))</f>
        <v>Due to Pag-IBIG - Pag-IBIG Housing Loan</v>
      </c>
      <c r="B163" s="602" t="s">
        <v>1446</v>
      </c>
      <c r="C163" s="615">
        <f t="array" ref="C163">INDEX(AccountCodes[PPSAS CODE],MATCH(B163,AccountCodes[NGAS CODE],0))</f>
        <v>2020103003</v>
      </c>
      <c r="D163" s="616">
        <f>IF(INDEX(AccountCodes[Normal Balance], MATCH(C163,AccountCodes[PPSAS CODE]))="Debit",E163-F163,0)</f>
        <v>0</v>
      </c>
      <c r="E163" s="488">
        <f t="array" ref="E163">(SUM(IF((PostTB[Account Code (Old)]=B163),(PostTB[Debit])))+(SUM(IF((CkDJ[Account Code]=B163)*(CkDJ[Date]&lt;=$A$7),(CkDJ[Debit])))+(SUM(IF((CsDJ[Account Code]=B163)*(CsDJ[Date]&lt;=$A$7),(CsDJ[Debit])))+(SUM(IF((CRDJ[Account Code]=B163)*(CRDJ[Date]&lt;=$A$7),(CRDJ[Debit])))+(SUM(IF((GJ[Account Code]=B163)*(GJ[Date]&lt;=$A$7),(GJ[Debit]))))))))</f>
        <v>0</v>
      </c>
      <c r="F163" s="490">
        <f t="array" ref="F163">(SUM(IF((PostTB[Account Code (Old)]=B163),(PostTB[Credit])))+(SUM(IF((CkDJ[Account Code]=B163)*(CkDJ[Date]&lt;=$A$7),(CkDJ[Credit])))+(SUM(IF((CsDJ[Account Code]=B163)*(CsDJ[Date]&lt;=$A$7),(CsDJ[Credit])))+(SUM(IF((CRDJ[Account Code]=B163)*(CRDJ[Date]&lt;=$A$7),(CRDJ[Credit])))+(SUM(IF((GJ[Account Code]=B163)*(GJ[Date]&lt;=$A$7),(GJ[Credit]))))))))</f>
        <v>0</v>
      </c>
      <c r="G163" s="620">
        <f>IF(INDEX(AccountCodes[Normal Balance], MATCH(C163,AccountCodes[PPSAS CODE]))="Credit",F163-E163,0)</f>
        <v>0</v>
      </c>
      <c r="H163" s="621">
        <f t="shared" si="2"/>
        <v>0</v>
      </c>
    </row>
    <row r="164" spans="1:8" ht="15.75" hidden="1" x14ac:dyDescent="0.25">
      <c r="A164" s="613" t="str">
        <f t="array" ref="A164">INDEX(AccountCodes[ACCOUNT NAME],MATCH(B164,AccountCodes[NGAS CODE],0))</f>
        <v>Due to Pag-IBIG - Calamity Loan</v>
      </c>
      <c r="B164" s="602" t="s">
        <v>1506</v>
      </c>
      <c r="C164" s="615">
        <f t="array" ref="C164">INDEX(AccountCodes[PPSAS CODE],MATCH(B164,AccountCodes[NGAS CODE],0))</f>
        <v>2020103004</v>
      </c>
      <c r="D164" s="616">
        <f>IF(INDEX(AccountCodes[Normal Balance], MATCH(C164,AccountCodes[PPSAS CODE]))="Debit",E164-F164,0)</f>
        <v>0</v>
      </c>
      <c r="E164" s="488">
        <f t="array" ref="E164">(SUM(IF((PostTB[Account Code (Old)]=B164),(PostTB[Debit])))+(SUM(IF((CkDJ[Account Code]=B164)*(CkDJ[Date]&lt;=$A$7),(CkDJ[Debit])))+(SUM(IF((CsDJ[Account Code]=B164)*(CsDJ[Date]&lt;=$A$7),(CsDJ[Debit])))+(SUM(IF((CRDJ[Account Code]=B164)*(CRDJ[Date]&lt;=$A$7),(CRDJ[Debit])))+(SUM(IF((GJ[Account Code]=B164)*(GJ[Date]&lt;=$A$7),(GJ[Debit]))))))))</f>
        <v>0</v>
      </c>
      <c r="F164" s="490">
        <f t="array" ref="F164">(SUM(IF((PostTB[Account Code (Old)]=B164),(PostTB[Credit])))+(SUM(IF((CkDJ[Account Code]=B164)*(CkDJ[Date]&lt;=$A$7),(CkDJ[Credit])))+(SUM(IF((CsDJ[Account Code]=B164)*(CsDJ[Date]&lt;=$A$7),(CsDJ[Credit])))+(SUM(IF((CRDJ[Account Code]=B164)*(CRDJ[Date]&lt;=$A$7),(CRDJ[Credit])))+(SUM(IF((GJ[Account Code]=B164)*(GJ[Date]&lt;=$A$7),(GJ[Credit]))))))))</f>
        <v>0</v>
      </c>
      <c r="G164" s="620">
        <f>IF(INDEX(AccountCodes[Normal Balance], MATCH(C164,AccountCodes[PPSAS CODE]))="Credit",F164-E164,0)</f>
        <v>0</v>
      </c>
      <c r="H164" s="621">
        <f t="shared" si="2"/>
        <v>0</v>
      </c>
    </row>
    <row r="165" spans="1:8" ht="15.75" hidden="1" x14ac:dyDescent="0.25">
      <c r="A165" s="613" t="str">
        <f t="array" ref="A165">INDEX(AccountCodes[ACCOUNT NAME],MATCH(B165,AccountCodes[NGAS CODE],0))</f>
        <v>Due to Pag-IBIG - MP2</v>
      </c>
      <c r="B165" s="602" t="s">
        <v>1508</v>
      </c>
      <c r="C165" s="615">
        <f t="array" ref="C165">INDEX(AccountCodes[PPSAS CODE],MATCH(B165,AccountCodes[NGAS CODE],0))</f>
        <v>2020103005</v>
      </c>
      <c r="D165" s="616">
        <f>IF(INDEX(AccountCodes[Normal Balance], MATCH(C165,AccountCodes[PPSAS CODE]))="Debit",E165-F165,0)</f>
        <v>0</v>
      </c>
      <c r="E165" s="488">
        <f t="array" ref="E165">(SUM(IF((PostTB[Account Code (Old)]=B165),(PostTB[Debit])))+(SUM(IF((CkDJ[Account Code]=B165)*(CkDJ[Date]&lt;=$A$7),(CkDJ[Debit])))+(SUM(IF((CsDJ[Account Code]=B165)*(CsDJ[Date]&lt;=$A$7),(CsDJ[Debit])))+(SUM(IF((CRDJ[Account Code]=B165)*(CRDJ[Date]&lt;=$A$7),(CRDJ[Debit])))+(SUM(IF((GJ[Account Code]=B165)*(GJ[Date]&lt;=$A$7),(GJ[Debit]))))))))</f>
        <v>0</v>
      </c>
      <c r="F165" s="490">
        <f t="array" ref="F165">(SUM(IF((PostTB[Account Code (Old)]=B165),(PostTB[Credit])))+(SUM(IF((CkDJ[Account Code]=B165)*(CkDJ[Date]&lt;=$A$7),(CkDJ[Credit])))+(SUM(IF((CsDJ[Account Code]=B165)*(CsDJ[Date]&lt;=$A$7),(CsDJ[Credit])))+(SUM(IF((CRDJ[Account Code]=B165)*(CRDJ[Date]&lt;=$A$7),(CRDJ[Credit])))+(SUM(IF((GJ[Account Code]=B165)*(GJ[Date]&lt;=$A$7),(GJ[Credit]))))))))</f>
        <v>0</v>
      </c>
      <c r="G165" s="620">
        <f>IF(INDEX(AccountCodes[Normal Balance], MATCH(C165,AccountCodes[PPSAS CODE]))="Credit",F165-E165,0)</f>
        <v>0</v>
      </c>
      <c r="H165" s="621">
        <f t="shared" si="2"/>
        <v>0</v>
      </c>
    </row>
    <row r="166" spans="1:8" ht="15.75" x14ac:dyDescent="0.25">
      <c r="A166" s="613" t="str">
        <f t="array" ref="A166">INDEX(AccountCodes[ACCOUNT NAME],MATCH(B166,AccountCodes[NGAS CODE],0))</f>
        <v>Due to PhilHealth</v>
      </c>
      <c r="B166" s="602" t="s">
        <v>112</v>
      </c>
      <c r="C166" s="615">
        <f t="array" ref="C166">INDEX(AccountCodes[PPSAS CODE],MATCH(B166,AccountCodes[NGAS CODE],0))</f>
        <v>2020104000</v>
      </c>
      <c r="D166" s="616">
        <f>IF(INDEX(AccountCodes[Normal Balance], MATCH(C166,AccountCodes[PPSAS CODE]))="Debit",E166-F166,0)</f>
        <v>0</v>
      </c>
      <c r="E166" s="488">
        <f t="array" ref="E166">(SUM(IF((PostTB[Account Code (Old)]=B166),(PostTB[Debit])))+(SUM(IF((CkDJ[Account Code]=B166)*(CkDJ[Date]&lt;=$A$7),(CkDJ[Debit])))+(SUM(IF((CsDJ[Account Code]=B166)*(CsDJ[Date]&lt;=$A$7),(CsDJ[Debit])))+(SUM(IF((CRDJ[Account Code]=B166)*(CRDJ[Date]&lt;=$A$7),(CRDJ[Debit])))+(SUM(IF((GJ[Account Code]=B166)*(GJ[Date]&lt;=$A$7),(GJ[Debit]))))))))</f>
        <v>0</v>
      </c>
      <c r="F166" s="490">
        <f t="array" ref="F166">(SUM(IF((PostTB[Account Code (Old)]=B166),(PostTB[Credit])))+(SUM(IF((CkDJ[Account Code]=B166)*(CkDJ[Date]&lt;=$A$7),(CkDJ[Credit])))+(SUM(IF((CsDJ[Account Code]=B166)*(CsDJ[Date]&lt;=$A$7),(CsDJ[Credit])))+(SUM(IF((CRDJ[Account Code]=B166)*(CRDJ[Date]&lt;=$A$7),(CRDJ[Credit])))+(SUM(IF((GJ[Account Code]=B166)*(GJ[Date]&lt;=$A$7),(GJ[Credit]))))))))</f>
        <v>0</v>
      </c>
      <c r="G166" s="620">
        <f>IF(INDEX(AccountCodes[Normal Balance], MATCH(C166,AccountCodes[PPSAS CODE]))="Credit",F166-E166,0)</f>
        <v>0</v>
      </c>
      <c r="H166" s="621">
        <f t="shared" si="2"/>
        <v>0</v>
      </c>
    </row>
    <row r="167" spans="1:8" ht="15.75" hidden="1" x14ac:dyDescent="0.25">
      <c r="A167" s="613" t="str">
        <f t="array" ref="A167">INDEX(AccountCodes[ACCOUNT NAME],MATCH(B167,AccountCodes[NGAS CODE],0))</f>
        <v>Due to NGAs</v>
      </c>
      <c r="B167" s="602" t="s">
        <v>113</v>
      </c>
      <c r="C167" s="615">
        <f t="array" ref="C167">INDEX(AccountCodes[PPSAS CODE],MATCH(B167,AccountCodes[NGAS CODE],0))</f>
        <v>2020105000</v>
      </c>
      <c r="D167" s="616">
        <f>IF(INDEX(AccountCodes[Normal Balance], MATCH(C167,AccountCodes[PPSAS CODE]))="Debit",E167-F167,0)</f>
        <v>0</v>
      </c>
      <c r="E167" s="488">
        <f t="array" ref="E167">(SUM(IF((PostTB[Account Code (Old)]=B167),(PostTB[Debit])))+(SUM(IF((CkDJ[Account Code]=B167)*(CkDJ[Date]&lt;=$A$7),(CkDJ[Debit])))+(SUM(IF((CsDJ[Account Code]=B167)*(CsDJ[Date]&lt;=$A$7),(CsDJ[Debit])))+(SUM(IF((CRDJ[Account Code]=B167)*(CRDJ[Date]&lt;=$A$7),(CRDJ[Debit])))+(SUM(IF((GJ[Account Code]=B167)*(GJ[Date]&lt;=$A$7),(GJ[Debit]))))))))</f>
        <v>0</v>
      </c>
      <c r="F167" s="490">
        <f t="array" ref="F167">(SUM(IF((PostTB[Account Code (Old)]=B167),(PostTB[Credit])))+(SUM(IF((CkDJ[Account Code]=B167)*(CkDJ[Date]&lt;=$A$7),(CkDJ[Credit])))+(SUM(IF((CsDJ[Account Code]=B167)*(CsDJ[Date]&lt;=$A$7),(CsDJ[Credit])))+(SUM(IF((CRDJ[Account Code]=B167)*(CRDJ[Date]&lt;=$A$7),(CRDJ[Credit])))+(SUM(IF((GJ[Account Code]=B167)*(GJ[Date]&lt;=$A$7),(GJ[Credit]))))))))</f>
        <v>0</v>
      </c>
      <c r="G167" s="620">
        <f>IF(INDEX(AccountCodes[Normal Balance], MATCH(C167,AccountCodes[PPSAS CODE]))="Credit",F167-E167,0)</f>
        <v>0</v>
      </c>
      <c r="H167" s="621">
        <f t="shared" si="2"/>
        <v>0</v>
      </c>
    </row>
    <row r="168" spans="1:8" ht="15.75" hidden="1" x14ac:dyDescent="0.25">
      <c r="A168" s="613" t="str">
        <f t="array" ref="A168">INDEX(AccountCodes[ACCOUNT NAME],MATCH(B168,AccountCodes[NGAS CODE],0))</f>
        <v>Due to Central Office</v>
      </c>
      <c r="B168" s="602" t="s">
        <v>407</v>
      </c>
      <c r="C168" s="615">
        <f t="array" ref="C168">INDEX(AccountCodes[PPSAS CODE],MATCH(B168,AccountCodes[NGAS CODE],0))</f>
        <v>2030101000</v>
      </c>
      <c r="D168" s="616">
        <f>IF(INDEX(AccountCodes[Normal Balance], MATCH(C168,AccountCodes[PPSAS CODE]))="Debit",E168-F168,0)</f>
        <v>0</v>
      </c>
      <c r="E168" s="488">
        <f t="array" ref="E168">(SUM(IF((PostTB[Account Code (Old)]=B168),(PostTB[Debit])))+(SUM(IF((CkDJ[Account Code]=B168)*(CkDJ[Date]&lt;=$A$7),(CkDJ[Debit])))+(SUM(IF((CsDJ[Account Code]=B168)*(CsDJ[Date]&lt;=$A$7),(CsDJ[Debit])))+(SUM(IF((CRDJ[Account Code]=B168)*(CRDJ[Date]&lt;=$A$7),(CRDJ[Debit])))+(SUM(IF((GJ[Account Code]=B168)*(GJ[Date]&lt;=$A$7),(GJ[Debit]))))))))</f>
        <v>0</v>
      </c>
      <c r="F168" s="490">
        <f t="array" ref="F168">(SUM(IF((PostTB[Account Code (Old)]=B168),(PostTB[Credit])))+(SUM(IF((CkDJ[Account Code]=B168)*(CkDJ[Date]&lt;=$A$7),(CkDJ[Credit])))+(SUM(IF((CsDJ[Account Code]=B168)*(CsDJ[Date]&lt;=$A$7),(CsDJ[Credit])))+(SUM(IF((CRDJ[Account Code]=B168)*(CRDJ[Date]&lt;=$A$7),(CRDJ[Credit])))+(SUM(IF((GJ[Account Code]=B168)*(GJ[Date]&lt;=$A$7),(GJ[Credit]))))))))</f>
        <v>0</v>
      </c>
      <c r="G168" s="620">
        <f>IF(INDEX(AccountCodes[Normal Balance], MATCH(C168,AccountCodes[PPSAS CODE]))="Credit",F168-E168,0)</f>
        <v>0</v>
      </c>
      <c r="H168" s="621">
        <f t="shared" si="2"/>
        <v>0</v>
      </c>
    </row>
    <row r="169" spans="1:8" ht="15.75" hidden="1" x14ac:dyDescent="0.25">
      <c r="A169" s="613" t="str">
        <f t="array" ref="A169">INDEX(AccountCodes[ACCOUNT NAME],MATCH(B169,AccountCodes[NGAS CODE],0))</f>
        <v>Due to Regional Offices</v>
      </c>
      <c r="B169" s="602" t="s">
        <v>1229</v>
      </c>
      <c r="C169" s="615">
        <f t="array" ref="C169">INDEX(AccountCodes[PPSAS CODE],MATCH(B169,AccountCodes[NGAS CODE],0))</f>
        <v>2030103000</v>
      </c>
      <c r="D169" s="616">
        <f>IF(INDEX(AccountCodes[Normal Balance], MATCH(C169,AccountCodes[PPSAS CODE]))="Debit",E169-F169,0)</f>
        <v>0</v>
      </c>
      <c r="E169" s="488">
        <f t="array" ref="E169">(SUM(IF((PostTB[Account Code (Old)]=B169),(PostTB[Debit])))+(SUM(IF((CkDJ[Account Code]=B169)*(CkDJ[Date]&lt;=$A$7),(CkDJ[Debit])))+(SUM(IF((CsDJ[Account Code]=B169)*(CsDJ[Date]&lt;=$A$7),(CsDJ[Debit])))+(SUM(IF((CRDJ[Account Code]=B169)*(CRDJ[Date]&lt;=$A$7),(CRDJ[Debit])))+(SUM(IF((GJ[Account Code]=B169)*(GJ[Date]&lt;=$A$7),(GJ[Debit]))))))))</f>
        <v>0</v>
      </c>
      <c r="F169" s="490">
        <f t="array" ref="F169">(SUM(IF((PostTB[Account Code (Old)]=B169),(PostTB[Credit])))+(SUM(IF((CkDJ[Account Code]=B169)*(CkDJ[Date]&lt;=$A$7),(CkDJ[Credit])))+(SUM(IF((CsDJ[Account Code]=B169)*(CsDJ[Date]&lt;=$A$7),(CsDJ[Credit])))+(SUM(IF((CRDJ[Account Code]=B169)*(CRDJ[Date]&lt;=$A$7),(CRDJ[Credit])))+(SUM(IF((GJ[Account Code]=B169)*(GJ[Date]&lt;=$A$7),(GJ[Credit]))))))))</f>
        <v>0</v>
      </c>
      <c r="G169" s="620">
        <f>IF(INDEX(AccountCodes[Normal Balance], MATCH(C169,AccountCodes[PPSAS CODE]))="Credit",F169-E169,0)</f>
        <v>0</v>
      </c>
      <c r="H169" s="621">
        <f t="shared" si="2"/>
        <v>0</v>
      </c>
    </row>
    <row r="170" spans="1:8" ht="15.75" hidden="1" x14ac:dyDescent="0.25">
      <c r="A170" s="613" t="str">
        <f t="array" ref="A170">INDEX(AccountCodes[ACCOUNT NAME],MATCH(B170,AccountCodes[NGAS CODE],0))</f>
        <v>Due to Other Funds</v>
      </c>
      <c r="B170" s="602" t="s">
        <v>114</v>
      </c>
      <c r="C170" s="615">
        <f t="array" ref="C170">INDEX(AccountCodes[PPSAS CODE],MATCH(B170,AccountCodes[NGAS CODE],0))</f>
        <v>2030105000</v>
      </c>
      <c r="D170" s="616">
        <f>IF(INDEX(AccountCodes[Normal Balance], MATCH(C170,AccountCodes[PPSAS CODE]))="Debit",E170-F170,0)</f>
        <v>0</v>
      </c>
      <c r="E170" s="488">
        <f t="array" ref="E170">(SUM(IF((PostTB[Account Code (Old)]=B170),(PostTB[Debit])))+(SUM(IF((CkDJ[Account Code]=B170)*(CkDJ[Date]&lt;=$A$7),(CkDJ[Debit])))+(SUM(IF((CsDJ[Account Code]=B170)*(CsDJ[Date]&lt;=$A$7),(CsDJ[Debit])))+(SUM(IF((CRDJ[Account Code]=B170)*(CRDJ[Date]&lt;=$A$7),(CRDJ[Debit])))+(SUM(IF((GJ[Account Code]=B170)*(GJ[Date]&lt;=$A$7),(GJ[Debit]))))))))</f>
        <v>0</v>
      </c>
      <c r="F170" s="490">
        <f t="array" ref="F170">(SUM(IF((PostTB[Account Code (Old)]=B170),(PostTB[Credit])))+(SUM(IF((CkDJ[Account Code]=B170)*(CkDJ[Date]&lt;=$A$7),(CkDJ[Credit])))+(SUM(IF((CsDJ[Account Code]=B170)*(CsDJ[Date]&lt;=$A$7),(CsDJ[Credit])))+(SUM(IF((CRDJ[Account Code]=B170)*(CRDJ[Date]&lt;=$A$7),(CRDJ[Credit])))+(SUM(IF((GJ[Account Code]=B170)*(GJ[Date]&lt;=$A$7),(GJ[Credit]))))))))</f>
        <v>0</v>
      </c>
      <c r="G170" s="620">
        <f>IF(INDEX(AccountCodes[Normal Balance], MATCH(C170,AccountCodes[PPSAS CODE]))="Credit",F170-E170,0)</f>
        <v>0</v>
      </c>
      <c r="H170" s="621">
        <f t="shared" si="2"/>
        <v>0</v>
      </c>
    </row>
    <row r="171" spans="1:8" ht="15.75" hidden="1" x14ac:dyDescent="0.25">
      <c r="A171" s="613" t="str">
        <f t="array" ref="A171">INDEX(AccountCodes[ACCOUNT NAME],MATCH(B171,AccountCodes[NGAS CODE],0))</f>
        <v>Bail Bonds Payable</v>
      </c>
      <c r="B171" s="602" t="s">
        <v>116</v>
      </c>
      <c r="C171" s="615">
        <f t="array" ref="C171">INDEX(AccountCodes[PPSAS CODE],MATCH(B171,AccountCodes[NGAS CODE],0))</f>
        <v>2040103000</v>
      </c>
      <c r="D171" s="616">
        <f>IF(INDEX(AccountCodes[Normal Balance], MATCH(C171,AccountCodes[PPSAS CODE]))="Debit",E171-F171,0)</f>
        <v>0</v>
      </c>
      <c r="E171" s="488">
        <f t="array" ref="E171">(SUM(IF((PostTB[Account Code (Old)]=B171),(PostTB[Debit])))+(SUM(IF((CkDJ[Account Code]=B171)*(CkDJ[Date]&lt;=$A$7),(CkDJ[Debit])))+(SUM(IF((CsDJ[Account Code]=B171)*(CsDJ[Date]&lt;=$A$7),(CsDJ[Debit])))+(SUM(IF((CRDJ[Account Code]=B171)*(CRDJ[Date]&lt;=$A$7),(CRDJ[Debit])))+(SUM(IF((GJ[Account Code]=B171)*(GJ[Date]&lt;=$A$7),(GJ[Debit]))))))))</f>
        <v>0</v>
      </c>
      <c r="F171" s="490">
        <f t="array" ref="F171">(SUM(IF((PostTB[Account Code (Old)]=B171),(PostTB[Credit])))+(SUM(IF((CkDJ[Account Code]=B171)*(CkDJ[Date]&lt;=$A$7),(CkDJ[Credit])))+(SUM(IF((CsDJ[Account Code]=B171)*(CsDJ[Date]&lt;=$A$7),(CsDJ[Credit])))+(SUM(IF((CRDJ[Account Code]=B171)*(CRDJ[Date]&lt;=$A$7),(CRDJ[Credit])))+(SUM(IF((GJ[Account Code]=B171)*(GJ[Date]&lt;=$A$7),(GJ[Credit]))))))))</f>
        <v>0</v>
      </c>
      <c r="G171" s="620">
        <f>IF(INDEX(AccountCodes[Normal Balance], MATCH(C171,AccountCodes[PPSAS CODE]))="Credit",F171-E171,0)</f>
        <v>0</v>
      </c>
      <c r="H171" s="621">
        <f t="shared" si="2"/>
        <v>0</v>
      </c>
    </row>
    <row r="172" spans="1:8" ht="15.75" x14ac:dyDescent="0.25">
      <c r="A172" s="613" t="str">
        <f t="array" ref="A172">INDEX(AccountCodes[ACCOUNT NAME],MATCH(B172,AccountCodes[NGAS CODE],0))</f>
        <v>Guaranty/Security Deposits Payable</v>
      </c>
      <c r="B172" s="602" t="s">
        <v>115</v>
      </c>
      <c r="C172" s="615">
        <f t="array" ref="C172">INDEX(AccountCodes[PPSAS CODE],MATCH(B172,AccountCodes[NGAS CODE],0))</f>
        <v>2040104000</v>
      </c>
      <c r="D172" s="616">
        <f>IF(INDEX(AccountCodes[Normal Balance], MATCH(C172,AccountCodes[PPSAS CODE]))="Debit",E172-F172,0)</f>
        <v>0</v>
      </c>
      <c r="E172" s="488">
        <f t="array" ref="E172">(SUM(IF((PostTB[Account Code (Old)]=B172),(PostTB[Debit])))+(SUM(IF((CkDJ[Account Code]=B172)*(CkDJ[Date]&lt;=$A$7),(CkDJ[Debit])))+(SUM(IF((CsDJ[Account Code]=B172)*(CsDJ[Date]&lt;=$A$7),(CsDJ[Debit])))+(SUM(IF((CRDJ[Account Code]=B172)*(CRDJ[Date]&lt;=$A$7),(CRDJ[Debit])))+(SUM(IF((GJ[Account Code]=B172)*(GJ[Date]&lt;=$A$7),(GJ[Debit]))))))))</f>
        <v>0</v>
      </c>
      <c r="F172" s="490">
        <f t="array" ref="F172">(SUM(IF((PostTB[Account Code (Old)]=B172),(PostTB[Credit])))+(SUM(IF((CkDJ[Account Code]=B172)*(CkDJ[Date]&lt;=$A$7),(CkDJ[Credit])))+(SUM(IF((CsDJ[Account Code]=B172)*(CsDJ[Date]&lt;=$A$7),(CsDJ[Credit])))+(SUM(IF((CRDJ[Account Code]=B172)*(CRDJ[Date]&lt;=$A$7),(CRDJ[Credit])))+(SUM(IF((GJ[Account Code]=B172)*(GJ[Date]&lt;=$A$7),(GJ[Credit]))))))))</f>
        <v>2588810.2000000002</v>
      </c>
      <c r="G172" s="620">
        <f>IF(INDEX(AccountCodes[Normal Balance], MATCH(C172,AccountCodes[PPSAS CODE]))="Credit",F172-E172,0)</f>
        <v>2588810.2000000002</v>
      </c>
      <c r="H172" s="621">
        <f t="shared" si="2"/>
        <v>2588810.2000000002</v>
      </c>
    </row>
    <row r="173" spans="1:8" ht="15.75" hidden="1" x14ac:dyDescent="0.25">
      <c r="A173" s="613" t="str">
        <f t="array" ref="A173">INDEX(AccountCodes[ACCOUNT NAME],MATCH(B173,AccountCodes[NGAS CODE],0))</f>
        <v>Other Deferred Credits (Irrigation Service Fee)</v>
      </c>
      <c r="B173" s="602" t="s">
        <v>120</v>
      </c>
      <c r="C173" s="615">
        <f t="array" ref="C173">INDEX(AccountCodes[PPSAS CODE],MATCH(B173,AccountCodes[NGAS CODE],0))</f>
        <v>2050199000</v>
      </c>
      <c r="D173" s="616">
        <f>IF(INDEX(AccountCodes[Normal Balance], MATCH(C173,AccountCodes[PPSAS CODE]))="Debit",E173-F173,0)</f>
        <v>0</v>
      </c>
      <c r="E173" s="488">
        <f t="array" ref="E173">(SUM(IF((PostTB[Account Code (Old)]=B173),(PostTB[Debit])))+(SUM(IF((CkDJ[Account Code]=B173)*(CkDJ[Date]&lt;=$A$7),(CkDJ[Debit])))+(SUM(IF((CsDJ[Account Code]=B173)*(CsDJ[Date]&lt;=$A$7),(CsDJ[Debit])))+(SUM(IF((CRDJ[Account Code]=B173)*(CRDJ[Date]&lt;=$A$7),(CRDJ[Debit])))+(SUM(IF((GJ[Account Code]=B173)*(GJ[Date]&lt;=$A$7),(GJ[Debit]))))))))</f>
        <v>0</v>
      </c>
      <c r="F173" s="490">
        <f t="array" ref="F173">(SUM(IF((PostTB[Account Code (Old)]=B173),(PostTB[Credit])))+(SUM(IF((CkDJ[Account Code]=B173)*(CkDJ[Date]&lt;=$A$7),(CkDJ[Credit])))+(SUM(IF((CsDJ[Account Code]=B173)*(CsDJ[Date]&lt;=$A$7),(CsDJ[Credit])))+(SUM(IF((CRDJ[Account Code]=B173)*(CRDJ[Date]&lt;=$A$7),(CRDJ[Credit])))+(SUM(IF((GJ[Account Code]=B173)*(GJ[Date]&lt;=$A$7),(GJ[Credit]))))))))</f>
        <v>0</v>
      </c>
      <c r="G173" s="620">
        <f>IF(INDEX(AccountCodes[Normal Balance], MATCH(C173,AccountCodes[PPSAS CODE]))="Credit",F173-E173,0)</f>
        <v>0</v>
      </c>
      <c r="H173" s="621">
        <f t="shared" si="2"/>
        <v>0</v>
      </c>
    </row>
    <row r="174" spans="1:8" ht="15.75" hidden="1" x14ac:dyDescent="0.25">
      <c r="A174" s="613" t="str">
        <f t="array" ref="A174">INDEX(AccountCodes[ACCOUNT NAME],MATCH(B174,AccountCodes[NGAS CODE],0))</f>
        <v>Other Deferred Credits (PA/CIS/CIP Equity)</v>
      </c>
      <c r="B174" s="602" t="s">
        <v>8</v>
      </c>
      <c r="C174" s="615">
        <f t="array" ref="C174">INDEX(AccountCodes[PPSAS CODE],MATCH(B174,AccountCodes[NGAS CODE],0))</f>
        <v>2050199000</v>
      </c>
      <c r="D174" s="616">
        <f>IF(INDEX(AccountCodes[Normal Balance], MATCH(C174,AccountCodes[PPSAS CODE]))="Debit",E174-F174,0)</f>
        <v>0</v>
      </c>
      <c r="E174" s="488">
        <f t="array" ref="E174">(SUM(IF((PostTB[Account Code (Old)]=B174),(PostTB[Debit])))+(SUM(IF((CkDJ[Account Code]=B174)*(CkDJ[Date]&lt;=$A$7),(CkDJ[Debit])))+(SUM(IF((CsDJ[Account Code]=B174)*(CsDJ[Date]&lt;=$A$7),(CsDJ[Debit])))+(SUM(IF((CRDJ[Account Code]=B174)*(CRDJ[Date]&lt;=$A$7),(CRDJ[Debit])))+(SUM(IF((GJ[Account Code]=B174)*(GJ[Date]&lt;=$A$7),(GJ[Debit]))))))))</f>
        <v>0</v>
      </c>
      <c r="F174" s="490">
        <f t="array" ref="F174">(SUM(IF((PostTB[Account Code (Old)]=B174),(PostTB[Credit])))+(SUM(IF((CkDJ[Account Code]=B174)*(CkDJ[Date]&lt;=$A$7),(CkDJ[Credit])))+(SUM(IF((CsDJ[Account Code]=B174)*(CsDJ[Date]&lt;=$A$7),(CsDJ[Credit])))+(SUM(IF((CRDJ[Account Code]=B174)*(CRDJ[Date]&lt;=$A$7),(CRDJ[Credit])))+(SUM(IF((GJ[Account Code]=B174)*(GJ[Date]&lt;=$A$7),(GJ[Credit]))))))))</f>
        <v>0</v>
      </c>
      <c r="G174" s="620">
        <f>IF(INDEX(AccountCodes[Normal Balance], MATCH(C174,AccountCodes[PPSAS CODE]))="Credit",F174-E174,0)</f>
        <v>0</v>
      </c>
      <c r="H174" s="621">
        <f t="shared" si="2"/>
        <v>0</v>
      </c>
    </row>
    <row r="175" spans="1:8" ht="15.75" hidden="1" x14ac:dyDescent="0.25">
      <c r="A175" s="613" t="str">
        <f t="array" ref="A175">INDEX(AccountCodes[ACCOUNT NAME],MATCH(B175,AccountCodes[NGAS CODE],0))</f>
        <v>Other Unearned Revenue</v>
      </c>
      <c r="B175" s="602" t="s">
        <v>121</v>
      </c>
      <c r="C175" s="615">
        <f t="array" ref="C175">INDEX(AccountCodes[PPSAS CODE],MATCH(B175,AccountCodes[NGAS CODE],0))</f>
        <v>2050299000</v>
      </c>
      <c r="D175" s="616">
        <f>IF(INDEX(AccountCodes[Normal Balance], MATCH(C175,AccountCodes[PPSAS CODE]))="Debit",E175-F175,0)</f>
        <v>0</v>
      </c>
      <c r="E175" s="488">
        <f t="array" ref="E175">(SUM(IF((PostTB[Account Code (Old)]=B175),(PostTB[Debit])))+(SUM(IF((CkDJ[Account Code]=B175)*(CkDJ[Date]&lt;=$A$7),(CkDJ[Debit])))+(SUM(IF((CsDJ[Account Code]=B175)*(CsDJ[Date]&lt;=$A$7),(CsDJ[Debit])))+(SUM(IF((CRDJ[Account Code]=B175)*(CRDJ[Date]&lt;=$A$7),(CRDJ[Debit])))+(SUM(IF((GJ[Account Code]=B175)*(GJ[Date]&lt;=$A$7),(GJ[Debit]))))))))</f>
        <v>0</v>
      </c>
      <c r="F175" s="490">
        <f t="array" ref="F175">(SUM(IF((PostTB[Account Code (Old)]=B175),(PostTB[Credit])))+(SUM(IF((CkDJ[Account Code]=B175)*(CkDJ[Date]&lt;=$A$7),(CkDJ[Credit])))+(SUM(IF((CsDJ[Account Code]=B175)*(CsDJ[Date]&lt;=$A$7),(CsDJ[Credit])))+(SUM(IF((CRDJ[Account Code]=B175)*(CRDJ[Date]&lt;=$A$7),(CRDJ[Credit])))+(SUM(IF((GJ[Account Code]=B175)*(GJ[Date]&lt;=$A$7),(GJ[Credit]))))))))</f>
        <v>0</v>
      </c>
      <c r="G175" s="620">
        <f>IF(INDEX(AccountCodes[Normal Balance], MATCH(C175,AccountCodes[PPSAS CODE]))="Credit",F175-E175,0)</f>
        <v>0</v>
      </c>
      <c r="H175" s="621">
        <f t="shared" si="2"/>
        <v>0</v>
      </c>
    </row>
    <row r="176" spans="1:8" ht="15.75" x14ac:dyDescent="0.25">
      <c r="A176" s="613" t="str">
        <f t="array" ref="A176">INDEX(AccountCodes[ACCOUNT NAME],MATCH(B176,AccountCodes[NGAS CODE],0))</f>
        <v>Other Payables</v>
      </c>
      <c r="B176" s="602" t="s">
        <v>117</v>
      </c>
      <c r="C176" s="615">
        <f t="array" ref="C176">INDEX(AccountCodes[PPSAS CODE],MATCH(B176,AccountCodes[NGAS CODE],0))</f>
        <v>2999999000</v>
      </c>
      <c r="D176" s="616">
        <f>IF(INDEX(AccountCodes[Normal Balance], MATCH(C176,AccountCodes[PPSAS CODE]))="Debit",E176-F176,0)</f>
        <v>0</v>
      </c>
      <c r="E176" s="488">
        <f t="array" ref="E176">(SUM(IF((PostTB[Account Code (Old)]=B176),(PostTB[Debit])))+(SUM(IF((CkDJ[Account Code]=B176)*(CkDJ[Date]&lt;=$A$7),(CkDJ[Debit])))+(SUM(IF((CsDJ[Account Code]=B176)*(CsDJ[Date]&lt;=$A$7),(CsDJ[Debit])))+(SUM(IF((CRDJ[Account Code]=B176)*(CRDJ[Date]&lt;=$A$7),(CRDJ[Debit])))+(SUM(IF((GJ[Account Code]=B176)*(GJ[Date]&lt;=$A$7),(GJ[Debit]))))))))</f>
        <v>0</v>
      </c>
      <c r="F176" s="490">
        <f t="array" ref="F176">(SUM(IF((PostTB[Account Code (Old)]=B176),(PostTB[Credit])))+(SUM(IF((CkDJ[Account Code]=B176)*(CkDJ[Date]&lt;=$A$7),(CkDJ[Credit])))+(SUM(IF((CsDJ[Account Code]=B176)*(CsDJ[Date]&lt;=$A$7),(CsDJ[Credit])))+(SUM(IF((CRDJ[Account Code]=B176)*(CRDJ[Date]&lt;=$A$7),(CRDJ[Credit])))+(SUM(IF((GJ[Account Code]=B176)*(GJ[Date]&lt;=$A$7),(GJ[Credit]))))))))</f>
        <v>2676406.96</v>
      </c>
      <c r="G176" s="620">
        <f>IF(INDEX(AccountCodes[Normal Balance], MATCH(C176,AccountCodes[PPSAS CODE]))="Credit",F176-E176,0)</f>
        <v>2676406.96</v>
      </c>
      <c r="H176" s="621">
        <f t="shared" si="2"/>
        <v>2676406.96</v>
      </c>
    </row>
    <row r="177" spans="1:8" ht="15.75" x14ac:dyDescent="0.25">
      <c r="A177" s="613" t="str">
        <f t="array" ref="A177">INDEX(AccountCodes[ACCOUNT NAME],MATCH(B177,AccountCodes[NGAS CODE],0))</f>
        <v>Accumulated Surplus/(Deficit) (Government Equity)</v>
      </c>
      <c r="B177" s="602" t="s">
        <v>122</v>
      </c>
      <c r="C177" s="615">
        <f t="array" ref="C177">INDEX(AccountCodes[PPSAS CODE],MATCH(B177,AccountCodes[NGAS CODE],0))</f>
        <v>3010101000</v>
      </c>
      <c r="D177" s="616">
        <f>IF(INDEX(AccountCodes[Normal Balance], MATCH(C177,AccountCodes[PPSAS CODE]))="Debit",E177-F177,0)</f>
        <v>0</v>
      </c>
      <c r="E177" s="488">
        <f t="array" ref="E177">(SUM(IF((PostTB[Account Code (Old)]=B177),(PostTB[Debit])))+(SUM(IF((CkDJ[Account Code]=B177)*(CkDJ[Date]&lt;=$A$7),(CkDJ[Debit])))+(SUM(IF((CsDJ[Account Code]=B177)*(CsDJ[Date]&lt;=$A$7),(CsDJ[Debit])))+(SUM(IF((CRDJ[Account Code]=B177)*(CRDJ[Date]&lt;=$A$7),(CRDJ[Debit])))+(SUM(IF((GJ[Account Code]=B177)*(GJ[Date]&lt;=$A$7),(GJ[Debit]))))))))</f>
        <v>0</v>
      </c>
      <c r="F177" s="490">
        <f t="array" ref="F177">(SUM(IF((PostTB[Account Code (Old)]=B177),(PostTB[Credit])))+(SUM(IF((CkDJ[Account Code]=B177)*(CkDJ[Date]&lt;=$A$7),(CkDJ[Credit])))+(SUM(IF((CsDJ[Account Code]=B177)*(CsDJ[Date]&lt;=$A$7),(CsDJ[Credit])))+(SUM(IF((CRDJ[Account Code]=B177)*(CRDJ[Date]&lt;=$A$7),(CRDJ[Credit])))+(SUM(IF((GJ[Account Code]=B177)*(GJ[Date]&lt;=$A$7),(GJ[Credit]))))))))</f>
        <v>117680205.22</v>
      </c>
      <c r="G177" s="620">
        <f>IF(INDEX(AccountCodes[Normal Balance], MATCH(C177,AccountCodes[PPSAS CODE]))="Credit",F177-E177,0)</f>
        <v>117680205.22</v>
      </c>
      <c r="H177" s="621">
        <f t="shared" si="2"/>
        <v>117680205.22</v>
      </c>
    </row>
    <row r="178" spans="1:8" ht="15.75" hidden="1" x14ac:dyDescent="0.25">
      <c r="A178" s="613" t="str">
        <f t="array" ref="A178">INDEX(AccountCodes[ACCOUNT NAME],MATCH(B178,AccountCodes[NGAS CODE],0))</f>
        <v>Accumulated Surplus/(Deficit) (Retained Earnings)</v>
      </c>
      <c r="B178" s="602" t="s">
        <v>123</v>
      </c>
      <c r="C178" s="615">
        <f t="array" ref="C178">INDEX(AccountCodes[PPSAS CODE],MATCH(B178,AccountCodes[NGAS CODE],0))</f>
        <v>3010101000</v>
      </c>
      <c r="D178" s="616">
        <f>IF(INDEX(AccountCodes[Normal Balance], MATCH(C178,AccountCodes[PPSAS CODE]))="Debit",E178-F178,0)</f>
        <v>0</v>
      </c>
      <c r="E178" s="488">
        <f t="array" ref="E178">(SUM(IF((PostTB[Account Code (Old)]=B178),(PostTB[Debit])))+(SUM(IF((CkDJ[Account Code]=B178)*(CkDJ[Date]&lt;=$A$7),(CkDJ[Debit])))+(SUM(IF((CsDJ[Account Code]=B178)*(CsDJ[Date]&lt;=$A$7),(CsDJ[Debit])))+(SUM(IF((CRDJ[Account Code]=B178)*(CRDJ[Date]&lt;=$A$7),(CRDJ[Debit])))+(SUM(IF((GJ[Account Code]=B178)*(GJ[Date]&lt;=$A$7),(GJ[Debit]))))))))</f>
        <v>0</v>
      </c>
      <c r="F178" s="490">
        <f t="array" ref="F178">(SUM(IF((PostTB[Account Code (Old)]=B178),(PostTB[Credit])))+(SUM(IF((CkDJ[Account Code]=B178)*(CkDJ[Date]&lt;=$A$7),(CkDJ[Credit])))+(SUM(IF((CsDJ[Account Code]=B178)*(CsDJ[Date]&lt;=$A$7),(CsDJ[Credit])))+(SUM(IF((CRDJ[Account Code]=B178)*(CRDJ[Date]&lt;=$A$7),(CRDJ[Credit])))+(SUM(IF((GJ[Account Code]=B178)*(GJ[Date]&lt;=$A$7),(GJ[Credit]))))))))</f>
        <v>0</v>
      </c>
      <c r="G178" s="620">
        <f>IF(INDEX(AccountCodes[Normal Balance], MATCH(C178,AccountCodes[PPSAS CODE]))="Credit",F178-E178,0)</f>
        <v>0</v>
      </c>
      <c r="H178" s="621">
        <f t="shared" si="2"/>
        <v>0</v>
      </c>
    </row>
    <row r="179" spans="1:8" ht="15.75" hidden="1" x14ac:dyDescent="0.25">
      <c r="A179" s="613" t="str">
        <f t="array" ref="A179">INDEX(AccountCodes[ACCOUNT NAME],MATCH(B179,AccountCodes[NGAS CODE],0))</f>
        <v>Revenue and Expense Summary</v>
      </c>
      <c r="B179" s="602" t="s">
        <v>124</v>
      </c>
      <c r="C179" s="615">
        <f t="array" ref="C179">INDEX(AccountCodes[PPSAS CODE],MATCH(B179,AccountCodes[NGAS CODE],0))</f>
        <v>3030101000</v>
      </c>
      <c r="D179" s="616">
        <f>IF(INDEX(AccountCodes[Normal Balance], MATCH(C179,AccountCodes[PPSAS CODE]))="Debit",E179-F179,0)</f>
        <v>0</v>
      </c>
      <c r="E179" s="488">
        <f t="array" ref="E179">(SUM(IF((PostTB[Account Code (Old)]=B179),(PostTB[Debit])))+(SUM(IF((CkDJ[Account Code]=B179)*(CkDJ[Date]&lt;=$A$7),(CkDJ[Debit])))+(SUM(IF((CsDJ[Account Code]=B179)*(CsDJ[Date]&lt;=$A$7),(CsDJ[Debit])))+(SUM(IF((CRDJ[Account Code]=B179)*(CRDJ[Date]&lt;=$A$7),(CRDJ[Debit])))+(SUM(IF((GJ[Account Code]=B179)*(GJ[Date]&lt;=$A$7),(GJ[Debit]))))))))</f>
        <v>0</v>
      </c>
      <c r="F179" s="490">
        <f t="array" ref="F179">(SUM(IF((PostTB[Account Code (Old)]=B179),(PostTB[Credit])))+(SUM(IF((CkDJ[Account Code]=B179)*(CkDJ[Date]&lt;=$A$7),(CkDJ[Credit])))+(SUM(IF((CsDJ[Account Code]=B179)*(CsDJ[Date]&lt;=$A$7),(CsDJ[Credit])))+(SUM(IF((CRDJ[Account Code]=B179)*(CRDJ[Date]&lt;=$A$7),(CRDJ[Credit])))+(SUM(IF((GJ[Account Code]=B179)*(GJ[Date]&lt;=$A$7),(GJ[Credit]))))))))</f>
        <v>0</v>
      </c>
      <c r="G179" s="620">
        <f>IF(INDEX(AccountCodes[Normal Balance], MATCH(C179,AccountCodes[PPSAS CODE]))="Credit",F179-E179,0)</f>
        <v>0</v>
      </c>
      <c r="H179" s="621">
        <f t="shared" si="2"/>
        <v>0</v>
      </c>
    </row>
    <row r="180" spans="1:8" ht="15.75" hidden="1" x14ac:dyDescent="0.25">
      <c r="A180" s="613" t="str">
        <f t="array" ref="A180">INDEX(AccountCodes[ACCOUNT NAME],MATCH(B180,AccountCodes[NGAS CODE],0))</f>
        <v>Other Service Income - Irrigation Service Fee (Back Account)</v>
      </c>
      <c r="B180" s="602" t="s">
        <v>126</v>
      </c>
      <c r="C180" s="615">
        <f t="array" ref="C180">INDEX(AccountCodes[PPSAS CODE],MATCH(B180,AccountCodes[NGAS CODE],0))</f>
        <v>4020199099</v>
      </c>
      <c r="D180" s="616">
        <f>IF(INDEX(AccountCodes[Normal Balance], MATCH(C180,AccountCodes[PPSAS CODE]))="Debit",E180-F180,0)</f>
        <v>0</v>
      </c>
      <c r="E180" s="488">
        <f t="array" ref="E180">(SUM(IF((PostTB[Account Code (Old)]=B180),(PostTB[Debit])))+(SUM(IF((CkDJ[Account Code]=B180)*(CkDJ[Date]&lt;=$A$7),(CkDJ[Debit])))+(SUM(IF((CsDJ[Account Code]=B180)*(CsDJ[Date]&lt;=$A$7),(CsDJ[Debit])))+(SUM(IF((CRDJ[Account Code]=B180)*(CRDJ[Date]&lt;=$A$7),(CRDJ[Debit])))+(SUM(IF((GJ[Account Code]=B180)*(GJ[Date]&lt;=$A$7),(GJ[Debit]))))))))</f>
        <v>0</v>
      </c>
      <c r="F180" s="490">
        <f t="array" ref="F180">(SUM(IF((PostTB[Account Code (Old)]=B180),(PostTB[Credit])))+(SUM(IF((CkDJ[Account Code]=B180)*(CkDJ[Date]&lt;=$A$7),(CkDJ[Credit])))+(SUM(IF((CsDJ[Account Code]=B180)*(CsDJ[Date]&lt;=$A$7),(CsDJ[Credit])))+(SUM(IF((CRDJ[Account Code]=B180)*(CRDJ[Date]&lt;=$A$7),(CRDJ[Credit])))+(SUM(IF((GJ[Account Code]=B180)*(GJ[Date]&lt;=$A$7),(GJ[Credit]))))))))</f>
        <v>0</v>
      </c>
      <c r="G180" s="620">
        <f>IF(INDEX(AccountCodes[Normal Balance], MATCH(C180,AccountCodes[PPSAS CODE]))="Credit",F180-E180,0)</f>
        <v>0</v>
      </c>
      <c r="H180" s="621">
        <f t="shared" si="2"/>
        <v>0</v>
      </c>
    </row>
    <row r="181" spans="1:8" ht="15.75" hidden="1" x14ac:dyDescent="0.25">
      <c r="A181" s="613" t="str">
        <f t="array" ref="A181">INDEX(AccountCodes[ACCOUNT NAME],MATCH(B181,AccountCodes[NGAS CODE],0))</f>
        <v>Other Service Income - Irrigation Service Fee (Back Account) (MC # 54)</v>
      </c>
      <c r="B181" s="602" t="s">
        <v>721</v>
      </c>
      <c r="C181" s="615">
        <f t="array" ref="C181">INDEX(AccountCodes[PPSAS CODE],MATCH(B181,AccountCodes[NGAS CODE],0))</f>
        <v>4020199099</v>
      </c>
      <c r="D181" s="616">
        <f>IF(INDEX(AccountCodes[Normal Balance], MATCH(C181,AccountCodes[PPSAS CODE]))="Debit",E181-F181,0)</f>
        <v>0</v>
      </c>
      <c r="E181" s="488">
        <f t="array" ref="E181">(SUM(IF((PostTB[Account Code (Old)]=B181),(PostTB[Debit])))+(SUM(IF((CkDJ[Account Code]=B181)*(CkDJ[Date]&lt;=$A$7),(CkDJ[Debit])))+(SUM(IF((CsDJ[Account Code]=B181)*(CsDJ[Date]&lt;=$A$7),(CsDJ[Debit])))+(SUM(IF((CRDJ[Account Code]=B181)*(CRDJ[Date]&lt;=$A$7),(CRDJ[Debit])))+(SUM(IF((GJ[Account Code]=B181)*(GJ[Date]&lt;=$A$7),(GJ[Debit]))))))))</f>
        <v>0</v>
      </c>
      <c r="F181" s="490">
        <f t="array" ref="F181">(SUM(IF((PostTB[Account Code (Old)]=B181),(PostTB[Credit])))+(SUM(IF((CkDJ[Account Code]=B181)*(CkDJ[Date]&lt;=$A$7),(CkDJ[Credit])))+(SUM(IF((CsDJ[Account Code]=B181)*(CsDJ[Date]&lt;=$A$7),(CsDJ[Credit])))+(SUM(IF((CRDJ[Account Code]=B181)*(CRDJ[Date]&lt;=$A$7),(CRDJ[Credit])))+(SUM(IF((GJ[Account Code]=B181)*(GJ[Date]&lt;=$A$7),(GJ[Credit]))))))))</f>
        <v>0</v>
      </c>
      <c r="G181" s="620">
        <f>IF(INDEX(AccountCodes[Normal Balance], MATCH(C181,AccountCodes[PPSAS CODE]))="Credit",F181-E181,0)</f>
        <v>0</v>
      </c>
      <c r="H181" s="621">
        <f t="shared" si="2"/>
        <v>0</v>
      </c>
    </row>
    <row r="182" spans="1:8" ht="15.75" hidden="1" x14ac:dyDescent="0.25">
      <c r="A182" s="613" t="str">
        <f t="array" ref="A182">INDEX(AccountCodes[ACCOUNT NAME],MATCH(B182,AccountCodes[NGAS CODE],0))</f>
        <v>Other Service Income - CIS Equity &amp; Amortization</v>
      </c>
      <c r="B182" s="602" t="s">
        <v>127</v>
      </c>
      <c r="C182" s="615">
        <f t="array" ref="C182">INDEX(AccountCodes[PPSAS CODE],MATCH(B182,AccountCodes[NGAS CODE],0))</f>
        <v>4020199099</v>
      </c>
      <c r="D182" s="616">
        <f>IF(INDEX(AccountCodes[Normal Balance], MATCH(C182,AccountCodes[PPSAS CODE]))="Debit",E182-F182,0)</f>
        <v>0</v>
      </c>
      <c r="E182" s="488">
        <f t="array" ref="E182">(SUM(IF((PostTB[Account Code (Old)]=B182),(PostTB[Debit])))+(SUM(IF((CkDJ[Account Code]=B182)*(CkDJ[Date]&lt;=$A$7),(CkDJ[Debit])))+(SUM(IF((CsDJ[Account Code]=B182)*(CsDJ[Date]&lt;=$A$7),(CsDJ[Debit])))+(SUM(IF((CRDJ[Account Code]=B182)*(CRDJ[Date]&lt;=$A$7),(CRDJ[Debit])))+(SUM(IF((GJ[Account Code]=B182)*(GJ[Date]&lt;=$A$7),(GJ[Debit]))))))))</f>
        <v>0</v>
      </c>
      <c r="F182" s="490">
        <f t="array" ref="F182">(SUM(IF((PostTB[Account Code (Old)]=B182),(PostTB[Credit])))+(SUM(IF((CkDJ[Account Code]=B182)*(CkDJ[Date]&lt;=$A$7),(CkDJ[Credit])))+(SUM(IF((CsDJ[Account Code]=B182)*(CsDJ[Date]&lt;=$A$7),(CsDJ[Credit])))+(SUM(IF((CRDJ[Account Code]=B182)*(CRDJ[Date]&lt;=$A$7),(CRDJ[Credit])))+(SUM(IF((GJ[Account Code]=B182)*(GJ[Date]&lt;=$A$7),(GJ[Credit]))))))))</f>
        <v>0</v>
      </c>
      <c r="G182" s="620">
        <f>IF(INDEX(AccountCodes[Normal Balance], MATCH(C182,AccountCodes[PPSAS CODE]))="Credit",F182-E182,0)</f>
        <v>0</v>
      </c>
      <c r="H182" s="621">
        <f t="shared" si="2"/>
        <v>0</v>
      </c>
    </row>
    <row r="183" spans="1:8" ht="15.75" hidden="1" x14ac:dyDescent="0.25">
      <c r="A183" s="613" t="str">
        <f t="array" ref="A183">INDEX(AccountCodes[ACCOUNT NAME],MATCH(B183,AccountCodes[NGAS CODE],0))</f>
        <v>Other Service Income - CIS Amortization (Current Account)</v>
      </c>
      <c r="B183" s="602" t="s">
        <v>128</v>
      </c>
      <c r="C183" s="615">
        <f t="array" ref="C183">INDEX(AccountCodes[PPSAS CODE],MATCH(B183,AccountCodes[NGAS CODE],0))</f>
        <v>4020199099</v>
      </c>
      <c r="D183" s="616">
        <f>IF(INDEX(AccountCodes[Normal Balance], MATCH(C183,AccountCodes[PPSAS CODE]))="Debit",E183-F183,0)</f>
        <v>0</v>
      </c>
      <c r="E183" s="488">
        <f t="array" ref="E183">(SUM(IF((PostTB[Account Code (Old)]=B183),(PostTB[Debit])))+(SUM(IF((CkDJ[Account Code]=B183)*(CkDJ[Date]&lt;=$A$7),(CkDJ[Debit])))+(SUM(IF((CsDJ[Account Code]=B183)*(CsDJ[Date]&lt;=$A$7),(CsDJ[Debit])))+(SUM(IF((CRDJ[Account Code]=B183)*(CRDJ[Date]&lt;=$A$7),(CRDJ[Debit])))+(SUM(IF((GJ[Account Code]=B183)*(GJ[Date]&lt;=$A$7),(GJ[Debit]))))))))</f>
        <v>0</v>
      </c>
      <c r="F183" s="490">
        <f t="array" ref="F183">(SUM(IF((PostTB[Account Code (Old)]=B183),(PostTB[Credit])))+(SUM(IF((CkDJ[Account Code]=B183)*(CkDJ[Date]&lt;=$A$7),(CkDJ[Credit])))+(SUM(IF((CsDJ[Account Code]=B183)*(CsDJ[Date]&lt;=$A$7),(CsDJ[Credit])))+(SUM(IF((CRDJ[Account Code]=B183)*(CRDJ[Date]&lt;=$A$7),(CRDJ[Credit])))+(SUM(IF((GJ[Account Code]=B183)*(GJ[Date]&lt;=$A$7),(GJ[Credit]))))))))</f>
        <v>0</v>
      </c>
      <c r="G183" s="620">
        <f>IF(INDEX(AccountCodes[Normal Balance], MATCH(C183,AccountCodes[PPSAS CODE]))="Credit",F183-E183,0)</f>
        <v>0</v>
      </c>
      <c r="H183" s="621">
        <f t="shared" si="2"/>
        <v>0</v>
      </c>
    </row>
    <row r="184" spans="1:8" ht="15.75" hidden="1" x14ac:dyDescent="0.25">
      <c r="A184" s="613" t="str">
        <f t="array" ref="A184">INDEX(AccountCodes[ACCOUNT NAME],MATCH(B184,AccountCodes[NGAS CODE],0))</f>
        <v>Other Service Income - CIS Amortization (Back Account)</v>
      </c>
      <c r="B184" s="602" t="s">
        <v>129</v>
      </c>
      <c r="C184" s="615">
        <f t="array" ref="C184">INDEX(AccountCodes[PPSAS CODE],MATCH(B184,AccountCodes[NGAS CODE],0))</f>
        <v>4020199099</v>
      </c>
      <c r="D184" s="616">
        <f>IF(INDEX(AccountCodes[Normal Balance], MATCH(C184,AccountCodes[PPSAS CODE]))="Debit",E184-F184,0)</f>
        <v>0</v>
      </c>
      <c r="E184" s="488">
        <f t="array" ref="E184">(SUM(IF((PostTB[Account Code (Old)]=B184),(PostTB[Debit])))+(SUM(IF((CkDJ[Account Code]=B184)*(CkDJ[Date]&lt;=$A$7),(CkDJ[Debit])))+(SUM(IF((CsDJ[Account Code]=B184)*(CsDJ[Date]&lt;=$A$7),(CsDJ[Debit])))+(SUM(IF((CRDJ[Account Code]=B184)*(CRDJ[Date]&lt;=$A$7),(CRDJ[Debit])))+(SUM(IF((GJ[Account Code]=B184)*(GJ[Date]&lt;=$A$7),(GJ[Debit]))))))))</f>
        <v>0</v>
      </c>
      <c r="F184" s="490">
        <f t="array" ref="F184">(SUM(IF((PostTB[Account Code (Old)]=B184),(PostTB[Credit])))+(SUM(IF((CkDJ[Account Code]=B184)*(CkDJ[Date]&lt;=$A$7),(CkDJ[Credit])))+(SUM(IF((CsDJ[Account Code]=B184)*(CsDJ[Date]&lt;=$A$7),(CsDJ[Credit])))+(SUM(IF((CRDJ[Account Code]=B184)*(CRDJ[Date]&lt;=$A$7),(CRDJ[Credit])))+(SUM(IF((GJ[Account Code]=B184)*(GJ[Date]&lt;=$A$7),(GJ[Credit]))))))))</f>
        <v>0</v>
      </c>
      <c r="G184" s="620">
        <f>IF(INDEX(AccountCodes[Normal Balance], MATCH(C184,AccountCodes[PPSAS CODE]))="Credit",F184-E184,0)</f>
        <v>0</v>
      </c>
      <c r="H184" s="621">
        <f t="shared" si="2"/>
        <v>0</v>
      </c>
    </row>
    <row r="185" spans="1:8" ht="15.75" hidden="1" x14ac:dyDescent="0.25">
      <c r="A185" s="613" t="str">
        <f t="array" ref="A185">INDEX(AccountCodes[ACCOUNT NAME],MATCH(B185,AccountCodes[NGAS CODE],0))</f>
        <v>Other Service Income - Pump Amortization (Current Account)</v>
      </c>
      <c r="B185" s="602" t="s">
        <v>131</v>
      </c>
      <c r="C185" s="615">
        <f t="array" ref="C185">INDEX(AccountCodes[PPSAS CODE],MATCH(B185,AccountCodes[NGAS CODE],0))</f>
        <v>4020199099</v>
      </c>
      <c r="D185" s="616">
        <f>IF(INDEX(AccountCodes[Normal Balance], MATCH(C185,AccountCodes[PPSAS CODE]))="Debit",E185-F185,0)</f>
        <v>0</v>
      </c>
      <c r="E185" s="488">
        <f t="array" ref="E185">(SUM(IF((PostTB[Account Code (Old)]=B185),(PostTB[Debit])))+(SUM(IF((CkDJ[Account Code]=B185)*(CkDJ[Date]&lt;=$A$7),(CkDJ[Debit])))+(SUM(IF((CsDJ[Account Code]=B185)*(CsDJ[Date]&lt;=$A$7),(CsDJ[Debit])))+(SUM(IF((CRDJ[Account Code]=B185)*(CRDJ[Date]&lt;=$A$7),(CRDJ[Debit])))+(SUM(IF((GJ[Account Code]=B185)*(GJ[Date]&lt;=$A$7),(GJ[Debit]))))))))</f>
        <v>0</v>
      </c>
      <c r="F185" s="490">
        <f t="array" ref="F185">(SUM(IF((PostTB[Account Code (Old)]=B185),(PostTB[Credit])))+(SUM(IF((CkDJ[Account Code]=B185)*(CkDJ[Date]&lt;=$A$7),(CkDJ[Credit])))+(SUM(IF((CsDJ[Account Code]=B185)*(CsDJ[Date]&lt;=$A$7),(CsDJ[Credit])))+(SUM(IF((CRDJ[Account Code]=B185)*(CRDJ[Date]&lt;=$A$7),(CRDJ[Credit])))+(SUM(IF((GJ[Account Code]=B185)*(GJ[Date]&lt;=$A$7),(GJ[Credit]))))))))</f>
        <v>0</v>
      </c>
      <c r="G185" s="620">
        <f>IF(INDEX(AccountCodes[Normal Balance], MATCH(C185,AccountCodes[PPSAS CODE]))="Credit",F185-E185,0)</f>
        <v>0</v>
      </c>
      <c r="H185" s="621">
        <f t="shared" si="2"/>
        <v>0</v>
      </c>
    </row>
    <row r="186" spans="1:8" ht="15.75" hidden="1" x14ac:dyDescent="0.25">
      <c r="A186" s="613" t="str">
        <f t="array" ref="A186">INDEX(AccountCodes[ACCOUNT NAME],MATCH(B186,AccountCodes[NGAS CODE],0))</f>
        <v>Other Service Income - Pump Amortization (Back Account)</v>
      </c>
      <c r="B186" s="602" t="s">
        <v>140</v>
      </c>
      <c r="C186" s="615">
        <f t="array" ref="C186">INDEX(AccountCodes[PPSAS CODE],MATCH(B186,AccountCodes[NGAS CODE],0))</f>
        <v>4020199099</v>
      </c>
      <c r="D186" s="616">
        <f>IF(INDEX(AccountCodes[Normal Balance], MATCH(C186,AccountCodes[PPSAS CODE]))="Debit",E186-F186,0)</f>
        <v>0</v>
      </c>
      <c r="E186" s="488">
        <f t="array" ref="E186">(SUM(IF((PostTB[Account Code (Old)]=B186),(PostTB[Debit])))+(SUM(IF((CkDJ[Account Code]=B186)*(CkDJ[Date]&lt;=$A$7),(CkDJ[Debit])))+(SUM(IF((CsDJ[Account Code]=B186)*(CsDJ[Date]&lt;=$A$7),(CsDJ[Debit])))+(SUM(IF((CRDJ[Account Code]=B186)*(CRDJ[Date]&lt;=$A$7),(CRDJ[Debit])))+(SUM(IF((GJ[Account Code]=B186)*(GJ[Date]&lt;=$A$7),(GJ[Debit]))))))))</f>
        <v>0</v>
      </c>
      <c r="F186" s="490">
        <f t="array" ref="F186">(SUM(IF((PostTB[Account Code (Old)]=B186),(PostTB[Credit])))+(SUM(IF((CkDJ[Account Code]=B186)*(CkDJ[Date]&lt;=$A$7),(CkDJ[Credit])))+(SUM(IF((CsDJ[Account Code]=B186)*(CsDJ[Date]&lt;=$A$7),(CsDJ[Credit])))+(SUM(IF((CRDJ[Account Code]=B186)*(CRDJ[Date]&lt;=$A$7),(CRDJ[Credit])))+(SUM(IF((GJ[Account Code]=B186)*(GJ[Date]&lt;=$A$7),(GJ[Credit]))))))))</f>
        <v>0</v>
      </c>
      <c r="G186" s="620">
        <f>IF(INDEX(AccountCodes[Normal Balance], MATCH(C186,AccountCodes[PPSAS CODE]))="Credit",F186-E186,0)</f>
        <v>0</v>
      </c>
      <c r="H186" s="621">
        <f t="shared" si="2"/>
        <v>0</v>
      </c>
    </row>
    <row r="187" spans="1:8" ht="15.75" hidden="1" x14ac:dyDescent="0.25">
      <c r="A187" s="613" t="str">
        <f t="array" ref="A187">INDEX(AccountCodes[ACCOUNT NAME],MATCH(B187,AccountCodes[NGAS CODE],0))</f>
        <v>Other Service Income - Pump Equity (Current Account)</v>
      </c>
      <c r="B187" s="602" t="s">
        <v>141</v>
      </c>
      <c r="C187" s="615">
        <f t="array" ref="C187">INDEX(AccountCodes[PPSAS CODE],MATCH(B187,AccountCodes[NGAS CODE],0))</f>
        <v>4020199099</v>
      </c>
      <c r="D187" s="616">
        <f>IF(INDEX(AccountCodes[Normal Balance], MATCH(C187,AccountCodes[PPSAS CODE]))="Debit",E187-F187,0)</f>
        <v>0</v>
      </c>
      <c r="E187" s="488">
        <f t="array" ref="E187">(SUM(IF((PostTB[Account Code (Old)]=B187),(PostTB[Debit])))+(SUM(IF((CkDJ[Account Code]=B187)*(CkDJ[Date]&lt;=$A$7),(CkDJ[Debit])))+(SUM(IF((CsDJ[Account Code]=B187)*(CsDJ[Date]&lt;=$A$7),(CsDJ[Debit])))+(SUM(IF((CRDJ[Account Code]=B187)*(CRDJ[Date]&lt;=$A$7),(CRDJ[Debit])))+(SUM(IF((GJ[Account Code]=B187)*(GJ[Date]&lt;=$A$7),(GJ[Debit]))))))))</f>
        <v>0</v>
      </c>
      <c r="F187" s="490">
        <f t="array" ref="F187">(SUM(IF((PostTB[Account Code (Old)]=B187),(PostTB[Credit])))+(SUM(IF((CkDJ[Account Code]=B187)*(CkDJ[Date]&lt;=$A$7),(CkDJ[Credit])))+(SUM(IF((CsDJ[Account Code]=B187)*(CsDJ[Date]&lt;=$A$7),(CsDJ[Credit])))+(SUM(IF((CRDJ[Account Code]=B187)*(CRDJ[Date]&lt;=$A$7),(CRDJ[Credit])))+(SUM(IF((GJ[Account Code]=B187)*(GJ[Date]&lt;=$A$7),(GJ[Credit]))))))))</f>
        <v>0</v>
      </c>
      <c r="G187" s="620">
        <f>IF(INDEX(AccountCodes[Normal Balance], MATCH(C187,AccountCodes[PPSAS CODE]))="Credit",F187-E187,0)</f>
        <v>0</v>
      </c>
      <c r="H187" s="621">
        <f t="shared" si="2"/>
        <v>0</v>
      </c>
    </row>
    <row r="188" spans="1:8" ht="15.75" hidden="1" x14ac:dyDescent="0.25">
      <c r="A188" s="613" t="str">
        <f t="array" ref="A188">INDEX(AccountCodes[ACCOUNT NAME],MATCH(B188,AccountCodes[NGAS CODE],0))</f>
        <v>Other Service Income - Pump Equity (Back Account)</v>
      </c>
      <c r="B188" s="602" t="s">
        <v>142</v>
      </c>
      <c r="C188" s="615">
        <f t="array" ref="C188">INDEX(AccountCodes[PPSAS CODE],MATCH(B188,AccountCodes[NGAS CODE],0))</f>
        <v>4020199099</v>
      </c>
      <c r="D188" s="616">
        <f>IF(INDEX(AccountCodes[Normal Balance], MATCH(C188,AccountCodes[PPSAS CODE]))="Debit",E188-F188,0)</f>
        <v>0</v>
      </c>
      <c r="E188" s="488">
        <f t="array" ref="E188">(SUM(IF((PostTB[Account Code (Old)]=B188),(PostTB[Debit])))+(SUM(IF((CkDJ[Account Code]=B188)*(CkDJ[Date]&lt;=$A$7),(CkDJ[Debit])))+(SUM(IF((CsDJ[Account Code]=B188)*(CsDJ[Date]&lt;=$A$7),(CsDJ[Debit])))+(SUM(IF((CRDJ[Account Code]=B188)*(CRDJ[Date]&lt;=$A$7),(CRDJ[Debit])))+(SUM(IF((GJ[Account Code]=B188)*(GJ[Date]&lt;=$A$7),(GJ[Debit]))))))))</f>
        <v>0</v>
      </c>
      <c r="F188" s="490">
        <f t="array" ref="F188">(SUM(IF((PostTB[Account Code (Old)]=B188),(PostTB[Credit])))+(SUM(IF((CkDJ[Account Code]=B188)*(CkDJ[Date]&lt;=$A$7),(CkDJ[Credit])))+(SUM(IF((CsDJ[Account Code]=B188)*(CsDJ[Date]&lt;=$A$7),(CsDJ[Credit])))+(SUM(IF((CRDJ[Account Code]=B188)*(CRDJ[Date]&lt;=$A$7),(CRDJ[Credit])))+(SUM(IF((GJ[Account Code]=B188)*(GJ[Date]&lt;=$A$7),(GJ[Credit]))))))))</f>
        <v>0</v>
      </c>
      <c r="G188" s="620">
        <f>IF(INDEX(AccountCodes[Normal Balance], MATCH(C188,AccountCodes[PPSAS CODE]))="Credit",F188-E188,0)</f>
        <v>0</v>
      </c>
      <c r="H188" s="621">
        <f t="shared" si="2"/>
        <v>0</v>
      </c>
    </row>
    <row r="189" spans="1:8" ht="15.75" hidden="1" x14ac:dyDescent="0.25">
      <c r="A189" s="613" t="str">
        <f t="array" ref="A189">INDEX(AccountCodes[ACCOUNT NAME],MATCH(B189,AccountCodes[NGAS CODE],0))</f>
        <v>Equipment Rental</v>
      </c>
      <c r="B189" s="602" t="s">
        <v>1540</v>
      </c>
      <c r="C189" s="615">
        <f t="array" ref="C189">INDEX(AccountCodes[PPSAS CODE],MATCH(B189,AccountCodes[NGAS CODE],0))</f>
        <v>4020205000</v>
      </c>
      <c r="D189" s="616">
        <f>IF(INDEX(AccountCodes[Normal Balance], MATCH(C189,AccountCodes[PPSAS CODE]))="Debit",E189-F189,0)</f>
        <v>0</v>
      </c>
      <c r="E189" s="488">
        <f t="array" ref="E189">(SUM(IF((PostTB[Account Code (Old)]=B189),(PostTB[Debit])))+(SUM(IF((CkDJ[Account Code]=B189)*(CkDJ[Date]&lt;=$A$7),(CkDJ[Debit])))+(SUM(IF((CsDJ[Account Code]=B189)*(CsDJ[Date]&lt;=$A$7),(CsDJ[Debit])))+(SUM(IF((CRDJ[Account Code]=B189)*(CRDJ[Date]&lt;=$A$7),(CRDJ[Debit])))+(SUM(IF((GJ[Account Code]=B189)*(GJ[Date]&lt;=$A$7),(GJ[Debit]))))))))</f>
        <v>0</v>
      </c>
      <c r="F189" s="490">
        <f t="array" ref="F189">(SUM(IF((PostTB[Account Code (Old)]=B189),(PostTB[Credit])))+(SUM(IF((CkDJ[Account Code]=B189)*(CkDJ[Date]&lt;=$A$7),(CkDJ[Credit])))+(SUM(IF((CsDJ[Account Code]=B189)*(CsDJ[Date]&lt;=$A$7),(CsDJ[Credit])))+(SUM(IF((CRDJ[Account Code]=B189)*(CRDJ[Date]&lt;=$A$7),(CRDJ[Credit])))+(SUM(IF((GJ[Account Code]=B189)*(GJ[Date]&lt;=$A$7),(GJ[Credit]))))))))</f>
        <v>0</v>
      </c>
      <c r="G189" s="620">
        <f>IF(INDEX(AccountCodes[Normal Balance], MATCH(C189,AccountCodes[PPSAS CODE]))="Credit",F189-E189,0)</f>
        <v>0</v>
      </c>
      <c r="H189" s="621">
        <f>IF(D189=0,G189,D189)</f>
        <v>0</v>
      </c>
    </row>
    <row r="190" spans="1:8" ht="15.75" hidden="1" x14ac:dyDescent="0.25">
      <c r="A190" s="613" t="str">
        <f t="array" ref="A190">INDEX(AccountCodes[ACCOUNT NAME],MATCH(B190,AccountCodes[NGAS CODE],0))</f>
        <v>Equipment Rental - Internal (CA)</v>
      </c>
      <c r="B190" s="602" t="s">
        <v>146</v>
      </c>
      <c r="C190" s="615">
        <f t="array" ref="C190">INDEX(AccountCodes[PPSAS CODE],MATCH(B190,AccountCodes[NGAS CODE],0))</f>
        <v>4020205001</v>
      </c>
      <c r="D190" s="616">
        <f>IF(INDEX(AccountCodes[Normal Balance], MATCH(C190,AccountCodes[PPSAS CODE]))="Debit",E190-F190,0)</f>
        <v>0</v>
      </c>
      <c r="E190" s="488">
        <f t="array" ref="E190">(SUM(IF((PostTB[Account Code (Old)]=B190),(PostTB[Debit])))+(SUM(IF((CkDJ[Account Code]=B190)*(CkDJ[Date]&lt;=$A$7),(CkDJ[Debit])))+(SUM(IF((CsDJ[Account Code]=B190)*(CsDJ[Date]&lt;=$A$7),(CsDJ[Debit])))+(SUM(IF((CRDJ[Account Code]=B190)*(CRDJ[Date]&lt;=$A$7),(CRDJ[Debit])))+(SUM(IF((GJ[Account Code]=B190)*(GJ[Date]&lt;=$A$7),(GJ[Debit]))))))))</f>
        <v>0</v>
      </c>
      <c r="F190" s="490">
        <f t="array" ref="F190">(SUM(IF((PostTB[Account Code (Old)]=B190),(PostTB[Credit])))+(SUM(IF((CkDJ[Account Code]=B190)*(CkDJ[Date]&lt;=$A$7),(CkDJ[Credit])))+(SUM(IF((CsDJ[Account Code]=B190)*(CsDJ[Date]&lt;=$A$7),(CsDJ[Credit])))+(SUM(IF((CRDJ[Account Code]=B190)*(CRDJ[Date]&lt;=$A$7),(CRDJ[Credit])))+(SUM(IF((GJ[Account Code]=B190)*(GJ[Date]&lt;=$A$7),(GJ[Credit]))))))))</f>
        <v>0</v>
      </c>
      <c r="G190" s="620">
        <f>IF(INDEX(AccountCodes[Normal Balance], MATCH(C190,AccountCodes[PPSAS CODE]))="Credit",F190-E190,0)</f>
        <v>0</v>
      </c>
      <c r="H190" s="621">
        <f t="shared" si="2"/>
        <v>0</v>
      </c>
    </row>
    <row r="191" spans="1:8" ht="15.75" hidden="1" x14ac:dyDescent="0.25">
      <c r="A191" s="613" t="str">
        <f t="array" ref="A191">INDEX(AccountCodes[ACCOUNT NAME],MATCH(B191,AccountCodes[NGAS CODE],0))</f>
        <v>Equipment Rental - External (CA)</v>
      </c>
      <c r="B191" s="602" t="s">
        <v>147</v>
      </c>
      <c r="C191" s="615">
        <f t="array" ref="C191">INDEX(AccountCodes[PPSAS CODE],MATCH(B191,AccountCodes[NGAS CODE],0))</f>
        <v>4020205002</v>
      </c>
      <c r="D191" s="616">
        <f>IF(INDEX(AccountCodes[Normal Balance], MATCH(C191,AccountCodes[PPSAS CODE]))="Debit",E191-F191,0)</f>
        <v>0</v>
      </c>
      <c r="E191" s="488">
        <f t="array" ref="E191">(SUM(IF((PostTB[Account Code (Old)]=B191),(PostTB[Debit])))+(SUM(IF((CkDJ[Account Code]=B191)*(CkDJ[Date]&lt;=$A$7),(CkDJ[Debit])))+(SUM(IF((CsDJ[Account Code]=B191)*(CsDJ[Date]&lt;=$A$7),(CsDJ[Debit])))+(SUM(IF((CRDJ[Account Code]=B191)*(CRDJ[Date]&lt;=$A$7),(CRDJ[Debit])))+(SUM(IF((GJ[Account Code]=B191)*(GJ[Date]&lt;=$A$7),(GJ[Debit]))))))))</f>
        <v>0</v>
      </c>
      <c r="F191" s="490">
        <f t="array" ref="F191">(SUM(IF((PostTB[Account Code (Old)]=B191),(PostTB[Credit])))+(SUM(IF((CkDJ[Account Code]=B191)*(CkDJ[Date]&lt;=$A$7),(CkDJ[Credit])))+(SUM(IF((CsDJ[Account Code]=B191)*(CsDJ[Date]&lt;=$A$7),(CsDJ[Credit])))+(SUM(IF((CRDJ[Account Code]=B191)*(CRDJ[Date]&lt;=$A$7),(CRDJ[Credit])))+(SUM(IF((GJ[Account Code]=B191)*(GJ[Date]&lt;=$A$7),(GJ[Credit]))))))))</f>
        <v>0</v>
      </c>
      <c r="G191" s="620">
        <f>IF(INDEX(AccountCodes[Normal Balance], MATCH(C191,AccountCodes[PPSAS CODE]))="Credit",F191-E191,0)</f>
        <v>0</v>
      </c>
      <c r="H191" s="621">
        <f t="shared" si="2"/>
        <v>0</v>
      </c>
    </row>
    <row r="192" spans="1:8" ht="15.75" hidden="1" x14ac:dyDescent="0.25">
      <c r="A192" s="613" t="str">
        <f t="array" ref="A192">INDEX(AccountCodes[ACCOUNT NAME],MATCH(B192,AccountCodes[NGAS CODE],0))</f>
        <v>Equipment Rental - Internal (BA)</v>
      </c>
      <c r="B192" s="602" t="s">
        <v>148</v>
      </c>
      <c r="C192" s="615">
        <f t="array" ref="C192">INDEX(AccountCodes[PPSAS CODE],MATCH(B192,AccountCodes[NGAS CODE],0))</f>
        <v>4020205003</v>
      </c>
      <c r="D192" s="616">
        <f>IF(INDEX(AccountCodes[Normal Balance], MATCH(C192,AccountCodes[PPSAS CODE]))="Debit",E192-F192,0)</f>
        <v>0</v>
      </c>
      <c r="E192" s="488">
        <f t="array" ref="E192">(SUM(IF((PostTB[Account Code (Old)]=B192),(PostTB[Debit])))+(SUM(IF((CkDJ[Account Code]=B192)*(CkDJ[Date]&lt;=$A$7),(CkDJ[Debit])))+(SUM(IF((CsDJ[Account Code]=B192)*(CsDJ[Date]&lt;=$A$7),(CsDJ[Debit])))+(SUM(IF((CRDJ[Account Code]=B192)*(CRDJ[Date]&lt;=$A$7),(CRDJ[Debit])))+(SUM(IF((GJ[Account Code]=B192)*(GJ[Date]&lt;=$A$7),(GJ[Debit]))))))))</f>
        <v>0</v>
      </c>
      <c r="F192" s="490">
        <f t="array" ref="F192">(SUM(IF((PostTB[Account Code (Old)]=B192),(PostTB[Credit])))+(SUM(IF((CkDJ[Account Code]=B192)*(CkDJ[Date]&lt;=$A$7),(CkDJ[Credit])))+(SUM(IF((CsDJ[Account Code]=B192)*(CsDJ[Date]&lt;=$A$7),(CsDJ[Credit])))+(SUM(IF((CRDJ[Account Code]=B192)*(CRDJ[Date]&lt;=$A$7),(CRDJ[Credit])))+(SUM(IF((GJ[Account Code]=B192)*(GJ[Date]&lt;=$A$7),(GJ[Credit]))))))))</f>
        <v>0</v>
      </c>
      <c r="G192" s="620">
        <f>IF(INDEX(AccountCodes[Normal Balance], MATCH(C192,AccountCodes[PPSAS CODE]))="Credit",F192-E192,0)</f>
        <v>0</v>
      </c>
      <c r="H192" s="621">
        <f t="shared" si="2"/>
        <v>0</v>
      </c>
    </row>
    <row r="193" spans="1:8" ht="15.75" hidden="1" x14ac:dyDescent="0.25">
      <c r="A193" s="613" t="str">
        <f t="array" ref="A193">INDEX(AccountCodes[ACCOUNT NAME],MATCH(B193,AccountCodes[NGAS CODE],0))</f>
        <v>Equipment Rental - External (BA)</v>
      </c>
      <c r="B193" s="602" t="s">
        <v>149</v>
      </c>
      <c r="C193" s="615">
        <f t="array" ref="C193">INDEX(AccountCodes[PPSAS CODE],MATCH(B193,AccountCodes[NGAS CODE],0))</f>
        <v>4020205004</v>
      </c>
      <c r="D193" s="616">
        <f>IF(INDEX(AccountCodes[Normal Balance], MATCH(C193,AccountCodes[PPSAS CODE]))="Debit",E193-F193,0)</f>
        <v>0</v>
      </c>
      <c r="E193" s="488">
        <f t="array" ref="E193">(SUM(IF((PostTB[Account Code (Old)]=B193),(PostTB[Debit])))+(SUM(IF((CkDJ[Account Code]=B193)*(CkDJ[Date]&lt;=$A$7),(CkDJ[Debit])))+(SUM(IF((CsDJ[Account Code]=B193)*(CsDJ[Date]&lt;=$A$7),(CsDJ[Debit])))+(SUM(IF((CRDJ[Account Code]=B193)*(CRDJ[Date]&lt;=$A$7),(CRDJ[Debit])))+(SUM(IF((GJ[Account Code]=B193)*(GJ[Date]&lt;=$A$7),(GJ[Debit]))))))))</f>
        <v>0</v>
      </c>
      <c r="F193" s="490">
        <f t="array" ref="F193">(SUM(IF((PostTB[Account Code (Old)]=B193),(PostTB[Credit])))+(SUM(IF((CkDJ[Account Code]=B193)*(CkDJ[Date]&lt;=$A$7),(CkDJ[Credit])))+(SUM(IF((CsDJ[Account Code]=B193)*(CsDJ[Date]&lt;=$A$7),(CsDJ[Credit])))+(SUM(IF((CRDJ[Account Code]=B193)*(CRDJ[Date]&lt;=$A$7),(CRDJ[Credit])))+(SUM(IF((GJ[Account Code]=B193)*(GJ[Date]&lt;=$A$7),(GJ[Credit]))))))))</f>
        <v>0</v>
      </c>
      <c r="G193" s="620">
        <f>IF(INDEX(AccountCodes[Normal Balance], MATCH(C193,AccountCodes[PPSAS CODE]))="Credit",F193-E193,0)</f>
        <v>0</v>
      </c>
      <c r="H193" s="621">
        <f t="shared" si="2"/>
        <v>0</v>
      </c>
    </row>
    <row r="194" spans="1:8" ht="15.75" hidden="1" x14ac:dyDescent="0.25">
      <c r="A194" s="613" t="str">
        <f t="array" ref="A194">INDEX(AccountCodes[ACCOUNT NAME],MATCH(B194,AccountCodes[NGAS CODE],0))</f>
        <v>Income from Hostels/Dormitories and Other Like Facilities</v>
      </c>
      <c r="B194" s="602" t="s">
        <v>150</v>
      </c>
      <c r="C194" s="615">
        <f t="array" ref="C194">INDEX(AccountCodes[PPSAS CODE],MATCH(B194,AccountCodes[NGAS CODE],0))</f>
        <v>4020213000</v>
      </c>
      <c r="D194" s="616">
        <f>IF(INDEX(AccountCodes[Normal Balance], MATCH(C194,AccountCodes[PPSAS CODE]))="Debit",E194-F194,0)</f>
        <v>0</v>
      </c>
      <c r="E194" s="488">
        <f t="array" ref="E194">(SUM(IF((PostTB[Account Code (Old)]=B194),(PostTB[Debit])))+(SUM(IF((CkDJ[Account Code]=B194)*(CkDJ[Date]&lt;=$A$7),(CkDJ[Debit])))+(SUM(IF((CsDJ[Account Code]=B194)*(CsDJ[Date]&lt;=$A$7),(CsDJ[Debit])))+(SUM(IF((CRDJ[Account Code]=B194)*(CRDJ[Date]&lt;=$A$7),(CRDJ[Debit])))+(SUM(IF((GJ[Account Code]=B194)*(GJ[Date]&lt;=$A$7),(GJ[Debit]))))))))</f>
        <v>0</v>
      </c>
      <c r="F194" s="490">
        <f t="array" ref="F194">(SUM(IF((PostTB[Account Code (Old)]=B194),(PostTB[Credit])))+(SUM(IF((CkDJ[Account Code]=B194)*(CkDJ[Date]&lt;=$A$7),(CkDJ[Credit])))+(SUM(IF((CsDJ[Account Code]=B194)*(CsDJ[Date]&lt;=$A$7),(CsDJ[Credit])))+(SUM(IF((CRDJ[Account Code]=B194)*(CRDJ[Date]&lt;=$A$7),(CRDJ[Credit])))+(SUM(IF((GJ[Account Code]=B194)*(GJ[Date]&lt;=$A$7),(GJ[Credit]))))))))</f>
        <v>0</v>
      </c>
      <c r="G194" s="620">
        <f>IF(INDEX(AccountCodes[Normal Balance], MATCH(C194,AccountCodes[PPSAS CODE]))="Credit",F194-E194,0)</f>
        <v>0</v>
      </c>
      <c r="H194" s="621">
        <f t="shared" si="2"/>
        <v>0</v>
      </c>
    </row>
    <row r="195" spans="1:8" ht="15.75" hidden="1" x14ac:dyDescent="0.25">
      <c r="A195" s="613" t="str">
        <f t="array" ref="A195">INDEX(AccountCodes[ACCOUNT NAME],MATCH(B195,AccountCodes[NGAS CODE],0))</f>
        <v>Interest Income</v>
      </c>
      <c r="B195" s="602" t="s">
        <v>154</v>
      </c>
      <c r="C195" s="615">
        <f t="array" ref="C195">INDEX(AccountCodes[PPSAS CODE],MATCH(B195,AccountCodes[NGAS CODE],0))</f>
        <v>4020221000</v>
      </c>
      <c r="D195" s="616">
        <f>IF(INDEX(AccountCodes[Normal Balance], MATCH(C195,AccountCodes[PPSAS CODE]))="Debit",E195-F195,0)</f>
        <v>0</v>
      </c>
      <c r="E195" s="488">
        <f t="array" ref="E195">(SUM(IF((PostTB[Account Code (Old)]=B195),(PostTB[Debit])))+(SUM(IF((CkDJ[Account Code]=B195)*(CkDJ[Date]&lt;=$A$7),(CkDJ[Debit])))+(SUM(IF((CsDJ[Account Code]=B195)*(CsDJ[Date]&lt;=$A$7),(CsDJ[Debit])))+(SUM(IF((CRDJ[Account Code]=B195)*(CRDJ[Date]&lt;=$A$7),(CRDJ[Debit])))+(SUM(IF((GJ[Account Code]=B195)*(GJ[Date]&lt;=$A$7),(GJ[Debit]))))))))</f>
        <v>0</v>
      </c>
      <c r="F195" s="490">
        <f t="array" ref="F195">(SUM(IF((PostTB[Account Code (Old)]=B195),(PostTB[Credit])))+(SUM(IF((CkDJ[Account Code]=B195)*(CkDJ[Date]&lt;=$A$7),(CkDJ[Credit])))+(SUM(IF((CsDJ[Account Code]=B195)*(CsDJ[Date]&lt;=$A$7),(CsDJ[Credit])))+(SUM(IF((CRDJ[Account Code]=B195)*(CRDJ[Date]&lt;=$A$7),(CRDJ[Credit])))+(SUM(IF((GJ[Account Code]=B195)*(GJ[Date]&lt;=$A$7),(GJ[Credit]))))))))</f>
        <v>0</v>
      </c>
      <c r="G195" s="620">
        <f>IF(INDEX(AccountCodes[Normal Balance], MATCH(C195,AccountCodes[PPSAS CODE]))="Credit",F195-E195,0)</f>
        <v>0</v>
      </c>
      <c r="H195" s="621">
        <f t="shared" si="2"/>
        <v>0</v>
      </c>
    </row>
    <row r="196" spans="1:8" ht="15.75" hidden="1" x14ac:dyDescent="0.25">
      <c r="A196" s="613" t="str">
        <f t="array" ref="A196">INDEX(AccountCodes[ACCOUNT NAME],MATCH(B196,AccountCodes[NGAS CODE],0))</f>
        <v>Fines and Penalties-Irrigation Service Fee</v>
      </c>
      <c r="B196" s="602" t="s">
        <v>143</v>
      </c>
      <c r="C196" s="615">
        <f t="array" ref="C196">INDEX(AccountCodes[PPSAS CODE],MATCH(B196,AccountCodes[NGAS CODE],0))</f>
        <v>4020223000</v>
      </c>
      <c r="D196" s="616">
        <f>IF(INDEX(AccountCodes[Normal Balance], MATCH(C196,AccountCodes[PPSAS CODE]))="Debit",E196-F196,0)</f>
        <v>0</v>
      </c>
      <c r="E196" s="488">
        <f t="array" ref="E196">(SUM(IF((PostTB[Account Code (Old)]=B196),(PostTB[Debit])))+(SUM(IF((CkDJ[Account Code]=B196)*(CkDJ[Date]&lt;=$A$7),(CkDJ[Debit])))+(SUM(IF((CsDJ[Account Code]=B196)*(CsDJ[Date]&lt;=$A$7),(CsDJ[Debit])))+(SUM(IF((CRDJ[Account Code]=B196)*(CRDJ[Date]&lt;=$A$7),(CRDJ[Debit])))+(SUM(IF((GJ[Account Code]=B196)*(GJ[Date]&lt;=$A$7),(GJ[Debit]))))))))</f>
        <v>0</v>
      </c>
      <c r="F196" s="490">
        <f t="array" ref="F196">(SUM(IF((PostTB[Account Code (Old)]=B196),(PostTB[Credit])))+(SUM(IF((CkDJ[Account Code]=B196)*(CkDJ[Date]&lt;=$A$7),(CkDJ[Credit])))+(SUM(IF((CsDJ[Account Code]=B196)*(CsDJ[Date]&lt;=$A$7),(CsDJ[Credit])))+(SUM(IF((CRDJ[Account Code]=B196)*(CRDJ[Date]&lt;=$A$7),(CRDJ[Credit])))+(SUM(IF((GJ[Account Code]=B196)*(GJ[Date]&lt;=$A$7),(GJ[Credit]))))))))</f>
        <v>0</v>
      </c>
      <c r="G196" s="620">
        <f>IF(INDEX(AccountCodes[Normal Balance], MATCH(C196,AccountCodes[PPSAS CODE]))="Credit",F196-E196,0)</f>
        <v>0</v>
      </c>
      <c r="H196" s="621">
        <f t="shared" si="2"/>
        <v>0</v>
      </c>
    </row>
    <row r="197" spans="1:8" ht="15.75" hidden="1" x14ac:dyDescent="0.25">
      <c r="A197" s="613" t="str">
        <f t="array" ref="A197">INDEX(AccountCodes[ACCOUNT NAME],MATCH(B197,AccountCodes[NGAS CODE],0))</f>
        <v>Subsidy from National Government</v>
      </c>
      <c r="B197" s="602" t="s">
        <v>151</v>
      </c>
      <c r="C197" s="615">
        <f t="array" ref="C197">INDEX(AccountCodes[PPSAS CODE],MATCH(B197,AccountCodes[NGAS CODE],0))</f>
        <v>4030101000</v>
      </c>
      <c r="D197" s="616">
        <f>IF(INDEX(AccountCodes[Normal Balance], MATCH(C197,AccountCodes[PPSAS CODE]))="Debit",E197-F197,0)</f>
        <v>0</v>
      </c>
      <c r="E197" s="488">
        <f t="array" ref="E197">(SUM(IF((PostTB[Account Code (Old)]=B197),(PostTB[Debit])))+(SUM(IF((CkDJ[Account Code]=B197)*(CkDJ[Date]&lt;=$A$7),(CkDJ[Debit])))+(SUM(IF((CsDJ[Account Code]=B197)*(CsDJ[Date]&lt;=$A$7),(CsDJ[Debit])))+(SUM(IF((CRDJ[Account Code]=B197)*(CRDJ[Date]&lt;=$A$7),(CRDJ[Debit])))+(SUM(IF((GJ[Account Code]=B197)*(GJ[Date]&lt;=$A$7),(GJ[Debit]))))))))</f>
        <v>0</v>
      </c>
      <c r="F197" s="490">
        <f t="array" ref="F197">(SUM(IF((PostTB[Account Code (Old)]=B197),(PostTB[Credit])))+(SUM(IF((CkDJ[Account Code]=B197)*(CkDJ[Date]&lt;=$A$7),(CkDJ[Credit])))+(SUM(IF((CsDJ[Account Code]=B197)*(CsDJ[Date]&lt;=$A$7),(CsDJ[Credit])))+(SUM(IF((CRDJ[Account Code]=B197)*(CRDJ[Date]&lt;=$A$7),(CRDJ[Credit])))+(SUM(IF((GJ[Account Code]=B197)*(GJ[Date]&lt;=$A$7),(GJ[Credit]))))))))</f>
        <v>0</v>
      </c>
      <c r="G197" s="620">
        <f>IF(INDEX(AccountCodes[Normal Balance], MATCH(C197,AccountCodes[PPSAS CODE]))="Credit",F197-E197,0)</f>
        <v>0</v>
      </c>
      <c r="H197" s="621">
        <f t="shared" si="2"/>
        <v>0</v>
      </c>
    </row>
    <row r="198" spans="1:8" ht="15.75" hidden="1" x14ac:dyDescent="0.25">
      <c r="A198" s="613" t="str">
        <f t="array" ref="A198">INDEX(AccountCodes[ACCOUNT NAME],MATCH(B198,AccountCodes[NGAS CODE],0))</f>
        <v>Assistance from Local Government Units</v>
      </c>
      <c r="B198" s="602" t="s">
        <v>1230</v>
      </c>
      <c r="C198" s="615">
        <f t="array" ref="C198">INDEX(AccountCodes[PPSAS CODE],MATCH(B198,AccountCodes[NGAS CODE],0))</f>
        <v>4030103000</v>
      </c>
      <c r="D198" s="616">
        <f>IF(INDEX(AccountCodes[Normal Balance], MATCH(C198,AccountCodes[PPSAS CODE]))="Debit",E198-F198,0)</f>
        <v>0</v>
      </c>
      <c r="E198" s="488">
        <f t="array" ref="E198">(SUM(IF((PostTB[Account Code (Old)]=B198),(PostTB[Debit])))+(SUM(IF((CkDJ[Account Code]=B198)*(CkDJ[Date]&lt;=$A$7),(CkDJ[Debit])))+(SUM(IF((CsDJ[Account Code]=B198)*(CsDJ[Date]&lt;=$A$7),(CsDJ[Debit])))+(SUM(IF((CRDJ[Account Code]=B198)*(CRDJ[Date]&lt;=$A$7),(CRDJ[Debit])))+(SUM(IF((GJ[Account Code]=B198)*(GJ[Date]&lt;=$A$7),(GJ[Debit]))))))))</f>
        <v>0</v>
      </c>
      <c r="F198" s="490">
        <f t="array" ref="F198">(SUM(IF((PostTB[Account Code (Old)]=B198),(PostTB[Credit])))+(SUM(IF((CkDJ[Account Code]=B198)*(CkDJ[Date]&lt;=$A$7),(CkDJ[Credit])))+(SUM(IF((CsDJ[Account Code]=B198)*(CsDJ[Date]&lt;=$A$7),(CsDJ[Credit])))+(SUM(IF((CRDJ[Account Code]=B198)*(CRDJ[Date]&lt;=$A$7),(CRDJ[Credit])))+(SUM(IF((GJ[Account Code]=B198)*(GJ[Date]&lt;=$A$7),(GJ[Credit]))))))))</f>
        <v>0</v>
      </c>
      <c r="G198" s="620">
        <f>IF(INDEX(AccountCodes[Normal Balance], MATCH(C198,AccountCodes[PPSAS CODE]))="Credit",F198-E198,0)</f>
        <v>0</v>
      </c>
      <c r="H198" s="621">
        <f t="shared" si="2"/>
        <v>0</v>
      </c>
    </row>
    <row r="199" spans="1:8" ht="15.75" hidden="1" x14ac:dyDescent="0.25">
      <c r="A199" s="613" t="str">
        <f t="array" ref="A199">INDEX(AccountCodes[ACCOUNT NAME],MATCH(B199,AccountCodes[NGAS CODE],0))</f>
        <v>Subsidy from Other Funds</v>
      </c>
      <c r="B199" s="602" t="s">
        <v>1232</v>
      </c>
      <c r="C199" s="615">
        <f t="array" ref="C199">INDEX(AccountCodes[PPSAS CODE],MATCH(B199,AccountCodes[NGAS CODE],0))</f>
        <v>4030105000</v>
      </c>
      <c r="D199" s="616">
        <f>IF(INDEX(AccountCodes[Normal Balance], MATCH(C199,AccountCodes[PPSAS CODE]))="Debit",E199-F199,0)</f>
        <v>0</v>
      </c>
      <c r="E199" s="488">
        <f t="array" ref="E199">(SUM(IF((PostTB[Account Code (Old)]=B199),(PostTB[Debit])))+(SUM(IF((CkDJ[Account Code]=B199)*(CkDJ[Date]&lt;=$A$7),(CkDJ[Debit])))+(SUM(IF((CsDJ[Account Code]=B199)*(CsDJ[Date]&lt;=$A$7),(CsDJ[Debit])))+(SUM(IF((CRDJ[Account Code]=B199)*(CRDJ[Date]&lt;=$A$7),(CRDJ[Debit])))+(SUM(IF((GJ[Account Code]=B199)*(GJ[Date]&lt;=$A$7),(GJ[Debit]))))))))</f>
        <v>0</v>
      </c>
      <c r="F199" s="490">
        <f t="array" ref="F199">(SUM(IF((PostTB[Account Code (Old)]=B199),(PostTB[Credit])))+(SUM(IF((CkDJ[Account Code]=B199)*(CkDJ[Date]&lt;=$A$7),(CkDJ[Credit])))+(SUM(IF((CsDJ[Account Code]=B199)*(CsDJ[Date]&lt;=$A$7),(CsDJ[Credit])))+(SUM(IF((CRDJ[Account Code]=B199)*(CRDJ[Date]&lt;=$A$7),(CRDJ[Credit])))+(SUM(IF((GJ[Account Code]=B199)*(GJ[Date]&lt;=$A$7),(GJ[Credit]))))))))</f>
        <v>0</v>
      </c>
      <c r="G199" s="620">
        <f>IF(INDEX(AccountCodes[Normal Balance], MATCH(C199,AccountCodes[PPSAS CODE]))="Credit",F199-E199,0)</f>
        <v>0</v>
      </c>
      <c r="H199" s="621">
        <f t="shared" si="2"/>
        <v>0</v>
      </c>
    </row>
    <row r="200" spans="1:8" ht="15.75" x14ac:dyDescent="0.25">
      <c r="A200" s="613" t="str">
        <f t="array" ref="A200">INDEX(AccountCodes[ACCOUNT NAME],MATCH(B200,AccountCodes[NGAS CODE],0))</f>
        <v>Subsidy from Central Office</v>
      </c>
      <c r="B200" s="602" t="s">
        <v>152</v>
      </c>
      <c r="C200" s="615">
        <f t="array" ref="C200">INDEX(AccountCodes[PPSAS CODE],MATCH(B200,AccountCodes[NGAS CODE],0))</f>
        <v>4030106000</v>
      </c>
      <c r="D200" s="616">
        <f>IF(INDEX(AccountCodes[Normal Balance], MATCH(C200,AccountCodes[PPSAS CODE]))="Debit",E200-F200,0)</f>
        <v>0</v>
      </c>
      <c r="E200" s="488">
        <f t="array" ref="E200">(SUM(IF((PostTB[Account Code (Old)]=B200),(PostTB[Debit])))+(SUM(IF((CkDJ[Account Code]=B200)*(CkDJ[Date]&lt;=$A$7),(CkDJ[Debit])))+(SUM(IF((CsDJ[Account Code]=B200)*(CsDJ[Date]&lt;=$A$7),(CsDJ[Debit])))+(SUM(IF((CRDJ[Account Code]=B200)*(CRDJ[Date]&lt;=$A$7),(CRDJ[Debit])))+(SUM(IF((GJ[Account Code]=B200)*(GJ[Date]&lt;=$A$7),(GJ[Debit]))))))))</f>
        <v>0</v>
      </c>
      <c r="F200" s="490">
        <f t="array" ref="F200">(SUM(IF((PostTB[Account Code (Old)]=B200),(PostTB[Credit])))+(SUM(IF((CkDJ[Account Code]=B200)*(CkDJ[Date]&lt;=$A$7),(CkDJ[Credit])))+(SUM(IF((CsDJ[Account Code]=B200)*(CsDJ[Date]&lt;=$A$7),(CsDJ[Credit])))+(SUM(IF((CRDJ[Account Code]=B200)*(CRDJ[Date]&lt;=$A$7),(CRDJ[Credit])))+(SUM(IF((GJ[Account Code]=B200)*(GJ[Date]&lt;=$A$7),(GJ[Credit]))))))))</f>
        <v>0</v>
      </c>
      <c r="G200" s="620">
        <f>IF(INDEX(AccountCodes[Normal Balance], MATCH(C200,AccountCodes[PPSAS CODE]))="Credit",F200-E200,0)</f>
        <v>0</v>
      </c>
      <c r="H200" s="621">
        <f t="shared" si="2"/>
        <v>0</v>
      </c>
    </row>
    <row r="201" spans="1:8" ht="15.75" hidden="1" x14ac:dyDescent="0.25">
      <c r="A201" s="613" t="str">
        <f t="array" ref="A201">INDEX(AccountCodes[ACCOUNT NAME],MATCH(B201,AccountCodes[NGAS CODE],0))</f>
        <v>Subsidy from Regional Office/Staff Bureau</v>
      </c>
      <c r="B201" s="602" t="s">
        <v>1231</v>
      </c>
      <c r="C201" s="615">
        <f t="array" ref="C201">INDEX(AccountCodes[PPSAS CODE],MATCH(B201,AccountCodes[NGAS CODE],0))</f>
        <v>4030107000</v>
      </c>
      <c r="D201" s="616">
        <f>IF(INDEX(AccountCodes[Normal Balance], MATCH(C201,AccountCodes[PPSAS CODE]))="Debit",E201-F201,0)</f>
        <v>0</v>
      </c>
      <c r="E201" s="488">
        <f t="array" ref="E201">(SUM(IF((PostTB[Account Code (Old)]=B201),(PostTB[Debit])))+(SUM(IF((CkDJ[Account Code]=B201)*(CkDJ[Date]&lt;=$A$7),(CkDJ[Debit])))+(SUM(IF((CsDJ[Account Code]=B201)*(CsDJ[Date]&lt;=$A$7),(CsDJ[Debit])))+(SUM(IF((CRDJ[Account Code]=B201)*(CRDJ[Date]&lt;=$A$7),(CRDJ[Debit])))+(SUM(IF((GJ[Account Code]=B201)*(GJ[Date]&lt;=$A$7),(GJ[Debit]))))))))</f>
        <v>0</v>
      </c>
      <c r="F201" s="490">
        <f t="array" ref="F201">(SUM(IF((PostTB[Account Code (Old)]=B201),(PostTB[Credit])))+(SUM(IF((CkDJ[Account Code]=B201)*(CkDJ[Date]&lt;=$A$7),(CkDJ[Credit])))+(SUM(IF((CsDJ[Account Code]=B201)*(CsDJ[Date]&lt;=$A$7),(CsDJ[Credit])))+(SUM(IF((CRDJ[Account Code]=B201)*(CRDJ[Date]&lt;=$A$7),(CRDJ[Credit])))+(SUM(IF((GJ[Account Code]=B201)*(GJ[Date]&lt;=$A$7),(GJ[Credit]))))))))</f>
        <v>0</v>
      </c>
      <c r="G201" s="620">
        <f>IF(INDEX(AccountCodes[Normal Balance], MATCH(C201,AccountCodes[PPSAS CODE]))="Credit",F201-E201,0)</f>
        <v>0</v>
      </c>
      <c r="H201" s="621">
        <f t="shared" si="2"/>
        <v>0</v>
      </c>
    </row>
    <row r="202" spans="1:8" ht="15.75" hidden="1" x14ac:dyDescent="0.25">
      <c r="A202" s="613" t="str">
        <f t="array" ref="A202">INDEX(AccountCodes[ACCOUNT NAME],MATCH(B202,AccountCodes[NGAS CODE],0))</f>
        <v>Sale of Unserviceable Property</v>
      </c>
      <c r="B202" s="602" t="s">
        <v>156</v>
      </c>
      <c r="C202" s="615">
        <f t="array" ref="C202">INDEX(AccountCodes[PPSAS CODE],MATCH(B202,AccountCodes[NGAS CODE],0))</f>
        <v>4060102000</v>
      </c>
      <c r="D202" s="616">
        <f>IF(INDEX(AccountCodes[Normal Balance], MATCH(C202,AccountCodes[PPSAS CODE]))="Debit",E202-F202,0)</f>
        <v>0</v>
      </c>
      <c r="E202" s="488">
        <f t="array" ref="E202">(SUM(IF((PostTB[Account Code (Old)]=B202),(PostTB[Debit])))+(SUM(IF((CkDJ[Account Code]=B202)*(CkDJ[Date]&lt;=$A$7),(CkDJ[Debit])))+(SUM(IF((CsDJ[Account Code]=B202)*(CsDJ[Date]&lt;=$A$7),(CsDJ[Debit])))+(SUM(IF((CRDJ[Account Code]=B202)*(CRDJ[Date]&lt;=$A$7),(CRDJ[Debit])))+(SUM(IF((GJ[Account Code]=B202)*(GJ[Date]&lt;=$A$7),(GJ[Debit]))))))))</f>
        <v>0</v>
      </c>
      <c r="F202" s="490">
        <f t="array" ref="F202">(SUM(IF((PostTB[Account Code (Old)]=B202),(PostTB[Credit])))+(SUM(IF((CkDJ[Account Code]=B202)*(CkDJ[Date]&lt;=$A$7),(CkDJ[Credit])))+(SUM(IF((CsDJ[Account Code]=B202)*(CsDJ[Date]&lt;=$A$7),(CsDJ[Credit])))+(SUM(IF((CRDJ[Account Code]=B202)*(CRDJ[Date]&lt;=$A$7),(CRDJ[Credit])))+(SUM(IF((GJ[Account Code]=B202)*(GJ[Date]&lt;=$A$7),(GJ[Credit]))))))))</f>
        <v>0</v>
      </c>
      <c r="G202" s="620">
        <f>IF(INDEX(AccountCodes[Normal Balance], MATCH(C202,AccountCodes[PPSAS CODE]))="Credit",F202-E202,0)</f>
        <v>0</v>
      </c>
      <c r="H202" s="621">
        <f t="shared" si="2"/>
        <v>0</v>
      </c>
    </row>
    <row r="203" spans="1:8" ht="15.75" hidden="1" x14ac:dyDescent="0.25">
      <c r="A203" s="613" t="str">
        <f t="array" ref="A203">INDEX(AccountCodes[ACCOUNT NAME],MATCH(B203,AccountCodes[NGAS CODE],0))</f>
        <v>Miscellaneous Income (Bid Documents)</v>
      </c>
      <c r="B203" s="602" t="s">
        <v>155</v>
      </c>
      <c r="C203" s="615">
        <f t="array" ref="C203">INDEX(AccountCodes[PPSAS CODE],MATCH(B203,AccountCodes[NGAS CODE],0))</f>
        <v>4060999000</v>
      </c>
      <c r="D203" s="616">
        <f>IF(INDEX(AccountCodes[Normal Balance], MATCH(C203,AccountCodes[PPSAS CODE]))="Debit",E203-F203,0)</f>
        <v>0</v>
      </c>
      <c r="E203" s="488">
        <f t="array" ref="E203">(SUM(IF((PostTB[Account Code (Old)]=B203),(PostTB[Debit])))+(SUM(IF((CkDJ[Account Code]=B203)*(CkDJ[Date]&lt;=$A$7),(CkDJ[Debit])))+(SUM(IF((CsDJ[Account Code]=B203)*(CsDJ[Date]&lt;=$A$7),(CsDJ[Debit])))+(SUM(IF((CRDJ[Account Code]=B203)*(CRDJ[Date]&lt;=$A$7),(CRDJ[Debit])))+(SUM(IF((GJ[Account Code]=B203)*(GJ[Date]&lt;=$A$7),(GJ[Debit]))))))))</f>
        <v>0</v>
      </c>
      <c r="F203" s="490">
        <f t="array" ref="F203">(SUM(IF((PostTB[Account Code (Old)]=B203),(PostTB[Credit])))+(SUM(IF((CkDJ[Account Code]=B203)*(CkDJ[Date]&lt;=$A$7),(CkDJ[Credit])))+(SUM(IF((CsDJ[Account Code]=B203)*(CsDJ[Date]&lt;=$A$7),(CsDJ[Credit])))+(SUM(IF((CRDJ[Account Code]=B203)*(CRDJ[Date]&lt;=$A$7),(CRDJ[Credit])))+(SUM(IF((GJ[Account Code]=B203)*(GJ[Date]&lt;=$A$7),(GJ[Credit]))))))))</f>
        <v>0</v>
      </c>
      <c r="G203" s="620">
        <f>IF(INDEX(AccountCodes[Normal Balance], MATCH(C203,AccountCodes[PPSAS CODE]))="Credit",F203-E203,0)</f>
        <v>0</v>
      </c>
      <c r="H203" s="621">
        <f t="shared" si="2"/>
        <v>0</v>
      </c>
    </row>
    <row r="204" spans="1:8" ht="15.75" hidden="1" x14ac:dyDescent="0.25">
      <c r="A204" s="613" t="str">
        <f t="array" ref="A204">INDEX(AccountCodes[ACCOUNT NAME],MATCH(B204,AccountCodes[NGAS CODE],0))</f>
        <v>Miscellaneous Income (Scrap of Fixed Assets)</v>
      </c>
      <c r="B204" s="602" t="s">
        <v>159</v>
      </c>
      <c r="C204" s="615">
        <f t="array" ref="C204">INDEX(AccountCodes[PPSAS CODE],MATCH(B204,AccountCodes[NGAS CODE],0))</f>
        <v>4060999000</v>
      </c>
      <c r="D204" s="616">
        <f>IF(INDEX(AccountCodes[Normal Balance], MATCH(C204,AccountCodes[PPSAS CODE]))="Debit",E204-F204,0)</f>
        <v>0</v>
      </c>
      <c r="E204" s="488">
        <f t="array" ref="E204">(SUM(IF((PostTB[Account Code (Old)]=B204),(PostTB[Debit])))+(SUM(IF((CkDJ[Account Code]=B204)*(CkDJ[Date]&lt;=$A$7),(CkDJ[Debit])))+(SUM(IF((CsDJ[Account Code]=B204)*(CsDJ[Date]&lt;=$A$7),(CsDJ[Debit])))+(SUM(IF((CRDJ[Account Code]=B204)*(CRDJ[Date]&lt;=$A$7),(CRDJ[Debit])))+(SUM(IF((GJ[Account Code]=B204)*(GJ[Date]&lt;=$A$7),(GJ[Debit]))))))))</f>
        <v>0</v>
      </c>
      <c r="F204" s="490">
        <f t="array" ref="F204">(SUM(IF((PostTB[Account Code (Old)]=B204),(PostTB[Credit])))+(SUM(IF((CkDJ[Account Code]=B204)*(CkDJ[Date]&lt;=$A$7),(CkDJ[Credit])))+(SUM(IF((CsDJ[Account Code]=B204)*(CsDJ[Date]&lt;=$A$7),(CsDJ[Credit])))+(SUM(IF((CRDJ[Account Code]=B204)*(CRDJ[Date]&lt;=$A$7),(CRDJ[Credit])))+(SUM(IF((GJ[Account Code]=B204)*(GJ[Date]&lt;=$A$7),(GJ[Credit]))))))))</f>
        <v>0</v>
      </c>
      <c r="G204" s="620">
        <f>IF(INDEX(AccountCodes[Normal Balance], MATCH(C204,AccountCodes[PPSAS CODE]))="Credit",F204-E204,0)</f>
        <v>0</v>
      </c>
      <c r="H204" s="621">
        <f>IF(D204=0,G204,D204)</f>
        <v>0</v>
      </c>
    </row>
    <row r="205" spans="1:8" ht="15.75" hidden="1" x14ac:dyDescent="0.25">
      <c r="A205" s="613" t="str">
        <f t="array" ref="A205">INDEX(AccountCodes[ACCOUNT NAME],MATCH(B205,AccountCodes[NGAS CODE],0))</f>
        <v>Miscellaneous Income (Others)</v>
      </c>
      <c r="B205" s="602" t="s">
        <v>160</v>
      </c>
      <c r="C205" s="615">
        <f t="array" ref="C205">INDEX(AccountCodes[PPSAS CODE],MATCH(B205,AccountCodes[NGAS CODE],0))</f>
        <v>4060999000</v>
      </c>
      <c r="D205" s="616">
        <f>IF(INDEX(AccountCodes[Normal Balance], MATCH(C205,AccountCodes[PPSAS CODE]))="Debit",E205-F205,0)</f>
        <v>0</v>
      </c>
      <c r="E205" s="488">
        <f t="array" ref="E205">(SUM(IF((PostTB[Account Code (Old)]=B205),(PostTB[Debit])))+(SUM(IF((CkDJ[Account Code]=B205)*(CkDJ[Date]&lt;=$A$7),(CkDJ[Debit])))+(SUM(IF((CsDJ[Account Code]=B205)*(CsDJ[Date]&lt;=$A$7),(CsDJ[Debit])))+(SUM(IF((CRDJ[Account Code]=B205)*(CRDJ[Date]&lt;=$A$7),(CRDJ[Debit])))+(SUM(IF((GJ[Account Code]=B205)*(GJ[Date]&lt;=$A$7),(GJ[Debit]))))))))</f>
        <v>0</v>
      </c>
      <c r="F205" s="490">
        <f t="array" ref="F205">(SUM(IF((PostTB[Account Code (Old)]=B205),(PostTB[Credit])))+(SUM(IF((CkDJ[Account Code]=B205)*(CkDJ[Date]&lt;=$A$7),(CkDJ[Credit])))+(SUM(IF((CsDJ[Account Code]=B205)*(CsDJ[Date]&lt;=$A$7),(CsDJ[Credit])))+(SUM(IF((CRDJ[Account Code]=B205)*(CRDJ[Date]&lt;=$A$7),(CRDJ[Credit])))+(SUM(IF((GJ[Account Code]=B205)*(GJ[Date]&lt;=$A$7),(GJ[Credit]))))))))</f>
        <v>0</v>
      </c>
      <c r="G205" s="620">
        <f>IF(INDEX(AccountCodes[Normal Balance], MATCH(C205,AccountCodes[PPSAS CODE]))="Credit",F205-E205,0)</f>
        <v>0</v>
      </c>
      <c r="H205" s="621">
        <f t="shared" si="2"/>
        <v>0</v>
      </c>
    </row>
    <row r="206" spans="1:8" ht="15.75" hidden="1" x14ac:dyDescent="0.25">
      <c r="A206" s="613" t="str">
        <f t="array" ref="A206">INDEX(AccountCodes[ACCOUNT NAME],MATCH(B206,AccountCodes[NGAS CODE],0))</f>
        <v>Miscellaneous Income (Power)</v>
      </c>
      <c r="B206" s="602" t="s">
        <v>352</v>
      </c>
      <c r="C206" s="615">
        <f t="array" ref="C206">INDEX(AccountCodes[PPSAS CODE],MATCH(B206,AccountCodes[NGAS CODE],0))</f>
        <v>4060999000</v>
      </c>
      <c r="D206" s="616">
        <f>IF(INDEX(AccountCodes[Normal Balance], MATCH(C206,AccountCodes[PPSAS CODE]))="Debit",E206-F206,0)</f>
        <v>0</v>
      </c>
      <c r="E206" s="488">
        <f t="array" ref="E206">(SUM(IF((PostTB[Account Code (Old)]=B206),(PostTB[Debit])))+(SUM(IF((CkDJ[Account Code]=B206)*(CkDJ[Date]&lt;=$A$7),(CkDJ[Debit])))+(SUM(IF((CsDJ[Account Code]=B206)*(CsDJ[Date]&lt;=$A$7),(CsDJ[Debit])))+(SUM(IF((CRDJ[Account Code]=B206)*(CRDJ[Date]&lt;=$A$7),(CRDJ[Debit])))+(SUM(IF((GJ[Account Code]=B206)*(GJ[Date]&lt;=$A$7),(GJ[Debit]))))))))</f>
        <v>0</v>
      </c>
      <c r="F206" s="490">
        <f t="array" ref="F206">(SUM(IF((PostTB[Account Code (Old)]=B206),(PostTB[Credit])))+(SUM(IF((CkDJ[Account Code]=B206)*(CkDJ[Date]&lt;=$A$7),(CkDJ[Credit])))+(SUM(IF((CsDJ[Account Code]=B206)*(CsDJ[Date]&lt;=$A$7),(CsDJ[Credit])))+(SUM(IF((CRDJ[Account Code]=B206)*(CRDJ[Date]&lt;=$A$7),(CRDJ[Credit])))+(SUM(IF((GJ[Account Code]=B206)*(GJ[Date]&lt;=$A$7),(GJ[Credit]))))))))</f>
        <v>0</v>
      </c>
      <c r="G206" s="620">
        <f>IF(INDEX(AccountCodes[Normal Balance], MATCH(C206,AccountCodes[PPSAS CODE]))="Credit",F206-E206,0)</f>
        <v>0</v>
      </c>
      <c r="H206" s="621">
        <f t="shared" si="2"/>
        <v>0</v>
      </c>
    </row>
    <row r="207" spans="1:8" ht="15.75" x14ac:dyDescent="0.25">
      <c r="A207" s="613" t="str">
        <f t="array" ref="A207">INDEX(AccountCodes[ACCOUNT NAME],MATCH(B207,AccountCodes[NGAS CODE],0))</f>
        <v>Salaries and Wages-Regular</v>
      </c>
      <c r="B207" s="602" t="s">
        <v>162</v>
      </c>
      <c r="C207" s="615">
        <f t="array" ref="C207">INDEX(AccountCodes[PPSAS CODE],MATCH(B207,AccountCodes[NGAS CODE],0))</f>
        <v>5010101000</v>
      </c>
      <c r="D207" s="616">
        <f>IF(INDEX(AccountCodes[Normal Balance], MATCH(C207,AccountCodes[PPSAS CODE]))="Debit",E207-F207,0)</f>
        <v>50693</v>
      </c>
      <c r="E207" s="488">
        <f t="array" ref="E207">(SUM(IF((PostTB[Account Code (Old)]=B207),(PostTB[Debit])))+(SUM(IF((CkDJ[Account Code]=B207)*(CkDJ[Date]&lt;=$A$7),(CkDJ[Debit])))+(SUM(IF((CsDJ[Account Code]=B207)*(CsDJ[Date]&lt;=$A$7),(CsDJ[Debit])))+(SUM(IF((CRDJ[Account Code]=B207)*(CRDJ[Date]&lt;=$A$7),(CRDJ[Debit])))+(SUM(IF((GJ[Account Code]=B207)*(GJ[Date]&lt;=$A$7),(GJ[Debit]))))))))</f>
        <v>50693</v>
      </c>
      <c r="F207" s="490">
        <f t="array" ref="F207">(SUM(IF((PostTB[Account Code (Old)]=B207),(PostTB[Credit])))+(SUM(IF((CkDJ[Account Code]=B207)*(CkDJ[Date]&lt;=$A$7),(CkDJ[Credit])))+(SUM(IF((CsDJ[Account Code]=B207)*(CsDJ[Date]&lt;=$A$7),(CsDJ[Credit])))+(SUM(IF((CRDJ[Account Code]=B207)*(CRDJ[Date]&lt;=$A$7),(CRDJ[Credit])))+(SUM(IF((GJ[Account Code]=B207)*(GJ[Date]&lt;=$A$7),(GJ[Credit]))))))))</f>
        <v>0</v>
      </c>
      <c r="G207" s="620">
        <f>IF(INDEX(AccountCodes[Normal Balance], MATCH(C207,AccountCodes[PPSAS CODE]))="Credit",F207-E207,0)</f>
        <v>0</v>
      </c>
      <c r="H207" s="621">
        <f t="shared" si="2"/>
        <v>50693</v>
      </c>
    </row>
    <row r="208" spans="1:8" ht="15.75" hidden="1" x14ac:dyDescent="0.25">
      <c r="A208" s="613" t="str">
        <f t="array" ref="A208">INDEX(AccountCodes[ACCOUNT NAME],MATCH(B208,AccountCodes[NGAS CODE],0))</f>
        <v>Salaries and Wages-Casual/Contractual</v>
      </c>
      <c r="B208" s="602" t="s">
        <v>163</v>
      </c>
      <c r="C208" s="615">
        <f t="array" ref="C208">INDEX(AccountCodes[PPSAS CODE],MATCH(B208,AccountCodes[NGAS CODE],0))</f>
        <v>5010102000</v>
      </c>
      <c r="D208" s="616">
        <f>IF(INDEX(AccountCodes[Normal Balance], MATCH(C208,AccountCodes[PPSAS CODE]))="Debit",E208-F208,0)</f>
        <v>0</v>
      </c>
      <c r="E208" s="488">
        <f t="array" ref="E208">(SUM(IF((PostTB[Account Code (Old)]=B208),(PostTB[Debit])))+(SUM(IF((CkDJ[Account Code]=B208)*(CkDJ[Date]&lt;=$A$7),(CkDJ[Debit])))+(SUM(IF((CsDJ[Account Code]=B208)*(CsDJ[Date]&lt;=$A$7),(CsDJ[Debit])))+(SUM(IF((CRDJ[Account Code]=B208)*(CRDJ[Date]&lt;=$A$7),(CRDJ[Debit])))+(SUM(IF((GJ[Account Code]=B208)*(GJ[Date]&lt;=$A$7),(GJ[Debit]))))))))</f>
        <v>0</v>
      </c>
      <c r="F208" s="490">
        <f t="array" ref="F208">(SUM(IF((PostTB[Account Code (Old)]=B208),(PostTB[Credit])))+(SUM(IF((CkDJ[Account Code]=B208)*(CkDJ[Date]&lt;=$A$7),(CkDJ[Credit])))+(SUM(IF((CsDJ[Account Code]=B208)*(CsDJ[Date]&lt;=$A$7),(CsDJ[Credit])))+(SUM(IF((CRDJ[Account Code]=B208)*(CRDJ[Date]&lt;=$A$7),(CRDJ[Credit])))+(SUM(IF((GJ[Account Code]=B208)*(GJ[Date]&lt;=$A$7),(GJ[Credit]))))))))</f>
        <v>0</v>
      </c>
      <c r="G208" s="620">
        <f>IF(INDEX(AccountCodes[Normal Balance], MATCH(C208,AccountCodes[PPSAS CODE]))="Credit",F208-E208,0)</f>
        <v>0</v>
      </c>
      <c r="H208" s="621">
        <f t="shared" ref="H208:H271" si="3">IF(D208=0,G208,D208)</f>
        <v>0</v>
      </c>
    </row>
    <row r="209" spans="1:8" ht="15.75" x14ac:dyDescent="0.25">
      <c r="A209" s="613" t="str">
        <f t="array" ref="A209">INDEX(AccountCodes[ACCOUNT NAME],MATCH(B209,AccountCodes[NGAS CODE],0))</f>
        <v>Personal Economic Relief Allowance (PERA)</v>
      </c>
      <c r="B209" s="602" t="s">
        <v>164</v>
      </c>
      <c r="C209" s="615">
        <f t="array" ref="C209">INDEX(AccountCodes[PPSAS CODE],MATCH(B209,AccountCodes[NGAS CODE],0))</f>
        <v>5010201000</v>
      </c>
      <c r="D209" s="616">
        <f>IF(INDEX(AccountCodes[Normal Balance], MATCH(C209,AccountCodes[PPSAS CODE]))="Debit",E209-F209,0)</f>
        <v>0</v>
      </c>
      <c r="E209" s="488">
        <f t="array" ref="E209">(SUM(IF((PostTB[Account Code (Old)]=B209),(PostTB[Debit])))+(SUM(IF((CkDJ[Account Code]=B209)*(CkDJ[Date]&lt;=$A$7),(CkDJ[Debit])))+(SUM(IF((CsDJ[Account Code]=B209)*(CsDJ[Date]&lt;=$A$7),(CsDJ[Debit])))+(SUM(IF((CRDJ[Account Code]=B209)*(CRDJ[Date]&lt;=$A$7),(CRDJ[Debit])))+(SUM(IF((GJ[Account Code]=B209)*(GJ[Date]&lt;=$A$7),(GJ[Debit]))))))))</f>
        <v>0</v>
      </c>
      <c r="F209" s="490">
        <f t="array" ref="F209">(SUM(IF((PostTB[Account Code (Old)]=B209),(PostTB[Credit])))+(SUM(IF((CkDJ[Account Code]=B209)*(CkDJ[Date]&lt;=$A$7),(CkDJ[Credit])))+(SUM(IF((CsDJ[Account Code]=B209)*(CsDJ[Date]&lt;=$A$7),(CsDJ[Credit])))+(SUM(IF((CRDJ[Account Code]=B209)*(CRDJ[Date]&lt;=$A$7),(CRDJ[Credit])))+(SUM(IF((GJ[Account Code]=B209)*(GJ[Date]&lt;=$A$7),(GJ[Credit]))))))))</f>
        <v>0</v>
      </c>
      <c r="G209" s="620">
        <f>IF(INDEX(AccountCodes[Normal Balance], MATCH(C209,AccountCodes[PPSAS CODE]))="Credit",F209-E209,0)</f>
        <v>0</v>
      </c>
      <c r="H209" s="621">
        <f t="shared" si="3"/>
        <v>0</v>
      </c>
    </row>
    <row r="210" spans="1:8" ht="15.75" hidden="1" x14ac:dyDescent="0.25">
      <c r="A210" s="613" t="str">
        <f t="array" ref="A210">INDEX(AccountCodes[ACCOUNT NAME],MATCH(B210,AccountCodes[NGAS CODE],0))</f>
        <v>Representation Allowance (RA)</v>
      </c>
      <c r="B210" s="602" t="s">
        <v>165</v>
      </c>
      <c r="C210" s="615">
        <f t="array" ref="C210">INDEX(AccountCodes[PPSAS CODE],MATCH(B210,AccountCodes[NGAS CODE],0))</f>
        <v>5010202000</v>
      </c>
      <c r="D210" s="616">
        <f>IF(INDEX(AccountCodes[Normal Balance], MATCH(C210,AccountCodes[PPSAS CODE]))="Debit",E210-F210,0)</f>
        <v>0</v>
      </c>
      <c r="E210" s="488">
        <f t="array" ref="E210">(SUM(IF((PostTB[Account Code (Old)]=B210),(PostTB[Debit])))+(SUM(IF((CkDJ[Account Code]=B210)*(CkDJ[Date]&lt;=$A$7),(CkDJ[Debit])))+(SUM(IF((CsDJ[Account Code]=B210)*(CsDJ[Date]&lt;=$A$7),(CsDJ[Debit])))+(SUM(IF((CRDJ[Account Code]=B210)*(CRDJ[Date]&lt;=$A$7),(CRDJ[Debit])))+(SUM(IF((GJ[Account Code]=B210)*(GJ[Date]&lt;=$A$7),(GJ[Debit]))))))))</f>
        <v>0</v>
      </c>
      <c r="F210" s="490">
        <f t="array" ref="F210">(SUM(IF((PostTB[Account Code (Old)]=B210),(PostTB[Credit])))+(SUM(IF((CkDJ[Account Code]=B210)*(CkDJ[Date]&lt;=$A$7),(CkDJ[Credit])))+(SUM(IF((CsDJ[Account Code]=B210)*(CsDJ[Date]&lt;=$A$7),(CsDJ[Credit])))+(SUM(IF((CRDJ[Account Code]=B210)*(CRDJ[Date]&lt;=$A$7),(CRDJ[Credit])))+(SUM(IF((GJ[Account Code]=B210)*(GJ[Date]&lt;=$A$7),(GJ[Credit]))))))))</f>
        <v>0</v>
      </c>
      <c r="G210" s="620">
        <f>IF(INDEX(AccountCodes[Normal Balance], MATCH(C210,AccountCodes[PPSAS CODE]))="Credit",F210-E210,0)</f>
        <v>0</v>
      </c>
      <c r="H210" s="621">
        <f t="shared" si="3"/>
        <v>0</v>
      </c>
    </row>
    <row r="211" spans="1:8" ht="15.75" hidden="1" x14ac:dyDescent="0.25">
      <c r="A211" s="613" t="str">
        <f t="array" ref="A211">INDEX(AccountCodes[ACCOUNT NAME],MATCH(B211,AccountCodes[NGAS CODE],0))</f>
        <v>Transportation Allowance (TA)</v>
      </c>
      <c r="B211" s="602" t="s">
        <v>166</v>
      </c>
      <c r="C211" s="615">
        <f t="array" ref="C211">INDEX(AccountCodes[PPSAS CODE],MATCH(B211,AccountCodes[NGAS CODE],0))</f>
        <v>5010203000</v>
      </c>
      <c r="D211" s="616">
        <f>IF(INDEX(AccountCodes[Normal Balance], MATCH(C211,AccountCodes[PPSAS CODE]))="Debit",E211-F211,0)</f>
        <v>0</v>
      </c>
      <c r="E211" s="488">
        <f t="array" ref="E211">(SUM(IF((PostTB[Account Code (Old)]=B211),(PostTB[Debit])))+(SUM(IF((CkDJ[Account Code]=B211)*(CkDJ[Date]&lt;=$A$7),(CkDJ[Debit])))+(SUM(IF((CsDJ[Account Code]=B211)*(CsDJ[Date]&lt;=$A$7),(CsDJ[Debit])))+(SUM(IF((CRDJ[Account Code]=B211)*(CRDJ[Date]&lt;=$A$7),(CRDJ[Debit])))+(SUM(IF((GJ[Account Code]=B211)*(GJ[Date]&lt;=$A$7),(GJ[Debit]))))))))</f>
        <v>0</v>
      </c>
      <c r="F211" s="490">
        <f t="array" ref="F211">(SUM(IF((PostTB[Account Code (Old)]=B211),(PostTB[Credit])))+(SUM(IF((CkDJ[Account Code]=B211)*(CkDJ[Date]&lt;=$A$7),(CkDJ[Credit])))+(SUM(IF((CsDJ[Account Code]=B211)*(CsDJ[Date]&lt;=$A$7),(CsDJ[Credit])))+(SUM(IF((CRDJ[Account Code]=B211)*(CRDJ[Date]&lt;=$A$7),(CRDJ[Credit])))+(SUM(IF((GJ[Account Code]=B211)*(GJ[Date]&lt;=$A$7),(GJ[Credit]))))))))</f>
        <v>0</v>
      </c>
      <c r="G211" s="620">
        <f>IF(INDEX(AccountCodes[Normal Balance], MATCH(C211,AccountCodes[PPSAS CODE]))="Credit",F211-E211,0)</f>
        <v>0</v>
      </c>
      <c r="H211" s="621">
        <f t="shared" si="3"/>
        <v>0</v>
      </c>
    </row>
    <row r="212" spans="1:8" ht="15.75" x14ac:dyDescent="0.25">
      <c r="A212" s="613" t="str">
        <f t="array" ref="A212">INDEX(AccountCodes[ACCOUNT NAME],MATCH(B212,AccountCodes[NGAS CODE],0))</f>
        <v>Clothing/Uniform Allowance</v>
      </c>
      <c r="B212" s="602" t="s">
        <v>167</v>
      </c>
      <c r="C212" s="615">
        <f t="array" ref="C212">INDEX(AccountCodes[PPSAS CODE],MATCH(B212,AccountCodes[NGAS CODE],0))</f>
        <v>5010204000</v>
      </c>
      <c r="D212" s="616">
        <f>IF(INDEX(AccountCodes[Normal Balance], MATCH(C212,AccountCodes[PPSAS CODE]))="Debit",E212-F212,0)</f>
        <v>0</v>
      </c>
      <c r="E212" s="488">
        <f t="array" ref="E212">(SUM(IF((PostTB[Account Code (Old)]=B212),(PostTB[Debit])))+(SUM(IF((CkDJ[Account Code]=B212)*(CkDJ[Date]&lt;=$A$7),(CkDJ[Debit])))+(SUM(IF((CsDJ[Account Code]=B212)*(CsDJ[Date]&lt;=$A$7),(CsDJ[Debit])))+(SUM(IF((CRDJ[Account Code]=B212)*(CRDJ[Date]&lt;=$A$7),(CRDJ[Debit])))+(SUM(IF((GJ[Account Code]=B212)*(GJ[Date]&lt;=$A$7),(GJ[Debit]))))))))</f>
        <v>0</v>
      </c>
      <c r="F212" s="490">
        <f t="array" ref="F212">(SUM(IF((PostTB[Account Code (Old)]=B212),(PostTB[Credit])))+(SUM(IF((CkDJ[Account Code]=B212)*(CkDJ[Date]&lt;=$A$7),(CkDJ[Credit])))+(SUM(IF((CsDJ[Account Code]=B212)*(CsDJ[Date]&lt;=$A$7),(CsDJ[Credit])))+(SUM(IF((CRDJ[Account Code]=B212)*(CRDJ[Date]&lt;=$A$7),(CRDJ[Credit])))+(SUM(IF((GJ[Account Code]=B212)*(GJ[Date]&lt;=$A$7),(GJ[Credit]))))))))</f>
        <v>0</v>
      </c>
      <c r="G212" s="620">
        <f>IF(INDEX(AccountCodes[Normal Balance], MATCH(C212,AccountCodes[PPSAS CODE]))="Credit",F212-E212,0)</f>
        <v>0</v>
      </c>
      <c r="H212" s="621">
        <f t="shared" si="3"/>
        <v>0</v>
      </c>
    </row>
    <row r="213" spans="1:8" ht="15.75" hidden="1" x14ac:dyDescent="0.25">
      <c r="A213" s="613" t="str">
        <f t="array" ref="A213">INDEX(AccountCodes[ACCOUNT NAME],MATCH(B213,AccountCodes[NGAS CODE],0))</f>
        <v>Subsistence Allowance</v>
      </c>
      <c r="B213" s="602" t="s">
        <v>1262</v>
      </c>
      <c r="C213" s="615">
        <f t="array" ref="C213">INDEX(AccountCodes[PPSAS CODE],MATCH(B213,AccountCodes[NGAS CODE],0))</f>
        <v>5010205000</v>
      </c>
      <c r="D213" s="616">
        <f>IF(INDEX(AccountCodes[Normal Balance], MATCH(C213,AccountCodes[PPSAS CODE]))="Debit",E213-F213,0)</f>
        <v>0</v>
      </c>
      <c r="E213" s="488">
        <f t="array" ref="E213">(SUM(IF((PostTB[Account Code (Old)]=B213),(PostTB[Debit])))+(SUM(IF((CkDJ[Account Code]=B213)*(CkDJ[Date]&lt;=$A$7),(CkDJ[Debit])))+(SUM(IF((CsDJ[Account Code]=B213)*(CsDJ[Date]&lt;=$A$7),(CsDJ[Debit])))+(SUM(IF((CRDJ[Account Code]=B213)*(CRDJ[Date]&lt;=$A$7),(CRDJ[Debit])))+(SUM(IF((GJ[Account Code]=B213)*(GJ[Date]&lt;=$A$7),(GJ[Debit]))))))))</f>
        <v>0</v>
      </c>
      <c r="F213" s="490">
        <f t="array" ref="F213">(SUM(IF((PostTB[Account Code (Old)]=B213),(PostTB[Credit])))+(SUM(IF((CkDJ[Account Code]=B213)*(CkDJ[Date]&lt;=$A$7),(CkDJ[Credit])))+(SUM(IF((CsDJ[Account Code]=B213)*(CsDJ[Date]&lt;=$A$7),(CsDJ[Credit])))+(SUM(IF((CRDJ[Account Code]=B213)*(CRDJ[Date]&lt;=$A$7),(CRDJ[Credit])))+(SUM(IF((GJ[Account Code]=B213)*(GJ[Date]&lt;=$A$7),(GJ[Credit]))))))))</f>
        <v>0</v>
      </c>
      <c r="G213" s="620">
        <f>IF(INDEX(AccountCodes[Normal Balance], MATCH(C213,AccountCodes[PPSAS CODE]))="Credit",F213-E213,0)</f>
        <v>0</v>
      </c>
      <c r="H213" s="621">
        <f t="shared" si="3"/>
        <v>0</v>
      </c>
    </row>
    <row r="214" spans="1:8" ht="15.75" hidden="1" x14ac:dyDescent="0.25">
      <c r="A214" s="613" t="str">
        <f t="array" ref="A214">INDEX(AccountCodes[ACCOUNT NAME],MATCH(B214,AccountCodes[NGAS CODE],0))</f>
        <v>Laundry Allowance</v>
      </c>
      <c r="B214" s="602" t="s">
        <v>1263</v>
      </c>
      <c r="C214" s="615">
        <f t="array" ref="C214">INDEX(AccountCodes[PPSAS CODE],MATCH(B214,AccountCodes[NGAS CODE],0))</f>
        <v>5010206000</v>
      </c>
      <c r="D214" s="616">
        <f>IF(INDEX(AccountCodes[Normal Balance], MATCH(C214,AccountCodes[PPSAS CODE]))="Debit",E214-F214,0)</f>
        <v>0</v>
      </c>
      <c r="E214" s="488">
        <f t="array" ref="E214">(SUM(IF((PostTB[Account Code (Old)]=B214),(PostTB[Debit])))+(SUM(IF((CkDJ[Account Code]=B214)*(CkDJ[Date]&lt;=$A$7),(CkDJ[Debit])))+(SUM(IF((CsDJ[Account Code]=B214)*(CsDJ[Date]&lt;=$A$7),(CsDJ[Debit])))+(SUM(IF((CRDJ[Account Code]=B214)*(CRDJ[Date]&lt;=$A$7),(CRDJ[Debit])))+(SUM(IF((GJ[Account Code]=B214)*(GJ[Date]&lt;=$A$7),(GJ[Debit]))))))))</f>
        <v>0</v>
      </c>
      <c r="F214" s="490">
        <f t="array" ref="F214">(SUM(IF((PostTB[Account Code (Old)]=B214),(PostTB[Credit])))+(SUM(IF((CkDJ[Account Code]=B214)*(CkDJ[Date]&lt;=$A$7),(CkDJ[Credit])))+(SUM(IF((CsDJ[Account Code]=B214)*(CsDJ[Date]&lt;=$A$7),(CsDJ[Credit])))+(SUM(IF((CRDJ[Account Code]=B214)*(CRDJ[Date]&lt;=$A$7),(CRDJ[Credit])))+(SUM(IF((GJ[Account Code]=B214)*(GJ[Date]&lt;=$A$7),(GJ[Credit]))))))))</f>
        <v>0</v>
      </c>
      <c r="G214" s="620">
        <f>IF(INDEX(AccountCodes[Normal Balance], MATCH(C214,AccountCodes[PPSAS CODE]))="Credit",F214-E214,0)</f>
        <v>0</v>
      </c>
      <c r="H214" s="621">
        <f t="shared" si="3"/>
        <v>0</v>
      </c>
    </row>
    <row r="215" spans="1:8" ht="15.75" hidden="1" x14ac:dyDescent="0.25">
      <c r="A215" s="613" t="str">
        <f t="array" ref="A215">INDEX(AccountCodes[ACCOUNT NAME],MATCH(B215,AccountCodes[NGAS CODE],0))</f>
        <v>Quarters Allowance</v>
      </c>
      <c r="B215" s="602" t="s">
        <v>1264</v>
      </c>
      <c r="C215" s="615">
        <f t="array" ref="C215">INDEX(AccountCodes[PPSAS CODE],MATCH(B215,AccountCodes[NGAS CODE],0))</f>
        <v>5010207000</v>
      </c>
      <c r="D215" s="616">
        <f>IF(INDEX(AccountCodes[Normal Balance], MATCH(C215,AccountCodes[PPSAS CODE]))="Debit",E215-F215,0)</f>
        <v>0</v>
      </c>
      <c r="E215" s="488">
        <f t="array" ref="E215">(SUM(IF((PostTB[Account Code (Old)]=B215),(PostTB[Debit])))+(SUM(IF((CkDJ[Account Code]=B215)*(CkDJ[Date]&lt;=$A$7),(CkDJ[Debit])))+(SUM(IF((CsDJ[Account Code]=B215)*(CsDJ[Date]&lt;=$A$7),(CsDJ[Debit])))+(SUM(IF((CRDJ[Account Code]=B215)*(CRDJ[Date]&lt;=$A$7),(CRDJ[Debit])))+(SUM(IF((GJ[Account Code]=B215)*(GJ[Date]&lt;=$A$7),(GJ[Debit]))))))))</f>
        <v>0</v>
      </c>
      <c r="F215" s="490">
        <f t="array" ref="F215">(SUM(IF((PostTB[Account Code (Old)]=B215),(PostTB[Credit])))+(SUM(IF((CkDJ[Account Code]=B215)*(CkDJ[Date]&lt;=$A$7),(CkDJ[Credit])))+(SUM(IF((CsDJ[Account Code]=B215)*(CsDJ[Date]&lt;=$A$7),(CsDJ[Credit])))+(SUM(IF((CRDJ[Account Code]=B215)*(CRDJ[Date]&lt;=$A$7),(CRDJ[Credit])))+(SUM(IF((GJ[Account Code]=B215)*(GJ[Date]&lt;=$A$7),(GJ[Credit]))))))))</f>
        <v>0</v>
      </c>
      <c r="G215" s="620">
        <f>IF(INDEX(AccountCodes[Normal Balance], MATCH(C215,AccountCodes[PPSAS CODE]))="Credit",F215-E215,0)</f>
        <v>0</v>
      </c>
      <c r="H215" s="621">
        <f t="shared" si="3"/>
        <v>0</v>
      </c>
    </row>
    <row r="216" spans="1:8" ht="15.75" hidden="1" x14ac:dyDescent="0.25">
      <c r="A216" s="613" t="str">
        <f t="array" ref="A216">INDEX(AccountCodes[ACCOUNT NAME],MATCH(B216,AccountCodes[NGAS CODE],0))</f>
        <v>Productivity Incentive Allowance</v>
      </c>
      <c r="B216" s="602" t="s">
        <v>171</v>
      </c>
      <c r="C216" s="615">
        <f t="array" ref="C216">INDEX(AccountCodes[PPSAS CODE],MATCH(B216,AccountCodes[NGAS CODE],0))</f>
        <v>5010208000</v>
      </c>
      <c r="D216" s="616">
        <f>IF(INDEX(AccountCodes[Normal Balance], MATCH(C216,AccountCodes[PPSAS CODE]))="Debit",E216-F216,0)</f>
        <v>0</v>
      </c>
      <c r="E216" s="488">
        <f t="array" ref="E216">(SUM(IF((PostTB[Account Code (Old)]=B216),(PostTB[Debit])))+(SUM(IF((CkDJ[Account Code]=B216)*(CkDJ[Date]&lt;=$A$7),(CkDJ[Debit])))+(SUM(IF((CsDJ[Account Code]=B216)*(CsDJ[Date]&lt;=$A$7),(CsDJ[Debit])))+(SUM(IF((CRDJ[Account Code]=B216)*(CRDJ[Date]&lt;=$A$7),(CRDJ[Debit])))+(SUM(IF((GJ[Account Code]=B216)*(GJ[Date]&lt;=$A$7),(GJ[Debit]))))))))</f>
        <v>0</v>
      </c>
      <c r="F216" s="490">
        <f t="array" ref="F216">(SUM(IF((PostTB[Account Code (Old)]=B216),(PostTB[Credit])))+(SUM(IF((CkDJ[Account Code]=B216)*(CkDJ[Date]&lt;=$A$7),(CkDJ[Credit])))+(SUM(IF((CsDJ[Account Code]=B216)*(CsDJ[Date]&lt;=$A$7),(CsDJ[Credit])))+(SUM(IF((CRDJ[Account Code]=B216)*(CRDJ[Date]&lt;=$A$7),(CRDJ[Credit])))+(SUM(IF((GJ[Account Code]=B216)*(GJ[Date]&lt;=$A$7),(GJ[Credit]))))))))</f>
        <v>0</v>
      </c>
      <c r="G216" s="620">
        <f>IF(INDEX(AccountCodes[Normal Balance], MATCH(C216,AccountCodes[PPSAS CODE]))="Credit",F216-E216,0)</f>
        <v>0</v>
      </c>
      <c r="H216" s="621">
        <f t="shared" si="3"/>
        <v>0</v>
      </c>
    </row>
    <row r="217" spans="1:8" ht="15.75" hidden="1" x14ac:dyDescent="0.25">
      <c r="A217" s="613" t="str">
        <f t="array" ref="A217">INDEX(AccountCodes[ACCOUNT NAME],MATCH(B217,AccountCodes[NGAS CODE],0))</f>
        <v>Honoraria</v>
      </c>
      <c r="B217" s="602" t="s">
        <v>173</v>
      </c>
      <c r="C217" s="615">
        <f t="array" ref="C217">INDEX(AccountCodes[PPSAS CODE],MATCH(B217,AccountCodes[NGAS CODE],0))</f>
        <v>5010210000</v>
      </c>
      <c r="D217" s="616">
        <f>IF(INDEX(AccountCodes[Normal Balance], MATCH(C217,AccountCodes[PPSAS CODE]))="Debit",E217-F217,0)</f>
        <v>0</v>
      </c>
      <c r="E217" s="488">
        <f t="array" ref="E217">(SUM(IF((PostTB[Account Code (Old)]=B217),(PostTB[Debit])))+(SUM(IF((CkDJ[Account Code]=B217)*(CkDJ[Date]&lt;=$A$7),(CkDJ[Debit])))+(SUM(IF((CsDJ[Account Code]=B217)*(CsDJ[Date]&lt;=$A$7),(CsDJ[Debit])))+(SUM(IF((CRDJ[Account Code]=B217)*(CRDJ[Date]&lt;=$A$7),(CRDJ[Debit])))+(SUM(IF((GJ[Account Code]=B217)*(GJ[Date]&lt;=$A$7),(GJ[Debit]))))))))</f>
        <v>0</v>
      </c>
      <c r="F217" s="490">
        <f t="array" ref="F217">(SUM(IF((PostTB[Account Code (Old)]=B217),(PostTB[Credit])))+(SUM(IF((CkDJ[Account Code]=B217)*(CkDJ[Date]&lt;=$A$7),(CkDJ[Credit])))+(SUM(IF((CsDJ[Account Code]=B217)*(CsDJ[Date]&lt;=$A$7),(CsDJ[Credit])))+(SUM(IF((CRDJ[Account Code]=B217)*(CRDJ[Date]&lt;=$A$7),(CRDJ[Credit])))+(SUM(IF((GJ[Account Code]=B217)*(GJ[Date]&lt;=$A$7),(GJ[Credit]))))))))</f>
        <v>0</v>
      </c>
      <c r="G217" s="620">
        <f>IF(INDEX(AccountCodes[Normal Balance], MATCH(C217,AccountCodes[PPSAS CODE]))="Credit",F217-E217,0)</f>
        <v>0</v>
      </c>
      <c r="H217" s="621">
        <f t="shared" si="3"/>
        <v>0</v>
      </c>
    </row>
    <row r="218" spans="1:8" ht="15.75" hidden="1" x14ac:dyDescent="0.25">
      <c r="A218" s="613" t="str">
        <f t="array" ref="A218">INDEX(AccountCodes[ACCOUNT NAME],MATCH(B218,AccountCodes[NGAS CODE],0))</f>
        <v>Hazard Pay</v>
      </c>
      <c r="B218" s="602" t="s">
        <v>215</v>
      </c>
      <c r="C218" s="615">
        <f t="array" ref="C218">INDEX(AccountCodes[PPSAS CODE],MATCH(B218,AccountCodes[NGAS CODE],0))</f>
        <v>5010211000</v>
      </c>
      <c r="D218" s="616">
        <f>IF(INDEX(AccountCodes[Normal Balance], MATCH(C218,AccountCodes[PPSAS CODE]))="Debit",E218-F218,0)</f>
        <v>0</v>
      </c>
      <c r="E218" s="488">
        <f t="array" ref="E218">(SUM(IF((PostTB[Account Code (Old)]=B218),(PostTB[Debit])))+(SUM(IF((CkDJ[Account Code]=B218)*(CkDJ[Date]&lt;=$A$7),(CkDJ[Debit])))+(SUM(IF((CsDJ[Account Code]=B218)*(CsDJ[Date]&lt;=$A$7),(CsDJ[Debit])))+(SUM(IF((CRDJ[Account Code]=B218)*(CRDJ[Date]&lt;=$A$7),(CRDJ[Debit])))+(SUM(IF((GJ[Account Code]=B218)*(GJ[Date]&lt;=$A$7),(GJ[Debit]))))))))</f>
        <v>0</v>
      </c>
      <c r="F218" s="490">
        <f t="array" ref="F218">(SUM(IF((PostTB[Account Code (Old)]=B218),(PostTB[Credit])))+(SUM(IF((CkDJ[Account Code]=B218)*(CkDJ[Date]&lt;=$A$7),(CkDJ[Credit])))+(SUM(IF((CsDJ[Account Code]=B218)*(CsDJ[Date]&lt;=$A$7),(CsDJ[Credit])))+(SUM(IF((CRDJ[Account Code]=B218)*(CRDJ[Date]&lt;=$A$7),(CRDJ[Credit])))+(SUM(IF((GJ[Account Code]=B218)*(GJ[Date]&lt;=$A$7),(GJ[Credit]))))))))</f>
        <v>0</v>
      </c>
      <c r="G218" s="620">
        <f>IF(INDEX(AccountCodes[Normal Balance], MATCH(C218,AccountCodes[PPSAS CODE]))="Credit",F218-E218,0)</f>
        <v>0</v>
      </c>
      <c r="H218" s="621">
        <f t="shared" si="3"/>
        <v>0</v>
      </c>
    </row>
    <row r="219" spans="1:8" ht="15.75" hidden="1" x14ac:dyDescent="0.25">
      <c r="A219" s="613" t="str">
        <f t="array" ref="A219">INDEX(AccountCodes[ACCOUNT NAME],MATCH(B219,AccountCodes[NGAS CODE],0))</f>
        <v>Longevity Pay</v>
      </c>
      <c r="B219" s="602" t="s">
        <v>216</v>
      </c>
      <c r="C219" s="615">
        <f t="array" ref="C219">INDEX(AccountCodes[PPSAS CODE],MATCH(B219,AccountCodes[NGAS CODE],0))</f>
        <v>5010212000</v>
      </c>
      <c r="D219" s="616">
        <f>IF(INDEX(AccountCodes[Normal Balance], MATCH(C219,AccountCodes[PPSAS CODE]))="Debit",E219-F219,0)</f>
        <v>0</v>
      </c>
      <c r="E219" s="488">
        <f t="array" ref="E219">(SUM(IF((PostTB[Account Code (Old)]=B219),(PostTB[Debit])))+(SUM(IF((CkDJ[Account Code]=B219)*(CkDJ[Date]&lt;=$A$7),(CkDJ[Debit])))+(SUM(IF((CsDJ[Account Code]=B219)*(CsDJ[Date]&lt;=$A$7),(CsDJ[Debit])))+(SUM(IF((CRDJ[Account Code]=B219)*(CRDJ[Date]&lt;=$A$7),(CRDJ[Debit])))+(SUM(IF((GJ[Account Code]=B219)*(GJ[Date]&lt;=$A$7),(GJ[Debit]))))))))</f>
        <v>0</v>
      </c>
      <c r="F219" s="490">
        <f t="array" ref="F219">(SUM(IF((PostTB[Account Code (Old)]=B219),(PostTB[Credit])))+(SUM(IF((CkDJ[Account Code]=B219)*(CkDJ[Date]&lt;=$A$7),(CkDJ[Credit])))+(SUM(IF((CsDJ[Account Code]=B219)*(CsDJ[Date]&lt;=$A$7),(CsDJ[Credit])))+(SUM(IF((CRDJ[Account Code]=B219)*(CRDJ[Date]&lt;=$A$7),(CRDJ[Credit])))+(SUM(IF((GJ[Account Code]=B219)*(GJ[Date]&lt;=$A$7),(GJ[Credit]))))))))</f>
        <v>0</v>
      </c>
      <c r="G219" s="620">
        <f>IF(INDEX(AccountCodes[Normal Balance], MATCH(C219,AccountCodes[PPSAS CODE]))="Credit",F219-E219,0)</f>
        <v>0</v>
      </c>
      <c r="H219" s="621">
        <f t="shared" si="3"/>
        <v>0</v>
      </c>
    </row>
    <row r="220" spans="1:8" ht="15.75" hidden="1" x14ac:dyDescent="0.25">
      <c r="A220" s="613" t="str">
        <f t="array" ref="A220">INDEX(AccountCodes[ACCOUNT NAME],MATCH(B220,AccountCodes[NGAS CODE],0))</f>
        <v>Overtime and Night Pay</v>
      </c>
      <c r="B220" s="602" t="s">
        <v>214</v>
      </c>
      <c r="C220" s="615">
        <f t="array" ref="C220">INDEX(AccountCodes[PPSAS CODE],MATCH(B220,AccountCodes[NGAS CODE],0))</f>
        <v>5010213000</v>
      </c>
      <c r="D220" s="616">
        <f>IF(INDEX(AccountCodes[Normal Balance], MATCH(C220,AccountCodes[PPSAS CODE]))="Debit",E220-F220,0)</f>
        <v>0</v>
      </c>
      <c r="E220" s="488">
        <f t="array" ref="E220">(SUM(IF((PostTB[Account Code (Old)]=B220),(PostTB[Debit])))+(SUM(IF((CkDJ[Account Code]=B220)*(CkDJ[Date]&lt;=$A$7),(CkDJ[Debit])))+(SUM(IF((CsDJ[Account Code]=B220)*(CsDJ[Date]&lt;=$A$7),(CsDJ[Debit])))+(SUM(IF((CRDJ[Account Code]=B220)*(CRDJ[Date]&lt;=$A$7),(CRDJ[Debit])))+(SUM(IF((GJ[Account Code]=B220)*(GJ[Date]&lt;=$A$7),(GJ[Debit]))))))))</f>
        <v>0</v>
      </c>
      <c r="F220" s="490">
        <f t="array" ref="F220">(SUM(IF((PostTB[Account Code (Old)]=B220),(PostTB[Credit])))+(SUM(IF((CkDJ[Account Code]=B220)*(CkDJ[Date]&lt;=$A$7),(CkDJ[Credit])))+(SUM(IF((CsDJ[Account Code]=B220)*(CsDJ[Date]&lt;=$A$7),(CsDJ[Credit])))+(SUM(IF((CRDJ[Account Code]=B220)*(CRDJ[Date]&lt;=$A$7),(CRDJ[Credit])))+(SUM(IF((GJ[Account Code]=B220)*(GJ[Date]&lt;=$A$7),(GJ[Credit]))))))))</f>
        <v>0</v>
      </c>
      <c r="G220" s="620">
        <f>IF(INDEX(AccountCodes[Normal Balance], MATCH(C220,AccountCodes[PPSAS CODE]))="Credit",F220-E220,0)</f>
        <v>0</v>
      </c>
      <c r="H220" s="621">
        <f t="shared" si="3"/>
        <v>0</v>
      </c>
    </row>
    <row r="221" spans="1:8" ht="15.75" x14ac:dyDescent="0.25">
      <c r="A221" s="613" t="str">
        <f t="array" ref="A221">INDEX(AccountCodes[ACCOUNT NAME],MATCH(B221,AccountCodes[NGAS CODE],0))</f>
        <v>Mid-Year/Year End Bonus</v>
      </c>
      <c r="B221" s="602" t="s">
        <v>174</v>
      </c>
      <c r="C221" s="615">
        <f t="array" ref="C221">INDEX(AccountCodes[PPSAS CODE],MATCH(B221,AccountCodes[NGAS CODE],0))</f>
        <v>5010214000</v>
      </c>
      <c r="D221" s="616">
        <f>IF(INDEX(AccountCodes[Normal Balance], MATCH(C221,AccountCodes[PPSAS CODE]))="Debit",E221-F221,0)</f>
        <v>0</v>
      </c>
      <c r="E221" s="488">
        <f t="array" ref="E221">(SUM(IF((PostTB[Account Code (Old)]=B221),(PostTB[Debit])))+(SUM(IF((CkDJ[Account Code]=B221)*(CkDJ[Date]&lt;=$A$7),(CkDJ[Debit])))+(SUM(IF((CsDJ[Account Code]=B221)*(CsDJ[Date]&lt;=$A$7),(CsDJ[Debit])))+(SUM(IF((CRDJ[Account Code]=B221)*(CRDJ[Date]&lt;=$A$7),(CRDJ[Debit])))+(SUM(IF((GJ[Account Code]=B221)*(GJ[Date]&lt;=$A$7),(GJ[Debit]))))))))</f>
        <v>0</v>
      </c>
      <c r="F221" s="490">
        <f t="array" ref="F221">(SUM(IF((PostTB[Account Code (Old)]=B221),(PostTB[Credit])))+(SUM(IF((CkDJ[Account Code]=B221)*(CkDJ[Date]&lt;=$A$7),(CkDJ[Credit])))+(SUM(IF((CsDJ[Account Code]=B221)*(CsDJ[Date]&lt;=$A$7),(CsDJ[Credit])))+(SUM(IF((CRDJ[Account Code]=B221)*(CRDJ[Date]&lt;=$A$7),(CRDJ[Credit])))+(SUM(IF((GJ[Account Code]=B221)*(GJ[Date]&lt;=$A$7),(GJ[Credit]))))))))</f>
        <v>0</v>
      </c>
      <c r="G221" s="620">
        <f>IF(INDEX(AccountCodes[Normal Balance], MATCH(C221,AccountCodes[PPSAS CODE]))="Credit",F221-E221,0)</f>
        <v>0</v>
      </c>
      <c r="H221" s="621">
        <f t="shared" si="3"/>
        <v>0</v>
      </c>
    </row>
    <row r="222" spans="1:8" ht="15.75" hidden="1" x14ac:dyDescent="0.25">
      <c r="A222" s="613" t="str">
        <f t="array" ref="A222">INDEX(AccountCodes[ACCOUNT NAME],MATCH(B222,AccountCodes[NGAS CODE],0))</f>
        <v>Cash Gift</v>
      </c>
      <c r="B222" s="602" t="s">
        <v>172</v>
      </c>
      <c r="C222" s="615">
        <f t="array" ref="C222">INDEX(AccountCodes[PPSAS CODE],MATCH(B222,AccountCodes[NGAS CODE],0))</f>
        <v>5010215000</v>
      </c>
      <c r="D222" s="616">
        <f>IF(INDEX(AccountCodes[Normal Balance], MATCH(C222,AccountCodes[PPSAS CODE]))="Debit",E222-F222,0)</f>
        <v>0</v>
      </c>
      <c r="E222" s="488">
        <f t="array" ref="E222">(SUM(IF((PostTB[Account Code (Old)]=B222),(PostTB[Debit])))+(SUM(IF((CkDJ[Account Code]=B222)*(CkDJ[Date]&lt;=$A$7),(CkDJ[Debit])))+(SUM(IF((CsDJ[Account Code]=B222)*(CsDJ[Date]&lt;=$A$7),(CsDJ[Debit])))+(SUM(IF((CRDJ[Account Code]=B222)*(CRDJ[Date]&lt;=$A$7),(CRDJ[Debit])))+(SUM(IF((GJ[Account Code]=B222)*(GJ[Date]&lt;=$A$7),(GJ[Debit]))))))))</f>
        <v>0</v>
      </c>
      <c r="F222" s="490">
        <f t="array" ref="F222">(SUM(IF((PostTB[Account Code (Old)]=B222),(PostTB[Credit])))+(SUM(IF((CkDJ[Account Code]=B222)*(CkDJ[Date]&lt;=$A$7),(CkDJ[Credit])))+(SUM(IF((CsDJ[Account Code]=B222)*(CsDJ[Date]&lt;=$A$7),(CsDJ[Credit])))+(SUM(IF((CRDJ[Account Code]=B222)*(CRDJ[Date]&lt;=$A$7),(CRDJ[Credit])))+(SUM(IF((GJ[Account Code]=B222)*(GJ[Date]&lt;=$A$7),(GJ[Credit]))))))))</f>
        <v>0</v>
      </c>
      <c r="G222" s="620">
        <f>IF(INDEX(AccountCodes[Normal Balance], MATCH(C222,AccountCodes[PPSAS CODE]))="Credit",F222-E222,0)</f>
        <v>0</v>
      </c>
      <c r="H222" s="621">
        <f t="shared" si="3"/>
        <v>0</v>
      </c>
    </row>
    <row r="223" spans="1:8" ht="15.75" hidden="1" x14ac:dyDescent="0.25">
      <c r="A223" s="613" t="str">
        <f t="array" ref="A223">INDEX(AccountCodes[ACCOUNT NAME],MATCH(B223,AccountCodes[NGAS CODE],0))</f>
        <v>Other Bonuses and Allowances - Collective Negotiation Agreement Incentive-Civilian</v>
      </c>
      <c r="B223" s="602" t="s">
        <v>168</v>
      </c>
      <c r="C223" s="615">
        <f t="array" ref="C223">INDEX(AccountCodes[PPSAS CODE],MATCH(B223,AccountCodes[NGAS CODE],0))</f>
        <v>5010299011</v>
      </c>
      <c r="D223" s="616">
        <f>IF(INDEX(AccountCodes[Normal Balance], MATCH(C223,AccountCodes[PPSAS CODE]))="Debit",E223-F223,0)</f>
        <v>0</v>
      </c>
      <c r="E223" s="488">
        <f t="array" ref="E223">(SUM(IF((PostTB[Account Code (Old)]=B223),(PostTB[Debit])))+(SUM(IF((CkDJ[Account Code]=B223)*(CkDJ[Date]&lt;=$A$7),(CkDJ[Debit])))+(SUM(IF((CsDJ[Account Code]=B223)*(CsDJ[Date]&lt;=$A$7),(CsDJ[Debit])))+(SUM(IF((CRDJ[Account Code]=B223)*(CRDJ[Date]&lt;=$A$7),(CRDJ[Debit])))+(SUM(IF((GJ[Account Code]=B223)*(GJ[Date]&lt;=$A$7),(GJ[Debit]))))))))</f>
        <v>0</v>
      </c>
      <c r="F223" s="490">
        <f t="array" ref="F223">(SUM(IF((PostTB[Account Code (Old)]=B223),(PostTB[Credit])))+(SUM(IF((CkDJ[Account Code]=B223)*(CkDJ[Date]&lt;=$A$7),(CkDJ[Credit])))+(SUM(IF((CsDJ[Account Code]=B223)*(CsDJ[Date]&lt;=$A$7),(CsDJ[Credit])))+(SUM(IF((CRDJ[Account Code]=B223)*(CRDJ[Date]&lt;=$A$7),(CRDJ[Credit])))+(SUM(IF((GJ[Account Code]=B223)*(GJ[Date]&lt;=$A$7),(GJ[Credit]))))))))</f>
        <v>0</v>
      </c>
      <c r="G223" s="620">
        <f>IF(INDEX(AccountCodes[Normal Balance], MATCH(C223,AccountCodes[PPSAS CODE]))="Credit",F223-E223,0)</f>
        <v>0</v>
      </c>
      <c r="H223" s="621">
        <f t="shared" si="3"/>
        <v>0</v>
      </c>
    </row>
    <row r="224" spans="1:8" ht="15.75" hidden="1" x14ac:dyDescent="0.25">
      <c r="A224" s="613" t="str">
        <f t="array" ref="A224">INDEX(AccountCodes[ACCOUNT NAME],MATCH(B224,AccountCodes[NGAS CODE],0))</f>
        <v>Other Bonuses and Allowances - Productivity Enhancement Incentive-Civilian</v>
      </c>
      <c r="B224" s="602" t="s">
        <v>170</v>
      </c>
      <c r="C224" s="615">
        <f t="array" ref="C224">INDEX(AccountCodes[PPSAS CODE],MATCH(B224,AccountCodes[NGAS CODE],0))</f>
        <v>5010299012</v>
      </c>
      <c r="D224" s="616">
        <f>IF(INDEX(AccountCodes[Normal Balance], MATCH(C224,AccountCodes[PPSAS CODE]))="Debit",E224-F224,0)</f>
        <v>0</v>
      </c>
      <c r="E224" s="488">
        <f t="array" ref="E224">(SUM(IF((PostTB[Account Code (Old)]=B224),(PostTB[Debit])))+(SUM(IF((CkDJ[Account Code]=B224)*(CkDJ[Date]&lt;=$A$7),(CkDJ[Debit])))+(SUM(IF((CsDJ[Account Code]=B224)*(CsDJ[Date]&lt;=$A$7),(CsDJ[Debit])))+(SUM(IF((CRDJ[Account Code]=B224)*(CRDJ[Date]&lt;=$A$7),(CRDJ[Debit])))+(SUM(IF((GJ[Account Code]=B224)*(GJ[Date]&lt;=$A$7),(GJ[Debit]))))))))</f>
        <v>0</v>
      </c>
      <c r="F224" s="490">
        <f t="array" ref="F224">(SUM(IF((PostTB[Account Code (Old)]=B224),(PostTB[Credit])))+(SUM(IF((CkDJ[Account Code]=B224)*(CkDJ[Date]&lt;=$A$7),(CkDJ[Credit])))+(SUM(IF((CsDJ[Account Code]=B224)*(CsDJ[Date]&lt;=$A$7),(CsDJ[Credit])))+(SUM(IF((CRDJ[Account Code]=B224)*(CRDJ[Date]&lt;=$A$7),(CRDJ[Credit])))+(SUM(IF((GJ[Account Code]=B224)*(GJ[Date]&lt;=$A$7),(GJ[Credit]))))))))</f>
        <v>0</v>
      </c>
      <c r="G224" s="620">
        <f>IF(INDEX(AccountCodes[Normal Balance], MATCH(C224,AccountCodes[PPSAS CODE]))="Credit",F224-E224,0)</f>
        <v>0</v>
      </c>
      <c r="H224" s="621">
        <f t="shared" si="3"/>
        <v>0</v>
      </c>
    </row>
    <row r="225" spans="1:8" ht="15.75" hidden="1" x14ac:dyDescent="0.25">
      <c r="A225" s="613" t="str">
        <f t="array" ref="A225">INDEX(AccountCodes[ACCOUNT NAME],MATCH(B225,AccountCodes[NGAS CODE],0))</f>
        <v>Other Bonuses and Allowances - Medical Allowance</v>
      </c>
      <c r="B225" s="602" t="s">
        <v>5</v>
      </c>
      <c r="C225" s="615">
        <f t="array" ref="C225">INDEX(AccountCodes[PPSAS CODE],MATCH(B225,AccountCodes[NGAS CODE],0))</f>
        <v>5010299034</v>
      </c>
      <c r="D225" s="616">
        <f>IF(INDEX(AccountCodes[Normal Balance], MATCH(C225,AccountCodes[PPSAS CODE]))="Debit",E225-F225,0)</f>
        <v>0</v>
      </c>
      <c r="E225" s="488">
        <f t="array" ref="E225">(SUM(IF((PostTB[Account Code (Old)]=B225),(PostTB[Debit])))+(SUM(IF((CkDJ[Account Code]=B225)*(CkDJ[Date]&lt;=$A$7),(CkDJ[Debit])))+(SUM(IF((CsDJ[Account Code]=B225)*(CsDJ[Date]&lt;=$A$7),(CsDJ[Debit])))+(SUM(IF((CRDJ[Account Code]=B225)*(CRDJ[Date]&lt;=$A$7),(CRDJ[Debit])))+(SUM(IF((GJ[Account Code]=B225)*(GJ[Date]&lt;=$A$7),(GJ[Debit]))))))))</f>
        <v>0</v>
      </c>
      <c r="F225" s="490">
        <f t="array" ref="F225">(SUM(IF((PostTB[Account Code (Old)]=B225),(PostTB[Credit])))+(SUM(IF((CkDJ[Account Code]=B225)*(CkDJ[Date]&lt;=$A$7),(CkDJ[Credit])))+(SUM(IF((CsDJ[Account Code]=B225)*(CsDJ[Date]&lt;=$A$7),(CsDJ[Credit])))+(SUM(IF((CRDJ[Account Code]=B225)*(CRDJ[Date]&lt;=$A$7),(CRDJ[Credit])))+(SUM(IF((GJ[Account Code]=B225)*(GJ[Date]&lt;=$A$7),(GJ[Credit]))))))))</f>
        <v>0</v>
      </c>
      <c r="G225" s="620">
        <f>IF(INDEX(AccountCodes[Normal Balance], MATCH(C225,AccountCodes[PPSAS CODE]))="Credit",F225-E225,0)</f>
        <v>0</v>
      </c>
      <c r="H225" s="621">
        <f t="shared" si="3"/>
        <v>0</v>
      </c>
    </row>
    <row r="226" spans="1:8" ht="15.75" hidden="1" x14ac:dyDescent="0.25">
      <c r="A226" s="613" t="str">
        <f t="array" ref="A226">INDEX(AccountCodes[ACCOUNT NAME],MATCH(B226,AccountCodes[NGAS CODE],0))</f>
        <v>Other Bonuses and Allowances - Meal Allowance</v>
      </c>
      <c r="B226" s="602" t="s">
        <v>6</v>
      </c>
      <c r="C226" s="615">
        <f t="array" ref="C226">INDEX(AccountCodes[PPSAS CODE],MATCH(B226,AccountCodes[NGAS CODE],0))</f>
        <v>5010299035</v>
      </c>
      <c r="D226" s="616">
        <f>IF(INDEX(AccountCodes[Normal Balance], MATCH(C226,AccountCodes[PPSAS CODE]))="Debit",E226-F226,0)</f>
        <v>0</v>
      </c>
      <c r="E226" s="488">
        <f t="array" ref="E226">(SUM(IF((PostTB[Account Code (Old)]=B226),(PostTB[Debit])))+(SUM(IF((CkDJ[Account Code]=B226)*(CkDJ[Date]&lt;=$A$7),(CkDJ[Debit])))+(SUM(IF((CsDJ[Account Code]=B226)*(CsDJ[Date]&lt;=$A$7),(CsDJ[Debit])))+(SUM(IF((CRDJ[Account Code]=B226)*(CRDJ[Date]&lt;=$A$7),(CRDJ[Debit])))+(SUM(IF((GJ[Account Code]=B226)*(GJ[Date]&lt;=$A$7),(GJ[Debit]))))))))</f>
        <v>0</v>
      </c>
      <c r="F226" s="490">
        <f t="array" ref="F226">(SUM(IF((PostTB[Account Code (Old)]=B226),(PostTB[Credit])))+(SUM(IF((CkDJ[Account Code]=B226)*(CkDJ[Date]&lt;=$A$7),(CkDJ[Credit])))+(SUM(IF((CsDJ[Account Code]=B226)*(CsDJ[Date]&lt;=$A$7),(CsDJ[Credit])))+(SUM(IF((CRDJ[Account Code]=B226)*(CRDJ[Date]&lt;=$A$7),(CRDJ[Credit])))+(SUM(IF((GJ[Account Code]=B226)*(GJ[Date]&lt;=$A$7),(GJ[Credit]))))))))</f>
        <v>0</v>
      </c>
      <c r="G226" s="620">
        <f>IF(INDEX(AccountCodes[Normal Balance], MATCH(C226,AccountCodes[PPSAS CODE]))="Credit",F226-E226,0)</f>
        <v>0</v>
      </c>
      <c r="H226" s="621">
        <f t="shared" si="3"/>
        <v>0</v>
      </c>
    </row>
    <row r="227" spans="1:8" ht="15.75" hidden="1" x14ac:dyDescent="0.25">
      <c r="A227" s="613" t="str">
        <f t="array" ref="A227">INDEX(AccountCodes[ACCOUNT NAME],MATCH(B227,AccountCodes[NGAS CODE],0))</f>
        <v>Other Bonuses and Allowances - Children Allowance</v>
      </c>
      <c r="B227" s="602" t="s">
        <v>7</v>
      </c>
      <c r="C227" s="615">
        <f t="array" ref="C227">INDEX(AccountCodes[PPSAS CODE],MATCH(B227,AccountCodes[NGAS CODE],0))</f>
        <v>5010299036</v>
      </c>
      <c r="D227" s="616">
        <f>IF(INDEX(AccountCodes[Normal Balance], MATCH(C227,AccountCodes[PPSAS CODE]))="Debit",E227-F227,0)</f>
        <v>0</v>
      </c>
      <c r="E227" s="488">
        <f t="array" ref="E227">(SUM(IF((PostTB[Account Code (Old)]=B227),(PostTB[Debit])))+(SUM(IF((CkDJ[Account Code]=B227)*(CkDJ[Date]&lt;=$A$7),(CkDJ[Debit])))+(SUM(IF((CsDJ[Account Code]=B227)*(CsDJ[Date]&lt;=$A$7),(CsDJ[Debit])))+(SUM(IF((CRDJ[Account Code]=B227)*(CRDJ[Date]&lt;=$A$7),(CRDJ[Debit])))+(SUM(IF((GJ[Account Code]=B227)*(GJ[Date]&lt;=$A$7),(GJ[Debit]))))))))</f>
        <v>0</v>
      </c>
      <c r="F227" s="490">
        <f t="array" ref="F227">(SUM(IF((PostTB[Account Code (Old)]=B227),(PostTB[Credit])))+(SUM(IF((CkDJ[Account Code]=B227)*(CkDJ[Date]&lt;=$A$7),(CkDJ[Credit])))+(SUM(IF((CsDJ[Account Code]=B227)*(CsDJ[Date]&lt;=$A$7),(CsDJ[Credit])))+(SUM(IF((CRDJ[Account Code]=B227)*(CRDJ[Date]&lt;=$A$7),(CRDJ[Credit])))+(SUM(IF((GJ[Account Code]=B227)*(GJ[Date]&lt;=$A$7),(GJ[Credit]))))))))</f>
        <v>0</v>
      </c>
      <c r="G227" s="620">
        <f>IF(INDEX(AccountCodes[Normal Balance], MATCH(C227,AccountCodes[PPSAS CODE]))="Credit",F227-E227,0)</f>
        <v>0</v>
      </c>
      <c r="H227" s="621">
        <f t="shared" si="3"/>
        <v>0</v>
      </c>
    </row>
    <row r="228" spans="1:8" ht="15.75" hidden="1" x14ac:dyDescent="0.25">
      <c r="A228" s="613" t="str">
        <f t="array" ref="A228">INDEX(AccountCodes[ACCOUNT NAME],MATCH(B228,AccountCodes[NGAS CODE],0))</f>
        <v>Other Bonuses and Allowances - Anniversary Bonus</v>
      </c>
      <c r="B228" s="602" t="s">
        <v>169</v>
      </c>
      <c r="C228" s="615">
        <f t="array" ref="C228">INDEX(AccountCodes[PPSAS CODE],MATCH(B228,AccountCodes[NGAS CODE],0))</f>
        <v>5010299037</v>
      </c>
      <c r="D228" s="616">
        <f>IF(INDEX(AccountCodes[Normal Balance], MATCH(C228,AccountCodes[PPSAS CODE]))="Debit",E228-F228,0)</f>
        <v>0</v>
      </c>
      <c r="E228" s="488">
        <f t="array" ref="E228">(SUM(IF((PostTB[Account Code (Old)]=B228),(PostTB[Debit])))+(SUM(IF((CkDJ[Account Code]=B228)*(CkDJ[Date]&lt;=$A$7),(CkDJ[Debit])))+(SUM(IF((CsDJ[Account Code]=B228)*(CsDJ[Date]&lt;=$A$7),(CsDJ[Debit])))+(SUM(IF((CRDJ[Account Code]=B228)*(CRDJ[Date]&lt;=$A$7),(CRDJ[Debit])))+(SUM(IF((GJ[Account Code]=B228)*(GJ[Date]&lt;=$A$7),(GJ[Debit]))))))))</f>
        <v>0</v>
      </c>
      <c r="F228" s="490">
        <f t="array" ref="F228">(SUM(IF((PostTB[Account Code (Old)]=B228),(PostTB[Credit])))+(SUM(IF((CkDJ[Account Code]=B228)*(CkDJ[Date]&lt;=$A$7),(CkDJ[Credit])))+(SUM(IF((CsDJ[Account Code]=B228)*(CsDJ[Date]&lt;=$A$7),(CsDJ[Credit])))+(SUM(IF((CRDJ[Account Code]=B228)*(CRDJ[Date]&lt;=$A$7),(CRDJ[Credit])))+(SUM(IF((GJ[Account Code]=B228)*(GJ[Date]&lt;=$A$7),(GJ[Credit]))))))))</f>
        <v>0</v>
      </c>
      <c r="G228" s="620">
        <f>IF(INDEX(AccountCodes[Normal Balance], MATCH(C228,AccountCodes[PPSAS CODE]))="Credit",F228-E228,0)</f>
        <v>0</v>
      </c>
      <c r="H228" s="621">
        <f t="shared" si="3"/>
        <v>0</v>
      </c>
    </row>
    <row r="229" spans="1:8" ht="15.75" hidden="1" x14ac:dyDescent="0.25">
      <c r="A229" s="613" t="str">
        <f t="array" ref="A229">INDEX(AccountCodes[ACCOUNT NAME],MATCH(B229,AccountCodes[NGAS CODE],0))</f>
        <v>Other Bonuses and Allowances - Performance Based Bonus-Civilian</v>
      </c>
      <c r="B229" s="602" t="s">
        <v>1510</v>
      </c>
      <c r="C229" s="615">
        <f t="array" ref="C229">INDEX(AccountCodes[PPSAS CODE],MATCH(B229,AccountCodes[NGAS CODE],0))</f>
        <v>5010299014</v>
      </c>
      <c r="D229" s="616">
        <f>IF(INDEX(AccountCodes[Normal Balance], MATCH(C229,AccountCodes[PPSAS CODE]))="Debit",E229-F229,0)</f>
        <v>0</v>
      </c>
      <c r="E229" s="488">
        <f t="array" ref="E229">(SUM(IF((PostTB[Account Code (Old)]=B229),(PostTB[Debit])))+(SUM(IF((CkDJ[Account Code]=B229)*(CkDJ[Date]&lt;=$A$7),(CkDJ[Debit])))+(SUM(IF((CsDJ[Account Code]=B229)*(CsDJ[Date]&lt;=$A$7),(CsDJ[Debit])))+(SUM(IF((CRDJ[Account Code]=B229)*(CRDJ[Date]&lt;=$A$7),(CRDJ[Debit])))+(SUM(IF((GJ[Account Code]=B229)*(GJ[Date]&lt;=$A$7),(GJ[Debit]))))))))</f>
        <v>0</v>
      </c>
      <c r="F229" s="490">
        <f t="array" ref="F229">(SUM(IF((PostTB[Account Code (Old)]=B229),(PostTB[Credit])))+(SUM(IF((CkDJ[Account Code]=B229)*(CkDJ[Date]&lt;=$A$7),(CkDJ[Credit])))+(SUM(IF((CsDJ[Account Code]=B229)*(CsDJ[Date]&lt;=$A$7),(CsDJ[Credit])))+(SUM(IF((CRDJ[Account Code]=B229)*(CRDJ[Date]&lt;=$A$7),(CRDJ[Credit])))+(SUM(IF((GJ[Account Code]=B229)*(GJ[Date]&lt;=$A$7),(GJ[Credit]))))))))</f>
        <v>0</v>
      </c>
      <c r="G229" s="620">
        <f>IF(INDEX(AccountCodes[Normal Balance], MATCH(C229,AccountCodes[PPSAS CODE]))="Credit",F229-E229,0)</f>
        <v>0</v>
      </c>
      <c r="H229" s="621">
        <f t="shared" si="3"/>
        <v>0</v>
      </c>
    </row>
    <row r="230" spans="1:8" ht="15.75" x14ac:dyDescent="0.25">
      <c r="A230" s="613" t="str">
        <f t="array" ref="A230">INDEX(AccountCodes[ACCOUNT NAME],MATCH(B230,AccountCodes[NGAS CODE],0))</f>
        <v>Retirement and Life Insurance Premiums</v>
      </c>
      <c r="B230" s="602" t="s">
        <v>175</v>
      </c>
      <c r="C230" s="615">
        <f t="array" ref="C230">INDEX(AccountCodes[PPSAS CODE],MATCH(B230,AccountCodes[NGAS CODE],0))</f>
        <v>5010301000</v>
      </c>
      <c r="D230" s="616">
        <f>IF(INDEX(AccountCodes[Normal Balance], MATCH(C230,AccountCodes[PPSAS CODE]))="Debit",E230-F230,0)</f>
        <v>0</v>
      </c>
      <c r="E230" s="488">
        <f t="array" ref="E230">(SUM(IF((PostTB[Account Code (Old)]=B230),(PostTB[Debit])))+(SUM(IF((CkDJ[Account Code]=B230)*(CkDJ[Date]&lt;=$A$7),(CkDJ[Debit])))+(SUM(IF((CsDJ[Account Code]=B230)*(CsDJ[Date]&lt;=$A$7),(CsDJ[Debit])))+(SUM(IF((CRDJ[Account Code]=B230)*(CRDJ[Date]&lt;=$A$7),(CRDJ[Debit])))+(SUM(IF((GJ[Account Code]=B230)*(GJ[Date]&lt;=$A$7),(GJ[Debit]))))))))</f>
        <v>0</v>
      </c>
      <c r="F230" s="490">
        <f t="array" ref="F230">(SUM(IF((PostTB[Account Code (Old)]=B230),(PostTB[Credit])))+(SUM(IF((CkDJ[Account Code]=B230)*(CkDJ[Date]&lt;=$A$7),(CkDJ[Credit])))+(SUM(IF((CsDJ[Account Code]=B230)*(CsDJ[Date]&lt;=$A$7),(CsDJ[Credit])))+(SUM(IF((CRDJ[Account Code]=B230)*(CRDJ[Date]&lt;=$A$7),(CRDJ[Credit])))+(SUM(IF((GJ[Account Code]=B230)*(GJ[Date]&lt;=$A$7),(GJ[Credit]))))))))</f>
        <v>0</v>
      </c>
      <c r="G230" s="620">
        <f>IF(INDEX(AccountCodes[Normal Balance], MATCH(C230,AccountCodes[PPSAS CODE]))="Credit",F230-E230,0)</f>
        <v>0</v>
      </c>
      <c r="H230" s="621">
        <f t="shared" si="3"/>
        <v>0</v>
      </c>
    </row>
    <row r="231" spans="1:8" ht="15.75" x14ac:dyDescent="0.25">
      <c r="A231" s="613" t="str">
        <f t="array" ref="A231">INDEX(AccountCodes[ACCOUNT NAME],MATCH(B231,AccountCodes[NGAS CODE],0))</f>
        <v>Pag-IBIG Contributions</v>
      </c>
      <c r="B231" s="602" t="s">
        <v>176</v>
      </c>
      <c r="C231" s="615">
        <f t="array" ref="C231">INDEX(AccountCodes[PPSAS CODE],MATCH(B231,AccountCodes[NGAS CODE],0))</f>
        <v>5010302000</v>
      </c>
      <c r="D231" s="616">
        <f>IF(INDEX(AccountCodes[Normal Balance], MATCH(C231,AccountCodes[PPSAS CODE]))="Debit",E231-F231,0)</f>
        <v>0</v>
      </c>
      <c r="E231" s="488">
        <f t="array" ref="E231">(SUM(IF((PostTB[Account Code (Old)]=B231),(PostTB[Debit])))+(SUM(IF((CkDJ[Account Code]=B231)*(CkDJ[Date]&lt;=$A$7),(CkDJ[Debit])))+(SUM(IF((CsDJ[Account Code]=B231)*(CsDJ[Date]&lt;=$A$7),(CsDJ[Debit])))+(SUM(IF((CRDJ[Account Code]=B231)*(CRDJ[Date]&lt;=$A$7),(CRDJ[Debit])))+(SUM(IF((GJ[Account Code]=B231)*(GJ[Date]&lt;=$A$7),(GJ[Debit]))))))))</f>
        <v>0</v>
      </c>
      <c r="F231" s="490">
        <f t="array" ref="F231">(SUM(IF((PostTB[Account Code (Old)]=B231),(PostTB[Credit])))+(SUM(IF((CkDJ[Account Code]=B231)*(CkDJ[Date]&lt;=$A$7),(CkDJ[Credit])))+(SUM(IF((CsDJ[Account Code]=B231)*(CsDJ[Date]&lt;=$A$7),(CsDJ[Credit])))+(SUM(IF((CRDJ[Account Code]=B231)*(CRDJ[Date]&lt;=$A$7),(CRDJ[Credit])))+(SUM(IF((GJ[Account Code]=B231)*(GJ[Date]&lt;=$A$7),(GJ[Credit]))))))))</f>
        <v>0</v>
      </c>
      <c r="G231" s="620">
        <f>IF(INDEX(AccountCodes[Normal Balance], MATCH(C231,AccountCodes[PPSAS CODE]))="Credit",F231-E231,0)</f>
        <v>0</v>
      </c>
      <c r="H231" s="621">
        <f t="shared" si="3"/>
        <v>0</v>
      </c>
    </row>
    <row r="232" spans="1:8" ht="15.75" x14ac:dyDescent="0.25">
      <c r="A232" s="613" t="str">
        <f t="array" ref="A232">INDEX(AccountCodes[ACCOUNT NAME],MATCH(B232,AccountCodes[NGAS CODE],0))</f>
        <v>PhilHealth Contributions</v>
      </c>
      <c r="B232" s="602" t="s">
        <v>177</v>
      </c>
      <c r="C232" s="615">
        <f t="array" ref="C232">INDEX(AccountCodes[PPSAS CODE],MATCH(B232,AccountCodes[NGAS CODE],0))</f>
        <v>5010303000</v>
      </c>
      <c r="D232" s="616">
        <f>IF(INDEX(AccountCodes[Normal Balance], MATCH(C232,AccountCodes[PPSAS CODE]))="Debit",E232-F232,0)</f>
        <v>0</v>
      </c>
      <c r="E232" s="488">
        <f t="array" ref="E232">(SUM(IF((PostTB[Account Code (Old)]=B232),(PostTB[Debit])))+(SUM(IF((CkDJ[Account Code]=B232)*(CkDJ[Date]&lt;=$A$7),(CkDJ[Debit])))+(SUM(IF((CsDJ[Account Code]=B232)*(CsDJ[Date]&lt;=$A$7),(CsDJ[Debit])))+(SUM(IF((CRDJ[Account Code]=B232)*(CRDJ[Date]&lt;=$A$7),(CRDJ[Debit])))+(SUM(IF((GJ[Account Code]=B232)*(GJ[Date]&lt;=$A$7),(GJ[Debit]))))))))</f>
        <v>0</v>
      </c>
      <c r="F232" s="490">
        <f t="array" ref="F232">(SUM(IF((PostTB[Account Code (Old)]=B232),(PostTB[Credit])))+(SUM(IF((CkDJ[Account Code]=B232)*(CkDJ[Date]&lt;=$A$7),(CkDJ[Credit])))+(SUM(IF((CsDJ[Account Code]=B232)*(CsDJ[Date]&lt;=$A$7),(CsDJ[Credit])))+(SUM(IF((CRDJ[Account Code]=B232)*(CRDJ[Date]&lt;=$A$7),(CRDJ[Credit])))+(SUM(IF((GJ[Account Code]=B232)*(GJ[Date]&lt;=$A$7),(GJ[Credit]))))))))</f>
        <v>0</v>
      </c>
      <c r="G232" s="620">
        <f>IF(INDEX(AccountCodes[Normal Balance], MATCH(C232,AccountCodes[PPSAS CODE]))="Credit",F232-E232,0)</f>
        <v>0</v>
      </c>
      <c r="H232" s="621">
        <f t="shared" si="3"/>
        <v>0</v>
      </c>
    </row>
    <row r="233" spans="1:8" ht="15.75" x14ac:dyDescent="0.25">
      <c r="A233" s="613" t="str">
        <f t="array" ref="A233">INDEX(AccountCodes[ACCOUNT NAME],MATCH(B233,AccountCodes[NGAS CODE],0))</f>
        <v>Employees Compensation Insurance Premiums</v>
      </c>
      <c r="B233" s="602" t="s">
        <v>178</v>
      </c>
      <c r="C233" s="615">
        <f t="array" ref="C233">INDEX(AccountCodes[PPSAS CODE],MATCH(B233,AccountCodes[NGAS CODE],0))</f>
        <v>5010304000</v>
      </c>
      <c r="D233" s="616">
        <f>IF(INDEX(AccountCodes[Normal Balance], MATCH(C233,AccountCodes[PPSAS CODE]))="Debit",E233-F233,0)</f>
        <v>0</v>
      </c>
      <c r="E233" s="488">
        <f t="array" ref="E233">(SUM(IF((PostTB[Account Code (Old)]=B233),(PostTB[Debit])))+(SUM(IF((CkDJ[Account Code]=B233)*(CkDJ[Date]&lt;=$A$7),(CkDJ[Debit])))+(SUM(IF((CsDJ[Account Code]=B233)*(CsDJ[Date]&lt;=$A$7),(CsDJ[Debit])))+(SUM(IF((CRDJ[Account Code]=B233)*(CRDJ[Date]&lt;=$A$7),(CRDJ[Debit])))+(SUM(IF((GJ[Account Code]=B233)*(GJ[Date]&lt;=$A$7),(GJ[Debit]))))))))</f>
        <v>0</v>
      </c>
      <c r="F233" s="490">
        <f t="array" ref="F233">(SUM(IF((PostTB[Account Code (Old)]=B233),(PostTB[Credit])))+(SUM(IF((CkDJ[Account Code]=B233)*(CkDJ[Date]&lt;=$A$7),(CkDJ[Credit])))+(SUM(IF((CsDJ[Account Code]=B233)*(CsDJ[Date]&lt;=$A$7),(CsDJ[Credit])))+(SUM(IF((CRDJ[Account Code]=B233)*(CRDJ[Date]&lt;=$A$7),(CRDJ[Credit])))+(SUM(IF((GJ[Account Code]=B233)*(GJ[Date]&lt;=$A$7),(GJ[Credit]))))))))</f>
        <v>0</v>
      </c>
      <c r="G233" s="620">
        <f>IF(INDEX(AccountCodes[Normal Balance], MATCH(C233,AccountCodes[PPSAS CODE]))="Credit",F233-E233,0)</f>
        <v>0</v>
      </c>
      <c r="H233" s="621">
        <f t="shared" si="3"/>
        <v>0</v>
      </c>
    </row>
    <row r="234" spans="1:8" ht="15.75" hidden="1" x14ac:dyDescent="0.25">
      <c r="A234" s="613" t="str">
        <f t="array" ref="A234">INDEX(AccountCodes[ACCOUNT NAME],MATCH(B234,AccountCodes[NGAS CODE],0))</f>
        <v>Retirement Gratuity</v>
      </c>
      <c r="B234" s="602" t="s">
        <v>179</v>
      </c>
      <c r="C234" s="615">
        <f t="array" ref="C234">INDEX(AccountCodes[PPSAS CODE],MATCH(B234,AccountCodes[NGAS CODE],0))</f>
        <v>5010402000</v>
      </c>
      <c r="D234" s="616">
        <f>IF(INDEX(AccountCodes[Normal Balance], MATCH(C234,AccountCodes[PPSAS CODE]))="Debit",E234-F234,0)</f>
        <v>0</v>
      </c>
      <c r="E234" s="488">
        <f t="array" ref="E234">(SUM(IF((PostTB[Account Code (Old)]=B234),(PostTB[Debit])))+(SUM(IF((CkDJ[Account Code]=B234)*(CkDJ[Date]&lt;=$A$7),(CkDJ[Debit])))+(SUM(IF((CsDJ[Account Code]=B234)*(CsDJ[Date]&lt;=$A$7),(CsDJ[Debit])))+(SUM(IF((CRDJ[Account Code]=B234)*(CRDJ[Date]&lt;=$A$7),(CRDJ[Debit])))+(SUM(IF((GJ[Account Code]=B234)*(GJ[Date]&lt;=$A$7),(GJ[Debit]))))))))</f>
        <v>0</v>
      </c>
      <c r="F234" s="490">
        <f t="array" ref="F234">(SUM(IF((PostTB[Account Code (Old)]=B234),(PostTB[Credit])))+(SUM(IF((CkDJ[Account Code]=B234)*(CkDJ[Date]&lt;=$A$7),(CkDJ[Credit])))+(SUM(IF((CsDJ[Account Code]=B234)*(CsDJ[Date]&lt;=$A$7),(CsDJ[Credit])))+(SUM(IF((CRDJ[Account Code]=B234)*(CRDJ[Date]&lt;=$A$7),(CRDJ[Credit])))+(SUM(IF((GJ[Account Code]=B234)*(GJ[Date]&lt;=$A$7),(GJ[Credit]))))))))</f>
        <v>0</v>
      </c>
      <c r="G234" s="620">
        <f>IF(INDEX(AccountCodes[Normal Balance], MATCH(C234,AccountCodes[PPSAS CODE]))="Credit",F234-E234,0)</f>
        <v>0</v>
      </c>
      <c r="H234" s="621">
        <f t="shared" si="3"/>
        <v>0</v>
      </c>
    </row>
    <row r="235" spans="1:8" ht="15.75" hidden="1" x14ac:dyDescent="0.25">
      <c r="A235" s="613" t="str">
        <f t="array" ref="A235">INDEX(AccountCodes[ACCOUNT NAME],MATCH(B235,AccountCodes[NGAS CODE],0))</f>
        <v>Terminal Leave Benefits</v>
      </c>
      <c r="B235" s="602" t="s">
        <v>212</v>
      </c>
      <c r="C235" s="615">
        <f t="array" ref="C235">INDEX(AccountCodes[PPSAS CODE],MATCH(B235,AccountCodes[NGAS CODE],0))</f>
        <v>5010403000</v>
      </c>
      <c r="D235" s="616">
        <f>IF(INDEX(AccountCodes[Normal Balance], MATCH(C235,AccountCodes[PPSAS CODE]))="Debit",E235-F235,0)</f>
        <v>0</v>
      </c>
      <c r="E235" s="488">
        <f t="array" ref="E235">(SUM(IF((PostTB[Account Code (Old)]=B235),(PostTB[Debit])))+(SUM(IF((CkDJ[Account Code]=B235)*(CkDJ[Date]&lt;=$A$7),(CkDJ[Debit])))+(SUM(IF((CsDJ[Account Code]=B235)*(CsDJ[Date]&lt;=$A$7),(CsDJ[Debit])))+(SUM(IF((CRDJ[Account Code]=B235)*(CRDJ[Date]&lt;=$A$7),(CRDJ[Debit])))+(SUM(IF((GJ[Account Code]=B235)*(GJ[Date]&lt;=$A$7),(GJ[Debit]))))))))</f>
        <v>0</v>
      </c>
      <c r="F235" s="490">
        <f t="array" ref="F235">(SUM(IF((PostTB[Account Code (Old)]=B235),(PostTB[Credit])))+(SUM(IF((CkDJ[Account Code]=B235)*(CkDJ[Date]&lt;=$A$7),(CkDJ[Credit])))+(SUM(IF((CsDJ[Account Code]=B235)*(CsDJ[Date]&lt;=$A$7),(CsDJ[Credit])))+(SUM(IF((CRDJ[Account Code]=B235)*(CRDJ[Date]&lt;=$A$7),(CRDJ[Credit])))+(SUM(IF((GJ[Account Code]=B235)*(GJ[Date]&lt;=$A$7),(GJ[Credit]))))))))</f>
        <v>0</v>
      </c>
      <c r="G235" s="620">
        <f>IF(INDEX(AccountCodes[Normal Balance], MATCH(C235,AccountCodes[PPSAS CODE]))="Credit",F235-E235,0)</f>
        <v>0</v>
      </c>
      <c r="H235" s="621">
        <f t="shared" si="3"/>
        <v>0</v>
      </c>
    </row>
    <row r="236" spans="1:8" ht="15.75" hidden="1" x14ac:dyDescent="0.25">
      <c r="A236" s="613" t="str">
        <f t="array" ref="A236">INDEX(AccountCodes[ACCOUNT NAME],MATCH(B236,AccountCodes[NGAS CODE],0))</f>
        <v>Other Personnel Benefits</v>
      </c>
      <c r="B236" s="602" t="s">
        <v>213</v>
      </c>
      <c r="C236" s="615">
        <f t="array" ref="C236">INDEX(AccountCodes[PPSAS CODE],MATCH(B236,AccountCodes[NGAS CODE],0))</f>
        <v>5010499099</v>
      </c>
      <c r="D236" s="616">
        <f>IF(INDEX(AccountCodes[Normal Balance], MATCH(C236,AccountCodes[PPSAS CODE]))="Debit",E236-F236,0)</f>
        <v>0</v>
      </c>
      <c r="E236" s="488">
        <f t="array" ref="E236">(SUM(IF((PostTB[Account Code (Old)]=B236),(PostTB[Debit])))+(SUM(IF((CkDJ[Account Code]=B236)*(CkDJ[Date]&lt;=$A$7),(CkDJ[Debit])))+(SUM(IF((CsDJ[Account Code]=B236)*(CsDJ[Date]&lt;=$A$7),(CsDJ[Debit])))+(SUM(IF((CRDJ[Account Code]=B236)*(CRDJ[Date]&lt;=$A$7),(CRDJ[Debit])))+(SUM(IF((GJ[Account Code]=B236)*(GJ[Date]&lt;=$A$7),(GJ[Debit]))))))))</f>
        <v>0</v>
      </c>
      <c r="F236" s="490">
        <f t="array" ref="F236">(SUM(IF((PostTB[Account Code (Old)]=B236),(PostTB[Credit])))+(SUM(IF((CkDJ[Account Code]=B236)*(CkDJ[Date]&lt;=$A$7),(CkDJ[Credit])))+(SUM(IF((CsDJ[Account Code]=B236)*(CsDJ[Date]&lt;=$A$7),(CsDJ[Credit])))+(SUM(IF((CRDJ[Account Code]=B236)*(CRDJ[Date]&lt;=$A$7),(CRDJ[Credit])))+(SUM(IF((GJ[Account Code]=B236)*(GJ[Date]&lt;=$A$7),(GJ[Credit]))))))))</f>
        <v>0</v>
      </c>
      <c r="G236" s="620">
        <f>IF(INDEX(AccountCodes[Normal Balance], MATCH(C236,AccountCodes[PPSAS CODE]))="Credit",F236-E236,0)</f>
        <v>0</v>
      </c>
      <c r="H236" s="621">
        <f t="shared" si="3"/>
        <v>0</v>
      </c>
    </row>
    <row r="237" spans="1:8" ht="15.75" x14ac:dyDescent="0.25">
      <c r="A237" s="613" t="str">
        <f t="array" ref="A237">INDEX(AccountCodes[ACCOUNT NAME],MATCH(B237,AccountCodes[NGAS CODE],0))</f>
        <v>Traveling Expenses-Local</v>
      </c>
      <c r="B237" s="602" t="s">
        <v>223</v>
      </c>
      <c r="C237" s="615">
        <f t="array" ref="C237">INDEX(AccountCodes[PPSAS CODE],MATCH(B237,AccountCodes[NGAS CODE],0))</f>
        <v>5020101000</v>
      </c>
      <c r="D237" s="616">
        <f>IF(INDEX(AccountCodes[Normal Balance], MATCH(C237,AccountCodes[PPSAS CODE]))="Debit",E237-F237,0)</f>
        <v>0</v>
      </c>
      <c r="E237" s="488">
        <f t="array" ref="E237">(SUM(IF((PostTB[Account Code (Old)]=B237),(PostTB[Debit])))+(SUM(IF((CkDJ[Account Code]=B237)*(CkDJ[Date]&lt;=$A$7),(CkDJ[Debit])))+(SUM(IF((CsDJ[Account Code]=B237)*(CsDJ[Date]&lt;=$A$7),(CsDJ[Debit])))+(SUM(IF((CRDJ[Account Code]=B237)*(CRDJ[Date]&lt;=$A$7),(CRDJ[Debit])))+(SUM(IF((GJ[Account Code]=B237)*(GJ[Date]&lt;=$A$7),(GJ[Debit]))))))))</f>
        <v>0</v>
      </c>
      <c r="F237" s="490">
        <f t="array" ref="F237">(SUM(IF((PostTB[Account Code (Old)]=B237),(PostTB[Credit])))+(SUM(IF((CkDJ[Account Code]=B237)*(CkDJ[Date]&lt;=$A$7),(CkDJ[Credit])))+(SUM(IF((CsDJ[Account Code]=B237)*(CsDJ[Date]&lt;=$A$7),(CsDJ[Credit])))+(SUM(IF((CRDJ[Account Code]=B237)*(CRDJ[Date]&lt;=$A$7),(CRDJ[Credit])))+(SUM(IF((GJ[Account Code]=B237)*(GJ[Date]&lt;=$A$7),(GJ[Credit]))))))))</f>
        <v>0</v>
      </c>
      <c r="G237" s="620">
        <f>IF(INDEX(AccountCodes[Normal Balance], MATCH(C237,AccountCodes[PPSAS CODE]))="Credit",F237-E237,0)</f>
        <v>0</v>
      </c>
      <c r="H237" s="621">
        <f t="shared" si="3"/>
        <v>0</v>
      </c>
    </row>
    <row r="238" spans="1:8" ht="15.75" hidden="1" x14ac:dyDescent="0.25">
      <c r="A238" s="613" t="str">
        <f t="array" ref="A238">INDEX(AccountCodes[ACCOUNT NAME],MATCH(B238,AccountCodes[NGAS CODE],0))</f>
        <v>Traveling Expenses-Foreign</v>
      </c>
      <c r="B238" s="602" t="s">
        <v>1233</v>
      </c>
      <c r="C238" s="615">
        <f t="array" ref="C238">INDEX(AccountCodes[PPSAS CODE],MATCH(B238,AccountCodes[NGAS CODE],0))</f>
        <v>5020102000</v>
      </c>
      <c r="D238" s="616">
        <f>IF(INDEX(AccountCodes[Normal Balance], MATCH(C238,AccountCodes[PPSAS CODE]))="Debit",E238-F238,0)</f>
        <v>0</v>
      </c>
      <c r="E238" s="488">
        <f t="array" ref="E238">(SUM(IF((PostTB[Account Code (Old)]=B238),(PostTB[Debit])))+(SUM(IF((CkDJ[Account Code]=B238)*(CkDJ[Date]&lt;=$A$7),(CkDJ[Debit])))+(SUM(IF((CsDJ[Account Code]=B238)*(CsDJ[Date]&lt;=$A$7),(CsDJ[Debit])))+(SUM(IF((CRDJ[Account Code]=B238)*(CRDJ[Date]&lt;=$A$7),(CRDJ[Debit])))+(SUM(IF((GJ[Account Code]=B238)*(GJ[Date]&lt;=$A$7),(GJ[Debit]))))))))</f>
        <v>0</v>
      </c>
      <c r="F238" s="490">
        <f t="array" ref="F238">(SUM(IF((PostTB[Account Code (Old)]=B238),(PostTB[Credit])))+(SUM(IF((CkDJ[Account Code]=B238)*(CkDJ[Date]&lt;=$A$7),(CkDJ[Credit])))+(SUM(IF((CsDJ[Account Code]=B238)*(CsDJ[Date]&lt;=$A$7),(CsDJ[Credit])))+(SUM(IF((CRDJ[Account Code]=B238)*(CRDJ[Date]&lt;=$A$7),(CRDJ[Credit])))+(SUM(IF((GJ[Account Code]=B238)*(GJ[Date]&lt;=$A$7),(GJ[Credit]))))))))</f>
        <v>0</v>
      </c>
      <c r="G238" s="620">
        <f>IF(INDEX(AccountCodes[Normal Balance], MATCH(C238,AccountCodes[PPSAS CODE]))="Credit",F238-E238,0)</f>
        <v>0</v>
      </c>
      <c r="H238" s="621">
        <f t="shared" si="3"/>
        <v>0</v>
      </c>
    </row>
    <row r="239" spans="1:8" ht="15.75" x14ac:dyDescent="0.25">
      <c r="A239" s="613" t="str">
        <f t="array" ref="A239">INDEX(AccountCodes[ACCOUNT NAME],MATCH(B239,AccountCodes[NGAS CODE],0))</f>
        <v>Training Expenses</v>
      </c>
      <c r="B239" s="602" t="s">
        <v>224</v>
      </c>
      <c r="C239" s="615">
        <f t="array" ref="C239">INDEX(AccountCodes[PPSAS CODE],MATCH(B239,AccountCodes[NGAS CODE],0))</f>
        <v>5020201000</v>
      </c>
      <c r="D239" s="616">
        <f>IF(INDEX(AccountCodes[Normal Balance], MATCH(C239,AccountCodes[PPSAS CODE]))="Debit",E239-F239,0)</f>
        <v>0</v>
      </c>
      <c r="E239" s="488">
        <f t="array" ref="E239">(SUM(IF((PostTB[Account Code (Old)]=B239),(PostTB[Debit])))+(SUM(IF((CkDJ[Account Code]=B239)*(CkDJ[Date]&lt;=$A$7),(CkDJ[Debit])))+(SUM(IF((CsDJ[Account Code]=B239)*(CsDJ[Date]&lt;=$A$7),(CsDJ[Debit])))+(SUM(IF((CRDJ[Account Code]=B239)*(CRDJ[Date]&lt;=$A$7),(CRDJ[Debit])))+(SUM(IF((GJ[Account Code]=B239)*(GJ[Date]&lt;=$A$7),(GJ[Debit]))))))))</f>
        <v>0</v>
      </c>
      <c r="F239" s="490">
        <f t="array" ref="F239">(SUM(IF((PostTB[Account Code (Old)]=B239),(PostTB[Credit])))+(SUM(IF((CkDJ[Account Code]=B239)*(CkDJ[Date]&lt;=$A$7),(CkDJ[Credit])))+(SUM(IF((CsDJ[Account Code]=B239)*(CsDJ[Date]&lt;=$A$7),(CsDJ[Credit])))+(SUM(IF((CRDJ[Account Code]=B239)*(CRDJ[Date]&lt;=$A$7),(CRDJ[Credit])))+(SUM(IF((GJ[Account Code]=B239)*(GJ[Date]&lt;=$A$7),(GJ[Credit]))))))))</f>
        <v>0</v>
      </c>
      <c r="G239" s="620">
        <f>IF(INDEX(AccountCodes[Normal Balance], MATCH(C239,AccountCodes[PPSAS CODE]))="Credit",F239-E239,0)</f>
        <v>0</v>
      </c>
      <c r="H239" s="621">
        <f t="shared" si="3"/>
        <v>0</v>
      </c>
    </row>
    <row r="240" spans="1:8" ht="15.75" hidden="1" x14ac:dyDescent="0.25">
      <c r="A240" s="613" t="str">
        <f t="array" ref="A240">INDEX(AccountCodes[ACCOUNT NAME],MATCH(B240,AccountCodes[NGAS CODE],0))</f>
        <v>Scholarship Grants/Expenses</v>
      </c>
      <c r="B240" s="602" t="s">
        <v>1234</v>
      </c>
      <c r="C240" s="615">
        <f t="array" ref="C240">INDEX(AccountCodes[PPSAS CODE],MATCH(B240,AccountCodes[NGAS CODE],0))</f>
        <v>5020202000</v>
      </c>
      <c r="D240" s="616">
        <f>IF(INDEX(AccountCodes[Normal Balance], MATCH(C240,AccountCodes[PPSAS CODE]))="Debit",E240-F240,0)</f>
        <v>0</v>
      </c>
      <c r="E240" s="488">
        <f t="array" ref="E240">(SUM(IF((PostTB[Account Code (Old)]=B240),(PostTB[Debit])))+(SUM(IF((CkDJ[Account Code]=B240)*(CkDJ[Date]&lt;=$A$7),(CkDJ[Debit])))+(SUM(IF((CsDJ[Account Code]=B240)*(CsDJ[Date]&lt;=$A$7),(CsDJ[Debit])))+(SUM(IF((CRDJ[Account Code]=B240)*(CRDJ[Date]&lt;=$A$7),(CRDJ[Debit])))+(SUM(IF((GJ[Account Code]=B240)*(GJ[Date]&lt;=$A$7),(GJ[Debit]))))))))</f>
        <v>0</v>
      </c>
      <c r="F240" s="490">
        <f t="array" ref="F240">(SUM(IF((PostTB[Account Code (Old)]=B240),(PostTB[Credit])))+(SUM(IF((CkDJ[Account Code]=B240)*(CkDJ[Date]&lt;=$A$7),(CkDJ[Credit])))+(SUM(IF((CsDJ[Account Code]=B240)*(CsDJ[Date]&lt;=$A$7),(CsDJ[Credit])))+(SUM(IF((CRDJ[Account Code]=B240)*(CRDJ[Date]&lt;=$A$7),(CRDJ[Credit])))+(SUM(IF((GJ[Account Code]=B240)*(GJ[Date]&lt;=$A$7),(GJ[Credit]))))))))</f>
        <v>0</v>
      </c>
      <c r="G240" s="620">
        <f>IF(INDEX(AccountCodes[Normal Balance], MATCH(C240,AccountCodes[PPSAS CODE]))="Credit",F240-E240,0)</f>
        <v>0</v>
      </c>
      <c r="H240" s="621">
        <f t="shared" si="3"/>
        <v>0</v>
      </c>
    </row>
    <row r="241" spans="1:8" ht="15.75" x14ac:dyDescent="0.25">
      <c r="A241" s="613" t="str">
        <f t="array" ref="A241">INDEX(AccountCodes[ACCOUNT NAME],MATCH(B241,AccountCodes[NGAS CODE],0))</f>
        <v>Office Supplies Expenses</v>
      </c>
      <c r="B241" s="602" t="s">
        <v>225</v>
      </c>
      <c r="C241" s="615">
        <f t="array" ref="C241">INDEX(AccountCodes[PPSAS CODE],MATCH(B241,AccountCodes[NGAS CODE],0))</f>
        <v>5020301000</v>
      </c>
      <c r="D241" s="616">
        <f>IF(INDEX(AccountCodes[Normal Balance], MATCH(C241,AccountCodes[PPSAS CODE]))="Debit",E241-F241,0)</f>
        <v>0</v>
      </c>
      <c r="E241" s="488">
        <f t="array" ref="E241">(SUM(IF((PostTB[Account Code (Old)]=B241),(PostTB[Debit])))+(SUM(IF((CkDJ[Account Code]=B241)*(CkDJ[Date]&lt;=$A$7),(CkDJ[Debit])))+(SUM(IF((CsDJ[Account Code]=B241)*(CsDJ[Date]&lt;=$A$7),(CsDJ[Debit])))+(SUM(IF((CRDJ[Account Code]=B241)*(CRDJ[Date]&lt;=$A$7),(CRDJ[Debit])))+(SUM(IF((GJ[Account Code]=B241)*(GJ[Date]&lt;=$A$7),(GJ[Debit]))))))))</f>
        <v>0</v>
      </c>
      <c r="F241" s="490">
        <f t="array" ref="F241">(SUM(IF((PostTB[Account Code (Old)]=B241),(PostTB[Credit])))+(SUM(IF((CkDJ[Account Code]=B241)*(CkDJ[Date]&lt;=$A$7),(CkDJ[Credit])))+(SUM(IF((CsDJ[Account Code]=B241)*(CsDJ[Date]&lt;=$A$7),(CsDJ[Credit])))+(SUM(IF((CRDJ[Account Code]=B241)*(CRDJ[Date]&lt;=$A$7),(CRDJ[Credit])))+(SUM(IF((GJ[Account Code]=B241)*(GJ[Date]&lt;=$A$7),(GJ[Credit]))))))))</f>
        <v>0</v>
      </c>
      <c r="G241" s="620">
        <f>IF(INDEX(AccountCodes[Normal Balance], MATCH(C241,AccountCodes[PPSAS CODE]))="Credit",F241-E241,0)</f>
        <v>0</v>
      </c>
      <c r="H241" s="621">
        <f t="shared" si="3"/>
        <v>0</v>
      </c>
    </row>
    <row r="242" spans="1:8" ht="15.75" hidden="1" x14ac:dyDescent="0.25">
      <c r="A242" s="613" t="str">
        <f t="array" ref="A242">INDEX(AccountCodes[ACCOUNT NAME],MATCH(B242,AccountCodes[NGAS CODE],0))</f>
        <v>Accountable Forms Expenses</v>
      </c>
      <c r="B242" s="602" t="s">
        <v>226</v>
      </c>
      <c r="C242" s="615">
        <f t="array" ref="C242">INDEX(AccountCodes[PPSAS CODE],MATCH(B242,AccountCodes[NGAS CODE],0))</f>
        <v>5020302000</v>
      </c>
      <c r="D242" s="616">
        <f>IF(INDEX(AccountCodes[Normal Balance], MATCH(C242,AccountCodes[PPSAS CODE]))="Debit",E242-F242,0)</f>
        <v>0</v>
      </c>
      <c r="E242" s="488">
        <f t="array" ref="E242">(SUM(IF((PostTB[Account Code (Old)]=B242),(PostTB[Debit])))+(SUM(IF((CkDJ[Account Code]=B242)*(CkDJ[Date]&lt;=$A$7),(CkDJ[Debit])))+(SUM(IF((CsDJ[Account Code]=B242)*(CsDJ[Date]&lt;=$A$7),(CsDJ[Debit])))+(SUM(IF((CRDJ[Account Code]=B242)*(CRDJ[Date]&lt;=$A$7),(CRDJ[Debit])))+(SUM(IF((GJ[Account Code]=B242)*(GJ[Date]&lt;=$A$7),(GJ[Debit]))))))))</f>
        <v>0</v>
      </c>
      <c r="F242" s="490">
        <f t="array" ref="F242">(SUM(IF((PostTB[Account Code (Old)]=B242),(PostTB[Credit])))+(SUM(IF((CkDJ[Account Code]=B242)*(CkDJ[Date]&lt;=$A$7),(CkDJ[Credit])))+(SUM(IF((CsDJ[Account Code]=B242)*(CsDJ[Date]&lt;=$A$7),(CsDJ[Credit])))+(SUM(IF((CRDJ[Account Code]=B242)*(CRDJ[Date]&lt;=$A$7),(CRDJ[Credit])))+(SUM(IF((GJ[Account Code]=B242)*(GJ[Date]&lt;=$A$7),(GJ[Credit]))))))))</f>
        <v>0</v>
      </c>
      <c r="G242" s="620">
        <f>IF(INDEX(AccountCodes[Normal Balance], MATCH(C242,AccountCodes[PPSAS CODE]))="Credit",F242-E242,0)</f>
        <v>0</v>
      </c>
      <c r="H242" s="621">
        <f t="shared" si="3"/>
        <v>0</v>
      </c>
    </row>
    <row r="243" spans="1:8" ht="15.75" hidden="1" x14ac:dyDescent="0.25">
      <c r="A243" s="613" t="str">
        <f t="array" ref="A243">INDEX(AccountCodes[ACCOUNT NAME],MATCH(B243,AccountCodes[NGAS CODE],0))</f>
        <v>Food Supplies Expenses</v>
      </c>
      <c r="B243" s="602" t="s">
        <v>1235</v>
      </c>
      <c r="C243" s="615">
        <f t="array" ref="C243">INDEX(AccountCodes[PPSAS CODE],MATCH(B243,AccountCodes[NGAS CODE],0))</f>
        <v>5020305000</v>
      </c>
      <c r="D243" s="616">
        <f>IF(INDEX(AccountCodes[Normal Balance], MATCH(C243,AccountCodes[PPSAS CODE]))="Debit",E243-F243,0)</f>
        <v>0</v>
      </c>
      <c r="E243" s="488">
        <f t="array" ref="E243">(SUM(IF((PostTB[Account Code (Old)]=B243),(PostTB[Debit])))+(SUM(IF((CkDJ[Account Code]=B243)*(CkDJ[Date]&lt;=$A$7),(CkDJ[Debit])))+(SUM(IF((CsDJ[Account Code]=B243)*(CsDJ[Date]&lt;=$A$7),(CsDJ[Debit])))+(SUM(IF((CRDJ[Account Code]=B243)*(CRDJ[Date]&lt;=$A$7),(CRDJ[Debit])))+(SUM(IF((GJ[Account Code]=B243)*(GJ[Date]&lt;=$A$7),(GJ[Debit]))))))))</f>
        <v>0</v>
      </c>
      <c r="F243" s="490">
        <f t="array" ref="F243">(SUM(IF((PostTB[Account Code (Old)]=B243),(PostTB[Credit])))+(SUM(IF((CkDJ[Account Code]=B243)*(CkDJ[Date]&lt;=$A$7),(CkDJ[Credit])))+(SUM(IF((CsDJ[Account Code]=B243)*(CsDJ[Date]&lt;=$A$7),(CsDJ[Credit])))+(SUM(IF((CRDJ[Account Code]=B243)*(CRDJ[Date]&lt;=$A$7),(CRDJ[Credit])))+(SUM(IF((GJ[Account Code]=B243)*(GJ[Date]&lt;=$A$7),(GJ[Credit]))))))))</f>
        <v>0</v>
      </c>
      <c r="G243" s="620">
        <f>IF(INDEX(AccountCodes[Normal Balance], MATCH(C243,AccountCodes[PPSAS CODE]))="Credit",F243-E243,0)</f>
        <v>0</v>
      </c>
      <c r="H243" s="621">
        <f t="shared" si="3"/>
        <v>0</v>
      </c>
    </row>
    <row r="244" spans="1:8" ht="15.75" x14ac:dyDescent="0.25">
      <c r="A244" s="613" t="str">
        <f t="array" ref="A244">INDEX(AccountCodes[ACCOUNT NAME],MATCH(B244,AccountCodes[NGAS CODE],0))</f>
        <v>Drugs and Medicines Expenses</v>
      </c>
      <c r="B244" s="602" t="s">
        <v>227</v>
      </c>
      <c r="C244" s="615">
        <f t="array" ref="C244">INDEX(AccountCodes[PPSAS CODE],MATCH(B244,AccountCodes[NGAS CODE],0))</f>
        <v>5020307000</v>
      </c>
      <c r="D244" s="616">
        <f>IF(INDEX(AccountCodes[Normal Balance], MATCH(C244,AccountCodes[PPSAS CODE]))="Debit",E244-F244,0)</f>
        <v>0</v>
      </c>
      <c r="E244" s="488">
        <f t="array" ref="E244">(SUM(IF((PostTB[Account Code (Old)]=B244),(PostTB[Debit])))+(SUM(IF((CkDJ[Account Code]=B244)*(CkDJ[Date]&lt;=$A$7),(CkDJ[Debit])))+(SUM(IF((CsDJ[Account Code]=B244)*(CsDJ[Date]&lt;=$A$7),(CsDJ[Debit])))+(SUM(IF((CRDJ[Account Code]=B244)*(CRDJ[Date]&lt;=$A$7),(CRDJ[Debit])))+(SUM(IF((GJ[Account Code]=B244)*(GJ[Date]&lt;=$A$7),(GJ[Debit]))))))))</f>
        <v>0</v>
      </c>
      <c r="F244" s="490">
        <f t="array" ref="F244">(SUM(IF((PostTB[Account Code (Old)]=B244),(PostTB[Credit])))+(SUM(IF((CkDJ[Account Code]=B244)*(CkDJ[Date]&lt;=$A$7),(CkDJ[Credit])))+(SUM(IF((CsDJ[Account Code]=B244)*(CsDJ[Date]&lt;=$A$7),(CsDJ[Credit])))+(SUM(IF((CRDJ[Account Code]=B244)*(CRDJ[Date]&lt;=$A$7),(CRDJ[Credit])))+(SUM(IF((GJ[Account Code]=B244)*(GJ[Date]&lt;=$A$7),(GJ[Credit]))))))))</f>
        <v>0</v>
      </c>
      <c r="G244" s="620">
        <f>IF(INDEX(AccountCodes[Normal Balance], MATCH(C244,AccountCodes[PPSAS CODE]))="Credit",F244-E244,0)</f>
        <v>0</v>
      </c>
      <c r="H244" s="621">
        <f t="shared" si="3"/>
        <v>0</v>
      </c>
    </row>
    <row r="245" spans="1:8" ht="15.75" hidden="1" x14ac:dyDescent="0.25">
      <c r="A245" s="613" t="str">
        <f t="array" ref="A245">INDEX(AccountCodes[ACCOUNT NAME],MATCH(B245,AccountCodes[NGAS CODE],0))</f>
        <v>Medical, Dental and Laboratory Supplies Expenses</v>
      </c>
      <c r="B245" s="602" t="s">
        <v>228</v>
      </c>
      <c r="C245" s="615">
        <f t="array" ref="C245">INDEX(AccountCodes[PPSAS CODE],MATCH(B245,AccountCodes[NGAS CODE],0))</f>
        <v>5020308000</v>
      </c>
      <c r="D245" s="616">
        <f>IF(INDEX(AccountCodes[Normal Balance], MATCH(C245,AccountCodes[PPSAS CODE]))="Debit",E245-F245,0)</f>
        <v>0</v>
      </c>
      <c r="E245" s="488">
        <f t="array" ref="E245">(SUM(IF((PostTB[Account Code (Old)]=B245),(PostTB[Debit])))+(SUM(IF((CkDJ[Account Code]=B245)*(CkDJ[Date]&lt;=$A$7),(CkDJ[Debit])))+(SUM(IF((CsDJ[Account Code]=B245)*(CsDJ[Date]&lt;=$A$7),(CsDJ[Debit])))+(SUM(IF((CRDJ[Account Code]=B245)*(CRDJ[Date]&lt;=$A$7),(CRDJ[Debit])))+(SUM(IF((GJ[Account Code]=B245)*(GJ[Date]&lt;=$A$7),(GJ[Debit]))))))))</f>
        <v>0</v>
      </c>
      <c r="F245" s="490">
        <f t="array" ref="F245">(SUM(IF((PostTB[Account Code (Old)]=B245),(PostTB[Credit])))+(SUM(IF((CkDJ[Account Code]=B245)*(CkDJ[Date]&lt;=$A$7),(CkDJ[Credit])))+(SUM(IF((CsDJ[Account Code]=B245)*(CsDJ[Date]&lt;=$A$7),(CsDJ[Credit])))+(SUM(IF((CRDJ[Account Code]=B245)*(CRDJ[Date]&lt;=$A$7),(CRDJ[Credit])))+(SUM(IF((GJ[Account Code]=B245)*(GJ[Date]&lt;=$A$7),(GJ[Credit]))))))))</f>
        <v>0</v>
      </c>
      <c r="G245" s="620">
        <f>IF(INDEX(AccountCodes[Normal Balance], MATCH(C245,AccountCodes[PPSAS CODE]))="Credit",F245-E245,0)</f>
        <v>0</v>
      </c>
      <c r="H245" s="621">
        <f t="shared" si="3"/>
        <v>0</v>
      </c>
    </row>
    <row r="246" spans="1:8" ht="15.75" x14ac:dyDescent="0.25">
      <c r="A246" s="613" t="str">
        <f t="array" ref="A246">INDEX(AccountCodes[ACCOUNT NAME],MATCH(B246,AccountCodes[NGAS CODE],0))</f>
        <v>Fuel, Oil and Lubricants Expenses</v>
      </c>
      <c r="B246" s="602" t="s">
        <v>229</v>
      </c>
      <c r="C246" s="615">
        <f t="array" ref="C246">INDEX(AccountCodes[PPSAS CODE],MATCH(B246,AccountCodes[NGAS CODE],0))</f>
        <v>5020309000</v>
      </c>
      <c r="D246" s="616">
        <f>IF(INDEX(AccountCodes[Normal Balance], MATCH(C246,AccountCodes[PPSAS CODE]))="Debit",E246-F246,0)</f>
        <v>0</v>
      </c>
      <c r="E246" s="488">
        <f t="array" ref="E246">(SUM(IF((PostTB[Account Code (Old)]=B246),(PostTB[Debit])))+(SUM(IF((CkDJ[Account Code]=B246)*(CkDJ[Date]&lt;=$A$7),(CkDJ[Debit])))+(SUM(IF((CsDJ[Account Code]=B246)*(CsDJ[Date]&lt;=$A$7),(CsDJ[Debit])))+(SUM(IF((CRDJ[Account Code]=B246)*(CRDJ[Date]&lt;=$A$7),(CRDJ[Debit])))+(SUM(IF((GJ[Account Code]=B246)*(GJ[Date]&lt;=$A$7),(GJ[Debit]))))))))</f>
        <v>0</v>
      </c>
      <c r="F246" s="490">
        <f t="array" ref="F246">(SUM(IF((PostTB[Account Code (Old)]=B246),(PostTB[Credit])))+(SUM(IF((CkDJ[Account Code]=B246)*(CkDJ[Date]&lt;=$A$7),(CkDJ[Credit])))+(SUM(IF((CsDJ[Account Code]=B246)*(CsDJ[Date]&lt;=$A$7),(CsDJ[Credit])))+(SUM(IF((CRDJ[Account Code]=B246)*(CRDJ[Date]&lt;=$A$7),(CRDJ[Credit])))+(SUM(IF((GJ[Account Code]=B246)*(GJ[Date]&lt;=$A$7),(GJ[Credit]))))))))</f>
        <v>0</v>
      </c>
      <c r="G246" s="620">
        <f>IF(INDEX(AccountCodes[Normal Balance], MATCH(C246,AccountCodes[PPSAS CODE]))="Credit",F246-E246,0)</f>
        <v>0</v>
      </c>
      <c r="H246" s="621">
        <f t="shared" si="3"/>
        <v>0</v>
      </c>
    </row>
    <row r="247" spans="1:8" ht="15.75" hidden="1" x14ac:dyDescent="0.25">
      <c r="A247" s="613" t="str">
        <f t="array" ref="A247">INDEX(AccountCodes[ACCOUNT NAME],MATCH(B247,AccountCodes[NGAS CODE],0))</f>
        <v>Textbooks and Instructional Materials Expenses</v>
      </c>
      <c r="B247" s="602" t="s">
        <v>230</v>
      </c>
      <c r="C247" s="615">
        <f t="array" ref="C247">INDEX(AccountCodes[PPSAS CODE],MATCH(B247,AccountCodes[NGAS CODE],0))</f>
        <v>5020311000</v>
      </c>
      <c r="D247" s="616">
        <f>IF(INDEX(AccountCodes[Normal Balance], MATCH(C247,AccountCodes[PPSAS CODE]))="Debit",E247-F247,0)</f>
        <v>0</v>
      </c>
      <c r="E247" s="488">
        <f t="array" ref="E247">(SUM(IF((PostTB[Account Code (Old)]=B247),(PostTB[Debit])))+(SUM(IF((CkDJ[Account Code]=B247)*(CkDJ[Date]&lt;=$A$7),(CkDJ[Debit])))+(SUM(IF((CsDJ[Account Code]=B247)*(CsDJ[Date]&lt;=$A$7),(CsDJ[Debit])))+(SUM(IF((CRDJ[Account Code]=B247)*(CRDJ[Date]&lt;=$A$7),(CRDJ[Debit])))+(SUM(IF((GJ[Account Code]=B247)*(GJ[Date]&lt;=$A$7),(GJ[Debit]))))))))</f>
        <v>0</v>
      </c>
      <c r="F247" s="490">
        <f t="array" ref="F247">(SUM(IF((PostTB[Account Code (Old)]=B247),(PostTB[Credit])))+(SUM(IF((CkDJ[Account Code]=B247)*(CkDJ[Date]&lt;=$A$7),(CkDJ[Credit])))+(SUM(IF((CsDJ[Account Code]=B247)*(CsDJ[Date]&lt;=$A$7),(CsDJ[Credit])))+(SUM(IF((CRDJ[Account Code]=B247)*(CRDJ[Date]&lt;=$A$7),(CRDJ[Credit])))+(SUM(IF((GJ[Account Code]=B247)*(GJ[Date]&lt;=$A$7),(GJ[Credit]))))))))</f>
        <v>0</v>
      </c>
      <c r="G247" s="620">
        <f>IF(INDEX(AccountCodes[Normal Balance], MATCH(C247,AccountCodes[PPSAS CODE]))="Credit",F247-E247,0)</f>
        <v>0</v>
      </c>
      <c r="H247" s="621">
        <f t="shared" si="3"/>
        <v>0</v>
      </c>
    </row>
    <row r="248" spans="1:8" ht="15.75" hidden="1" x14ac:dyDescent="0.25">
      <c r="A248" s="613" t="str">
        <f t="array" ref="A248">INDEX(AccountCodes[ACCOUNT NAME],MATCH(B248,AccountCodes[NGAS CODE],0))</f>
        <v>Military, Police and Traffic Supplies Expenses</v>
      </c>
      <c r="B248" s="602" t="s">
        <v>1236</v>
      </c>
      <c r="C248" s="615">
        <f t="array" ref="C248">INDEX(AccountCodes[PPSAS CODE],MATCH(B248,AccountCodes[NGAS CODE],0))</f>
        <v>5020312000</v>
      </c>
      <c r="D248" s="616">
        <f>IF(INDEX(AccountCodes[Normal Balance], MATCH(C248,AccountCodes[PPSAS CODE]))="Debit",E248-F248,0)</f>
        <v>0</v>
      </c>
      <c r="E248" s="488">
        <f t="array" ref="E248">(SUM(IF((PostTB[Account Code (Old)]=B248),(PostTB[Debit])))+(SUM(IF((CkDJ[Account Code]=B248)*(CkDJ[Date]&lt;=$A$7),(CkDJ[Debit])))+(SUM(IF((CsDJ[Account Code]=B248)*(CsDJ[Date]&lt;=$A$7),(CsDJ[Debit])))+(SUM(IF((CRDJ[Account Code]=B248)*(CRDJ[Date]&lt;=$A$7),(CRDJ[Debit])))+(SUM(IF((GJ[Account Code]=B248)*(GJ[Date]&lt;=$A$7),(GJ[Debit]))))))))</f>
        <v>0</v>
      </c>
      <c r="F248" s="490">
        <f t="array" ref="F248">(SUM(IF((PostTB[Account Code (Old)]=B248),(PostTB[Credit])))+(SUM(IF((CkDJ[Account Code]=B248)*(CkDJ[Date]&lt;=$A$7),(CkDJ[Credit])))+(SUM(IF((CsDJ[Account Code]=B248)*(CsDJ[Date]&lt;=$A$7),(CsDJ[Credit])))+(SUM(IF((CRDJ[Account Code]=B248)*(CRDJ[Date]&lt;=$A$7),(CRDJ[Credit])))+(SUM(IF((GJ[Account Code]=B248)*(GJ[Date]&lt;=$A$7),(GJ[Credit]))))))))</f>
        <v>0</v>
      </c>
      <c r="G248" s="620">
        <f>IF(INDEX(AccountCodes[Normal Balance], MATCH(C248,AccountCodes[PPSAS CODE]))="Credit",F248-E248,0)</f>
        <v>0</v>
      </c>
      <c r="H248" s="621">
        <f t="shared" si="3"/>
        <v>0</v>
      </c>
    </row>
    <row r="249" spans="1:8" ht="15.75" x14ac:dyDescent="0.25">
      <c r="A249" s="613" t="str">
        <f t="array" ref="A249">INDEX(AccountCodes[ACCOUNT NAME],MATCH(B249,AccountCodes[NGAS CODE],0))</f>
        <v>Semi-Expendable Machinery and Equipment Expenses</v>
      </c>
      <c r="B249" s="602" t="s">
        <v>1265</v>
      </c>
      <c r="C249" s="615">
        <f t="array" ref="C249">INDEX(AccountCodes[PPSAS CODE],MATCH(B249,AccountCodes[NGAS CODE],0))</f>
        <v>5020321000</v>
      </c>
      <c r="D249" s="616">
        <f>IF(INDEX(AccountCodes[Normal Balance], MATCH(C249,AccountCodes[PPSAS CODE]))="Debit",E249-F249,0)</f>
        <v>0</v>
      </c>
      <c r="E249" s="488">
        <f t="array" ref="E249">(SUM(IF((PostTB[Account Code (Old)]=B249),(PostTB[Debit])))+(SUM(IF((CkDJ[Account Code]=B249)*(CkDJ[Date]&lt;=$A$7),(CkDJ[Debit])))+(SUM(IF((CsDJ[Account Code]=B249)*(CsDJ[Date]&lt;=$A$7),(CsDJ[Debit])))+(SUM(IF((CRDJ[Account Code]=B249)*(CRDJ[Date]&lt;=$A$7),(CRDJ[Debit])))+(SUM(IF((GJ[Account Code]=B249)*(GJ[Date]&lt;=$A$7),(GJ[Debit]))))))))</f>
        <v>0</v>
      </c>
      <c r="F249" s="490">
        <f t="array" ref="F249">(SUM(IF((PostTB[Account Code (Old)]=B249),(PostTB[Credit])))+(SUM(IF((CkDJ[Account Code]=B249)*(CkDJ[Date]&lt;=$A$7),(CkDJ[Credit])))+(SUM(IF((CsDJ[Account Code]=B249)*(CsDJ[Date]&lt;=$A$7),(CsDJ[Credit])))+(SUM(IF((CRDJ[Account Code]=B249)*(CRDJ[Date]&lt;=$A$7),(CRDJ[Credit])))+(SUM(IF((GJ[Account Code]=B249)*(GJ[Date]&lt;=$A$7),(GJ[Credit]))))))))</f>
        <v>0</v>
      </c>
      <c r="G249" s="620">
        <f>IF(INDEX(AccountCodes[Normal Balance], MATCH(C249,AccountCodes[PPSAS CODE]))="Credit",F249-E249,0)</f>
        <v>0</v>
      </c>
      <c r="H249" s="621">
        <f t="shared" si="3"/>
        <v>0</v>
      </c>
    </row>
    <row r="250" spans="1:8" ht="15.75" hidden="1" x14ac:dyDescent="0.25">
      <c r="A250" s="613" t="str">
        <f t="array" ref="A250">INDEX(AccountCodes[ACCOUNT NAME],MATCH(B250,AccountCodes[NGAS CODE],0))</f>
        <v>Semi-Expendable Furniture, Fixtures and Books Expenses</v>
      </c>
      <c r="B250" s="602" t="s">
        <v>1266</v>
      </c>
      <c r="C250" s="615">
        <f t="array" ref="C250">INDEX(AccountCodes[PPSAS CODE],MATCH(B250,AccountCodes[NGAS CODE],0))</f>
        <v>5020322000</v>
      </c>
      <c r="D250" s="616">
        <f>IF(INDEX(AccountCodes[Normal Balance], MATCH(C250,AccountCodes[PPSAS CODE]))="Debit",E250-F250,0)</f>
        <v>0</v>
      </c>
      <c r="E250" s="488">
        <f t="array" ref="E250">(SUM(IF((PostTB[Account Code (Old)]=B250),(PostTB[Debit])))+(SUM(IF((CkDJ[Account Code]=B250)*(CkDJ[Date]&lt;=$A$7),(CkDJ[Debit])))+(SUM(IF((CsDJ[Account Code]=B250)*(CsDJ[Date]&lt;=$A$7),(CsDJ[Debit])))+(SUM(IF((CRDJ[Account Code]=B250)*(CRDJ[Date]&lt;=$A$7),(CRDJ[Debit])))+(SUM(IF((GJ[Account Code]=B250)*(GJ[Date]&lt;=$A$7),(GJ[Debit]))))))))</f>
        <v>0</v>
      </c>
      <c r="F250" s="490">
        <f t="array" ref="F250">(SUM(IF((PostTB[Account Code (Old)]=B250),(PostTB[Credit])))+(SUM(IF((CkDJ[Account Code]=B250)*(CkDJ[Date]&lt;=$A$7),(CkDJ[Credit])))+(SUM(IF((CsDJ[Account Code]=B250)*(CsDJ[Date]&lt;=$A$7),(CsDJ[Credit])))+(SUM(IF((CRDJ[Account Code]=B250)*(CRDJ[Date]&lt;=$A$7),(CRDJ[Credit])))+(SUM(IF((GJ[Account Code]=B250)*(GJ[Date]&lt;=$A$7),(GJ[Credit]))))))))</f>
        <v>0</v>
      </c>
      <c r="G250" s="620">
        <f>IF(INDEX(AccountCodes[Normal Balance], MATCH(C250,AccountCodes[PPSAS CODE]))="Credit",F250-E250,0)</f>
        <v>0</v>
      </c>
      <c r="H250" s="621">
        <f t="shared" si="3"/>
        <v>0</v>
      </c>
    </row>
    <row r="251" spans="1:8" ht="15.75" x14ac:dyDescent="0.25">
      <c r="A251" s="613" t="str">
        <f t="array" ref="A251">INDEX(AccountCodes[ACCOUNT NAME],MATCH(B251,AccountCodes[NGAS CODE],0))</f>
        <v>Other Supplies and Materials Expenses</v>
      </c>
      <c r="B251" s="602" t="s">
        <v>231</v>
      </c>
      <c r="C251" s="615">
        <f t="array" ref="C251">INDEX(AccountCodes[PPSAS CODE],MATCH(B251,AccountCodes[NGAS CODE],0))</f>
        <v>5020399000</v>
      </c>
      <c r="D251" s="616">
        <f>IF(INDEX(AccountCodes[Normal Balance], MATCH(C251,AccountCodes[PPSAS CODE]))="Debit",E251-F251,0)</f>
        <v>0</v>
      </c>
      <c r="E251" s="488">
        <f t="array" ref="E251">(SUM(IF((PostTB[Account Code (Old)]=B251),(PostTB[Debit])))+(SUM(IF((CkDJ[Account Code]=B251)*(CkDJ[Date]&lt;=$A$7),(CkDJ[Debit])))+(SUM(IF((CsDJ[Account Code]=B251)*(CsDJ[Date]&lt;=$A$7),(CsDJ[Debit])))+(SUM(IF((CRDJ[Account Code]=B251)*(CRDJ[Date]&lt;=$A$7),(CRDJ[Debit])))+(SUM(IF((GJ[Account Code]=B251)*(GJ[Date]&lt;=$A$7),(GJ[Debit]))))))))</f>
        <v>0</v>
      </c>
      <c r="F251" s="490">
        <f t="array" ref="F251">(SUM(IF((PostTB[Account Code (Old)]=B251),(PostTB[Credit])))+(SUM(IF((CkDJ[Account Code]=B251)*(CkDJ[Date]&lt;=$A$7),(CkDJ[Credit])))+(SUM(IF((CsDJ[Account Code]=B251)*(CsDJ[Date]&lt;=$A$7),(CsDJ[Credit])))+(SUM(IF((CRDJ[Account Code]=B251)*(CRDJ[Date]&lt;=$A$7),(CRDJ[Credit])))+(SUM(IF((GJ[Account Code]=B251)*(GJ[Date]&lt;=$A$7),(GJ[Credit]))))))))</f>
        <v>0</v>
      </c>
      <c r="G251" s="620">
        <f>IF(INDEX(AccountCodes[Normal Balance], MATCH(C251,AccountCodes[PPSAS CODE]))="Credit",F251-E251,0)</f>
        <v>0</v>
      </c>
      <c r="H251" s="621">
        <f t="shared" si="3"/>
        <v>0</v>
      </c>
    </row>
    <row r="252" spans="1:8" ht="15.75" x14ac:dyDescent="0.25">
      <c r="A252" s="613" t="str">
        <f t="array" ref="A252">INDEX(AccountCodes[ACCOUNT NAME],MATCH(B252,AccountCodes[NGAS CODE],0))</f>
        <v>Water Expenses</v>
      </c>
      <c r="B252" s="602" t="s">
        <v>232</v>
      </c>
      <c r="C252" s="615">
        <f t="array" ref="C252">INDEX(AccountCodes[PPSAS CODE],MATCH(B252,AccountCodes[NGAS CODE],0))</f>
        <v>5020401000</v>
      </c>
      <c r="D252" s="616">
        <f>IF(INDEX(AccountCodes[Normal Balance], MATCH(C252,AccountCodes[PPSAS CODE]))="Debit",E252-F252,0)</f>
        <v>0</v>
      </c>
      <c r="E252" s="488">
        <f t="array" ref="E252">(SUM(IF((PostTB[Account Code (Old)]=B252),(PostTB[Debit])))+(SUM(IF((CkDJ[Account Code]=B252)*(CkDJ[Date]&lt;=$A$7),(CkDJ[Debit])))+(SUM(IF((CsDJ[Account Code]=B252)*(CsDJ[Date]&lt;=$A$7),(CsDJ[Debit])))+(SUM(IF((CRDJ[Account Code]=B252)*(CRDJ[Date]&lt;=$A$7),(CRDJ[Debit])))+(SUM(IF((GJ[Account Code]=B252)*(GJ[Date]&lt;=$A$7),(GJ[Debit]))))))))</f>
        <v>0</v>
      </c>
      <c r="F252" s="490">
        <f t="array" ref="F252">(SUM(IF((PostTB[Account Code (Old)]=B252),(PostTB[Credit])))+(SUM(IF((CkDJ[Account Code]=B252)*(CkDJ[Date]&lt;=$A$7),(CkDJ[Credit])))+(SUM(IF((CsDJ[Account Code]=B252)*(CsDJ[Date]&lt;=$A$7),(CsDJ[Credit])))+(SUM(IF((CRDJ[Account Code]=B252)*(CRDJ[Date]&lt;=$A$7),(CRDJ[Credit])))+(SUM(IF((GJ[Account Code]=B252)*(GJ[Date]&lt;=$A$7),(GJ[Credit]))))))))</f>
        <v>0</v>
      </c>
      <c r="G252" s="620">
        <f>IF(INDEX(AccountCodes[Normal Balance], MATCH(C252,AccountCodes[PPSAS CODE]))="Credit",F252-E252,0)</f>
        <v>0</v>
      </c>
      <c r="H252" s="621">
        <f t="shared" si="3"/>
        <v>0</v>
      </c>
    </row>
    <row r="253" spans="1:8" ht="15.75" x14ac:dyDescent="0.25">
      <c r="A253" s="613" t="str">
        <f t="array" ref="A253">INDEX(AccountCodes[ACCOUNT NAME],MATCH(B253,AccountCodes[NGAS CODE],0))</f>
        <v>Electricity Expenses</v>
      </c>
      <c r="B253" s="602" t="s">
        <v>233</v>
      </c>
      <c r="C253" s="615">
        <f t="array" ref="C253">INDEX(AccountCodes[PPSAS CODE],MATCH(B253,AccountCodes[NGAS CODE],0))</f>
        <v>5020402000</v>
      </c>
      <c r="D253" s="616">
        <f>IF(INDEX(AccountCodes[Normal Balance], MATCH(C253,AccountCodes[PPSAS CODE]))="Debit",E253-F253,0)</f>
        <v>0</v>
      </c>
      <c r="E253" s="488">
        <f t="array" ref="E253">(SUM(IF((PostTB[Account Code (Old)]=B253),(PostTB[Debit])))+(SUM(IF((CkDJ[Account Code]=B253)*(CkDJ[Date]&lt;=$A$7),(CkDJ[Debit])))+(SUM(IF((CsDJ[Account Code]=B253)*(CsDJ[Date]&lt;=$A$7),(CsDJ[Debit])))+(SUM(IF((CRDJ[Account Code]=B253)*(CRDJ[Date]&lt;=$A$7),(CRDJ[Debit])))+(SUM(IF((GJ[Account Code]=B253)*(GJ[Date]&lt;=$A$7),(GJ[Debit]))))))))</f>
        <v>0</v>
      </c>
      <c r="F253" s="490">
        <f t="array" ref="F253">(SUM(IF((PostTB[Account Code (Old)]=B253),(PostTB[Credit])))+(SUM(IF((CkDJ[Account Code]=B253)*(CkDJ[Date]&lt;=$A$7),(CkDJ[Credit])))+(SUM(IF((CsDJ[Account Code]=B253)*(CsDJ[Date]&lt;=$A$7),(CsDJ[Credit])))+(SUM(IF((CRDJ[Account Code]=B253)*(CRDJ[Date]&lt;=$A$7),(CRDJ[Credit])))+(SUM(IF((GJ[Account Code]=B253)*(GJ[Date]&lt;=$A$7),(GJ[Credit]))))))))</f>
        <v>0</v>
      </c>
      <c r="G253" s="620">
        <f>IF(INDEX(AccountCodes[Normal Balance], MATCH(C253,AccountCodes[PPSAS CODE]))="Credit",F253-E253,0)</f>
        <v>0</v>
      </c>
      <c r="H253" s="621">
        <f t="shared" si="3"/>
        <v>0</v>
      </c>
    </row>
    <row r="254" spans="1:8" ht="15.75" x14ac:dyDescent="0.25">
      <c r="A254" s="613" t="str">
        <f t="array" ref="A254">INDEX(AccountCodes[ACCOUNT NAME],MATCH(B254,AccountCodes[NGAS CODE],0))</f>
        <v>Other Utility Expenses</v>
      </c>
      <c r="B254" s="602" t="s">
        <v>1237</v>
      </c>
      <c r="C254" s="615">
        <f t="array" ref="C254">INDEX(AccountCodes[PPSAS CODE],MATCH(B254,AccountCodes[NGAS CODE],0))</f>
        <v>5020499000</v>
      </c>
      <c r="D254" s="616">
        <f>IF(INDEX(AccountCodes[Normal Balance], MATCH(C254,AccountCodes[PPSAS CODE]))="Debit",E254-F254,0)</f>
        <v>0</v>
      </c>
      <c r="E254" s="488">
        <f t="array" ref="E254">(SUM(IF((PostTB[Account Code (Old)]=B254),(PostTB[Debit])))+(SUM(IF((CkDJ[Account Code]=B254)*(CkDJ[Date]&lt;=$A$7),(CkDJ[Debit])))+(SUM(IF((CsDJ[Account Code]=B254)*(CsDJ[Date]&lt;=$A$7),(CsDJ[Debit])))+(SUM(IF((CRDJ[Account Code]=B254)*(CRDJ[Date]&lt;=$A$7),(CRDJ[Debit])))+(SUM(IF((GJ[Account Code]=B254)*(GJ[Date]&lt;=$A$7),(GJ[Debit]))))))))</f>
        <v>0</v>
      </c>
      <c r="F254" s="490">
        <f t="array" ref="F254">(SUM(IF((PostTB[Account Code (Old)]=B254),(PostTB[Credit])))+(SUM(IF((CkDJ[Account Code]=B254)*(CkDJ[Date]&lt;=$A$7),(CkDJ[Credit])))+(SUM(IF((CsDJ[Account Code]=B254)*(CsDJ[Date]&lt;=$A$7),(CsDJ[Credit])))+(SUM(IF((CRDJ[Account Code]=B254)*(CRDJ[Date]&lt;=$A$7),(CRDJ[Credit])))+(SUM(IF((GJ[Account Code]=B254)*(GJ[Date]&lt;=$A$7),(GJ[Credit]))))))))</f>
        <v>0</v>
      </c>
      <c r="G254" s="620">
        <f>IF(INDEX(AccountCodes[Normal Balance], MATCH(C254,AccountCodes[PPSAS CODE]))="Credit",F254-E254,0)</f>
        <v>0</v>
      </c>
      <c r="H254" s="621">
        <f t="shared" si="3"/>
        <v>0</v>
      </c>
    </row>
    <row r="255" spans="1:8" ht="15.75" hidden="1" x14ac:dyDescent="0.25">
      <c r="A255" s="613" t="str">
        <f t="array" ref="A255">INDEX(AccountCodes[ACCOUNT NAME],MATCH(B255,AccountCodes[NGAS CODE],0))</f>
        <v>Postage and Courier Expenses</v>
      </c>
      <c r="B255" s="602" t="s">
        <v>234</v>
      </c>
      <c r="C255" s="615">
        <f t="array" ref="C255">INDEX(AccountCodes[PPSAS CODE],MATCH(B255,AccountCodes[NGAS CODE],0))</f>
        <v>5020501000</v>
      </c>
      <c r="D255" s="616">
        <f>IF(INDEX(AccountCodes[Normal Balance], MATCH(C255,AccountCodes[PPSAS CODE]))="Debit",E255-F255,0)</f>
        <v>0</v>
      </c>
      <c r="E255" s="488">
        <f t="array" ref="E255">(SUM(IF((PostTB[Account Code (Old)]=B255),(PostTB[Debit])))+(SUM(IF((CkDJ[Account Code]=B255)*(CkDJ[Date]&lt;=$A$7),(CkDJ[Debit])))+(SUM(IF((CsDJ[Account Code]=B255)*(CsDJ[Date]&lt;=$A$7),(CsDJ[Debit])))+(SUM(IF((CRDJ[Account Code]=B255)*(CRDJ[Date]&lt;=$A$7),(CRDJ[Debit])))+(SUM(IF((GJ[Account Code]=B255)*(GJ[Date]&lt;=$A$7),(GJ[Debit]))))))))</f>
        <v>0</v>
      </c>
      <c r="F255" s="490">
        <f t="array" ref="F255">(SUM(IF((PostTB[Account Code (Old)]=B255),(PostTB[Credit])))+(SUM(IF((CkDJ[Account Code]=B255)*(CkDJ[Date]&lt;=$A$7),(CkDJ[Credit])))+(SUM(IF((CsDJ[Account Code]=B255)*(CsDJ[Date]&lt;=$A$7),(CsDJ[Credit])))+(SUM(IF((CRDJ[Account Code]=B255)*(CRDJ[Date]&lt;=$A$7),(CRDJ[Credit])))+(SUM(IF((GJ[Account Code]=B255)*(GJ[Date]&lt;=$A$7),(GJ[Credit]))))))))</f>
        <v>0</v>
      </c>
      <c r="G255" s="620">
        <f>IF(INDEX(AccountCodes[Normal Balance], MATCH(C255,AccountCodes[PPSAS CODE]))="Credit",F255-E255,0)</f>
        <v>0</v>
      </c>
      <c r="H255" s="621">
        <f t="shared" si="3"/>
        <v>0</v>
      </c>
    </row>
    <row r="256" spans="1:8" ht="15.75" hidden="1" x14ac:dyDescent="0.25">
      <c r="A256" s="613" t="str">
        <f t="array" ref="A256">INDEX(AccountCodes[ACCOUNT NAME],MATCH(B256,AccountCodes[NGAS CODE],0))</f>
        <v>Telephone Expenses - Mobile</v>
      </c>
      <c r="B256" s="602" t="s">
        <v>236</v>
      </c>
      <c r="C256" s="615">
        <f t="array" ref="C256">INDEX(AccountCodes[PPSAS CODE],MATCH(B256,AccountCodes[NGAS CODE],0))</f>
        <v>5020502001</v>
      </c>
      <c r="D256" s="616">
        <f>IF(INDEX(AccountCodes[Normal Balance], MATCH(C256,AccountCodes[PPSAS CODE]))="Debit",E256-F256,0)</f>
        <v>0</v>
      </c>
      <c r="E256" s="488">
        <f t="array" ref="E256">(SUM(IF((PostTB[Account Code (Old)]=B256),(PostTB[Debit])))+(SUM(IF((CkDJ[Account Code]=B256)*(CkDJ[Date]&lt;=$A$7),(CkDJ[Debit])))+(SUM(IF((CsDJ[Account Code]=B256)*(CsDJ[Date]&lt;=$A$7),(CsDJ[Debit])))+(SUM(IF((CRDJ[Account Code]=B256)*(CRDJ[Date]&lt;=$A$7),(CRDJ[Debit])))+(SUM(IF((GJ[Account Code]=B256)*(GJ[Date]&lt;=$A$7),(GJ[Debit]))))))))</f>
        <v>0</v>
      </c>
      <c r="F256" s="490">
        <f t="array" ref="F256">(SUM(IF((PostTB[Account Code (Old)]=B256),(PostTB[Credit])))+(SUM(IF((CkDJ[Account Code]=B256)*(CkDJ[Date]&lt;=$A$7),(CkDJ[Credit])))+(SUM(IF((CsDJ[Account Code]=B256)*(CsDJ[Date]&lt;=$A$7),(CsDJ[Credit])))+(SUM(IF((CRDJ[Account Code]=B256)*(CRDJ[Date]&lt;=$A$7),(CRDJ[Credit])))+(SUM(IF((GJ[Account Code]=B256)*(GJ[Date]&lt;=$A$7),(GJ[Credit]))))))))</f>
        <v>0</v>
      </c>
      <c r="G256" s="620">
        <f>IF(INDEX(AccountCodes[Normal Balance], MATCH(C256,AccountCodes[PPSAS CODE]))="Credit",F256-E256,0)</f>
        <v>0</v>
      </c>
      <c r="H256" s="621">
        <f t="shared" si="3"/>
        <v>0</v>
      </c>
    </row>
    <row r="257" spans="1:8" ht="15.75" hidden="1" x14ac:dyDescent="0.25">
      <c r="A257" s="613" t="str">
        <f t="array" ref="A257">INDEX(AccountCodes[ACCOUNT NAME],MATCH(B257,AccountCodes[NGAS CODE],0))</f>
        <v>Telephone Expenses - Landline</v>
      </c>
      <c r="B257" s="602" t="s">
        <v>235</v>
      </c>
      <c r="C257" s="615">
        <f t="array" ref="C257">INDEX(AccountCodes[PPSAS CODE],MATCH(B257,AccountCodes[NGAS CODE],0))</f>
        <v>5020502002</v>
      </c>
      <c r="D257" s="616">
        <f>IF(INDEX(AccountCodes[Normal Balance], MATCH(C257,AccountCodes[PPSAS CODE]))="Debit",E257-F257,0)</f>
        <v>0</v>
      </c>
      <c r="E257" s="488">
        <f t="array" ref="E257">(SUM(IF((PostTB[Account Code (Old)]=B257),(PostTB[Debit])))+(SUM(IF((CkDJ[Account Code]=B257)*(CkDJ[Date]&lt;=$A$7),(CkDJ[Debit])))+(SUM(IF((CsDJ[Account Code]=B257)*(CsDJ[Date]&lt;=$A$7),(CsDJ[Debit])))+(SUM(IF((CRDJ[Account Code]=B257)*(CRDJ[Date]&lt;=$A$7),(CRDJ[Debit])))+(SUM(IF((GJ[Account Code]=B257)*(GJ[Date]&lt;=$A$7),(GJ[Debit]))))))))</f>
        <v>0</v>
      </c>
      <c r="F257" s="490">
        <f t="array" ref="F257">(SUM(IF((PostTB[Account Code (Old)]=B257),(PostTB[Credit])))+(SUM(IF((CkDJ[Account Code]=B257)*(CkDJ[Date]&lt;=$A$7),(CkDJ[Credit])))+(SUM(IF((CsDJ[Account Code]=B257)*(CsDJ[Date]&lt;=$A$7),(CsDJ[Credit])))+(SUM(IF((CRDJ[Account Code]=B257)*(CRDJ[Date]&lt;=$A$7),(CRDJ[Credit])))+(SUM(IF((GJ[Account Code]=B257)*(GJ[Date]&lt;=$A$7),(GJ[Credit]))))))))</f>
        <v>0</v>
      </c>
      <c r="G257" s="620">
        <f>IF(INDEX(AccountCodes[Normal Balance], MATCH(C257,AccountCodes[PPSAS CODE]))="Credit",F257-E257,0)</f>
        <v>0</v>
      </c>
      <c r="H257" s="621">
        <f t="shared" si="3"/>
        <v>0</v>
      </c>
    </row>
    <row r="258" spans="1:8" ht="15.75" hidden="1" x14ac:dyDescent="0.25">
      <c r="A258" s="613" t="str">
        <f t="array" ref="A258">INDEX(AccountCodes[ACCOUNT NAME],MATCH(B258,AccountCodes[NGAS CODE],0))</f>
        <v>Internet Subscription Expenses</v>
      </c>
      <c r="B258" s="602" t="s">
        <v>237</v>
      </c>
      <c r="C258" s="615">
        <f t="array" ref="C258">INDEX(AccountCodes[PPSAS CODE],MATCH(B258,AccountCodes[NGAS CODE],0))</f>
        <v>5020503000</v>
      </c>
      <c r="D258" s="616">
        <f>IF(INDEX(AccountCodes[Normal Balance], MATCH(C258,AccountCodes[PPSAS CODE]))="Debit",E258-F258,0)</f>
        <v>0</v>
      </c>
      <c r="E258" s="488">
        <f t="array" ref="E258">(SUM(IF((PostTB[Account Code (Old)]=B258),(PostTB[Debit])))+(SUM(IF((CkDJ[Account Code]=B258)*(CkDJ[Date]&lt;=$A$7),(CkDJ[Debit])))+(SUM(IF((CsDJ[Account Code]=B258)*(CsDJ[Date]&lt;=$A$7),(CsDJ[Debit])))+(SUM(IF((CRDJ[Account Code]=B258)*(CRDJ[Date]&lt;=$A$7),(CRDJ[Debit])))+(SUM(IF((GJ[Account Code]=B258)*(GJ[Date]&lt;=$A$7),(GJ[Debit]))))))))</f>
        <v>0</v>
      </c>
      <c r="F258" s="490">
        <f t="array" ref="F258">(SUM(IF((PostTB[Account Code (Old)]=B258),(PostTB[Credit])))+(SUM(IF((CkDJ[Account Code]=B258)*(CkDJ[Date]&lt;=$A$7),(CkDJ[Credit])))+(SUM(IF((CsDJ[Account Code]=B258)*(CsDJ[Date]&lt;=$A$7),(CsDJ[Credit])))+(SUM(IF((CRDJ[Account Code]=B258)*(CRDJ[Date]&lt;=$A$7),(CRDJ[Credit])))+(SUM(IF((GJ[Account Code]=B258)*(GJ[Date]&lt;=$A$7),(GJ[Credit]))))))))</f>
        <v>0</v>
      </c>
      <c r="G258" s="620">
        <f>IF(INDEX(AccountCodes[Normal Balance], MATCH(C258,AccountCodes[PPSAS CODE]))="Credit",F258-E258,0)</f>
        <v>0</v>
      </c>
      <c r="H258" s="621">
        <f t="shared" si="3"/>
        <v>0</v>
      </c>
    </row>
    <row r="259" spans="1:8" ht="15.75" hidden="1" x14ac:dyDescent="0.25">
      <c r="A259" s="613" t="str">
        <f t="array" ref="A259">INDEX(AccountCodes[ACCOUNT NAME],MATCH(B259,AccountCodes[NGAS CODE],0))</f>
        <v>Cable, Satellite, Telegraph and Radio Expenses</v>
      </c>
      <c r="B259" s="602" t="s">
        <v>238</v>
      </c>
      <c r="C259" s="615">
        <f t="array" ref="C259">INDEX(AccountCodes[PPSAS CODE],MATCH(B259,AccountCodes[NGAS CODE],0))</f>
        <v>5020504000</v>
      </c>
      <c r="D259" s="616">
        <f>IF(INDEX(AccountCodes[Normal Balance], MATCH(C259,AccountCodes[PPSAS CODE]))="Debit",E259-F259,0)</f>
        <v>0</v>
      </c>
      <c r="E259" s="488">
        <f t="array" ref="E259">(SUM(IF((PostTB[Account Code (Old)]=B259),(PostTB[Debit])))+(SUM(IF((CkDJ[Account Code]=B259)*(CkDJ[Date]&lt;=$A$7),(CkDJ[Debit])))+(SUM(IF((CsDJ[Account Code]=B259)*(CsDJ[Date]&lt;=$A$7),(CsDJ[Debit])))+(SUM(IF((CRDJ[Account Code]=B259)*(CRDJ[Date]&lt;=$A$7),(CRDJ[Debit])))+(SUM(IF((GJ[Account Code]=B259)*(GJ[Date]&lt;=$A$7),(GJ[Debit]))))))))</f>
        <v>0</v>
      </c>
      <c r="F259" s="490">
        <f t="array" ref="F259">(SUM(IF((PostTB[Account Code (Old)]=B259),(PostTB[Credit])))+(SUM(IF((CkDJ[Account Code]=B259)*(CkDJ[Date]&lt;=$A$7),(CkDJ[Credit])))+(SUM(IF((CsDJ[Account Code]=B259)*(CsDJ[Date]&lt;=$A$7),(CsDJ[Credit])))+(SUM(IF((CRDJ[Account Code]=B259)*(CRDJ[Date]&lt;=$A$7),(CRDJ[Credit])))+(SUM(IF((GJ[Account Code]=B259)*(GJ[Date]&lt;=$A$7),(GJ[Credit]))))))))</f>
        <v>0</v>
      </c>
      <c r="G259" s="620">
        <f>IF(INDEX(AccountCodes[Normal Balance], MATCH(C259,AccountCodes[PPSAS CODE]))="Credit",F259-E259,0)</f>
        <v>0</v>
      </c>
      <c r="H259" s="621">
        <f t="shared" si="3"/>
        <v>0</v>
      </c>
    </row>
    <row r="260" spans="1:8" ht="15.75" hidden="1" x14ac:dyDescent="0.25">
      <c r="A260" s="613" t="str">
        <f t="array" ref="A260">INDEX(AccountCodes[ACCOUNT NAME],MATCH(B260,AccountCodes[NGAS CODE],0))</f>
        <v>Awards/Rewards Expenses</v>
      </c>
      <c r="B260" s="602" t="s">
        <v>1238</v>
      </c>
      <c r="C260" s="615">
        <f t="array" ref="C260">INDEX(AccountCodes[PPSAS CODE],MATCH(B260,AccountCodes[NGAS CODE],0))</f>
        <v>5020601000</v>
      </c>
      <c r="D260" s="616">
        <f>IF(INDEX(AccountCodes[Normal Balance], MATCH(C260,AccountCodes[PPSAS CODE]))="Debit",E260-F260,0)</f>
        <v>0</v>
      </c>
      <c r="E260" s="488">
        <f t="array" ref="E260">(SUM(IF((PostTB[Account Code (Old)]=B260),(PostTB[Debit])))+(SUM(IF((CkDJ[Account Code]=B260)*(CkDJ[Date]&lt;=$A$7),(CkDJ[Debit])))+(SUM(IF((CsDJ[Account Code]=B260)*(CsDJ[Date]&lt;=$A$7),(CsDJ[Debit])))+(SUM(IF((CRDJ[Account Code]=B260)*(CRDJ[Date]&lt;=$A$7),(CRDJ[Debit])))+(SUM(IF((GJ[Account Code]=B260)*(GJ[Date]&lt;=$A$7),(GJ[Debit]))))))))</f>
        <v>0</v>
      </c>
      <c r="F260" s="490">
        <f t="array" ref="F260">(SUM(IF((PostTB[Account Code (Old)]=B260),(PostTB[Credit])))+(SUM(IF((CkDJ[Account Code]=B260)*(CkDJ[Date]&lt;=$A$7),(CkDJ[Credit])))+(SUM(IF((CsDJ[Account Code]=B260)*(CsDJ[Date]&lt;=$A$7),(CsDJ[Credit])))+(SUM(IF((CRDJ[Account Code]=B260)*(CRDJ[Date]&lt;=$A$7),(CRDJ[Credit])))+(SUM(IF((GJ[Account Code]=B260)*(GJ[Date]&lt;=$A$7),(GJ[Credit]))))))))</f>
        <v>0</v>
      </c>
      <c r="G260" s="620">
        <f>IF(INDEX(AccountCodes[Normal Balance], MATCH(C260,AccountCodes[PPSAS CODE]))="Credit",F260-E260,0)</f>
        <v>0</v>
      </c>
      <c r="H260" s="621">
        <f t="shared" si="3"/>
        <v>0</v>
      </c>
    </row>
    <row r="261" spans="1:8" ht="15.75" hidden="1" x14ac:dyDescent="0.25">
      <c r="A261" s="613" t="str">
        <f t="array" ref="A261">INDEX(AccountCodes[ACCOUNT NAME],MATCH(B261,AccountCodes[NGAS CODE],0))</f>
        <v>Indemnities</v>
      </c>
      <c r="B261" s="602" t="s">
        <v>1267</v>
      </c>
      <c r="C261" s="615">
        <f t="array" ref="C261">INDEX(AccountCodes[PPSAS CODE],MATCH(B261,AccountCodes[NGAS CODE],0))</f>
        <v>5020603000</v>
      </c>
      <c r="D261" s="616">
        <f>IF(INDEX(AccountCodes[Normal Balance], MATCH(C261,AccountCodes[PPSAS CODE]))="Debit",E261-F261,0)</f>
        <v>0</v>
      </c>
      <c r="E261" s="488">
        <f t="array" ref="E261">(SUM(IF((PostTB[Account Code (Old)]=B261),(PostTB[Debit])))+(SUM(IF((CkDJ[Account Code]=B261)*(CkDJ[Date]&lt;=$A$7),(CkDJ[Debit])))+(SUM(IF((CsDJ[Account Code]=B261)*(CsDJ[Date]&lt;=$A$7),(CsDJ[Debit])))+(SUM(IF((CRDJ[Account Code]=B261)*(CRDJ[Date]&lt;=$A$7),(CRDJ[Debit])))+(SUM(IF((GJ[Account Code]=B261)*(GJ[Date]&lt;=$A$7),(GJ[Debit]))))))))</f>
        <v>0</v>
      </c>
      <c r="F261" s="490">
        <f t="array" ref="F261">(SUM(IF((PostTB[Account Code (Old)]=B261),(PostTB[Credit])))+(SUM(IF((CkDJ[Account Code]=B261)*(CkDJ[Date]&lt;=$A$7),(CkDJ[Credit])))+(SUM(IF((CsDJ[Account Code]=B261)*(CsDJ[Date]&lt;=$A$7),(CsDJ[Credit])))+(SUM(IF((CRDJ[Account Code]=B261)*(CRDJ[Date]&lt;=$A$7),(CRDJ[Credit])))+(SUM(IF((GJ[Account Code]=B261)*(GJ[Date]&lt;=$A$7),(GJ[Credit]))))))))</f>
        <v>0</v>
      </c>
      <c r="G261" s="620">
        <f>IF(INDEX(AccountCodes[Normal Balance], MATCH(C261,AccountCodes[PPSAS CODE]))="Credit",F261-E261,0)</f>
        <v>0</v>
      </c>
      <c r="H261" s="621">
        <f t="shared" si="3"/>
        <v>0</v>
      </c>
    </row>
    <row r="262" spans="1:8" ht="15.75" hidden="1" x14ac:dyDescent="0.25">
      <c r="A262" s="613" t="str">
        <f t="array" ref="A262">INDEX(AccountCodes[ACCOUNT NAME],MATCH(B262,AccountCodes[NGAS CODE],0))</f>
        <v>Legal Services</v>
      </c>
      <c r="B262" s="602" t="s">
        <v>246</v>
      </c>
      <c r="C262" s="615">
        <f t="array" ref="C262">INDEX(AccountCodes[PPSAS CODE],MATCH(B262,AccountCodes[NGAS CODE],0))</f>
        <v>5021101000</v>
      </c>
      <c r="D262" s="616">
        <f>IF(INDEX(AccountCodes[Normal Balance], MATCH(C262,AccountCodes[PPSAS CODE]))="Debit",E262-F262,0)</f>
        <v>0</v>
      </c>
      <c r="E262" s="488">
        <f t="array" ref="E262">(SUM(IF((PostTB[Account Code (Old)]=B262),(PostTB[Debit])))+(SUM(IF((CkDJ[Account Code]=B262)*(CkDJ[Date]&lt;=$A$7),(CkDJ[Debit])))+(SUM(IF((CsDJ[Account Code]=B262)*(CsDJ[Date]&lt;=$A$7),(CsDJ[Debit])))+(SUM(IF((CRDJ[Account Code]=B262)*(CRDJ[Date]&lt;=$A$7),(CRDJ[Debit])))+(SUM(IF((GJ[Account Code]=B262)*(GJ[Date]&lt;=$A$7),(GJ[Debit]))))))))</f>
        <v>0</v>
      </c>
      <c r="F262" s="490">
        <f t="array" ref="F262">(SUM(IF((PostTB[Account Code (Old)]=B262),(PostTB[Credit])))+(SUM(IF((CkDJ[Account Code]=B262)*(CkDJ[Date]&lt;=$A$7),(CkDJ[Credit])))+(SUM(IF((CsDJ[Account Code]=B262)*(CsDJ[Date]&lt;=$A$7),(CsDJ[Credit])))+(SUM(IF((CRDJ[Account Code]=B262)*(CRDJ[Date]&lt;=$A$7),(CRDJ[Credit])))+(SUM(IF((GJ[Account Code]=B262)*(GJ[Date]&lt;=$A$7),(GJ[Credit]))))))))</f>
        <v>0</v>
      </c>
      <c r="G262" s="620">
        <f>IF(INDEX(AccountCodes[Normal Balance], MATCH(C262,AccountCodes[PPSAS CODE]))="Credit",F262-E262,0)</f>
        <v>0</v>
      </c>
      <c r="H262" s="621">
        <f t="shared" si="3"/>
        <v>0</v>
      </c>
    </row>
    <row r="263" spans="1:8" ht="15.75" hidden="1" x14ac:dyDescent="0.25">
      <c r="A263" s="613" t="str">
        <f t="array" ref="A263">INDEX(AccountCodes[ACCOUNT NAME],MATCH(B263,AccountCodes[NGAS CODE],0))</f>
        <v>Auditing Services</v>
      </c>
      <c r="B263" s="602" t="s">
        <v>222</v>
      </c>
      <c r="C263" s="615">
        <f t="array" ref="C263">INDEX(AccountCodes[PPSAS CODE],MATCH(B263,AccountCodes[NGAS CODE],0))</f>
        <v>5021102000</v>
      </c>
      <c r="D263" s="616">
        <f>IF(INDEX(AccountCodes[Normal Balance], MATCH(C263,AccountCodes[PPSAS CODE]))="Debit",E263-F263,0)</f>
        <v>0</v>
      </c>
      <c r="E263" s="488">
        <f t="array" ref="E263">(SUM(IF((PostTB[Account Code (Old)]=B263),(PostTB[Debit])))+(SUM(IF((CkDJ[Account Code]=B263)*(CkDJ[Date]&lt;=$A$7),(CkDJ[Debit])))+(SUM(IF((CsDJ[Account Code]=B263)*(CsDJ[Date]&lt;=$A$7),(CsDJ[Debit])))+(SUM(IF((CRDJ[Account Code]=B263)*(CRDJ[Date]&lt;=$A$7),(CRDJ[Debit])))+(SUM(IF((GJ[Account Code]=B263)*(GJ[Date]&lt;=$A$7),(GJ[Debit]))))))))</f>
        <v>0</v>
      </c>
      <c r="F263" s="490">
        <f t="array" ref="F263">(SUM(IF((PostTB[Account Code (Old)]=B263),(PostTB[Credit])))+(SUM(IF((CkDJ[Account Code]=B263)*(CkDJ[Date]&lt;=$A$7),(CkDJ[Credit])))+(SUM(IF((CsDJ[Account Code]=B263)*(CsDJ[Date]&lt;=$A$7),(CsDJ[Credit])))+(SUM(IF((CRDJ[Account Code]=B263)*(CRDJ[Date]&lt;=$A$7),(CRDJ[Credit])))+(SUM(IF((GJ[Account Code]=B263)*(GJ[Date]&lt;=$A$7),(GJ[Credit]))))))))</f>
        <v>0</v>
      </c>
      <c r="G263" s="620">
        <f>IF(INDEX(AccountCodes[Normal Balance], MATCH(C263,AccountCodes[PPSAS CODE]))="Credit",F263-E263,0)</f>
        <v>0</v>
      </c>
      <c r="H263" s="621">
        <f t="shared" si="3"/>
        <v>0</v>
      </c>
    </row>
    <row r="264" spans="1:8" ht="15.75" hidden="1" x14ac:dyDescent="0.25">
      <c r="A264" s="613" t="str">
        <f t="array" ref="A264">INDEX(AccountCodes[ACCOUNT NAME],MATCH(B264,AccountCodes[NGAS CODE],0))</f>
        <v>Consultancy Services</v>
      </c>
      <c r="B264" s="602" t="s">
        <v>247</v>
      </c>
      <c r="C264" s="615">
        <f t="array" ref="C264">INDEX(AccountCodes[PPSAS CODE],MATCH(B264,AccountCodes[NGAS CODE],0))</f>
        <v>5021103000</v>
      </c>
      <c r="D264" s="616">
        <f>IF(INDEX(AccountCodes[Normal Balance], MATCH(C264,AccountCodes[PPSAS CODE]))="Debit",E264-F264,0)</f>
        <v>0</v>
      </c>
      <c r="E264" s="488">
        <f t="array" ref="E264">(SUM(IF((PostTB[Account Code (Old)]=B264),(PostTB[Debit])))+(SUM(IF((CkDJ[Account Code]=B264)*(CkDJ[Date]&lt;=$A$7),(CkDJ[Debit])))+(SUM(IF((CsDJ[Account Code]=B264)*(CsDJ[Date]&lt;=$A$7),(CsDJ[Debit])))+(SUM(IF((CRDJ[Account Code]=B264)*(CRDJ[Date]&lt;=$A$7),(CRDJ[Debit])))+(SUM(IF((GJ[Account Code]=B264)*(GJ[Date]&lt;=$A$7),(GJ[Debit]))))))))</f>
        <v>0</v>
      </c>
      <c r="F264" s="490">
        <f t="array" ref="F264">(SUM(IF((PostTB[Account Code (Old)]=B264),(PostTB[Credit])))+(SUM(IF((CkDJ[Account Code]=B264)*(CkDJ[Date]&lt;=$A$7),(CkDJ[Credit])))+(SUM(IF((CsDJ[Account Code]=B264)*(CsDJ[Date]&lt;=$A$7),(CsDJ[Credit])))+(SUM(IF((CRDJ[Account Code]=B264)*(CRDJ[Date]&lt;=$A$7),(CRDJ[Credit])))+(SUM(IF((GJ[Account Code]=B264)*(GJ[Date]&lt;=$A$7),(GJ[Credit]))))))))</f>
        <v>0</v>
      </c>
      <c r="G264" s="620">
        <f>IF(INDEX(AccountCodes[Normal Balance], MATCH(C264,AccountCodes[PPSAS CODE]))="Credit",F264-E264,0)</f>
        <v>0</v>
      </c>
      <c r="H264" s="621">
        <f t="shared" si="3"/>
        <v>0</v>
      </c>
    </row>
    <row r="265" spans="1:8" ht="15.75" hidden="1" x14ac:dyDescent="0.25">
      <c r="A265" s="613" t="str">
        <f t="array" ref="A265">INDEX(AccountCodes[ACCOUNT NAME],MATCH(B265,AccountCodes[NGAS CODE],0))</f>
        <v>Other Professional Services</v>
      </c>
      <c r="B265" s="602" t="s">
        <v>250</v>
      </c>
      <c r="C265" s="615">
        <f t="array" ref="C265">INDEX(AccountCodes[PPSAS CODE],MATCH(B265,AccountCodes[NGAS CODE],0))</f>
        <v>5021199000</v>
      </c>
      <c r="D265" s="616">
        <f>IF(INDEX(AccountCodes[Normal Balance], MATCH(C265,AccountCodes[PPSAS CODE]))="Debit",E265-F265,0)</f>
        <v>0</v>
      </c>
      <c r="E265" s="488">
        <f t="array" ref="E265">(SUM(IF((PostTB[Account Code (Old)]=B265),(PostTB[Debit])))+(SUM(IF((CkDJ[Account Code]=B265)*(CkDJ[Date]&lt;=$A$7),(CkDJ[Debit])))+(SUM(IF((CsDJ[Account Code]=B265)*(CsDJ[Date]&lt;=$A$7),(CsDJ[Debit])))+(SUM(IF((CRDJ[Account Code]=B265)*(CRDJ[Date]&lt;=$A$7),(CRDJ[Debit])))+(SUM(IF((GJ[Account Code]=B265)*(GJ[Date]&lt;=$A$7),(GJ[Debit]))))))))</f>
        <v>0</v>
      </c>
      <c r="F265" s="490">
        <f t="array" ref="F265">(SUM(IF((PostTB[Account Code (Old)]=B265),(PostTB[Credit])))+(SUM(IF((CkDJ[Account Code]=B265)*(CkDJ[Date]&lt;=$A$7),(CkDJ[Credit])))+(SUM(IF((CsDJ[Account Code]=B265)*(CsDJ[Date]&lt;=$A$7),(CsDJ[Credit])))+(SUM(IF((CRDJ[Account Code]=B265)*(CRDJ[Date]&lt;=$A$7),(CRDJ[Credit])))+(SUM(IF((GJ[Account Code]=B265)*(GJ[Date]&lt;=$A$7),(GJ[Credit]))))))))</f>
        <v>0</v>
      </c>
      <c r="G265" s="620">
        <f>IF(INDEX(AccountCodes[Normal Balance], MATCH(C265,AccountCodes[PPSAS CODE]))="Credit",F265-E265,0)</f>
        <v>0</v>
      </c>
      <c r="H265" s="621">
        <f t="shared" si="3"/>
        <v>0</v>
      </c>
    </row>
    <row r="266" spans="1:8" ht="15.75" hidden="1" x14ac:dyDescent="0.25">
      <c r="A266" s="613" t="str">
        <f t="array" ref="A266">INDEX(AccountCodes[ACCOUNT NAME],MATCH(B266,AccountCodes[NGAS CODE],0))</f>
        <v>Janitorial Services</v>
      </c>
      <c r="B266" s="602" t="s">
        <v>249</v>
      </c>
      <c r="C266" s="615">
        <f t="array" ref="C266">INDEX(AccountCodes[PPSAS CODE],MATCH(B266,AccountCodes[NGAS CODE],0))</f>
        <v>5021202000</v>
      </c>
      <c r="D266" s="616">
        <f>IF(INDEX(AccountCodes[Normal Balance], MATCH(C266,AccountCodes[PPSAS CODE]))="Debit",E266-F266,0)</f>
        <v>0</v>
      </c>
      <c r="E266" s="488">
        <f t="array" ref="E266">(SUM(IF((PostTB[Account Code (Old)]=B266),(PostTB[Debit])))+(SUM(IF((CkDJ[Account Code]=B266)*(CkDJ[Date]&lt;=$A$7),(CkDJ[Debit])))+(SUM(IF((CsDJ[Account Code]=B266)*(CsDJ[Date]&lt;=$A$7),(CsDJ[Debit])))+(SUM(IF((CRDJ[Account Code]=B266)*(CRDJ[Date]&lt;=$A$7),(CRDJ[Debit])))+(SUM(IF((GJ[Account Code]=B266)*(GJ[Date]&lt;=$A$7),(GJ[Debit]))))))))</f>
        <v>0</v>
      </c>
      <c r="F266" s="490">
        <f t="array" ref="F266">(SUM(IF((PostTB[Account Code (Old)]=B266),(PostTB[Credit])))+(SUM(IF((CkDJ[Account Code]=B266)*(CkDJ[Date]&lt;=$A$7),(CkDJ[Credit])))+(SUM(IF((CsDJ[Account Code]=B266)*(CsDJ[Date]&lt;=$A$7),(CsDJ[Credit])))+(SUM(IF((CRDJ[Account Code]=B266)*(CRDJ[Date]&lt;=$A$7),(CRDJ[Credit])))+(SUM(IF((GJ[Account Code]=B266)*(GJ[Date]&lt;=$A$7),(GJ[Credit]))))))))</f>
        <v>0</v>
      </c>
      <c r="G266" s="620">
        <f>IF(INDEX(AccountCodes[Normal Balance], MATCH(C266,AccountCodes[PPSAS CODE]))="Credit",F266-E266,0)</f>
        <v>0</v>
      </c>
      <c r="H266" s="621">
        <f t="shared" si="3"/>
        <v>0</v>
      </c>
    </row>
    <row r="267" spans="1:8" ht="15.75" hidden="1" x14ac:dyDescent="0.25">
      <c r="A267" s="613" t="str">
        <f t="array" ref="A267">INDEX(AccountCodes[ACCOUNT NAME],MATCH(B267,AccountCodes[NGAS CODE],0))</f>
        <v>Security Services</v>
      </c>
      <c r="B267" s="602" t="s">
        <v>1239</v>
      </c>
      <c r="C267" s="615">
        <f t="array" ref="C267">INDEX(AccountCodes[PPSAS CODE],MATCH(B267,AccountCodes[NGAS CODE],0))</f>
        <v>5021203000</v>
      </c>
      <c r="D267" s="616">
        <f>IF(INDEX(AccountCodes[Normal Balance], MATCH(C267,AccountCodes[PPSAS CODE]))="Debit",E267-F267,0)</f>
        <v>0</v>
      </c>
      <c r="E267" s="488">
        <f t="array" ref="E267">(SUM(IF((PostTB[Account Code (Old)]=B267),(PostTB[Debit])))+(SUM(IF((CkDJ[Account Code]=B267)*(CkDJ[Date]&lt;=$A$7),(CkDJ[Debit])))+(SUM(IF((CsDJ[Account Code]=B267)*(CsDJ[Date]&lt;=$A$7),(CsDJ[Debit])))+(SUM(IF((CRDJ[Account Code]=B267)*(CRDJ[Date]&lt;=$A$7),(CRDJ[Debit])))+(SUM(IF((GJ[Account Code]=B267)*(GJ[Date]&lt;=$A$7),(GJ[Debit]))))))))</f>
        <v>0</v>
      </c>
      <c r="F267" s="490">
        <f t="array" ref="F267">(SUM(IF((PostTB[Account Code (Old)]=B267),(PostTB[Credit])))+(SUM(IF((CkDJ[Account Code]=B267)*(CkDJ[Date]&lt;=$A$7),(CkDJ[Credit])))+(SUM(IF((CsDJ[Account Code]=B267)*(CsDJ[Date]&lt;=$A$7),(CsDJ[Credit])))+(SUM(IF((CRDJ[Account Code]=B267)*(CRDJ[Date]&lt;=$A$7),(CRDJ[Credit])))+(SUM(IF((GJ[Account Code]=B267)*(GJ[Date]&lt;=$A$7),(GJ[Credit]))))))))</f>
        <v>0</v>
      </c>
      <c r="G267" s="620">
        <f>IF(INDEX(AccountCodes[Normal Balance], MATCH(C267,AccountCodes[PPSAS CODE]))="Credit",F267-E267,0)</f>
        <v>0</v>
      </c>
      <c r="H267" s="621">
        <f t="shared" si="3"/>
        <v>0</v>
      </c>
    </row>
    <row r="268" spans="1:8" ht="15.75" hidden="1" x14ac:dyDescent="0.25">
      <c r="A268" s="613" t="str">
        <f t="array" ref="A268">INDEX(AccountCodes[ACCOUNT NAME],MATCH(B268,AccountCodes[NGAS CODE],0))</f>
        <v>Other General Services</v>
      </c>
      <c r="B268" s="602" t="s">
        <v>248</v>
      </c>
      <c r="C268" s="615">
        <f t="array" ref="C268">INDEX(AccountCodes[PPSAS CODE],MATCH(B268,AccountCodes[NGAS CODE],0))</f>
        <v>5021299000</v>
      </c>
      <c r="D268" s="616">
        <f>IF(INDEX(AccountCodes[Normal Balance], MATCH(C268,AccountCodes[PPSAS CODE]))="Debit",E268-F268,0)</f>
        <v>0</v>
      </c>
      <c r="E268" s="488">
        <f t="array" ref="E268">(SUM(IF((PostTB[Account Code (Old)]=B268),(PostTB[Debit])))+(SUM(IF((CkDJ[Account Code]=B268)*(CkDJ[Date]&lt;=$A$7),(CkDJ[Debit])))+(SUM(IF((CsDJ[Account Code]=B268)*(CsDJ[Date]&lt;=$A$7),(CsDJ[Debit])))+(SUM(IF((CRDJ[Account Code]=B268)*(CRDJ[Date]&lt;=$A$7),(CRDJ[Debit])))+(SUM(IF((GJ[Account Code]=B268)*(GJ[Date]&lt;=$A$7),(GJ[Debit]))))))))</f>
        <v>0</v>
      </c>
      <c r="F268" s="490">
        <f t="array" ref="F268">(SUM(IF((PostTB[Account Code (Old)]=B268),(PostTB[Credit])))+(SUM(IF((CkDJ[Account Code]=B268)*(CkDJ[Date]&lt;=$A$7),(CkDJ[Credit])))+(SUM(IF((CsDJ[Account Code]=B268)*(CsDJ[Date]&lt;=$A$7),(CsDJ[Credit])))+(SUM(IF((CRDJ[Account Code]=B268)*(CRDJ[Date]&lt;=$A$7),(CRDJ[Credit])))+(SUM(IF((GJ[Account Code]=B268)*(GJ[Date]&lt;=$A$7),(GJ[Credit]))))))))</f>
        <v>0</v>
      </c>
      <c r="G268" s="620">
        <f>IF(INDEX(AccountCodes[Normal Balance], MATCH(C268,AccountCodes[PPSAS CODE]))="Credit",F268-E268,0)</f>
        <v>0</v>
      </c>
      <c r="H268" s="621">
        <f t="shared" si="3"/>
        <v>0</v>
      </c>
    </row>
    <row r="269" spans="1:8" ht="15.75" hidden="1" x14ac:dyDescent="0.25">
      <c r="A269" s="613" t="str">
        <f t="array" ref="A269">INDEX(AccountCodes[ACCOUNT NAME],MATCH(B269,AccountCodes[NGAS CODE],0))</f>
        <v>Repairs and Maintenance-Land Improvements</v>
      </c>
      <c r="B269" s="602" t="s">
        <v>1240</v>
      </c>
      <c r="C269" s="615">
        <f t="array" ref="C269">INDEX(AccountCodes[PPSAS CODE],MATCH(B269,AccountCodes[NGAS CODE],0))</f>
        <v>5021302000</v>
      </c>
      <c r="D269" s="616">
        <f>IF(INDEX(AccountCodes[Normal Balance], MATCH(C269,AccountCodes[PPSAS CODE]))="Debit",E269-F269,0)</f>
        <v>0</v>
      </c>
      <c r="E269" s="488">
        <f t="array" ref="E269">(SUM(IF((PostTB[Account Code (Old)]=B269),(PostTB[Debit])))+(SUM(IF((CkDJ[Account Code]=B269)*(CkDJ[Date]&lt;=$A$7),(CkDJ[Debit])))+(SUM(IF((CsDJ[Account Code]=B269)*(CsDJ[Date]&lt;=$A$7),(CsDJ[Debit])))+(SUM(IF((CRDJ[Account Code]=B269)*(CRDJ[Date]&lt;=$A$7),(CRDJ[Debit])))+(SUM(IF((GJ[Account Code]=B269)*(GJ[Date]&lt;=$A$7),(GJ[Debit]))))))))</f>
        <v>0</v>
      </c>
      <c r="F269" s="490">
        <f t="array" ref="F269">(SUM(IF((PostTB[Account Code (Old)]=B269),(PostTB[Credit])))+(SUM(IF((CkDJ[Account Code]=B269)*(CkDJ[Date]&lt;=$A$7),(CkDJ[Credit])))+(SUM(IF((CsDJ[Account Code]=B269)*(CsDJ[Date]&lt;=$A$7),(CsDJ[Credit])))+(SUM(IF((CRDJ[Account Code]=B269)*(CRDJ[Date]&lt;=$A$7),(CRDJ[Credit])))+(SUM(IF((GJ[Account Code]=B269)*(GJ[Date]&lt;=$A$7),(GJ[Credit]))))))))</f>
        <v>0</v>
      </c>
      <c r="G269" s="620">
        <f>IF(INDEX(AccountCodes[Normal Balance], MATCH(C269,AccountCodes[PPSAS CODE]))="Credit",F269-E269,0)</f>
        <v>0</v>
      </c>
      <c r="H269" s="621">
        <f t="shared" si="3"/>
        <v>0</v>
      </c>
    </row>
    <row r="270" spans="1:8" ht="15.75" hidden="1" x14ac:dyDescent="0.25">
      <c r="A270" s="613" t="str">
        <f t="array" ref="A270">INDEX(AccountCodes[ACCOUNT NAME],MATCH(B270,AccountCodes[NGAS CODE],0))</f>
        <v>Repairs and Maintenance-Infrastructure Assets - Other Infrastructure Assets (Artesian Wells, Reservoirs, Pumps)</v>
      </c>
      <c r="B270" s="602" t="s">
        <v>266</v>
      </c>
      <c r="C270" s="615">
        <f t="array" ref="C270">INDEX(AccountCodes[PPSAS CODE],MATCH(B270,AccountCodes[NGAS CODE],0))</f>
        <v>5021303097</v>
      </c>
      <c r="D270" s="616">
        <f>IF(INDEX(AccountCodes[Normal Balance], MATCH(C270,AccountCodes[PPSAS CODE]))="Debit",E270-F270,0)</f>
        <v>0</v>
      </c>
      <c r="E270" s="488">
        <f t="array" ref="E270">(SUM(IF((PostTB[Account Code (Old)]=B270),(PostTB[Debit])))+(SUM(IF((CkDJ[Account Code]=B270)*(CkDJ[Date]&lt;=$A$7),(CkDJ[Debit])))+(SUM(IF((CsDJ[Account Code]=B270)*(CsDJ[Date]&lt;=$A$7),(CsDJ[Debit])))+(SUM(IF((CRDJ[Account Code]=B270)*(CRDJ[Date]&lt;=$A$7),(CRDJ[Debit])))+(SUM(IF((GJ[Account Code]=B270)*(GJ[Date]&lt;=$A$7),(GJ[Debit]))))))))</f>
        <v>0</v>
      </c>
      <c r="F270" s="490">
        <f t="array" ref="F270">(SUM(IF((PostTB[Account Code (Old)]=B270),(PostTB[Credit])))+(SUM(IF((CkDJ[Account Code]=B270)*(CkDJ[Date]&lt;=$A$7),(CkDJ[Credit])))+(SUM(IF((CsDJ[Account Code]=B270)*(CsDJ[Date]&lt;=$A$7),(CsDJ[Credit])))+(SUM(IF((CRDJ[Account Code]=B270)*(CRDJ[Date]&lt;=$A$7),(CRDJ[Credit])))+(SUM(IF((GJ[Account Code]=B270)*(GJ[Date]&lt;=$A$7),(GJ[Credit]))))))))</f>
        <v>0</v>
      </c>
      <c r="G270" s="620">
        <f>IF(INDEX(AccountCodes[Normal Balance], MATCH(C270,AccountCodes[PPSAS CODE]))="Credit",F270-E270,0)</f>
        <v>0</v>
      </c>
      <c r="H270" s="621">
        <f t="shared" si="3"/>
        <v>0</v>
      </c>
    </row>
    <row r="271" spans="1:8" ht="15.75" hidden="1" x14ac:dyDescent="0.25">
      <c r="A271" s="613" t="str">
        <f t="array" ref="A271">INDEX(AccountCodes[ACCOUNT NAME],MATCH(B271,AccountCodes[NGAS CODE],0))</f>
        <v>Repairs and Maintenance-Infrastructure Assets - Other Infrastructure Assets (Irrigation Canal &amp; Laterals)</v>
      </c>
      <c r="B271" s="602" t="s">
        <v>267</v>
      </c>
      <c r="C271" s="615">
        <f t="array" ref="C271">INDEX(AccountCodes[PPSAS CODE],MATCH(B271,AccountCodes[NGAS CODE],0))</f>
        <v>5021303098</v>
      </c>
      <c r="D271" s="616">
        <f>IF(INDEX(AccountCodes[Normal Balance], MATCH(C271,AccountCodes[PPSAS CODE]))="Debit",E271-F271,0)</f>
        <v>0</v>
      </c>
      <c r="E271" s="488">
        <f t="array" ref="E271">(SUM(IF((PostTB[Account Code (Old)]=B271),(PostTB[Debit])))+(SUM(IF((CkDJ[Account Code]=B271)*(CkDJ[Date]&lt;=$A$7),(CkDJ[Debit])))+(SUM(IF((CsDJ[Account Code]=B271)*(CsDJ[Date]&lt;=$A$7),(CsDJ[Debit])))+(SUM(IF((CRDJ[Account Code]=B271)*(CRDJ[Date]&lt;=$A$7),(CRDJ[Debit])))+(SUM(IF((GJ[Account Code]=B271)*(GJ[Date]&lt;=$A$7),(GJ[Debit]))))))))</f>
        <v>0</v>
      </c>
      <c r="F271" s="490">
        <f t="array" ref="F271">(SUM(IF((PostTB[Account Code (Old)]=B271),(PostTB[Credit])))+(SUM(IF((CkDJ[Account Code]=B271)*(CkDJ[Date]&lt;=$A$7),(CkDJ[Credit])))+(SUM(IF((CsDJ[Account Code]=B271)*(CsDJ[Date]&lt;=$A$7),(CsDJ[Credit])))+(SUM(IF((CRDJ[Account Code]=B271)*(CRDJ[Date]&lt;=$A$7),(CRDJ[Credit])))+(SUM(IF((GJ[Account Code]=B271)*(GJ[Date]&lt;=$A$7),(GJ[Credit]))))))))</f>
        <v>0</v>
      </c>
      <c r="G271" s="620">
        <f>IF(INDEX(AccountCodes[Normal Balance], MATCH(C271,AccountCodes[PPSAS CODE]))="Credit",F271-E271,0)</f>
        <v>0</v>
      </c>
      <c r="H271" s="621">
        <f t="shared" si="3"/>
        <v>0</v>
      </c>
    </row>
    <row r="272" spans="1:8" ht="15.75" hidden="1" x14ac:dyDescent="0.25">
      <c r="A272" s="613" t="str">
        <f t="array" ref="A272">INDEX(AccountCodes[ACCOUNT NAME],MATCH(B272,AccountCodes[NGAS CODE],0))</f>
        <v>Repairs and Maintenance-Buildings and Other Structures - Buildings</v>
      </c>
      <c r="B272" s="602" t="s">
        <v>251</v>
      </c>
      <c r="C272" s="615">
        <f t="array" ref="C272">INDEX(AccountCodes[PPSAS CODE],MATCH(B272,AccountCodes[NGAS CODE],0))</f>
        <v>5021304001</v>
      </c>
      <c r="D272" s="616">
        <f>IF(INDEX(AccountCodes[Normal Balance], MATCH(C272,AccountCodes[PPSAS CODE]))="Debit",E272-F272,0)</f>
        <v>0</v>
      </c>
      <c r="E272" s="488">
        <f t="array" ref="E272">(SUM(IF((PostTB[Account Code (Old)]=B272),(PostTB[Debit])))+(SUM(IF((CkDJ[Account Code]=B272)*(CkDJ[Date]&lt;=$A$7),(CkDJ[Debit])))+(SUM(IF((CsDJ[Account Code]=B272)*(CsDJ[Date]&lt;=$A$7),(CsDJ[Debit])))+(SUM(IF((CRDJ[Account Code]=B272)*(CRDJ[Date]&lt;=$A$7),(CRDJ[Debit])))+(SUM(IF((GJ[Account Code]=B272)*(GJ[Date]&lt;=$A$7),(GJ[Debit]))))))))</f>
        <v>0</v>
      </c>
      <c r="F272" s="490">
        <f t="array" ref="F272">(SUM(IF((PostTB[Account Code (Old)]=B272),(PostTB[Credit])))+(SUM(IF((CkDJ[Account Code]=B272)*(CkDJ[Date]&lt;=$A$7),(CkDJ[Credit])))+(SUM(IF((CsDJ[Account Code]=B272)*(CsDJ[Date]&lt;=$A$7),(CsDJ[Credit])))+(SUM(IF((CRDJ[Account Code]=B272)*(CRDJ[Date]&lt;=$A$7),(CRDJ[Credit])))+(SUM(IF((GJ[Account Code]=B272)*(GJ[Date]&lt;=$A$7),(GJ[Credit]))))))))</f>
        <v>0</v>
      </c>
      <c r="G272" s="620">
        <f>IF(INDEX(AccountCodes[Normal Balance], MATCH(C272,AccountCodes[PPSAS CODE]))="Credit",F272-E272,0)</f>
        <v>0</v>
      </c>
      <c r="H272" s="621">
        <f t="shared" ref="H272:H324" si="4">IF(D272=0,G272,D272)</f>
        <v>0</v>
      </c>
    </row>
    <row r="273" spans="1:8" ht="15.75" hidden="1" x14ac:dyDescent="0.25">
      <c r="A273" s="613" t="str">
        <f t="array" ref="A273">INDEX(AccountCodes[ACCOUNT NAME],MATCH(B273,AccountCodes[NGAS CODE],0))</f>
        <v>Repairs and Maintenance-Buildings and Other Structures - Other Structures</v>
      </c>
      <c r="B273" s="602" t="s">
        <v>252</v>
      </c>
      <c r="C273" s="615">
        <f t="array" ref="C273">INDEX(AccountCodes[PPSAS CODE],MATCH(B273,AccountCodes[NGAS CODE],0))</f>
        <v>5021304099</v>
      </c>
      <c r="D273" s="616">
        <f>IF(INDEX(AccountCodes[Normal Balance], MATCH(C273,AccountCodes[PPSAS CODE]))="Debit",E273-F273,0)</f>
        <v>0</v>
      </c>
      <c r="E273" s="488">
        <f t="array" ref="E273">(SUM(IF((PostTB[Account Code (Old)]=B273),(PostTB[Debit])))+(SUM(IF((CkDJ[Account Code]=B273)*(CkDJ[Date]&lt;=$A$7),(CkDJ[Debit])))+(SUM(IF((CsDJ[Account Code]=B273)*(CsDJ[Date]&lt;=$A$7),(CsDJ[Debit])))+(SUM(IF((CRDJ[Account Code]=B273)*(CRDJ[Date]&lt;=$A$7),(CRDJ[Debit])))+(SUM(IF((GJ[Account Code]=B273)*(GJ[Date]&lt;=$A$7),(GJ[Debit]))))))))</f>
        <v>0</v>
      </c>
      <c r="F273" s="490">
        <f t="array" ref="F273">(SUM(IF((PostTB[Account Code (Old)]=B273),(PostTB[Credit])))+(SUM(IF((CkDJ[Account Code]=B273)*(CkDJ[Date]&lt;=$A$7),(CkDJ[Credit])))+(SUM(IF((CsDJ[Account Code]=B273)*(CsDJ[Date]&lt;=$A$7),(CsDJ[Credit])))+(SUM(IF((CRDJ[Account Code]=B273)*(CRDJ[Date]&lt;=$A$7),(CRDJ[Credit])))+(SUM(IF((GJ[Account Code]=B273)*(GJ[Date]&lt;=$A$7),(GJ[Credit]))))))))</f>
        <v>0</v>
      </c>
      <c r="G273" s="620">
        <f>IF(INDEX(AccountCodes[Normal Balance], MATCH(C273,AccountCodes[PPSAS CODE]))="Credit",F273-E273,0)</f>
        <v>0</v>
      </c>
      <c r="H273" s="621">
        <f t="shared" si="4"/>
        <v>0</v>
      </c>
    </row>
    <row r="274" spans="1:8" ht="15.75" hidden="1" x14ac:dyDescent="0.25">
      <c r="A274" s="613" t="str">
        <f t="array" ref="A274">INDEX(AccountCodes[ACCOUNT NAME],MATCH(B274,AccountCodes[NGAS CODE],0))</f>
        <v>Repairs and Maintenance-Machinery and Equipment - Machinery</v>
      </c>
      <c r="B274" s="602" t="s">
        <v>256</v>
      </c>
      <c r="C274" s="615">
        <f t="array" ref="C274">INDEX(AccountCodes[PPSAS CODE],MATCH(B274,AccountCodes[NGAS CODE],0))</f>
        <v>5021305001</v>
      </c>
      <c r="D274" s="616">
        <f>IF(INDEX(AccountCodes[Normal Balance], MATCH(C274,AccountCodes[PPSAS CODE]))="Debit",E274-F274,0)</f>
        <v>0</v>
      </c>
      <c r="E274" s="488">
        <f t="array" ref="E274">(SUM(IF((PostTB[Account Code (Old)]=B274),(PostTB[Debit])))+(SUM(IF((CkDJ[Account Code]=B274)*(CkDJ[Date]&lt;=$A$7),(CkDJ[Debit])))+(SUM(IF((CsDJ[Account Code]=B274)*(CsDJ[Date]&lt;=$A$7),(CsDJ[Debit])))+(SUM(IF((CRDJ[Account Code]=B274)*(CRDJ[Date]&lt;=$A$7),(CRDJ[Debit])))+(SUM(IF((GJ[Account Code]=B274)*(GJ[Date]&lt;=$A$7),(GJ[Debit]))))))))</f>
        <v>0</v>
      </c>
      <c r="F274" s="490">
        <f t="array" ref="F274">(SUM(IF((PostTB[Account Code (Old)]=B274),(PostTB[Credit])))+(SUM(IF((CkDJ[Account Code]=B274)*(CkDJ[Date]&lt;=$A$7),(CkDJ[Credit])))+(SUM(IF((CsDJ[Account Code]=B274)*(CsDJ[Date]&lt;=$A$7),(CsDJ[Credit])))+(SUM(IF((CRDJ[Account Code]=B274)*(CRDJ[Date]&lt;=$A$7),(CRDJ[Credit])))+(SUM(IF((GJ[Account Code]=B274)*(GJ[Date]&lt;=$A$7),(GJ[Credit]))))))))</f>
        <v>0</v>
      </c>
      <c r="G274" s="620">
        <f>IF(INDEX(AccountCodes[Normal Balance], MATCH(C274,AccountCodes[PPSAS CODE]))="Credit",F274-E274,0)</f>
        <v>0</v>
      </c>
      <c r="H274" s="621">
        <f t="shared" si="4"/>
        <v>0</v>
      </c>
    </row>
    <row r="275" spans="1:8" ht="15.75" hidden="1" x14ac:dyDescent="0.25">
      <c r="A275" s="613" t="str">
        <f t="array" ref="A275">INDEX(AccountCodes[ACCOUNT NAME],MATCH(B275,AccountCodes[NGAS CODE],0))</f>
        <v>Repairs and Maintenance-Machinery and Equipment - Office Equipment</v>
      </c>
      <c r="B275" s="602" t="s">
        <v>253</v>
      </c>
      <c r="C275" s="615">
        <f t="array" ref="C275">INDEX(AccountCodes[PPSAS CODE],MATCH(B275,AccountCodes[NGAS CODE],0))</f>
        <v>5021305002</v>
      </c>
      <c r="D275" s="616">
        <f>IF(INDEX(AccountCodes[Normal Balance], MATCH(C275,AccountCodes[PPSAS CODE]))="Debit",E275-F275,0)</f>
        <v>0</v>
      </c>
      <c r="E275" s="488">
        <f t="array" ref="E275">(SUM(IF((PostTB[Account Code (Old)]=B275),(PostTB[Debit])))+(SUM(IF((CkDJ[Account Code]=B275)*(CkDJ[Date]&lt;=$A$7),(CkDJ[Debit])))+(SUM(IF((CsDJ[Account Code]=B275)*(CsDJ[Date]&lt;=$A$7),(CsDJ[Debit])))+(SUM(IF((CRDJ[Account Code]=B275)*(CRDJ[Date]&lt;=$A$7),(CRDJ[Debit])))+(SUM(IF((GJ[Account Code]=B275)*(GJ[Date]&lt;=$A$7),(GJ[Debit]))))))))</f>
        <v>0</v>
      </c>
      <c r="F275" s="490">
        <f t="array" ref="F275">(SUM(IF((PostTB[Account Code (Old)]=B275),(PostTB[Credit])))+(SUM(IF((CkDJ[Account Code]=B275)*(CkDJ[Date]&lt;=$A$7),(CkDJ[Credit])))+(SUM(IF((CsDJ[Account Code]=B275)*(CsDJ[Date]&lt;=$A$7),(CsDJ[Credit])))+(SUM(IF((CRDJ[Account Code]=B275)*(CRDJ[Date]&lt;=$A$7),(CRDJ[Credit])))+(SUM(IF((GJ[Account Code]=B275)*(GJ[Date]&lt;=$A$7),(GJ[Credit]))))))))</f>
        <v>0</v>
      </c>
      <c r="G275" s="620">
        <f>IF(INDEX(AccountCodes[Normal Balance], MATCH(C275,AccountCodes[PPSAS CODE]))="Credit",F275-E275,0)</f>
        <v>0</v>
      </c>
      <c r="H275" s="621">
        <f t="shared" si="4"/>
        <v>0</v>
      </c>
    </row>
    <row r="276" spans="1:8" ht="15.75" hidden="1" x14ac:dyDescent="0.25">
      <c r="A276" s="613" t="str">
        <f t="array" ref="A276">INDEX(AccountCodes[ACCOUNT NAME],MATCH(B276,AccountCodes[NGAS CODE],0))</f>
        <v>Repairs and Maintenance-Machinery and Equipment - ICT Equipment</v>
      </c>
      <c r="B276" s="602" t="s">
        <v>255</v>
      </c>
      <c r="C276" s="615">
        <f t="array" ref="C276">INDEX(AccountCodes[PPSAS CODE],MATCH(B276,AccountCodes[NGAS CODE],0))</f>
        <v>5021305003</v>
      </c>
      <c r="D276" s="616">
        <f>IF(INDEX(AccountCodes[Normal Balance], MATCH(C276,AccountCodes[PPSAS CODE]))="Debit",E276-F276,0)</f>
        <v>0</v>
      </c>
      <c r="E276" s="488">
        <f t="array" ref="E276">(SUM(IF((PostTB[Account Code (Old)]=B276),(PostTB[Debit])))+(SUM(IF((CkDJ[Account Code]=B276)*(CkDJ[Date]&lt;=$A$7),(CkDJ[Debit])))+(SUM(IF((CsDJ[Account Code]=B276)*(CsDJ[Date]&lt;=$A$7),(CsDJ[Debit])))+(SUM(IF((CRDJ[Account Code]=B276)*(CRDJ[Date]&lt;=$A$7),(CRDJ[Debit])))+(SUM(IF((GJ[Account Code]=B276)*(GJ[Date]&lt;=$A$7),(GJ[Debit]))))))))</f>
        <v>0</v>
      </c>
      <c r="F276" s="490">
        <f t="array" ref="F276">(SUM(IF((PostTB[Account Code (Old)]=B276),(PostTB[Credit])))+(SUM(IF((CkDJ[Account Code]=B276)*(CkDJ[Date]&lt;=$A$7),(CkDJ[Credit])))+(SUM(IF((CsDJ[Account Code]=B276)*(CsDJ[Date]&lt;=$A$7),(CsDJ[Credit])))+(SUM(IF((CRDJ[Account Code]=B276)*(CRDJ[Date]&lt;=$A$7),(CRDJ[Credit])))+(SUM(IF((GJ[Account Code]=B276)*(GJ[Date]&lt;=$A$7),(GJ[Credit]))))))))</f>
        <v>0</v>
      </c>
      <c r="G276" s="620">
        <f>IF(INDEX(AccountCodes[Normal Balance], MATCH(C276,AccountCodes[PPSAS CODE]))="Credit",F276-E276,0)</f>
        <v>0</v>
      </c>
      <c r="H276" s="621">
        <f>IF(D276=0,G276,D276)</f>
        <v>0</v>
      </c>
    </row>
    <row r="277" spans="1:8" ht="15.75" hidden="1" x14ac:dyDescent="0.25">
      <c r="A277" s="613" t="str">
        <f t="array" ref="A277">INDEX(AccountCodes[ACCOUNT NAME],MATCH(B277,AccountCodes[NGAS CODE],0))</f>
        <v>Repairs and Maintenance-Machinery and Equipment - Communication Equipment</v>
      </c>
      <c r="B277" s="602" t="s">
        <v>257</v>
      </c>
      <c r="C277" s="615">
        <f t="array" ref="C277">INDEX(AccountCodes[PPSAS CODE],MATCH(B277,AccountCodes[NGAS CODE],0))</f>
        <v>5021305007</v>
      </c>
      <c r="D277" s="616">
        <f>IF(INDEX(AccountCodes[Normal Balance], MATCH(C277,AccountCodes[PPSAS CODE]))="Debit",E277-F277,0)</f>
        <v>0</v>
      </c>
      <c r="E277" s="488">
        <f t="array" ref="E277">(SUM(IF((PostTB[Account Code (Old)]=B277),(PostTB[Debit])))+(SUM(IF((CkDJ[Account Code]=B277)*(CkDJ[Date]&lt;=$A$7),(CkDJ[Debit])))+(SUM(IF((CsDJ[Account Code]=B277)*(CsDJ[Date]&lt;=$A$7),(CsDJ[Debit])))+(SUM(IF((CRDJ[Account Code]=B277)*(CRDJ[Date]&lt;=$A$7),(CRDJ[Debit])))+(SUM(IF((GJ[Account Code]=B277)*(GJ[Date]&lt;=$A$7),(GJ[Debit]))))))))</f>
        <v>0</v>
      </c>
      <c r="F277" s="490">
        <f t="array" ref="F277">(SUM(IF((PostTB[Account Code (Old)]=B277),(PostTB[Credit])))+(SUM(IF((CkDJ[Account Code]=B277)*(CkDJ[Date]&lt;=$A$7),(CkDJ[Credit])))+(SUM(IF((CsDJ[Account Code]=B277)*(CsDJ[Date]&lt;=$A$7),(CsDJ[Credit])))+(SUM(IF((CRDJ[Account Code]=B277)*(CRDJ[Date]&lt;=$A$7),(CRDJ[Credit])))+(SUM(IF((GJ[Account Code]=B277)*(GJ[Date]&lt;=$A$7),(GJ[Credit]))))))))</f>
        <v>0</v>
      </c>
      <c r="G277" s="620">
        <f>IF(INDEX(AccountCodes[Normal Balance], MATCH(C277,AccountCodes[PPSAS CODE]))="Credit",F277-E277,0)</f>
        <v>0</v>
      </c>
      <c r="H277" s="621">
        <f t="shared" si="4"/>
        <v>0</v>
      </c>
    </row>
    <row r="278" spans="1:8" ht="15.75" hidden="1" x14ac:dyDescent="0.25">
      <c r="A278" s="613" t="str">
        <f t="array" ref="A278">INDEX(AccountCodes[ACCOUNT NAME],MATCH(B278,AccountCodes[NGAS CODE],0))</f>
        <v>Repairs and Maintenance-Machinery and Equipment - Construction and Heavy Equipment</v>
      </c>
      <c r="B278" s="602" t="s">
        <v>258</v>
      </c>
      <c r="C278" s="615">
        <f t="array" ref="C278">INDEX(AccountCodes[PPSAS CODE],MATCH(B278,AccountCodes[NGAS CODE],0))</f>
        <v>5021305008</v>
      </c>
      <c r="D278" s="616">
        <f>IF(INDEX(AccountCodes[Normal Balance], MATCH(C278,AccountCodes[PPSAS CODE]))="Debit",E278-F278,0)</f>
        <v>0</v>
      </c>
      <c r="E278" s="488">
        <f t="array" ref="E278">(SUM(IF((PostTB[Account Code (Old)]=B278),(PostTB[Debit])))+(SUM(IF((CkDJ[Account Code]=B278)*(CkDJ[Date]&lt;=$A$7),(CkDJ[Debit])))+(SUM(IF((CsDJ[Account Code]=B278)*(CsDJ[Date]&lt;=$A$7),(CsDJ[Debit])))+(SUM(IF((CRDJ[Account Code]=B278)*(CRDJ[Date]&lt;=$A$7),(CRDJ[Debit])))+(SUM(IF((GJ[Account Code]=B278)*(GJ[Date]&lt;=$A$7),(GJ[Debit]))))))))</f>
        <v>0</v>
      </c>
      <c r="F278" s="490">
        <f t="array" ref="F278">(SUM(IF((PostTB[Account Code (Old)]=B278),(PostTB[Credit])))+(SUM(IF((CkDJ[Account Code]=B278)*(CkDJ[Date]&lt;=$A$7),(CkDJ[Credit])))+(SUM(IF((CsDJ[Account Code]=B278)*(CsDJ[Date]&lt;=$A$7),(CsDJ[Credit])))+(SUM(IF((CRDJ[Account Code]=B278)*(CRDJ[Date]&lt;=$A$7),(CRDJ[Credit])))+(SUM(IF((GJ[Account Code]=B278)*(GJ[Date]&lt;=$A$7),(GJ[Credit]))))))))</f>
        <v>0</v>
      </c>
      <c r="G278" s="620">
        <f>IF(INDEX(AccountCodes[Normal Balance], MATCH(C278,AccountCodes[PPSAS CODE]))="Credit",F278-E278,0)</f>
        <v>0</v>
      </c>
      <c r="H278" s="621">
        <f t="shared" si="4"/>
        <v>0</v>
      </c>
    </row>
    <row r="279" spans="1:8" ht="15.75" hidden="1" x14ac:dyDescent="0.25">
      <c r="A279" s="613" t="str">
        <f t="array" ref="A279">INDEX(AccountCodes[ACCOUNT NAME],MATCH(B279,AccountCodes[NGAS CODE],0))</f>
        <v>Repairs and Maintenance-Machinery and Equipment - Disaster Response and Rescue Equipment</v>
      </c>
      <c r="B279" s="602" t="s">
        <v>259</v>
      </c>
      <c r="C279" s="615">
        <f t="array" ref="C279">INDEX(AccountCodes[PPSAS CODE],MATCH(B279,AccountCodes[NGAS CODE],0))</f>
        <v>5021305009</v>
      </c>
      <c r="D279" s="616">
        <f>IF(INDEX(AccountCodes[Normal Balance], MATCH(C279,AccountCodes[PPSAS CODE]))="Debit",E279-F279,0)</f>
        <v>0</v>
      </c>
      <c r="E279" s="488">
        <f t="array" ref="E279">(SUM(IF((PostTB[Account Code (Old)]=B279),(PostTB[Debit])))+(SUM(IF((CkDJ[Account Code]=B279)*(CkDJ[Date]&lt;=$A$7),(CkDJ[Debit])))+(SUM(IF((CsDJ[Account Code]=B279)*(CsDJ[Date]&lt;=$A$7),(CsDJ[Debit])))+(SUM(IF((CRDJ[Account Code]=B279)*(CRDJ[Date]&lt;=$A$7),(CRDJ[Debit])))+(SUM(IF((GJ[Account Code]=B279)*(GJ[Date]&lt;=$A$7),(GJ[Debit]))))))))</f>
        <v>0</v>
      </c>
      <c r="F279" s="490">
        <f t="array" ref="F279">(SUM(IF((PostTB[Account Code (Old)]=B279),(PostTB[Credit])))+(SUM(IF((CkDJ[Account Code]=B279)*(CkDJ[Date]&lt;=$A$7),(CkDJ[Credit])))+(SUM(IF((CsDJ[Account Code]=B279)*(CsDJ[Date]&lt;=$A$7),(CsDJ[Credit])))+(SUM(IF((CRDJ[Account Code]=B279)*(CRDJ[Date]&lt;=$A$7),(CRDJ[Credit])))+(SUM(IF((GJ[Account Code]=B279)*(GJ[Date]&lt;=$A$7),(GJ[Credit]))))))))</f>
        <v>0</v>
      </c>
      <c r="G279" s="620">
        <f>IF(INDEX(AccountCodes[Normal Balance], MATCH(C279,AccountCodes[PPSAS CODE]))="Credit",F279-E279,0)</f>
        <v>0</v>
      </c>
      <c r="H279" s="621">
        <f t="shared" si="4"/>
        <v>0</v>
      </c>
    </row>
    <row r="280" spans="1:8" ht="15.75" hidden="1" x14ac:dyDescent="0.25">
      <c r="A280" s="613" t="str">
        <f t="array" ref="A280">INDEX(AccountCodes[ACCOUNT NAME],MATCH(B280,AccountCodes[NGAS CODE],0))</f>
        <v>Repairs and Maintenance-Machinery and Equipment - Military, Police and Security Equipment</v>
      </c>
      <c r="B280" s="602" t="s">
        <v>1447</v>
      </c>
      <c r="C280" s="615">
        <f t="array" ref="C280">INDEX(AccountCodes[PPSAS CODE],MATCH(B280,AccountCodes[NGAS CODE],0))</f>
        <v>5021305010</v>
      </c>
      <c r="D280" s="616">
        <f>IF(INDEX(AccountCodes[Normal Balance], MATCH(C280,AccountCodes[PPSAS CODE]))="Debit",E280-F280,0)</f>
        <v>0</v>
      </c>
      <c r="E280" s="488">
        <f t="array" ref="E280">(SUM(IF((PostTB[Account Code (Old)]=B280),(PostTB[Debit])))+(SUM(IF((CkDJ[Account Code]=B280)*(CkDJ[Date]&lt;=$A$7),(CkDJ[Debit])))+(SUM(IF((CsDJ[Account Code]=B280)*(CsDJ[Date]&lt;=$A$7),(CsDJ[Debit])))+(SUM(IF((CRDJ[Account Code]=B280)*(CRDJ[Date]&lt;=$A$7),(CRDJ[Debit])))+(SUM(IF((GJ[Account Code]=B280)*(GJ[Date]&lt;=$A$7),(GJ[Debit]))))))))</f>
        <v>0</v>
      </c>
      <c r="F280" s="490">
        <f t="array" ref="F280">(SUM(IF((PostTB[Account Code (Old)]=B280),(PostTB[Credit])))+(SUM(IF((CkDJ[Account Code]=B280)*(CkDJ[Date]&lt;=$A$7),(CkDJ[Credit])))+(SUM(IF((CsDJ[Account Code]=B280)*(CsDJ[Date]&lt;=$A$7),(CsDJ[Credit])))+(SUM(IF((CRDJ[Account Code]=B280)*(CRDJ[Date]&lt;=$A$7),(CRDJ[Credit])))+(SUM(IF((GJ[Account Code]=B280)*(GJ[Date]&lt;=$A$7),(GJ[Credit]))))))))</f>
        <v>0</v>
      </c>
      <c r="G280" s="620">
        <f>IF(INDEX(AccountCodes[Normal Balance], MATCH(C280,AccountCodes[PPSAS CODE]))="Credit",F280-E280,0)</f>
        <v>0</v>
      </c>
      <c r="H280" s="621">
        <f t="shared" si="4"/>
        <v>0</v>
      </c>
    </row>
    <row r="281" spans="1:8" ht="15.75" hidden="1" x14ac:dyDescent="0.25">
      <c r="A281" s="613" t="str">
        <f t="array" ref="A281">INDEX(AccountCodes[ACCOUNT NAME],MATCH(B281,AccountCodes[NGAS CODE],0))</f>
        <v>Repairs and Maintenance-Machinery and Equipment - Medical Equipment</v>
      </c>
      <c r="B281" s="602" t="s">
        <v>1448</v>
      </c>
      <c r="C281" s="615">
        <f t="array" ref="C281">INDEX(AccountCodes[PPSAS CODE],MATCH(B281,AccountCodes[NGAS CODE],0))</f>
        <v>5021305011</v>
      </c>
      <c r="D281" s="616">
        <f>IF(INDEX(AccountCodes[Normal Balance], MATCH(C281,AccountCodes[PPSAS CODE]))="Debit",E281-F281,0)</f>
        <v>0</v>
      </c>
      <c r="E281" s="488">
        <f t="array" ref="E281">(SUM(IF((PostTB[Account Code (Old)]=B281),(PostTB[Debit])))+(SUM(IF((CkDJ[Account Code]=B281)*(CkDJ[Date]&lt;=$A$7),(CkDJ[Debit])))+(SUM(IF((CsDJ[Account Code]=B281)*(CsDJ[Date]&lt;=$A$7),(CsDJ[Debit])))+(SUM(IF((CRDJ[Account Code]=B281)*(CRDJ[Date]&lt;=$A$7),(CRDJ[Debit])))+(SUM(IF((GJ[Account Code]=B281)*(GJ[Date]&lt;=$A$7),(GJ[Debit]))))))))</f>
        <v>0</v>
      </c>
      <c r="F281" s="490">
        <f t="array" ref="F281">(SUM(IF((PostTB[Account Code (Old)]=B281),(PostTB[Credit])))+(SUM(IF((CkDJ[Account Code]=B281)*(CkDJ[Date]&lt;=$A$7),(CkDJ[Credit])))+(SUM(IF((CsDJ[Account Code]=B281)*(CsDJ[Date]&lt;=$A$7),(CsDJ[Credit])))+(SUM(IF((CRDJ[Account Code]=B281)*(CRDJ[Date]&lt;=$A$7),(CRDJ[Credit])))+(SUM(IF((GJ[Account Code]=B281)*(GJ[Date]&lt;=$A$7),(GJ[Credit]))))))))</f>
        <v>0</v>
      </c>
      <c r="G281" s="620">
        <f>IF(INDEX(AccountCodes[Normal Balance], MATCH(C281,AccountCodes[PPSAS CODE]))="Credit",F281-E281,0)</f>
        <v>0</v>
      </c>
      <c r="H281" s="621">
        <f t="shared" si="4"/>
        <v>0</v>
      </c>
    </row>
    <row r="282" spans="1:8" ht="15.75" hidden="1" x14ac:dyDescent="0.25">
      <c r="A282" s="613" t="str">
        <f t="array" ref="A282">INDEX(AccountCodes[ACCOUNT NAME],MATCH(B282,AccountCodes[NGAS CODE],0))</f>
        <v>Repairs and Maintenance-Machinery and Equipment - Printing Equipment</v>
      </c>
      <c r="B282" s="602" t="s">
        <v>1449</v>
      </c>
      <c r="C282" s="615">
        <f t="array" ref="C282">INDEX(AccountCodes[PPSAS CODE],MATCH(B282,AccountCodes[NGAS CODE],0))</f>
        <v>5021305012</v>
      </c>
      <c r="D282" s="616">
        <f>IF(INDEX(AccountCodes[Normal Balance], MATCH(C282,AccountCodes[PPSAS CODE]))="Debit",E282-F282,0)</f>
        <v>0</v>
      </c>
      <c r="E282" s="488">
        <f t="array" ref="E282">(SUM(IF((PostTB[Account Code (Old)]=B282),(PostTB[Debit])))+(SUM(IF((CkDJ[Account Code]=B282)*(CkDJ[Date]&lt;=$A$7),(CkDJ[Debit])))+(SUM(IF((CsDJ[Account Code]=B282)*(CsDJ[Date]&lt;=$A$7),(CsDJ[Debit])))+(SUM(IF((CRDJ[Account Code]=B282)*(CRDJ[Date]&lt;=$A$7),(CRDJ[Debit])))+(SUM(IF((GJ[Account Code]=B282)*(GJ[Date]&lt;=$A$7),(GJ[Debit]))))))))</f>
        <v>0</v>
      </c>
      <c r="F282" s="490">
        <f t="array" ref="F282">(SUM(IF((PostTB[Account Code (Old)]=B282),(PostTB[Credit])))+(SUM(IF((CkDJ[Account Code]=B282)*(CkDJ[Date]&lt;=$A$7),(CkDJ[Credit])))+(SUM(IF((CsDJ[Account Code]=B282)*(CsDJ[Date]&lt;=$A$7),(CsDJ[Credit])))+(SUM(IF((CRDJ[Account Code]=B282)*(CRDJ[Date]&lt;=$A$7),(CRDJ[Credit])))+(SUM(IF((GJ[Account Code]=B282)*(GJ[Date]&lt;=$A$7),(GJ[Credit]))))))))</f>
        <v>0</v>
      </c>
      <c r="G282" s="620">
        <f>IF(INDEX(AccountCodes[Normal Balance], MATCH(C282,AccountCodes[PPSAS CODE]))="Credit",F282-E282,0)</f>
        <v>0</v>
      </c>
      <c r="H282" s="621">
        <f t="shared" si="4"/>
        <v>0</v>
      </c>
    </row>
    <row r="283" spans="1:8" ht="15.75" hidden="1" x14ac:dyDescent="0.25">
      <c r="A283" s="613" t="str">
        <f t="array" ref="A283">INDEX(AccountCodes[ACCOUNT NAME],MATCH(B283,AccountCodes[NGAS CODE],0))</f>
        <v>Repairs and Maintenance-Machinery and Equipment - Sports Equipment</v>
      </c>
      <c r="B283" s="602" t="s">
        <v>1241</v>
      </c>
      <c r="C283" s="615">
        <f t="array" ref="C283">INDEX(AccountCodes[PPSAS CODE],MATCH(B283,AccountCodes[NGAS CODE],0))</f>
        <v>5021305013</v>
      </c>
      <c r="D283" s="616">
        <f>IF(INDEX(AccountCodes[Normal Balance], MATCH(C283,AccountCodes[PPSAS CODE]))="Debit",E283-F283,0)</f>
        <v>0</v>
      </c>
      <c r="E283" s="488">
        <f t="array" ref="E283">(SUM(IF((PostTB[Account Code (Old)]=B283),(PostTB[Debit])))+(SUM(IF((CkDJ[Account Code]=B283)*(CkDJ[Date]&lt;=$A$7),(CkDJ[Debit])))+(SUM(IF((CsDJ[Account Code]=B283)*(CsDJ[Date]&lt;=$A$7),(CsDJ[Debit])))+(SUM(IF((CRDJ[Account Code]=B283)*(CRDJ[Date]&lt;=$A$7),(CRDJ[Debit])))+(SUM(IF((GJ[Account Code]=B283)*(GJ[Date]&lt;=$A$7),(GJ[Debit]))))))))</f>
        <v>0</v>
      </c>
      <c r="F283" s="490">
        <f t="array" ref="F283">(SUM(IF((PostTB[Account Code (Old)]=B283),(PostTB[Credit])))+(SUM(IF((CkDJ[Account Code]=B283)*(CkDJ[Date]&lt;=$A$7),(CkDJ[Credit])))+(SUM(IF((CsDJ[Account Code]=B283)*(CsDJ[Date]&lt;=$A$7),(CsDJ[Credit])))+(SUM(IF((CRDJ[Account Code]=B283)*(CRDJ[Date]&lt;=$A$7),(CRDJ[Credit])))+(SUM(IF((GJ[Account Code]=B283)*(GJ[Date]&lt;=$A$7),(GJ[Credit]))))))))</f>
        <v>0</v>
      </c>
      <c r="G283" s="620">
        <f>IF(INDEX(AccountCodes[Normal Balance], MATCH(C283,AccountCodes[PPSAS CODE]))="Credit",F283-E283,0)</f>
        <v>0</v>
      </c>
      <c r="H283" s="621">
        <f t="shared" si="4"/>
        <v>0</v>
      </c>
    </row>
    <row r="284" spans="1:8" ht="15.75" hidden="1" x14ac:dyDescent="0.25">
      <c r="A284" s="613" t="str">
        <f t="array" ref="A284">INDEX(AccountCodes[ACCOUNT NAME],MATCH(B284,AccountCodes[NGAS CODE],0))</f>
        <v>Repairs and Maintenance-Machinery and Equipment - Technical and Scientific Equipment</v>
      </c>
      <c r="B284" s="602" t="s">
        <v>260</v>
      </c>
      <c r="C284" s="615">
        <f t="array" ref="C284">INDEX(AccountCodes[PPSAS CODE],MATCH(B284,AccountCodes[NGAS CODE],0))</f>
        <v>5021305014</v>
      </c>
      <c r="D284" s="616">
        <f>IF(INDEX(AccountCodes[Normal Balance], MATCH(C284,AccountCodes[PPSAS CODE]))="Debit",E284-F284,0)</f>
        <v>0</v>
      </c>
      <c r="E284" s="488">
        <f t="array" ref="E284">(SUM(IF((PostTB[Account Code (Old)]=B284),(PostTB[Debit])))+(SUM(IF((CkDJ[Account Code]=B284)*(CkDJ[Date]&lt;=$A$7),(CkDJ[Debit])))+(SUM(IF((CsDJ[Account Code]=B284)*(CsDJ[Date]&lt;=$A$7),(CsDJ[Debit])))+(SUM(IF((CRDJ[Account Code]=B284)*(CRDJ[Date]&lt;=$A$7),(CRDJ[Debit])))+(SUM(IF((GJ[Account Code]=B284)*(GJ[Date]&lt;=$A$7),(GJ[Debit]))))))))</f>
        <v>0</v>
      </c>
      <c r="F284" s="490">
        <f t="array" ref="F284">(SUM(IF((PostTB[Account Code (Old)]=B284),(PostTB[Credit])))+(SUM(IF((CkDJ[Account Code]=B284)*(CkDJ[Date]&lt;=$A$7),(CkDJ[Credit])))+(SUM(IF((CsDJ[Account Code]=B284)*(CsDJ[Date]&lt;=$A$7),(CsDJ[Credit])))+(SUM(IF((CRDJ[Account Code]=B284)*(CRDJ[Date]&lt;=$A$7),(CRDJ[Credit])))+(SUM(IF((GJ[Account Code]=B284)*(GJ[Date]&lt;=$A$7),(GJ[Credit]))))))))</f>
        <v>0</v>
      </c>
      <c r="G284" s="620">
        <f>IF(INDEX(AccountCodes[Normal Balance], MATCH(C284,AccountCodes[PPSAS CODE]))="Credit",F284-E284,0)</f>
        <v>0</v>
      </c>
      <c r="H284" s="621">
        <f t="shared" si="4"/>
        <v>0</v>
      </c>
    </row>
    <row r="285" spans="1:8" ht="15.75" hidden="1" x14ac:dyDescent="0.25">
      <c r="A285" s="613" t="str">
        <f t="array" ref="A285">INDEX(AccountCodes[ACCOUNT NAME],MATCH(B285,AccountCodes[NGAS CODE],0))</f>
        <v>Repairs and Maintenance-Machinery and Equipment - Other Machinery and Equipment</v>
      </c>
      <c r="B285" s="602" t="s">
        <v>261</v>
      </c>
      <c r="C285" s="615">
        <f t="array" ref="C285">INDEX(AccountCodes[PPSAS CODE],MATCH(B285,AccountCodes[NGAS CODE],0))</f>
        <v>5021305099</v>
      </c>
      <c r="D285" s="616">
        <f>IF(INDEX(AccountCodes[Normal Balance], MATCH(C285,AccountCodes[PPSAS CODE]))="Debit",E285-F285,0)</f>
        <v>0</v>
      </c>
      <c r="E285" s="488">
        <f t="array" ref="E285">(SUM(IF((PostTB[Account Code (Old)]=B285),(PostTB[Debit])))+(SUM(IF((CkDJ[Account Code]=B285)*(CkDJ[Date]&lt;=$A$7),(CkDJ[Debit])))+(SUM(IF((CsDJ[Account Code]=B285)*(CsDJ[Date]&lt;=$A$7),(CsDJ[Debit])))+(SUM(IF((CRDJ[Account Code]=B285)*(CRDJ[Date]&lt;=$A$7),(CRDJ[Debit])))+(SUM(IF((GJ[Account Code]=B285)*(GJ[Date]&lt;=$A$7),(GJ[Debit]))))))))</f>
        <v>0</v>
      </c>
      <c r="F285" s="490">
        <f t="array" ref="F285">(SUM(IF((PostTB[Account Code (Old)]=B285),(PostTB[Credit])))+(SUM(IF((CkDJ[Account Code]=B285)*(CkDJ[Date]&lt;=$A$7),(CkDJ[Credit])))+(SUM(IF((CsDJ[Account Code]=B285)*(CsDJ[Date]&lt;=$A$7),(CsDJ[Credit])))+(SUM(IF((CRDJ[Account Code]=B285)*(CRDJ[Date]&lt;=$A$7),(CRDJ[Credit])))+(SUM(IF((GJ[Account Code]=B285)*(GJ[Date]&lt;=$A$7),(GJ[Credit]))))))))</f>
        <v>0</v>
      </c>
      <c r="G285" s="620">
        <f>IF(INDEX(AccountCodes[Normal Balance], MATCH(C285,AccountCodes[PPSAS CODE]))="Credit",F285-E285,0)</f>
        <v>0</v>
      </c>
      <c r="H285" s="621">
        <f t="shared" si="4"/>
        <v>0</v>
      </c>
    </row>
    <row r="286" spans="1:8" ht="15.75" x14ac:dyDescent="0.25">
      <c r="A286" s="613" t="str">
        <f t="array" ref="A286">INDEX(AccountCodes[ACCOUNT NAME],MATCH(B286,AccountCodes[NGAS CODE],0))</f>
        <v>Repairs and Maintenance-Transportation Equipment - Motor Vehicles</v>
      </c>
      <c r="B286" s="602" t="s">
        <v>262</v>
      </c>
      <c r="C286" s="615">
        <f t="array" ref="C286">INDEX(AccountCodes[PPSAS CODE],MATCH(B286,AccountCodes[NGAS CODE],0))</f>
        <v>5021306001</v>
      </c>
      <c r="D286" s="616">
        <f>IF(INDEX(AccountCodes[Normal Balance], MATCH(C286,AccountCodes[PPSAS CODE]))="Debit",E286-F286,0)</f>
        <v>0</v>
      </c>
      <c r="E286" s="488">
        <f t="array" ref="E286">(SUM(IF((PostTB[Account Code (Old)]=B286),(PostTB[Debit])))+(SUM(IF((CkDJ[Account Code]=B286)*(CkDJ[Date]&lt;=$A$7),(CkDJ[Debit])))+(SUM(IF((CsDJ[Account Code]=B286)*(CsDJ[Date]&lt;=$A$7),(CsDJ[Debit])))+(SUM(IF((CRDJ[Account Code]=B286)*(CRDJ[Date]&lt;=$A$7),(CRDJ[Debit])))+(SUM(IF((GJ[Account Code]=B286)*(GJ[Date]&lt;=$A$7),(GJ[Debit]))))))))</f>
        <v>0</v>
      </c>
      <c r="F286" s="490">
        <f t="array" ref="F286">(SUM(IF((PostTB[Account Code (Old)]=B286),(PostTB[Credit])))+(SUM(IF((CkDJ[Account Code]=B286)*(CkDJ[Date]&lt;=$A$7),(CkDJ[Credit])))+(SUM(IF((CsDJ[Account Code]=B286)*(CsDJ[Date]&lt;=$A$7),(CsDJ[Credit])))+(SUM(IF((CRDJ[Account Code]=B286)*(CRDJ[Date]&lt;=$A$7),(CRDJ[Credit])))+(SUM(IF((GJ[Account Code]=B286)*(GJ[Date]&lt;=$A$7),(GJ[Credit]))))))))</f>
        <v>0</v>
      </c>
      <c r="G286" s="620">
        <f>IF(INDEX(AccountCodes[Normal Balance], MATCH(C286,AccountCodes[PPSAS CODE]))="Credit",F286-E286,0)</f>
        <v>0</v>
      </c>
      <c r="H286" s="621">
        <f t="shared" si="4"/>
        <v>0</v>
      </c>
    </row>
    <row r="287" spans="1:8" ht="15.75" hidden="1" x14ac:dyDescent="0.25">
      <c r="A287" s="613" t="str">
        <f t="array" ref="A287">INDEX(AccountCodes[ACCOUNT NAME],MATCH(B287,AccountCodes[NGAS CODE],0))</f>
        <v>Repairs and Maintenance-Transportation Equipment - Trains</v>
      </c>
      <c r="B287" s="602" t="s">
        <v>1450</v>
      </c>
      <c r="C287" s="615">
        <f t="array" ref="C287">INDEX(AccountCodes[PPSAS CODE],MATCH(B287,AccountCodes[NGAS CODE],0))</f>
        <v>5021306002</v>
      </c>
      <c r="D287" s="616">
        <f>IF(INDEX(AccountCodes[Normal Balance], MATCH(C287,AccountCodes[PPSAS CODE]))="Debit",E287-F287,0)</f>
        <v>0</v>
      </c>
      <c r="E287" s="488">
        <f t="array" ref="E287">(SUM(IF((PostTB[Account Code (Old)]=B287),(PostTB[Debit])))+(SUM(IF((CkDJ[Account Code]=B287)*(CkDJ[Date]&lt;=$A$7),(CkDJ[Debit])))+(SUM(IF((CsDJ[Account Code]=B287)*(CsDJ[Date]&lt;=$A$7),(CsDJ[Debit])))+(SUM(IF((CRDJ[Account Code]=B287)*(CRDJ[Date]&lt;=$A$7),(CRDJ[Debit])))+(SUM(IF((GJ[Account Code]=B287)*(GJ[Date]&lt;=$A$7),(GJ[Debit]))))))))</f>
        <v>0</v>
      </c>
      <c r="F287" s="490">
        <f t="array" ref="F287">(SUM(IF((PostTB[Account Code (Old)]=B287),(PostTB[Credit])))+(SUM(IF((CkDJ[Account Code]=B287)*(CkDJ[Date]&lt;=$A$7),(CkDJ[Credit])))+(SUM(IF((CsDJ[Account Code]=B287)*(CsDJ[Date]&lt;=$A$7),(CsDJ[Credit])))+(SUM(IF((CRDJ[Account Code]=B287)*(CRDJ[Date]&lt;=$A$7),(CRDJ[Credit])))+(SUM(IF((GJ[Account Code]=B287)*(GJ[Date]&lt;=$A$7),(GJ[Credit]))))))))</f>
        <v>0</v>
      </c>
      <c r="G287" s="620">
        <f>IF(INDEX(AccountCodes[Normal Balance], MATCH(C287,AccountCodes[PPSAS CODE]))="Credit",F287-E287,0)</f>
        <v>0</v>
      </c>
      <c r="H287" s="621">
        <f t="shared" si="4"/>
        <v>0</v>
      </c>
    </row>
    <row r="288" spans="1:8" ht="15.75" hidden="1" x14ac:dyDescent="0.25">
      <c r="A288" s="613" t="str">
        <f t="array" ref="A288">INDEX(AccountCodes[ACCOUNT NAME],MATCH(B288,AccountCodes[NGAS CODE],0))</f>
        <v>Repairs and Maintenance-Transportation Equipment - Aircrafts and Aircrafts Ground Equipment</v>
      </c>
      <c r="B288" s="602" t="s">
        <v>1451</v>
      </c>
      <c r="C288" s="615">
        <f t="array" ref="C288">INDEX(AccountCodes[PPSAS CODE],MATCH(B288,AccountCodes[NGAS CODE],0))</f>
        <v>5021306003</v>
      </c>
      <c r="D288" s="616">
        <f>IF(INDEX(AccountCodes[Normal Balance], MATCH(C288,AccountCodes[PPSAS CODE]))="Debit",E288-F288,0)</f>
        <v>0</v>
      </c>
      <c r="E288" s="488">
        <f t="array" ref="E288">(SUM(IF((PostTB[Account Code (Old)]=B288),(PostTB[Debit])))+(SUM(IF((CkDJ[Account Code]=B288)*(CkDJ[Date]&lt;=$A$7),(CkDJ[Debit])))+(SUM(IF((CsDJ[Account Code]=B288)*(CsDJ[Date]&lt;=$A$7),(CsDJ[Debit])))+(SUM(IF((CRDJ[Account Code]=B288)*(CRDJ[Date]&lt;=$A$7),(CRDJ[Debit])))+(SUM(IF((GJ[Account Code]=B288)*(GJ[Date]&lt;=$A$7),(GJ[Debit]))))))))</f>
        <v>0</v>
      </c>
      <c r="F288" s="490">
        <f t="array" ref="F288">(SUM(IF((PostTB[Account Code (Old)]=B288),(PostTB[Credit])))+(SUM(IF((CkDJ[Account Code]=B288)*(CkDJ[Date]&lt;=$A$7),(CkDJ[Credit])))+(SUM(IF((CsDJ[Account Code]=B288)*(CsDJ[Date]&lt;=$A$7),(CsDJ[Credit])))+(SUM(IF((CRDJ[Account Code]=B288)*(CRDJ[Date]&lt;=$A$7),(CRDJ[Credit])))+(SUM(IF((GJ[Account Code]=B288)*(GJ[Date]&lt;=$A$7),(GJ[Credit]))))))))</f>
        <v>0</v>
      </c>
      <c r="G288" s="620">
        <f>IF(INDEX(AccountCodes[Normal Balance], MATCH(C288,AccountCodes[PPSAS CODE]))="Credit",F288-E288,0)</f>
        <v>0</v>
      </c>
      <c r="H288" s="621">
        <f t="shared" si="4"/>
        <v>0</v>
      </c>
    </row>
    <row r="289" spans="1:8" ht="15.75" hidden="1" x14ac:dyDescent="0.25">
      <c r="A289" s="613" t="str">
        <f t="array" ref="A289">INDEX(AccountCodes[ACCOUNT NAME],MATCH(B289,AccountCodes[NGAS CODE],0))</f>
        <v>Repairs and Maintenance-Transportation Equipment - Watercrafts</v>
      </c>
      <c r="B289" s="602" t="s">
        <v>263</v>
      </c>
      <c r="C289" s="615">
        <f t="array" ref="C289">INDEX(AccountCodes[PPSAS CODE],MATCH(B289,AccountCodes[NGAS CODE],0))</f>
        <v>5021306004</v>
      </c>
      <c r="D289" s="616">
        <f>IF(INDEX(AccountCodes[Normal Balance], MATCH(C289,AccountCodes[PPSAS CODE]))="Debit",E289-F289,0)</f>
        <v>0</v>
      </c>
      <c r="E289" s="488">
        <f t="array" ref="E289">(SUM(IF((PostTB[Account Code (Old)]=B289),(PostTB[Debit])))+(SUM(IF((CkDJ[Account Code]=B289)*(CkDJ[Date]&lt;=$A$7),(CkDJ[Debit])))+(SUM(IF((CsDJ[Account Code]=B289)*(CsDJ[Date]&lt;=$A$7),(CsDJ[Debit])))+(SUM(IF((CRDJ[Account Code]=B289)*(CRDJ[Date]&lt;=$A$7),(CRDJ[Debit])))+(SUM(IF((GJ[Account Code]=B289)*(GJ[Date]&lt;=$A$7),(GJ[Debit]))))))))</f>
        <v>0</v>
      </c>
      <c r="F289" s="490">
        <f t="array" ref="F289">(SUM(IF((PostTB[Account Code (Old)]=B289),(PostTB[Credit])))+(SUM(IF((CkDJ[Account Code]=B289)*(CkDJ[Date]&lt;=$A$7),(CkDJ[Credit])))+(SUM(IF((CsDJ[Account Code]=B289)*(CsDJ[Date]&lt;=$A$7),(CsDJ[Credit])))+(SUM(IF((CRDJ[Account Code]=B289)*(CRDJ[Date]&lt;=$A$7),(CRDJ[Credit])))+(SUM(IF((GJ[Account Code]=B289)*(GJ[Date]&lt;=$A$7),(GJ[Credit]))))))))</f>
        <v>0</v>
      </c>
      <c r="G289" s="620">
        <f>IF(INDEX(AccountCodes[Normal Balance], MATCH(C289,AccountCodes[PPSAS CODE]))="Credit",F289-E289,0)</f>
        <v>0</v>
      </c>
      <c r="H289" s="621">
        <f t="shared" si="4"/>
        <v>0</v>
      </c>
    </row>
    <row r="290" spans="1:8" ht="15.75" hidden="1" x14ac:dyDescent="0.25">
      <c r="A290" s="613" t="str">
        <f t="array" ref="A290">INDEX(AccountCodes[ACCOUNT NAME],MATCH(B290,AccountCodes[NGAS CODE],0))</f>
        <v>Repairs and Maintenance-Transportation Equipment - Other Transportation Equipment</v>
      </c>
      <c r="B290" s="602" t="s">
        <v>264</v>
      </c>
      <c r="C290" s="615">
        <f t="array" ref="C290">INDEX(AccountCodes[PPSAS CODE],MATCH(B290,AccountCodes[NGAS CODE],0))</f>
        <v>5021306099</v>
      </c>
      <c r="D290" s="616">
        <f>IF(INDEX(AccountCodes[Normal Balance], MATCH(C290,AccountCodes[PPSAS CODE]))="Debit",E290-F290,0)</f>
        <v>0</v>
      </c>
      <c r="E290" s="488">
        <f t="array" ref="E290">(SUM(IF((PostTB[Account Code (Old)]=B290),(PostTB[Debit])))+(SUM(IF((CkDJ[Account Code]=B290)*(CkDJ[Date]&lt;=$A$7),(CkDJ[Debit])))+(SUM(IF((CsDJ[Account Code]=B290)*(CsDJ[Date]&lt;=$A$7),(CsDJ[Debit])))+(SUM(IF((CRDJ[Account Code]=B290)*(CRDJ[Date]&lt;=$A$7),(CRDJ[Debit])))+(SUM(IF((GJ[Account Code]=B290)*(GJ[Date]&lt;=$A$7),(GJ[Debit]))))))))</f>
        <v>0</v>
      </c>
      <c r="F290" s="490">
        <f t="array" ref="F290">(SUM(IF((PostTB[Account Code (Old)]=B290),(PostTB[Credit])))+(SUM(IF((CkDJ[Account Code]=B290)*(CkDJ[Date]&lt;=$A$7),(CkDJ[Credit])))+(SUM(IF((CsDJ[Account Code]=B290)*(CsDJ[Date]&lt;=$A$7),(CsDJ[Credit])))+(SUM(IF((CRDJ[Account Code]=B290)*(CRDJ[Date]&lt;=$A$7),(CRDJ[Credit])))+(SUM(IF((GJ[Account Code]=B290)*(GJ[Date]&lt;=$A$7),(GJ[Credit]))))))))</f>
        <v>0</v>
      </c>
      <c r="G290" s="620">
        <f>IF(INDEX(AccountCodes[Normal Balance], MATCH(C290,AccountCodes[PPSAS CODE]))="Credit",F290-E290,0)</f>
        <v>0</v>
      </c>
      <c r="H290" s="621">
        <f t="shared" si="4"/>
        <v>0</v>
      </c>
    </row>
    <row r="291" spans="1:8" ht="15.75" hidden="1" x14ac:dyDescent="0.25">
      <c r="A291" s="613" t="str">
        <f t="array" ref="A291">INDEX(AccountCodes[ACCOUNT NAME],MATCH(B291,AccountCodes[NGAS CODE],0))</f>
        <v>Repairs and Maintenance-Furniture and Fixtures</v>
      </c>
      <c r="B291" s="602" t="s">
        <v>254</v>
      </c>
      <c r="C291" s="615">
        <f t="array" ref="C291">INDEX(AccountCodes[PPSAS CODE],MATCH(B291,AccountCodes[NGAS CODE],0))</f>
        <v>5021307000</v>
      </c>
      <c r="D291" s="616">
        <f>IF(INDEX(AccountCodes[Normal Balance], MATCH(C291,AccountCodes[PPSAS CODE]))="Debit",E291-F291,0)</f>
        <v>0</v>
      </c>
      <c r="E291" s="488">
        <f t="array" ref="E291">(SUM(IF((PostTB[Account Code (Old)]=B291),(PostTB[Debit])))+(SUM(IF((CkDJ[Account Code]=B291)*(CkDJ[Date]&lt;=$A$7),(CkDJ[Debit])))+(SUM(IF((CsDJ[Account Code]=B291)*(CsDJ[Date]&lt;=$A$7),(CsDJ[Debit])))+(SUM(IF((CRDJ[Account Code]=B291)*(CRDJ[Date]&lt;=$A$7),(CRDJ[Debit])))+(SUM(IF((GJ[Account Code]=B291)*(GJ[Date]&lt;=$A$7),(GJ[Debit]))))))))</f>
        <v>0</v>
      </c>
      <c r="F291" s="490">
        <f t="array" ref="F291">(SUM(IF((PostTB[Account Code (Old)]=B291),(PostTB[Credit])))+(SUM(IF((CkDJ[Account Code]=B291)*(CkDJ[Date]&lt;=$A$7),(CkDJ[Credit])))+(SUM(IF((CsDJ[Account Code]=B291)*(CsDJ[Date]&lt;=$A$7),(CsDJ[Credit])))+(SUM(IF((CRDJ[Account Code]=B291)*(CRDJ[Date]&lt;=$A$7),(CRDJ[Credit])))+(SUM(IF((GJ[Account Code]=B291)*(GJ[Date]&lt;=$A$7),(GJ[Credit]))))))))</f>
        <v>0</v>
      </c>
      <c r="G291" s="620">
        <f>IF(INDEX(AccountCodes[Normal Balance], MATCH(C291,AccountCodes[PPSAS CODE]))="Credit",F291-E291,0)</f>
        <v>0</v>
      </c>
      <c r="H291" s="621">
        <f t="shared" si="4"/>
        <v>0</v>
      </c>
    </row>
    <row r="292" spans="1:8" ht="15.75" hidden="1" x14ac:dyDescent="0.25">
      <c r="A292" s="613" t="str">
        <f t="array" ref="A292">INDEX(AccountCodes[ACCOUNT NAME],MATCH(B292,AccountCodes[NGAS CODE],0))</f>
        <v>Repairs and Maintenance-Other Property, Plant and Equipment - Other Property, Plant and Equipment</v>
      </c>
      <c r="B292" s="602" t="s">
        <v>265</v>
      </c>
      <c r="C292" s="615">
        <f t="array" ref="C292">INDEX(AccountCodes[PPSAS CODE],MATCH(B292,AccountCodes[NGAS CODE],0))</f>
        <v>5021399099</v>
      </c>
      <c r="D292" s="616">
        <f>IF(INDEX(AccountCodes[Normal Balance], MATCH(C292,AccountCodes[PPSAS CODE]))="Debit",E292-F292,0)</f>
        <v>0</v>
      </c>
      <c r="E292" s="488">
        <f t="array" ref="E292">(SUM(IF((PostTB[Account Code (Old)]=B292),(PostTB[Debit])))+(SUM(IF((CkDJ[Account Code]=B292)*(CkDJ[Date]&lt;=$A$7),(CkDJ[Debit])))+(SUM(IF((CsDJ[Account Code]=B292)*(CsDJ[Date]&lt;=$A$7),(CsDJ[Debit])))+(SUM(IF((CRDJ[Account Code]=B292)*(CRDJ[Date]&lt;=$A$7),(CRDJ[Debit])))+(SUM(IF((GJ[Account Code]=B292)*(GJ[Date]&lt;=$A$7),(GJ[Debit]))))))))</f>
        <v>0</v>
      </c>
      <c r="F292" s="490">
        <f t="array" ref="F292">(SUM(IF((PostTB[Account Code (Old)]=B292),(PostTB[Credit])))+(SUM(IF((CkDJ[Account Code]=B292)*(CkDJ[Date]&lt;=$A$7),(CkDJ[Credit])))+(SUM(IF((CsDJ[Account Code]=B292)*(CsDJ[Date]&lt;=$A$7),(CsDJ[Credit])))+(SUM(IF((CRDJ[Account Code]=B292)*(CRDJ[Date]&lt;=$A$7),(CRDJ[Credit])))+(SUM(IF((GJ[Account Code]=B292)*(GJ[Date]&lt;=$A$7),(GJ[Credit]))))))))</f>
        <v>0</v>
      </c>
      <c r="G292" s="620">
        <f>IF(INDEX(AccountCodes[Normal Balance], MATCH(C292,AccountCodes[PPSAS CODE]))="Credit",F292-E292,0)</f>
        <v>0</v>
      </c>
      <c r="H292" s="621">
        <f t="shared" si="4"/>
        <v>0</v>
      </c>
    </row>
    <row r="293" spans="1:8" ht="15.75" hidden="1" x14ac:dyDescent="0.25">
      <c r="A293" s="613" t="str">
        <f t="array" ref="A293">INDEX(AccountCodes[ACCOUNT NAME],MATCH(B293,AccountCodes[NGAS CODE],0))</f>
        <v>Subsidy to Regional Offices/Staff Bureaus</v>
      </c>
      <c r="B293" s="602" t="s">
        <v>268</v>
      </c>
      <c r="C293" s="615">
        <f t="array" ref="C293">INDEX(AccountCodes[PPSAS CODE],MATCH(B293,AccountCodes[NGAS CODE],0))</f>
        <v>5021407000</v>
      </c>
      <c r="D293" s="616">
        <f>IF(INDEX(AccountCodes[Normal Balance], MATCH(C293,AccountCodes[PPSAS CODE]))="Debit",E293-F293,0)</f>
        <v>0</v>
      </c>
      <c r="E293" s="488">
        <f t="array" ref="E293">(SUM(IF((PostTB[Account Code (Old)]=B293),(PostTB[Debit])))+(SUM(IF((CkDJ[Account Code]=B293)*(CkDJ[Date]&lt;=$A$7),(CkDJ[Debit])))+(SUM(IF((CsDJ[Account Code]=B293)*(CsDJ[Date]&lt;=$A$7),(CsDJ[Debit])))+(SUM(IF((CRDJ[Account Code]=B293)*(CRDJ[Date]&lt;=$A$7),(CRDJ[Debit])))+(SUM(IF((GJ[Account Code]=B293)*(GJ[Date]&lt;=$A$7),(GJ[Debit]))))))))</f>
        <v>0</v>
      </c>
      <c r="F293" s="490">
        <f t="array" ref="F293">(SUM(IF((PostTB[Account Code (Old)]=B293),(PostTB[Credit])))+(SUM(IF((CkDJ[Account Code]=B293)*(CkDJ[Date]&lt;=$A$7),(CkDJ[Credit])))+(SUM(IF((CsDJ[Account Code]=B293)*(CsDJ[Date]&lt;=$A$7),(CsDJ[Credit])))+(SUM(IF((CRDJ[Account Code]=B293)*(CRDJ[Date]&lt;=$A$7),(CRDJ[Credit])))+(SUM(IF((GJ[Account Code]=B293)*(GJ[Date]&lt;=$A$7),(GJ[Credit]))))))))</f>
        <v>0</v>
      </c>
      <c r="G293" s="620">
        <f>IF(INDEX(AccountCodes[Normal Balance], MATCH(C293,AccountCodes[PPSAS CODE]))="Credit",F293-E293,0)</f>
        <v>0</v>
      </c>
      <c r="H293" s="621">
        <f t="shared" si="4"/>
        <v>0</v>
      </c>
    </row>
    <row r="294" spans="1:8" ht="15.75" hidden="1" x14ac:dyDescent="0.25">
      <c r="A294" s="613" t="str">
        <f t="array" ref="A294">INDEX(AccountCodes[ACCOUNT NAME],MATCH(B294,AccountCodes[NGAS CODE],0))</f>
        <v>Taxes, Duties and Licenses</v>
      </c>
      <c r="B294" s="602" t="s">
        <v>272</v>
      </c>
      <c r="C294" s="615">
        <f t="array" ref="C294">INDEX(AccountCodes[PPSAS CODE],MATCH(B294,AccountCodes[NGAS CODE],0))</f>
        <v>5021501000</v>
      </c>
      <c r="D294" s="616">
        <f>IF(INDEX(AccountCodes[Normal Balance], MATCH(C294,AccountCodes[PPSAS CODE]))="Debit",E294-F294,0)</f>
        <v>0</v>
      </c>
      <c r="E294" s="488">
        <f t="array" ref="E294">(SUM(IF((PostTB[Account Code (Old)]=B294),(PostTB[Debit])))+(SUM(IF((CkDJ[Account Code]=B294)*(CkDJ[Date]&lt;=$A$7),(CkDJ[Debit])))+(SUM(IF((CsDJ[Account Code]=B294)*(CsDJ[Date]&lt;=$A$7),(CsDJ[Debit])))+(SUM(IF((CRDJ[Account Code]=B294)*(CRDJ[Date]&lt;=$A$7),(CRDJ[Debit])))+(SUM(IF((GJ[Account Code]=B294)*(GJ[Date]&lt;=$A$7),(GJ[Debit]))))))))</f>
        <v>0</v>
      </c>
      <c r="F294" s="490">
        <f t="array" ref="F294">(SUM(IF((PostTB[Account Code (Old)]=B294),(PostTB[Credit])))+(SUM(IF((CkDJ[Account Code]=B294)*(CkDJ[Date]&lt;=$A$7),(CkDJ[Credit])))+(SUM(IF((CsDJ[Account Code]=B294)*(CsDJ[Date]&lt;=$A$7),(CsDJ[Credit])))+(SUM(IF((CRDJ[Account Code]=B294)*(CRDJ[Date]&lt;=$A$7),(CRDJ[Credit])))+(SUM(IF((GJ[Account Code]=B294)*(GJ[Date]&lt;=$A$7),(GJ[Credit]))))))))</f>
        <v>0</v>
      </c>
      <c r="G294" s="620">
        <f>IF(INDEX(AccountCodes[Normal Balance], MATCH(C294,AccountCodes[PPSAS CODE]))="Credit",F294-E294,0)</f>
        <v>0</v>
      </c>
      <c r="H294" s="621">
        <f t="shared" si="4"/>
        <v>0</v>
      </c>
    </row>
    <row r="295" spans="1:8" ht="15.75" hidden="1" x14ac:dyDescent="0.25">
      <c r="A295" s="613" t="str">
        <f t="array" ref="A295">INDEX(AccountCodes[ACCOUNT NAME],MATCH(B295,AccountCodes[NGAS CODE],0))</f>
        <v>Fidelity Bond Premiums</v>
      </c>
      <c r="B295" s="602" t="s">
        <v>273</v>
      </c>
      <c r="C295" s="615">
        <f t="array" ref="C295">INDEX(AccountCodes[PPSAS CODE],MATCH(B295,AccountCodes[NGAS CODE],0))</f>
        <v>5021502000</v>
      </c>
      <c r="D295" s="616">
        <f>IF(INDEX(AccountCodes[Normal Balance], MATCH(C295,AccountCodes[PPSAS CODE]))="Debit",E295-F295,0)</f>
        <v>0</v>
      </c>
      <c r="E295" s="488">
        <f t="array" ref="E295">(SUM(IF((PostTB[Account Code (Old)]=B295),(PostTB[Debit])))+(SUM(IF((CkDJ[Account Code]=B295)*(CkDJ[Date]&lt;=$A$7),(CkDJ[Debit])))+(SUM(IF((CsDJ[Account Code]=B295)*(CsDJ[Date]&lt;=$A$7),(CsDJ[Debit])))+(SUM(IF((CRDJ[Account Code]=B295)*(CRDJ[Date]&lt;=$A$7),(CRDJ[Debit])))+(SUM(IF((GJ[Account Code]=B295)*(GJ[Date]&lt;=$A$7),(GJ[Debit]))))))))</f>
        <v>0</v>
      </c>
      <c r="F295" s="490">
        <f t="array" ref="F295">(SUM(IF((PostTB[Account Code (Old)]=B295),(PostTB[Credit])))+(SUM(IF((CkDJ[Account Code]=B295)*(CkDJ[Date]&lt;=$A$7),(CkDJ[Credit])))+(SUM(IF((CsDJ[Account Code]=B295)*(CsDJ[Date]&lt;=$A$7),(CsDJ[Credit])))+(SUM(IF((CRDJ[Account Code]=B295)*(CRDJ[Date]&lt;=$A$7),(CRDJ[Credit])))+(SUM(IF((GJ[Account Code]=B295)*(GJ[Date]&lt;=$A$7),(GJ[Credit]))))))))</f>
        <v>0</v>
      </c>
      <c r="G295" s="620">
        <f>IF(INDEX(AccountCodes[Normal Balance], MATCH(C295,AccountCodes[PPSAS CODE]))="Credit",F295-E295,0)</f>
        <v>0</v>
      </c>
      <c r="H295" s="621">
        <f t="shared" si="4"/>
        <v>0</v>
      </c>
    </row>
    <row r="296" spans="1:8" ht="15.75" hidden="1" x14ac:dyDescent="0.25">
      <c r="A296" s="613" t="str">
        <f t="array" ref="A296">INDEX(AccountCodes[ACCOUNT NAME],MATCH(B296,AccountCodes[NGAS CODE],0))</f>
        <v>Insurance Expenses</v>
      </c>
      <c r="B296" s="602" t="s">
        <v>274</v>
      </c>
      <c r="C296" s="615">
        <f t="array" ref="C296">INDEX(AccountCodes[PPSAS CODE],MATCH(B296,AccountCodes[NGAS CODE],0))</f>
        <v>5021503000</v>
      </c>
      <c r="D296" s="616">
        <f>IF(INDEX(AccountCodes[Normal Balance], MATCH(C296,AccountCodes[PPSAS CODE]))="Debit",E296-F296,0)</f>
        <v>0</v>
      </c>
      <c r="E296" s="488">
        <f t="array" ref="E296">(SUM(IF((PostTB[Account Code (Old)]=B296),(PostTB[Debit])))+(SUM(IF((CkDJ[Account Code]=B296)*(CkDJ[Date]&lt;=$A$7),(CkDJ[Debit])))+(SUM(IF((CsDJ[Account Code]=B296)*(CsDJ[Date]&lt;=$A$7),(CsDJ[Debit])))+(SUM(IF((CRDJ[Account Code]=B296)*(CRDJ[Date]&lt;=$A$7),(CRDJ[Debit])))+(SUM(IF((GJ[Account Code]=B296)*(GJ[Date]&lt;=$A$7),(GJ[Debit]))))))))</f>
        <v>0</v>
      </c>
      <c r="F296" s="490">
        <f t="array" ref="F296">(SUM(IF((PostTB[Account Code (Old)]=B296),(PostTB[Credit])))+(SUM(IF((CkDJ[Account Code]=B296)*(CkDJ[Date]&lt;=$A$7),(CkDJ[Credit])))+(SUM(IF((CsDJ[Account Code]=B296)*(CsDJ[Date]&lt;=$A$7),(CsDJ[Credit])))+(SUM(IF((CRDJ[Account Code]=B296)*(CRDJ[Date]&lt;=$A$7),(CRDJ[Credit])))+(SUM(IF((GJ[Account Code]=B296)*(GJ[Date]&lt;=$A$7),(GJ[Credit]))))))))</f>
        <v>0</v>
      </c>
      <c r="G296" s="620">
        <f>IF(INDEX(AccountCodes[Normal Balance], MATCH(C296,AccountCodes[PPSAS CODE]))="Credit",F296-E296,0)</f>
        <v>0</v>
      </c>
      <c r="H296" s="621">
        <f t="shared" si="4"/>
        <v>0</v>
      </c>
    </row>
    <row r="297" spans="1:8" ht="15.75" hidden="1" x14ac:dyDescent="0.25">
      <c r="A297" s="613" t="str">
        <f t="array" ref="A297">INDEX(AccountCodes[ACCOUNT NAME],MATCH(B297,AccountCodes[NGAS CODE],0))</f>
        <v>Advertising Expenses</v>
      </c>
      <c r="B297" s="602" t="s">
        <v>240</v>
      </c>
      <c r="C297" s="615">
        <f t="array" ref="C297">INDEX(AccountCodes[PPSAS CODE],MATCH(B297,AccountCodes[NGAS CODE],0))</f>
        <v>5029901000</v>
      </c>
      <c r="D297" s="616">
        <f>IF(INDEX(AccountCodes[Normal Balance], MATCH(C297,AccountCodes[PPSAS CODE]))="Debit",E297-F297,0)</f>
        <v>0</v>
      </c>
      <c r="E297" s="488">
        <f t="array" ref="E297">(SUM(IF((PostTB[Account Code (Old)]=B297),(PostTB[Debit])))+(SUM(IF((CkDJ[Account Code]=B297)*(CkDJ[Date]&lt;=$A$7),(CkDJ[Debit])))+(SUM(IF((CsDJ[Account Code]=B297)*(CsDJ[Date]&lt;=$A$7),(CsDJ[Debit])))+(SUM(IF((CRDJ[Account Code]=B297)*(CRDJ[Date]&lt;=$A$7),(CRDJ[Debit])))+(SUM(IF((GJ[Account Code]=B297)*(GJ[Date]&lt;=$A$7),(GJ[Debit]))))))))</f>
        <v>0</v>
      </c>
      <c r="F297" s="490">
        <f t="array" ref="F297">(SUM(IF((PostTB[Account Code (Old)]=B297),(PostTB[Credit])))+(SUM(IF((CkDJ[Account Code]=B297)*(CkDJ[Date]&lt;=$A$7),(CkDJ[Credit])))+(SUM(IF((CsDJ[Account Code]=B297)*(CsDJ[Date]&lt;=$A$7),(CsDJ[Credit])))+(SUM(IF((CRDJ[Account Code]=B297)*(CRDJ[Date]&lt;=$A$7),(CRDJ[Credit])))+(SUM(IF((GJ[Account Code]=B297)*(GJ[Date]&lt;=$A$7),(GJ[Credit]))))))))</f>
        <v>0</v>
      </c>
      <c r="G297" s="620">
        <f>IF(INDEX(AccountCodes[Normal Balance], MATCH(C297,AccountCodes[PPSAS CODE]))="Credit",F297-E297,0)</f>
        <v>0</v>
      </c>
      <c r="H297" s="621">
        <f t="shared" si="4"/>
        <v>0</v>
      </c>
    </row>
    <row r="298" spans="1:8" ht="15.75" hidden="1" x14ac:dyDescent="0.25">
      <c r="A298" s="613" t="str">
        <f t="array" ref="A298">INDEX(AccountCodes[ACCOUNT NAME],MATCH(B298,AccountCodes[NGAS CODE],0))</f>
        <v>Printing and Publication Expenses</v>
      </c>
      <c r="B298" s="602" t="s">
        <v>241</v>
      </c>
      <c r="C298" s="615">
        <f t="array" ref="C298">INDEX(AccountCodes[PPSAS CODE],MATCH(B298,AccountCodes[NGAS CODE],0))</f>
        <v>5029902000</v>
      </c>
      <c r="D298" s="616">
        <f>IF(INDEX(AccountCodes[Normal Balance], MATCH(C298,AccountCodes[PPSAS CODE]))="Debit",E298-F298,0)</f>
        <v>0</v>
      </c>
      <c r="E298" s="488">
        <f t="array" ref="E298">(SUM(IF((PostTB[Account Code (Old)]=B298),(PostTB[Debit])))+(SUM(IF((CkDJ[Account Code]=B298)*(CkDJ[Date]&lt;=$A$7),(CkDJ[Debit])))+(SUM(IF((CsDJ[Account Code]=B298)*(CsDJ[Date]&lt;=$A$7),(CsDJ[Debit])))+(SUM(IF((CRDJ[Account Code]=B298)*(CRDJ[Date]&lt;=$A$7),(CRDJ[Debit])))+(SUM(IF((GJ[Account Code]=B298)*(GJ[Date]&lt;=$A$7),(GJ[Debit]))))))))</f>
        <v>0</v>
      </c>
      <c r="F298" s="490">
        <f t="array" ref="F298">(SUM(IF((PostTB[Account Code (Old)]=B298),(PostTB[Credit])))+(SUM(IF((CkDJ[Account Code]=B298)*(CkDJ[Date]&lt;=$A$7),(CkDJ[Credit])))+(SUM(IF((CsDJ[Account Code]=B298)*(CsDJ[Date]&lt;=$A$7),(CsDJ[Credit])))+(SUM(IF((CRDJ[Account Code]=B298)*(CRDJ[Date]&lt;=$A$7),(CRDJ[Credit])))+(SUM(IF((GJ[Account Code]=B298)*(GJ[Date]&lt;=$A$7),(GJ[Credit]))))))))</f>
        <v>0</v>
      </c>
      <c r="G298" s="620">
        <f>IF(INDEX(AccountCodes[Normal Balance], MATCH(C298,AccountCodes[PPSAS CODE]))="Credit",F298-E298,0)</f>
        <v>0</v>
      </c>
      <c r="H298" s="621">
        <f t="shared" si="4"/>
        <v>0</v>
      </c>
    </row>
    <row r="299" spans="1:8" ht="15.75" x14ac:dyDescent="0.25">
      <c r="A299" s="613" t="str">
        <f t="array" ref="A299">INDEX(AccountCodes[ACCOUNT NAME],MATCH(B299,AccountCodes[NGAS CODE],0))</f>
        <v>Representation Expenses</v>
      </c>
      <c r="B299" s="602" t="s">
        <v>243</v>
      </c>
      <c r="C299" s="615">
        <f t="array" ref="C299">INDEX(AccountCodes[PPSAS CODE],MATCH(B299,AccountCodes[NGAS CODE],0))</f>
        <v>5029903000</v>
      </c>
      <c r="D299" s="616">
        <f>IF(INDEX(AccountCodes[Normal Balance], MATCH(C299,AccountCodes[PPSAS CODE]))="Debit",E299-F299,0)</f>
        <v>0</v>
      </c>
      <c r="E299" s="488">
        <f t="array" ref="E299">(SUM(IF((PostTB[Account Code (Old)]=B299),(PostTB[Debit])))+(SUM(IF((CkDJ[Account Code]=B299)*(CkDJ[Date]&lt;=$A$7),(CkDJ[Debit])))+(SUM(IF((CsDJ[Account Code]=B299)*(CsDJ[Date]&lt;=$A$7),(CsDJ[Debit])))+(SUM(IF((CRDJ[Account Code]=B299)*(CRDJ[Date]&lt;=$A$7),(CRDJ[Debit])))+(SUM(IF((GJ[Account Code]=B299)*(GJ[Date]&lt;=$A$7),(GJ[Debit]))))))))</f>
        <v>0</v>
      </c>
      <c r="F299" s="490">
        <f t="array" ref="F299">(SUM(IF((PostTB[Account Code (Old)]=B299),(PostTB[Credit])))+(SUM(IF((CkDJ[Account Code]=B299)*(CkDJ[Date]&lt;=$A$7),(CkDJ[Credit])))+(SUM(IF((CsDJ[Account Code]=B299)*(CsDJ[Date]&lt;=$A$7),(CsDJ[Credit])))+(SUM(IF((CRDJ[Account Code]=B299)*(CRDJ[Date]&lt;=$A$7),(CRDJ[Credit])))+(SUM(IF((GJ[Account Code]=B299)*(GJ[Date]&lt;=$A$7),(GJ[Credit]))))))))</f>
        <v>0</v>
      </c>
      <c r="G299" s="620">
        <f>IF(INDEX(AccountCodes[Normal Balance], MATCH(C299,AccountCodes[PPSAS CODE]))="Credit",F299-E299,0)</f>
        <v>0</v>
      </c>
      <c r="H299" s="621">
        <f t="shared" si="4"/>
        <v>0</v>
      </c>
    </row>
    <row r="300" spans="1:8" ht="15.75" hidden="1" x14ac:dyDescent="0.25">
      <c r="A300" s="613" t="str">
        <f t="array" ref="A300">INDEX(AccountCodes[ACCOUNT NAME],MATCH(B300,AccountCodes[NGAS CODE],0))</f>
        <v>Transportation and Delivery Expenses</v>
      </c>
      <c r="B300" s="602" t="s">
        <v>244</v>
      </c>
      <c r="C300" s="615">
        <f t="array" ref="C300">INDEX(AccountCodes[PPSAS CODE],MATCH(B300,AccountCodes[NGAS CODE],0))</f>
        <v>5029904000</v>
      </c>
      <c r="D300" s="616">
        <f>IF(INDEX(AccountCodes[Normal Balance], MATCH(C300,AccountCodes[PPSAS CODE]))="Debit",E300-F300,0)</f>
        <v>0</v>
      </c>
      <c r="E300" s="488">
        <f t="array" ref="E300">(SUM(IF((PostTB[Account Code (Old)]=B300),(PostTB[Debit])))+(SUM(IF((CkDJ[Account Code]=B300)*(CkDJ[Date]&lt;=$A$7),(CkDJ[Debit])))+(SUM(IF((CsDJ[Account Code]=B300)*(CsDJ[Date]&lt;=$A$7),(CsDJ[Debit])))+(SUM(IF((CRDJ[Account Code]=B300)*(CRDJ[Date]&lt;=$A$7),(CRDJ[Debit])))+(SUM(IF((GJ[Account Code]=B300)*(GJ[Date]&lt;=$A$7),(GJ[Debit]))))))))</f>
        <v>0</v>
      </c>
      <c r="F300" s="490">
        <f t="array" ref="F300">(SUM(IF((PostTB[Account Code (Old)]=B300),(PostTB[Credit])))+(SUM(IF((CkDJ[Account Code]=B300)*(CkDJ[Date]&lt;=$A$7),(CkDJ[Credit])))+(SUM(IF((CsDJ[Account Code]=B300)*(CsDJ[Date]&lt;=$A$7),(CsDJ[Credit])))+(SUM(IF((CRDJ[Account Code]=B300)*(CRDJ[Date]&lt;=$A$7),(CRDJ[Credit])))+(SUM(IF((GJ[Account Code]=B300)*(GJ[Date]&lt;=$A$7),(GJ[Credit]))))))))</f>
        <v>0</v>
      </c>
      <c r="G300" s="620">
        <f>IF(INDEX(AccountCodes[Normal Balance], MATCH(C300,AccountCodes[PPSAS CODE]))="Credit",F300-E300,0)</f>
        <v>0</v>
      </c>
      <c r="H300" s="621">
        <f t="shared" si="4"/>
        <v>0</v>
      </c>
    </row>
    <row r="301" spans="1:8" ht="15.75" hidden="1" x14ac:dyDescent="0.25">
      <c r="A301" s="613" t="str">
        <f t="array" ref="A301">INDEX(AccountCodes[ACCOUNT NAME],MATCH(B301,AccountCodes[NGAS CODE],0))</f>
        <v>Rent/Lease Expenses</v>
      </c>
      <c r="B301" s="602" t="s">
        <v>242</v>
      </c>
      <c r="C301" s="615">
        <f t="array" ref="C301">INDEX(AccountCodes[PPSAS CODE],MATCH(B301,AccountCodes[NGAS CODE],0))</f>
        <v>5029905000</v>
      </c>
      <c r="D301" s="616">
        <f>IF(INDEX(AccountCodes[Normal Balance], MATCH(C301,AccountCodes[PPSAS CODE]))="Debit",E301-F301,0)</f>
        <v>0</v>
      </c>
      <c r="E301" s="488">
        <f t="array" ref="E301">(SUM(IF((PostTB[Account Code (Old)]=B301),(PostTB[Debit])))+(SUM(IF((CkDJ[Account Code]=B301)*(CkDJ[Date]&lt;=$A$7),(CkDJ[Debit])))+(SUM(IF((CsDJ[Account Code]=B301)*(CsDJ[Date]&lt;=$A$7),(CsDJ[Debit])))+(SUM(IF((CRDJ[Account Code]=B301)*(CRDJ[Date]&lt;=$A$7),(CRDJ[Debit])))+(SUM(IF((GJ[Account Code]=B301)*(GJ[Date]&lt;=$A$7),(GJ[Debit]))))))))</f>
        <v>0</v>
      </c>
      <c r="F301" s="490">
        <f t="array" ref="F301">(SUM(IF((PostTB[Account Code (Old)]=B301),(PostTB[Credit])))+(SUM(IF((CkDJ[Account Code]=B301)*(CkDJ[Date]&lt;=$A$7),(CkDJ[Credit])))+(SUM(IF((CsDJ[Account Code]=B301)*(CsDJ[Date]&lt;=$A$7),(CsDJ[Credit])))+(SUM(IF((CRDJ[Account Code]=B301)*(CRDJ[Date]&lt;=$A$7),(CRDJ[Credit])))+(SUM(IF((GJ[Account Code]=B301)*(GJ[Date]&lt;=$A$7),(GJ[Credit]))))))))</f>
        <v>0</v>
      </c>
      <c r="G301" s="620">
        <f>IF(INDEX(AccountCodes[Normal Balance], MATCH(C301,AccountCodes[PPSAS CODE]))="Credit",F301-E301,0)</f>
        <v>0</v>
      </c>
      <c r="H301" s="621">
        <f t="shared" si="4"/>
        <v>0</v>
      </c>
    </row>
    <row r="302" spans="1:8" ht="15.75" hidden="1" x14ac:dyDescent="0.25">
      <c r="A302" s="613" t="str">
        <f t="array" ref="A302">INDEX(AccountCodes[ACCOUNT NAME],MATCH(B302,AccountCodes[NGAS CODE],0))</f>
        <v>Membership Dues and Contributions to Organizations</v>
      </c>
      <c r="B302" s="602" t="s">
        <v>239</v>
      </c>
      <c r="C302" s="615">
        <f t="array" ref="C302">INDEX(AccountCodes[PPSAS CODE],MATCH(B302,AccountCodes[NGAS CODE],0))</f>
        <v>5029906000</v>
      </c>
      <c r="D302" s="616">
        <f>IF(INDEX(AccountCodes[Normal Balance], MATCH(C302,AccountCodes[PPSAS CODE]))="Debit",E302-F302,0)</f>
        <v>0</v>
      </c>
      <c r="E302" s="488">
        <f t="array" ref="E302">(SUM(IF((PostTB[Account Code (Old)]=B302),(PostTB[Debit])))+(SUM(IF((CkDJ[Account Code]=B302)*(CkDJ[Date]&lt;=$A$7),(CkDJ[Debit])))+(SUM(IF((CsDJ[Account Code]=B302)*(CsDJ[Date]&lt;=$A$7),(CsDJ[Debit])))+(SUM(IF((CRDJ[Account Code]=B302)*(CRDJ[Date]&lt;=$A$7),(CRDJ[Debit])))+(SUM(IF((GJ[Account Code]=B302)*(GJ[Date]&lt;=$A$7),(GJ[Debit]))))))))</f>
        <v>0</v>
      </c>
      <c r="F302" s="490">
        <f t="array" ref="F302">(SUM(IF((PostTB[Account Code (Old)]=B302),(PostTB[Credit])))+(SUM(IF((CkDJ[Account Code]=B302)*(CkDJ[Date]&lt;=$A$7),(CkDJ[Credit])))+(SUM(IF((CsDJ[Account Code]=B302)*(CsDJ[Date]&lt;=$A$7),(CsDJ[Credit])))+(SUM(IF((CRDJ[Account Code]=B302)*(CRDJ[Date]&lt;=$A$7),(CRDJ[Credit])))+(SUM(IF((GJ[Account Code]=B302)*(GJ[Date]&lt;=$A$7),(GJ[Credit]))))))))</f>
        <v>0</v>
      </c>
      <c r="G302" s="620">
        <f>IF(INDEX(AccountCodes[Normal Balance], MATCH(C302,AccountCodes[PPSAS CODE]))="Credit",F302-E302,0)</f>
        <v>0</v>
      </c>
      <c r="H302" s="621">
        <f t="shared" si="4"/>
        <v>0</v>
      </c>
    </row>
    <row r="303" spans="1:8" ht="15.75" hidden="1" x14ac:dyDescent="0.25">
      <c r="A303" s="613" t="str">
        <f t="array" ref="A303">INDEX(AccountCodes[ACCOUNT NAME],MATCH(B303,AccountCodes[NGAS CODE],0))</f>
        <v>Subscription Expenses</v>
      </c>
      <c r="B303" s="602" t="s">
        <v>339</v>
      </c>
      <c r="C303" s="615">
        <f t="array" ref="C303">INDEX(AccountCodes[PPSAS CODE],MATCH(B303,AccountCodes[NGAS CODE],0))</f>
        <v>5029907000</v>
      </c>
      <c r="D303" s="616">
        <f>IF(INDEX(AccountCodes[Normal Balance], MATCH(C303,AccountCodes[PPSAS CODE]))="Debit",E303-F303,0)</f>
        <v>0</v>
      </c>
      <c r="E303" s="488">
        <f t="array" ref="E303">(SUM(IF((PostTB[Account Code (Old)]=B303),(PostTB[Debit])))+(SUM(IF((CkDJ[Account Code]=B303)*(CkDJ[Date]&lt;=$A$7),(CkDJ[Debit])))+(SUM(IF((CsDJ[Account Code]=B303)*(CsDJ[Date]&lt;=$A$7),(CsDJ[Debit])))+(SUM(IF((CRDJ[Account Code]=B303)*(CRDJ[Date]&lt;=$A$7),(CRDJ[Debit])))+(SUM(IF((GJ[Account Code]=B303)*(GJ[Date]&lt;=$A$7),(GJ[Debit]))))))))</f>
        <v>0</v>
      </c>
      <c r="F303" s="490">
        <f t="array" ref="F303">(SUM(IF((PostTB[Account Code (Old)]=B303),(PostTB[Credit])))+(SUM(IF((CkDJ[Account Code]=B303)*(CkDJ[Date]&lt;=$A$7),(CkDJ[Credit])))+(SUM(IF((CsDJ[Account Code]=B303)*(CsDJ[Date]&lt;=$A$7),(CsDJ[Credit])))+(SUM(IF((CRDJ[Account Code]=B303)*(CRDJ[Date]&lt;=$A$7),(CRDJ[Credit])))+(SUM(IF((GJ[Account Code]=B303)*(GJ[Date]&lt;=$A$7),(GJ[Credit]))))))))</f>
        <v>0</v>
      </c>
      <c r="G303" s="620">
        <f>IF(INDEX(AccountCodes[Normal Balance], MATCH(C303,AccountCodes[PPSAS CODE]))="Credit",F303-E303,0)</f>
        <v>0</v>
      </c>
      <c r="H303" s="621">
        <f t="shared" si="4"/>
        <v>0</v>
      </c>
    </row>
    <row r="304" spans="1:8" ht="15.75" hidden="1" x14ac:dyDescent="0.25">
      <c r="A304" s="613" t="str">
        <f t="array" ref="A304">INDEX(AccountCodes[ACCOUNT NAME],MATCH(B304,AccountCodes[NGAS CODE],0))</f>
        <v>Donations</v>
      </c>
      <c r="B304" s="602" t="s">
        <v>269</v>
      </c>
      <c r="C304" s="615">
        <f t="array" ref="C304">INDEX(AccountCodes[PPSAS CODE],MATCH(B304,AccountCodes[NGAS CODE],0))</f>
        <v>5029908000</v>
      </c>
      <c r="D304" s="616">
        <f>IF(INDEX(AccountCodes[Normal Balance], MATCH(C304,AccountCodes[PPSAS CODE]))="Debit",E304-F304,0)</f>
        <v>0</v>
      </c>
      <c r="E304" s="488">
        <f t="array" ref="E304">(SUM(IF((PostTB[Account Code (Old)]=B304),(PostTB[Debit])))+(SUM(IF((CkDJ[Account Code]=B304)*(CkDJ[Date]&lt;=$A$7),(CkDJ[Debit])))+(SUM(IF((CsDJ[Account Code]=B304)*(CsDJ[Date]&lt;=$A$7),(CsDJ[Debit])))+(SUM(IF((CRDJ[Account Code]=B304)*(CRDJ[Date]&lt;=$A$7),(CRDJ[Debit])))+(SUM(IF((GJ[Account Code]=B304)*(GJ[Date]&lt;=$A$7),(GJ[Debit]))))))))</f>
        <v>0</v>
      </c>
      <c r="F304" s="490">
        <f t="array" ref="F304">(SUM(IF((PostTB[Account Code (Old)]=B304),(PostTB[Credit])))+(SUM(IF((CkDJ[Account Code]=B304)*(CkDJ[Date]&lt;=$A$7),(CkDJ[Credit])))+(SUM(IF((CsDJ[Account Code]=B304)*(CsDJ[Date]&lt;=$A$7),(CsDJ[Credit])))+(SUM(IF((CRDJ[Account Code]=B304)*(CRDJ[Date]&lt;=$A$7),(CRDJ[Credit])))+(SUM(IF((GJ[Account Code]=B304)*(GJ[Date]&lt;=$A$7),(GJ[Credit]))))))))</f>
        <v>0</v>
      </c>
      <c r="G304" s="620">
        <f>IF(INDEX(AccountCodes[Normal Balance], MATCH(C304,AccountCodes[PPSAS CODE]))="Credit",F304-E304,0)</f>
        <v>0</v>
      </c>
      <c r="H304" s="621">
        <f t="shared" si="4"/>
        <v>0</v>
      </c>
    </row>
    <row r="305" spans="1:8" ht="15.75" hidden="1" x14ac:dyDescent="0.25">
      <c r="A305" s="613" t="str">
        <f t="array" ref="A305">INDEX(AccountCodes[ACCOUNT NAME],MATCH(B305,AccountCodes[NGAS CODE],0))</f>
        <v>Other Maintenance and Operating Expenses</v>
      </c>
      <c r="B305" s="602" t="s">
        <v>408</v>
      </c>
      <c r="C305" s="615">
        <f t="array" ref="C305">INDEX(AccountCodes[PPSAS CODE],MATCH(B305,AccountCodes[NGAS CODE],0))</f>
        <v>5029999000</v>
      </c>
      <c r="D305" s="616">
        <f>IF(INDEX(AccountCodes[Normal Balance], MATCH(C305,AccountCodes[PPSAS CODE]))="Debit",E305-F305,0)</f>
        <v>0</v>
      </c>
      <c r="E305" s="488">
        <f t="array" ref="E305">(SUM(IF((PostTB[Account Code (Old)]=B305),(PostTB[Debit])))+(SUM(IF((CkDJ[Account Code]=B305)*(CkDJ[Date]&lt;=$A$7),(CkDJ[Debit])))+(SUM(IF((CsDJ[Account Code]=B305)*(CsDJ[Date]&lt;=$A$7),(CsDJ[Debit])))+(SUM(IF((CRDJ[Account Code]=B305)*(CRDJ[Date]&lt;=$A$7),(CRDJ[Debit])))+(SUM(IF((GJ[Account Code]=B305)*(GJ[Date]&lt;=$A$7),(GJ[Debit]))))))))</f>
        <v>0</v>
      </c>
      <c r="F305" s="490">
        <f t="array" ref="F305">(SUM(IF((PostTB[Account Code (Old)]=B305),(PostTB[Credit])))+(SUM(IF((CkDJ[Account Code]=B305)*(CkDJ[Date]&lt;=$A$7),(CkDJ[Credit])))+(SUM(IF((CsDJ[Account Code]=B305)*(CsDJ[Date]&lt;=$A$7),(CsDJ[Credit])))+(SUM(IF((CRDJ[Account Code]=B305)*(CRDJ[Date]&lt;=$A$7),(CRDJ[Credit])))+(SUM(IF((GJ[Account Code]=B305)*(GJ[Date]&lt;=$A$7),(GJ[Credit]))))))))</f>
        <v>0</v>
      </c>
      <c r="G305" s="620">
        <f>IF(INDEX(AccountCodes[Normal Balance], MATCH(C305,AccountCodes[PPSAS CODE]))="Credit",F305-E305,0)</f>
        <v>0</v>
      </c>
      <c r="H305" s="621">
        <f t="shared" si="4"/>
        <v>0</v>
      </c>
    </row>
    <row r="306" spans="1:8" ht="15.75" hidden="1" x14ac:dyDescent="0.25">
      <c r="A306" s="613" t="str">
        <f t="array" ref="A306">INDEX(AccountCodes[ACCOUNT NAME],MATCH(B306,AccountCodes[NGAS CODE],0))</f>
        <v>Other Maintenance and Operating Expenses - Other Maintenance and Operating Expenses</v>
      </c>
      <c r="B306" s="602" t="s">
        <v>271</v>
      </c>
      <c r="C306" s="615">
        <f t="array" ref="C306">INDEX(AccountCodes[PPSAS CODE],MATCH(B306,AccountCodes[NGAS CODE],0))</f>
        <v>5029999002</v>
      </c>
      <c r="D306" s="616">
        <f>IF(INDEX(AccountCodes[Normal Balance], MATCH(C306,AccountCodes[PPSAS CODE]))="Debit",E306-F306,0)</f>
        <v>0</v>
      </c>
      <c r="E306" s="488">
        <f t="array" ref="E306">(SUM(IF((PostTB[Account Code (Old)]=B306),(PostTB[Debit])))+(SUM(IF((CkDJ[Account Code]=B306)*(CkDJ[Date]&lt;=$A$7),(CkDJ[Debit])))+(SUM(IF((CsDJ[Account Code]=B306)*(CsDJ[Date]&lt;=$A$7),(CsDJ[Debit])))+(SUM(IF((CRDJ[Account Code]=B306)*(CRDJ[Date]&lt;=$A$7),(CRDJ[Debit])))+(SUM(IF((GJ[Account Code]=B306)*(GJ[Date]&lt;=$A$7),(GJ[Debit]))))))))</f>
        <v>0</v>
      </c>
      <c r="F306" s="490">
        <f t="array" ref="F306">(SUM(IF((PostTB[Account Code (Old)]=B306),(PostTB[Credit])))+(SUM(IF((CkDJ[Account Code]=B306)*(CkDJ[Date]&lt;=$A$7),(CkDJ[Credit])))+(SUM(IF((CsDJ[Account Code]=B306)*(CsDJ[Date]&lt;=$A$7),(CsDJ[Credit])))+(SUM(IF((CRDJ[Account Code]=B306)*(CRDJ[Date]&lt;=$A$7),(CRDJ[Credit])))+(SUM(IF((GJ[Account Code]=B306)*(GJ[Date]&lt;=$A$7),(GJ[Credit]))))))))</f>
        <v>0</v>
      </c>
      <c r="G306" s="620">
        <f>IF(INDEX(AccountCodes[Normal Balance], MATCH(C306,AccountCodes[PPSAS CODE]))="Credit",F306-E306,0)</f>
        <v>0</v>
      </c>
      <c r="H306" s="621">
        <f t="shared" si="4"/>
        <v>0</v>
      </c>
    </row>
    <row r="307" spans="1:8" ht="15.75" x14ac:dyDescent="0.25">
      <c r="A307" s="613" t="str">
        <f t="array" ref="A307">INDEX(AccountCodes[ACCOUNT NAME],MATCH(B307,AccountCodes[NGAS CODE],0))</f>
        <v>Other Maintenance and Operating Expenses - Other Maintenance and Operating Expenses</v>
      </c>
      <c r="B307" s="602" t="s">
        <v>405</v>
      </c>
      <c r="C307" s="615">
        <f t="array" ref="C307">INDEX(AccountCodes[PPSAS CODE],MATCH(B307,AccountCodes[NGAS CODE],0))</f>
        <v>5029999002</v>
      </c>
      <c r="D307" s="616">
        <f>IF(INDEX(AccountCodes[Normal Balance], MATCH(C307,AccountCodes[PPSAS CODE]))="Debit",E307-F307,0)</f>
        <v>0</v>
      </c>
      <c r="E307" s="488">
        <f t="array" ref="E307">(SUM(IF((PostTB[Account Code (Old)]=B307),(PostTB[Debit])))+(SUM(IF((CkDJ[Account Code]=B307)*(CkDJ[Date]&lt;=$A$7),(CkDJ[Debit])))+(SUM(IF((CsDJ[Account Code]=B307)*(CsDJ[Date]&lt;=$A$7),(CsDJ[Debit])))+(SUM(IF((CRDJ[Account Code]=B307)*(CRDJ[Date]&lt;=$A$7),(CRDJ[Debit])))+(SUM(IF((GJ[Account Code]=B307)*(GJ[Date]&lt;=$A$7),(GJ[Debit]))))))))</f>
        <v>0</v>
      </c>
      <c r="F307" s="490">
        <f t="array" ref="F307">(SUM(IF((PostTB[Account Code (Old)]=B307),(PostTB[Credit])))+(SUM(IF((CkDJ[Account Code]=B307)*(CkDJ[Date]&lt;=$A$7),(CkDJ[Credit])))+(SUM(IF((CsDJ[Account Code]=B307)*(CsDJ[Date]&lt;=$A$7),(CsDJ[Credit])))+(SUM(IF((CRDJ[Account Code]=B307)*(CRDJ[Date]&lt;=$A$7),(CRDJ[Credit])))+(SUM(IF((GJ[Account Code]=B307)*(GJ[Date]&lt;=$A$7),(GJ[Credit]))))))))</f>
        <v>0</v>
      </c>
      <c r="G307" s="620">
        <f>IF(INDEX(AccountCodes[Normal Balance], MATCH(C307,AccountCodes[PPSAS CODE]))="Credit",F307-E307,0)</f>
        <v>0</v>
      </c>
      <c r="H307" s="621">
        <f t="shared" si="4"/>
        <v>0</v>
      </c>
    </row>
    <row r="308" spans="1:8" ht="15.75" hidden="1" x14ac:dyDescent="0.25">
      <c r="A308" s="613" t="str">
        <f t="array" ref="A308">INDEX(AccountCodes[ACCOUNT NAME],MATCH(B308,AccountCodes[NGAS CODE],0))</f>
        <v>Other Maintenance and Operating Expenses (Irrigator's Share/Remuneration/Subsidy)</v>
      </c>
      <c r="B308" s="602" t="s">
        <v>333</v>
      </c>
      <c r="C308" s="615">
        <f t="array" ref="C308">INDEX(AccountCodes[PPSAS CODE],MATCH(B308,AccountCodes[NGAS CODE],0))</f>
        <v>5029999098</v>
      </c>
      <c r="D308" s="616">
        <f>IF(INDEX(AccountCodes[Normal Balance], MATCH(C308,AccountCodes[PPSAS CODE]))="Debit",E308-F308,0)</f>
        <v>0</v>
      </c>
      <c r="E308" s="488">
        <f t="array" ref="E308">(SUM(IF((PostTB[Account Code (Old)]=B308),(PostTB[Debit])))+(SUM(IF((CkDJ[Account Code]=B308)*(CkDJ[Date]&lt;=$A$7),(CkDJ[Debit])))+(SUM(IF((CsDJ[Account Code]=B308)*(CsDJ[Date]&lt;=$A$7),(CsDJ[Debit])))+(SUM(IF((CRDJ[Account Code]=B308)*(CRDJ[Date]&lt;=$A$7),(CRDJ[Debit])))+(SUM(IF((GJ[Account Code]=B308)*(GJ[Date]&lt;=$A$7),(GJ[Debit]))))))))</f>
        <v>0</v>
      </c>
      <c r="F308" s="490">
        <f t="array" ref="F308">(SUM(IF((PostTB[Account Code (Old)]=B308),(PostTB[Credit])))+(SUM(IF((CkDJ[Account Code]=B308)*(CkDJ[Date]&lt;=$A$7),(CkDJ[Credit])))+(SUM(IF((CsDJ[Account Code]=B308)*(CsDJ[Date]&lt;=$A$7),(CsDJ[Credit])))+(SUM(IF((CRDJ[Account Code]=B308)*(CRDJ[Date]&lt;=$A$7),(CRDJ[Credit])))+(SUM(IF((GJ[Account Code]=B308)*(GJ[Date]&lt;=$A$7),(GJ[Credit]))))))))</f>
        <v>0</v>
      </c>
      <c r="G308" s="620">
        <f>IF(INDEX(AccountCodes[Normal Balance], MATCH(C308,AccountCodes[PPSAS CODE]))="Credit",F308-E308,0)</f>
        <v>0</v>
      </c>
      <c r="H308" s="621">
        <f t="shared" si="4"/>
        <v>0</v>
      </c>
    </row>
    <row r="309" spans="1:8" ht="15.75" hidden="1" x14ac:dyDescent="0.25">
      <c r="A309" s="613" t="str">
        <f t="array" ref="A309">INDEX(AccountCodes[ACCOUNT NAME],MATCH(B309,AccountCodes[NGAS CODE],0))</f>
        <v>Other Maintenance and Operating Expenses (Power Cost for Pumps)</v>
      </c>
      <c r="B309" s="602" t="s">
        <v>991</v>
      </c>
      <c r="C309" s="615">
        <f t="array" ref="C309">INDEX(AccountCodes[PPSAS CODE],MATCH(B309,AccountCodes[NGAS CODE],0))</f>
        <v>5029999099</v>
      </c>
      <c r="D309" s="616">
        <f>IF(INDEX(AccountCodes[Normal Balance], MATCH(C309,AccountCodes[PPSAS CODE]))="Debit",E309-F309,0)</f>
        <v>0</v>
      </c>
      <c r="E309" s="488">
        <f t="array" ref="E309">(SUM(IF((PostTB[Account Code (Old)]=B309),(PostTB[Debit])))+(SUM(IF((CkDJ[Account Code]=B309)*(CkDJ[Date]&lt;=$A$7),(CkDJ[Debit])))+(SUM(IF((CsDJ[Account Code]=B309)*(CsDJ[Date]&lt;=$A$7),(CsDJ[Debit])))+(SUM(IF((CRDJ[Account Code]=B309)*(CRDJ[Date]&lt;=$A$7),(CRDJ[Debit])))+(SUM(IF((GJ[Account Code]=B309)*(GJ[Date]&lt;=$A$7),(GJ[Debit]))))))))</f>
        <v>0</v>
      </c>
      <c r="F309" s="490">
        <f t="array" ref="F309">(SUM(IF((PostTB[Account Code (Old)]=B309),(PostTB[Credit])))+(SUM(IF((CkDJ[Account Code]=B309)*(CkDJ[Date]&lt;=$A$7),(CkDJ[Credit])))+(SUM(IF((CsDJ[Account Code]=B309)*(CsDJ[Date]&lt;=$A$7),(CsDJ[Credit])))+(SUM(IF((CRDJ[Account Code]=B309)*(CRDJ[Date]&lt;=$A$7),(CRDJ[Credit])))+(SUM(IF((GJ[Account Code]=B309)*(GJ[Date]&lt;=$A$7),(GJ[Credit]))))))))</f>
        <v>0</v>
      </c>
      <c r="G309" s="620">
        <f>IF(INDEX(AccountCodes[Normal Balance], MATCH(C309,AccountCodes[PPSAS CODE]))="Credit",F309-E309,0)</f>
        <v>0</v>
      </c>
      <c r="H309" s="621">
        <f t="shared" si="4"/>
        <v>0</v>
      </c>
    </row>
    <row r="310" spans="1:8" ht="15.75" hidden="1" x14ac:dyDescent="0.25">
      <c r="A310" s="613" t="str">
        <f t="array" ref="A310">INDEX(AccountCodes[ACCOUNT NAME],MATCH(B310,AccountCodes[NGAS CODE],0))</f>
        <v>Interest Expenses</v>
      </c>
      <c r="B310" s="602" t="s">
        <v>341</v>
      </c>
      <c r="C310" s="615">
        <f t="array" ref="C310">INDEX(AccountCodes[PPSAS CODE],MATCH(B310,AccountCodes[NGAS CODE],0))</f>
        <v>5030102000</v>
      </c>
      <c r="D310" s="616">
        <f>IF(INDEX(AccountCodes[Normal Balance], MATCH(C310,AccountCodes[PPSAS CODE]))="Debit",E310-F310,0)</f>
        <v>0</v>
      </c>
      <c r="E310" s="488">
        <f t="array" ref="E310">(SUM(IF((PostTB[Account Code (Old)]=B310),(PostTB[Debit])))+(SUM(IF((CkDJ[Account Code]=B310)*(CkDJ[Date]&lt;=$A$7),(CkDJ[Debit])))+(SUM(IF((CsDJ[Account Code]=B310)*(CsDJ[Date]&lt;=$A$7),(CsDJ[Debit])))+(SUM(IF((CRDJ[Account Code]=B310)*(CRDJ[Date]&lt;=$A$7),(CRDJ[Debit])))+(SUM(IF((GJ[Account Code]=B310)*(GJ[Date]&lt;=$A$7),(GJ[Debit]))))))))</f>
        <v>0</v>
      </c>
      <c r="F310" s="490">
        <f t="array" ref="F310">(SUM(IF((PostTB[Account Code (Old)]=B310),(PostTB[Credit])))+(SUM(IF((CkDJ[Account Code]=B310)*(CkDJ[Date]&lt;=$A$7),(CkDJ[Credit])))+(SUM(IF((CsDJ[Account Code]=B310)*(CsDJ[Date]&lt;=$A$7),(CsDJ[Credit])))+(SUM(IF((CRDJ[Account Code]=B310)*(CRDJ[Date]&lt;=$A$7),(CRDJ[Credit])))+(SUM(IF((GJ[Account Code]=B310)*(GJ[Date]&lt;=$A$7),(GJ[Credit]))))))))</f>
        <v>0</v>
      </c>
      <c r="G310" s="620">
        <f>IF(INDEX(AccountCodes[Normal Balance], MATCH(C310,AccountCodes[PPSAS CODE]))="Credit",F310-E310,0)</f>
        <v>0</v>
      </c>
      <c r="H310" s="621">
        <f t="shared" si="4"/>
        <v>0</v>
      </c>
    </row>
    <row r="311" spans="1:8" ht="15.75" x14ac:dyDescent="0.25">
      <c r="A311" s="613" t="str">
        <f t="array" ref="A311">INDEX(AccountCodes[ACCOUNT NAME],MATCH(B311,AccountCodes[NGAS CODE],0))</f>
        <v>Bank Charges</v>
      </c>
      <c r="B311" s="602" t="s">
        <v>340</v>
      </c>
      <c r="C311" s="615">
        <f t="array" ref="C311">INDEX(AccountCodes[PPSAS CODE],MATCH(B311,AccountCodes[NGAS CODE],0))</f>
        <v>5030104000</v>
      </c>
      <c r="D311" s="616">
        <f>IF(INDEX(AccountCodes[Normal Balance], MATCH(C311,AccountCodes[PPSAS CODE]))="Debit",E311-F311,0)</f>
        <v>0</v>
      </c>
      <c r="E311" s="488">
        <f t="array" ref="E311">(SUM(IF((PostTB[Account Code (Old)]=B311),(PostTB[Debit])))+(SUM(IF((CkDJ[Account Code]=B311)*(CkDJ[Date]&lt;=$A$7),(CkDJ[Debit])))+(SUM(IF((CsDJ[Account Code]=B311)*(CsDJ[Date]&lt;=$A$7),(CsDJ[Debit])))+(SUM(IF((CRDJ[Account Code]=B311)*(CRDJ[Date]&lt;=$A$7),(CRDJ[Debit])))+(SUM(IF((GJ[Account Code]=B311)*(GJ[Date]&lt;=$A$7),(GJ[Debit]))))))))</f>
        <v>0</v>
      </c>
      <c r="F311" s="490">
        <f t="array" ref="F311">(SUM(IF((PostTB[Account Code (Old)]=B311),(PostTB[Credit])))+(SUM(IF((CkDJ[Account Code]=B311)*(CkDJ[Date]&lt;=$A$7),(CkDJ[Credit])))+(SUM(IF((CsDJ[Account Code]=B311)*(CsDJ[Date]&lt;=$A$7),(CsDJ[Credit])))+(SUM(IF((CRDJ[Account Code]=B311)*(CRDJ[Date]&lt;=$A$7),(CRDJ[Credit])))+(SUM(IF((GJ[Account Code]=B311)*(GJ[Date]&lt;=$A$7),(GJ[Credit]))))))))</f>
        <v>0</v>
      </c>
      <c r="G311" s="620">
        <f>IF(INDEX(AccountCodes[Normal Balance], MATCH(C311,AccountCodes[PPSAS CODE]))="Credit",F311-E311,0)</f>
        <v>0</v>
      </c>
      <c r="H311" s="621">
        <f t="shared" si="4"/>
        <v>0</v>
      </c>
    </row>
    <row r="312" spans="1:8" ht="15.75" hidden="1" x14ac:dyDescent="0.25">
      <c r="A312" s="613" t="str">
        <f t="array" ref="A312">INDEX(AccountCodes[ACCOUNT NAME],MATCH(B312,AccountCodes[NGAS CODE],0))</f>
        <v>Depreciation-Land Improvements</v>
      </c>
      <c r="B312" s="602" t="s">
        <v>275</v>
      </c>
      <c r="C312" s="615">
        <f t="array" ref="C312">INDEX(AccountCodes[PPSAS CODE],MATCH(B312,AccountCodes[NGAS CODE],0))</f>
        <v>5050102000</v>
      </c>
      <c r="D312" s="616">
        <f>IF(INDEX(AccountCodes[Normal Balance], MATCH(C312,AccountCodes[PPSAS CODE]))="Debit",E312-F312,0)</f>
        <v>0</v>
      </c>
      <c r="E312" s="488">
        <f t="array" ref="E312">(SUM(IF((PostTB[Account Code (Old)]=B312),(PostTB[Debit])))+(SUM(IF((CkDJ[Account Code]=B312)*(CkDJ[Date]&lt;=$A$7),(CkDJ[Debit])))+(SUM(IF((CsDJ[Account Code]=B312)*(CsDJ[Date]&lt;=$A$7),(CsDJ[Debit])))+(SUM(IF((CRDJ[Account Code]=B312)*(CRDJ[Date]&lt;=$A$7),(CRDJ[Debit])))+(SUM(IF((GJ[Account Code]=B312)*(GJ[Date]&lt;=$A$7),(GJ[Debit]))))))))</f>
        <v>0</v>
      </c>
      <c r="F312" s="490">
        <f t="array" ref="F312">(SUM(IF((PostTB[Account Code (Old)]=B312),(PostTB[Credit])))+(SUM(IF((CkDJ[Account Code]=B312)*(CkDJ[Date]&lt;=$A$7),(CkDJ[Credit])))+(SUM(IF((CsDJ[Account Code]=B312)*(CsDJ[Date]&lt;=$A$7),(CsDJ[Credit])))+(SUM(IF((CRDJ[Account Code]=B312)*(CRDJ[Date]&lt;=$A$7),(CRDJ[Credit])))+(SUM(IF((GJ[Account Code]=B312)*(GJ[Date]&lt;=$A$7),(GJ[Credit]))))))))</f>
        <v>0</v>
      </c>
      <c r="G312" s="620">
        <f>IF(INDEX(AccountCodes[Normal Balance], MATCH(C312,AccountCodes[PPSAS CODE]))="Credit",F312-E312,0)</f>
        <v>0</v>
      </c>
      <c r="H312" s="621">
        <f t="shared" si="4"/>
        <v>0</v>
      </c>
    </row>
    <row r="313" spans="1:8" ht="15.75" hidden="1" x14ac:dyDescent="0.25">
      <c r="A313" s="613" t="str">
        <f t="array" ref="A313">INDEX(AccountCodes[ACCOUNT NAME],MATCH(B313,AccountCodes[NGAS CODE],0))</f>
        <v>Depreciation-Infrastructure Assets - Other Infrastructure Assets (Irrigation Canals &amp; Laterals)</v>
      </c>
      <c r="B313" s="602" t="s">
        <v>1452</v>
      </c>
      <c r="C313" s="615">
        <f t="array" ref="C313">INDEX(AccountCodes[PPSAS CODE],MATCH(B313,AccountCodes[NGAS CODE],0))</f>
        <v>5050103099</v>
      </c>
      <c r="D313" s="616">
        <f>IF(INDEX(AccountCodes[Normal Balance], MATCH(C313,AccountCodes[PPSAS CODE]))="Debit",E313-F313,0)</f>
        <v>0</v>
      </c>
      <c r="E313" s="488">
        <f t="array" ref="E313">(SUM(IF((PostTB[Account Code (Old)]=B313),(PostTB[Debit])))+(SUM(IF((CkDJ[Account Code]=B313)*(CkDJ[Date]&lt;=$A$7),(CkDJ[Debit])))+(SUM(IF((CsDJ[Account Code]=B313)*(CsDJ[Date]&lt;=$A$7),(CsDJ[Debit])))+(SUM(IF((CRDJ[Account Code]=B313)*(CRDJ[Date]&lt;=$A$7),(CRDJ[Debit])))+(SUM(IF((GJ[Account Code]=B313)*(GJ[Date]&lt;=$A$7),(GJ[Debit]))))))))</f>
        <v>0</v>
      </c>
      <c r="F313" s="490">
        <f t="array" ref="F313">(SUM(IF((PostTB[Account Code (Old)]=B313),(PostTB[Credit])))+(SUM(IF((CkDJ[Account Code]=B313)*(CkDJ[Date]&lt;=$A$7),(CkDJ[Credit])))+(SUM(IF((CsDJ[Account Code]=B313)*(CsDJ[Date]&lt;=$A$7),(CsDJ[Credit])))+(SUM(IF((CRDJ[Account Code]=B313)*(CRDJ[Date]&lt;=$A$7),(CRDJ[Credit])))+(SUM(IF((GJ[Account Code]=B313)*(GJ[Date]&lt;=$A$7),(GJ[Credit]))))))))</f>
        <v>0</v>
      </c>
      <c r="G313" s="620">
        <f>IF(INDEX(AccountCodes[Normal Balance], MATCH(C313,AccountCodes[PPSAS CODE]))="Credit",F313-E313,0)</f>
        <v>0</v>
      </c>
      <c r="H313" s="621">
        <f t="shared" si="4"/>
        <v>0</v>
      </c>
    </row>
    <row r="314" spans="1:8" ht="15.75" hidden="1" x14ac:dyDescent="0.25">
      <c r="A314" s="613" t="str">
        <f t="array" ref="A314">INDEX(AccountCodes[ACCOUNT NAME],MATCH(B314,AccountCodes[NGAS CODE],0))</f>
        <v>Depreciation-Buildings and Other Structures - Buildings</v>
      </c>
      <c r="B314" s="602" t="s">
        <v>276</v>
      </c>
      <c r="C314" s="615">
        <f t="array" ref="C314">INDEX(AccountCodes[PPSAS CODE],MATCH(B314,AccountCodes[NGAS CODE],0))</f>
        <v>5050104001</v>
      </c>
      <c r="D314" s="616">
        <f>IF(INDEX(AccountCodes[Normal Balance], MATCH(C314,AccountCodes[PPSAS CODE]))="Debit",E314-F314,0)</f>
        <v>0</v>
      </c>
      <c r="E314" s="488">
        <f t="array" ref="E314">(SUM(IF((PostTB[Account Code (Old)]=B314),(PostTB[Debit])))+(SUM(IF((CkDJ[Account Code]=B314)*(CkDJ[Date]&lt;=$A$7),(CkDJ[Debit])))+(SUM(IF((CsDJ[Account Code]=B314)*(CsDJ[Date]&lt;=$A$7),(CsDJ[Debit])))+(SUM(IF((CRDJ[Account Code]=B314)*(CRDJ[Date]&lt;=$A$7),(CRDJ[Debit])))+(SUM(IF((GJ[Account Code]=B314)*(GJ[Date]&lt;=$A$7),(GJ[Debit]))))))))</f>
        <v>0</v>
      </c>
      <c r="F314" s="490">
        <f t="array" ref="F314">(SUM(IF((PostTB[Account Code (Old)]=B314),(PostTB[Credit])))+(SUM(IF((CkDJ[Account Code]=B314)*(CkDJ[Date]&lt;=$A$7),(CkDJ[Credit])))+(SUM(IF((CsDJ[Account Code]=B314)*(CsDJ[Date]&lt;=$A$7),(CsDJ[Credit])))+(SUM(IF((CRDJ[Account Code]=B314)*(CRDJ[Date]&lt;=$A$7),(CRDJ[Credit])))+(SUM(IF((GJ[Account Code]=B314)*(GJ[Date]&lt;=$A$7),(GJ[Credit]))))))))</f>
        <v>0</v>
      </c>
      <c r="G314" s="620">
        <f>IF(INDEX(AccountCodes[Normal Balance], MATCH(C314,AccountCodes[PPSAS CODE]))="Credit",F314-E314,0)</f>
        <v>0</v>
      </c>
      <c r="H314" s="621">
        <f t="shared" si="4"/>
        <v>0</v>
      </c>
    </row>
    <row r="315" spans="1:8" ht="15.75" hidden="1" x14ac:dyDescent="0.25">
      <c r="A315" s="613" t="str">
        <f t="array" ref="A315">INDEX(AccountCodes[ACCOUNT NAME],MATCH(B315,AccountCodes[NGAS CODE],0))</f>
        <v>Depreciation-Buildings and Other Structures - Other Structures</v>
      </c>
      <c r="B315" s="602" t="s">
        <v>277</v>
      </c>
      <c r="C315" s="615">
        <f t="array" ref="C315">INDEX(AccountCodes[PPSAS CODE],MATCH(B315,AccountCodes[NGAS CODE],0))</f>
        <v>5050104099</v>
      </c>
      <c r="D315" s="616">
        <f>IF(INDEX(AccountCodes[Normal Balance], MATCH(C315,AccountCodes[PPSAS CODE]))="Debit",E315-F315,0)</f>
        <v>0</v>
      </c>
      <c r="E315" s="488">
        <f t="array" ref="E315">(SUM(IF((PostTB[Account Code (Old)]=B315),(PostTB[Debit])))+(SUM(IF((CkDJ[Account Code]=B315)*(CkDJ[Date]&lt;=$A$7),(CkDJ[Debit])))+(SUM(IF((CsDJ[Account Code]=B315)*(CsDJ[Date]&lt;=$A$7),(CsDJ[Debit])))+(SUM(IF((CRDJ[Account Code]=B315)*(CRDJ[Date]&lt;=$A$7),(CRDJ[Debit])))+(SUM(IF((GJ[Account Code]=B315)*(GJ[Date]&lt;=$A$7),(GJ[Debit]))))))))</f>
        <v>0</v>
      </c>
      <c r="F315" s="490">
        <f t="array" ref="F315">(SUM(IF((PostTB[Account Code (Old)]=B315),(PostTB[Credit])))+(SUM(IF((CkDJ[Account Code]=B315)*(CkDJ[Date]&lt;=$A$7),(CkDJ[Credit])))+(SUM(IF((CsDJ[Account Code]=B315)*(CsDJ[Date]&lt;=$A$7),(CsDJ[Credit])))+(SUM(IF((CRDJ[Account Code]=B315)*(CRDJ[Date]&lt;=$A$7),(CRDJ[Credit])))+(SUM(IF((GJ[Account Code]=B315)*(GJ[Date]&lt;=$A$7),(GJ[Credit]))))))))</f>
        <v>0</v>
      </c>
      <c r="G315" s="620">
        <f>IF(INDEX(AccountCodes[Normal Balance], MATCH(C315,AccountCodes[PPSAS CODE]))="Credit",F315-E315,0)</f>
        <v>0</v>
      </c>
      <c r="H315" s="621">
        <f t="shared" si="4"/>
        <v>0</v>
      </c>
    </row>
    <row r="316" spans="1:8" ht="15.75" hidden="1" x14ac:dyDescent="0.25">
      <c r="A316" s="613" t="str">
        <f t="array" ref="A316">INDEX(AccountCodes[ACCOUNT NAME],MATCH(B316,AccountCodes[NGAS CODE],0))</f>
        <v>Depreciation-Machinery and Equipment - Machinery</v>
      </c>
      <c r="B316" s="602" t="s">
        <v>282</v>
      </c>
      <c r="C316" s="615">
        <f t="array" ref="C316">INDEX(AccountCodes[PPSAS CODE],MATCH(B316,AccountCodes[NGAS CODE],0))</f>
        <v>5050105001</v>
      </c>
      <c r="D316" s="616">
        <f>IF(INDEX(AccountCodes[Normal Balance], MATCH(C316,AccountCodes[PPSAS CODE]))="Debit",E316-F316,0)</f>
        <v>0</v>
      </c>
      <c r="E316" s="488">
        <f t="array" ref="E316">(SUM(IF((PostTB[Account Code (Old)]=B316),(PostTB[Debit])))+(SUM(IF((CkDJ[Account Code]=B316)*(CkDJ[Date]&lt;=$A$7),(CkDJ[Debit])))+(SUM(IF((CsDJ[Account Code]=B316)*(CsDJ[Date]&lt;=$A$7),(CsDJ[Debit])))+(SUM(IF((CRDJ[Account Code]=B316)*(CRDJ[Date]&lt;=$A$7),(CRDJ[Debit])))+(SUM(IF((GJ[Account Code]=B316)*(GJ[Date]&lt;=$A$7),(GJ[Debit]))))))))</f>
        <v>0</v>
      </c>
      <c r="F316" s="490">
        <f t="array" ref="F316">(SUM(IF((PostTB[Account Code (Old)]=B316),(PostTB[Credit])))+(SUM(IF((CkDJ[Account Code]=B316)*(CkDJ[Date]&lt;=$A$7),(CkDJ[Credit])))+(SUM(IF((CsDJ[Account Code]=B316)*(CsDJ[Date]&lt;=$A$7),(CsDJ[Credit])))+(SUM(IF((CRDJ[Account Code]=B316)*(CRDJ[Date]&lt;=$A$7),(CRDJ[Credit])))+(SUM(IF((GJ[Account Code]=B316)*(GJ[Date]&lt;=$A$7),(GJ[Credit]))))))))</f>
        <v>0</v>
      </c>
      <c r="G316" s="620">
        <f>IF(INDEX(AccountCodes[Normal Balance], MATCH(C316,AccountCodes[PPSAS CODE]))="Credit",F316-E316,0)</f>
        <v>0</v>
      </c>
      <c r="H316" s="621">
        <f t="shared" si="4"/>
        <v>0</v>
      </c>
    </row>
    <row r="317" spans="1:8" ht="15.75" hidden="1" x14ac:dyDescent="0.25">
      <c r="A317" s="613" t="str">
        <f t="array" ref="A317">INDEX(AccountCodes[ACCOUNT NAME],MATCH(B317,AccountCodes[NGAS CODE],0))</f>
        <v>Depreciation-Machinery and Equipment - Office Equipment</v>
      </c>
      <c r="B317" s="602" t="s">
        <v>278</v>
      </c>
      <c r="C317" s="615">
        <f t="array" ref="C317">INDEX(AccountCodes[PPSAS CODE],MATCH(B317,AccountCodes[NGAS CODE],0))</f>
        <v>5050105002</v>
      </c>
      <c r="D317" s="616">
        <f>IF(INDEX(AccountCodes[Normal Balance], MATCH(C317,AccountCodes[PPSAS CODE]))="Debit",E317-F317,0)</f>
        <v>0</v>
      </c>
      <c r="E317" s="488">
        <f t="array" ref="E317">(SUM(IF((PostTB[Account Code (Old)]=B317),(PostTB[Debit])))+(SUM(IF((CkDJ[Account Code]=B317)*(CkDJ[Date]&lt;=$A$7),(CkDJ[Debit])))+(SUM(IF((CsDJ[Account Code]=B317)*(CsDJ[Date]&lt;=$A$7),(CsDJ[Debit])))+(SUM(IF((CRDJ[Account Code]=B317)*(CRDJ[Date]&lt;=$A$7),(CRDJ[Debit])))+(SUM(IF((GJ[Account Code]=B317)*(GJ[Date]&lt;=$A$7),(GJ[Debit]))))))))</f>
        <v>0</v>
      </c>
      <c r="F317" s="490">
        <f t="array" ref="F317">(SUM(IF((PostTB[Account Code (Old)]=B317),(PostTB[Credit])))+(SUM(IF((CkDJ[Account Code]=B317)*(CkDJ[Date]&lt;=$A$7),(CkDJ[Credit])))+(SUM(IF((CsDJ[Account Code]=B317)*(CsDJ[Date]&lt;=$A$7),(CsDJ[Credit])))+(SUM(IF((CRDJ[Account Code]=B317)*(CRDJ[Date]&lt;=$A$7),(CRDJ[Credit])))+(SUM(IF((GJ[Account Code]=B317)*(GJ[Date]&lt;=$A$7),(GJ[Credit]))))))))</f>
        <v>0</v>
      </c>
      <c r="G317" s="620">
        <f>IF(INDEX(AccountCodes[Normal Balance], MATCH(C317,AccountCodes[PPSAS CODE]))="Credit",F317-E317,0)</f>
        <v>0</v>
      </c>
      <c r="H317" s="621">
        <f t="shared" si="4"/>
        <v>0</v>
      </c>
    </row>
    <row r="318" spans="1:8" ht="15.75" hidden="1" x14ac:dyDescent="0.25">
      <c r="A318" s="613" t="str">
        <f t="array" ref="A318">INDEX(AccountCodes[ACCOUNT NAME],MATCH(B318,AccountCodes[NGAS CODE],0))</f>
        <v>Depreciation-Machinery and Equipment - ICT Equipment</v>
      </c>
      <c r="B318" s="602" t="s">
        <v>280</v>
      </c>
      <c r="C318" s="615">
        <f t="array" ref="C318">INDEX(AccountCodes[PPSAS CODE],MATCH(B318,AccountCodes[NGAS CODE],0))</f>
        <v>5050105003</v>
      </c>
      <c r="D318" s="616">
        <f>IF(INDEX(AccountCodes[Normal Balance], MATCH(C318,AccountCodes[PPSAS CODE]))="Debit",E318-F318,0)</f>
        <v>0</v>
      </c>
      <c r="E318" s="488">
        <f t="array" ref="E318">(SUM(IF((PostTB[Account Code (Old)]=B318),(PostTB[Debit])))+(SUM(IF((CkDJ[Account Code]=B318)*(CkDJ[Date]&lt;=$A$7),(CkDJ[Debit])))+(SUM(IF((CsDJ[Account Code]=B318)*(CsDJ[Date]&lt;=$A$7),(CsDJ[Debit])))+(SUM(IF((CRDJ[Account Code]=B318)*(CRDJ[Date]&lt;=$A$7),(CRDJ[Debit])))+(SUM(IF((GJ[Account Code]=B318)*(GJ[Date]&lt;=$A$7),(GJ[Debit]))))))))</f>
        <v>0</v>
      </c>
      <c r="F318" s="490">
        <f t="array" ref="F318">(SUM(IF((PostTB[Account Code (Old)]=B318),(PostTB[Credit])))+(SUM(IF((CkDJ[Account Code]=B318)*(CkDJ[Date]&lt;=$A$7),(CkDJ[Credit])))+(SUM(IF((CsDJ[Account Code]=B318)*(CsDJ[Date]&lt;=$A$7),(CsDJ[Credit])))+(SUM(IF((CRDJ[Account Code]=B318)*(CRDJ[Date]&lt;=$A$7),(CRDJ[Credit])))+(SUM(IF((GJ[Account Code]=B318)*(GJ[Date]&lt;=$A$7),(GJ[Credit]))))))))</f>
        <v>0</v>
      </c>
      <c r="G318" s="620">
        <f>IF(INDEX(AccountCodes[Normal Balance], MATCH(C318,AccountCodes[PPSAS CODE]))="Credit",F318-E318,0)</f>
        <v>0</v>
      </c>
      <c r="H318" s="621">
        <f t="shared" si="4"/>
        <v>0</v>
      </c>
    </row>
    <row r="319" spans="1:8" ht="15.75" hidden="1" x14ac:dyDescent="0.25">
      <c r="A319" s="613" t="str">
        <f t="array" ref="A319">INDEX(AccountCodes[ACCOUNT NAME],MATCH(B319,AccountCodes[NGAS CODE],0))</f>
        <v>Depreciation-Machinery and Equipment - Agricultural and Forestry Equipment</v>
      </c>
      <c r="B319" s="602" t="s">
        <v>283</v>
      </c>
      <c r="C319" s="615">
        <f t="array" ref="C319">INDEX(AccountCodes[PPSAS CODE],MATCH(B319,AccountCodes[NGAS CODE],0))</f>
        <v>5050105004</v>
      </c>
      <c r="D319" s="616">
        <f>IF(INDEX(AccountCodes[Normal Balance], MATCH(C319,AccountCodes[PPSAS CODE]))="Debit",E319-F319,0)</f>
        <v>0</v>
      </c>
      <c r="E319" s="488">
        <f t="array" ref="E319">(SUM(IF((PostTB[Account Code (Old)]=B319),(PostTB[Debit])))+(SUM(IF((CkDJ[Account Code]=B319)*(CkDJ[Date]&lt;=$A$7),(CkDJ[Debit])))+(SUM(IF((CsDJ[Account Code]=B319)*(CsDJ[Date]&lt;=$A$7),(CsDJ[Debit])))+(SUM(IF((CRDJ[Account Code]=B319)*(CRDJ[Date]&lt;=$A$7),(CRDJ[Debit])))+(SUM(IF((GJ[Account Code]=B319)*(GJ[Date]&lt;=$A$7),(GJ[Debit]))))))))</f>
        <v>0</v>
      </c>
      <c r="F319" s="490">
        <f t="array" ref="F319">(SUM(IF((PostTB[Account Code (Old)]=B319),(PostTB[Credit])))+(SUM(IF((CkDJ[Account Code]=B319)*(CkDJ[Date]&lt;=$A$7),(CkDJ[Credit])))+(SUM(IF((CsDJ[Account Code]=B319)*(CsDJ[Date]&lt;=$A$7),(CsDJ[Credit])))+(SUM(IF((CRDJ[Account Code]=B319)*(CRDJ[Date]&lt;=$A$7),(CRDJ[Credit])))+(SUM(IF((GJ[Account Code]=B319)*(GJ[Date]&lt;=$A$7),(GJ[Credit]))))))))</f>
        <v>0</v>
      </c>
      <c r="G319" s="620">
        <f>IF(INDEX(AccountCodes[Normal Balance], MATCH(C319,AccountCodes[PPSAS CODE]))="Credit",F319-E319,0)</f>
        <v>0</v>
      </c>
      <c r="H319" s="621">
        <f t="shared" si="4"/>
        <v>0</v>
      </c>
    </row>
    <row r="320" spans="1:8" ht="15.75" hidden="1" x14ac:dyDescent="0.25">
      <c r="A320" s="613" t="str">
        <f t="array" ref="A320">INDEX(AccountCodes[ACCOUNT NAME],MATCH(B320,AccountCodes[NGAS CODE],0))</f>
        <v>Depreciation-Machinery and Equipment - Communication Equipment</v>
      </c>
      <c r="B320" s="602" t="s">
        <v>319</v>
      </c>
      <c r="C320" s="615">
        <f t="array" ref="C320">INDEX(AccountCodes[PPSAS CODE],MATCH(B320,AccountCodes[NGAS CODE],0))</f>
        <v>5050105007</v>
      </c>
      <c r="D320" s="616">
        <f>IF(INDEX(AccountCodes[Normal Balance], MATCH(C320,AccountCodes[PPSAS CODE]))="Debit",E320-F320,0)</f>
        <v>0</v>
      </c>
      <c r="E320" s="488">
        <f t="array" ref="E320">(SUM(IF((PostTB[Account Code (Old)]=B320),(PostTB[Debit])))+(SUM(IF((CkDJ[Account Code]=B320)*(CkDJ[Date]&lt;=$A$7),(CkDJ[Debit])))+(SUM(IF((CsDJ[Account Code]=B320)*(CsDJ[Date]&lt;=$A$7),(CsDJ[Debit])))+(SUM(IF((CRDJ[Account Code]=B320)*(CRDJ[Date]&lt;=$A$7),(CRDJ[Debit])))+(SUM(IF((GJ[Account Code]=B320)*(GJ[Date]&lt;=$A$7),(GJ[Debit]))))))))</f>
        <v>0</v>
      </c>
      <c r="F320" s="490">
        <f t="array" ref="F320">(SUM(IF((PostTB[Account Code (Old)]=B320),(PostTB[Credit])))+(SUM(IF((CkDJ[Account Code]=B320)*(CkDJ[Date]&lt;=$A$7),(CkDJ[Credit])))+(SUM(IF((CsDJ[Account Code]=B320)*(CsDJ[Date]&lt;=$A$7),(CsDJ[Credit])))+(SUM(IF((CRDJ[Account Code]=B320)*(CRDJ[Date]&lt;=$A$7),(CRDJ[Credit])))+(SUM(IF((GJ[Account Code]=B320)*(GJ[Date]&lt;=$A$7),(GJ[Credit]))))))))</f>
        <v>0</v>
      </c>
      <c r="G320" s="620">
        <f>IF(INDEX(AccountCodes[Normal Balance], MATCH(C320,AccountCodes[PPSAS CODE]))="Credit",F320-E320,0)</f>
        <v>0</v>
      </c>
      <c r="H320" s="621">
        <f t="shared" si="4"/>
        <v>0</v>
      </c>
    </row>
    <row r="321" spans="1:8" ht="15.75" hidden="1" x14ac:dyDescent="0.25">
      <c r="A321" s="613" t="str">
        <f t="array" ref="A321">INDEX(AccountCodes[ACCOUNT NAME],MATCH(B321,AccountCodes[NGAS CODE],0))</f>
        <v>Depreciation-Machinery and Equipment - Construction and Heavy Equipment</v>
      </c>
      <c r="B321" s="602" t="s">
        <v>320</v>
      </c>
      <c r="C321" s="615">
        <f t="array" ref="C321">INDEX(AccountCodes[PPSAS CODE],MATCH(B321,AccountCodes[NGAS CODE],0))</f>
        <v>5050105008</v>
      </c>
      <c r="D321" s="616">
        <f>IF(INDEX(AccountCodes[Normal Balance], MATCH(C321,AccountCodes[PPSAS CODE]))="Debit",E321-F321,0)</f>
        <v>0</v>
      </c>
      <c r="E321" s="488">
        <f t="array" ref="E321">(SUM(IF((PostTB[Account Code (Old)]=B321),(PostTB[Debit])))+(SUM(IF((CkDJ[Account Code]=B321)*(CkDJ[Date]&lt;=$A$7),(CkDJ[Debit])))+(SUM(IF((CsDJ[Account Code]=B321)*(CsDJ[Date]&lt;=$A$7),(CsDJ[Debit])))+(SUM(IF((CRDJ[Account Code]=B321)*(CRDJ[Date]&lt;=$A$7),(CRDJ[Debit])))+(SUM(IF((GJ[Account Code]=B321)*(GJ[Date]&lt;=$A$7),(GJ[Debit]))))))))</f>
        <v>0</v>
      </c>
      <c r="F321" s="490">
        <f t="array" ref="F321">(SUM(IF((PostTB[Account Code (Old)]=B321),(PostTB[Credit])))+(SUM(IF((CkDJ[Account Code]=B321)*(CkDJ[Date]&lt;=$A$7),(CkDJ[Credit])))+(SUM(IF((CsDJ[Account Code]=B321)*(CsDJ[Date]&lt;=$A$7),(CsDJ[Credit])))+(SUM(IF((CRDJ[Account Code]=B321)*(CRDJ[Date]&lt;=$A$7),(CRDJ[Credit])))+(SUM(IF((GJ[Account Code]=B321)*(GJ[Date]&lt;=$A$7),(GJ[Credit]))))))))</f>
        <v>0</v>
      </c>
      <c r="G321" s="620">
        <f>IF(INDEX(AccountCodes[Normal Balance], MATCH(C321,AccountCodes[PPSAS CODE]))="Credit",F321-E321,0)</f>
        <v>0</v>
      </c>
      <c r="H321" s="621">
        <f t="shared" si="4"/>
        <v>0</v>
      </c>
    </row>
    <row r="322" spans="1:8" ht="15.75" hidden="1" x14ac:dyDescent="0.25">
      <c r="A322" s="613" t="str">
        <f t="array" ref="A322">INDEX(AccountCodes[ACCOUNT NAME],MATCH(B322,AccountCodes[NGAS CODE],0))</f>
        <v>Depreciation-Machinery and Equipment - Disaster Response and Rescue Equipment</v>
      </c>
      <c r="B322" s="602" t="s">
        <v>321</v>
      </c>
      <c r="C322" s="615">
        <f t="array" ref="C322">INDEX(AccountCodes[PPSAS CODE],MATCH(B322,AccountCodes[NGAS CODE],0))</f>
        <v>5050105009</v>
      </c>
      <c r="D322" s="616">
        <f>IF(INDEX(AccountCodes[Normal Balance], MATCH(C322,AccountCodes[PPSAS CODE]))="Debit",E322-F322,0)</f>
        <v>0</v>
      </c>
      <c r="E322" s="488">
        <f t="array" ref="E322">(SUM(IF((PostTB[Account Code (Old)]=B322),(PostTB[Debit])))+(SUM(IF((CkDJ[Account Code]=B322)*(CkDJ[Date]&lt;=$A$7),(CkDJ[Debit])))+(SUM(IF((CsDJ[Account Code]=B322)*(CsDJ[Date]&lt;=$A$7),(CsDJ[Debit])))+(SUM(IF((CRDJ[Account Code]=B322)*(CRDJ[Date]&lt;=$A$7),(CRDJ[Debit])))+(SUM(IF((GJ[Account Code]=B322)*(GJ[Date]&lt;=$A$7),(GJ[Debit]))))))))</f>
        <v>0</v>
      </c>
      <c r="F322" s="490">
        <f t="array" ref="F322">(SUM(IF((PostTB[Account Code (Old)]=B322),(PostTB[Credit])))+(SUM(IF((CkDJ[Account Code]=B322)*(CkDJ[Date]&lt;=$A$7),(CkDJ[Credit])))+(SUM(IF((CsDJ[Account Code]=B322)*(CsDJ[Date]&lt;=$A$7),(CsDJ[Credit])))+(SUM(IF((CRDJ[Account Code]=B322)*(CRDJ[Date]&lt;=$A$7),(CRDJ[Credit])))+(SUM(IF((GJ[Account Code]=B322)*(GJ[Date]&lt;=$A$7),(GJ[Credit]))))))))</f>
        <v>0</v>
      </c>
      <c r="G322" s="620">
        <f>IF(INDEX(AccountCodes[Normal Balance], MATCH(C322,AccountCodes[PPSAS CODE]))="Credit",F322-E322,0)</f>
        <v>0</v>
      </c>
      <c r="H322" s="621">
        <f t="shared" si="4"/>
        <v>0</v>
      </c>
    </row>
    <row r="323" spans="1:8" ht="15.75" hidden="1" x14ac:dyDescent="0.25">
      <c r="A323" s="613" t="str">
        <f t="array" ref="A323">INDEX(AccountCodes[ACCOUNT NAME],MATCH(B323,AccountCodes[NGAS CODE],0))</f>
        <v>Depreciation-Machinery and Equipment - Military, Police and Security Equipment</v>
      </c>
      <c r="B323" s="602" t="s">
        <v>322</v>
      </c>
      <c r="C323" s="615">
        <f t="array" ref="C323">INDEX(AccountCodes[PPSAS CODE],MATCH(B323,AccountCodes[NGAS CODE],0))</f>
        <v>5050105010</v>
      </c>
      <c r="D323" s="616">
        <f>IF(INDEX(AccountCodes[Normal Balance], MATCH(C323,AccountCodes[PPSAS CODE]))="Debit",E323-F323,0)</f>
        <v>0</v>
      </c>
      <c r="E323" s="488">
        <f t="array" ref="E323">(SUM(IF((PostTB[Account Code (Old)]=B323),(PostTB[Debit])))+(SUM(IF((CkDJ[Account Code]=B323)*(CkDJ[Date]&lt;=$A$7),(CkDJ[Debit])))+(SUM(IF((CsDJ[Account Code]=B323)*(CsDJ[Date]&lt;=$A$7),(CsDJ[Debit])))+(SUM(IF((CRDJ[Account Code]=B323)*(CRDJ[Date]&lt;=$A$7),(CRDJ[Debit])))+(SUM(IF((GJ[Account Code]=B323)*(GJ[Date]&lt;=$A$7),(GJ[Debit]))))))))</f>
        <v>0</v>
      </c>
      <c r="F323" s="490">
        <f t="array" ref="F323">(SUM(IF((PostTB[Account Code (Old)]=B323),(PostTB[Credit])))+(SUM(IF((CkDJ[Account Code]=B323)*(CkDJ[Date]&lt;=$A$7),(CkDJ[Credit])))+(SUM(IF((CsDJ[Account Code]=B323)*(CsDJ[Date]&lt;=$A$7),(CsDJ[Credit])))+(SUM(IF((CRDJ[Account Code]=B323)*(CRDJ[Date]&lt;=$A$7),(CRDJ[Credit])))+(SUM(IF((GJ[Account Code]=B323)*(GJ[Date]&lt;=$A$7),(GJ[Credit]))))))))</f>
        <v>0</v>
      </c>
      <c r="G323" s="620">
        <f>IF(INDEX(AccountCodes[Normal Balance], MATCH(C323,AccountCodes[PPSAS CODE]))="Credit",F323-E323,0)</f>
        <v>0</v>
      </c>
      <c r="H323" s="621">
        <f t="shared" si="4"/>
        <v>0</v>
      </c>
    </row>
    <row r="324" spans="1:8" ht="15.75" hidden="1" x14ac:dyDescent="0.25">
      <c r="A324" s="613" t="str">
        <f t="array" ref="A324">INDEX(AccountCodes[ACCOUNT NAME],MATCH(B324,AccountCodes[NGAS CODE],0))</f>
        <v>Depreciation-Machinery and Equipment - Sports Equipment</v>
      </c>
      <c r="B324" s="602" t="s">
        <v>323</v>
      </c>
      <c r="C324" s="615">
        <f t="array" ref="C324">INDEX(AccountCodes[PPSAS CODE],MATCH(B324,AccountCodes[NGAS CODE],0))</f>
        <v>5050105013</v>
      </c>
      <c r="D324" s="616">
        <f>IF(INDEX(AccountCodes[Normal Balance], MATCH(C324,AccountCodes[PPSAS CODE]))="Debit",E324-F324,0)</f>
        <v>0</v>
      </c>
      <c r="E324" s="488">
        <f t="array" ref="E324">(SUM(IF((PostTB[Account Code (Old)]=B324),(PostTB[Debit])))+(SUM(IF((CkDJ[Account Code]=B324)*(CkDJ[Date]&lt;=$A$7),(CkDJ[Debit])))+(SUM(IF((CsDJ[Account Code]=B324)*(CsDJ[Date]&lt;=$A$7),(CsDJ[Debit])))+(SUM(IF((CRDJ[Account Code]=B324)*(CRDJ[Date]&lt;=$A$7),(CRDJ[Debit])))+(SUM(IF((GJ[Account Code]=B324)*(GJ[Date]&lt;=$A$7),(GJ[Debit]))))))))</f>
        <v>0</v>
      </c>
      <c r="F324" s="490">
        <f t="array" ref="F324">(SUM(IF((PostTB[Account Code (Old)]=B324),(PostTB[Credit])))+(SUM(IF((CkDJ[Account Code]=B324)*(CkDJ[Date]&lt;=$A$7),(CkDJ[Credit])))+(SUM(IF((CsDJ[Account Code]=B324)*(CsDJ[Date]&lt;=$A$7),(CsDJ[Credit])))+(SUM(IF((CRDJ[Account Code]=B324)*(CRDJ[Date]&lt;=$A$7),(CRDJ[Credit])))+(SUM(IF((GJ[Account Code]=B324)*(GJ[Date]&lt;=$A$7),(GJ[Credit]))))))))</f>
        <v>0</v>
      </c>
      <c r="G324" s="620">
        <f>IF(INDEX(AccountCodes[Normal Balance], MATCH(C324,AccountCodes[PPSAS CODE]))="Credit",F324-E324,0)</f>
        <v>0</v>
      </c>
      <c r="H324" s="621">
        <f t="shared" si="4"/>
        <v>0</v>
      </c>
    </row>
    <row r="325" spans="1:8" ht="15.75" hidden="1" x14ac:dyDescent="0.25">
      <c r="A325" s="613" t="str">
        <f t="array" ref="A325">INDEX(AccountCodes[ACCOUNT NAME],MATCH(B325,AccountCodes[NGAS CODE],0))</f>
        <v>Depreciation-Machinery and Equipment - Technical and Scientific Equipment</v>
      </c>
      <c r="B325" s="617" t="s">
        <v>324</v>
      </c>
      <c r="C325" s="615">
        <f t="array" ref="C325">INDEX(AccountCodes[PPSAS CODE],MATCH(B325,AccountCodes[NGAS CODE],0))</f>
        <v>5050105014</v>
      </c>
      <c r="D325" s="616">
        <f>IF(INDEX(AccountCodes[Normal Balance], MATCH(C325,AccountCodes[PPSAS CODE]))="Debit",E325-F325,0)</f>
        <v>0</v>
      </c>
      <c r="E325" s="488">
        <f t="array" ref="E325">(SUM(IF((PostTB[Account Code (Old)]=B325),(PostTB[Debit])))+(SUM(IF((CkDJ[Account Code]=B325)*(CkDJ[Date]&lt;=$A$7),(CkDJ[Debit])))+(SUM(IF((CsDJ[Account Code]=B325)*(CsDJ[Date]&lt;=$A$7),(CsDJ[Debit])))+(SUM(IF((CRDJ[Account Code]=B325)*(CRDJ[Date]&lt;=$A$7),(CRDJ[Debit])))+(SUM(IF((GJ[Account Code]=B325)*(GJ[Date]&lt;=$A$7),(GJ[Debit]))))))))</f>
        <v>0</v>
      </c>
      <c r="F325" s="490">
        <f t="array" ref="F325">(SUM(IF((PostTB[Account Code (Old)]=B325),(PostTB[Credit])))+(SUM(IF((CkDJ[Account Code]=B325)*(CkDJ[Date]&lt;=$A$7),(CkDJ[Credit])))+(SUM(IF((CsDJ[Account Code]=B325)*(CsDJ[Date]&lt;=$A$7),(CsDJ[Credit])))+(SUM(IF((CRDJ[Account Code]=B325)*(CRDJ[Date]&lt;=$A$7),(CRDJ[Credit])))+(SUM(IF((GJ[Account Code]=B325)*(GJ[Date]&lt;=$A$7),(GJ[Credit]))))))))</f>
        <v>0</v>
      </c>
      <c r="G325" s="620">
        <f>IF(INDEX(AccountCodes[Normal Balance], MATCH(C325,AccountCodes[PPSAS CODE]))="Credit",F325-E325,0)</f>
        <v>0</v>
      </c>
      <c r="H325" s="621">
        <f t="shared" ref="H325:H334" si="5">IF(D325=0,G325,D325)</f>
        <v>0</v>
      </c>
    </row>
    <row r="326" spans="1:8" ht="15.75" hidden="1" x14ac:dyDescent="0.25">
      <c r="A326" s="618" t="str">
        <f t="array" ref="A326">INDEX(AccountCodes[ACCOUNT NAME],MATCH(B326,AccountCodes[NGAS CODE],0))</f>
        <v>Depreciation-Machinery and Equipment - Other Machinery and Equipment</v>
      </c>
      <c r="B326" s="617" t="s">
        <v>325</v>
      </c>
      <c r="C326" s="615">
        <f t="array" ref="C326">INDEX(AccountCodes[PPSAS CODE],MATCH(B326,AccountCodes[NGAS CODE],0))</f>
        <v>5050105099</v>
      </c>
      <c r="D326" s="616">
        <f>IF(INDEX(AccountCodes[Normal Balance], MATCH(C326,AccountCodes[PPSAS CODE]))="Debit",E326-F326,0)</f>
        <v>0</v>
      </c>
      <c r="E326" s="488">
        <f t="array" ref="E326">(SUM(IF((PostTB[Account Code (Old)]=B326),(PostTB[Debit])))+(SUM(IF((CkDJ[Account Code]=B326)*(CkDJ[Date]&lt;=$A$7),(CkDJ[Debit])))+(SUM(IF((CsDJ[Account Code]=B326)*(CsDJ[Date]&lt;=$A$7),(CsDJ[Debit])))+(SUM(IF((CRDJ[Account Code]=B326)*(CRDJ[Date]&lt;=$A$7),(CRDJ[Debit])))+(SUM(IF((GJ[Account Code]=B326)*(GJ[Date]&lt;=$A$7),(GJ[Debit]))))))))</f>
        <v>0</v>
      </c>
      <c r="F326" s="490">
        <f t="array" ref="F326">(SUM(IF((PostTB[Account Code (Old)]=B326),(PostTB[Credit])))+(SUM(IF((CkDJ[Account Code]=B326)*(CkDJ[Date]&lt;=$A$7),(CkDJ[Credit])))+(SUM(IF((CsDJ[Account Code]=B326)*(CsDJ[Date]&lt;=$A$7),(CsDJ[Credit])))+(SUM(IF((CRDJ[Account Code]=B326)*(CRDJ[Date]&lt;=$A$7),(CRDJ[Credit])))+(SUM(IF((GJ[Account Code]=B326)*(GJ[Date]&lt;=$A$7),(GJ[Credit]))))))))</f>
        <v>0</v>
      </c>
      <c r="G326" s="620">
        <f>IF(INDEX(AccountCodes[Normal Balance], MATCH(C326,AccountCodes[PPSAS CODE]))="Credit",F326-E326,0)</f>
        <v>0</v>
      </c>
      <c r="H326" s="621">
        <f t="shared" si="5"/>
        <v>0</v>
      </c>
    </row>
    <row r="327" spans="1:8" ht="15.75" hidden="1" x14ac:dyDescent="0.25">
      <c r="A327" s="618" t="str">
        <f t="array" ref="A327">INDEX(AccountCodes[ACCOUNT NAME],MATCH(B327,AccountCodes[NGAS CODE],0))</f>
        <v>Depreciation-Transportation Equipment - Motor Vehicles</v>
      </c>
      <c r="B327" s="617" t="s">
        <v>326</v>
      </c>
      <c r="C327" s="615">
        <f t="array" ref="C327">INDEX(AccountCodes[PPSAS CODE],MATCH(B327,AccountCodes[NGAS CODE],0))</f>
        <v>5050106001</v>
      </c>
      <c r="D327" s="616">
        <f>IF(INDEX(AccountCodes[Normal Balance], MATCH(C327,AccountCodes[PPSAS CODE]))="Debit",E327-F327,0)</f>
        <v>0</v>
      </c>
      <c r="E327" s="488">
        <f t="array" ref="E327">(SUM(IF((PostTB[Account Code (Old)]=B327),(PostTB[Debit])))+(SUM(IF((CkDJ[Account Code]=B327)*(CkDJ[Date]&lt;=$A$7),(CkDJ[Debit])))+(SUM(IF((CsDJ[Account Code]=B327)*(CsDJ[Date]&lt;=$A$7),(CsDJ[Debit])))+(SUM(IF((CRDJ[Account Code]=B327)*(CRDJ[Date]&lt;=$A$7),(CRDJ[Debit])))+(SUM(IF((GJ[Account Code]=B327)*(GJ[Date]&lt;=$A$7),(GJ[Debit]))))))))</f>
        <v>0</v>
      </c>
      <c r="F327" s="490">
        <f t="array" ref="F327">(SUM(IF((PostTB[Account Code (Old)]=B327),(PostTB[Credit])))+(SUM(IF((CkDJ[Account Code]=B327)*(CkDJ[Date]&lt;=$A$7),(CkDJ[Credit])))+(SUM(IF((CsDJ[Account Code]=B327)*(CsDJ[Date]&lt;=$A$7),(CsDJ[Credit])))+(SUM(IF((CRDJ[Account Code]=B327)*(CRDJ[Date]&lt;=$A$7),(CRDJ[Credit])))+(SUM(IF((GJ[Account Code]=B327)*(GJ[Date]&lt;=$A$7),(GJ[Credit]))))))))</f>
        <v>0</v>
      </c>
      <c r="G327" s="620">
        <f>IF(INDEX(AccountCodes[Normal Balance], MATCH(C327,AccountCodes[PPSAS CODE]))="Credit",F327-E327,0)</f>
        <v>0</v>
      </c>
      <c r="H327" s="621">
        <f t="shared" si="5"/>
        <v>0</v>
      </c>
    </row>
    <row r="328" spans="1:8" ht="15.75" hidden="1" x14ac:dyDescent="0.25">
      <c r="A328" s="618" t="str">
        <f t="array" ref="A328">INDEX(AccountCodes[ACCOUNT NAME],MATCH(B328,AccountCodes[NGAS CODE],0))</f>
        <v>Depreciation-Transportation Equipment - Trains</v>
      </c>
      <c r="B328" s="617" t="s">
        <v>1453</v>
      </c>
      <c r="C328" s="615">
        <f t="array" ref="C328">INDEX(AccountCodes[PPSAS CODE],MATCH(B328,AccountCodes[NGAS CODE],0))</f>
        <v>5050106002</v>
      </c>
      <c r="D328" s="616">
        <f>IF(INDEX(AccountCodes[Normal Balance], MATCH(C328,AccountCodes[PPSAS CODE]))="Debit",E328-F328,0)</f>
        <v>0</v>
      </c>
      <c r="E328" s="488">
        <f t="array" ref="E328">(SUM(IF((PostTB[Account Code (Old)]=B328),(PostTB[Debit])))+(SUM(IF((CkDJ[Account Code]=B328)*(CkDJ[Date]&lt;=$A$7),(CkDJ[Debit])))+(SUM(IF((CsDJ[Account Code]=B328)*(CsDJ[Date]&lt;=$A$7),(CsDJ[Debit])))+(SUM(IF((CRDJ[Account Code]=B328)*(CRDJ[Date]&lt;=$A$7),(CRDJ[Debit])))+(SUM(IF((GJ[Account Code]=B328)*(GJ[Date]&lt;=$A$7),(GJ[Debit]))))))))</f>
        <v>0</v>
      </c>
      <c r="F328" s="490">
        <f t="array" ref="F328">(SUM(IF((PostTB[Account Code (Old)]=B328),(PostTB[Credit])))+(SUM(IF((CkDJ[Account Code]=B328)*(CkDJ[Date]&lt;=$A$7),(CkDJ[Credit])))+(SUM(IF((CsDJ[Account Code]=B328)*(CsDJ[Date]&lt;=$A$7),(CsDJ[Credit])))+(SUM(IF((CRDJ[Account Code]=B328)*(CRDJ[Date]&lt;=$A$7),(CRDJ[Credit])))+(SUM(IF((GJ[Account Code]=B328)*(GJ[Date]&lt;=$A$7),(GJ[Credit]))))))))</f>
        <v>0</v>
      </c>
      <c r="G328" s="620">
        <f>IF(INDEX(AccountCodes[Normal Balance], MATCH(C328,AccountCodes[PPSAS CODE]))="Credit",F328-E328,0)</f>
        <v>0</v>
      </c>
      <c r="H328" s="621">
        <f t="shared" si="5"/>
        <v>0</v>
      </c>
    </row>
    <row r="329" spans="1:8" ht="15.75" hidden="1" x14ac:dyDescent="0.25">
      <c r="A329" s="618" t="str">
        <f t="array" ref="A329">INDEX(AccountCodes[ACCOUNT NAME],MATCH(B329,AccountCodes[NGAS CODE],0))</f>
        <v>Depreciation-Transportation Equipment - Aircrafts and Aircrafts Ground Equipment</v>
      </c>
      <c r="B329" s="617" t="s">
        <v>327</v>
      </c>
      <c r="C329" s="615">
        <f t="array" ref="C329">INDEX(AccountCodes[PPSAS CODE],MATCH(B329,AccountCodes[NGAS CODE],0))</f>
        <v>5050106003</v>
      </c>
      <c r="D329" s="616">
        <f>IF(INDEX(AccountCodes[Normal Balance], MATCH(C329,AccountCodes[PPSAS CODE]))="Debit",E329-F329,0)</f>
        <v>0</v>
      </c>
      <c r="E329" s="488">
        <f t="array" ref="E329">(SUM(IF((PostTB[Account Code (Old)]=B329),(PostTB[Debit])))+(SUM(IF((CkDJ[Account Code]=B329)*(CkDJ[Date]&lt;=$A$7),(CkDJ[Debit])))+(SUM(IF((CsDJ[Account Code]=B329)*(CsDJ[Date]&lt;=$A$7),(CsDJ[Debit])))+(SUM(IF((CRDJ[Account Code]=B329)*(CRDJ[Date]&lt;=$A$7),(CRDJ[Debit])))+(SUM(IF((GJ[Account Code]=B329)*(GJ[Date]&lt;=$A$7),(GJ[Debit]))))))))</f>
        <v>0</v>
      </c>
      <c r="F329" s="490">
        <f t="array" ref="F329">(SUM(IF((PostTB[Account Code (Old)]=B329),(PostTB[Credit])))+(SUM(IF((CkDJ[Account Code]=B329)*(CkDJ[Date]&lt;=$A$7),(CkDJ[Credit])))+(SUM(IF((CsDJ[Account Code]=B329)*(CsDJ[Date]&lt;=$A$7),(CsDJ[Credit])))+(SUM(IF((CRDJ[Account Code]=B329)*(CRDJ[Date]&lt;=$A$7),(CRDJ[Credit])))+(SUM(IF((GJ[Account Code]=B329)*(GJ[Date]&lt;=$A$7),(GJ[Credit]))))))))</f>
        <v>0</v>
      </c>
      <c r="G329" s="620">
        <f>IF(INDEX(AccountCodes[Normal Balance], MATCH(C329,AccountCodes[PPSAS CODE]))="Credit",F329-E329,0)</f>
        <v>0</v>
      </c>
      <c r="H329" s="621">
        <f t="shared" si="5"/>
        <v>0</v>
      </c>
    </row>
    <row r="330" spans="1:8" ht="15.75" hidden="1" x14ac:dyDescent="0.25">
      <c r="A330" s="618" t="str">
        <f t="array" ref="A330">INDEX(AccountCodes[ACCOUNT NAME],MATCH(B330,AccountCodes[NGAS CODE],0))</f>
        <v>Depreciation-Transportation Equipment - Watercrafts</v>
      </c>
      <c r="B330" s="617" t="s">
        <v>328</v>
      </c>
      <c r="C330" s="615">
        <f t="array" ref="C330">INDEX(AccountCodes[PPSAS CODE],MATCH(B330,AccountCodes[NGAS CODE],0))</f>
        <v>5050106004</v>
      </c>
      <c r="D330" s="616">
        <f>IF(INDEX(AccountCodes[Normal Balance], MATCH(C330,AccountCodes[PPSAS CODE]))="Debit",E330-F330,0)</f>
        <v>0</v>
      </c>
      <c r="E330" s="488">
        <f t="array" ref="E330">(SUM(IF((PostTB[Account Code (Old)]=B330),(PostTB[Debit])))+(SUM(IF((CkDJ[Account Code]=B330)*(CkDJ[Date]&lt;=$A$7),(CkDJ[Debit])))+(SUM(IF((CsDJ[Account Code]=B330)*(CsDJ[Date]&lt;=$A$7),(CsDJ[Debit])))+(SUM(IF((CRDJ[Account Code]=B330)*(CRDJ[Date]&lt;=$A$7),(CRDJ[Debit])))+(SUM(IF((GJ[Account Code]=B330)*(GJ[Date]&lt;=$A$7),(GJ[Debit]))))))))</f>
        <v>0</v>
      </c>
      <c r="F330" s="490">
        <f t="array" ref="F330">(SUM(IF((PostTB[Account Code (Old)]=B330),(PostTB[Credit])))+(SUM(IF((CkDJ[Account Code]=B330)*(CkDJ[Date]&lt;=$A$7),(CkDJ[Credit])))+(SUM(IF((CsDJ[Account Code]=B330)*(CsDJ[Date]&lt;=$A$7),(CsDJ[Credit])))+(SUM(IF((CRDJ[Account Code]=B330)*(CRDJ[Date]&lt;=$A$7),(CRDJ[Credit])))+(SUM(IF((GJ[Account Code]=B330)*(GJ[Date]&lt;=$A$7),(GJ[Credit]))))))))</f>
        <v>0</v>
      </c>
      <c r="G330" s="620">
        <f>IF(INDEX(AccountCodes[Normal Balance], MATCH(C330,AccountCodes[PPSAS CODE]))="Credit",F330-E330,0)</f>
        <v>0</v>
      </c>
      <c r="H330" s="621">
        <f t="shared" si="5"/>
        <v>0</v>
      </c>
    </row>
    <row r="331" spans="1:8" ht="15.75" hidden="1" x14ac:dyDescent="0.25">
      <c r="A331" s="618" t="str">
        <f t="array" ref="A331">INDEX(AccountCodes[ACCOUNT NAME],MATCH(B331,AccountCodes[NGAS CODE],0))</f>
        <v>Depreciation-Transportation Equipment - Other Transportation Equipment</v>
      </c>
      <c r="B331" s="617" t="s">
        <v>329</v>
      </c>
      <c r="C331" s="615">
        <f t="array" ref="C331">INDEX(AccountCodes[PPSAS CODE],MATCH(B331,AccountCodes[NGAS CODE],0))</f>
        <v>5050106099</v>
      </c>
      <c r="D331" s="616">
        <f>IF(INDEX(AccountCodes[Normal Balance], MATCH(C331,AccountCodes[PPSAS CODE]))="Debit",E331-F331,0)</f>
        <v>0</v>
      </c>
      <c r="E331" s="488">
        <f t="array" ref="E331">(SUM(IF((PostTB[Account Code (Old)]=B331),(PostTB[Debit])))+(SUM(IF((CkDJ[Account Code]=B331)*(CkDJ[Date]&lt;=$A$7),(CkDJ[Debit])))+(SUM(IF((CsDJ[Account Code]=B331)*(CsDJ[Date]&lt;=$A$7),(CsDJ[Debit])))+(SUM(IF((CRDJ[Account Code]=B331)*(CRDJ[Date]&lt;=$A$7),(CRDJ[Debit])))+(SUM(IF((GJ[Account Code]=B331)*(GJ[Date]&lt;=$A$7),(GJ[Debit]))))))))</f>
        <v>0</v>
      </c>
      <c r="F331" s="490">
        <f t="array" ref="F331">(SUM(IF((PostTB[Account Code (Old)]=B331),(PostTB[Credit])))+(SUM(IF((CkDJ[Account Code]=B331)*(CkDJ[Date]&lt;=$A$7),(CkDJ[Credit])))+(SUM(IF((CsDJ[Account Code]=B331)*(CsDJ[Date]&lt;=$A$7),(CsDJ[Credit])))+(SUM(IF((CRDJ[Account Code]=B331)*(CRDJ[Date]&lt;=$A$7),(CRDJ[Credit])))+(SUM(IF((GJ[Account Code]=B331)*(GJ[Date]&lt;=$A$7),(GJ[Credit]))))))))</f>
        <v>0</v>
      </c>
      <c r="G331" s="620">
        <f>IF(INDEX(AccountCodes[Normal Balance], MATCH(C331,AccountCodes[PPSAS CODE]))="Credit",F331-E331,0)</f>
        <v>0</v>
      </c>
      <c r="H331" s="621">
        <f t="shared" si="5"/>
        <v>0</v>
      </c>
    </row>
    <row r="332" spans="1:8" ht="15.75" hidden="1" x14ac:dyDescent="0.25">
      <c r="A332" s="618" t="str">
        <f t="array" ref="A332">INDEX(AccountCodes[ACCOUNT NAME],MATCH(B332,AccountCodes[NGAS CODE],0))</f>
        <v>Depreciation-Furniture, Fixtures and Books - Furniture and Fixtures</v>
      </c>
      <c r="B332" s="617" t="s">
        <v>279</v>
      </c>
      <c r="C332" s="615">
        <f t="array" ref="C332">INDEX(AccountCodes[PPSAS CODE],MATCH(B332,AccountCodes[NGAS CODE],0))</f>
        <v>5050107001</v>
      </c>
      <c r="D332" s="616">
        <f>IF(INDEX(AccountCodes[Normal Balance], MATCH(C332,AccountCodes[PPSAS CODE]))="Debit",E332-F332,0)</f>
        <v>0</v>
      </c>
      <c r="E332" s="488">
        <f t="array" ref="E332">(SUM(IF((PostTB[Account Code (Old)]=B332),(PostTB[Debit])))+(SUM(IF((CkDJ[Account Code]=B332)*(CkDJ[Date]&lt;=$A$7),(CkDJ[Debit])))+(SUM(IF((CsDJ[Account Code]=B332)*(CsDJ[Date]&lt;=$A$7),(CsDJ[Debit])))+(SUM(IF((CRDJ[Account Code]=B332)*(CRDJ[Date]&lt;=$A$7),(CRDJ[Debit])))+(SUM(IF((GJ[Account Code]=B332)*(GJ[Date]&lt;=$A$7),(GJ[Debit]))))))))</f>
        <v>0</v>
      </c>
      <c r="F332" s="490">
        <f t="array" ref="F332">(SUM(IF((PostTB[Account Code (Old)]=B332),(PostTB[Credit])))+(SUM(IF((CkDJ[Account Code]=B332)*(CkDJ[Date]&lt;=$A$7),(CkDJ[Credit])))+(SUM(IF((CsDJ[Account Code]=B332)*(CsDJ[Date]&lt;=$A$7),(CsDJ[Credit])))+(SUM(IF((CRDJ[Account Code]=B332)*(CRDJ[Date]&lt;=$A$7),(CRDJ[Credit])))+(SUM(IF((GJ[Account Code]=B332)*(GJ[Date]&lt;=$A$7),(GJ[Credit]))))))))</f>
        <v>0</v>
      </c>
      <c r="G332" s="620">
        <f>IF(INDEX(AccountCodes[Normal Balance], MATCH(C332,AccountCodes[PPSAS CODE]))="Credit",F332-E332,0)</f>
        <v>0</v>
      </c>
      <c r="H332" s="621">
        <f t="shared" si="5"/>
        <v>0</v>
      </c>
    </row>
    <row r="333" spans="1:8" ht="15.75" hidden="1" x14ac:dyDescent="0.25">
      <c r="A333" s="618" t="str">
        <f t="array" ref="A333">INDEX(AccountCodes[ACCOUNT NAME],MATCH(B333,AccountCodes[NGAS CODE],0))</f>
        <v>Depreciation-Furniture, Fixtures and Books - Books</v>
      </c>
      <c r="B333" s="617" t="s">
        <v>281</v>
      </c>
      <c r="C333" s="615">
        <f t="array" ref="C333">INDEX(AccountCodes[PPSAS CODE],MATCH(B333,AccountCodes[NGAS CODE],0))</f>
        <v>5050107002</v>
      </c>
      <c r="D333" s="616">
        <f>IF(INDEX(AccountCodes[Normal Balance], MATCH(C333,AccountCodes[PPSAS CODE]))="Debit",E333-F333,0)</f>
        <v>0</v>
      </c>
      <c r="E333" s="488">
        <f t="array" ref="E333">(SUM(IF((PostTB[Account Code (Old)]=B333),(PostTB[Debit])))+(SUM(IF((CkDJ[Account Code]=B333)*(CkDJ[Date]&lt;=$A$7),(CkDJ[Debit])))+(SUM(IF((CsDJ[Account Code]=B333)*(CsDJ[Date]&lt;=$A$7),(CsDJ[Debit])))+(SUM(IF((CRDJ[Account Code]=B333)*(CRDJ[Date]&lt;=$A$7),(CRDJ[Debit])))+(SUM(IF((GJ[Account Code]=B333)*(GJ[Date]&lt;=$A$7),(GJ[Debit]))))))))</f>
        <v>0</v>
      </c>
      <c r="F333" s="490">
        <f t="array" ref="F333">(SUM(IF((PostTB[Account Code (Old)]=B333),(PostTB[Credit])))+(SUM(IF((CkDJ[Account Code]=B333)*(CkDJ[Date]&lt;=$A$7),(CkDJ[Credit])))+(SUM(IF((CsDJ[Account Code]=B333)*(CsDJ[Date]&lt;=$A$7),(CsDJ[Credit])))+(SUM(IF((CRDJ[Account Code]=B333)*(CRDJ[Date]&lt;=$A$7),(CRDJ[Credit])))+(SUM(IF((GJ[Account Code]=B333)*(GJ[Date]&lt;=$A$7),(GJ[Credit]))))))))</f>
        <v>0</v>
      </c>
      <c r="G333" s="620">
        <f>IF(INDEX(AccountCodes[Normal Balance], MATCH(C333,AccountCodes[PPSAS CODE]))="Credit",F333-E333,0)</f>
        <v>0</v>
      </c>
      <c r="H333" s="621">
        <f t="shared" si="5"/>
        <v>0</v>
      </c>
    </row>
    <row r="334" spans="1:8" ht="15.75" hidden="1" x14ac:dyDescent="0.25">
      <c r="A334" s="618" t="str">
        <f t="array" ref="A334">INDEX(AccountCodes[ACCOUNT NAME],MATCH(B334,AccountCodes[NGAS CODE],0))</f>
        <v>Depreciation-Other Property, Plant and Equipment</v>
      </c>
      <c r="B334" s="617" t="s">
        <v>330</v>
      </c>
      <c r="C334" s="615">
        <f t="array" ref="C334">INDEX(AccountCodes[PPSAS CODE],MATCH(B334,AccountCodes[NGAS CODE],0))</f>
        <v>5050199000</v>
      </c>
      <c r="D334" s="616">
        <f>IF(INDEX(AccountCodes[Normal Balance], MATCH(C334,AccountCodes[PPSAS CODE]))="Debit",E334-F334,0)</f>
        <v>0</v>
      </c>
      <c r="E334" s="488">
        <f t="array" ref="E334">(SUM(IF((PostTB[Account Code (Old)]=B334),(PostTB[Debit])))+(SUM(IF((CkDJ[Account Code]=B334)*(CkDJ[Date]&lt;=$A$7),(CkDJ[Debit])))+(SUM(IF((CsDJ[Account Code]=B334)*(CsDJ[Date]&lt;=$A$7),(CsDJ[Debit])))+(SUM(IF((CRDJ[Account Code]=B334)*(CRDJ[Date]&lt;=$A$7),(CRDJ[Debit])))+(SUM(IF((GJ[Account Code]=B334)*(GJ[Date]&lt;=$A$7),(GJ[Debit]))))))))</f>
        <v>0</v>
      </c>
      <c r="F334" s="490">
        <f t="array" ref="F334">(SUM(IF((PostTB[Account Code (Old)]=B334),(PostTB[Credit])))+(SUM(IF((CkDJ[Account Code]=B334)*(CkDJ[Date]&lt;=$A$7),(CkDJ[Credit])))+(SUM(IF((CsDJ[Account Code]=B334)*(CsDJ[Date]&lt;=$A$7),(CsDJ[Credit])))+(SUM(IF((CRDJ[Account Code]=B334)*(CRDJ[Date]&lt;=$A$7),(CRDJ[Credit])))+(SUM(IF((GJ[Account Code]=B334)*(GJ[Date]&lt;=$A$7),(GJ[Credit]))))))))</f>
        <v>0</v>
      </c>
      <c r="G334" s="620">
        <f>IF(INDEX(AccountCodes[Normal Balance], MATCH(C334,AccountCodes[PPSAS CODE]))="Credit",F334-E334,0)</f>
        <v>0</v>
      </c>
      <c r="H334" s="621">
        <f t="shared" si="5"/>
        <v>0</v>
      </c>
    </row>
    <row r="335" spans="1:8" ht="15.75" x14ac:dyDescent="0.25">
      <c r="A335" s="656" t="s">
        <v>831</v>
      </c>
      <c r="B335" s="657"/>
      <c r="C335" s="651"/>
      <c r="D335" s="652">
        <f>SUBTOTAL(109,TB[DEBIT])</f>
        <v>144748871.22</v>
      </c>
      <c r="E335" s="658">
        <f>SUBTOTAL(109,TB[DEBIT
TOTAL])</f>
        <v>144748871.22999999</v>
      </c>
      <c r="F335" s="658">
        <f>SUBTOTAL(109,TB[CREDIT
TOTAL])</f>
        <v>131232581.78</v>
      </c>
      <c r="G335" s="658">
        <f>SUBTOTAL(109,TB[CREDIT])</f>
        <v>131232581.77</v>
      </c>
      <c r="H335" s="659">
        <f>SUBTOTAL(109,TB[DEBIT/CREDIT])</f>
        <v>275981452.99000001</v>
      </c>
    </row>
    <row r="351" spans="1:7" ht="15.75" x14ac:dyDescent="0.25">
      <c r="A351" s="731" t="s">
        <v>1573</v>
      </c>
      <c r="B351" s="729"/>
      <c r="C351" s="729"/>
      <c r="D351" s="729" t="s">
        <v>461</v>
      </c>
      <c r="E351" s="729"/>
      <c r="F351" s="729"/>
      <c r="G351" s="729"/>
    </row>
    <row r="352" spans="1:7" ht="15.75" x14ac:dyDescent="0.25">
      <c r="A352" s="731"/>
      <c r="B352" s="729"/>
      <c r="C352" s="729"/>
      <c r="D352" s="729"/>
      <c r="E352" s="729"/>
      <c r="F352" s="729"/>
      <c r="G352" s="729"/>
    </row>
    <row r="353" spans="1:7" ht="15.75" x14ac:dyDescent="0.25">
      <c r="A353" s="729"/>
      <c r="B353" s="729"/>
      <c r="C353" s="729"/>
      <c r="D353" s="729"/>
      <c r="E353" s="729"/>
      <c r="F353" s="729"/>
      <c r="G353" s="729"/>
    </row>
    <row r="354" spans="1:7" ht="15.75" x14ac:dyDescent="0.25">
      <c r="A354" s="732" t="s">
        <v>1571</v>
      </c>
      <c r="B354" s="737"/>
      <c r="C354" s="730"/>
      <c r="D354" s="734" t="s">
        <v>1562</v>
      </c>
      <c r="E354" s="729"/>
      <c r="F354" s="729"/>
      <c r="G354" s="730"/>
    </row>
    <row r="355" spans="1:7" ht="15.75" x14ac:dyDescent="0.25">
      <c r="A355" s="733" t="s">
        <v>1572</v>
      </c>
      <c r="B355" s="729"/>
      <c r="C355" s="729"/>
      <c r="D355" s="735" t="s">
        <v>1570</v>
      </c>
      <c r="E355" s="729"/>
      <c r="F355" s="729"/>
      <c r="G355" s="730"/>
    </row>
  </sheetData>
  <sheetProtection autoFilter="0"/>
  <printOptions horizontalCentered="1"/>
  <pageMargins left="0.25" right="0.25" top="0.75" bottom="1.75" header="0.3" footer="1.5"/>
  <pageSetup paperSize="41" scale="80" orientation="portrait" horizontalDpi="300" verticalDpi="300" r:id="rId1"/>
  <headerFooter>
    <oddFooter>Page &amp;P of &amp;N</oddFooter>
  </headerFooter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0">
    <tabColor rgb="FFFF0000"/>
  </sheetPr>
  <dimension ref="A1:J173"/>
  <sheetViews>
    <sheetView view="pageBreakPreview" topLeftCell="A104" zoomScale="80" zoomScaleNormal="100" zoomScaleSheetLayoutView="80" workbookViewId="0">
      <selection activeCell="A146" sqref="A146"/>
    </sheetView>
  </sheetViews>
  <sheetFormatPr defaultColWidth="9" defaultRowHeight="15.75" x14ac:dyDescent="0.25"/>
  <cols>
    <col min="1" max="2" width="9" style="108"/>
    <col min="3" max="3" width="13.5" style="108" customWidth="1"/>
    <col min="4" max="4" width="14.5" style="108" customWidth="1"/>
    <col min="5" max="5" width="11.375" style="108" customWidth="1"/>
    <col min="6" max="6" width="13.875" style="108" customWidth="1"/>
    <col min="7" max="7" width="9.125" style="198" customWidth="1"/>
    <col min="8" max="8" width="12.625" style="198" customWidth="1"/>
    <col min="9" max="9" width="16.5" style="108" customWidth="1"/>
    <col min="10" max="10" width="15" style="108" hidden="1" customWidth="1"/>
    <col min="11" max="11" width="9" style="108"/>
    <col min="12" max="12" width="16.125" style="108" customWidth="1"/>
    <col min="13" max="16384" width="9" style="108"/>
  </cols>
  <sheetData>
    <row r="1" spans="1:9" ht="24" customHeight="1" x14ac:dyDescent="0.25"/>
    <row r="2" spans="1:9" s="863" customFormat="1" ht="23.25" x14ac:dyDescent="0.35">
      <c r="A2" s="862" t="s">
        <v>355</v>
      </c>
      <c r="B2" s="890"/>
      <c r="C2" s="890"/>
      <c r="D2" s="915"/>
      <c r="E2" s="890"/>
      <c r="F2" s="890"/>
      <c r="G2" s="891"/>
      <c r="H2" s="891"/>
      <c r="I2" s="890"/>
    </row>
    <row r="3" spans="1:9" x14ac:dyDescent="0.25">
      <c r="A3" s="892" t="s">
        <v>1064</v>
      </c>
      <c r="B3" s="128"/>
      <c r="C3" s="128"/>
      <c r="D3" s="128"/>
      <c r="E3" s="128"/>
      <c r="F3" s="128"/>
      <c r="G3" s="893"/>
      <c r="H3" s="893"/>
      <c r="I3" s="128"/>
    </row>
    <row r="4" spans="1:9" x14ac:dyDescent="0.25">
      <c r="A4" s="2" t="s">
        <v>1538</v>
      </c>
      <c r="B4" s="128"/>
      <c r="C4" s="128"/>
      <c r="D4" s="128"/>
      <c r="E4" s="128"/>
      <c r="F4" s="128"/>
      <c r="G4" s="893"/>
      <c r="H4" s="893"/>
      <c r="I4" s="128"/>
    </row>
    <row r="5" spans="1:9" x14ac:dyDescent="0.25">
      <c r="A5" s="894" t="str">
        <f>Account!$G$1</f>
        <v>FUND 501 CARP</v>
      </c>
      <c r="B5" s="128"/>
      <c r="C5" s="128"/>
      <c r="D5" s="128"/>
      <c r="E5" s="128"/>
      <c r="F5" s="128"/>
      <c r="G5" s="893"/>
      <c r="H5" s="893"/>
      <c r="I5" s="128"/>
    </row>
    <row r="6" spans="1:9" x14ac:dyDescent="0.25">
      <c r="A6" s="2" t="s">
        <v>1622</v>
      </c>
      <c r="B6" s="2"/>
      <c r="C6" s="2"/>
      <c r="D6" s="2"/>
      <c r="E6" s="2"/>
      <c r="F6" s="2"/>
      <c r="G6" s="895"/>
      <c r="H6" s="895"/>
      <c r="I6" s="2"/>
    </row>
    <row r="7" spans="1:9" x14ac:dyDescent="0.25">
      <c r="A7" s="894">
        <f>Account!$G$2</f>
        <v>44500</v>
      </c>
      <c r="B7" s="2"/>
      <c r="C7" s="2"/>
      <c r="D7" s="2"/>
      <c r="E7" s="2"/>
      <c r="F7" s="2"/>
      <c r="G7" s="895"/>
      <c r="H7" s="895"/>
      <c r="I7" s="2"/>
    </row>
    <row r="9" spans="1:9" x14ac:dyDescent="0.25">
      <c r="A9" s="896" t="s">
        <v>402</v>
      </c>
      <c r="B9" s="896"/>
      <c r="C9" s="896"/>
      <c r="D9" s="896"/>
      <c r="E9" s="896"/>
      <c r="F9" s="896"/>
      <c r="G9" s="897" t="s">
        <v>403</v>
      </c>
      <c r="H9" s="897"/>
      <c r="I9" s="896" t="s">
        <v>404</v>
      </c>
    </row>
    <row r="11" spans="1:9" x14ac:dyDescent="0.25">
      <c r="A11" s="29" t="s">
        <v>427</v>
      </c>
    </row>
    <row r="12" spans="1:9" x14ac:dyDescent="0.25">
      <c r="A12" s="898" t="str">
        <f t="array" ref="A12">INDEX(AccountCodes[ACCOUNT NAME],MATCH(G12,AccountCodes[NGAS CODE],0))</f>
        <v>Other Service Income - Irrigation Service Fee (Back Account)</v>
      </c>
      <c r="B12" s="899"/>
      <c r="C12" s="899"/>
      <c r="D12" s="899"/>
      <c r="E12" s="899"/>
      <c r="F12" s="899"/>
      <c r="G12" s="460" t="s">
        <v>126</v>
      </c>
      <c r="H12" s="459">
        <f>INDEX(AccountCodes[PPSAS CODE],MATCH(G12,AccountCodes[NGAS CODE],0))</f>
        <v>4020199099</v>
      </c>
      <c r="I12" s="900">
        <f>SUMIF(TB[ACCOUNT CODE (NGAS)],G12,TB[DEBIT/CREDIT])</f>
        <v>0</v>
      </c>
    </row>
    <row r="13" spans="1:9" hidden="1" x14ac:dyDescent="0.25">
      <c r="A13" s="898" t="str">
        <f t="array" ref="A13">INDEX(AccountCodes[ACCOUNT NAME],MATCH(G13,AccountCodes[NGAS CODE],0))</f>
        <v>Other Service Income - Irrigation Service Fee (Back Account) (MC # 54)</v>
      </c>
      <c r="B13" s="899"/>
      <c r="C13" s="899"/>
      <c r="D13" s="899"/>
      <c r="E13" s="899"/>
      <c r="F13" s="899"/>
      <c r="G13" s="460" t="s">
        <v>721</v>
      </c>
      <c r="H13" s="459">
        <f>INDEX(AccountCodes[PPSAS CODE],MATCH(G13,AccountCodes[NGAS CODE],0))</f>
        <v>4020199099</v>
      </c>
      <c r="I13" s="900">
        <f>SUMIF(TB[ACCOUNT CODE (NGAS)],G13,TB[DEBIT/CREDIT])</f>
        <v>0</v>
      </c>
    </row>
    <row r="14" spans="1:9" hidden="1" x14ac:dyDescent="0.25">
      <c r="A14" s="898" t="str">
        <f t="array" ref="A14">INDEX(AccountCodes[ACCOUNT NAME],MATCH(G14,AccountCodes[NGAS CODE],0))</f>
        <v>Other Service Income - CIS Equity &amp; Amortization</v>
      </c>
      <c r="B14" s="899"/>
      <c r="C14" s="899"/>
      <c r="D14" s="899"/>
      <c r="E14" s="899"/>
      <c r="F14" s="899"/>
      <c r="G14" s="460" t="s">
        <v>127</v>
      </c>
      <c r="H14" s="459">
        <f>INDEX(AccountCodes[PPSAS CODE],MATCH(G14,AccountCodes[NGAS CODE],0))</f>
        <v>4020199099</v>
      </c>
      <c r="I14" s="900">
        <f>SUMIF(TB[ACCOUNT CODE (NGAS)],G14,TB[DEBIT/CREDIT])</f>
        <v>0</v>
      </c>
    </row>
    <row r="15" spans="1:9" hidden="1" x14ac:dyDescent="0.25">
      <c r="A15" s="898" t="str">
        <f t="array" ref="A15">INDEX(AccountCodes[ACCOUNT NAME],MATCH(G15,AccountCodes[NGAS CODE],0))</f>
        <v>Other Service Income - CIS Amortization (Current Account)</v>
      </c>
      <c r="B15" s="899"/>
      <c r="C15" s="899"/>
      <c r="D15" s="899"/>
      <c r="E15" s="899"/>
      <c r="F15" s="899"/>
      <c r="G15" s="460" t="s">
        <v>128</v>
      </c>
      <c r="H15" s="459">
        <f>INDEX(AccountCodes[PPSAS CODE],MATCH(G15,AccountCodes[NGAS CODE],0))</f>
        <v>4020199099</v>
      </c>
      <c r="I15" s="900">
        <f>SUMIF(TB[ACCOUNT CODE (NGAS)],G15,TB[DEBIT/CREDIT])</f>
        <v>0</v>
      </c>
    </row>
    <row r="16" spans="1:9" hidden="1" x14ac:dyDescent="0.25">
      <c r="A16" s="898" t="str">
        <f t="array" ref="A16">INDEX(AccountCodes[ACCOUNT NAME],MATCH(G16,AccountCodes[NGAS CODE],0))</f>
        <v>Other Service Income - CIS Amortization (Back Account)</v>
      </c>
      <c r="B16" s="899"/>
      <c r="C16" s="899"/>
      <c r="D16" s="899"/>
      <c r="E16" s="899"/>
      <c r="F16" s="899"/>
      <c r="G16" s="460" t="s">
        <v>129</v>
      </c>
      <c r="H16" s="459">
        <f>INDEX(AccountCodes[PPSAS CODE],MATCH(G16,AccountCodes[NGAS CODE],0))</f>
        <v>4020199099</v>
      </c>
      <c r="I16" s="900">
        <f>SUMIF(TB[ACCOUNT CODE (NGAS)],G16,TB[DEBIT/CREDIT])</f>
        <v>0</v>
      </c>
    </row>
    <row r="17" spans="1:9" hidden="1" x14ac:dyDescent="0.25">
      <c r="A17" s="898" t="str">
        <f t="array" ref="A17">INDEX(AccountCodes[ACCOUNT NAME],MATCH(G17,AccountCodes[NGAS CODE],0))</f>
        <v>Other Service Income - Pump Amortization (Current Account)</v>
      </c>
      <c r="B17" s="899"/>
      <c r="C17" s="899"/>
      <c r="D17" s="899"/>
      <c r="E17" s="899"/>
      <c r="F17" s="899"/>
      <c r="G17" s="460" t="s">
        <v>131</v>
      </c>
      <c r="H17" s="459">
        <f>INDEX(AccountCodes[PPSAS CODE],MATCH(G17,AccountCodes[NGAS CODE],0))</f>
        <v>4020199099</v>
      </c>
      <c r="I17" s="900">
        <f>SUMIF(TB[ACCOUNT CODE (NGAS)],G17,TB[DEBIT/CREDIT])</f>
        <v>0</v>
      </c>
    </row>
    <row r="18" spans="1:9" hidden="1" x14ac:dyDescent="0.25">
      <c r="A18" s="898" t="str">
        <f t="array" ref="A18">INDEX(AccountCodes[ACCOUNT NAME],MATCH(G18,AccountCodes[NGAS CODE],0))</f>
        <v>Other Service Income - Pump Equity (Current Account)</v>
      </c>
      <c r="B18" s="899"/>
      <c r="C18" s="899"/>
      <c r="D18" s="899"/>
      <c r="E18" s="899"/>
      <c r="F18" s="899"/>
      <c r="G18" s="460" t="s">
        <v>141</v>
      </c>
      <c r="H18" s="459">
        <f>INDEX(AccountCodes[PPSAS CODE],MATCH(G18,AccountCodes[NGAS CODE],0))</f>
        <v>4020199099</v>
      </c>
      <c r="I18" s="900">
        <f>SUMIF(TB[ACCOUNT CODE (NGAS)],G18,TB[DEBIT/CREDIT])</f>
        <v>0</v>
      </c>
    </row>
    <row r="19" spans="1:9" hidden="1" x14ac:dyDescent="0.25">
      <c r="A19" s="898" t="str">
        <f t="array" ref="A19">INDEX(AccountCodes[ACCOUNT NAME],MATCH(G19,AccountCodes[NGAS CODE],0))</f>
        <v>Other Service Income - Pump Equity (Back Account)</v>
      </c>
      <c r="B19" s="899"/>
      <c r="C19" s="899"/>
      <c r="D19" s="899"/>
      <c r="E19" s="899"/>
      <c r="F19" s="899"/>
      <c r="G19" s="460" t="s">
        <v>142</v>
      </c>
      <c r="H19" s="459">
        <f>INDEX(AccountCodes[PPSAS CODE],MATCH(G19,AccountCodes[NGAS CODE],0))</f>
        <v>4020199099</v>
      </c>
      <c r="I19" s="900">
        <f>SUMIF(TB[ACCOUNT CODE (NGAS)],G19,TB[DEBIT/CREDIT])</f>
        <v>0</v>
      </c>
    </row>
    <row r="20" spans="1:9" hidden="1" x14ac:dyDescent="0.25">
      <c r="A20" s="898" t="str">
        <f t="array" ref="A20">INDEX(AccountCodes[ACCOUNT NAME],MATCH(G20,AccountCodes[NGAS CODE],0))</f>
        <v>Fines and Penalties-Irrigation Service Fee</v>
      </c>
      <c r="B20" s="899"/>
      <c r="C20" s="899"/>
      <c r="D20" s="899"/>
      <c r="E20" s="899"/>
      <c r="F20" s="899"/>
      <c r="G20" s="460" t="s">
        <v>143</v>
      </c>
      <c r="H20" s="459">
        <f>INDEX(AccountCodes[PPSAS CODE],MATCH(G20,AccountCodes[NGAS CODE],0))</f>
        <v>4020223000</v>
      </c>
      <c r="I20" s="900">
        <f>SUMIF(TB[ACCOUNT CODE (NGAS)],G20,TB[DEBIT/CREDIT])</f>
        <v>0</v>
      </c>
    </row>
    <row r="21" spans="1:9" hidden="1" x14ac:dyDescent="0.25">
      <c r="A21" s="898" t="str">
        <f t="array" ref="A21">INDEX(AccountCodes[ACCOUNT NAME],MATCH(G21,AccountCodes[NGAS CODE],0))</f>
        <v>Equipment Rental</v>
      </c>
      <c r="B21" s="899"/>
      <c r="C21" s="899"/>
      <c r="D21" s="899"/>
      <c r="E21" s="899"/>
      <c r="F21" s="899"/>
      <c r="G21" s="460" t="s">
        <v>1540</v>
      </c>
      <c r="H21" s="459">
        <f>INDEX(AccountCodes[PPSAS CODE],MATCH(G21,AccountCodes[NGAS CODE],0))</f>
        <v>4020205000</v>
      </c>
      <c r="I21" s="900">
        <f>SUMIF(TB[ACCOUNT CODE (NGAS)],G21,TB[DEBIT/CREDIT])</f>
        <v>0</v>
      </c>
    </row>
    <row r="22" spans="1:9" hidden="1" x14ac:dyDescent="0.25">
      <c r="A22" s="898" t="str">
        <f t="array" ref="A22">INDEX(AccountCodes[ACCOUNT NAME],MATCH(G22,AccountCodes[NGAS CODE],0))</f>
        <v>Equipment Rental - Internal (CA)</v>
      </c>
      <c r="B22" s="899"/>
      <c r="C22" s="899"/>
      <c r="D22" s="899"/>
      <c r="E22" s="899"/>
      <c r="F22" s="899"/>
      <c r="G22" s="460" t="s">
        <v>146</v>
      </c>
      <c r="H22" s="459">
        <f>INDEX(AccountCodes[PPSAS CODE],MATCH(G22,AccountCodes[NGAS CODE],0))</f>
        <v>4020205001</v>
      </c>
      <c r="I22" s="900">
        <f>SUMIF(TB[ACCOUNT CODE (NGAS)],G22,TB[DEBIT/CREDIT])</f>
        <v>0</v>
      </c>
    </row>
    <row r="23" spans="1:9" hidden="1" x14ac:dyDescent="0.25">
      <c r="A23" s="898" t="str">
        <f t="array" ref="A23">INDEX(AccountCodes[ACCOUNT NAME],MATCH(G23,AccountCodes[NGAS CODE],0))</f>
        <v>Equipment Rental - External (CA)</v>
      </c>
      <c r="B23" s="899"/>
      <c r="C23" s="899"/>
      <c r="D23" s="899"/>
      <c r="E23" s="899"/>
      <c r="F23" s="899"/>
      <c r="G23" s="460" t="s">
        <v>147</v>
      </c>
      <c r="H23" s="459">
        <f>INDEX(AccountCodes[PPSAS CODE],MATCH(G23,AccountCodes[NGAS CODE],0))</f>
        <v>4020205002</v>
      </c>
      <c r="I23" s="900">
        <f>SUMIF(TB[ACCOUNT CODE (NGAS)],G23,TB[DEBIT/CREDIT])</f>
        <v>0</v>
      </c>
    </row>
    <row r="24" spans="1:9" hidden="1" x14ac:dyDescent="0.25">
      <c r="A24" s="898" t="str">
        <f t="array" ref="A24">INDEX(AccountCodes[ACCOUNT NAME],MATCH(G24,AccountCodes[NGAS CODE],0))</f>
        <v>Income from Hostels/Dormitories and Other Like Facilities</v>
      </c>
      <c r="B24" s="899"/>
      <c r="C24" s="899"/>
      <c r="D24" s="899"/>
      <c r="E24" s="899"/>
      <c r="F24" s="899"/>
      <c r="G24" s="460" t="s">
        <v>150</v>
      </c>
      <c r="H24" s="459">
        <f>INDEX(AccountCodes[PPSAS CODE],MATCH(G24,AccountCodes[NGAS CODE],0))</f>
        <v>4020213000</v>
      </c>
      <c r="I24" s="900">
        <f>SUMIF(TB[ACCOUNT CODE (NGAS)],G24,TB[DEBIT/CREDIT])</f>
        <v>0</v>
      </c>
    </row>
    <row r="25" spans="1:9" hidden="1" x14ac:dyDescent="0.25">
      <c r="A25" s="898" t="str">
        <f t="array" ref="A25">INDEX(AccountCodes[ACCOUNT NAME],MATCH(G25,AccountCodes[NGAS CODE],0))</f>
        <v>Interest Income</v>
      </c>
      <c r="B25" s="899"/>
      <c r="C25" s="899"/>
      <c r="D25" s="899"/>
      <c r="E25" s="899"/>
      <c r="F25" s="899"/>
      <c r="G25" s="460" t="s">
        <v>154</v>
      </c>
      <c r="H25" s="459">
        <f>INDEX(AccountCodes[PPSAS CODE],MATCH(G25,AccountCodes[NGAS CODE],0))</f>
        <v>4020221000</v>
      </c>
      <c r="I25" s="900">
        <f>SUMIF(TB[ACCOUNT CODE (NGAS)],G25,TB[DEBIT/CREDIT])</f>
        <v>0</v>
      </c>
    </row>
    <row r="26" spans="1:9" hidden="1" x14ac:dyDescent="0.25">
      <c r="A26" s="898" t="str">
        <f t="array" ref="A26">INDEX(AccountCodes[ACCOUNT NAME],MATCH(G26,AccountCodes[NGAS CODE],0))</f>
        <v>Miscellaneous Income (Bid Documents)</v>
      </c>
      <c r="B26" s="899"/>
      <c r="C26" s="899"/>
      <c r="D26" s="899"/>
      <c r="E26" s="899"/>
      <c r="F26" s="899"/>
      <c r="G26" s="460" t="s">
        <v>155</v>
      </c>
      <c r="H26" s="459">
        <f>INDEX(AccountCodes[PPSAS CODE],MATCH(G26,AccountCodes[NGAS CODE],0))</f>
        <v>4060999000</v>
      </c>
      <c r="I26" s="900">
        <f>SUMIF(TB[ACCOUNT CODE (NGAS)],G26,TB[DEBIT/CREDIT])</f>
        <v>0</v>
      </c>
    </row>
    <row r="27" spans="1:9" hidden="1" x14ac:dyDescent="0.25">
      <c r="A27" s="898" t="str">
        <f t="array" ref="A27">INDEX(AccountCodes[ACCOUNT NAME],MATCH(G27,AccountCodes[NGAS CODE],0))</f>
        <v>Sale of Unserviceable Property</v>
      </c>
      <c r="B27" s="899"/>
      <c r="C27" s="899"/>
      <c r="D27" s="899"/>
      <c r="E27" s="899"/>
      <c r="F27" s="899"/>
      <c r="G27" s="460" t="s">
        <v>156</v>
      </c>
      <c r="H27" s="459">
        <f>INDEX(AccountCodes[PPSAS CODE],MATCH(G27,AccountCodes[NGAS CODE],0))</f>
        <v>4060102000</v>
      </c>
      <c r="I27" s="900">
        <f>SUMIF(TB[ACCOUNT CODE (NGAS)],G27,TB[DEBIT/CREDIT])</f>
        <v>0</v>
      </c>
    </row>
    <row r="28" spans="1:9" hidden="1" x14ac:dyDescent="0.25">
      <c r="A28" s="898" t="str">
        <f t="array" ref="A28">INDEX(AccountCodes[ACCOUNT NAME],MATCH(G28,AccountCodes[NGAS CODE],0))</f>
        <v>Miscellaneous Income (Scrap of Fixed Assets)</v>
      </c>
      <c r="B28" s="899"/>
      <c r="C28" s="899"/>
      <c r="D28" s="899"/>
      <c r="E28" s="899"/>
      <c r="F28" s="899"/>
      <c r="G28" s="460" t="s">
        <v>159</v>
      </c>
      <c r="H28" s="459">
        <f>INDEX(AccountCodes[PPSAS CODE],MATCH(G28,AccountCodes[NGAS CODE],0))</f>
        <v>4060999000</v>
      </c>
      <c r="I28" s="900">
        <f>SUMIF(TB[ACCOUNT CODE (NGAS)],G28,TB[DEBIT/CREDIT])</f>
        <v>0</v>
      </c>
    </row>
    <row r="29" spans="1:9" hidden="1" x14ac:dyDescent="0.25">
      <c r="A29" s="898" t="str">
        <f t="array" ref="A29">INDEX(AccountCodes[ACCOUNT NAME],MATCH(G29,AccountCodes[NGAS CODE],0))</f>
        <v>Miscellaneous Income (Others)</v>
      </c>
      <c r="B29" s="899"/>
      <c r="C29" s="899"/>
      <c r="D29" s="899"/>
      <c r="E29" s="899"/>
      <c r="F29" s="899"/>
      <c r="G29" s="460" t="s">
        <v>160</v>
      </c>
      <c r="H29" s="459">
        <f>INDEX(AccountCodes[PPSAS CODE],MATCH(G29,AccountCodes[NGAS CODE],0))</f>
        <v>4060999000</v>
      </c>
      <c r="I29" s="900">
        <f>SUMIF(TB[ACCOUNT CODE (NGAS)],G29,TB[DEBIT/CREDIT])</f>
        <v>0</v>
      </c>
    </row>
    <row r="30" spans="1:9" x14ac:dyDescent="0.25">
      <c r="A30" s="898" t="str">
        <f t="array" ref="A30">INDEX(AccountCodes[ACCOUNT NAME],MATCH(G30,AccountCodes[NGAS CODE],0))</f>
        <v>Miscellaneous Income (Power)</v>
      </c>
      <c r="B30" s="899"/>
      <c r="C30" s="899"/>
      <c r="D30" s="899"/>
      <c r="E30" s="899"/>
      <c r="F30" s="899"/>
      <c r="G30" s="460" t="s">
        <v>352</v>
      </c>
      <c r="H30" s="459">
        <f>INDEX(AccountCodes[PPSAS CODE],MATCH(G30,AccountCodes[NGAS CODE],0))</f>
        <v>4060999000</v>
      </c>
      <c r="I30" s="900">
        <f>SUMIF(TB[ACCOUNT CODE (NGAS)],G30,TB[DEBIT/CREDIT])</f>
        <v>0</v>
      </c>
    </row>
    <row r="31" spans="1:9" x14ac:dyDescent="0.25">
      <c r="A31" s="29" t="s">
        <v>428</v>
      </c>
      <c r="I31" s="901">
        <f>SUM(I12:I30)</f>
        <v>0</v>
      </c>
    </row>
    <row r="32" spans="1:9" x14ac:dyDescent="0.25">
      <c r="A32" s="29"/>
    </row>
    <row r="33" spans="1:10" x14ac:dyDescent="0.25">
      <c r="A33" s="29" t="s">
        <v>426</v>
      </c>
    </row>
    <row r="34" spans="1:10" x14ac:dyDescent="0.25">
      <c r="A34" s="29" t="s">
        <v>429</v>
      </c>
    </row>
    <row r="35" spans="1:10" x14ac:dyDescent="0.25">
      <c r="A35" s="902" t="s">
        <v>1577</v>
      </c>
      <c r="J35" s="108">
        <f>I36+I37</f>
        <v>50693</v>
      </c>
    </row>
    <row r="36" spans="1:10" x14ac:dyDescent="0.25">
      <c r="A36" s="898" t="str">
        <f t="array" ref="A36">INDEX(AccountCodes[ACCOUNT NAME],MATCH(G36,AccountCodes[NGAS CODE],0))</f>
        <v>Salaries and Wages-Regular</v>
      </c>
      <c r="G36" s="129" t="s">
        <v>162</v>
      </c>
      <c r="H36" s="459">
        <f>INDEX(AccountCodes[PPSAS CODE],MATCH(G36,AccountCodes[NGAS CODE],0))</f>
        <v>5010101000</v>
      </c>
      <c r="I36" s="900">
        <f>SUMIF(TB[ACCOUNT CODE (NGAS)],G36,TB[DEBIT/CREDIT])</f>
        <v>50693</v>
      </c>
    </row>
    <row r="37" spans="1:10" x14ac:dyDescent="0.25">
      <c r="A37" s="898" t="str">
        <f t="array" ref="A37">INDEX(AccountCodes[ACCOUNT NAME],MATCH(G37,AccountCodes[NGAS CODE],0))</f>
        <v>Salaries and Wages-Casual/Contractual</v>
      </c>
      <c r="G37" s="129" t="s">
        <v>163</v>
      </c>
      <c r="H37" s="459">
        <f>INDEX(AccountCodes[PPSAS CODE],MATCH(G37,AccountCodes[NGAS CODE],0))</f>
        <v>5010102000</v>
      </c>
      <c r="I37" s="900">
        <f>SUMIF(TB[ACCOUNT CODE (NGAS)],G37,TB[DEBIT/CREDIT])</f>
        <v>0</v>
      </c>
    </row>
    <row r="38" spans="1:10" x14ac:dyDescent="0.25">
      <c r="A38" s="902" t="s">
        <v>1579</v>
      </c>
      <c r="G38" s="129"/>
      <c r="H38" s="459"/>
      <c r="I38" s="900"/>
      <c r="J38" s="108">
        <f>I39+I42+I44+I50+I52+I53+I55+I56</f>
        <v>0</v>
      </c>
    </row>
    <row r="39" spans="1:10" x14ac:dyDescent="0.25">
      <c r="A39" s="898" t="str">
        <f t="array" ref="A39">INDEX(AccountCodes[ACCOUNT NAME],MATCH(G39,AccountCodes[NGAS CODE],0))</f>
        <v>Personal Economic Relief Allowance (PERA)</v>
      </c>
      <c r="G39" s="129" t="s">
        <v>164</v>
      </c>
      <c r="H39" s="459">
        <f>INDEX(AccountCodes[PPSAS CODE],MATCH(G39,AccountCodes[NGAS CODE],0))</f>
        <v>5010201000</v>
      </c>
      <c r="I39" s="900">
        <f>SUMIF(TB[ACCOUNT CODE (NGAS)],G39,TB[DEBIT/CREDIT])</f>
        <v>0</v>
      </c>
    </row>
    <row r="40" spans="1:10" hidden="1" x14ac:dyDescent="0.25">
      <c r="A40" s="898" t="str">
        <f t="array" ref="A40">INDEX(AccountCodes[ACCOUNT NAME],MATCH(G40,AccountCodes[NGAS CODE],0))</f>
        <v>Representation Allowance (RA)</v>
      </c>
      <c r="G40" s="129" t="s">
        <v>165</v>
      </c>
      <c r="H40" s="459">
        <f>INDEX(AccountCodes[PPSAS CODE],MATCH(G40,AccountCodes[NGAS CODE],0))</f>
        <v>5010202000</v>
      </c>
      <c r="I40" s="900">
        <f>SUMIF(TB[ACCOUNT CODE (NGAS)],G40,TB[DEBIT/CREDIT])</f>
        <v>0</v>
      </c>
    </row>
    <row r="41" spans="1:10" hidden="1" x14ac:dyDescent="0.25">
      <c r="A41" s="898" t="str">
        <f t="array" ref="A41">INDEX(AccountCodes[ACCOUNT NAME],MATCH(G41,AccountCodes[NGAS CODE],0))</f>
        <v>Transportation Allowance (TA)</v>
      </c>
      <c r="G41" s="129" t="s">
        <v>166</v>
      </c>
      <c r="H41" s="459">
        <f>INDEX(AccountCodes[PPSAS CODE],MATCH(G41,AccountCodes[NGAS CODE],0))</f>
        <v>5010203000</v>
      </c>
      <c r="I41" s="900">
        <f>SUMIF(TB[ACCOUNT CODE (NGAS)],G41,TB[DEBIT/CREDIT])</f>
        <v>0</v>
      </c>
    </row>
    <row r="42" spans="1:10" x14ac:dyDescent="0.25">
      <c r="A42" s="898" t="str">
        <f t="array" ref="A42">INDEX(AccountCodes[ACCOUNT NAME],MATCH(G42,AccountCodes[NGAS CODE],0))</f>
        <v>Clothing/Uniform Allowance</v>
      </c>
      <c r="G42" s="129" t="s">
        <v>167</v>
      </c>
      <c r="H42" s="459">
        <f>INDEX(AccountCodes[PPSAS CODE],MATCH(G42,AccountCodes[NGAS CODE],0))</f>
        <v>5010204000</v>
      </c>
      <c r="I42" s="900">
        <f>SUMIF(TB[ACCOUNT CODE (NGAS)],G42,TB[DEBIT/CREDIT])</f>
        <v>0</v>
      </c>
    </row>
    <row r="43" spans="1:10" hidden="1" x14ac:dyDescent="0.25">
      <c r="A43" s="898" t="str">
        <f t="array" ref="A43">INDEX(AccountCodes[ACCOUNT NAME],MATCH(G43,AccountCodes[NGAS CODE],0))</f>
        <v>Subsistence Allowance</v>
      </c>
      <c r="G43" s="129" t="s">
        <v>1262</v>
      </c>
      <c r="H43" s="459">
        <f>INDEX(AccountCodes[PPSAS CODE],MATCH(G43,AccountCodes[NGAS CODE],0))</f>
        <v>5010205000</v>
      </c>
      <c r="I43" s="900">
        <f>SUMIF(TB[ACCOUNT CODE (NGAS)],G43,TB[DEBIT/CREDIT])</f>
        <v>0</v>
      </c>
    </row>
    <row r="44" spans="1:10" x14ac:dyDescent="0.25">
      <c r="A44" s="898" t="str">
        <f t="array" ref="A44">INDEX(AccountCodes[ACCOUNT NAME],MATCH(G44,AccountCodes[NGAS CODE],0))</f>
        <v>Productivity Incentive Allowance</v>
      </c>
      <c r="G44" s="129" t="s">
        <v>171</v>
      </c>
      <c r="H44" s="459">
        <f>INDEX(AccountCodes[PPSAS CODE],MATCH(G44,AccountCodes[NGAS CODE],0))</f>
        <v>5010208000</v>
      </c>
      <c r="I44" s="900">
        <f>SUMIF(TB[ACCOUNT CODE (NGAS)],G44,TB[DEBIT/CREDIT])</f>
        <v>0</v>
      </c>
    </row>
    <row r="45" spans="1:10" hidden="1" x14ac:dyDescent="0.25">
      <c r="A45" s="898" t="str">
        <f t="array" ref="A45">INDEX(AccountCodes[ACCOUNT NAME],MATCH(G45,AccountCodes[NGAS CODE],0))</f>
        <v>Other Bonuses and Allowances - Medical Allowance</v>
      </c>
      <c r="G45" s="129" t="s">
        <v>5</v>
      </c>
      <c r="H45" s="459">
        <f>INDEX(AccountCodes[PPSAS CODE],MATCH(G45,AccountCodes[NGAS CODE],0))</f>
        <v>5010299034</v>
      </c>
      <c r="I45" s="900">
        <f>SUMIF(TB[ACCOUNT CODE (NGAS)],G45,TB[DEBIT/CREDIT])</f>
        <v>0</v>
      </c>
    </row>
    <row r="46" spans="1:10" hidden="1" x14ac:dyDescent="0.25">
      <c r="A46" s="898" t="str">
        <f t="array" ref="A46">INDEX(AccountCodes[ACCOUNT NAME],MATCH(G46,AccountCodes[NGAS CODE],0))</f>
        <v>Other Bonuses and Allowances - Meal Allowance</v>
      </c>
      <c r="G46" s="129" t="s">
        <v>6</v>
      </c>
      <c r="H46" s="459">
        <f>INDEX(AccountCodes[PPSAS CODE],MATCH(G46,AccountCodes[NGAS CODE],0))</f>
        <v>5010299035</v>
      </c>
      <c r="I46" s="900">
        <f>SUMIF(TB[ACCOUNT CODE (NGAS)],G46,TB[DEBIT/CREDIT])</f>
        <v>0</v>
      </c>
    </row>
    <row r="47" spans="1:10" hidden="1" x14ac:dyDescent="0.25">
      <c r="A47" s="898" t="str">
        <f t="array" ref="A47">INDEX(AccountCodes[ACCOUNT NAME],MATCH(G47,AccountCodes[NGAS CODE],0))</f>
        <v>Other Bonuses and Allowances - Children Allowance</v>
      </c>
      <c r="G47" s="129" t="s">
        <v>7</v>
      </c>
      <c r="H47" s="459">
        <f>INDEX(AccountCodes[PPSAS CODE],MATCH(G47,AccountCodes[NGAS CODE],0))</f>
        <v>5010299036</v>
      </c>
      <c r="I47" s="900">
        <f>SUMIF(TB[ACCOUNT CODE (NGAS)],G47,TB[DEBIT/CREDIT])</f>
        <v>0</v>
      </c>
    </row>
    <row r="48" spans="1:10" hidden="1" x14ac:dyDescent="0.25">
      <c r="A48" s="898" t="str">
        <f t="array" ref="A48">INDEX(AccountCodes[ACCOUNT NAME],MATCH(G48,AccountCodes[NGAS CODE],0))</f>
        <v>Other Bonuses and Allowances - Collective Negotiation Agreement Incentive-Civilian</v>
      </c>
      <c r="G48" s="129" t="s">
        <v>168</v>
      </c>
      <c r="H48" s="459">
        <f>INDEX(AccountCodes[PPSAS CODE],MATCH(G48,AccountCodes[NGAS CODE],0))</f>
        <v>5010299011</v>
      </c>
      <c r="I48" s="900">
        <f>SUMIF(TB[ACCOUNT CODE (NGAS)],G48,TB[DEBIT/CREDIT])</f>
        <v>0</v>
      </c>
    </row>
    <row r="49" spans="1:10" hidden="1" x14ac:dyDescent="0.25">
      <c r="A49" s="898" t="str">
        <f t="array" ref="A49">INDEX(AccountCodes[ACCOUNT NAME],MATCH(G49,AccountCodes[NGAS CODE],0))</f>
        <v>Other Bonuses and Allowances - Anniversary Bonus</v>
      </c>
      <c r="G49" s="129" t="s">
        <v>169</v>
      </c>
      <c r="H49" s="459">
        <f>INDEX(AccountCodes[PPSAS CODE],MATCH(G49,AccountCodes[NGAS CODE],0))</f>
        <v>5010299037</v>
      </c>
      <c r="I49" s="900">
        <f>SUMIF(TB[ACCOUNT CODE (NGAS)],G49,TB[DEBIT/CREDIT])</f>
        <v>0</v>
      </c>
    </row>
    <row r="50" spans="1:10" x14ac:dyDescent="0.25">
      <c r="A50" s="898" t="str">
        <f t="array" ref="A50">INDEX(AccountCodes[ACCOUNT NAME],MATCH(G50,AccountCodes[NGAS CODE],0))</f>
        <v>Other Bonuses and Allowances - Productivity Enhancement Incentive-Civilian</v>
      </c>
      <c r="G50" s="129" t="s">
        <v>170</v>
      </c>
      <c r="H50" s="459">
        <f>INDEX(AccountCodes[PPSAS CODE],MATCH(G50,AccountCodes[NGAS CODE],0))</f>
        <v>5010299012</v>
      </c>
      <c r="I50" s="900">
        <f>SUMIF(TB[ACCOUNT CODE (NGAS)],G50,TB[DEBIT/CREDIT])</f>
        <v>0</v>
      </c>
    </row>
    <row r="51" spans="1:10" hidden="1" x14ac:dyDescent="0.25">
      <c r="A51" s="898" t="str">
        <f t="array" ref="A51">INDEX(AccountCodes[ACCOUNT NAME],MATCH(G51,AccountCodes[NGAS CODE],0))</f>
        <v>Other Bonuses and Allowances - Performance Based Bonus-Civilian</v>
      </c>
      <c r="G51" s="129" t="s">
        <v>1510</v>
      </c>
      <c r="H51" s="459">
        <f>INDEX(AccountCodes[PPSAS CODE],MATCH(G51,AccountCodes[NGAS CODE],0))</f>
        <v>5010299014</v>
      </c>
      <c r="I51" s="900">
        <f>SUMIF(TB[ACCOUNT CODE (NGAS)],G51,TB[DEBIT/CREDIT])</f>
        <v>0</v>
      </c>
    </row>
    <row r="52" spans="1:10" x14ac:dyDescent="0.25">
      <c r="A52" s="898" t="str">
        <f t="array" ref="A52">INDEX(AccountCodes[ACCOUNT NAME],MATCH(G52,AccountCodes[NGAS CODE],0))</f>
        <v>Hazard Pay</v>
      </c>
      <c r="G52" s="129" t="s">
        <v>215</v>
      </c>
      <c r="H52" s="459">
        <f>INDEX(AccountCodes[PPSAS CODE],MATCH(G52,AccountCodes[NGAS CODE],0))</f>
        <v>5010211000</v>
      </c>
      <c r="I52" s="900">
        <f>SUMIF(TB[ACCOUNT CODE (NGAS)],G52,TB[DEBIT/CREDIT])</f>
        <v>0</v>
      </c>
    </row>
    <row r="53" spans="1:10" x14ac:dyDescent="0.25">
      <c r="A53" s="898" t="str">
        <f t="array" ref="A53">INDEX(AccountCodes[ACCOUNT NAME],MATCH(G53,AccountCodes[NGAS CODE],0))</f>
        <v>Longevity Pay</v>
      </c>
      <c r="G53" s="129" t="s">
        <v>216</v>
      </c>
      <c r="H53" s="459">
        <f>INDEX(AccountCodes[PPSAS CODE],MATCH(G53,AccountCodes[NGAS CODE],0))</f>
        <v>5010212000</v>
      </c>
      <c r="I53" s="900">
        <f>SUMIF(TB[ACCOUNT CODE (NGAS)],G53,TB[DEBIT/CREDIT])</f>
        <v>0</v>
      </c>
    </row>
    <row r="54" spans="1:10" hidden="1" x14ac:dyDescent="0.25">
      <c r="A54" s="898" t="str">
        <f t="array" ref="A54">INDEX(AccountCodes[ACCOUNT NAME],MATCH(G54,AccountCodes[NGAS CODE],0))</f>
        <v>Overtime and Night Pay</v>
      </c>
      <c r="G54" s="129" t="s">
        <v>214</v>
      </c>
      <c r="H54" s="459">
        <f>INDEX(AccountCodes[PPSAS CODE],MATCH(G54,AccountCodes[NGAS CODE],0))</f>
        <v>5010213000</v>
      </c>
      <c r="I54" s="900">
        <f>SUMIF(TB[ACCOUNT CODE (NGAS)],G54,TB[DEBIT/CREDIT])</f>
        <v>0</v>
      </c>
    </row>
    <row r="55" spans="1:10" x14ac:dyDescent="0.25">
      <c r="A55" s="898" t="str">
        <f t="array" ref="A55">INDEX(AccountCodes[ACCOUNT NAME],MATCH(G55,AccountCodes[NGAS CODE],0))</f>
        <v>Cash Gift</v>
      </c>
      <c r="G55" s="129" t="s">
        <v>172</v>
      </c>
      <c r="H55" s="459">
        <f>INDEX(AccountCodes[PPSAS CODE],MATCH(G55,AccountCodes[NGAS CODE],0))</f>
        <v>5010215000</v>
      </c>
      <c r="I55" s="900">
        <f>SUMIF(TB[ACCOUNT CODE (NGAS)],G55,TB[DEBIT/CREDIT])</f>
        <v>0</v>
      </c>
    </row>
    <row r="56" spans="1:10" x14ac:dyDescent="0.25">
      <c r="A56" s="898" t="str">
        <f t="array" ref="A56">INDEX(AccountCodes[ACCOUNT NAME],MATCH(G56,AccountCodes[NGAS CODE],0))</f>
        <v>Mid-Year/Year End Bonus</v>
      </c>
      <c r="G56" s="129" t="s">
        <v>174</v>
      </c>
      <c r="H56" s="459">
        <f>INDEX(AccountCodes[PPSAS CODE],MATCH(G56,AccountCodes[NGAS CODE],0))</f>
        <v>5010214000</v>
      </c>
      <c r="I56" s="900">
        <f>SUMIF(TB[ACCOUNT CODE (NGAS)],G56,TB[DEBIT/CREDIT])</f>
        <v>0</v>
      </c>
    </row>
    <row r="57" spans="1:10" x14ac:dyDescent="0.25">
      <c r="A57" s="902" t="s">
        <v>1580</v>
      </c>
      <c r="G57" s="129"/>
      <c r="H57" s="459"/>
      <c r="I57" s="900"/>
      <c r="J57" s="108">
        <f>I58+I59+I60+I61</f>
        <v>0</v>
      </c>
    </row>
    <row r="58" spans="1:10" x14ac:dyDescent="0.25">
      <c r="A58" s="898" t="str">
        <f t="array" ref="A58">INDEX(AccountCodes[ACCOUNT NAME],MATCH(G58,AccountCodes[NGAS CODE],0))</f>
        <v>Retirement and Life Insurance Premiums</v>
      </c>
      <c r="G58" s="129" t="s">
        <v>175</v>
      </c>
      <c r="H58" s="459">
        <f>INDEX(AccountCodes[PPSAS CODE],MATCH(G58,AccountCodes[NGAS CODE],0))</f>
        <v>5010301000</v>
      </c>
      <c r="I58" s="900">
        <f>SUMIF(TB[ACCOUNT CODE (NGAS)],G58,TB[DEBIT/CREDIT])</f>
        <v>0</v>
      </c>
    </row>
    <row r="59" spans="1:10" x14ac:dyDescent="0.25">
      <c r="A59" s="898" t="str">
        <f t="array" ref="A59">INDEX(AccountCodes[ACCOUNT NAME],MATCH(G59,AccountCodes[NGAS CODE],0))</f>
        <v>Pag-IBIG Contributions</v>
      </c>
      <c r="G59" s="129" t="s">
        <v>176</v>
      </c>
      <c r="H59" s="459">
        <f>INDEX(AccountCodes[PPSAS CODE],MATCH(G59,AccountCodes[NGAS CODE],0))</f>
        <v>5010302000</v>
      </c>
      <c r="I59" s="900">
        <f>SUMIF(TB[ACCOUNT CODE (NGAS)],G59,TB[DEBIT/CREDIT])</f>
        <v>0</v>
      </c>
    </row>
    <row r="60" spans="1:10" x14ac:dyDescent="0.25">
      <c r="A60" s="898" t="str">
        <f t="array" ref="A60">INDEX(AccountCodes[ACCOUNT NAME],MATCH(G60,AccountCodes[NGAS CODE],0))</f>
        <v>PhilHealth Contributions</v>
      </c>
      <c r="G60" s="129" t="s">
        <v>177</v>
      </c>
      <c r="H60" s="459">
        <f>INDEX(AccountCodes[PPSAS CODE],MATCH(G60,AccountCodes[NGAS CODE],0))</f>
        <v>5010303000</v>
      </c>
      <c r="I60" s="900">
        <f>SUMIF(TB[ACCOUNT CODE (NGAS)],G60,TB[DEBIT/CREDIT])</f>
        <v>0</v>
      </c>
    </row>
    <row r="61" spans="1:10" x14ac:dyDescent="0.25">
      <c r="A61" s="898" t="str">
        <f t="array" ref="A61">INDEX(AccountCodes[ACCOUNT NAME],MATCH(G61,AccountCodes[NGAS CODE],0))</f>
        <v>Employees Compensation Insurance Premiums</v>
      </c>
      <c r="G61" s="129" t="s">
        <v>178</v>
      </c>
      <c r="H61" s="459">
        <f>INDEX(AccountCodes[PPSAS CODE],MATCH(G61,AccountCodes[NGAS CODE],0))</f>
        <v>5010304000</v>
      </c>
      <c r="I61" s="900">
        <f>SUMIF(TB[ACCOUNT CODE (NGAS)],G61,TB[DEBIT/CREDIT])</f>
        <v>0</v>
      </c>
    </row>
    <row r="62" spans="1:10" x14ac:dyDescent="0.25">
      <c r="A62" s="902" t="s">
        <v>1581</v>
      </c>
      <c r="G62" s="129"/>
      <c r="H62" s="459"/>
      <c r="I62" s="900"/>
      <c r="J62" s="108">
        <f>I64+I65</f>
        <v>0</v>
      </c>
    </row>
    <row r="63" spans="1:10" hidden="1" x14ac:dyDescent="0.25">
      <c r="A63" s="898" t="str">
        <f t="array" ref="A63">INDEX(AccountCodes[ACCOUNT NAME],MATCH(G63,AccountCodes[NGAS CODE],0))</f>
        <v>Retirement Gratuity</v>
      </c>
      <c r="G63" s="129" t="s">
        <v>179</v>
      </c>
      <c r="H63" s="459">
        <f>INDEX(AccountCodes[PPSAS CODE],MATCH(G63,AccountCodes[NGAS CODE],0))</f>
        <v>5010402000</v>
      </c>
      <c r="I63" s="900">
        <f>SUMIF(TB[ACCOUNT CODE (NGAS)],G63,TB[DEBIT/CREDIT])</f>
        <v>0</v>
      </c>
    </row>
    <row r="64" spans="1:10" x14ac:dyDescent="0.25">
      <c r="A64" s="898" t="str">
        <f t="array" ref="A64">INDEX(AccountCodes[ACCOUNT NAME],MATCH(G64,AccountCodes[NGAS CODE],0))</f>
        <v>Terminal Leave Benefits</v>
      </c>
      <c r="G64" s="129" t="s">
        <v>212</v>
      </c>
      <c r="H64" s="459">
        <f>INDEX(AccountCodes[PPSAS CODE],MATCH(G64,AccountCodes[NGAS CODE],0))</f>
        <v>5010403000</v>
      </c>
      <c r="I64" s="900">
        <f>SUMIF(TB[ACCOUNT CODE (NGAS)],G64,TB[DEBIT/CREDIT])</f>
        <v>0</v>
      </c>
    </row>
    <row r="65" spans="1:10" x14ac:dyDescent="0.25">
      <c r="A65" s="898" t="str">
        <f t="array" ref="A65">INDEX(AccountCodes[ACCOUNT NAME],MATCH(G65,AccountCodes[NGAS CODE],0))</f>
        <v>Other Personnel Benefits</v>
      </c>
      <c r="G65" s="129" t="s">
        <v>213</v>
      </c>
      <c r="H65" s="459">
        <f>INDEX(AccountCodes[PPSAS CODE],MATCH(G65,AccountCodes[NGAS CODE],0))</f>
        <v>5010499099</v>
      </c>
      <c r="I65" s="900">
        <f>SUMIF(TB[ACCOUNT CODE (NGAS)],G65,TB[DEBIT/CREDIT])</f>
        <v>0</v>
      </c>
    </row>
    <row r="66" spans="1:10" x14ac:dyDescent="0.25">
      <c r="A66" s="29" t="s">
        <v>430</v>
      </c>
      <c r="G66" s="129"/>
      <c r="H66" s="129"/>
      <c r="I66" s="903">
        <f>SUM(I36:I65)</f>
        <v>50693</v>
      </c>
      <c r="J66" s="108">
        <f>SUM(J35:J65)</f>
        <v>50693</v>
      </c>
    </row>
    <row r="67" spans="1:10" x14ac:dyDescent="0.25">
      <c r="G67" s="129"/>
      <c r="H67" s="129"/>
      <c r="I67" s="904"/>
    </row>
    <row r="68" spans="1:10" x14ac:dyDescent="0.25">
      <c r="A68" s="29" t="s">
        <v>431</v>
      </c>
      <c r="G68" s="129"/>
      <c r="H68" s="129"/>
      <c r="I68" s="904"/>
    </row>
    <row r="69" spans="1:10" x14ac:dyDescent="0.25">
      <c r="A69" s="902" t="s">
        <v>1582</v>
      </c>
      <c r="G69" s="129"/>
      <c r="H69" s="129"/>
      <c r="I69" s="904"/>
      <c r="J69" s="108">
        <f>I70</f>
        <v>0</v>
      </c>
    </row>
    <row r="70" spans="1:10" x14ac:dyDescent="0.25">
      <c r="A70" s="898" t="str">
        <f t="array" ref="A70">INDEX(AccountCodes[ACCOUNT NAME],MATCH(G70,AccountCodes[NGAS CODE],0))</f>
        <v>Traveling Expenses-Local</v>
      </c>
      <c r="G70" s="129" t="s">
        <v>223</v>
      </c>
      <c r="H70" s="459">
        <f>INDEX(AccountCodes[PPSAS CODE],MATCH(G70,AccountCodes[NGAS CODE],0))</f>
        <v>5020101000</v>
      </c>
      <c r="I70" s="900">
        <f>SUMIF(TB[ACCOUNT CODE (NGAS)],G70,TB[DEBIT/CREDIT])</f>
        <v>0</v>
      </c>
    </row>
    <row r="71" spans="1:10" hidden="1" x14ac:dyDescent="0.25">
      <c r="A71" s="898" t="str">
        <f t="array" ref="A71">INDEX(AccountCodes[ACCOUNT NAME],MATCH(G71,AccountCodes[NGAS CODE],0))</f>
        <v>Traveling Expenses-Foreign</v>
      </c>
      <c r="G71" s="129" t="s">
        <v>1233</v>
      </c>
      <c r="H71" s="459">
        <f>INDEX(AccountCodes[PPSAS CODE],MATCH(G71,AccountCodes[NGAS CODE],0))</f>
        <v>5020102000</v>
      </c>
      <c r="I71" s="900">
        <f>SUMIF(TB[ACCOUNT CODE (NGAS)],G71,TB[DEBIT/CREDIT])</f>
        <v>0</v>
      </c>
    </row>
    <row r="72" spans="1:10" x14ac:dyDescent="0.25">
      <c r="A72" s="902" t="s">
        <v>285</v>
      </c>
      <c r="G72" s="129"/>
      <c r="H72" s="459"/>
      <c r="I72" s="900"/>
      <c r="J72" s="108">
        <f>I73</f>
        <v>0</v>
      </c>
    </row>
    <row r="73" spans="1:10" x14ac:dyDescent="0.25">
      <c r="A73" s="898" t="str">
        <f t="array" ref="A73">INDEX(AccountCodes[ACCOUNT NAME],MATCH(G73,AccountCodes[NGAS CODE],0))</f>
        <v>Training Expenses</v>
      </c>
      <c r="G73" s="129" t="s">
        <v>224</v>
      </c>
      <c r="H73" s="459">
        <f>INDEX(AccountCodes[PPSAS CODE],MATCH(G73,AccountCodes[NGAS CODE],0))</f>
        <v>5020201000</v>
      </c>
      <c r="I73" s="900">
        <f>SUMIF(TB[ACCOUNT CODE (NGAS)],G73,TB[DEBIT/CREDIT])</f>
        <v>0</v>
      </c>
    </row>
    <row r="74" spans="1:10" x14ac:dyDescent="0.25">
      <c r="A74" s="902" t="s">
        <v>1617</v>
      </c>
      <c r="G74" s="129"/>
      <c r="H74" s="459"/>
      <c r="I74" s="900"/>
      <c r="J74" s="108">
        <f>I75+I79+I81+I82+I83</f>
        <v>0</v>
      </c>
    </row>
    <row r="75" spans="1:10" x14ac:dyDescent="0.25">
      <c r="A75" s="898" t="str">
        <f t="array" ref="A75">INDEX(AccountCodes[ACCOUNT NAME],MATCH(G75,AccountCodes[NGAS CODE],0))</f>
        <v>Office Supplies Expenses</v>
      </c>
      <c r="G75" s="129" t="s">
        <v>225</v>
      </c>
      <c r="H75" s="459">
        <f>INDEX(AccountCodes[PPSAS CODE],MATCH(G75,AccountCodes[NGAS CODE],0))</f>
        <v>5020301000</v>
      </c>
      <c r="I75" s="900">
        <f>SUMIF(TB[ACCOUNT CODE (NGAS)],G75,TB[DEBIT/CREDIT])</f>
        <v>0</v>
      </c>
    </row>
    <row r="76" spans="1:10" hidden="1" x14ac:dyDescent="0.25">
      <c r="A76" s="898" t="str">
        <f t="array" ref="A76">INDEX(AccountCodes[ACCOUNT NAME],MATCH(G76,AccountCodes[NGAS CODE],0))</f>
        <v>Accountable Forms Expenses</v>
      </c>
      <c r="G76" s="129" t="s">
        <v>226</v>
      </c>
      <c r="H76" s="459">
        <f>INDEX(AccountCodes[PPSAS CODE],MATCH(G76,AccountCodes[NGAS CODE],0))</f>
        <v>5020302000</v>
      </c>
      <c r="I76" s="900">
        <f>SUMIF(TB[ACCOUNT CODE (NGAS)],G76,TB[DEBIT/CREDIT])</f>
        <v>0</v>
      </c>
    </row>
    <row r="77" spans="1:10" hidden="1" x14ac:dyDescent="0.25">
      <c r="A77" s="898" t="str">
        <f t="array" ref="A77">INDEX(AccountCodes[ACCOUNT NAME],MATCH(G77,AccountCodes[NGAS CODE],0))</f>
        <v>Drugs and Medicines Expenses</v>
      </c>
      <c r="G77" s="129" t="s">
        <v>227</v>
      </c>
      <c r="H77" s="459">
        <f>INDEX(AccountCodes[PPSAS CODE],MATCH(G77,AccountCodes[NGAS CODE],0))</f>
        <v>5020307000</v>
      </c>
      <c r="I77" s="900">
        <f>SUMIF(TB[ACCOUNT CODE (NGAS)],G77,TB[DEBIT/CREDIT])</f>
        <v>0</v>
      </c>
    </row>
    <row r="78" spans="1:10" hidden="1" x14ac:dyDescent="0.25">
      <c r="A78" s="898" t="str">
        <f t="array" ref="A78">INDEX(AccountCodes[ACCOUNT NAME],MATCH(G78,AccountCodes[NGAS CODE],0))</f>
        <v>Medical, Dental and Laboratory Supplies Expenses</v>
      </c>
      <c r="G78" s="129" t="s">
        <v>228</v>
      </c>
      <c r="H78" s="459">
        <f>INDEX(AccountCodes[PPSAS CODE],MATCH(G78,AccountCodes[NGAS CODE],0))</f>
        <v>5020308000</v>
      </c>
      <c r="I78" s="900">
        <f>SUMIF(TB[ACCOUNT CODE (NGAS)],G78,TB[DEBIT/CREDIT])</f>
        <v>0</v>
      </c>
    </row>
    <row r="79" spans="1:10" x14ac:dyDescent="0.25">
      <c r="A79" s="898" t="str">
        <f t="array" ref="A79">INDEX(AccountCodes[ACCOUNT NAME],MATCH(G79,AccountCodes[NGAS CODE],0))</f>
        <v>Fuel, Oil and Lubricants Expenses</v>
      </c>
      <c r="G79" s="129" t="s">
        <v>229</v>
      </c>
      <c r="H79" s="459">
        <f>INDEX(AccountCodes[PPSAS CODE],MATCH(G79,AccountCodes[NGAS CODE],0))</f>
        <v>5020309000</v>
      </c>
      <c r="I79" s="900">
        <f>SUMIF(TB[ACCOUNT CODE (NGAS)],G79,TB[DEBIT/CREDIT])</f>
        <v>0</v>
      </c>
    </row>
    <row r="80" spans="1:10" hidden="1" x14ac:dyDescent="0.25">
      <c r="A80" s="898" t="str">
        <f t="array" ref="A80">INDEX(AccountCodes[ACCOUNT NAME],MATCH(G80,AccountCodes[NGAS CODE],0))</f>
        <v>Textbooks and Instructional Materials Expenses</v>
      </c>
      <c r="G80" s="129" t="s">
        <v>230</v>
      </c>
      <c r="H80" s="459">
        <f>INDEX(AccountCodes[PPSAS CODE],MATCH(G80,AccountCodes[NGAS CODE],0))</f>
        <v>5020311000</v>
      </c>
      <c r="I80" s="900">
        <f>SUMIF(TB[ACCOUNT CODE (NGAS)],G80,TB[DEBIT/CREDIT])</f>
        <v>0</v>
      </c>
    </row>
    <row r="81" spans="1:10" x14ac:dyDescent="0.25">
      <c r="A81" s="898" t="str">
        <f t="array" ref="A81">INDEX(AccountCodes[ACCOUNT NAME],MATCH(G81,AccountCodes[NGAS CODE],0))</f>
        <v>Other Supplies and Materials Expenses</v>
      </c>
      <c r="G81" s="129" t="s">
        <v>231</v>
      </c>
      <c r="H81" s="459">
        <f>INDEX(AccountCodes[PPSAS CODE],MATCH(G81,AccountCodes[NGAS CODE],0))</f>
        <v>5020399000</v>
      </c>
      <c r="I81" s="900">
        <f>SUMIF(TB[ACCOUNT CODE (NGAS)],G81,TB[DEBIT/CREDIT])</f>
        <v>0</v>
      </c>
    </row>
    <row r="82" spans="1:10" x14ac:dyDescent="0.25">
      <c r="A82" s="898" t="str">
        <f t="array" ref="A82">INDEX(AccountCodes[ACCOUNT NAME],MATCH(G82,AccountCodes[NGAS CODE],0))</f>
        <v>Semi-Expendable Machinery and Equipment Expenses</v>
      </c>
      <c r="G82" s="129" t="s">
        <v>1265</v>
      </c>
      <c r="H82" s="459">
        <f>INDEX(AccountCodes[PPSAS CODE],MATCH(G82,AccountCodes[NGAS CODE],0))</f>
        <v>5020321000</v>
      </c>
      <c r="I82" s="900">
        <f>SUMIF(TB[ACCOUNT CODE (NGAS)],G82,TB[DEBIT/CREDIT])</f>
        <v>0</v>
      </c>
    </row>
    <row r="83" spans="1:10" x14ac:dyDescent="0.25">
      <c r="A83" s="898" t="str">
        <f t="array" ref="A83">INDEX(AccountCodes[ACCOUNT NAME],MATCH(G83,AccountCodes[NGAS CODE],0))</f>
        <v>Semi-Expendable Furniture, Fixtures and Books Expenses</v>
      </c>
      <c r="G83" s="129" t="s">
        <v>1266</v>
      </c>
      <c r="H83" s="459">
        <f>INDEX(AccountCodes[PPSAS CODE],MATCH(G83,AccountCodes[NGAS CODE],0))</f>
        <v>5020322000</v>
      </c>
      <c r="I83" s="900">
        <f>SUMIF(TB[ACCOUNT CODE (NGAS)],G83,TB[DEBIT/CREDIT])</f>
        <v>0</v>
      </c>
    </row>
    <row r="84" spans="1:10" x14ac:dyDescent="0.25">
      <c r="A84" s="902" t="s">
        <v>1583</v>
      </c>
      <c r="G84" s="129"/>
      <c r="H84" s="459"/>
      <c r="I84" s="900"/>
      <c r="J84" s="108">
        <f>I85+I86+I87</f>
        <v>0</v>
      </c>
    </row>
    <row r="85" spans="1:10" x14ac:dyDescent="0.25">
      <c r="A85" s="898" t="str">
        <f t="array" ref="A85">INDEX(AccountCodes[ACCOUNT NAME],MATCH(G85,AccountCodes[NGAS CODE],0))</f>
        <v>Water Expenses</v>
      </c>
      <c r="G85" s="129" t="s">
        <v>232</v>
      </c>
      <c r="H85" s="459">
        <f>INDEX(AccountCodes[PPSAS CODE],MATCH(G85,AccountCodes[NGAS CODE],0))</f>
        <v>5020401000</v>
      </c>
      <c r="I85" s="900">
        <f>SUMIF(TB[ACCOUNT CODE (NGAS)],G85,TB[DEBIT/CREDIT])</f>
        <v>0</v>
      </c>
    </row>
    <row r="86" spans="1:10" x14ac:dyDescent="0.25">
      <c r="A86" s="898" t="str">
        <f t="array" ref="A86">INDEX(AccountCodes[ACCOUNT NAME],MATCH(G86,AccountCodes[NGAS CODE],0))</f>
        <v>Electricity Expenses</v>
      </c>
      <c r="G86" s="129" t="s">
        <v>233</v>
      </c>
      <c r="H86" s="459">
        <f>INDEX(AccountCodes[PPSAS CODE],MATCH(G86,AccountCodes[NGAS CODE],0))</f>
        <v>5020402000</v>
      </c>
      <c r="I86" s="900">
        <f>SUMIF(TB[ACCOUNT CODE (NGAS)],G86,TB[DEBIT/CREDIT])</f>
        <v>0</v>
      </c>
    </row>
    <row r="87" spans="1:10" x14ac:dyDescent="0.25">
      <c r="A87" s="898" t="str">
        <f t="array" ref="A87">INDEX(AccountCodes[ACCOUNT NAME],MATCH(G87,AccountCodes[NGAS CODE],0))</f>
        <v>Other Utility Expenses</v>
      </c>
      <c r="G87" s="129" t="s">
        <v>1237</v>
      </c>
      <c r="H87" s="459">
        <f>INDEX(AccountCodes[PPSAS CODE],MATCH(G87,AccountCodes[NGAS CODE],0))</f>
        <v>5020499000</v>
      </c>
      <c r="I87" s="900">
        <f>SUMIF(TB[ACCOUNT CODE (NGAS)],G87,TB[DEBIT/CREDIT])</f>
        <v>0</v>
      </c>
    </row>
    <row r="88" spans="1:10" x14ac:dyDescent="0.25">
      <c r="A88" s="902" t="s">
        <v>1584</v>
      </c>
      <c r="G88" s="129"/>
      <c r="H88" s="459"/>
      <c r="I88" s="900"/>
      <c r="J88" s="108">
        <f>I90+I93</f>
        <v>0</v>
      </c>
    </row>
    <row r="89" spans="1:10" hidden="1" x14ac:dyDescent="0.25">
      <c r="A89" s="898" t="str">
        <f t="array" ref="A89">INDEX(AccountCodes[ACCOUNT NAME],MATCH(G89,AccountCodes[NGAS CODE],0))</f>
        <v>Postage and Courier Expenses</v>
      </c>
      <c r="G89" s="129" t="s">
        <v>234</v>
      </c>
      <c r="H89" s="459">
        <f>INDEX(AccountCodes[PPSAS CODE],MATCH(G89,AccountCodes[NGAS CODE],0))</f>
        <v>5020501000</v>
      </c>
      <c r="I89" s="900">
        <f>SUMIF(TB[ACCOUNT CODE (NGAS)],G89,TB[DEBIT/CREDIT])</f>
        <v>0</v>
      </c>
    </row>
    <row r="90" spans="1:10" x14ac:dyDescent="0.25">
      <c r="A90" s="898" t="str">
        <f t="array" ref="A90">INDEX(AccountCodes[ACCOUNT NAME],MATCH(G90,AccountCodes[NGAS CODE],0))</f>
        <v>Telephone Expenses - Landline</v>
      </c>
      <c r="G90" s="129" t="s">
        <v>235</v>
      </c>
      <c r="H90" s="459">
        <f>INDEX(AccountCodes[PPSAS CODE],MATCH(G90,AccountCodes[NGAS CODE],0))</f>
        <v>5020502002</v>
      </c>
      <c r="I90" s="900">
        <f>SUMIF(TB[ACCOUNT CODE (NGAS)],G90,TB[DEBIT/CREDIT])</f>
        <v>0</v>
      </c>
    </row>
    <row r="91" spans="1:10" hidden="1" x14ac:dyDescent="0.25">
      <c r="A91" s="898" t="str">
        <f t="array" ref="A91">INDEX(AccountCodes[ACCOUNT NAME],MATCH(G91,AccountCodes[NGAS CODE],0))</f>
        <v>Telephone Expenses - Mobile</v>
      </c>
      <c r="G91" s="129" t="s">
        <v>236</v>
      </c>
      <c r="H91" s="459">
        <f>INDEX(AccountCodes[PPSAS CODE],MATCH(G91,AccountCodes[NGAS CODE],0))</f>
        <v>5020502001</v>
      </c>
      <c r="I91" s="900">
        <f>SUMIF(TB[ACCOUNT CODE (NGAS)],G91,TB[DEBIT/CREDIT])</f>
        <v>0</v>
      </c>
    </row>
    <row r="92" spans="1:10" hidden="1" x14ac:dyDescent="0.25">
      <c r="A92" s="898" t="str">
        <f t="array" ref="A92">INDEX(AccountCodes[ACCOUNT NAME],MATCH(G92,AccountCodes[NGAS CODE],0))</f>
        <v>Cable, Satellite, Telegraph and Radio Expenses</v>
      </c>
      <c r="G92" s="129" t="s">
        <v>238</v>
      </c>
      <c r="H92" s="459">
        <f>INDEX(AccountCodes[PPSAS CODE],MATCH(G92,AccountCodes[NGAS CODE],0))</f>
        <v>5020504000</v>
      </c>
      <c r="I92" s="900">
        <f>SUMIF(TB[ACCOUNT CODE (NGAS)],G92,TB[DEBIT/CREDIT])</f>
        <v>0</v>
      </c>
    </row>
    <row r="93" spans="1:10" hidden="1" x14ac:dyDescent="0.25">
      <c r="A93" s="898" t="str">
        <f t="array" ref="A93">INDEX(AccountCodes[ACCOUNT NAME],MATCH(G93,AccountCodes[NGAS CODE],0))</f>
        <v>Internet Subscription Expenses</v>
      </c>
      <c r="G93" s="129" t="s">
        <v>237</v>
      </c>
      <c r="H93" s="459">
        <f>INDEX(AccountCodes[PPSAS CODE],MATCH(G93,AccountCodes[NGAS CODE],0))</f>
        <v>5020503000</v>
      </c>
      <c r="I93" s="900">
        <f>SUMIF(TB[ACCOUNT CODE (NGAS)],G93,TB[DEBIT/CREDIT])</f>
        <v>0</v>
      </c>
    </row>
    <row r="94" spans="1:10" x14ac:dyDescent="0.25">
      <c r="A94" s="902" t="s">
        <v>1620</v>
      </c>
      <c r="G94" s="129"/>
      <c r="H94" s="459"/>
      <c r="I94" s="900"/>
      <c r="J94" s="108">
        <f>I95+I98</f>
        <v>0</v>
      </c>
    </row>
    <row r="95" spans="1:10" x14ac:dyDescent="0.25">
      <c r="A95" s="898" t="str">
        <f t="array" ref="A95">INDEX(AccountCodes[ACCOUNT NAME],MATCH(G95,AccountCodes[NGAS CODE],0))</f>
        <v>Awards/Rewards Expenses</v>
      </c>
      <c r="G95" s="129" t="s">
        <v>1238</v>
      </c>
      <c r="H95" s="459">
        <f>INDEX(AccountCodes[PPSAS CODE],MATCH(G95,AccountCodes[NGAS CODE],0))</f>
        <v>5020601000</v>
      </c>
      <c r="I95" s="900">
        <f>SUMIF(TB[ACCOUNT CODE (NGAS)],G95,TB[DEBIT/CREDIT])</f>
        <v>0</v>
      </c>
    </row>
    <row r="96" spans="1:10" hidden="1" x14ac:dyDescent="0.25">
      <c r="A96" s="898" t="str">
        <f t="array" ref="A96">INDEX(AccountCodes[ACCOUNT NAME],MATCH(G96,AccountCodes[NGAS CODE],0))</f>
        <v>Printing and Publication Expenses</v>
      </c>
      <c r="G96" s="129" t="s">
        <v>241</v>
      </c>
      <c r="H96" s="459">
        <f>INDEX(AccountCodes[PPSAS CODE],MATCH(G96,AccountCodes[NGAS CODE],0))</f>
        <v>5029902000</v>
      </c>
      <c r="I96" s="900">
        <f>SUMIF(TB[ACCOUNT CODE (NGAS)],G96,TB[DEBIT/CREDIT])</f>
        <v>0</v>
      </c>
    </row>
    <row r="97" spans="1:10" hidden="1" x14ac:dyDescent="0.25">
      <c r="A97" s="898" t="str">
        <f t="array" ref="A97">INDEX(AccountCodes[ACCOUNT NAME],MATCH(G97,AccountCodes[NGAS CODE],0))</f>
        <v>Rent/Lease Expenses</v>
      </c>
      <c r="G97" s="129" t="s">
        <v>242</v>
      </c>
      <c r="H97" s="459">
        <f>INDEX(AccountCodes[PPSAS CODE],MATCH(G97,AccountCodes[NGAS CODE],0))</f>
        <v>5029905000</v>
      </c>
      <c r="I97" s="900">
        <f>SUMIF(TB[ACCOUNT CODE (NGAS)],G97,TB[DEBIT/CREDIT])</f>
        <v>0</v>
      </c>
    </row>
    <row r="98" spans="1:10" x14ac:dyDescent="0.25">
      <c r="A98" s="898"/>
      <c r="G98" s="129"/>
      <c r="H98" s="459"/>
      <c r="I98" s="900"/>
    </row>
    <row r="99" spans="1:10" hidden="1" x14ac:dyDescent="0.25">
      <c r="A99" s="898" t="str">
        <f t="array" ref="A99">INDEX(AccountCodes[ACCOUNT NAME],MATCH(G99,AccountCodes[NGAS CODE],0))</f>
        <v>Transportation and Delivery Expenses</v>
      </c>
      <c r="G99" s="129" t="s">
        <v>244</v>
      </c>
      <c r="H99" s="459">
        <f>INDEX(AccountCodes[PPSAS CODE],MATCH(G99,AccountCodes[NGAS CODE],0))</f>
        <v>5029904000</v>
      </c>
      <c r="I99" s="900">
        <f>SUMIF(TB[ACCOUNT CODE (NGAS)],G99,TB[DEBIT/CREDIT])</f>
        <v>0</v>
      </c>
    </row>
    <row r="100" spans="1:10" x14ac:dyDescent="0.25">
      <c r="A100" s="902" t="s">
        <v>1585</v>
      </c>
      <c r="G100" s="129"/>
      <c r="H100" s="459"/>
      <c r="I100" s="900"/>
      <c r="J100" s="108">
        <f>I101+I102+I103</f>
        <v>0</v>
      </c>
    </row>
    <row r="101" spans="1:10" hidden="1" x14ac:dyDescent="0.25">
      <c r="A101" s="898" t="str">
        <f t="array" ref="A101">INDEX(AccountCodes[ACCOUNT NAME],MATCH(G101,AccountCodes[NGAS CODE],0))</f>
        <v>Auditing Services</v>
      </c>
      <c r="G101" s="129" t="s">
        <v>222</v>
      </c>
      <c r="H101" s="459">
        <f>INDEX(AccountCodes[PPSAS CODE],MATCH(G101,AccountCodes[NGAS CODE],0))</f>
        <v>5021102000</v>
      </c>
      <c r="I101" s="900">
        <f>SUMIF(TB[ACCOUNT CODE (NGAS)],G101,TB[DEBIT/CREDIT])</f>
        <v>0</v>
      </c>
    </row>
    <row r="102" spans="1:10" hidden="1" x14ac:dyDescent="0.25">
      <c r="A102" s="898" t="str">
        <f t="array" ref="A102">INDEX(AccountCodes[ACCOUNT NAME],MATCH(G102,AccountCodes[NGAS CODE],0))</f>
        <v>Janitorial Services</v>
      </c>
      <c r="G102" s="129" t="s">
        <v>249</v>
      </c>
      <c r="H102" s="459">
        <f>INDEX(AccountCodes[PPSAS CODE],MATCH(G102,AccountCodes[NGAS CODE],0))</f>
        <v>5021202000</v>
      </c>
      <c r="I102" s="900">
        <f>SUMIF(TB[ACCOUNT CODE (NGAS)],G102,TB[DEBIT/CREDIT])</f>
        <v>0</v>
      </c>
    </row>
    <row r="103" spans="1:10" x14ac:dyDescent="0.25">
      <c r="A103" s="898" t="str">
        <f t="array" ref="A103">INDEX(AccountCodes[ACCOUNT NAME],MATCH(G103,AccountCodes[NGAS CODE],0))</f>
        <v>Other Professional Services</v>
      </c>
      <c r="G103" s="129" t="s">
        <v>250</v>
      </c>
      <c r="H103" s="459">
        <f>INDEX(AccountCodes[PPSAS CODE],MATCH(G103,AccountCodes[NGAS CODE],0))</f>
        <v>5021199000</v>
      </c>
      <c r="I103" s="900">
        <f>SUMIF(TB[ACCOUNT CODE (NGAS)],G103,TB[DEBIT/CREDIT])</f>
        <v>0</v>
      </c>
    </row>
    <row r="104" spans="1:10" x14ac:dyDescent="0.25">
      <c r="A104" s="902" t="s">
        <v>1586</v>
      </c>
      <c r="G104" s="129"/>
      <c r="H104" s="459"/>
      <c r="I104" s="900"/>
      <c r="J104" s="108">
        <f>I111+I112+I113+I114</f>
        <v>0</v>
      </c>
    </row>
    <row r="105" spans="1:10" hidden="1" x14ac:dyDescent="0.25">
      <c r="A105" s="898" t="str">
        <f t="array" ref="A105">INDEX(AccountCodes[ACCOUNT NAME],MATCH(G105,AccountCodes[NGAS CODE],0))</f>
        <v>Repairs and Maintenance-Buildings and Other Structures - Buildings</v>
      </c>
      <c r="G105" s="129" t="s">
        <v>251</v>
      </c>
      <c r="H105" s="459">
        <f>INDEX(AccountCodes[PPSAS CODE],MATCH(G105,AccountCodes[NGAS CODE],0))</f>
        <v>5021304001</v>
      </c>
      <c r="I105" s="900">
        <f>SUMIF(TB[ACCOUNT CODE (NGAS)],G105,TB[DEBIT/CREDIT])</f>
        <v>0</v>
      </c>
    </row>
    <row r="106" spans="1:10" hidden="1" x14ac:dyDescent="0.25">
      <c r="A106" s="898" t="str">
        <f t="array" ref="A106">INDEX(AccountCodes[ACCOUNT NAME],MATCH(G106,AccountCodes[NGAS CODE],0))</f>
        <v>Repairs and Maintenance-Buildings and Other Structures - Other Structures</v>
      </c>
      <c r="G106" s="129" t="s">
        <v>252</v>
      </c>
      <c r="H106" s="459">
        <f>INDEX(AccountCodes[PPSAS CODE],MATCH(G106,AccountCodes[NGAS CODE],0))</f>
        <v>5021304099</v>
      </c>
      <c r="I106" s="900">
        <f>SUMIF(TB[ACCOUNT CODE (NGAS)],G106,TB[DEBIT/CREDIT])</f>
        <v>0</v>
      </c>
    </row>
    <row r="107" spans="1:10" hidden="1" x14ac:dyDescent="0.25">
      <c r="A107" s="898" t="str">
        <f t="array" ref="A107">INDEX(AccountCodes[ACCOUNT NAME],MATCH(G107,AccountCodes[NGAS CODE],0))</f>
        <v>Repairs and Maintenance-Machinery and Equipment - Office Equipment</v>
      </c>
      <c r="G107" s="129" t="s">
        <v>253</v>
      </c>
      <c r="H107" s="459">
        <f>INDEX(AccountCodes[PPSAS CODE],MATCH(G107,AccountCodes[NGAS CODE],0))</f>
        <v>5021305002</v>
      </c>
      <c r="I107" s="900">
        <f>SUMIF(TB[ACCOUNT CODE (NGAS)],G107,TB[DEBIT/CREDIT])</f>
        <v>0</v>
      </c>
    </row>
    <row r="108" spans="1:10" hidden="1" x14ac:dyDescent="0.25">
      <c r="A108" s="898" t="str">
        <f t="array" ref="A108">INDEX(AccountCodes[ACCOUNT NAME],MATCH(G108,AccountCodes[NGAS CODE],0))</f>
        <v>Repairs and Maintenance-Machinery and Equipment - Machinery</v>
      </c>
      <c r="G108" s="129" t="s">
        <v>256</v>
      </c>
      <c r="H108" s="459">
        <f>INDEX(AccountCodes[PPSAS CODE],MATCH(G108,AccountCodes[NGAS CODE],0))</f>
        <v>5021305001</v>
      </c>
      <c r="I108" s="900">
        <f>SUMIF(TB[ACCOUNT CODE (NGAS)],G108,TB[DEBIT/CREDIT])</f>
        <v>0</v>
      </c>
    </row>
    <row r="109" spans="1:10" hidden="1" x14ac:dyDescent="0.25">
      <c r="A109" s="898" t="str">
        <f t="array" ref="A109">INDEX(AccountCodes[ACCOUNT NAME],MATCH(G109,AccountCodes[NGAS CODE],0))</f>
        <v>Repairs and Maintenance-Machinery and Equipment - Construction and Heavy Equipment</v>
      </c>
      <c r="G109" s="129" t="s">
        <v>258</v>
      </c>
      <c r="H109" s="459">
        <f>INDEX(AccountCodes[PPSAS CODE],MATCH(G109,AccountCodes[NGAS CODE],0))</f>
        <v>5021305008</v>
      </c>
      <c r="I109" s="900">
        <f>SUMIF(TB[ACCOUNT CODE (NGAS)],G109,TB[DEBIT/CREDIT])</f>
        <v>0</v>
      </c>
    </row>
    <row r="110" spans="1:10" hidden="1" x14ac:dyDescent="0.25">
      <c r="A110" s="898" t="str">
        <f t="array" ref="A110">INDEX(AccountCodes[ACCOUNT NAME],MATCH(G110,AccountCodes[NGAS CODE],0))</f>
        <v>Repairs and Maintenance-Machinery and Equipment - Other Machinery and Equipment</v>
      </c>
      <c r="G110" s="129" t="s">
        <v>261</v>
      </c>
      <c r="H110" s="459">
        <f>INDEX(AccountCodes[PPSAS CODE],MATCH(G110,AccountCodes[NGAS CODE],0))</f>
        <v>5021305099</v>
      </c>
      <c r="I110" s="900">
        <f>SUMIF(TB[ACCOUNT CODE (NGAS)],G110,TB[DEBIT/CREDIT])</f>
        <v>0</v>
      </c>
    </row>
    <row r="111" spans="1:10" x14ac:dyDescent="0.25">
      <c r="A111" s="898" t="str">
        <f t="array" ref="A111">INDEX(AccountCodes[ACCOUNT NAME],MATCH(G111,AccountCodes[NGAS CODE],0))</f>
        <v>Repairs and Maintenance-Transportation Equipment - Motor Vehicles</v>
      </c>
      <c r="G111" s="129" t="s">
        <v>262</v>
      </c>
      <c r="H111" s="459">
        <f>INDEX(AccountCodes[PPSAS CODE],MATCH(G111,AccountCodes[NGAS CODE],0))</f>
        <v>5021306001</v>
      </c>
      <c r="I111" s="900">
        <f>SUMIF(TB[ACCOUNT CODE (NGAS)],G111,TB[DEBIT/CREDIT])</f>
        <v>0</v>
      </c>
    </row>
    <row r="112" spans="1:10" hidden="1" x14ac:dyDescent="0.25">
      <c r="A112" s="898" t="str">
        <f t="array" ref="A112">INDEX(AccountCodes[ACCOUNT NAME],MATCH(G112,AccountCodes[NGAS CODE],0))</f>
        <v>Repairs and Maintenance-Transportation Equipment - Other Transportation Equipment</v>
      </c>
      <c r="G112" s="129" t="s">
        <v>264</v>
      </c>
      <c r="H112" s="459">
        <f>INDEX(AccountCodes[PPSAS CODE],MATCH(G112,AccountCodes[NGAS CODE],0))</f>
        <v>5021306099</v>
      </c>
      <c r="I112" s="900">
        <f>SUMIF(TB[ACCOUNT CODE (NGAS)],G112,TB[DEBIT/CREDIT])</f>
        <v>0</v>
      </c>
    </row>
    <row r="113" spans="1:10" hidden="1" x14ac:dyDescent="0.25">
      <c r="A113" s="898" t="str">
        <f t="array" ref="A113">INDEX(AccountCodes[ACCOUNT NAME],MATCH(G113,AccountCodes[NGAS CODE],0))</f>
        <v>Repairs and Maintenance-Other Property, Plant and Equipment - Other Property, Plant and Equipment</v>
      </c>
      <c r="G113" s="129" t="s">
        <v>265</v>
      </c>
      <c r="H113" s="459">
        <f>INDEX(AccountCodes[PPSAS CODE],MATCH(G113,AccountCodes[NGAS CODE],0))</f>
        <v>5021399099</v>
      </c>
      <c r="I113" s="900">
        <f>SUMIF(TB[ACCOUNT CODE (NGAS)],G113,TB[DEBIT/CREDIT])</f>
        <v>0</v>
      </c>
    </row>
    <row r="114" spans="1:10" hidden="1" x14ac:dyDescent="0.25">
      <c r="A114" s="898" t="str">
        <f t="array" ref="A114">INDEX(AccountCodes[ACCOUNT NAME],MATCH(G114,AccountCodes[NGAS CODE],0))</f>
        <v>Repairs and Maintenance-Infrastructure Assets - Other Infrastructure Assets (Irrigation Canal &amp; Laterals)</v>
      </c>
      <c r="G114" s="129" t="s">
        <v>267</v>
      </c>
      <c r="H114" s="459">
        <f>INDEX(AccountCodes[PPSAS CODE],MATCH(G114,AccountCodes[NGAS CODE],0))</f>
        <v>5021303098</v>
      </c>
      <c r="I114" s="900">
        <f>SUMIF(TB[ACCOUNT CODE (NGAS)],G114,TB[DEBIT/CREDIT])</f>
        <v>0</v>
      </c>
    </row>
    <row r="115" spans="1:10" x14ac:dyDescent="0.25">
      <c r="A115" s="898"/>
      <c r="G115" s="129"/>
      <c r="H115" s="459"/>
      <c r="I115" s="900"/>
    </row>
    <row r="116" spans="1:10" x14ac:dyDescent="0.25">
      <c r="A116" s="898"/>
      <c r="G116" s="129"/>
      <c r="H116" s="459"/>
      <c r="I116" s="900"/>
    </row>
    <row r="117" spans="1:10" x14ac:dyDescent="0.25">
      <c r="A117" s="898"/>
      <c r="G117" s="129"/>
      <c r="H117" s="459"/>
      <c r="I117" s="900"/>
    </row>
    <row r="118" spans="1:10" x14ac:dyDescent="0.25">
      <c r="A118" s="898"/>
      <c r="G118" s="129"/>
      <c r="H118" s="459"/>
      <c r="I118" s="900"/>
    </row>
    <row r="119" spans="1:10" x14ac:dyDescent="0.25">
      <c r="A119" s="898"/>
      <c r="G119" s="129"/>
      <c r="H119" s="459"/>
      <c r="I119" s="900"/>
    </row>
    <row r="120" spans="1:10" x14ac:dyDescent="0.25">
      <c r="A120" s="898"/>
      <c r="G120" s="129"/>
      <c r="H120" s="459"/>
      <c r="I120" s="900"/>
    </row>
    <row r="121" spans="1:10" x14ac:dyDescent="0.25">
      <c r="A121" s="898"/>
      <c r="G121" s="129"/>
      <c r="H121" s="459"/>
      <c r="I121" s="900"/>
    </row>
    <row r="122" spans="1:10" x14ac:dyDescent="0.25">
      <c r="A122" s="902" t="s">
        <v>1621</v>
      </c>
      <c r="G122" s="129"/>
      <c r="H122" s="459"/>
      <c r="I122" s="900"/>
    </row>
    <row r="123" spans="1:10" x14ac:dyDescent="0.25">
      <c r="A123" s="898" t="str">
        <f t="array" ref="A123">INDEX(AccountCodes[ACCOUNT NAME],MATCH(G123,AccountCodes[NGAS CODE],0))</f>
        <v>Fidelity Bond Premiums</v>
      </c>
      <c r="G123" s="129" t="s">
        <v>273</v>
      </c>
      <c r="H123" s="459">
        <f>INDEX(AccountCodes[PPSAS CODE],MATCH(G123,AccountCodes[NGAS CODE],0))</f>
        <v>5021502000</v>
      </c>
      <c r="I123" s="900">
        <f>SUMIF(TB[ACCOUNT CODE (NGAS)],G123,TB[DEBIT/CREDIT])</f>
        <v>0</v>
      </c>
      <c r="J123" s="108">
        <f>I123+I124</f>
        <v>0</v>
      </c>
    </row>
    <row r="124" spans="1:10" x14ac:dyDescent="0.25">
      <c r="A124" s="898" t="str">
        <f t="array" ref="A124">INDEX(AccountCodes[ACCOUNT NAME],MATCH(G124,AccountCodes[NGAS CODE],0))</f>
        <v>Insurance Expenses</v>
      </c>
      <c r="G124" s="129" t="s">
        <v>274</v>
      </c>
      <c r="H124" s="459">
        <f>INDEX(AccountCodes[PPSAS CODE],MATCH(G124,AccountCodes[NGAS CODE],0))</f>
        <v>5021503000</v>
      </c>
      <c r="I124" s="900">
        <f>SUMIF(TB[ACCOUNT CODE (NGAS)],G124,TB[DEBIT/CREDIT])</f>
        <v>0</v>
      </c>
    </row>
    <row r="125" spans="1:10" hidden="1" x14ac:dyDescent="0.25">
      <c r="A125" s="898"/>
      <c r="G125" s="129"/>
      <c r="H125" s="459"/>
      <c r="I125" s="900"/>
    </row>
    <row r="126" spans="1:10" hidden="1" x14ac:dyDescent="0.25">
      <c r="A126" s="898"/>
      <c r="G126" s="129"/>
      <c r="H126" s="459"/>
      <c r="I126" s="900"/>
    </row>
    <row r="127" spans="1:10" x14ac:dyDescent="0.25">
      <c r="A127" s="898"/>
      <c r="G127" s="129"/>
      <c r="H127" s="459"/>
      <c r="I127" s="900"/>
    </row>
    <row r="128" spans="1:10" x14ac:dyDescent="0.25">
      <c r="A128" s="902" t="s">
        <v>368</v>
      </c>
      <c r="G128" s="129"/>
      <c r="H128" s="459"/>
      <c r="I128" s="900"/>
      <c r="J128" s="108">
        <f>I129+I130+I132+I133+I134</f>
        <v>0</v>
      </c>
    </row>
    <row r="129" spans="1:10" x14ac:dyDescent="0.25">
      <c r="A129" s="898" t="str">
        <f t="array" ref="A129">INDEX(AccountCodes[ACCOUNT NAME],MATCH(G129,AccountCodes[NGAS CODE],0))</f>
        <v>Representation Expenses</v>
      </c>
      <c r="G129" s="129" t="s">
        <v>243</v>
      </c>
      <c r="H129" s="459">
        <f>INDEX(AccountCodes[PPSAS CODE],MATCH(G129,AccountCodes[NGAS CODE],0))</f>
        <v>5029903000</v>
      </c>
      <c r="I129" s="900">
        <f>SUMIF(TB[ACCOUNT CODE (NGAS)],G129,TB[DEBIT/CREDIT])</f>
        <v>0</v>
      </c>
    </row>
    <row r="130" spans="1:10" x14ac:dyDescent="0.25">
      <c r="A130" s="898" t="str">
        <f t="array" ref="A130">INDEX(AccountCodes[ACCOUNT NAME],MATCH(G130,AccountCodes[NGAS CODE],0))</f>
        <v>Donations</v>
      </c>
      <c r="G130" s="129" t="s">
        <v>269</v>
      </c>
      <c r="H130" s="459">
        <f>INDEX(AccountCodes[PPSAS CODE],MATCH(G130,AccountCodes[NGAS CODE],0))</f>
        <v>5029908000</v>
      </c>
      <c r="I130" s="900">
        <f>SUMIF(TB[ACCOUNT CODE (NGAS)],G130,TB[DEBIT/CREDIT])</f>
        <v>0</v>
      </c>
    </row>
    <row r="131" spans="1:10" hidden="1" x14ac:dyDescent="0.25">
      <c r="A131" s="898" t="str">
        <f t="array" ref="A131">INDEX(AccountCodes[ACCOUNT NAME],MATCH(G131,AccountCodes[NGAS CODE],0))</f>
        <v>Other Maintenance and Operating Expenses (Irrigator's Share/Remuneration/Subsidy)</v>
      </c>
      <c r="G131" s="129" t="s">
        <v>333</v>
      </c>
      <c r="H131" s="459">
        <f>INDEX(AccountCodes[PPSAS CODE],MATCH(G131,AccountCodes[NGAS CODE],0))</f>
        <v>5029999098</v>
      </c>
      <c r="I131" s="900">
        <f>SUMIF(TB[ACCOUNT CODE (NGAS)],G131,TB[DEBIT/CREDIT])</f>
        <v>0</v>
      </c>
    </row>
    <row r="132" spans="1:10" x14ac:dyDescent="0.25">
      <c r="A132" s="898" t="str">
        <f t="array" ref="A132">INDEX(AccountCodes[ACCOUNT NAME],MATCH(G132,AccountCodes[NGAS CODE],0))</f>
        <v>Other Maintenance and Operating Expenses - Other Maintenance and Operating Expenses</v>
      </c>
      <c r="G132" s="129" t="s">
        <v>405</v>
      </c>
      <c r="H132" s="459">
        <f>INDEX(AccountCodes[PPSAS CODE],MATCH(G132,AccountCodes[NGAS CODE],0))</f>
        <v>5029999002</v>
      </c>
      <c r="I132" s="900">
        <f>SUMIF(TB[ACCOUNT CODE (NGAS)],G132,TB[DEBIT/CREDIT])</f>
        <v>0</v>
      </c>
    </row>
    <row r="133" spans="1:10" x14ac:dyDescent="0.25">
      <c r="A133" s="898" t="str">
        <f t="array" ref="A133">INDEX(AccountCodes[ACCOUNT NAME],MATCH(G133,AccountCodes[NGAS CODE],0))</f>
        <v>Bank Charges</v>
      </c>
      <c r="G133" s="129" t="s">
        <v>340</v>
      </c>
      <c r="H133" s="459">
        <f>INDEX(AccountCodes[PPSAS CODE],MATCH(G133,AccountCodes[NGAS CODE],0))</f>
        <v>5030104000</v>
      </c>
      <c r="I133" s="900">
        <f>SUMIF(TB[ACCOUNT CODE (NGAS)],G133,TB[DEBIT/CREDIT])</f>
        <v>0</v>
      </c>
    </row>
    <row r="134" spans="1:10" x14ac:dyDescent="0.25">
      <c r="A134" s="898" t="str">
        <f t="array" ref="A134">INDEX(AccountCodes[ACCOUNT NAME],MATCH(G134,AccountCodes[NGAS CODE],0))</f>
        <v>Interest Expenses</v>
      </c>
      <c r="G134" s="129" t="s">
        <v>341</v>
      </c>
      <c r="H134" s="459">
        <f>INDEX(AccountCodes[PPSAS CODE],MATCH(G134,AccountCodes[NGAS CODE],0))</f>
        <v>5030102000</v>
      </c>
      <c r="I134" s="900">
        <f>SUMIF(TB[ACCOUNT CODE (NGAS)],G134,TB[DEBIT/CREDIT])</f>
        <v>0</v>
      </c>
    </row>
    <row r="135" spans="1:10" x14ac:dyDescent="0.25">
      <c r="A135" s="29" t="s">
        <v>432</v>
      </c>
      <c r="G135" s="129"/>
      <c r="H135" s="129"/>
      <c r="I135" s="903">
        <f>SUM(I70:I134)</f>
        <v>0</v>
      </c>
      <c r="J135" s="108">
        <f>SUM(J69:J133)</f>
        <v>0</v>
      </c>
    </row>
    <row r="136" spans="1:10" x14ac:dyDescent="0.25">
      <c r="G136" s="129"/>
      <c r="H136" s="129"/>
      <c r="I136" s="904"/>
    </row>
    <row r="137" spans="1:10" x14ac:dyDescent="0.25">
      <c r="A137" s="29" t="s">
        <v>433</v>
      </c>
      <c r="G137" s="129"/>
      <c r="H137" s="129"/>
      <c r="I137" s="904"/>
    </row>
    <row r="138" spans="1:10" hidden="1" x14ac:dyDescent="0.25">
      <c r="A138" s="898" t="str">
        <f t="array" ref="A138">INDEX(AccountCodes[ACCOUNT NAME],MATCH(G138,AccountCodes[NGAS CODE],0))</f>
        <v>Depreciation-Land Improvements</v>
      </c>
      <c r="G138" s="129" t="s">
        <v>275</v>
      </c>
      <c r="H138" s="459">
        <f>INDEX(AccountCodes[PPSAS CODE],MATCH(G138,AccountCodes[NGAS CODE],0))</f>
        <v>5050102000</v>
      </c>
      <c r="I138" s="900">
        <f>SUMIF(TB[ACCOUNT CODE (NGAS)],G138,TB[DEBIT/CREDIT])</f>
        <v>0</v>
      </c>
    </row>
    <row r="139" spans="1:10" hidden="1" x14ac:dyDescent="0.25">
      <c r="A139" s="898" t="str">
        <f t="array" ref="A139">INDEX(AccountCodes[ACCOUNT NAME],MATCH(G139,AccountCodes[NGAS CODE],0))</f>
        <v>Depreciation-Buildings and Other Structures - Buildings</v>
      </c>
      <c r="G139" s="129" t="s">
        <v>276</v>
      </c>
      <c r="H139" s="459">
        <f>INDEX(AccountCodes[PPSAS CODE],MATCH(G139,AccountCodes[NGAS CODE],0))</f>
        <v>5050104001</v>
      </c>
      <c r="I139" s="900">
        <f>SUMIF(TB[ACCOUNT CODE (NGAS)],G139,TB[DEBIT/CREDIT])</f>
        <v>0</v>
      </c>
    </row>
    <row r="140" spans="1:10" x14ac:dyDescent="0.25">
      <c r="A140" s="898" t="str">
        <f t="array" ref="A140">INDEX(AccountCodes[ACCOUNT NAME],MATCH(G140,AccountCodes[NGAS CODE],0))</f>
        <v>Depreciation-Machinery and Equipment - Office Equipment</v>
      </c>
      <c r="G140" s="129" t="s">
        <v>278</v>
      </c>
      <c r="H140" s="459">
        <f>INDEX(AccountCodes[PPSAS CODE],MATCH(G140,AccountCodes[NGAS CODE],0))</f>
        <v>5050105002</v>
      </c>
      <c r="I140" s="900">
        <f>SUMIF(TB[ACCOUNT CODE (NGAS)],G140,TB[DEBIT/CREDIT])</f>
        <v>0</v>
      </c>
    </row>
    <row r="141" spans="1:10" hidden="1" x14ac:dyDescent="0.25">
      <c r="A141" s="898" t="str">
        <f t="array" ref="A141">INDEX(AccountCodes[ACCOUNT NAME],MATCH(G141,AccountCodes[NGAS CODE],0))</f>
        <v>Depreciation-Furniture, Fixtures and Books - Furniture and Fixtures</v>
      </c>
      <c r="G141" s="129" t="s">
        <v>279</v>
      </c>
      <c r="H141" s="459">
        <f>INDEX(AccountCodes[PPSAS CODE],MATCH(G141,AccountCodes[NGAS CODE],0))</f>
        <v>5050107001</v>
      </c>
      <c r="I141" s="900">
        <f>SUMIF(TB[ACCOUNT CODE (NGAS)],G141,TB[DEBIT/CREDIT])</f>
        <v>0</v>
      </c>
    </row>
    <row r="142" spans="1:10" hidden="1" x14ac:dyDescent="0.25">
      <c r="A142" s="898" t="str">
        <f t="array" ref="A142">INDEX(AccountCodes[ACCOUNT NAME],MATCH(G142,AccountCodes[NGAS CODE],0))</f>
        <v>Depreciation-Furniture, Fixtures and Books - Books</v>
      </c>
      <c r="G142" s="129" t="s">
        <v>281</v>
      </c>
      <c r="H142" s="459">
        <f>INDEX(AccountCodes[PPSAS CODE],MATCH(G142,AccountCodes[NGAS CODE],0))</f>
        <v>5050107002</v>
      </c>
      <c r="I142" s="900">
        <f>SUMIF(TB[ACCOUNT CODE (NGAS)],G142,TB[DEBIT/CREDIT])</f>
        <v>0</v>
      </c>
    </row>
    <row r="143" spans="1:10" x14ac:dyDescent="0.25">
      <c r="A143" s="898" t="str">
        <f t="array" ref="A143">INDEX(AccountCodes[ACCOUNT NAME],MATCH(G143,AccountCodes[NGAS CODE],0))</f>
        <v>Depreciation-Machinery and Equipment - ICT Equipment</v>
      </c>
      <c r="G143" s="905" t="s">
        <v>280</v>
      </c>
      <c r="H143" s="459">
        <f>INDEX(AccountCodes[PPSAS CODE],MATCH(G143,AccountCodes[NGAS CODE],0))</f>
        <v>5050105003</v>
      </c>
      <c r="I143" s="900">
        <f>SUMIF(TB[ACCOUNT CODE (NGAS)],G143,TB[DEBIT/CREDIT])</f>
        <v>0</v>
      </c>
    </row>
    <row r="144" spans="1:10" x14ac:dyDescent="0.25">
      <c r="A144" s="898" t="str">
        <f t="array" ref="A144">INDEX(AccountCodes[ACCOUNT NAME],MATCH(G144,AccountCodes[NGAS CODE],0))</f>
        <v>Depreciation-Infrastructure Assets - Other Infrastructure Assets (Irrigation Canals &amp; Laterals)</v>
      </c>
      <c r="G144" s="905" t="s">
        <v>1452</v>
      </c>
      <c r="H144" s="459">
        <f>INDEX(AccountCodes[PPSAS CODE],MATCH(G144,AccountCodes[NGAS CODE],0))</f>
        <v>5050103099</v>
      </c>
      <c r="I144" s="900">
        <f>SUMIF(TB[ACCOUNT CODE (NGAS)],G144,TB[DEBIT/CREDIT])</f>
        <v>0</v>
      </c>
    </row>
    <row r="145" spans="1:9" x14ac:dyDescent="0.25">
      <c r="A145" s="898"/>
      <c r="G145" s="129"/>
      <c r="H145" s="459"/>
      <c r="I145" s="900">
        <f>SUMIF(TB[ACCOUNT CODE (NGAS)],G145,TB[DEBIT/CREDIT])</f>
        <v>0</v>
      </c>
    </row>
    <row r="146" spans="1:9" x14ac:dyDescent="0.25">
      <c r="A146" s="29" t="s">
        <v>510</v>
      </c>
      <c r="I146" s="906">
        <f>SUM(I138:I145)</f>
        <v>0</v>
      </c>
    </row>
    <row r="147" spans="1:9" x14ac:dyDescent="0.25">
      <c r="A147" s="29" t="s">
        <v>434</v>
      </c>
      <c r="I147" s="901">
        <f>I66+I135+I146</f>
        <v>50693</v>
      </c>
    </row>
    <row r="148" spans="1:9" x14ac:dyDescent="0.25">
      <c r="A148" s="29" t="s">
        <v>435</v>
      </c>
      <c r="I148" s="901">
        <f>I31-I147</f>
        <v>-50693</v>
      </c>
    </row>
    <row r="150" spans="1:9" x14ac:dyDescent="0.25">
      <c r="A150" s="29" t="s">
        <v>437</v>
      </c>
    </row>
    <row r="151" spans="1:9" x14ac:dyDescent="0.25">
      <c r="A151" s="898" t="str">
        <f t="array" ref="A151">INDEX(AccountCodes[ACCOUNT NAME],MATCH(G151,AccountCodes[NGAS CODE],0))</f>
        <v>Subsidy from Central Office</v>
      </c>
      <c r="B151" s="899"/>
      <c r="C151" s="899"/>
      <c r="D151" s="899"/>
      <c r="E151" s="899"/>
      <c r="F151" s="899"/>
      <c r="G151" s="460" t="s">
        <v>152</v>
      </c>
      <c r="H151" s="459">
        <f>INDEX(AccountCodes[PPSAS CODE],MATCH(G151,AccountCodes[NGAS CODE],0))</f>
        <v>4030106000</v>
      </c>
      <c r="I151" s="900">
        <f>SUMIF(TB[ACCOUNT CODE (NGAS)],G151,TB[DEBIT/CREDIT])</f>
        <v>0</v>
      </c>
    </row>
    <row r="152" spans="1:9" x14ac:dyDescent="0.25">
      <c r="A152" s="29" t="s">
        <v>436</v>
      </c>
      <c r="I152" s="901">
        <f>SUM(I151)</f>
        <v>0</v>
      </c>
    </row>
    <row r="154" spans="1:9" ht="16.5" thickBot="1" x14ac:dyDescent="0.3">
      <c r="A154" s="29" t="s">
        <v>438</v>
      </c>
      <c r="I154" s="907">
        <f>I148+I152</f>
        <v>-50693</v>
      </c>
    </row>
    <row r="155" spans="1:9" ht="16.5" thickTop="1" x14ac:dyDescent="0.25"/>
    <row r="164" spans="1:9" x14ac:dyDescent="0.25">
      <c r="D164" s="128"/>
      <c r="E164" s="163"/>
      <c r="F164" s="163"/>
      <c r="G164" s="436"/>
      <c r="H164" s="436"/>
      <c r="I164" s="163"/>
    </row>
    <row r="165" spans="1:9" x14ac:dyDescent="0.25">
      <c r="D165" s="163"/>
      <c r="E165" s="163"/>
      <c r="F165" s="163"/>
      <c r="G165" s="436"/>
      <c r="H165" s="436"/>
      <c r="I165" s="163"/>
    </row>
    <row r="169" spans="1:9" x14ac:dyDescent="0.25">
      <c r="A169" s="908" t="s">
        <v>1589</v>
      </c>
      <c r="B169" s="118"/>
      <c r="C169" s="118"/>
      <c r="D169" s="909" t="s">
        <v>461</v>
      </c>
      <c r="E169" s="909"/>
      <c r="F169" s="118"/>
      <c r="G169" s="118" t="s">
        <v>1606</v>
      </c>
    </row>
    <row r="170" spans="1:9" x14ac:dyDescent="0.25">
      <c r="A170" s="908"/>
      <c r="B170" s="118"/>
      <c r="C170" s="118"/>
      <c r="D170" s="909"/>
      <c r="E170" s="909"/>
      <c r="F170" s="118"/>
      <c r="G170" s="118"/>
    </row>
    <row r="171" spans="1:9" x14ac:dyDescent="0.25">
      <c r="A171" s="118"/>
      <c r="B171" s="118"/>
      <c r="C171" s="118"/>
      <c r="D171" s="909"/>
      <c r="E171" s="909"/>
      <c r="F171" s="118"/>
      <c r="G171" s="118"/>
    </row>
    <row r="172" spans="1:9" x14ac:dyDescent="0.25">
      <c r="A172" s="910" t="s">
        <v>1571</v>
      </c>
      <c r="B172" s="911"/>
      <c r="C172" s="118"/>
      <c r="D172" s="912" t="s">
        <v>1561</v>
      </c>
      <c r="E172" s="909"/>
      <c r="F172" s="118"/>
      <c r="G172" s="1034" t="s">
        <v>1591</v>
      </c>
      <c r="H172" s="1034"/>
      <c r="I172" s="1034"/>
    </row>
    <row r="173" spans="1:9" x14ac:dyDescent="0.25">
      <c r="A173" s="913" t="s">
        <v>1619</v>
      </c>
      <c r="B173" s="118"/>
      <c r="C173" s="118"/>
      <c r="D173" s="914"/>
      <c r="E173" s="909"/>
      <c r="F173" s="118"/>
      <c r="G173" s="1035" t="s">
        <v>1570</v>
      </c>
      <c r="H173" s="1035"/>
      <c r="I173" s="1035"/>
    </row>
  </sheetData>
  <sheetProtection autoFilter="0"/>
  <autoFilter ref="I9:I154" xr:uid="{00000000-0009-0000-0000-000002000000}"/>
  <mergeCells count="2">
    <mergeCell ref="G172:I172"/>
    <mergeCell ref="G173:I173"/>
  </mergeCells>
  <printOptions horizontalCentered="1"/>
  <pageMargins left="0.23622047244094491" right="0.23622047244094491" top="0.74803149606299213" bottom="0.86614173228346458" header="0.31496062992125984" footer="0.43307086614173229"/>
  <pageSetup paperSize="14" scale="80" orientation="portrait" r:id="rId1"/>
  <headerFooter>
    <oddFooter>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1">
    <tabColor rgb="FFFF0000"/>
  </sheetPr>
  <dimension ref="A2:I182"/>
  <sheetViews>
    <sheetView view="pageBreakPreview" zoomScale="90" zoomScaleNormal="115" zoomScaleSheetLayoutView="90" workbookViewId="0">
      <selection activeCell="D44" sqref="D44"/>
    </sheetView>
  </sheetViews>
  <sheetFormatPr defaultColWidth="9" defaultRowHeight="15.75" x14ac:dyDescent="0.25"/>
  <cols>
    <col min="1" max="1" width="13.5" style="108" bestFit="1" customWidth="1"/>
    <col min="2" max="6" width="9" style="108"/>
    <col min="7" max="7" width="9" style="198" customWidth="1"/>
    <col min="8" max="8" width="17.5" style="920" customWidth="1"/>
    <col min="9" max="9" width="18.125" style="920" customWidth="1"/>
    <col min="10" max="16384" width="9" style="108"/>
  </cols>
  <sheetData>
    <row r="2" spans="1:9" ht="20.25" x14ac:dyDescent="0.3">
      <c r="A2" s="864" t="s">
        <v>355</v>
      </c>
      <c r="B2" s="128"/>
      <c r="C2" s="128"/>
      <c r="D2" s="128"/>
      <c r="E2" s="128"/>
      <c r="F2" s="128"/>
      <c r="G2" s="893"/>
      <c r="H2" s="916"/>
      <c r="I2" s="916"/>
    </row>
    <row r="3" spans="1:9" x14ac:dyDescent="0.25">
      <c r="A3" s="892" t="s">
        <v>1064</v>
      </c>
      <c r="B3" s="128"/>
      <c r="C3" s="128"/>
      <c r="D3" s="128"/>
      <c r="E3" s="128"/>
      <c r="F3" s="128"/>
      <c r="G3" s="893"/>
      <c r="H3" s="916"/>
      <c r="I3" s="916"/>
    </row>
    <row r="4" spans="1:9" x14ac:dyDescent="0.25">
      <c r="A4" s="2" t="s">
        <v>1538</v>
      </c>
      <c r="B4" s="128"/>
      <c r="C4" s="128"/>
      <c r="D4" s="128"/>
      <c r="E4" s="128"/>
      <c r="F4" s="128"/>
      <c r="G4" s="893"/>
      <c r="H4" s="916"/>
      <c r="I4" s="916"/>
    </row>
    <row r="5" spans="1:9" x14ac:dyDescent="0.25">
      <c r="A5" s="2" t="s">
        <v>1539</v>
      </c>
      <c r="B5" s="128"/>
      <c r="C5" s="128"/>
      <c r="D5" s="128"/>
      <c r="E5" s="128"/>
      <c r="F5" s="128"/>
      <c r="G5" s="893"/>
      <c r="H5" s="916"/>
      <c r="I5" s="916"/>
    </row>
    <row r="6" spans="1:9" x14ac:dyDescent="0.25">
      <c r="A6" s="894" t="str">
        <f>Account!$G$1</f>
        <v>FUND 501 CARP</v>
      </c>
      <c r="B6" s="128"/>
      <c r="C6" s="128"/>
      <c r="D6" s="128"/>
      <c r="E6" s="128"/>
      <c r="F6" s="128"/>
      <c r="G6" s="893"/>
      <c r="H6" s="916"/>
      <c r="I6" s="916"/>
    </row>
    <row r="7" spans="1:9" x14ac:dyDescent="0.25">
      <c r="A7" s="2" t="s">
        <v>1623</v>
      </c>
      <c r="B7" s="2"/>
      <c r="C7" s="2"/>
      <c r="D7" s="2"/>
      <c r="E7" s="2"/>
      <c r="F7" s="2"/>
      <c r="G7" s="895"/>
      <c r="H7" s="917"/>
      <c r="I7" s="917"/>
    </row>
    <row r="8" spans="1:9" x14ac:dyDescent="0.25">
      <c r="A8" s="894">
        <f>Account!$G$2</f>
        <v>44500</v>
      </c>
      <c r="B8" s="2"/>
      <c r="C8" s="2"/>
      <c r="D8" s="2"/>
      <c r="E8" s="2"/>
      <c r="F8" s="2"/>
      <c r="G8" s="895"/>
      <c r="H8" s="917"/>
      <c r="I8" s="917"/>
    </row>
    <row r="10" spans="1:9" x14ac:dyDescent="0.25">
      <c r="A10" s="934" t="s">
        <v>402</v>
      </c>
      <c r="B10" s="934"/>
      <c r="C10" s="934"/>
      <c r="D10" s="934"/>
      <c r="E10" s="934"/>
      <c r="F10" s="934"/>
      <c r="G10" s="918" t="s">
        <v>403</v>
      </c>
      <c r="H10" s="919" t="s">
        <v>404</v>
      </c>
      <c r="I10" s="919"/>
    </row>
    <row r="12" spans="1:9" x14ac:dyDescent="0.25">
      <c r="A12" s="925" t="s">
        <v>401</v>
      </c>
      <c r="B12" s="128"/>
      <c r="C12" s="128"/>
      <c r="D12" s="128"/>
      <c r="E12" s="128"/>
      <c r="F12" s="128"/>
      <c r="G12" s="893"/>
      <c r="H12" s="916"/>
      <c r="I12" s="916"/>
    </row>
    <row r="13" spans="1:9" x14ac:dyDescent="0.25">
      <c r="A13" s="29" t="s">
        <v>413</v>
      </c>
    </row>
    <row r="14" spans="1:9" x14ac:dyDescent="0.25">
      <c r="A14" s="29" t="s">
        <v>410</v>
      </c>
    </row>
    <row r="15" spans="1:9" hidden="1" x14ac:dyDescent="0.25">
      <c r="A15" s="921" t="str">
        <f t="array" ref="A15">INDEX(AccountCodes[ACCOUNT NAME],MATCH(G15,AccountCodes[NGAS CODE],0))</f>
        <v>Cash-Collecting Officers</v>
      </c>
      <c r="G15" s="129" t="s">
        <v>9</v>
      </c>
      <c r="H15" s="922"/>
      <c r="I15" s="922">
        <f>SUMIF(TB[ACCOUNT CODE (NGAS)],G15,TB[DEBIT/CREDIT])</f>
        <v>0</v>
      </c>
    </row>
    <row r="16" spans="1:9" hidden="1" x14ac:dyDescent="0.25">
      <c r="A16" s="921" t="str">
        <f t="array" ref="A16">INDEX(AccountCodes[ACCOUNT NAME],MATCH(G16,AccountCodes[NGAS CODE],0))</f>
        <v>Advances to Special Disbursing Officer</v>
      </c>
      <c r="G16" s="129" t="s">
        <v>10</v>
      </c>
      <c r="H16" s="923"/>
      <c r="I16" s="922">
        <f>SUMIF(TB[ACCOUNT CODE (NGAS)],G16,TB[DEBIT/CREDIT])</f>
        <v>0</v>
      </c>
    </row>
    <row r="17" spans="1:9" hidden="1" x14ac:dyDescent="0.25">
      <c r="A17" s="921" t="str">
        <f t="array" ref="A17">INDEX(AccountCodes[ACCOUNT NAME],MATCH(G17,AccountCodes[NGAS CODE],0))</f>
        <v>Petty Cash</v>
      </c>
      <c r="G17" s="129" t="s">
        <v>11</v>
      </c>
      <c r="H17" s="923"/>
      <c r="I17" s="922">
        <f>SUMIF(TB[ACCOUNT CODE (NGAS)],G17,TB[DEBIT/CREDIT])</f>
        <v>0</v>
      </c>
    </row>
    <row r="18" spans="1:9" hidden="1" x14ac:dyDescent="0.25">
      <c r="A18" s="921" t="str">
        <f t="array" ref="A18">INDEX(AccountCodes[ACCOUNT NAME],MATCH(G18,AccountCodes[NGAS CODE],0))</f>
        <v>Cash in Bank-Local Currency, Current Account</v>
      </c>
      <c r="G18" s="129" t="s">
        <v>13</v>
      </c>
      <c r="H18" s="923"/>
      <c r="I18" s="922">
        <f>SUMIF(TB[ACCOUNT CODE (NGAS)],G18,TB[DEBIT/CREDIT])</f>
        <v>0</v>
      </c>
    </row>
    <row r="19" spans="1:9" hidden="1" x14ac:dyDescent="0.25">
      <c r="A19" s="921" t="str">
        <f t="array" ref="A19">INDEX(AccountCodes[ACCOUNT NAME],MATCH(G19,AccountCodes[NGAS CODE],0))</f>
        <v>Cash in Bank-Local Currency, Current Account</v>
      </c>
      <c r="G19" s="129" t="s">
        <v>13</v>
      </c>
      <c r="H19" s="923"/>
      <c r="I19" s="922">
        <f>SUMIF(TB[ACCOUNT CODE (NGAS)],G19,TB[DEBIT/CREDIT])</f>
        <v>0</v>
      </c>
    </row>
    <row r="20" spans="1:9" x14ac:dyDescent="0.25">
      <c r="A20" s="921" t="str">
        <f t="array" ref="A20">INDEX(AccountCodes[ACCOUNT NAME],MATCH(G20,AccountCodes[NGAS CODE],0))</f>
        <v>Cash in Bank-Local Currency, Current Account - RO</v>
      </c>
      <c r="G20" s="129" t="s">
        <v>1478</v>
      </c>
      <c r="H20" s="923"/>
      <c r="I20" s="922">
        <f>SUMIF(TB[ACCOUNT CODE (NGAS)],G20,TB[DEBIT/CREDIT])</f>
        <v>4370388.76</v>
      </c>
    </row>
    <row r="21" spans="1:9" hidden="1" x14ac:dyDescent="0.25">
      <c r="A21" s="921" t="str">
        <f t="array" ref="A21">INDEX(AccountCodes[ACCOUNT NAME],MATCH(G21,AccountCodes[NGAS CODE],0))</f>
        <v>Cash in Bank-Local Currency, Current Account - RO Subsidy/Capital Outlay</v>
      </c>
      <c r="G21" s="129" t="s">
        <v>1482</v>
      </c>
      <c r="H21" s="923"/>
      <c r="I21" s="922">
        <f>SUMIF(TB[ACCOUNT CODE (NGAS)],G21,TB[DEBIT/CREDIT])</f>
        <v>0</v>
      </c>
    </row>
    <row r="22" spans="1:9" hidden="1" x14ac:dyDescent="0.25">
      <c r="A22" s="921" t="str">
        <f t="array" ref="A22">INDEX(AccountCodes[ACCOUNT NAME],MATCH(G22,AccountCodes[NGAS CODE],0))</f>
        <v>Cash in Bank-Local Currency, Current Account - RO Back Accounts</v>
      </c>
      <c r="G22" s="129" t="s">
        <v>1484</v>
      </c>
      <c r="H22" s="923"/>
      <c r="I22" s="922">
        <f>SUMIF(TB[ACCOUNT CODE (NGAS)],G22,TB[DEBIT/CREDIT])</f>
        <v>0</v>
      </c>
    </row>
    <row r="23" spans="1:9" hidden="1" x14ac:dyDescent="0.25">
      <c r="A23" s="921" t="str">
        <f t="array" ref="A23">INDEX(AccountCodes[ACCOUNT NAME],MATCH(G23,AccountCodes[NGAS CODE],0))</f>
        <v>Cash in Bank-Local Currency, Current Account - RO NIMF</v>
      </c>
      <c r="G23" s="129" t="s">
        <v>1486</v>
      </c>
      <c r="H23" s="923"/>
      <c r="I23" s="922">
        <f>SUMIF(TB[ACCOUNT CODE (NGAS)],G23,TB[DEBIT/CREDIT])</f>
        <v>0</v>
      </c>
    </row>
    <row r="24" spans="1:9" hidden="1" x14ac:dyDescent="0.25">
      <c r="A24" s="921" t="str">
        <f t="array" ref="A24">INDEX(AccountCodes[ACCOUNT NAME],MATCH(G24,AccountCodes[NGAS CODE],0))</f>
        <v>Cash in Bank-Local Currency, Current Account - RO - PC</v>
      </c>
      <c r="G24" s="129" t="s">
        <v>1488</v>
      </c>
      <c r="H24" s="923"/>
      <c r="I24" s="922">
        <f>SUMIF(TB[ACCOUNT CODE (NGAS)],G24,TB[DEBIT/CREDIT])</f>
        <v>0</v>
      </c>
    </row>
    <row r="25" spans="1:9" hidden="1" x14ac:dyDescent="0.25">
      <c r="A25" s="921" t="str">
        <f t="array" ref="A25">INDEX(AccountCodes[ACCOUNT NAME],MATCH(G25,AccountCodes[NGAS CODE],0))</f>
        <v>Cash in Bank-Local Currency, Current Account - RO - LP</v>
      </c>
      <c r="G25" s="129" t="s">
        <v>1490</v>
      </c>
      <c r="H25" s="923"/>
      <c r="I25" s="922">
        <f>SUMIF(TB[ACCOUNT CODE (NGAS)],G25,TB[DEBIT/CREDIT])</f>
        <v>0</v>
      </c>
    </row>
    <row r="26" spans="1:9" x14ac:dyDescent="0.25">
      <c r="A26" s="921" t="str">
        <f t="array" ref="A26">INDEX(AccountCodes[ACCOUNT NAME],MATCH(G26,AccountCodes[NGAS CODE],0))</f>
        <v>Cash in Bank-Local Currency, Current Account - FO</v>
      </c>
      <c r="G26" s="129" t="s">
        <v>1479</v>
      </c>
      <c r="H26" s="923"/>
      <c r="I26" s="922">
        <f>SUMIF(TB[ACCOUNT CODE (NGAS)],G26,TB[DEBIT/CREDIT])</f>
        <v>14371719.74</v>
      </c>
    </row>
    <row r="27" spans="1:9" hidden="1" x14ac:dyDescent="0.25">
      <c r="A27" s="921" t="str">
        <f t="array" ref="A27">INDEX(AccountCodes[ACCOUNT NAME],MATCH(G27,AccountCodes[NGAS CODE],0))</f>
        <v>Cash in Bank-Local Currency, Current Account - FO - PC</v>
      </c>
      <c r="G27" s="129" t="s">
        <v>1492</v>
      </c>
      <c r="H27" s="923"/>
      <c r="I27" s="922">
        <f>SUMIF(TB[ACCOUNT CODE (NGAS)],G27,TB[DEBIT/CREDIT])</f>
        <v>0</v>
      </c>
    </row>
    <row r="28" spans="1:9" hidden="1" x14ac:dyDescent="0.25">
      <c r="A28" s="921" t="str">
        <f t="array" ref="A28">INDEX(AccountCodes[ACCOUNT NAME],MATCH(G28,AccountCodes[NGAS CODE],0))</f>
        <v>Cash in Bank-Local Currency, Current Account - FO - LP</v>
      </c>
      <c r="G28" s="129" t="s">
        <v>1494</v>
      </c>
      <c r="H28" s="923"/>
      <c r="I28" s="922">
        <f>SUMIF(TB[ACCOUNT CODE (NGAS)],G28,TB[DEBIT/CREDIT])</f>
        <v>0</v>
      </c>
    </row>
    <row r="29" spans="1:9" hidden="1" x14ac:dyDescent="0.25">
      <c r="A29" s="921" t="str">
        <f t="array" ref="A29">INDEX(AccountCodes[ACCOUNT NAME],MATCH(G29,AccountCodes[NGAS CODE],0))</f>
        <v>Cash in Bank-Local Currency, Current Account</v>
      </c>
      <c r="G29" s="129" t="s">
        <v>13</v>
      </c>
      <c r="H29" s="923"/>
      <c r="I29" s="922">
        <f>SUMIF(TB[ACCOUNT CODE (NGAS)],G29,TB[DEBIT/CREDIT])</f>
        <v>0</v>
      </c>
    </row>
    <row r="30" spans="1:9" hidden="1" x14ac:dyDescent="0.25">
      <c r="A30" s="921" t="str">
        <f t="array" ref="A30">INDEX(AccountCodes[ACCOUNT NAME],MATCH(G30,AccountCodes[NGAS CODE],0))</f>
        <v>Cash in Bank-Local Currency, Current Account</v>
      </c>
      <c r="G30" s="129" t="s">
        <v>13</v>
      </c>
      <c r="H30" s="923"/>
      <c r="I30" s="922">
        <f>SUMIF(TB[ACCOUNT CODE (NGAS)],G30,TB[DEBIT/CREDIT])</f>
        <v>0</v>
      </c>
    </row>
    <row r="31" spans="1:9" hidden="1" x14ac:dyDescent="0.25">
      <c r="A31" s="921" t="str">
        <f t="array" ref="A31">INDEX(AccountCodes[ACCOUNT NAME],MATCH(G31,AccountCodes[NGAS CODE],0))</f>
        <v>Cash in Bank-Local Currency, Savings Account</v>
      </c>
      <c r="G31" s="129" t="s">
        <v>14</v>
      </c>
      <c r="H31" s="923"/>
      <c r="I31" s="922">
        <f>SUMIF(TB[ACCOUNT CODE (NGAS)],G31,TB[DEBIT/CREDIT])</f>
        <v>0</v>
      </c>
    </row>
    <row r="32" spans="1:9" x14ac:dyDescent="0.25">
      <c r="A32" s="921"/>
      <c r="G32" s="129"/>
      <c r="H32" s="923"/>
      <c r="I32" s="922"/>
    </row>
    <row r="33" spans="1:9" hidden="1" x14ac:dyDescent="0.25">
      <c r="A33" s="921"/>
      <c r="G33" s="129"/>
      <c r="H33" s="923"/>
      <c r="I33" s="922"/>
    </row>
    <row r="34" spans="1:9" x14ac:dyDescent="0.25">
      <c r="A34" s="29" t="s">
        <v>411</v>
      </c>
      <c r="G34" s="129"/>
      <c r="H34" s="923"/>
      <c r="I34" s="922"/>
    </row>
    <row r="35" spans="1:9" hidden="1" x14ac:dyDescent="0.25">
      <c r="A35" s="921" t="str">
        <f t="array" ref="A35">INDEX(AccountCodes[ACCOUNT NAME],MATCH(G35,AccountCodes[NGAS CODE],0))</f>
        <v>Accounts Receivable - ISF (Current &amp; Back Accounts)</v>
      </c>
      <c r="G35" s="129" t="s">
        <v>351</v>
      </c>
      <c r="H35" s="922">
        <f>SUMIF(TB[ACCOUNT CODE (NGAS)],G35,TB[DEBIT/CREDIT])</f>
        <v>0</v>
      </c>
    </row>
    <row r="36" spans="1:9" hidden="1" x14ac:dyDescent="0.25">
      <c r="A36" s="921" t="str">
        <f t="array" ref="A36">INDEX(AccountCodes[ACCOUNT NAME],MATCH(G36,AccountCodes[NGAS CODE],0))</f>
        <v>Allowance for Impairment-Accounts Receivable</v>
      </c>
      <c r="G36" s="129" t="s">
        <v>84</v>
      </c>
      <c r="H36" s="924">
        <f>-(SUMIF(TB[ACCOUNT CODE (NGAS)],G36,TB[DEBIT/CREDIT]))</f>
        <v>0</v>
      </c>
      <c r="I36" s="922">
        <f>SUM(H35:H36)</f>
        <v>0</v>
      </c>
    </row>
    <row r="37" spans="1:9" hidden="1" x14ac:dyDescent="0.25">
      <c r="A37" s="921" t="str">
        <f t="array" ref="A37">INDEX(AccountCodes[ACCOUNT NAME],MATCH(G37,AccountCodes[NGAS CODE],0))</f>
        <v>Accounts Receivable - Pump/CIP/CIS Equity</v>
      </c>
      <c r="G37" s="129" t="s">
        <v>19</v>
      </c>
      <c r="H37" s="923"/>
      <c r="I37" s="922">
        <f>SUMIF(TB[ACCOUNT CODE (NGAS)],G37,TB[DEBIT/CREDIT])</f>
        <v>0</v>
      </c>
    </row>
    <row r="38" spans="1:9" hidden="1" x14ac:dyDescent="0.25">
      <c r="A38" s="921" t="str">
        <f t="array" ref="A38">INDEX(AccountCodes[ACCOUNT NAME],MATCH(G38,AccountCodes[NGAS CODE],0))</f>
        <v>Accounts Receivable - Others</v>
      </c>
      <c r="G38" s="129" t="s">
        <v>18</v>
      </c>
      <c r="H38" s="923"/>
      <c r="I38" s="922">
        <f>SUMIF(TB[ACCOUNT CODE (NGAS)],G38,TB[DEBIT/CREDIT])</f>
        <v>0</v>
      </c>
    </row>
    <row r="39" spans="1:9" hidden="1" x14ac:dyDescent="0.25">
      <c r="A39" s="921" t="str">
        <f t="array" ref="A39">INDEX(AccountCodes[ACCOUNT NAME],MATCH(G39,AccountCodes[NGAS CODE],0))</f>
        <v>Due from Officers and Employees</v>
      </c>
      <c r="G39" s="129" t="s">
        <v>20</v>
      </c>
      <c r="H39" s="923"/>
      <c r="I39" s="922">
        <f>SUMIF(TB[ACCOUNT CODE (NGAS)],G39,TB[DEBIT/CREDIT])</f>
        <v>0</v>
      </c>
    </row>
    <row r="40" spans="1:9" hidden="1" x14ac:dyDescent="0.25">
      <c r="A40" s="921" t="str">
        <f t="array" ref="A40">INDEX(AccountCodes[ACCOUNT NAME],MATCH(G40,AccountCodes[NGAS CODE],0))</f>
        <v>Due from National Government Agencies</v>
      </c>
      <c r="G40" s="129" t="s">
        <v>21</v>
      </c>
      <c r="H40" s="923"/>
      <c r="I40" s="922">
        <f>SUMIF(TB[ACCOUNT CODE (NGAS)],G40,TB[DEBIT/CREDIT])</f>
        <v>0</v>
      </c>
    </row>
    <row r="41" spans="1:9" hidden="1" x14ac:dyDescent="0.25">
      <c r="A41" s="921" t="str">
        <f t="array" ref="A41">INDEX(AccountCodes[ACCOUNT NAME],MATCH(G41,AccountCodes[NGAS CODE],0))</f>
        <v>Due from Government-Owned or Controlled Corporations</v>
      </c>
      <c r="G41" s="129" t="s">
        <v>22</v>
      </c>
      <c r="H41" s="923"/>
      <c r="I41" s="922">
        <f>SUMIF(TB[ACCOUNT CODE (NGAS)],G41,TB[DEBIT/CREDIT])</f>
        <v>0</v>
      </c>
    </row>
    <row r="42" spans="1:9" hidden="1" x14ac:dyDescent="0.25">
      <c r="A42" s="921" t="str">
        <f t="array" ref="A42">INDEX(AccountCodes[ACCOUNT NAME],MATCH(G42,AccountCodes[NGAS CODE],0))</f>
        <v>Due from Other Funds</v>
      </c>
      <c r="G42" s="129" t="s">
        <v>25</v>
      </c>
      <c r="H42" s="923"/>
      <c r="I42" s="922">
        <f>SUMIF(TB[ACCOUNT CODE (NGAS)],G42,TB[DEBIT/CREDIT])</f>
        <v>0</v>
      </c>
    </row>
    <row r="43" spans="1:9" hidden="1" x14ac:dyDescent="0.25">
      <c r="A43" s="921" t="str">
        <f t="array" ref="A43">INDEX(AccountCodes[ACCOUNT NAME],MATCH(G43,AccountCodes[NGAS CODE],0))</f>
        <v>Advances to Officers and Employees</v>
      </c>
      <c r="G43" s="129" t="s">
        <v>27</v>
      </c>
      <c r="H43" s="923"/>
      <c r="I43" s="922">
        <f>SUMIF(TB[ACCOUNT CODE (NGAS)],G43,TB[DEBIT/CREDIT])</f>
        <v>0</v>
      </c>
    </row>
    <row r="44" spans="1:9" x14ac:dyDescent="0.25">
      <c r="A44" s="921" t="str">
        <f t="array" ref="A44">INDEX(AccountCodes[ACCOUNT NAME],MATCH(G44,AccountCodes[NGAS CODE],0))</f>
        <v>Other Receivables</v>
      </c>
      <c r="G44" s="129" t="s">
        <v>28</v>
      </c>
      <c r="H44" s="923"/>
      <c r="I44" s="922">
        <f>SUMIF(TB[ACCOUNT CODE (NGAS)],G44,TB[DEBIT/CREDIT])</f>
        <v>0</v>
      </c>
    </row>
    <row r="45" spans="1:9" x14ac:dyDescent="0.25">
      <c r="A45" s="921"/>
      <c r="G45" s="129"/>
      <c r="H45" s="923"/>
      <c r="I45" s="922"/>
    </row>
    <row r="46" spans="1:9" hidden="1" x14ac:dyDescent="0.25">
      <c r="A46" s="921"/>
      <c r="G46" s="129"/>
      <c r="H46" s="923"/>
      <c r="I46" s="922"/>
    </row>
    <row r="47" spans="1:9" x14ac:dyDescent="0.25">
      <c r="A47" s="29" t="s">
        <v>412</v>
      </c>
      <c r="G47" s="129"/>
      <c r="H47" s="923"/>
      <c r="I47" s="922"/>
    </row>
    <row r="48" spans="1:9" hidden="1" x14ac:dyDescent="0.25">
      <c r="A48" s="921" t="str">
        <f t="array" ref="A48">INDEX(AccountCodes[ACCOUNT NAME],MATCH(G48,AccountCodes[NGAS CODE],0))</f>
        <v>Merchandise Inventory</v>
      </c>
      <c r="G48" s="129" t="s">
        <v>29</v>
      </c>
      <c r="H48" s="923"/>
      <c r="I48" s="922">
        <f>SUMIF(TB[ACCOUNT CODE (NGAS)],G48,TB[DEBIT/CREDIT])</f>
        <v>0</v>
      </c>
    </row>
    <row r="49" spans="1:9" hidden="1" x14ac:dyDescent="0.25">
      <c r="A49" s="921" t="str">
        <f t="array" ref="A49">INDEX(AccountCodes[ACCOUNT NAME],MATCH(G49,AccountCodes[NGAS CODE],0))</f>
        <v>Office Supplies Inventory</v>
      </c>
      <c r="G49" s="129" t="s">
        <v>30</v>
      </c>
      <c r="H49" s="923"/>
      <c r="I49" s="922">
        <f>SUMIF(TB[ACCOUNT CODE (NGAS)],G49,TB[DEBIT/CREDIT])</f>
        <v>0</v>
      </c>
    </row>
    <row r="50" spans="1:9" hidden="1" x14ac:dyDescent="0.25">
      <c r="A50" s="921" t="str">
        <f t="array" ref="A50">INDEX(AccountCodes[ACCOUNT NAME],MATCH(G50,AccountCodes[NGAS CODE],0))</f>
        <v>Other Supplies and Materials Inventory</v>
      </c>
      <c r="G50" s="129" t="s">
        <v>32</v>
      </c>
      <c r="H50" s="923"/>
      <c r="I50" s="922">
        <f>SUMIF(TB[ACCOUNT CODE (NGAS)],G50,TB[DEBIT/CREDIT])</f>
        <v>0</v>
      </c>
    </row>
    <row r="51" spans="1:9" hidden="1" x14ac:dyDescent="0.25">
      <c r="A51" s="921" t="str">
        <f t="array" ref="A51">INDEX(AccountCodes[ACCOUNT NAME],MATCH(G51,AccountCodes[NGAS CODE],0))</f>
        <v>Semi-Expendable Office Equipment</v>
      </c>
      <c r="G51" s="129" t="s">
        <v>1245</v>
      </c>
      <c r="H51" s="923"/>
      <c r="I51" s="922">
        <f>SUMIF(TB[ACCOUNT CODE (NGAS)],G51,TB[DEBIT/CREDIT])</f>
        <v>0</v>
      </c>
    </row>
    <row r="52" spans="1:9" x14ac:dyDescent="0.25">
      <c r="A52" s="921" t="str">
        <f t="array" ref="A52">INDEX(AccountCodes[ACCOUNT NAME],MATCH(G52,AccountCodes[NGAS CODE],0))</f>
        <v>Semi-Expendable Technical and Scientific Equipment</v>
      </c>
      <c r="G52" s="129" t="s">
        <v>1256</v>
      </c>
      <c r="H52" s="923"/>
      <c r="I52" s="922">
        <f>SUMIF(TB[ACCOUNT CODE (NGAS)],G52,TB[DEBIT/CREDIT])</f>
        <v>6000</v>
      </c>
    </row>
    <row r="53" spans="1:9" hidden="1" x14ac:dyDescent="0.25">
      <c r="A53" s="921" t="str">
        <f t="array" ref="A53">INDEX(AccountCodes[ACCOUNT NAME],MATCH(G53,AccountCodes[NGAS CODE],0))</f>
        <v>Semi-Expendable Furniture and Fixtures</v>
      </c>
      <c r="G53" s="129" t="s">
        <v>1438</v>
      </c>
      <c r="H53" s="923"/>
      <c r="I53" s="922">
        <f>SUMIF(TB[ACCOUNT CODE (NGAS)],G53,TB[DEBIT/CREDIT])</f>
        <v>0</v>
      </c>
    </row>
    <row r="54" spans="1:9" x14ac:dyDescent="0.25">
      <c r="A54" s="921"/>
      <c r="G54" s="129"/>
      <c r="H54" s="923"/>
      <c r="I54" s="922"/>
    </row>
    <row r="55" spans="1:9" hidden="1" x14ac:dyDescent="0.25">
      <c r="A55" s="921"/>
      <c r="G55" s="129"/>
      <c r="H55" s="923"/>
      <c r="I55" s="922"/>
    </row>
    <row r="56" spans="1:9" x14ac:dyDescent="0.25">
      <c r="A56" s="925" t="s">
        <v>71</v>
      </c>
      <c r="G56" s="129"/>
      <c r="H56" s="923"/>
      <c r="I56" s="922"/>
    </row>
    <row r="57" spans="1:9" x14ac:dyDescent="0.25">
      <c r="A57" s="921" t="str">
        <f t="array" ref="A57">INDEX(AccountCodes[ACCOUNT NAME],MATCH(G57,AccountCodes[NGAS CODE],0))</f>
        <v>Advances for Payroll</v>
      </c>
      <c r="G57" s="129" t="s">
        <v>12</v>
      </c>
      <c r="H57" s="923"/>
      <c r="I57" s="922">
        <f>SUMIF(TB[ACCOUNT CODE (NGAS)],G57,TB[DEBIT/CREDIT])</f>
        <v>0</v>
      </c>
    </row>
    <row r="58" spans="1:9" x14ac:dyDescent="0.25">
      <c r="A58" s="921" t="str">
        <f t="array" ref="A58">INDEX(AccountCodes[ACCOUNT NAME],MATCH(G58,AccountCodes[NGAS CODE],0))</f>
        <v>Advances to Contractors</v>
      </c>
      <c r="G58" s="129" t="s">
        <v>35</v>
      </c>
      <c r="H58" s="923"/>
      <c r="I58" s="922">
        <f>SUMIF(TB[ACCOUNT CODE (NGAS)],G58,TB[DEBIT/CREDIT])</f>
        <v>0</v>
      </c>
    </row>
    <row r="59" spans="1:9" hidden="1" x14ac:dyDescent="0.25">
      <c r="A59" s="921" t="str">
        <f t="array" ref="A59">INDEX(AccountCodes[ACCOUNT NAME],MATCH(G59,AccountCodes[NGAS CODE],0))</f>
        <v>Guaranty Deposits</v>
      </c>
      <c r="G59" s="129" t="s">
        <v>37</v>
      </c>
      <c r="H59" s="923"/>
      <c r="I59" s="922">
        <f>SUMIF(TB[ACCOUNT CODE (NGAS)],G59,TB[DEBIT/CREDIT])</f>
        <v>0</v>
      </c>
    </row>
    <row r="60" spans="1:9" x14ac:dyDescent="0.25">
      <c r="A60" s="29" t="s">
        <v>423</v>
      </c>
      <c r="G60" s="129"/>
      <c r="H60" s="923"/>
      <c r="I60" s="926">
        <f>SUM(I15:I59)</f>
        <v>18748108.5</v>
      </c>
    </row>
    <row r="61" spans="1:9" x14ac:dyDescent="0.25">
      <c r="A61" s="921"/>
      <c r="G61" s="129"/>
      <c r="H61" s="923"/>
      <c r="I61" s="922"/>
    </row>
    <row r="62" spans="1:9" x14ac:dyDescent="0.25">
      <c r="A62" s="29" t="s">
        <v>414</v>
      </c>
      <c r="G62" s="129"/>
      <c r="H62" s="923"/>
      <c r="I62" s="922"/>
    </row>
    <row r="63" spans="1:9" x14ac:dyDescent="0.25">
      <c r="A63" s="925" t="s">
        <v>1587</v>
      </c>
      <c r="G63" s="129"/>
      <c r="H63" s="923"/>
      <c r="I63" s="922"/>
    </row>
    <row r="64" spans="1:9" x14ac:dyDescent="0.25">
      <c r="A64" s="921" t="str">
        <f t="array" ref="A64">INDEX(AccountCodes[ACCOUNT NAME],MATCH(G64,AccountCodes[NGAS CODE],0))</f>
        <v>Water Supply Systems</v>
      </c>
      <c r="G64" s="129" t="s">
        <v>60</v>
      </c>
      <c r="H64" s="922">
        <f>SUMIF(TB[ACCOUNT CODE (NGAS)],G64,TB[DEBIT/CREDIT])</f>
        <v>104191863.31999999</v>
      </c>
      <c r="I64" s="922"/>
    </row>
    <row r="65" spans="1:9" x14ac:dyDescent="0.25">
      <c r="A65" s="921" t="str">
        <f t="array" ref="A65">INDEX(AccountCodes[ACCOUNT NAME],MATCH(G65,AccountCodes[NGAS CODE],0))</f>
        <v>Accumulated Depreciation-Water Supply Systems</v>
      </c>
      <c r="G65" s="129" t="s">
        <v>1261</v>
      </c>
      <c r="H65" s="924">
        <f>-SUMIF(TB[ACCOUNT CODE (NGAS)],G65,TB[DEBIT/CREDIT])</f>
        <v>-8043162.0700000003</v>
      </c>
      <c r="I65" s="922">
        <f>SUM(H64:H65)</f>
        <v>96148701.25</v>
      </c>
    </row>
    <row r="66" spans="1:9" x14ac:dyDescent="0.25">
      <c r="A66" s="921" t="str">
        <f t="array" ref="A66">INDEX(AccountCodes[ACCOUNT NAME],MATCH(G66,AccountCodes[NGAS CODE],0))</f>
        <v>Land</v>
      </c>
      <c r="G66" s="129" t="s">
        <v>38</v>
      </c>
      <c r="H66" s="922">
        <f>SUMIF(TB[ACCOUNT CODE (NGAS)],G66,TB[DEBIT/CREDIT])</f>
        <v>0</v>
      </c>
      <c r="I66" s="922">
        <f>SUMIF(TB[ACCOUNT CODE (NGAS)],G66,TB[DEBIT/CREDIT])</f>
        <v>0</v>
      </c>
    </row>
    <row r="67" spans="1:9" x14ac:dyDescent="0.25">
      <c r="A67" s="921" t="str">
        <f t="array" ref="A67">INDEX(AccountCodes[ACCOUNT NAME],MATCH(G67,AccountCodes[NGAS CODE],0))</f>
        <v>Office Equipment</v>
      </c>
      <c r="G67" s="129" t="s">
        <v>42</v>
      </c>
      <c r="H67" s="922">
        <f>SUMIF(TB[ACCOUNT CODE (NGAS)],G67,TB[DEBIT/CREDIT])</f>
        <v>477722</v>
      </c>
    </row>
    <row r="68" spans="1:9" x14ac:dyDescent="0.25">
      <c r="A68" s="921" t="str">
        <f t="array" ref="A68">INDEX(AccountCodes[ACCOUNT NAME],MATCH(G68,AccountCodes[NGAS CODE],0))</f>
        <v>Accumulated Depreciation-Office Equipment</v>
      </c>
      <c r="G68" s="129" t="s">
        <v>88</v>
      </c>
      <c r="H68" s="924">
        <f>-(SUMIF(TB[ACCOUNT CODE (NGAS)],G68,TB[DEBIT/CREDIT]))</f>
        <v>-100984.92</v>
      </c>
      <c r="I68" s="922">
        <f>SUM(H67:H68)</f>
        <v>376737.08</v>
      </c>
    </row>
    <row r="69" spans="1:9" x14ac:dyDescent="0.25">
      <c r="A69" s="921" t="str">
        <f t="array" ref="A69">INDEX(AccountCodes[ACCOUNT NAME],MATCH(G69,AccountCodes[NGAS CODE],0))</f>
        <v>Information and Communications Technology Equipment</v>
      </c>
      <c r="G69" s="129" t="s">
        <v>44</v>
      </c>
      <c r="H69" s="922">
        <f>SUMIF(TB[ACCOUNT CODE (NGAS)],G69,TB[DEBIT/CREDIT])</f>
        <v>892854</v>
      </c>
    </row>
    <row r="70" spans="1:9" x14ac:dyDescent="0.25">
      <c r="A70" s="921" t="str">
        <f t="array" ref="A70">INDEX(AccountCodes[ACCOUNT NAME],MATCH(G70,AccountCodes[NGAS CODE],0))</f>
        <v>Accumulated Depreciation-Information and Communications Technology Equipment</v>
      </c>
      <c r="G70" s="129" t="s">
        <v>90</v>
      </c>
      <c r="H70" s="924">
        <f>-(SUMIF(TB[ACCOUNT CODE (NGAS)],G70,TB[DEBIT/CREDIT]))</f>
        <v>-118725.1</v>
      </c>
      <c r="I70" s="922">
        <f>SUM(H69:H70)</f>
        <v>774128.9</v>
      </c>
    </row>
    <row r="71" spans="1:9" x14ac:dyDescent="0.25">
      <c r="A71" s="921" t="str">
        <f t="array" ref="A71">INDEX(AccountCodes[ACCOUNT NAME],MATCH(G71,AccountCodes[NGAS CODE],0))</f>
        <v>Other Structures</v>
      </c>
      <c r="G71" s="129" t="s">
        <v>41</v>
      </c>
      <c r="H71" s="923"/>
      <c r="I71" s="922">
        <f>SUMIF(TB[ACCOUNT CODE (NGAS)],G71,TB[DEBIT/CREDIT])</f>
        <v>0</v>
      </c>
    </row>
    <row r="72" spans="1:9" x14ac:dyDescent="0.25">
      <c r="A72" s="921" t="str">
        <f t="array" ref="A72">INDEX(AccountCodes[ACCOUNT NAME],MATCH(G72,AccountCodes[NGAS CODE],0))</f>
        <v>Furniture and Fixtures</v>
      </c>
      <c r="G72" s="129" t="s">
        <v>43</v>
      </c>
      <c r="H72" s="922">
        <f>SUMIF(TB[ACCOUNT CODE (NGAS)],G72,TB[DEBIT/CREDIT])</f>
        <v>0</v>
      </c>
    </row>
    <row r="73" spans="1:9" x14ac:dyDescent="0.25">
      <c r="A73" s="921" t="str">
        <f t="array" ref="A73">INDEX(AccountCodes[ACCOUNT NAME],MATCH(G73,AccountCodes[NGAS CODE],0))</f>
        <v>Accumulated Depreciation-Furniture and Fixtures</v>
      </c>
      <c r="G73" s="129" t="s">
        <v>89</v>
      </c>
      <c r="H73" s="924">
        <f>-(SUMIF(TB[ACCOUNT CODE (NGAS)],G73,TB[DEBIT/CREDIT]))</f>
        <v>0</v>
      </c>
      <c r="I73" s="922">
        <f>SUM(H72:H73)</f>
        <v>0</v>
      </c>
    </row>
    <row r="74" spans="1:9" x14ac:dyDescent="0.25">
      <c r="A74" s="921" t="str">
        <f t="array" ref="A74">INDEX(AccountCodes[ACCOUNT NAME],MATCH(G74,AccountCodes[NGAS CODE],0))</f>
        <v>Furniture and Fixtures</v>
      </c>
      <c r="G74" s="129" t="s">
        <v>43</v>
      </c>
      <c r="H74" s="922">
        <f>SUMIF(TB[ACCOUNT CODE (NGAS)],G74,TB[DEBIT/CREDIT])</f>
        <v>0</v>
      </c>
      <c r="I74" s="922"/>
    </row>
    <row r="75" spans="1:9" x14ac:dyDescent="0.25">
      <c r="A75" s="921" t="str">
        <f t="array" ref="A75">INDEX(AccountCodes[ACCOUNT NAME],MATCH(G75,AccountCodes[NGAS CODE],0))</f>
        <v>Accumulated Depreciation-Furniture and Fixtures</v>
      </c>
      <c r="G75" s="129" t="s">
        <v>89</v>
      </c>
      <c r="H75" s="924">
        <f>-SUMIF(TB[ACCOUNT CODE (NGAS)],G75,TB[DEBIT/CREDIT])</f>
        <v>0</v>
      </c>
      <c r="I75" s="922">
        <f>SUM(H74:H75)</f>
        <v>0</v>
      </c>
    </row>
    <row r="76" spans="1:9" x14ac:dyDescent="0.25">
      <c r="A76" s="921" t="str">
        <f t="array" ref="A76">INDEX(AccountCodes[ACCOUNT NAME],MATCH(G76,AccountCodes[NGAS CODE],0))</f>
        <v>Books</v>
      </c>
      <c r="G76" s="129" t="s">
        <v>45</v>
      </c>
      <c r="H76" s="922">
        <f>SUMIF(TB[ACCOUNT CODE (NGAS)],G76,TB[DEBIT/CREDIT])</f>
        <v>0</v>
      </c>
    </row>
    <row r="77" spans="1:9" x14ac:dyDescent="0.25">
      <c r="A77" s="921" t="str">
        <f t="array" ref="A77">INDEX(AccountCodes[ACCOUNT NAME],MATCH(G77,AccountCodes[NGAS CODE],0))</f>
        <v>Accumulated Depreciation-Books</v>
      </c>
      <c r="G77" s="129" t="s">
        <v>91</v>
      </c>
      <c r="H77" s="924">
        <f>-(SUMIF(TB[ACCOUNT CODE (NGAS)],G77,TB[DEBIT/CREDIT]))</f>
        <v>0</v>
      </c>
      <c r="I77" s="922">
        <f>SUM(H76:H77)</f>
        <v>0</v>
      </c>
    </row>
    <row r="78" spans="1:9" x14ac:dyDescent="0.25">
      <c r="A78" s="921" t="str">
        <f t="array" ref="A78">INDEX(AccountCodes[ACCOUNT NAME],MATCH(G78,AccountCodes[NGAS CODE],0))</f>
        <v>Machinery</v>
      </c>
      <c r="G78" s="129" t="s">
        <v>46</v>
      </c>
      <c r="H78" s="922">
        <f>SUMIF(TB[ACCOUNT CODE (NGAS)],G78,TB[DEBIT/CREDIT])</f>
        <v>0</v>
      </c>
    </row>
    <row r="79" spans="1:9" x14ac:dyDescent="0.25">
      <c r="A79" s="921" t="str">
        <f t="array" ref="A79">INDEX(AccountCodes[ACCOUNT NAME],MATCH(G79,AccountCodes[NGAS CODE],0))</f>
        <v>Accumulated Depreciation-Machinery</v>
      </c>
      <c r="G79" s="129" t="s">
        <v>92</v>
      </c>
      <c r="H79" s="924">
        <f>-(SUMIF(TB[ACCOUNT CODE (NGAS)],G79,TB[DEBIT/CREDIT]))</f>
        <v>0</v>
      </c>
      <c r="I79" s="922">
        <f>SUM(H78:H79)</f>
        <v>0</v>
      </c>
    </row>
    <row r="80" spans="1:9" x14ac:dyDescent="0.25">
      <c r="A80" s="921" t="str">
        <f t="array" ref="A80">INDEX(AccountCodes[ACCOUNT NAME],MATCH(G80,AccountCodes[NGAS CODE],0))</f>
        <v>Agricultural and Forestry Equipment</v>
      </c>
      <c r="G80" s="129" t="s">
        <v>47</v>
      </c>
      <c r="H80" s="923"/>
      <c r="I80" s="922">
        <f>SUMIF(TB[ACCOUNT CODE (NGAS)],G80,TB[DEBIT/CREDIT])</f>
        <v>0</v>
      </c>
    </row>
    <row r="81" spans="1:9" x14ac:dyDescent="0.25">
      <c r="A81" s="921" t="str">
        <f t="array" ref="A81">INDEX(AccountCodes[ACCOUNT NAME],MATCH(G81,AccountCodes[NGAS CODE],0))</f>
        <v>Communication Equipment</v>
      </c>
      <c r="G81" s="129" t="s">
        <v>48</v>
      </c>
      <c r="H81" s="922">
        <f>SUMIF(TB[ACCOUNT CODE (NGAS)],G81,TB[DEBIT/CREDIT])</f>
        <v>0</v>
      </c>
    </row>
    <row r="82" spans="1:9" x14ac:dyDescent="0.25">
      <c r="A82" s="921" t="str">
        <f t="array" ref="A82">INDEX(AccountCodes[ACCOUNT NAME],MATCH(G82,AccountCodes[NGAS CODE],0))</f>
        <v>Accumulated Depreciation-Communication Equipment</v>
      </c>
      <c r="G82" s="129" t="s">
        <v>94</v>
      </c>
      <c r="H82" s="924">
        <f>-(SUMIF(TB[ACCOUNT CODE (NGAS)],G82,TB[DEBIT/CREDIT]))</f>
        <v>0</v>
      </c>
      <c r="I82" s="922">
        <f>SUM(H81:H82)</f>
        <v>0</v>
      </c>
    </row>
    <row r="83" spans="1:9" x14ac:dyDescent="0.25">
      <c r="A83" s="921" t="str">
        <f t="array" ref="A83">INDEX(AccountCodes[ACCOUNT NAME],MATCH(G83,AccountCodes[NGAS CODE],0))</f>
        <v>Construction and Heavy Equipment</v>
      </c>
      <c r="G83" s="129" t="s">
        <v>49</v>
      </c>
      <c r="H83" s="922">
        <f>SUMIF(TB[ACCOUNT CODE (NGAS)],G83,TB[DEBIT/CREDIT])</f>
        <v>0</v>
      </c>
    </row>
    <row r="84" spans="1:9" x14ac:dyDescent="0.25">
      <c r="A84" s="921" t="str">
        <f t="array" ref="A84">INDEX(AccountCodes[ACCOUNT NAME],MATCH(G84,AccountCodes[NGAS CODE],0))</f>
        <v>Accumulated Depreciation-Construction and Heavy Equipment</v>
      </c>
      <c r="G84" s="129" t="s">
        <v>95</v>
      </c>
      <c r="H84" s="924">
        <f>-(SUMIF(TB[ACCOUNT CODE (NGAS)],G84,TB[DEBIT/CREDIT]))</f>
        <v>0</v>
      </c>
      <c r="I84" s="922">
        <f>SUM(H83:H84)</f>
        <v>0</v>
      </c>
    </row>
    <row r="85" spans="1:9" x14ac:dyDescent="0.25">
      <c r="A85" s="921" t="str">
        <f t="array" ref="A85">INDEX(AccountCodes[ACCOUNT NAME],MATCH(G85,AccountCodes[NGAS CODE],0))</f>
        <v>Disaster Response and Rescue Equipment</v>
      </c>
      <c r="G85" s="129" t="s">
        <v>50</v>
      </c>
      <c r="H85" s="922">
        <f>SUMIF(TB[ACCOUNT CODE (NGAS)],G85,TB[DEBIT/CREDIT])</f>
        <v>0</v>
      </c>
    </row>
    <row r="86" spans="1:9" x14ac:dyDescent="0.25">
      <c r="A86" s="921" t="str">
        <f t="array" ref="A86">INDEX(AccountCodes[ACCOUNT NAME],MATCH(G86,AccountCodes[NGAS CODE],0))</f>
        <v>Accumulated Depreciation-Disaster Response and Rescue Equipment</v>
      </c>
      <c r="G86" s="129" t="s">
        <v>96</v>
      </c>
      <c r="H86" s="924">
        <f>-(SUMIF(TB[ACCOUNT CODE (NGAS)],G86,TB[DEBIT/CREDIT]))</f>
        <v>0</v>
      </c>
      <c r="I86" s="922">
        <f>SUM(H85:H86)</f>
        <v>0</v>
      </c>
    </row>
    <row r="87" spans="1:9" x14ac:dyDescent="0.25">
      <c r="A87" s="921" t="str">
        <f t="array" ref="A87">INDEX(AccountCodes[ACCOUNT NAME],MATCH(G87,AccountCodes[NGAS CODE],0))</f>
        <v>Medical Equipment</v>
      </c>
      <c r="G87" s="129" t="s">
        <v>406</v>
      </c>
      <c r="H87" s="923"/>
      <c r="I87" s="922">
        <f>SUMIF(TB[ACCOUNT CODE (NGAS)],G87,TB[DEBIT/CREDIT])</f>
        <v>0</v>
      </c>
    </row>
    <row r="88" spans="1:9" x14ac:dyDescent="0.25">
      <c r="A88" s="921" t="str">
        <f t="array" ref="A88">INDEX(AccountCodes[ACCOUNT NAME],MATCH(G88,AccountCodes[NGAS CODE],0))</f>
        <v>Military, Police and Security Equipment</v>
      </c>
      <c r="G88" s="129" t="s">
        <v>51</v>
      </c>
      <c r="H88" s="923"/>
      <c r="I88" s="922">
        <f>SUMIF(TB[ACCOUNT CODE (NGAS)],G88,TB[DEBIT/CREDIT])</f>
        <v>0</v>
      </c>
    </row>
    <row r="89" spans="1:9" x14ac:dyDescent="0.25">
      <c r="A89" s="921" t="str">
        <f t="array" ref="A89">INDEX(AccountCodes[ACCOUNT NAME],MATCH(G89,AccountCodes[NGAS CODE],0))</f>
        <v>Technical and Scientific Equipment</v>
      </c>
      <c r="G89" s="129" t="s">
        <v>53</v>
      </c>
      <c r="H89" s="922">
        <f>SUMIF(TB[ACCOUNT CODE (NGAS)],G89,TB[DEBIT/CREDIT])</f>
        <v>0</v>
      </c>
    </row>
    <row r="90" spans="1:9" x14ac:dyDescent="0.25">
      <c r="A90" s="921" t="str">
        <f t="array" ref="A90">INDEX(AccountCodes[ACCOUNT NAME],MATCH(G90,AccountCodes[NGAS CODE],0))</f>
        <v>Accumulated Depreciation-Technical and Scientific Equipment</v>
      </c>
      <c r="G90" s="129" t="s">
        <v>99</v>
      </c>
      <c r="H90" s="924">
        <f>-(SUMIF(TB[ACCOUNT CODE (NGAS)],G90,TB[DEBIT/CREDIT]))</f>
        <v>0</v>
      </c>
      <c r="I90" s="922">
        <f>SUM(H89:H90)</f>
        <v>0</v>
      </c>
    </row>
    <row r="91" spans="1:9" x14ac:dyDescent="0.25">
      <c r="A91" s="921" t="str">
        <f t="array" ref="A91">INDEX(AccountCodes[ACCOUNT NAME],MATCH(G91,AccountCodes[NGAS CODE],0))</f>
        <v>Other Machinery and Equipment</v>
      </c>
      <c r="G91" s="129" t="s">
        <v>54</v>
      </c>
      <c r="H91" s="922">
        <f>SUMIF(TB[ACCOUNT CODE (NGAS)],G91,TB[DEBIT/CREDIT])</f>
        <v>0</v>
      </c>
    </row>
    <row r="92" spans="1:9" x14ac:dyDescent="0.25">
      <c r="A92" s="921" t="str">
        <f t="array" ref="A92">INDEX(AccountCodes[ACCOUNT NAME],MATCH(G92,AccountCodes[NGAS CODE],0))</f>
        <v>Accumulated Depreciation-Other Machinery and Equipment</v>
      </c>
      <c r="G92" s="129" t="s">
        <v>100</v>
      </c>
      <c r="H92" s="924">
        <f>-(SUMIF(TB[ACCOUNT CODE (NGAS)],G92,TB[DEBIT/CREDIT]))</f>
        <v>0</v>
      </c>
      <c r="I92" s="922">
        <f>SUM(H91:H92)</f>
        <v>0</v>
      </c>
    </row>
    <row r="93" spans="1:9" x14ac:dyDescent="0.25">
      <c r="A93" s="921" t="str">
        <f t="array" ref="A93">INDEX(AccountCodes[ACCOUNT NAME],MATCH(G93,AccountCodes[NGAS CODE],0))</f>
        <v>Motor Vehicles</v>
      </c>
      <c r="G93" s="129" t="s">
        <v>55</v>
      </c>
      <c r="H93" s="922">
        <f>SUMIF(TB[ACCOUNT CODE (NGAS)],G93,TB[DEBIT/CREDIT])</f>
        <v>0</v>
      </c>
    </row>
    <row r="94" spans="1:9" x14ac:dyDescent="0.25">
      <c r="A94" s="921" t="str">
        <f t="array" ref="A94">INDEX(AccountCodes[ACCOUNT NAME],MATCH(G94,AccountCodes[NGAS CODE],0))</f>
        <v>Accumulated Depreciation-Motor Vehicles</v>
      </c>
      <c r="G94" s="129" t="s">
        <v>101</v>
      </c>
      <c r="H94" s="924">
        <f>-(SUMIF(TB[ACCOUNT CODE (NGAS)],G94,TB[DEBIT/CREDIT]))</f>
        <v>0</v>
      </c>
      <c r="I94" s="922">
        <f>SUM(H93:H94)</f>
        <v>0</v>
      </c>
    </row>
    <row r="95" spans="1:9" x14ac:dyDescent="0.25">
      <c r="A95" s="921" t="str">
        <f t="array" ref="A95">INDEX(AccountCodes[ACCOUNT NAME],MATCH(G95,AccountCodes[NGAS CODE],0))</f>
        <v>Watercrafts</v>
      </c>
      <c r="G95" s="129" t="s">
        <v>57</v>
      </c>
      <c r="H95" s="922">
        <f>SUMIF(TB[ACCOUNT CODE (NGAS)],G95,TB[DEBIT/CREDIT])</f>
        <v>0</v>
      </c>
    </row>
    <row r="96" spans="1:9" x14ac:dyDescent="0.25">
      <c r="A96" s="921" t="str">
        <f t="array" ref="A96">INDEX(AccountCodes[ACCOUNT NAME],MATCH(G96,AccountCodes[NGAS CODE],0))</f>
        <v>Accumulated Depreciation-Watercrafts</v>
      </c>
      <c r="G96" s="129" t="s">
        <v>103</v>
      </c>
      <c r="H96" s="924">
        <f>-(SUMIF(TB[ACCOUNT CODE (NGAS)],G96,TB[DEBIT/CREDIT]))</f>
        <v>0</v>
      </c>
      <c r="I96" s="922">
        <f>SUM(H95:H96)</f>
        <v>0</v>
      </c>
    </row>
    <row r="97" spans="1:9" x14ac:dyDescent="0.25">
      <c r="A97" s="921" t="str">
        <f t="array" ref="A97">INDEX(AccountCodes[ACCOUNT NAME],MATCH(G97,AccountCodes[NGAS CODE],0))</f>
        <v>Other Transportation Equipment</v>
      </c>
      <c r="G97" s="129" t="s">
        <v>58</v>
      </c>
      <c r="H97" s="923"/>
      <c r="I97" s="922">
        <f>SUMIF(TB[ACCOUNT CODE (NGAS)],G97,TB[DEBIT/CREDIT])</f>
        <v>0</v>
      </c>
    </row>
    <row r="98" spans="1:9" x14ac:dyDescent="0.25">
      <c r="A98" s="921" t="str">
        <f t="array" ref="A98">INDEX(AccountCodes[ACCOUNT NAME],MATCH(G98,AccountCodes[NGAS CODE],0))</f>
        <v>Furniture and Fixtures</v>
      </c>
      <c r="G98" s="129" t="s">
        <v>43</v>
      </c>
      <c r="H98" s="922">
        <f>SUMIF(TB[ACCOUNT CODE (NGAS)],G98,TB[DEBIT/CREDIT])</f>
        <v>0</v>
      </c>
    </row>
    <row r="99" spans="1:9" x14ac:dyDescent="0.25">
      <c r="A99" s="921" t="str">
        <f t="array" ref="A99">INDEX(AccountCodes[ACCOUNT NAME],MATCH(G99,AccountCodes[NGAS CODE],0))</f>
        <v>Accumulated Impairment Losses-Other Assets</v>
      </c>
      <c r="G99" s="129" t="s">
        <v>509</v>
      </c>
      <c r="H99" s="924">
        <f>-(SUMIF(TB[ACCOUNT CODE (NGAS)],G99,TB[DEBIT/CREDIT]))</f>
        <v>0</v>
      </c>
      <c r="I99" s="922">
        <f>SUM(H98:H99)</f>
        <v>0</v>
      </c>
    </row>
    <row r="100" spans="1:9" x14ac:dyDescent="0.25">
      <c r="A100" s="921" t="str">
        <f t="array" ref="A100">INDEX(AccountCodes[ACCOUNT NAME],MATCH(G100,AccountCodes[NGAS CODE],0))</f>
        <v>Construction in Progress-Infrastructure Assets (Agency Assets)</v>
      </c>
      <c r="G100" s="129" t="s">
        <v>61</v>
      </c>
      <c r="H100" s="923"/>
      <c r="I100" s="922">
        <f>SUMIF(TB[ACCOUNT CODE (NGAS)],G100,TB[DEBIT/CREDIT])</f>
        <v>0</v>
      </c>
    </row>
    <row r="101" spans="1:9" x14ac:dyDescent="0.25">
      <c r="A101" s="921" t="str">
        <f t="array" ref="A101">INDEX(AccountCodes[ACCOUNT NAME],MATCH(G101,AccountCodes[NGAS CODE],0))</f>
        <v>Construction in Progress-Infrastructure Assets (Artesian Wells, Reservoirs, Pumping Stations &amp; Conduits)</v>
      </c>
      <c r="G101" s="129" t="s">
        <v>62</v>
      </c>
      <c r="H101" s="923"/>
      <c r="I101" s="922">
        <f>SUMIF(TB[ACCOUNT CODE (NGAS)],G101,TB[DEBIT/CREDIT])</f>
        <v>0</v>
      </c>
    </row>
    <row r="102" spans="1:9" x14ac:dyDescent="0.25">
      <c r="A102" s="921"/>
      <c r="G102" s="129"/>
      <c r="H102" s="923"/>
      <c r="I102" s="922"/>
    </row>
    <row r="103" spans="1:9" x14ac:dyDescent="0.25">
      <c r="A103" s="921" t="str">
        <f t="array" ref="A103">INDEX(AccountCodes[ACCOUNT NAME],MATCH(G103,AccountCodes[NGAS CODE],0))</f>
        <v>Construction in Progress-Infrastructure Assets (Irrigation, Canals and Laterals)</v>
      </c>
      <c r="G103" s="129" t="s">
        <v>82</v>
      </c>
      <c r="H103" s="923"/>
      <c r="I103" s="922">
        <f>SUMIF(TB[ACCOUNT CODE (NGAS)],G103,TB[DEBIT/CREDIT])</f>
        <v>20393630.399999999</v>
      </c>
    </row>
    <row r="104" spans="1:9" x14ac:dyDescent="0.25">
      <c r="A104" s="921" t="str">
        <f t="array" ref="A104">INDEX(AccountCodes[ACCOUNT NAME],MATCH(G104,AccountCodes[NGAS CODE],0))</f>
        <v>Other Assets</v>
      </c>
      <c r="G104" s="129" t="s">
        <v>83</v>
      </c>
      <c r="H104" s="923"/>
      <c r="I104" s="922">
        <f>SUMIF(TB[ACCOUNT CODE (NGAS)],G104,TB[DEBIT/CREDIT])</f>
        <v>0</v>
      </c>
    </row>
    <row r="105" spans="1:9" x14ac:dyDescent="0.25">
      <c r="A105" s="29" t="s">
        <v>424</v>
      </c>
      <c r="G105" s="129"/>
      <c r="H105" s="923"/>
      <c r="I105" s="926">
        <f>SUM(I64:I104)</f>
        <v>117693197.63</v>
      </c>
    </row>
    <row r="106" spans="1:9" ht="16.5" thickBot="1" x14ac:dyDescent="0.3">
      <c r="A106" s="29" t="s">
        <v>425</v>
      </c>
      <c r="G106" s="129"/>
      <c r="H106" s="923"/>
      <c r="I106" s="927">
        <f>I105+I60</f>
        <v>136441306.13</v>
      </c>
    </row>
    <row r="107" spans="1:9" ht="16.5" thickTop="1" x14ac:dyDescent="0.25">
      <c r="A107" s="29"/>
      <c r="G107" s="129"/>
      <c r="H107" s="923"/>
      <c r="I107" s="928"/>
    </row>
    <row r="108" spans="1:9" x14ac:dyDescent="0.25">
      <c r="A108" s="921"/>
      <c r="G108" s="129"/>
      <c r="H108" s="923"/>
      <c r="I108" s="922"/>
    </row>
    <row r="109" spans="1:9" x14ac:dyDescent="0.25">
      <c r="A109" s="925" t="s">
        <v>415</v>
      </c>
      <c r="G109" s="129"/>
      <c r="H109" s="923"/>
      <c r="I109" s="922"/>
    </row>
    <row r="110" spans="1:9" x14ac:dyDescent="0.25">
      <c r="A110" s="925" t="s">
        <v>416</v>
      </c>
      <c r="G110" s="129"/>
      <c r="H110" s="923"/>
      <c r="I110" s="922"/>
    </row>
    <row r="111" spans="1:9" x14ac:dyDescent="0.25">
      <c r="A111" s="29" t="s">
        <v>417</v>
      </c>
      <c r="G111" s="129"/>
      <c r="H111" s="923"/>
      <c r="I111" s="922"/>
    </row>
    <row r="112" spans="1:9" x14ac:dyDescent="0.25">
      <c r="A112" s="921" t="str">
        <f t="array" ref="A112">INDEX(AccountCodes[ACCOUNT NAME],MATCH(G112,AccountCodes[NGAS CODE],0))</f>
        <v>Accounts Payable</v>
      </c>
      <c r="G112" s="129" t="s">
        <v>106</v>
      </c>
      <c r="H112" s="923"/>
      <c r="I112" s="922">
        <f>SUMIF(TB[ACCOUNT CODE (NGAS)],G112,TB[DEBIT/CREDIT])</f>
        <v>2668086.44</v>
      </c>
    </row>
    <row r="113" spans="1:9" x14ac:dyDescent="0.25">
      <c r="A113" s="921" t="str">
        <f t="array" ref="A113">INDEX(AccountCodes[ACCOUNT NAME],MATCH(G113,AccountCodes[NGAS CODE],0))</f>
        <v>Due to Officers and Employees</v>
      </c>
      <c r="G113" s="129" t="s">
        <v>108</v>
      </c>
      <c r="H113" s="923"/>
      <c r="I113" s="922">
        <f>SUMIF(TB[ACCOUNT CODE (NGAS)],G113,TB[DEBIT/CREDIT])</f>
        <v>0</v>
      </c>
    </row>
    <row r="114" spans="1:9" x14ac:dyDescent="0.25">
      <c r="A114" s="921" t="str">
        <f t="array" ref="A114">INDEX(AccountCodes[ACCOUNT NAME],MATCH(G114,AccountCodes[NGAS CODE],0))</f>
        <v>Due to BIR - Compensation</v>
      </c>
      <c r="G114" s="129" t="s">
        <v>1546</v>
      </c>
      <c r="H114" s="923"/>
      <c r="I114" s="922">
        <f>SUMIF(TB[ACCOUNT CODE (NGAS)],G114,TB[DEBIT/CREDIT])</f>
        <v>870.05</v>
      </c>
    </row>
    <row r="115" spans="1:9" x14ac:dyDescent="0.25">
      <c r="A115" s="921" t="str">
        <f t="array" ref="A115">INDEX(AccountCodes[ACCOUNT NAME],MATCH(G115,AccountCodes[NGAS CODE],0))</f>
        <v>Due to BIR - 5%</v>
      </c>
      <c r="G115" s="129" t="s">
        <v>1548</v>
      </c>
      <c r="H115" s="923"/>
      <c r="I115" s="922">
        <f>SUMIF(TB[ACCOUNT CODE (NGAS)],G115,TB[DEBIT/CREDIT])</f>
        <v>7649.33</v>
      </c>
    </row>
    <row r="116" spans="1:9" x14ac:dyDescent="0.25">
      <c r="A116" s="921" t="str">
        <f t="array" ref="A116">INDEX(AccountCodes[ACCOUNT NAME],MATCH(G116,AccountCodes[NGAS CODE],0))</f>
        <v>Due to BIR - 3%</v>
      </c>
      <c r="G116" s="129" t="s">
        <v>1549</v>
      </c>
      <c r="H116" s="923"/>
      <c r="I116" s="922">
        <f>SUMIF(TB[ACCOUNT CODE (NGAS)],G116,TB[DEBIT/CREDIT])</f>
        <v>0</v>
      </c>
    </row>
    <row r="117" spans="1:9" x14ac:dyDescent="0.25">
      <c r="A117" s="921" t="str">
        <f t="array" ref="A117">INDEX(AccountCodes[ACCOUNT NAME],MATCH(G117,AccountCodes[NGAS CODE],0))</f>
        <v>Due to BIR - 2%</v>
      </c>
      <c r="G117" s="129" t="s">
        <v>1550</v>
      </c>
      <c r="H117" s="923"/>
      <c r="I117" s="922">
        <f>SUMIF(TB[ACCOUNT CODE (NGAS)],G117,TB[DEBIT/CREDIT])</f>
        <v>0</v>
      </c>
    </row>
    <row r="118" spans="1:9" x14ac:dyDescent="0.25">
      <c r="A118" s="921" t="str">
        <f t="array" ref="A118">INDEX(AccountCodes[ACCOUNT NAME],MATCH(G118,AccountCodes[NGAS CODE],0))</f>
        <v>Due to BIR - 1%</v>
      </c>
      <c r="G118" s="129" t="s">
        <v>1554</v>
      </c>
      <c r="H118" s="923"/>
      <c r="I118" s="922">
        <f>SUMIF(TB[ACCOUNT CODE (NGAS)],G118,TB[DEBIT/CREDIT])</f>
        <v>1529.87</v>
      </c>
    </row>
    <row r="119" spans="1:9" x14ac:dyDescent="0.25">
      <c r="A119" s="921" t="str">
        <f t="array" ref="A119">INDEX(AccountCodes[ACCOUNT NAME],MATCH(G119,AccountCodes[NGAS CODE],0))</f>
        <v>Due to GSIS - Life and Retirement Premium</v>
      </c>
      <c r="G119" s="129" t="s">
        <v>1440</v>
      </c>
      <c r="H119" s="923"/>
      <c r="I119" s="922">
        <f>SUMIF(TB[ACCOUNT CODE (NGAS)],G119,TB[DEBIT/CREDIT])</f>
        <v>10385.82</v>
      </c>
    </row>
    <row r="120" spans="1:9" x14ac:dyDescent="0.25">
      <c r="A120" s="921" t="str">
        <f t="array" ref="A120">INDEX(AccountCodes[ACCOUNT NAME],MATCH(G120,AccountCodes[NGAS CODE],0))</f>
        <v>Due to GSIS - Salary Loan</v>
      </c>
      <c r="G120" s="129" t="s">
        <v>1498</v>
      </c>
      <c r="H120" s="923"/>
      <c r="I120" s="922">
        <f>SUMIF(TB[ACCOUNT CODE (NGAS)],G120,TB[DEBIT/CREDIT])</f>
        <v>0</v>
      </c>
    </row>
    <row r="121" spans="1:9" x14ac:dyDescent="0.25">
      <c r="A121" s="921" t="str">
        <f t="array" ref="A121">INDEX(AccountCodes[ACCOUNT NAME],MATCH(G121,AccountCodes[NGAS CODE],0))</f>
        <v>Due to Pag-IBIG - Pag-IBIG Premium</v>
      </c>
      <c r="G121" s="129" t="s">
        <v>1444</v>
      </c>
      <c r="H121" s="923"/>
      <c r="I121" s="922">
        <f>SUMIF(TB[ACCOUNT CODE (NGAS)],G121,TB[DEBIT/CREDIT])</f>
        <v>0</v>
      </c>
    </row>
    <row r="122" spans="1:9" x14ac:dyDescent="0.25">
      <c r="A122" s="921" t="str">
        <f t="array" ref="A122">INDEX(AccountCodes[ACCOUNT NAME],MATCH(G122,AccountCodes[NGAS CODE],0))</f>
        <v>Due to Pag-IBIG - Pag-IBIG Multi-Purpose Loan</v>
      </c>
      <c r="G122" s="129" t="s">
        <v>1445</v>
      </c>
      <c r="H122" s="923"/>
      <c r="I122" s="922">
        <f>SUMIF(TB[ACCOUNT CODE (NGAS)],G122,TB[DEBIT/CREDIT])</f>
        <v>0</v>
      </c>
    </row>
    <row r="123" spans="1:9" x14ac:dyDescent="0.25">
      <c r="A123" s="921" t="str">
        <f t="array" ref="A123">INDEX(AccountCodes[ACCOUNT NAME],MATCH(G123,AccountCodes[NGAS CODE],0))</f>
        <v>Due to Pag-IBIG - Calamity Loan</v>
      </c>
      <c r="G123" s="129" t="s">
        <v>1506</v>
      </c>
      <c r="H123" s="923"/>
      <c r="I123" s="922">
        <f>SUMIF(TB[ACCOUNT CODE (NGAS)],G123,TB[DEBIT/CREDIT])</f>
        <v>0</v>
      </c>
    </row>
    <row r="124" spans="1:9" x14ac:dyDescent="0.25">
      <c r="A124" s="921" t="str">
        <f t="array" ref="A124">INDEX(AccountCodes[ACCOUNT NAME],MATCH(G124,AccountCodes[NGAS CODE],0))</f>
        <v>Due to PhilHealth</v>
      </c>
      <c r="G124" s="129" t="s">
        <v>112</v>
      </c>
      <c r="H124" s="923"/>
      <c r="I124" s="922">
        <f>SUMIF(TB[ACCOUNT CODE (NGAS)],G124,TB[DEBIT/CREDIT])</f>
        <v>0</v>
      </c>
    </row>
    <row r="125" spans="1:9" hidden="1" x14ac:dyDescent="0.25">
      <c r="A125" s="921" t="str">
        <f t="array" ref="A125">INDEX(AccountCodes[ACCOUNT NAME],MATCH(G125,AccountCodes[NGAS CODE],0))</f>
        <v>Due to NGAs</v>
      </c>
      <c r="G125" s="129" t="s">
        <v>113</v>
      </c>
      <c r="H125" s="923"/>
      <c r="I125" s="922">
        <f>SUMIF(TB[ACCOUNT CODE (NGAS)],G125,TB[DEBIT/CREDIT])</f>
        <v>0</v>
      </c>
    </row>
    <row r="126" spans="1:9" x14ac:dyDescent="0.25">
      <c r="A126" s="921" t="str">
        <f t="array" ref="A126">INDEX(AccountCodes[ACCOUNT NAME],MATCH(G126,AccountCodes[NGAS CODE],0))</f>
        <v>Due to the Treasurer of the Philippines</v>
      </c>
      <c r="G126" s="129" t="s">
        <v>1496</v>
      </c>
      <c r="H126" s="923"/>
      <c r="I126" s="922">
        <f>SUMIF(TB[ACCOUNT CODE (NGAS)],G126,TB[DEBIT/CREDIT])</f>
        <v>3852.23</v>
      </c>
    </row>
    <row r="127" spans="1:9" hidden="1" x14ac:dyDescent="0.25">
      <c r="A127" s="921" t="str">
        <f t="array" ref="A127">INDEX(AccountCodes[ACCOUNT NAME],MATCH(G127,AccountCodes[NGAS CODE],0))</f>
        <v>Due to Central Office</v>
      </c>
      <c r="G127" s="129" t="s">
        <v>407</v>
      </c>
      <c r="H127" s="923"/>
      <c r="I127" s="922">
        <f>SUMIF(TB[ACCOUNT CODE (NGAS)],G127,TB[DEBIT/CREDIT])</f>
        <v>0</v>
      </c>
    </row>
    <row r="128" spans="1:9" hidden="1" x14ac:dyDescent="0.25">
      <c r="A128" s="921" t="str">
        <f t="array" ref="A128">INDEX(AccountCodes[ACCOUNT NAME],MATCH(G128,AccountCodes[NGAS CODE],0))</f>
        <v>Due to Other Funds</v>
      </c>
      <c r="G128" s="129" t="s">
        <v>114</v>
      </c>
      <c r="H128" s="923"/>
      <c r="I128" s="922">
        <f>SUMIF(TB[ACCOUNT CODE (NGAS)],G128,TB[DEBIT/CREDIT])</f>
        <v>0</v>
      </c>
    </row>
    <row r="129" spans="1:9" x14ac:dyDescent="0.25">
      <c r="A129" s="921" t="str">
        <f t="array" ref="A129">INDEX(AccountCodes[ACCOUNT NAME],MATCH(G129,AccountCodes[NGAS CODE],0))</f>
        <v>Guaranty/Security Deposits Payable</v>
      </c>
      <c r="G129" s="129" t="s">
        <v>115</v>
      </c>
      <c r="H129" s="923"/>
      <c r="I129" s="922">
        <f>SUMIF(TB[ACCOUNT CODE (NGAS)],G129,TB[DEBIT/CREDIT])</f>
        <v>2588810.2000000002</v>
      </c>
    </row>
    <row r="130" spans="1:9" hidden="1" x14ac:dyDescent="0.25">
      <c r="A130" s="921" t="str">
        <f t="array" ref="A130">INDEX(AccountCodes[ACCOUNT NAME],MATCH(G130,AccountCodes[NGAS CODE],0))</f>
        <v>Bail Bonds Payable</v>
      </c>
      <c r="G130" s="129" t="s">
        <v>116</v>
      </c>
      <c r="H130" s="923"/>
      <c r="I130" s="922">
        <f>SUMIF(TB[ACCOUNT CODE (NGAS)],G130,TB[DEBIT/CREDIT])</f>
        <v>0</v>
      </c>
    </row>
    <row r="131" spans="1:9" x14ac:dyDescent="0.25">
      <c r="A131" s="921" t="str">
        <f t="array" ref="A131">INDEX(AccountCodes[ACCOUNT NAME],MATCH(G131,AccountCodes[NGAS CODE],0))</f>
        <v>Other Payables</v>
      </c>
      <c r="G131" s="129" t="s">
        <v>117</v>
      </c>
      <c r="H131" s="923"/>
      <c r="I131" s="922">
        <f>SUMIF(TB[ACCOUNT CODE (NGAS)],G131,TB[DEBIT/CREDIT])</f>
        <v>2676406.96</v>
      </c>
    </row>
    <row r="132" spans="1:9" x14ac:dyDescent="0.25">
      <c r="A132" s="29" t="s">
        <v>421</v>
      </c>
      <c r="G132" s="129"/>
      <c r="H132" s="923"/>
      <c r="I132" s="926">
        <f>SUM(I112:I131)</f>
        <v>7957590.9000000004</v>
      </c>
    </row>
    <row r="133" spans="1:9" x14ac:dyDescent="0.25">
      <c r="A133" s="921"/>
      <c r="G133" s="129"/>
      <c r="H133" s="923"/>
      <c r="I133" s="922"/>
    </row>
    <row r="134" spans="1:9" x14ac:dyDescent="0.25">
      <c r="A134" s="29" t="s">
        <v>422</v>
      </c>
      <c r="G134" s="129"/>
      <c r="H134" s="923"/>
      <c r="I134" s="922"/>
    </row>
    <row r="135" spans="1:9" x14ac:dyDescent="0.25">
      <c r="A135" s="29" t="s">
        <v>418</v>
      </c>
      <c r="G135" s="129"/>
      <c r="H135" s="923"/>
      <c r="I135" s="922"/>
    </row>
    <row r="136" spans="1:9" hidden="1" x14ac:dyDescent="0.25">
      <c r="A136" s="921" t="str">
        <f t="array" ref="A136">INDEX(AccountCodes[ACCOUNT NAME],MATCH(G136,AccountCodes[NGAS CODE],0))</f>
        <v>Other Deferred Credits (Irrigation Service Fee)</v>
      </c>
      <c r="G136" s="129" t="s">
        <v>120</v>
      </c>
      <c r="H136" s="923"/>
      <c r="I136" s="922">
        <f>SUMIF(TB[ACCOUNT CODE (NGAS)],G136,TB[DEBIT/CREDIT])</f>
        <v>0</v>
      </c>
    </row>
    <row r="137" spans="1:9" hidden="1" x14ac:dyDescent="0.25">
      <c r="A137" s="921" t="str">
        <f t="array" ref="A137">INDEX(AccountCodes[ACCOUNT NAME],MATCH(G137,AccountCodes[NGAS CODE],0))</f>
        <v>Other Deferred Credits (PA/CIS/CIP Equity)</v>
      </c>
      <c r="G137" s="129" t="s">
        <v>8</v>
      </c>
      <c r="H137" s="923"/>
      <c r="I137" s="922">
        <f>SUMIF(TB[ACCOUNT CODE (NGAS)],G137,TB[DEBIT/CREDIT])</f>
        <v>0</v>
      </c>
    </row>
    <row r="138" spans="1:9" x14ac:dyDescent="0.25">
      <c r="A138" s="921" t="str">
        <f t="array" ref="A138">INDEX(AccountCodes[ACCOUNT NAME],MATCH(G138,AccountCodes[NGAS CODE],0))</f>
        <v>Other Unearned Revenue</v>
      </c>
      <c r="G138" s="129" t="s">
        <v>121</v>
      </c>
      <c r="H138" s="923"/>
      <c r="I138" s="922">
        <f>SUMIF(TB[ACCOUNT CODE (NGAS)],G138,TB[DEBIT/CREDIT])</f>
        <v>0</v>
      </c>
    </row>
    <row r="139" spans="1:9" x14ac:dyDescent="0.25">
      <c r="A139" s="29" t="s">
        <v>512</v>
      </c>
      <c r="G139" s="129"/>
      <c r="H139" s="923"/>
      <c r="I139" s="926">
        <f>SUM(I136:I138)</f>
        <v>0</v>
      </c>
    </row>
    <row r="140" spans="1:9" x14ac:dyDescent="0.25">
      <c r="A140" s="29" t="s">
        <v>511</v>
      </c>
      <c r="G140" s="129"/>
      <c r="H140" s="923"/>
      <c r="I140" s="926">
        <f>I132+I139</f>
        <v>7957590.9000000004</v>
      </c>
    </row>
    <row r="141" spans="1:9" x14ac:dyDescent="0.25">
      <c r="A141" s="921"/>
      <c r="G141" s="129"/>
      <c r="H141" s="923"/>
      <c r="I141" s="922"/>
    </row>
    <row r="142" spans="1:9" x14ac:dyDescent="0.25">
      <c r="A142" s="29" t="s">
        <v>513</v>
      </c>
      <c r="G142" s="129"/>
      <c r="H142" s="923"/>
      <c r="I142" s="922"/>
    </row>
    <row r="143" spans="1:9" x14ac:dyDescent="0.25">
      <c r="A143" s="921" t="str">
        <f t="array" ref="A143">INDEX(AccountCodes[ACCOUNT NAME],MATCH(G143,AccountCodes[NGAS CODE],0))</f>
        <v>Accumulated Surplus/(Deficit) (Government Equity)</v>
      </c>
      <c r="G143" s="129" t="s">
        <v>122</v>
      </c>
      <c r="H143" s="923"/>
      <c r="I143" s="922">
        <f>SUMIF(TB[ACCOUNT CODE (NGAS)],G143,TB[DEBIT/CREDIT])</f>
        <v>117680205.22</v>
      </c>
    </row>
    <row r="144" spans="1:9" x14ac:dyDescent="0.25">
      <c r="A144" s="921" t="str">
        <f t="array" ref="A144">INDEX(AccountCodes[ACCOUNT NAME],MATCH(G144,AccountCodes[NGAS CODE],0))</f>
        <v>Accumulated Surplus/(Deficit) (Retained Earnings)</v>
      </c>
      <c r="G144" s="129" t="s">
        <v>123</v>
      </c>
      <c r="H144" s="923"/>
      <c r="I144" s="922">
        <f>SUMIF(TB[ACCOUNT CODE (NGAS)],G144,TB[DEBIT/CREDIT])</f>
        <v>0</v>
      </c>
    </row>
    <row r="145" spans="1:9" x14ac:dyDescent="0.25">
      <c r="A145" s="921" t="s">
        <v>439</v>
      </c>
      <c r="G145" s="905" t="s">
        <v>124</v>
      </c>
      <c r="H145" s="923"/>
      <c r="I145" s="922">
        <f>IES!I154</f>
        <v>-50693</v>
      </c>
    </row>
    <row r="146" spans="1:9" x14ac:dyDescent="0.25">
      <c r="A146" s="29" t="s">
        <v>420</v>
      </c>
      <c r="I146" s="929">
        <f>SUM(I143:I145)</f>
        <v>117629512.22</v>
      </c>
    </row>
    <row r="147" spans="1:9" x14ac:dyDescent="0.25">
      <c r="A147" s="29" t="s">
        <v>419</v>
      </c>
      <c r="G147" s="129"/>
      <c r="I147" s="926">
        <f>I140+I146</f>
        <v>125587103.12</v>
      </c>
    </row>
    <row r="149" spans="1:9" x14ac:dyDescent="0.25">
      <c r="I149" s="920">
        <f>I106-I147</f>
        <v>10854203.01</v>
      </c>
    </row>
    <row r="150" spans="1:9" x14ac:dyDescent="0.25">
      <c r="E150" s="128"/>
    </row>
    <row r="174" spans="5:9" x14ac:dyDescent="0.25">
      <c r="E174" s="930"/>
      <c r="F174" s="2"/>
      <c r="G174" s="893"/>
      <c r="H174" s="916"/>
      <c r="I174" s="916"/>
    </row>
    <row r="175" spans="5:9" x14ac:dyDescent="0.25">
      <c r="E175" s="931"/>
      <c r="F175" s="128"/>
      <c r="G175" s="893"/>
      <c r="H175" s="916"/>
      <c r="I175" s="916"/>
    </row>
    <row r="178" spans="1:9" x14ac:dyDescent="0.25">
      <c r="A178" s="908" t="s">
        <v>1589</v>
      </c>
      <c r="B178" s="118"/>
      <c r="C178" s="118"/>
      <c r="D178" s="909" t="s">
        <v>353</v>
      </c>
      <c r="E178" s="909"/>
      <c r="F178" s="118"/>
      <c r="G178" s="932"/>
      <c r="H178" s="118" t="s">
        <v>1606</v>
      </c>
      <c r="I178" s="108"/>
    </row>
    <row r="179" spans="1:9" x14ac:dyDescent="0.25">
      <c r="A179" s="908"/>
      <c r="B179" s="118"/>
      <c r="C179" s="118"/>
      <c r="D179" s="909"/>
      <c r="E179" s="909"/>
      <c r="F179" s="118"/>
      <c r="G179" s="118"/>
      <c r="H179" s="198"/>
      <c r="I179" s="108"/>
    </row>
    <row r="180" spans="1:9" x14ac:dyDescent="0.25">
      <c r="A180" s="118"/>
      <c r="B180" s="118"/>
      <c r="C180" s="118"/>
      <c r="D180" s="909"/>
      <c r="E180" s="909"/>
      <c r="F180" s="118"/>
      <c r="G180" s="118"/>
      <c r="H180" s="198"/>
      <c r="I180" s="108"/>
    </row>
    <row r="181" spans="1:9" x14ac:dyDescent="0.25">
      <c r="A181" s="910" t="s">
        <v>1571</v>
      </c>
      <c r="B181" s="911"/>
      <c r="C181" s="118"/>
      <c r="D181" s="912" t="s">
        <v>1561</v>
      </c>
      <c r="E181" s="909"/>
      <c r="F181" s="118"/>
      <c r="H181" s="1034" t="s">
        <v>1591</v>
      </c>
      <c r="I181" s="1034"/>
    </row>
    <row r="182" spans="1:9" x14ac:dyDescent="0.25">
      <c r="A182" s="933" t="s">
        <v>1572</v>
      </c>
      <c r="B182" s="118"/>
      <c r="C182" s="118"/>
      <c r="D182" s="914" t="s">
        <v>381</v>
      </c>
      <c r="E182" s="909"/>
      <c r="F182" s="118"/>
      <c r="H182" s="1035" t="s">
        <v>1570</v>
      </c>
      <c r="I182" s="1035"/>
    </row>
  </sheetData>
  <autoFilter ref="G10:G144" xr:uid="{00000000-0009-0000-0000-000003000000}"/>
  <mergeCells count="2">
    <mergeCell ref="H181:I181"/>
    <mergeCell ref="H182:I182"/>
  </mergeCells>
  <printOptions horizontalCentered="1"/>
  <pageMargins left="0.25" right="0.25" top="0.75" bottom="0.57999999999999996" header="0.3" footer="0.19"/>
  <pageSetup paperSize="14" scale="90" orientation="portrait" horizontalDpi="300" verticalDpi="300" r:id="rId1"/>
  <headerFooter>
    <oddFooter>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2">
    <tabColor rgb="FFFF0000"/>
  </sheetPr>
  <dimension ref="A1:D207"/>
  <sheetViews>
    <sheetView workbookViewId="0"/>
  </sheetViews>
  <sheetFormatPr defaultRowHeight="15.75" x14ac:dyDescent="0.25"/>
  <cols>
    <col min="1" max="1" width="80.125" style="108" bestFit="1" customWidth="1"/>
    <col min="2" max="2" width="16.875" style="30" customWidth="1"/>
    <col min="3" max="3" width="16.375" style="30" customWidth="1"/>
    <col min="4" max="4" width="16.625" style="108" customWidth="1"/>
    <col min="5" max="255" width="9" style="30"/>
    <col min="256" max="256" width="15.5" style="30" customWidth="1"/>
    <col min="257" max="257" width="16.875" style="30" customWidth="1"/>
    <col min="258" max="258" width="16.375" style="30" customWidth="1"/>
    <col min="259" max="259" width="16.625" style="30" customWidth="1"/>
    <col min="260" max="260" width="12.875" style="30" customWidth="1"/>
    <col min="261" max="511" width="9" style="30"/>
    <col min="512" max="512" width="15.5" style="30" customWidth="1"/>
    <col min="513" max="513" width="16.875" style="30" customWidth="1"/>
    <col min="514" max="514" width="16.375" style="30" customWidth="1"/>
    <col min="515" max="515" width="16.625" style="30" customWidth="1"/>
    <col min="516" max="516" width="12.875" style="30" customWidth="1"/>
    <col min="517" max="767" width="9" style="30"/>
    <col min="768" max="768" width="15.5" style="30" customWidth="1"/>
    <col min="769" max="769" width="16.875" style="30" customWidth="1"/>
    <col min="770" max="770" width="16.375" style="30" customWidth="1"/>
    <col min="771" max="771" width="16.625" style="30" customWidth="1"/>
    <col min="772" max="772" width="12.875" style="30" customWidth="1"/>
    <col min="773" max="1023" width="9" style="30"/>
    <col min="1024" max="1024" width="15.5" style="30" customWidth="1"/>
    <col min="1025" max="1025" width="16.875" style="30" customWidth="1"/>
    <col min="1026" max="1026" width="16.375" style="30" customWidth="1"/>
    <col min="1027" max="1027" width="16.625" style="30" customWidth="1"/>
    <col min="1028" max="1028" width="12.875" style="30" customWidth="1"/>
    <col min="1029" max="1279" width="9" style="30"/>
    <col min="1280" max="1280" width="15.5" style="30" customWidth="1"/>
    <col min="1281" max="1281" width="16.875" style="30" customWidth="1"/>
    <col min="1282" max="1282" width="16.375" style="30" customWidth="1"/>
    <col min="1283" max="1283" width="16.625" style="30" customWidth="1"/>
    <col min="1284" max="1284" width="12.875" style="30" customWidth="1"/>
    <col min="1285" max="1535" width="9" style="30"/>
    <col min="1536" max="1536" width="15.5" style="30" customWidth="1"/>
    <col min="1537" max="1537" width="16.875" style="30" customWidth="1"/>
    <col min="1538" max="1538" width="16.375" style="30" customWidth="1"/>
    <col min="1539" max="1539" width="16.625" style="30" customWidth="1"/>
    <col min="1540" max="1540" width="12.875" style="30" customWidth="1"/>
    <col min="1541" max="1791" width="9" style="30"/>
    <col min="1792" max="1792" width="15.5" style="30" customWidth="1"/>
    <col min="1793" max="1793" width="16.875" style="30" customWidth="1"/>
    <col min="1794" max="1794" width="16.375" style="30" customWidth="1"/>
    <col min="1795" max="1795" width="16.625" style="30" customWidth="1"/>
    <col min="1796" max="1796" width="12.875" style="30" customWidth="1"/>
    <col min="1797" max="2047" width="9" style="30"/>
    <col min="2048" max="2048" width="15.5" style="30" customWidth="1"/>
    <col min="2049" max="2049" width="16.875" style="30" customWidth="1"/>
    <col min="2050" max="2050" width="16.375" style="30" customWidth="1"/>
    <col min="2051" max="2051" width="16.625" style="30" customWidth="1"/>
    <col min="2052" max="2052" width="12.875" style="30" customWidth="1"/>
    <col min="2053" max="2303" width="9" style="30"/>
    <col min="2304" max="2304" width="15.5" style="30" customWidth="1"/>
    <col min="2305" max="2305" width="16.875" style="30" customWidth="1"/>
    <col min="2306" max="2306" width="16.375" style="30" customWidth="1"/>
    <col min="2307" max="2307" width="16.625" style="30" customWidth="1"/>
    <col min="2308" max="2308" width="12.875" style="30" customWidth="1"/>
    <col min="2309" max="2559" width="9" style="30"/>
    <col min="2560" max="2560" width="15.5" style="30" customWidth="1"/>
    <col min="2561" max="2561" width="16.875" style="30" customWidth="1"/>
    <col min="2562" max="2562" width="16.375" style="30" customWidth="1"/>
    <col min="2563" max="2563" width="16.625" style="30" customWidth="1"/>
    <col min="2564" max="2564" width="12.875" style="30" customWidth="1"/>
    <col min="2565" max="2815" width="9" style="30"/>
    <col min="2816" max="2816" width="15.5" style="30" customWidth="1"/>
    <col min="2817" max="2817" width="16.875" style="30" customWidth="1"/>
    <col min="2818" max="2818" width="16.375" style="30" customWidth="1"/>
    <col min="2819" max="2819" width="16.625" style="30" customWidth="1"/>
    <col min="2820" max="2820" width="12.875" style="30" customWidth="1"/>
    <col min="2821" max="3071" width="9" style="30"/>
    <col min="3072" max="3072" width="15.5" style="30" customWidth="1"/>
    <col min="3073" max="3073" width="16.875" style="30" customWidth="1"/>
    <col min="3074" max="3074" width="16.375" style="30" customWidth="1"/>
    <col min="3075" max="3075" width="16.625" style="30" customWidth="1"/>
    <col min="3076" max="3076" width="12.875" style="30" customWidth="1"/>
    <col min="3077" max="3327" width="9" style="30"/>
    <col min="3328" max="3328" width="15.5" style="30" customWidth="1"/>
    <col min="3329" max="3329" width="16.875" style="30" customWidth="1"/>
    <col min="3330" max="3330" width="16.375" style="30" customWidth="1"/>
    <col min="3331" max="3331" width="16.625" style="30" customWidth="1"/>
    <col min="3332" max="3332" width="12.875" style="30" customWidth="1"/>
    <col min="3333" max="3583" width="9" style="30"/>
    <col min="3584" max="3584" width="15.5" style="30" customWidth="1"/>
    <col min="3585" max="3585" width="16.875" style="30" customWidth="1"/>
    <col min="3586" max="3586" width="16.375" style="30" customWidth="1"/>
    <col min="3587" max="3587" width="16.625" style="30" customWidth="1"/>
    <col min="3588" max="3588" width="12.875" style="30" customWidth="1"/>
    <col min="3589" max="3839" width="9" style="30"/>
    <col min="3840" max="3840" width="15.5" style="30" customWidth="1"/>
    <col min="3841" max="3841" width="16.875" style="30" customWidth="1"/>
    <col min="3842" max="3842" width="16.375" style="30" customWidth="1"/>
    <col min="3843" max="3843" width="16.625" style="30" customWidth="1"/>
    <col min="3844" max="3844" width="12.875" style="30" customWidth="1"/>
    <col min="3845" max="4095" width="9" style="30"/>
    <col min="4096" max="4096" width="15.5" style="30" customWidth="1"/>
    <col min="4097" max="4097" width="16.875" style="30" customWidth="1"/>
    <col min="4098" max="4098" width="16.375" style="30" customWidth="1"/>
    <col min="4099" max="4099" width="16.625" style="30" customWidth="1"/>
    <col min="4100" max="4100" width="12.875" style="30" customWidth="1"/>
    <col min="4101" max="4351" width="9" style="30"/>
    <col min="4352" max="4352" width="15.5" style="30" customWidth="1"/>
    <col min="4353" max="4353" width="16.875" style="30" customWidth="1"/>
    <col min="4354" max="4354" width="16.375" style="30" customWidth="1"/>
    <col min="4355" max="4355" width="16.625" style="30" customWidth="1"/>
    <col min="4356" max="4356" width="12.875" style="30" customWidth="1"/>
    <col min="4357" max="4607" width="9" style="30"/>
    <col min="4608" max="4608" width="15.5" style="30" customWidth="1"/>
    <col min="4609" max="4609" width="16.875" style="30" customWidth="1"/>
    <col min="4610" max="4610" width="16.375" style="30" customWidth="1"/>
    <col min="4611" max="4611" width="16.625" style="30" customWidth="1"/>
    <col min="4612" max="4612" width="12.875" style="30" customWidth="1"/>
    <col min="4613" max="4863" width="9" style="30"/>
    <col min="4864" max="4864" width="15.5" style="30" customWidth="1"/>
    <col min="4865" max="4865" width="16.875" style="30" customWidth="1"/>
    <col min="4866" max="4866" width="16.375" style="30" customWidth="1"/>
    <col min="4867" max="4867" width="16.625" style="30" customWidth="1"/>
    <col min="4868" max="4868" width="12.875" style="30" customWidth="1"/>
    <col min="4869" max="5119" width="9" style="30"/>
    <col min="5120" max="5120" width="15.5" style="30" customWidth="1"/>
    <col min="5121" max="5121" width="16.875" style="30" customWidth="1"/>
    <col min="5122" max="5122" width="16.375" style="30" customWidth="1"/>
    <col min="5123" max="5123" width="16.625" style="30" customWidth="1"/>
    <col min="5124" max="5124" width="12.875" style="30" customWidth="1"/>
    <col min="5125" max="5375" width="9" style="30"/>
    <col min="5376" max="5376" width="15.5" style="30" customWidth="1"/>
    <col min="5377" max="5377" width="16.875" style="30" customWidth="1"/>
    <col min="5378" max="5378" width="16.375" style="30" customWidth="1"/>
    <col min="5379" max="5379" width="16.625" style="30" customWidth="1"/>
    <col min="5380" max="5380" width="12.875" style="30" customWidth="1"/>
    <col min="5381" max="5631" width="9" style="30"/>
    <col min="5632" max="5632" width="15.5" style="30" customWidth="1"/>
    <col min="5633" max="5633" width="16.875" style="30" customWidth="1"/>
    <col min="5634" max="5634" width="16.375" style="30" customWidth="1"/>
    <col min="5635" max="5635" width="16.625" style="30" customWidth="1"/>
    <col min="5636" max="5636" width="12.875" style="30" customWidth="1"/>
    <col min="5637" max="5887" width="9" style="30"/>
    <col min="5888" max="5888" width="15.5" style="30" customWidth="1"/>
    <col min="5889" max="5889" width="16.875" style="30" customWidth="1"/>
    <col min="5890" max="5890" width="16.375" style="30" customWidth="1"/>
    <col min="5891" max="5891" width="16.625" style="30" customWidth="1"/>
    <col min="5892" max="5892" width="12.875" style="30" customWidth="1"/>
    <col min="5893" max="6143" width="9" style="30"/>
    <col min="6144" max="6144" width="15.5" style="30" customWidth="1"/>
    <col min="6145" max="6145" width="16.875" style="30" customWidth="1"/>
    <col min="6146" max="6146" width="16.375" style="30" customWidth="1"/>
    <col min="6147" max="6147" width="16.625" style="30" customWidth="1"/>
    <col min="6148" max="6148" width="12.875" style="30" customWidth="1"/>
    <col min="6149" max="6399" width="9" style="30"/>
    <col min="6400" max="6400" width="15.5" style="30" customWidth="1"/>
    <col min="6401" max="6401" width="16.875" style="30" customWidth="1"/>
    <col min="6402" max="6402" width="16.375" style="30" customWidth="1"/>
    <col min="6403" max="6403" width="16.625" style="30" customWidth="1"/>
    <col min="6404" max="6404" width="12.875" style="30" customWidth="1"/>
    <col min="6405" max="6655" width="9" style="30"/>
    <col min="6656" max="6656" width="15.5" style="30" customWidth="1"/>
    <col min="6657" max="6657" width="16.875" style="30" customWidth="1"/>
    <col min="6658" max="6658" width="16.375" style="30" customWidth="1"/>
    <col min="6659" max="6659" width="16.625" style="30" customWidth="1"/>
    <col min="6660" max="6660" width="12.875" style="30" customWidth="1"/>
    <col min="6661" max="6911" width="9" style="30"/>
    <col min="6912" max="6912" width="15.5" style="30" customWidth="1"/>
    <col min="6913" max="6913" width="16.875" style="30" customWidth="1"/>
    <col min="6914" max="6914" width="16.375" style="30" customWidth="1"/>
    <col min="6915" max="6915" width="16.625" style="30" customWidth="1"/>
    <col min="6916" max="6916" width="12.875" style="30" customWidth="1"/>
    <col min="6917" max="7167" width="9" style="30"/>
    <col min="7168" max="7168" width="15.5" style="30" customWidth="1"/>
    <col min="7169" max="7169" width="16.875" style="30" customWidth="1"/>
    <col min="7170" max="7170" width="16.375" style="30" customWidth="1"/>
    <col min="7171" max="7171" width="16.625" style="30" customWidth="1"/>
    <col min="7172" max="7172" width="12.875" style="30" customWidth="1"/>
    <col min="7173" max="7423" width="9" style="30"/>
    <col min="7424" max="7424" width="15.5" style="30" customWidth="1"/>
    <col min="7425" max="7425" width="16.875" style="30" customWidth="1"/>
    <col min="7426" max="7426" width="16.375" style="30" customWidth="1"/>
    <col min="7427" max="7427" width="16.625" style="30" customWidth="1"/>
    <col min="7428" max="7428" width="12.875" style="30" customWidth="1"/>
    <col min="7429" max="7679" width="9" style="30"/>
    <col min="7680" max="7680" width="15.5" style="30" customWidth="1"/>
    <col min="7681" max="7681" width="16.875" style="30" customWidth="1"/>
    <col min="7682" max="7682" width="16.375" style="30" customWidth="1"/>
    <col min="7683" max="7683" width="16.625" style="30" customWidth="1"/>
    <col min="7684" max="7684" width="12.875" style="30" customWidth="1"/>
    <col min="7685" max="7935" width="9" style="30"/>
    <col min="7936" max="7936" width="15.5" style="30" customWidth="1"/>
    <col min="7937" max="7937" width="16.875" style="30" customWidth="1"/>
    <col min="7938" max="7938" width="16.375" style="30" customWidth="1"/>
    <col min="7939" max="7939" width="16.625" style="30" customWidth="1"/>
    <col min="7940" max="7940" width="12.875" style="30" customWidth="1"/>
    <col min="7941" max="8191" width="9" style="30"/>
    <col min="8192" max="8192" width="15.5" style="30" customWidth="1"/>
    <col min="8193" max="8193" width="16.875" style="30" customWidth="1"/>
    <col min="8194" max="8194" width="16.375" style="30" customWidth="1"/>
    <col min="8195" max="8195" width="16.625" style="30" customWidth="1"/>
    <col min="8196" max="8196" width="12.875" style="30" customWidth="1"/>
    <col min="8197" max="8447" width="9" style="30"/>
    <col min="8448" max="8448" width="15.5" style="30" customWidth="1"/>
    <col min="8449" max="8449" width="16.875" style="30" customWidth="1"/>
    <col min="8450" max="8450" width="16.375" style="30" customWidth="1"/>
    <col min="8451" max="8451" width="16.625" style="30" customWidth="1"/>
    <col min="8452" max="8452" width="12.875" style="30" customWidth="1"/>
    <col min="8453" max="8703" width="9" style="30"/>
    <col min="8704" max="8704" width="15.5" style="30" customWidth="1"/>
    <col min="8705" max="8705" width="16.875" style="30" customWidth="1"/>
    <col min="8706" max="8706" width="16.375" style="30" customWidth="1"/>
    <col min="8707" max="8707" width="16.625" style="30" customWidth="1"/>
    <col min="8708" max="8708" width="12.875" style="30" customWidth="1"/>
    <col min="8709" max="8959" width="9" style="30"/>
    <col min="8960" max="8960" width="15.5" style="30" customWidth="1"/>
    <col min="8961" max="8961" width="16.875" style="30" customWidth="1"/>
    <col min="8962" max="8962" width="16.375" style="30" customWidth="1"/>
    <col min="8963" max="8963" width="16.625" style="30" customWidth="1"/>
    <col min="8964" max="8964" width="12.875" style="30" customWidth="1"/>
    <col min="8965" max="9215" width="9" style="30"/>
    <col min="9216" max="9216" width="15.5" style="30" customWidth="1"/>
    <col min="9217" max="9217" width="16.875" style="30" customWidth="1"/>
    <col min="9218" max="9218" width="16.375" style="30" customWidth="1"/>
    <col min="9219" max="9219" width="16.625" style="30" customWidth="1"/>
    <col min="9220" max="9220" width="12.875" style="30" customWidth="1"/>
    <col min="9221" max="9471" width="9" style="30"/>
    <col min="9472" max="9472" width="15.5" style="30" customWidth="1"/>
    <col min="9473" max="9473" width="16.875" style="30" customWidth="1"/>
    <col min="9474" max="9474" width="16.375" style="30" customWidth="1"/>
    <col min="9475" max="9475" width="16.625" style="30" customWidth="1"/>
    <col min="9476" max="9476" width="12.875" style="30" customWidth="1"/>
    <col min="9477" max="9727" width="9" style="30"/>
    <col min="9728" max="9728" width="15.5" style="30" customWidth="1"/>
    <col min="9729" max="9729" width="16.875" style="30" customWidth="1"/>
    <col min="9730" max="9730" width="16.375" style="30" customWidth="1"/>
    <col min="9731" max="9731" width="16.625" style="30" customWidth="1"/>
    <col min="9732" max="9732" width="12.875" style="30" customWidth="1"/>
    <col min="9733" max="9983" width="9" style="30"/>
    <col min="9984" max="9984" width="15.5" style="30" customWidth="1"/>
    <col min="9985" max="9985" width="16.875" style="30" customWidth="1"/>
    <col min="9986" max="9986" width="16.375" style="30" customWidth="1"/>
    <col min="9987" max="9987" width="16.625" style="30" customWidth="1"/>
    <col min="9988" max="9988" width="12.875" style="30" customWidth="1"/>
    <col min="9989" max="10239" width="9" style="30"/>
    <col min="10240" max="10240" width="15.5" style="30" customWidth="1"/>
    <col min="10241" max="10241" width="16.875" style="30" customWidth="1"/>
    <col min="10242" max="10242" width="16.375" style="30" customWidth="1"/>
    <col min="10243" max="10243" width="16.625" style="30" customWidth="1"/>
    <col min="10244" max="10244" width="12.875" style="30" customWidth="1"/>
    <col min="10245" max="10495" width="9" style="30"/>
    <col min="10496" max="10496" width="15.5" style="30" customWidth="1"/>
    <col min="10497" max="10497" width="16.875" style="30" customWidth="1"/>
    <col min="10498" max="10498" width="16.375" style="30" customWidth="1"/>
    <col min="10499" max="10499" width="16.625" style="30" customWidth="1"/>
    <col min="10500" max="10500" width="12.875" style="30" customWidth="1"/>
    <col min="10501" max="10751" width="9" style="30"/>
    <col min="10752" max="10752" width="15.5" style="30" customWidth="1"/>
    <col min="10753" max="10753" width="16.875" style="30" customWidth="1"/>
    <col min="10754" max="10754" width="16.375" style="30" customWidth="1"/>
    <col min="10755" max="10755" width="16.625" style="30" customWidth="1"/>
    <col min="10756" max="10756" width="12.875" style="30" customWidth="1"/>
    <col min="10757" max="11007" width="9" style="30"/>
    <col min="11008" max="11008" width="15.5" style="30" customWidth="1"/>
    <col min="11009" max="11009" width="16.875" style="30" customWidth="1"/>
    <col min="11010" max="11010" width="16.375" style="30" customWidth="1"/>
    <col min="11011" max="11011" width="16.625" style="30" customWidth="1"/>
    <col min="11012" max="11012" width="12.875" style="30" customWidth="1"/>
    <col min="11013" max="11263" width="9" style="30"/>
    <col min="11264" max="11264" width="15.5" style="30" customWidth="1"/>
    <col min="11265" max="11265" width="16.875" style="30" customWidth="1"/>
    <col min="11266" max="11266" width="16.375" style="30" customWidth="1"/>
    <col min="11267" max="11267" width="16.625" style="30" customWidth="1"/>
    <col min="11268" max="11268" width="12.875" style="30" customWidth="1"/>
    <col min="11269" max="11519" width="9" style="30"/>
    <col min="11520" max="11520" width="15.5" style="30" customWidth="1"/>
    <col min="11521" max="11521" width="16.875" style="30" customWidth="1"/>
    <col min="11522" max="11522" width="16.375" style="30" customWidth="1"/>
    <col min="11523" max="11523" width="16.625" style="30" customWidth="1"/>
    <col min="11524" max="11524" width="12.875" style="30" customWidth="1"/>
    <col min="11525" max="11775" width="9" style="30"/>
    <col min="11776" max="11776" width="15.5" style="30" customWidth="1"/>
    <col min="11777" max="11777" width="16.875" style="30" customWidth="1"/>
    <col min="11778" max="11778" width="16.375" style="30" customWidth="1"/>
    <col min="11779" max="11779" width="16.625" style="30" customWidth="1"/>
    <col min="11780" max="11780" width="12.875" style="30" customWidth="1"/>
    <col min="11781" max="12031" width="9" style="30"/>
    <col min="12032" max="12032" width="15.5" style="30" customWidth="1"/>
    <col min="12033" max="12033" width="16.875" style="30" customWidth="1"/>
    <col min="12034" max="12034" width="16.375" style="30" customWidth="1"/>
    <col min="12035" max="12035" width="16.625" style="30" customWidth="1"/>
    <col min="12036" max="12036" width="12.875" style="30" customWidth="1"/>
    <col min="12037" max="12287" width="9" style="30"/>
    <col min="12288" max="12288" width="15.5" style="30" customWidth="1"/>
    <col min="12289" max="12289" width="16.875" style="30" customWidth="1"/>
    <col min="12290" max="12290" width="16.375" style="30" customWidth="1"/>
    <col min="12291" max="12291" width="16.625" style="30" customWidth="1"/>
    <col min="12292" max="12292" width="12.875" style="30" customWidth="1"/>
    <col min="12293" max="12543" width="9" style="30"/>
    <col min="12544" max="12544" width="15.5" style="30" customWidth="1"/>
    <col min="12545" max="12545" width="16.875" style="30" customWidth="1"/>
    <col min="12546" max="12546" width="16.375" style="30" customWidth="1"/>
    <col min="12547" max="12547" width="16.625" style="30" customWidth="1"/>
    <col min="12548" max="12548" width="12.875" style="30" customWidth="1"/>
    <col min="12549" max="12799" width="9" style="30"/>
    <col min="12800" max="12800" width="15.5" style="30" customWidth="1"/>
    <col min="12801" max="12801" width="16.875" style="30" customWidth="1"/>
    <col min="12802" max="12802" width="16.375" style="30" customWidth="1"/>
    <col min="12803" max="12803" width="16.625" style="30" customWidth="1"/>
    <col min="12804" max="12804" width="12.875" style="30" customWidth="1"/>
    <col min="12805" max="13055" width="9" style="30"/>
    <col min="13056" max="13056" width="15.5" style="30" customWidth="1"/>
    <col min="13057" max="13057" width="16.875" style="30" customWidth="1"/>
    <col min="13058" max="13058" width="16.375" style="30" customWidth="1"/>
    <col min="13059" max="13059" width="16.625" style="30" customWidth="1"/>
    <col min="13060" max="13060" width="12.875" style="30" customWidth="1"/>
    <col min="13061" max="13311" width="9" style="30"/>
    <col min="13312" max="13312" width="15.5" style="30" customWidth="1"/>
    <col min="13313" max="13313" width="16.875" style="30" customWidth="1"/>
    <col min="13314" max="13314" width="16.375" style="30" customWidth="1"/>
    <col min="13315" max="13315" width="16.625" style="30" customWidth="1"/>
    <col min="13316" max="13316" width="12.875" style="30" customWidth="1"/>
    <col min="13317" max="13567" width="9" style="30"/>
    <col min="13568" max="13568" width="15.5" style="30" customWidth="1"/>
    <col min="13569" max="13569" width="16.875" style="30" customWidth="1"/>
    <col min="13570" max="13570" width="16.375" style="30" customWidth="1"/>
    <col min="13571" max="13571" width="16.625" style="30" customWidth="1"/>
    <col min="13572" max="13572" width="12.875" style="30" customWidth="1"/>
    <col min="13573" max="13823" width="9" style="30"/>
    <col min="13824" max="13824" width="15.5" style="30" customWidth="1"/>
    <col min="13825" max="13825" width="16.875" style="30" customWidth="1"/>
    <col min="13826" max="13826" width="16.375" style="30" customWidth="1"/>
    <col min="13827" max="13827" width="16.625" style="30" customWidth="1"/>
    <col min="13828" max="13828" width="12.875" style="30" customWidth="1"/>
    <col min="13829" max="14079" width="9" style="30"/>
    <col min="14080" max="14080" width="15.5" style="30" customWidth="1"/>
    <col min="14081" max="14081" width="16.875" style="30" customWidth="1"/>
    <col min="14082" max="14082" width="16.375" style="30" customWidth="1"/>
    <col min="14083" max="14083" width="16.625" style="30" customWidth="1"/>
    <col min="14084" max="14084" width="12.875" style="30" customWidth="1"/>
    <col min="14085" max="14335" width="9" style="30"/>
    <col min="14336" max="14336" width="15.5" style="30" customWidth="1"/>
    <col min="14337" max="14337" width="16.875" style="30" customWidth="1"/>
    <col min="14338" max="14338" width="16.375" style="30" customWidth="1"/>
    <col min="14339" max="14339" width="16.625" style="30" customWidth="1"/>
    <col min="14340" max="14340" width="12.875" style="30" customWidth="1"/>
    <col min="14341" max="14591" width="9" style="30"/>
    <col min="14592" max="14592" width="15.5" style="30" customWidth="1"/>
    <col min="14593" max="14593" width="16.875" style="30" customWidth="1"/>
    <col min="14594" max="14594" width="16.375" style="30" customWidth="1"/>
    <col min="14595" max="14595" width="16.625" style="30" customWidth="1"/>
    <col min="14596" max="14596" width="12.875" style="30" customWidth="1"/>
    <col min="14597" max="14847" width="9" style="30"/>
    <col min="14848" max="14848" width="15.5" style="30" customWidth="1"/>
    <col min="14849" max="14849" width="16.875" style="30" customWidth="1"/>
    <col min="14850" max="14850" width="16.375" style="30" customWidth="1"/>
    <col min="14851" max="14851" width="16.625" style="30" customWidth="1"/>
    <col min="14852" max="14852" width="12.875" style="30" customWidth="1"/>
    <col min="14853" max="15103" width="9" style="30"/>
    <col min="15104" max="15104" width="15.5" style="30" customWidth="1"/>
    <col min="15105" max="15105" width="16.875" style="30" customWidth="1"/>
    <col min="15106" max="15106" width="16.375" style="30" customWidth="1"/>
    <col min="15107" max="15107" width="16.625" style="30" customWidth="1"/>
    <col min="15108" max="15108" width="12.875" style="30" customWidth="1"/>
    <col min="15109" max="15359" width="9" style="30"/>
    <col min="15360" max="15360" width="15.5" style="30" customWidth="1"/>
    <col min="15361" max="15361" width="16.875" style="30" customWidth="1"/>
    <col min="15362" max="15362" width="16.375" style="30" customWidth="1"/>
    <col min="15363" max="15363" width="16.625" style="30" customWidth="1"/>
    <col min="15364" max="15364" width="12.875" style="30" customWidth="1"/>
    <col min="15365" max="15615" width="9" style="30"/>
    <col min="15616" max="15616" width="15.5" style="30" customWidth="1"/>
    <col min="15617" max="15617" width="16.875" style="30" customWidth="1"/>
    <col min="15618" max="15618" width="16.375" style="30" customWidth="1"/>
    <col min="15619" max="15619" width="16.625" style="30" customWidth="1"/>
    <col min="15620" max="15620" width="12.875" style="30" customWidth="1"/>
    <col min="15621" max="15871" width="9" style="30"/>
    <col min="15872" max="15872" width="15.5" style="30" customWidth="1"/>
    <col min="15873" max="15873" width="16.875" style="30" customWidth="1"/>
    <col min="15874" max="15874" width="16.375" style="30" customWidth="1"/>
    <col min="15875" max="15875" width="16.625" style="30" customWidth="1"/>
    <col min="15876" max="15876" width="12.875" style="30" customWidth="1"/>
    <col min="15877" max="16127" width="9" style="30"/>
    <col min="16128" max="16128" width="15.5" style="30" customWidth="1"/>
    <col min="16129" max="16129" width="16.875" style="30" customWidth="1"/>
    <col min="16130" max="16130" width="16.375" style="30" customWidth="1"/>
    <col min="16131" max="16131" width="16.625" style="30" customWidth="1"/>
    <col min="16132" max="16132" width="12.875" style="30" customWidth="1"/>
    <col min="16133" max="16384" width="9" style="30"/>
  </cols>
  <sheetData>
    <row r="1" spans="1:4" ht="22.5" x14ac:dyDescent="0.5">
      <c r="A1" s="164" t="s">
        <v>355</v>
      </c>
      <c r="B1" s="106"/>
      <c r="C1" s="106"/>
      <c r="D1" s="128"/>
    </row>
    <row r="2" spans="1:4" ht="16.5" x14ac:dyDescent="0.25">
      <c r="A2" s="2" t="s">
        <v>400</v>
      </c>
      <c r="B2" s="106"/>
      <c r="C2" s="106"/>
      <c r="D2" s="128"/>
    </row>
    <row r="3" spans="1:4" ht="16.5" x14ac:dyDescent="0.25">
      <c r="A3" s="2" t="str">
        <f>Account!$G$1</f>
        <v>FUND 501 CARP</v>
      </c>
      <c r="B3" s="106"/>
      <c r="C3" s="106"/>
      <c r="D3" s="128"/>
    </row>
    <row r="4" spans="1:4" ht="16.5" x14ac:dyDescent="0.25">
      <c r="A4" s="2" t="s">
        <v>514</v>
      </c>
      <c r="B4" s="106"/>
      <c r="C4" s="106"/>
      <c r="D4" s="128"/>
    </row>
    <row r="5" spans="1:4" ht="16.5" x14ac:dyDescent="0.25">
      <c r="A5" s="166">
        <f>Account!$G$2</f>
        <v>44500</v>
      </c>
      <c r="B5" s="106"/>
      <c r="C5" s="106"/>
      <c r="D5" s="128"/>
    </row>
    <row r="6" spans="1:4" x14ac:dyDescent="0.25">
      <c r="A6" s="29"/>
      <c r="B6" s="29"/>
      <c r="C6" s="29"/>
    </row>
    <row r="7" spans="1:4" x14ac:dyDescent="0.25">
      <c r="A7" s="167" t="s">
        <v>518</v>
      </c>
      <c r="D7" s="129"/>
    </row>
    <row r="8" spans="1:4" x14ac:dyDescent="0.25">
      <c r="A8" s="52"/>
    </row>
    <row r="9" spans="1:4" x14ac:dyDescent="0.25">
      <c r="A9" s="168" t="s">
        <v>519</v>
      </c>
      <c r="D9" s="165"/>
    </row>
    <row r="10" spans="1:4" x14ac:dyDescent="0.25">
      <c r="A10" s="168"/>
      <c r="D10" s="165"/>
    </row>
    <row r="11" spans="1:4" x14ac:dyDescent="0.25">
      <c r="A11" s="169" t="s">
        <v>520</v>
      </c>
    </row>
    <row r="12" spans="1:4" x14ac:dyDescent="0.25">
      <c r="A12" s="170" t="s">
        <v>520</v>
      </c>
    </row>
    <row r="13" spans="1:4" x14ac:dyDescent="0.25">
      <c r="A13" s="170" t="s">
        <v>521</v>
      </c>
    </row>
    <row r="14" spans="1:4" x14ac:dyDescent="0.25">
      <c r="A14" s="170" t="s">
        <v>522</v>
      </c>
    </row>
    <row r="15" spans="1:4" x14ac:dyDescent="0.25">
      <c r="A15" s="170" t="s">
        <v>523</v>
      </c>
    </row>
    <row r="16" spans="1:4" x14ac:dyDescent="0.25">
      <c r="A16" s="170"/>
      <c r="D16" s="165"/>
    </row>
    <row r="17" spans="1:4" x14ac:dyDescent="0.25">
      <c r="A17" s="169" t="s">
        <v>524</v>
      </c>
      <c r="D17" s="165"/>
    </row>
    <row r="18" spans="1:4" x14ac:dyDescent="0.25">
      <c r="A18" s="170" t="s">
        <v>525</v>
      </c>
      <c r="D18" s="165"/>
    </row>
    <row r="19" spans="1:4" x14ac:dyDescent="0.25">
      <c r="A19" s="170" t="s">
        <v>526</v>
      </c>
      <c r="D19" s="165"/>
    </row>
    <row r="20" spans="1:4" x14ac:dyDescent="0.25">
      <c r="A20" s="170" t="s">
        <v>527</v>
      </c>
      <c r="D20" s="165"/>
    </row>
    <row r="21" spans="1:4" x14ac:dyDescent="0.25">
      <c r="A21" s="170" t="s">
        <v>528</v>
      </c>
      <c r="D21" s="165"/>
    </row>
    <row r="22" spans="1:4" x14ac:dyDescent="0.25">
      <c r="A22" s="170" t="s">
        <v>529</v>
      </c>
      <c r="D22" s="165"/>
    </row>
    <row r="23" spans="1:4" x14ac:dyDescent="0.25">
      <c r="A23" s="170"/>
    </row>
    <row r="24" spans="1:4" x14ac:dyDescent="0.25">
      <c r="A24" s="169" t="s">
        <v>530</v>
      </c>
    </row>
    <row r="25" spans="1:4" x14ac:dyDescent="0.25">
      <c r="A25" s="170" t="s">
        <v>531</v>
      </c>
      <c r="B25" s="109"/>
      <c r="C25" s="109"/>
    </row>
    <row r="26" spans="1:4" x14ac:dyDescent="0.25">
      <c r="A26" s="170" t="s">
        <v>532</v>
      </c>
      <c r="D26" s="129"/>
    </row>
    <row r="27" spans="1:4" x14ac:dyDescent="0.25">
      <c r="A27" s="170" t="s">
        <v>533</v>
      </c>
    </row>
    <row r="28" spans="1:4" x14ac:dyDescent="0.25">
      <c r="A28" s="170"/>
      <c r="D28" s="165"/>
    </row>
    <row r="29" spans="1:4" x14ac:dyDescent="0.25">
      <c r="A29" s="168" t="s">
        <v>734</v>
      </c>
    </row>
    <row r="30" spans="1:4" x14ac:dyDescent="0.25">
      <c r="A30" s="170" t="s">
        <v>535</v>
      </c>
    </row>
    <row r="31" spans="1:4" x14ac:dyDescent="0.25">
      <c r="A31" s="170" t="s">
        <v>536</v>
      </c>
    </row>
    <row r="32" spans="1:4" x14ac:dyDescent="0.25">
      <c r="A32" s="170" t="s">
        <v>537</v>
      </c>
    </row>
    <row r="33" spans="1:4" x14ac:dyDescent="0.25">
      <c r="A33" s="170" t="s">
        <v>538</v>
      </c>
      <c r="D33" s="165"/>
    </row>
    <row r="34" spans="1:4" x14ac:dyDescent="0.25">
      <c r="A34" s="170"/>
    </row>
    <row r="35" spans="1:4" x14ac:dyDescent="0.25">
      <c r="A35" s="168" t="s">
        <v>553</v>
      </c>
    </row>
    <row r="36" spans="1:4" x14ac:dyDescent="0.25">
      <c r="A36" s="170" t="s">
        <v>558</v>
      </c>
    </row>
    <row r="37" spans="1:4" x14ac:dyDescent="0.25">
      <c r="A37" s="170" t="s">
        <v>560</v>
      </c>
    </row>
    <row r="38" spans="1:4" x14ac:dyDescent="0.25">
      <c r="A38" s="170" t="s">
        <v>561</v>
      </c>
    </row>
    <row r="39" spans="1:4" x14ac:dyDescent="0.25">
      <c r="A39" s="170" t="s">
        <v>562</v>
      </c>
    </row>
    <row r="40" spans="1:4" x14ac:dyDescent="0.25">
      <c r="A40" s="170"/>
    </row>
    <row r="41" spans="1:4" x14ac:dyDescent="0.25">
      <c r="A41" s="168" t="s">
        <v>516</v>
      </c>
    </row>
    <row r="42" spans="1:4" x14ac:dyDescent="0.25">
      <c r="A42" s="170" t="s">
        <v>566</v>
      </c>
    </row>
    <row r="43" spans="1:4" x14ac:dyDescent="0.25">
      <c r="A43" s="170" t="s">
        <v>567</v>
      </c>
    </row>
    <row r="44" spans="1:4" x14ac:dyDescent="0.25">
      <c r="A44" s="170" t="s">
        <v>568</v>
      </c>
    </row>
    <row r="45" spans="1:4" x14ac:dyDescent="0.25">
      <c r="A45" s="170"/>
    </row>
    <row r="46" spans="1:4" x14ac:dyDescent="0.25">
      <c r="A46" s="168" t="s">
        <v>515</v>
      </c>
    </row>
    <row r="47" spans="1:4" x14ac:dyDescent="0.25">
      <c r="A47" s="168"/>
    </row>
    <row r="48" spans="1:4" x14ac:dyDescent="0.25">
      <c r="A48" s="168" t="s">
        <v>569</v>
      </c>
    </row>
    <row r="49" spans="1:1" x14ac:dyDescent="0.25">
      <c r="A49" s="169" t="s">
        <v>570</v>
      </c>
    </row>
    <row r="50" spans="1:1" x14ac:dyDescent="0.25">
      <c r="A50" s="169"/>
    </row>
    <row r="51" spans="1:1" x14ac:dyDescent="0.25">
      <c r="A51" s="169" t="s">
        <v>571</v>
      </c>
    </row>
    <row r="52" spans="1:1" x14ac:dyDescent="0.25">
      <c r="A52" s="169"/>
    </row>
    <row r="53" spans="1:1" x14ac:dyDescent="0.25">
      <c r="A53" s="169" t="s">
        <v>730</v>
      </c>
    </row>
    <row r="54" spans="1:1" x14ac:dyDescent="0.25">
      <c r="A54" s="170" t="s">
        <v>572</v>
      </c>
    </row>
    <row r="55" spans="1:1" x14ac:dyDescent="0.25">
      <c r="A55" s="170" t="s">
        <v>573</v>
      </c>
    </row>
    <row r="56" spans="1:1" x14ac:dyDescent="0.25">
      <c r="A56" s="170" t="s">
        <v>574</v>
      </c>
    </row>
    <row r="57" spans="1:1" x14ac:dyDescent="0.25">
      <c r="A57" s="170" t="s">
        <v>575</v>
      </c>
    </row>
    <row r="58" spans="1:1" x14ac:dyDescent="0.25">
      <c r="A58" s="170" t="s">
        <v>576</v>
      </c>
    </row>
    <row r="59" spans="1:1" x14ac:dyDescent="0.25">
      <c r="A59" s="170"/>
    </row>
    <row r="60" spans="1:1" x14ac:dyDescent="0.25">
      <c r="A60" s="169" t="s">
        <v>577</v>
      </c>
    </row>
    <row r="61" spans="1:1" x14ac:dyDescent="0.25">
      <c r="A61" s="170" t="s">
        <v>578</v>
      </c>
    </row>
    <row r="62" spans="1:1" x14ac:dyDescent="0.25">
      <c r="A62" s="170" t="s">
        <v>579</v>
      </c>
    </row>
    <row r="63" spans="1:1" x14ac:dyDescent="0.25">
      <c r="A63" s="170" t="s">
        <v>580</v>
      </c>
    </row>
    <row r="64" spans="1:1" x14ac:dyDescent="0.25">
      <c r="A64" s="170" t="s">
        <v>581</v>
      </c>
    </row>
    <row r="65" spans="1:1" x14ac:dyDescent="0.25">
      <c r="A65" s="170"/>
    </row>
    <row r="66" spans="1:1" x14ac:dyDescent="0.25">
      <c r="A66" s="169" t="s">
        <v>582</v>
      </c>
    </row>
    <row r="67" spans="1:1" x14ac:dyDescent="0.25">
      <c r="A67" s="170" t="s">
        <v>583</v>
      </c>
    </row>
    <row r="68" spans="1:1" x14ac:dyDescent="0.25">
      <c r="A68" s="170" t="s">
        <v>584</v>
      </c>
    </row>
    <row r="69" spans="1:1" x14ac:dyDescent="0.25">
      <c r="A69" s="170" t="s">
        <v>585</v>
      </c>
    </row>
    <row r="70" spans="1:1" x14ac:dyDescent="0.25">
      <c r="A70" s="170" t="s">
        <v>586</v>
      </c>
    </row>
    <row r="71" spans="1:1" x14ac:dyDescent="0.25">
      <c r="A71" s="170"/>
    </row>
    <row r="72" spans="1:1" x14ac:dyDescent="0.25">
      <c r="A72" s="169" t="s">
        <v>587</v>
      </c>
    </row>
    <row r="73" spans="1:1" x14ac:dyDescent="0.25">
      <c r="A73" s="170" t="s">
        <v>588</v>
      </c>
    </row>
    <row r="74" spans="1:1" x14ac:dyDescent="0.25">
      <c r="A74" s="170" t="s">
        <v>589</v>
      </c>
    </row>
    <row r="75" spans="1:1" x14ac:dyDescent="0.25">
      <c r="A75" s="170" t="s">
        <v>590</v>
      </c>
    </row>
    <row r="76" spans="1:1" x14ac:dyDescent="0.25">
      <c r="A76" s="170" t="s">
        <v>591</v>
      </c>
    </row>
    <row r="77" spans="1:1" x14ac:dyDescent="0.25">
      <c r="A77" s="170"/>
    </row>
    <row r="78" spans="1:1" x14ac:dyDescent="0.25">
      <c r="A78" s="169" t="s">
        <v>592</v>
      </c>
    </row>
    <row r="79" spans="1:1" x14ac:dyDescent="0.25">
      <c r="A79" s="170" t="s">
        <v>729</v>
      </c>
    </row>
    <row r="80" spans="1:1" x14ac:dyDescent="0.25">
      <c r="A80" s="170" t="s">
        <v>68</v>
      </c>
    </row>
    <row r="81" spans="1:1" x14ac:dyDescent="0.25">
      <c r="A81" s="170" t="s">
        <v>593</v>
      </c>
    </row>
    <row r="82" spans="1:1" x14ac:dyDescent="0.25">
      <c r="A82" s="170" t="s">
        <v>594</v>
      </c>
    </row>
    <row r="83" spans="1:1" x14ac:dyDescent="0.25">
      <c r="A83" s="170" t="s">
        <v>595</v>
      </c>
    </row>
    <row r="84" spans="1:1" x14ac:dyDescent="0.25">
      <c r="A84" s="170" t="s">
        <v>596</v>
      </c>
    </row>
    <row r="85" spans="1:1" x14ac:dyDescent="0.25">
      <c r="A85" s="170"/>
    </row>
    <row r="86" spans="1:1" x14ac:dyDescent="0.25">
      <c r="A86" s="169" t="s">
        <v>597</v>
      </c>
    </row>
    <row r="87" spans="1:1" x14ac:dyDescent="0.25">
      <c r="A87" s="170" t="s">
        <v>598</v>
      </c>
    </row>
    <row r="88" spans="1:1" x14ac:dyDescent="0.25">
      <c r="A88" s="170" t="s">
        <v>731</v>
      </c>
    </row>
    <row r="89" spans="1:1" x14ac:dyDescent="0.25">
      <c r="A89" s="170" t="s">
        <v>599</v>
      </c>
    </row>
    <row r="90" spans="1:1" x14ac:dyDescent="0.25">
      <c r="A90" s="170"/>
    </row>
    <row r="91" spans="1:1" x14ac:dyDescent="0.25">
      <c r="A91" s="169" t="s">
        <v>600</v>
      </c>
    </row>
    <row r="92" spans="1:1" x14ac:dyDescent="0.25">
      <c r="A92" s="169"/>
    </row>
    <row r="93" spans="1:1" x14ac:dyDescent="0.25">
      <c r="A93" s="169" t="s">
        <v>601</v>
      </c>
    </row>
    <row r="94" spans="1:1" x14ac:dyDescent="0.25">
      <c r="A94" s="170" t="s">
        <v>602</v>
      </c>
    </row>
    <row r="95" spans="1:1" x14ac:dyDescent="0.25">
      <c r="A95" s="170" t="s">
        <v>603</v>
      </c>
    </row>
    <row r="96" spans="1:1" x14ac:dyDescent="0.25">
      <c r="A96" s="170" t="s">
        <v>604</v>
      </c>
    </row>
    <row r="97" spans="1:1" x14ac:dyDescent="0.25">
      <c r="A97" s="170" t="s">
        <v>605</v>
      </c>
    </row>
    <row r="98" spans="1:1" x14ac:dyDescent="0.25">
      <c r="A98" s="170"/>
    </row>
    <row r="99" spans="1:1" x14ac:dyDescent="0.25">
      <c r="A99" s="169" t="s">
        <v>606</v>
      </c>
    </row>
    <row r="100" spans="1:1" x14ac:dyDescent="0.25">
      <c r="A100" s="170" t="s">
        <v>607</v>
      </c>
    </row>
    <row r="101" spans="1:1" x14ac:dyDescent="0.25">
      <c r="A101" s="170" t="s">
        <v>732</v>
      </c>
    </row>
    <row r="102" spans="1:1" x14ac:dyDescent="0.25">
      <c r="A102" s="170" t="s">
        <v>608</v>
      </c>
    </row>
    <row r="103" spans="1:1" x14ac:dyDescent="0.25">
      <c r="A103" s="170" t="s">
        <v>609</v>
      </c>
    </row>
    <row r="104" spans="1:1" x14ac:dyDescent="0.25">
      <c r="A104" s="170" t="s">
        <v>610</v>
      </c>
    </row>
    <row r="105" spans="1:1" x14ac:dyDescent="0.25">
      <c r="A105" s="170"/>
    </row>
    <row r="106" spans="1:1" x14ac:dyDescent="0.25">
      <c r="A106" s="169" t="s">
        <v>611</v>
      </c>
    </row>
    <row r="107" spans="1:1" x14ac:dyDescent="0.25">
      <c r="A107" s="170" t="s">
        <v>612</v>
      </c>
    </row>
    <row r="108" spans="1:1" x14ac:dyDescent="0.25">
      <c r="A108" s="170" t="s">
        <v>613</v>
      </c>
    </row>
    <row r="109" spans="1:1" x14ac:dyDescent="0.25">
      <c r="A109" s="170" t="s">
        <v>614</v>
      </c>
    </row>
    <row r="110" spans="1:1" x14ac:dyDescent="0.25">
      <c r="A110" s="170" t="s">
        <v>615</v>
      </c>
    </row>
    <row r="111" spans="1:1" x14ac:dyDescent="0.25">
      <c r="A111" s="170"/>
    </row>
    <row r="112" spans="1:1" x14ac:dyDescent="0.25">
      <c r="A112" s="169" t="s">
        <v>616</v>
      </c>
    </row>
    <row r="113" spans="1:1" x14ac:dyDescent="0.25">
      <c r="A113" s="170" t="s">
        <v>617</v>
      </c>
    </row>
    <row r="114" spans="1:1" x14ac:dyDescent="0.25">
      <c r="A114" s="170" t="s">
        <v>618</v>
      </c>
    </row>
    <row r="115" spans="1:1" x14ac:dyDescent="0.25">
      <c r="A115" s="170" t="s">
        <v>619</v>
      </c>
    </row>
    <row r="116" spans="1:1" x14ac:dyDescent="0.25">
      <c r="A116" s="170" t="s">
        <v>615</v>
      </c>
    </row>
    <row r="117" spans="1:1" x14ac:dyDescent="0.25">
      <c r="A117" s="170"/>
    </row>
    <row r="118" spans="1:1" x14ac:dyDescent="0.25">
      <c r="A118" s="169" t="s">
        <v>620</v>
      </c>
    </row>
    <row r="119" spans="1:1" x14ac:dyDescent="0.25">
      <c r="A119" s="170" t="s">
        <v>621</v>
      </c>
    </row>
    <row r="120" spans="1:1" x14ac:dyDescent="0.25">
      <c r="A120" s="170"/>
    </row>
    <row r="121" spans="1:1" x14ac:dyDescent="0.25">
      <c r="A121" s="170" t="s">
        <v>622</v>
      </c>
    </row>
    <row r="122" spans="1:1" x14ac:dyDescent="0.25">
      <c r="A122" s="170" t="s">
        <v>623</v>
      </c>
    </row>
    <row r="123" spans="1:1" x14ac:dyDescent="0.25">
      <c r="A123" s="170" t="s">
        <v>624</v>
      </c>
    </row>
    <row r="124" spans="1:1" x14ac:dyDescent="0.25">
      <c r="A124" s="170" t="s">
        <v>625</v>
      </c>
    </row>
    <row r="125" spans="1:1" x14ac:dyDescent="0.25">
      <c r="A125" s="170" t="s">
        <v>626</v>
      </c>
    </row>
    <row r="126" spans="1:1" x14ac:dyDescent="0.25">
      <c r="A126" s="170" t="s">
        <v>620</v>
      </c>
    </row>
    <row r="127" spans="1:1" x14ac:dyDescent="0.25">
      <c r="A127" s="170"/>
    </row>
    <row r="128" spans="1:1" x14ac:dyDescent="0.25">
      <c r="A128" s="169" t="s">
        <v>627</v>
      </c>
    </row>
    <row r="129" spans="1:1" x14ac:dyDescent="0.25">
      <c r="A129" s="169"/>
    </row>
    <row r="130" spans="1:1" x14ac:dyDescent="0.25">
      <c r="A130" s="169" t="s">
        <v>516</v>
      </c>
    </row>
    <row r="131" spans="1:1" x14ac:dyDescent="0.25">
      <c r="A131" s="170" t="s">
        <v>628</v>
      </c>
    </row>
    <row r="132" spans="1:1" x14ac:dyDescent="0.25">
      <c r="A132" s="170" t="s">
        <v>629</v>
      </c>
    </row>
    <row r="133" spans="1:1" x14ac:dyDescent="0.25">
      <c r="A133" s="170" t="s">
        <v>630</v>
      </c>
    </row>
    <row r="134" spans="1:1" x14ac:dyDescent="0.25">
      <c r="A134" s="170" t="s">
        <v>631</v>
      </c>
    </row>
    <row r="135" spans="1:1" x14ac:dyDescent="0.25">
      <c r="A135" s="170" t="s">
        <v>632</v>
      </c>
    </row>
    <row r="136" spans="1:1" x14ac:dyDescent="0.25">
      <c r="A136" s="170"/>
    </row>
    <row r="137" spans="1:1" x14ac:dyDescent="0.25">
      <c r="A137" s="168" t="s">
        <v>517</v>
      </c>
    </row>
    <row r="138" spans="1:1" x14ac:dyDescent="0.25">
      <c r="A138" s="171"/>
    </row>
    <row r="139" spans="1:1" x14ac:dyDescent="0.25">
      <c r="A139" s="172" t="s">
        <v>633</v>
      </c>
    </row>
    <row r="140" spans="1:1" x14ac:dyDescent="0.25">
      <c r="A140" s="25"/>
    </row>
    <row r="141" spans="1:1" x14ac:dyDescent="0.25">
      <c r="A141" s="172" t="s">
        <v>634</v>
      </c>
    </row>
    <row r="142" spans="1:1" x14ac:dyDescent="0.25">
      <c r="A142" s="25"/>
    </row>
    <row r="143" spans="1:1" x14ac:dyDescent="0.25">
      <c r="A143" s="168" t="s">
        <v>519</v>
      </c>
    </row>
    <row r="144" spans="1:1" x14ac:dyDescent="0.25">
      <c r="A144" s="171"/>
    </row>
    <row r="145" spans="1:1" x14ac:dyDescent="0.25">
      <c r="A145" s="169" t="s">
        <v>635</v>
      </c>
    </row>
    <row r="146" spans="1:1" x14ac:dyDescent="0.25">
      <c r="A146" s="25"/>
    </row>
    <row r="147" spans="1:1" x14ac:dyDescent="0.25">
      <c r="A147" s="169" t="s">
        <v>636</v>
      </c>
    </row>
    <row r="148" spans="1:1" x14ac:dyDescent="0.25">
      <c r="A148" s="25"/>
    </row>
    <row r="149" spans="1:1" x14ac:dyDescent="0.25">
      <c r="A149" s="169" t="s">
        <v>637</v>
      </c>
    </row>
    <row r="150" spans="1:1" x14ac:dyDescent="0.25">
      <c r="A150" s="170" t="s">
        <v>638</v>
      </c>
    </row>
    <row r="151" spans="1:1" x14ac:dyDescent="0.25">
      <c r="A151" s="170" t="s">
        <v>639</v>
      </c>
    </row>
    <row r="152" spans="1:1" x14ac:dyDescent="0.25">
      <c r="A152" s="170" t="s">
        <v>640</v>
      </c>
    </row>
    <row r="153" spans="1:1" x14ac:dyDescent="0.25">
      <c r="A153" s="170" t="s">
        <v>641</v>
      </c>
    </row>
    <row r="154" spans="1:1" x14ac:dyDescent="0.25">
      <c r="A154" s="170"/>
    </row>
    <row r="155" spans="1:1" x14ac:dyDescent="0.25">
      <c r="A155" s="169" t="s">
        <v>642</v>
      </c>
    </row>
    <row r="156" spans="1:1" x14ac:dyDescent="0.25">
      <c r="A156" s="25"/>
    </row>
    <row r="157" spans="1:1" x14ac:dyDescent="0.25">
      <c r="A157" s="169" t="s">
        <v>643</v>
      </c>
    </row>
    <row r="158" spans="1:1" x14ac:dyDescent="0.25">
      <c r="A158" s="170" t="s">
        <v>644</v>
      </c>
    </row>
    <row r="159" spans="1:1" x14ac:dyDescent="0.25">
      <c r="A159" s="170" t="s">
        <v>645</v>
      </c>
    </row>
    <row r="160" spans="1:1" x14ac:dyDescent="0.25">
      <c r="A160" s="170" t="s">
        <v>646</v>
      </c>
    </row>
    <row r="161" spans="1:1" x14ac:dyDescent="0.25">
      <c r="A161" s="170" t="s">
        <v>647</v>
      </c>
    </row>
    <row r="162" spans="1:1" x14ac:dyDescent="0.25">
      <c r="A162" s="170"/>
    </row>
    <row r="163" spans="1:1" x14ac:dyDescent="0.25">
      <c r="A163" s="169" t="s">
        <v>648</v>
      </c>
    </row>
    <row r="164" spans="1:1" x14ac:dyDescent="0.25">
      <c r="A164" s="170" t="s">
        <v>649</v>
      </c>
    </row>
    <row r="165" spans="1:1" x14ac:dyDescent="0.25">
      <c r="A165" s="170" t="s">
        <v>650</v>
      </c>
    </row>
    <row r="166" spans="1:1" x14ac:dyDescent="0.25">
      <c r="A166" s="170"/>
    </row>
    <row r="167" spans="1:1" x14ac:dyDescent="0.25">
      <c r="A167" s="169" t="s">
        <v>651</v>
      </c>
    </row>
    <row r="168" spans="1:1" x14ac:dyDescent="0.25">
      <c r="A168" s="25"/>
    </row>
    <row r="169" spans="1:1" x14ac:dyDescent="0.25">
      <c r="A169" s="168" t="s">
        <v>515</v>
      </c>
    </row>
    <row r="170" spans="1:1" x14ac:dyDescent="0.25">
      <c r="A170" s="171"/>
    </row>
    <row r="171" spans="1:1" x14ac:dyDescent="0.25">
      <c r="A171" s="168" t="s">
        <v>569</v>
      </c>
    </row>
    <row r="172" spans="1:1" x14ac:dyDescent="0.25">
      <c r="A172" s="169" t="s">
        <v>652</v>
      </c>
    </row>
    <row r="173" spans="1:1" x14ac:dyDescent="0.25">
      <c r="A173" s="169"/>
    </row>
    <row r="174" spans="1:1" x14ac:dyDescent="0.25">
      <c r="A174" s="169" t="s">
        <v>653</v>
      </c>
    </row>
    <row r="175" spans="1:1" x14ac:dyDescent="0.25">
      <c r="A175" s="170" t="s">
        <v>654</v>
      </c>
    </row>
    <row r="176" spans="1:1" x14ac:dyDescent="0.25">
      <c r="A176" s="170" t="s">
        <v>655</v>
      </c>
    </row>
    <row r="177" spans="1:1" x14ac:dyDescent="0.25">
      <c r="A177" s="170" t="s">
        <v>656</v>
      </c>
    </row>
    <row r="178" spans="1:1" x14ac:dyDescent="0.25">
      <c r="A178" s="170" t="s">
        <v>657</v>
      </c>
    </row>
    <row r="179" spans="1:1" x14ac:dyDescent="0.25">
      <c r="A179" s="170" t="s">
        <v>658</v>
      </c>
    </row>
    <row r="180" spans="1:1" x14ac:dyDescent="0.25">
      <c r="A180" s="170" t="s">
        <v>659</v>
      </c>
    </row>
    <row r="181" spans="1:1" x14ac:dyDescent="0.25">
      <c r="A181" s="170" t="s">
        <v>660</v>
      </c>
    </row>
    <row r="182" spans="1:1" x14ac:dyDescent="0.25">
      <c r="A182" s="170" t="s">
        <v>661</v>
      </c>
    </row>
    <row r="183" spans="1:1" x14ac:dyDescent="0.25">
      <c r="A183" s="170" t="s">
        <v>662</v>
      </c>
    </row>
    <row r="184" spans="1:1" x14ac:dyDescent="0.25">
      <c r="A184" s="170" t="s">
        <v>663</v>
      </c>
    </row>
    <row r="185" spans="1:1" x14ac:dyDescent="0.25">
      <c r="A185" s="170" t="s">
        <v>664</v>
      </c>
    </row>
    <row r="186" spans="1:1" x14ac:dyDescent="0.25">
      <c r="A186" s="170" t="s">
        <v>665</v>
      </c>
    </row>
    <row r="187" spans="1:1" x14ac:dyDescent="0.25">
      <c r="A187" s="170" t="s">
        <v>666</v>
      </c>
    </row>
    <row r="188" spans="1:1" x14ac:dyDescent="0.25">
      <c r="A188" s="170" t="s">
        <v>667</v>
      </c>
    </row>
    <row r="189" spans="1:1" x14ac:dyDescent="0.25">
      <c r="A189" s="170" t="s">
        <v>668</v>
      </c>
    </row>
    <row r="190" spans="1:1" x14ac:dyDescent="0.25">
      <c r="A190" s="170" t="s">
        <v>669</v>
      </c>
    </row>
    <row r="191" spans="1:1" x14ac:dyDescent="0.25">
      <c r="A191" s="170" t="s">
        <v>670</v>
      </c>
    </row>
    <row r="192" spans="1:1" x14ac:dyDescent="0.25">
      <c r="A192" s="170" t="s">
        <v>671</v>
      </c>
    </row>
    <row r="193" spans="1:1" x14ac:dyDescent="0.25">
      <c r="A193" s="170" t="s">
        <v>672</v>
      </c>
    </row>
    <row r="194" spans="1:1" x14ac:dyDescent="0.25">
      <c r="A194" s="170"/>
    </row>
    <row r="195" spans="1:1" x14ac:dyDescent="0.25">
      <c r="A195" s="169" t="s">
        <v>684</v>
      </c>
    </row>
    <row r="196" spans="1:1" x14ac:dyDescent="0.25">
      <c r="A196" s="170" t="s">
        <v>685</v>
      </c>
    </row>
    <row r="197" spans="1:1" x14ac:dyDescent="0.25">
      <c r="A197" s="170" t="s">
        <v>686</v>
      </c>
    </row>
    <row r="198" spans="1:1" x14ac:dyDescent="0.25">
      <c r="A198" s="170"/>
    </row>
    <row r="199" spans="1:1" x14ac:dyDescent="0.25">
      <c r="A199" s="168" t="s">
        <v>517</v>
      </c>
    </row>
    <row r="200" spans="1:1" x14ac:dyDescent="0.25">
      <c r="A200" s="171"/>
    </row>
    <row r="201" spans="1:1" x14ac:dyDescent="0.25">
      <c r="A201" s="172" t="s">
        <v>633</v>
      </c>
    </row>
    <row r="202" spans="1:1" x14ac:dyDescent="0.25">
      <c r="A202" s="25"/>
    </row>
    <row r="203" spans="1:1" x14ac:dyDescent="0.25">
      <c r="A203" s="167" t="s">
        <v>711</v>
      </c>
    </row>
    <row r="204" spans="1:1" x14ac:dyDescent="0.25">
      <c r="A204" s="171"/>
    </row>
    <row r="205" spans="1:1" x14ac:dyDescent="0.25">
      <c r="A205" s="167" t="s">
        <v>713</v>
      </c>
    </row>
    <row r="206" spans="1:1" x14ac:dyDescent="0.25">
      <c r="A206" s="171"/>
    </row>
    <row r="207" spans="1:1" x14ac:dyDescent="0.25">
      <c r="A207" s="167" t="s">
        <v>714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>
    <tabColor rgb="FF002060"/>
  </sheetPr>
  <dimension ref="A1:H333"/>
  <sheetViews>
    <sheetView topLeftCell="A43" zoomScale="130" zoomScaleNormal="130" workbookViewId="0">
      <selection activeCell="C54" sqref="C54"/>
    </sheetView>
  </sheetViews>
  <sheetFormatPr defaultColWidth="9" defaultRowHeight="15.75" x14ac:dyDescent="0.25"/>
  <cols>
    <col min="1" max="1" width="17.5" style="587" bestFit="1" customWidth="1"/>
    <col min="2" max="2" width="74.375" style="568" customWidth="1"/>
    <col min="3" max="3" width="18.625" style="588" bestFit="1" customWidth="1"/>
    <col min="4" max="5" width="15.125" style="565" customWidth="1"/>
    <col min="6" max="6" width="21.125" style="568" customWidth="1"/>
    <col min="7" max="7" width="27.375" style="568" bestFit="1" customWidth="1"/>
    <col min="8" max="8" width="12" style="568" bestFit="1" customWidth="1"/>
    <col min="9" max="16384" width="9" style="25"/>
  </cols>
  <sheetData>
    <row r="1" spans="1:8" ht="23.25" x14ac:dyDescent="0.35">
      <c r="A1" s="561" t="s">
        <v>1175</v>
      </c>
      <c r="B1" s="562" t="s">
        <v>1176</v>
      </c>
      <c r="C1" s="563" t="s">
        <v>1177</v>
      </c>
      <c r="D1" s="564" t="s">
        <v>1268</v>
      </c>
      <c r="F1" s="566" t="s">
        <v>469</v>
      </c>
      <c r="G1" s="567" t="s">
        <v>1545</v>
      </c>
    </row>
    <row r="2" spans="1:8" ht="23.25" x14ac:dyDescent="0.35">
      <c r="A2" s="569" t="s">
        <v>9</v>
      </c>
      <c r="B2" s="570" t="s">
        <v>1178</v>
      </c>
      <c r="C2" s="571">
        <v>1010101000</v>
      </c>
      <c r="D2" s="572" t="s">
        <v>1</v>
      </c>
      <c r="F2" s="566" t="s">
        <v>457</v>
      </c>
      <c r="G2" s="573">
        <v>44500</v>
      </c>
    </row>
    <row r="3" spans="1:8" ht="23.25" x14ac:dyDescent="0.35">
      <c r="A3" s="569" t="s">
        <v>11</v>
      </c>
      <c r="B3" s="570" t="s">
        <v>1272</v>
      </c>
      <c r="C3" s="571">
        <v>1010102000</v>
      </c>
      <c r="D3" s="572" t="s">
        <v>1</v>
      </c>
      <c r="F3" s="566"/>
      <c r="G3" s="573"/>
    </row>
    <row r="4" spans="1:8" x14ac:dyDescent="0.25">
      <c r="A4" s="569" t="s">
        <v>13</v>
      </c>
      <c r="B4" s="570" t="s">
        <v>1273</v>
      </c>
      <c r="C4" s="571">
        <v>1010202000</v>
      </c>
      <c r="D4" s="572" t="s">
        <v>1</v>
      </c>
      <c r="F4" s="1036" t="s">
        <v>1465</v>
      </c>
      <c r="G4" s="1036"/>
      <c r="H4" s="1036"/>
    </row>
    <row r="5" spans="1:8" x14ac:dyDescent="0.25">
      <c r="A5" s="569" t="s">
        <v>1478</v>
      </c>
      <c r="B5" s="570" t="s">
        <v>1480</v>
      </c>
      <c r="C5" s="571" t="s">
        <v>1597</v>
      </c>
      <c r="D5" s="572" t="s">
        <v>1</v>
      </c>
      <c r="F5" s="574" t="s">
        <v>1463</v>
      </c>
      <c r="G5" s="575" t="s">
        <v>1464</v>
      </c>
      <c r="H5" s="576" t="s">
        <v>718</v>
      </c>
    </row>
    <row r="6" spans="1:8" x14ac:dyDescent="0.25">
      <c r="A6" s="569" t="s">
        <v>1482</v>
      </c>
      <c r="B6" s="570" t="s">
        <v>1483</v>
      </c>
      <c r="C6" s="571" t="s">
        <v>1598</v>
      </c>
      <c r="D6" s="572" t="s">
        <v>1</v>
      </c>
      <c r="F6" s="577" t="s">
        <v>1543</v>
      </c>
      <c r="G6" s="578" t="s">
        <v>359</v>
      </c>
      <c r="H6" s="579" t="s">
        <v>494</v>
      </c>
    </row>
    <row r="7" spans="1:8" x14ac:dyDescent="0.25">
      <c r="A7" s="569" t="s">
        <v>1484</v>
      </c>
      <c r="B7" s="570" t="s">
        <v>1485</v>
      </c>
      <c r="C7" s="571" t="s">
        <v>1599</v>
      </c>
      <c r="D7" s="572" t="s">
        <v>1</v>
      </c>
      <c r="F7" s="577" t="s">
        <v>1593</v>
      </c>
      <c r="G7" s="578" t="s">
        <v>1512</v>
      </c>
      <c r="H7" s="579" t="s">
        <v>484</v>
      </c>
    </row>
    <row r="8" spans="1:8" x14ac:dyDescent="0.25">
      <c r="A8" s="569" t="s">
        <v>1486</v>
      </c>
      <c r="B8" s="570" t="s">
        <v>1487</v>
      </c>
      <c r="C8" s="571" t="s">
        <v>1600</v>
      </c>
      <c r="D8" s="572" t="s">
        <v>1</v>
      </c>
      <c r="F8" s="577" t="s">
        <v>1588</v>
      </c>
      <c r="G8" s="578" t="s">
        <v>1513</v>
      </c>
      <c r="H8" s="579" t="s">
        <v>485</v>
      </c>
    </row>
    <row r="9" spans="1:8" x14ac:dyDescent="0.25">
      <c r="A9" s="569" t="s">
        <v>1488</v>
      </c>
      <c r="B9" s="570" t="s">
        <v>1489</v>
      </c>
      <c r="C9" s="571" t="s">
        <v>1601</v>
      </c>
      <c r="D9" s="572" t="s">
        <v>1</v>
      </c>
      <c r="F9" s="580" t="s">
        <v>1544</v>
      </c>
      <c r="G9" s="581" t="s">
        <v>1514</v>
      </c>
      <c r="H9" s="582" t="s">
        <v>486</v>
      </c>
    </row>
    <row r="10" spans="1:8" x14ac:dyDescent="0.25">
      <c r="A10" s="569" t="s">
        <v>1490</v>
      </c>
      <c r="B10" s="570" t="s">
        <v>1491</v>
      </c>
      <c r="C10" s="571" t="s">
        <v>1602</v>
      </c>
      <c r="D10" s="572" t="s">
        <v>1</v>
      </c>
      <c r="F10" s="577" t="s">
        <v>1981</v>
      </c>
      <c r="G10" s="581" t="s">
        <v>1515</v>
      </c>
      <c r="H10" s="582" t="s">
        <v>762</v>
      </c>
    </row>
    <row r="11" spans="1:8" x14ac:dyDescent="0.25">
      <c r="A11" s="569" t="s">
        <v>1479</v>
      </c>
      <c r="B11" s="570" t="s">
        <v>1481</v>
      </c>
      <c r="C11" s="571" t="s">
        <v>1603</v>
      </c>
      <c r="D11" s="572" t="s">
        <v>1</v>
      </c>
    </row>
    <row r="12" spans="1:8" x14ac:dyDescent="0.25">
      <c r="A12" s="569" t="s">
        <v>1492</v>
      </c>
      <c r="B12" s="570" t="s">
        <v>1493</v>
      </c>
      <c r="C12" s="571" t="s">
        <v>1604</v>
      </c>
      <c r="D12" s="572" t="s">
        <v>1</v>
      </c>
      <c r="F12" s="570" t="s">
        <v>385</v>
      </c>
      <c r="G12" s="583">
        <v>44592</v>
      </c>
    </row>
    <row r="13" spans="1:8" x14ac:dyDescent="0.25">
      <c r="A13" s="569" t="s">
        <v>1494</v>
      </c>
      <c r="B13" s="570" t="s">
        <v>1495</v>
      </c>
      <c r="C13" s="571" t="s">
        <v>1605</v>
      </c>
      <c r="D13" s="572" t="s">
        <v>1</v>
      </c>
      <c r="F13" s="570" t="s">
        <v>386</v>
      </c>
      <c r="G13" s="583">
        <v>44620</v>
      </c>
    </row>
    <row r="14" spans="1:8" x14ac:dyDescent="0.25">
      <c r="A14" s="569" t="s">
        <v>13</v>
      </c>
      <c r="B14" s="570" t="s">
        <v>1274</v>
      </c>
      <c r="C14" s="571">
        <v>1010202024</v>
      </c>
      <c r="D14" s="572" t="s">
        <v>1</v>
      </c>
      <c r="F14" s="570" t="s">
        <v>387</v>
      </c>
      <c r="G14" s="583">
        <v>44651</v>
      </c>
    </row>
    <row r="15" spans="1:8" x14ac:dyDescent="0.25">
      <c r="A15" s="569" t="s">
        <v>13</v>
      </c>
      <c r="B15" s="570" t="s">
        <v>1275</v>
      </c>
      <c r="C15" s="571">
        <v>1010202029</v>
      </c>
      <c r="D15" s="572" t="s">
        <v>1</v>
      </c>
      <c r="F15" s="570" t="s">
        <v>388</v>
      </c>
      <c r="G15" s="583">
        <v>44681</v>
      </c>
    </row>
    <row r="16" spans="1:8" x14ac:dyDescent="0.25">
      <c r="A16" s="569" t="s">
        <v>14</v>
      </c>
      <c r="B16" s="570" t="s">
        <v>1276</v>
      </c>
      <c r="C16" s="571">
        <v>1010203000</v>
      </c>
      <c r="D16" s="572" t="s">
        <v>1</v>
      </c>
      <c r="F16" s="570" t="s">
        <v>389</v>
      </c>
      <c r="G16" s="583">
        <v>44712</v>
      </c>
    </row>
    <row r="17" spans="1:7" x14ac:dyDescent="0.25">
      <c r="A17" s="569" t="s">
        <v>14</v>
      </c>
      <c r="B17" s="570" t="s">
        <v>1277</v>
      </c>
      <c r="C17" s="571">
        <v>1010203001</v>
      </c>
      <c r="D17" s="572" t="s">
        <v>1</v>
      </c>
      <c r="F17" s="570" t="s">
        <v>390</v>
      </c>
      <c r="G17" s="583">
        <v>44742</v>
      </c>
    </row>
    <row r="18" spans="1:7" x14ac:dyDescent="0.25">
      <c r="A18" s="569" t="s">
        <v>14</v>
      </c>
      <c r="B18" s="570" t="s">
        <v>1278</v>
      </c>
      <c r="C18" s="571">
        <v>1010203004</v>
      </c>
      <c r="D18" s="572" t="s">
        <v>1</v>
      </c>
      <c r="F18" s="570" t="s">
        <v>391</v>
      </c>
      <c r="G18" s="583">
        <v>44773</v>
      </c>
    </row>
    <row r="19" spans="1:7" x14ac:dyDescent="0.25">
      <c r="A19" s="569" t="s">
        <v>15</v>
      </c>
      <c r="B19" s="570" t="s">
        <v>1279</v>
      </c>
      <c r="C19" s="571">
        <v>1010204000</v>
      </c>
      <c r="D19" s="572" t="s">
        <v>1</v>
      </c>
      <c r="F19" s="570" t="s">
        <v>392</v>
      </c>
      <c r="G19" s="583">
        <v>44804</v>
      </c>
    </row>
    <row r="20" spans="1:7" x14ac:dyDescent="0.25">
      <c r="A20" s="569" t="s">
        <v>15</v>
      </c>
      <c r="B20" s="570" t="s">
        <v>1280</v>
      </c>
      <c r="C20" s="571">
        <v>1010204001</v>
      </c>
      <c r="D20" s="572" t="s">
        <v>1</v>
      </c>
      <c r="F20" s="570" t="s">
        <v>393</v>
      </c>
      <c r="G20" s="583">
        <v>44834</v>
      </c>
    </row>
    <row r="21" spans="1:7" x14ac:dyDescent="0.25">
      <c r="A21" s="569" t="s">
        <v>16</v>
      </c>
      <c r="B21" s="570" t="s">
        <v>1281</v>
      </c>
      <c r="C21" s="571">
        <v>1010302000</v>
      </c>
      <c r="D21" s="572" t="s">
        <v>1</v>
      </c>
      <c r="F21" s="570" t="s">
        <v>394</v>
      </c>
      <c r="G21" s="583">
        <v>44865</v>
      </c>
    </row>
    <row r="22" spans="1:7" x14ac:dyDescent="0.25">
      <c r="A22" s="569" t="s">
        <v>16</v>
      </c>
      <c r="B22" s="570" t="s">
        <v>1282</v>
      </c>
      <c r="C22" s="571">
        <v>1010303000</v>
      </c>
      <c r="D22" s="572" t="s">
        <v>1</v>
      </c>
      <c r="F22" s="570" t="s">
        <v>395</v>
      </c>
      <c r="G22" s="583">
        <v>44895</v>
      </c>
    </row>
    <row r="23" spans="1:7" x14ac:dyDescent="0.25">
      <c r="A23" s="569" t="s">
        <v>16</v>
      </c>
      <c r="B23" s="570" t="s">
        <v>1283</v>
      </c>
      <c r="C23" s="571">
        <v>1010303001</v>
      </c>
      <c r="D23" s="572" t="s">
        <v>1</v>
      </c>
      <c r="F23" s="570" t="s">
        <v>396</v>
      </c>
      <c r="G23" s="583">
        <v>44926</v>
      </c>
    </row>
    <row r="24" spans="1:7" x14ac:dyDescent="0.25">
      <c r="A24" s="569" t="s">
        <v>17</v>
      </c>
      <c r="B24" s="570" t="s">
        <v>1284</v>
      </c>
      <c r="C24" s="571">
        <v>1010304000</v>
      </c>
      <c r="D24" s="572" t="s">
        <v>1</v>
      </c>
    </row>
    <row r="25" spans="1:7" x14ac:dyDescent="0.25">
      <c r="A25" s="569" t="s">
        <v>17</v>
      </c>
      <c r="B25" s="570" t="s">
        <v>1285</v>
      </c>
      <c r="C25" s="571">
        <v>1010304001</v>
      </c>
      <c r="D25" s="572" t="s">
        <v>1</v>
      </c>
    </row>
    <row r="26" spans="1:7" x14ac:dyDescent="0.25">
      <c r="A26" s="569" t="s">
        <v>1437</v>
      </c>
      <c r="B26" s="570" t="s">
        <v>1286</v>
      </c>
      <c r="C26" s="571">
        <v>1030101000</v>
      </c>
      <c r="D26" s="572" t="s">
        <v>1</v>
      </c>
      <c r="F26" s="584" t="s">
        <v>494</v>
      </c>
      <c r="G26" s="578" t="s">
        <v>359</v>
      </c>
    </row>
    <row r="27" spans="1:7" x14ac:dyDescent="0.25">
      <c r="A27" s="569" t="s">
        <v>351</v>
      </c>
      <c r="B27" s="570" t="s">
        <v>1179</v>
      </c>
      <c r="C27" s="571">
        <v>1030101001</v>
      </c>
      <c r="D27" s="572" t="s">
        <v>1</v>
      </c>
      <c r="F27" s="584" t="s">
        <v>484</v>
      </c>
      <c r="G27" s="578" t="s">
        <v>1512</v>
      </c>
    </row>
    <row r="28" spans="1:7" x14ac:dyDescent="0.25">
      <c r="A28" s="569" t="s">
        <v>19</v>
      </c>
      <c r="B28" s="570" t="s">
        <v>1287</v>
      </c>
      <c r="C28" s="571">
        <v>1030101002</v>
      </c>
      <c r="D28" s="572" t="s">
        <v>1</v>
      </c>
      <c r="F28" s="584" t="s">
        <v>487</v>
      </c>
      <c r="G28" s="578" t="s">
        <v>1516</v>
      </c>
    </row>
    <row r="29" spans="1:7" x14ac:dyDescent="0.25">
      <c r="A29" s="569" t="s">
        <v>18</v>
      </c>
      <c r="B29" s="570" t="s">
        <v>63</v>
      </c>
      <c r="C29" s="571">
        <v>1030101003</v>
      </c>
      <c r="D29" s="572" t="s">
        <v>1</v>
      </c>
      <c r="F29" s="584" t="s">
        <v>488</v>
      </c>
      <c r="G29" s="578" t="s">
        <v>1517</v>
      </c>
    </row>
    <row r="30" spans="1:7" x14ac:dyDescent="0.25">
      <c r="A30" s="569" t="s">
        <v>84</v>
      </c>
      <c r="B30" s="570" t="s">
        <v>849</v>
      </c>
      <c r="C30" s="571">
        <v>1030101100</v>
      </c>
      <c r="D30" s="572" t="s">
        <v>2</v>
      </c>
      <c r="F30" s="584" t="s">
        <v>489</v>
      </c>
      <c r="G30" s="578" t="s">
        <v>1518</v>
      </c>
    </row>
    <row r="31" spans="1:7" x14ac:dyDescent="0.25">
      <c r="A31" s="569" t="s">
        <v>21</v>
      </c>
      <c r="B31" s="570" t="s">
        <v>845</v>
      </c>
      <c r="C31" s="571">
        <v>1030301000</v>
      </c>
      <c r="D31" s="572" t="s">
        <v>1</v>
      </c>
      <c r="F31" s="584" t="s">
        <v>505</v>
      </c>
      <c r="G31" s="578" t="s">
        <v>1519</v>
      </c>
    </row>
    <row r="32" spans="1:7" x14ac:dyDescent="0.25">
      <c r="A32" s="569" t="s">
        <v>22</v>
      </c>
      <c r="B32" s="570" t="s">
        <v>1288</v>
      </c>
      <c r="C32" s="571">
        <v>1030302000</v>
      </c>
      <c r="D32" s="572" t="s">
        <v>1</v>
      </c>
      <c r="F32" s="584" t="s">
        <v>485</v>
      </c>
      <c r="G32" s="578" t="s">
        <v>1513</v>
      </c>
    </row>
    <row r="33" spans="1:7" x14ac:dyDescent="0.25">
      <c r="A33" s="569" t="s">
        <v>23</v>
      </c>
      <c r="B33" s="570" t="s">
        <v>1180</v>
      </c>
      <c r="C33" s="571">
        <v>1030303000</v>
      </c>
      <c r="D33" s="572" t="s">
        <v>1</v>
      </c>
      <c r="F33" s="584" t="s">
        <v>490</v>
      </c>
      <c r="G33" s="578" t="s">
        <v>1520</v>
      </c>
    </row>
    <row r="34" spans="1:7" x14ac:dyDescent="0.25">
      <c r="A34" s="569" t="s">
        <v>1159</v>
      </c>
      <c r="B34" s="570" t="s">
        <v>1181</v>
      </c>
      <c r="C34" s="571">
        <v>1030401000</v>
      </c>
      <c r="D34" s="572" t="s">
        <v>1</v>
      </c>
      <c r="F34" s="584" t="s">
        <v>491</v>
      </c>
      <c r="G34" s="578" t="s">
        <v>1521</v>
      </c>
    </row>
    <row r="35" spans="1:7" x14ac:dyDescent="0.25">
      <c r="A35" s="569" t="s">
        <v>24</v>
      </c>
      <c r="B35" s="570" t="s">
        <v>65</v>
      </c>
      <c r="C35" s="571">
        <v>1030403000</v>
      </c>
      <c r="D35" s="572" t="s">
        <v>1</v>
      </c>
      <c r="F35" s="584" t="s">
        <v>492</v>
      </c>
      <c r="G35" s="578" t="s">
        <v>1522</v>
      </c>
    </row>
    <row r="36" spans="1:7" x14ac:dyDescent="0.25">
      <c r="A36" s="569" t="s">
        <v>25</v>
      </c>
      <c r="B36" s="570" t="s">
        <v>844</v>
      </c>
      <c r="C36" s="571">
        <v>1030405000</v>
      </c>
      <c r="D36" s="572" t="s">
        <v>1</v>
      </c>
      <c r="F36" s="584" t="s">
        <v>486</v>
      </c>
      <c r="G36" s="578" t="s">
        <v>1514</v>
      </c>
    </row>
    <row r="37" spans="1:7" x14ac:dyDescent="0.25">
      <c r="A37" s="569" t="s">
        <v>26</v>
      </c>
      <c r="B37" s="570" t="s">
        <v>1289</v>
      </c>
      <c r="C37" s="571">
        <v>1030501000</v>
      </c>
      <c r="D37" s="572" t="s">
        <v>1</v>
      </c>
      <c r="F37" s="584" t="s">
        <v>493</v>
      </c>
      <c r="G37" s="578" t="s">
        <v>1523</v>
      </c>
    </row>
    <row r="38" spans="1:7" x14ac:dyDescent="0.25">
      <c r="A38" s="569" t="s">
        <v>20</v>
      </c>
      <c r="B38" s="570" t="s">
        <v>64</v>
      </c>
      <c r="C38" s="571">
        <v>1030502000</v>
      </c>
      <c r="D38" s="572" t="s">
        <v>1</v>
      </c>
      <c r="F38" s="584" t="s">
        <v>502</v>
      </c>
      <c r="G38" s="578" t="s">
        <v>1524</v>
      </c>
    </row>
    <row r="39" spans="1:7" x14ac:dyDescent="0.25">
      <c r="A39" s="569" t="s">
        <v>28</v>
      </c>
      <c r="B39" s="570" t="s">
        <v>1290</v>
      </c>
      <c r="C39" s="571">
        <v>1030599000</v>
      </c>
      <c r="D39" s="572" t="s">
        <v>1</v>
      </c>
      <c r="F39" s="584" t="s">
        <v>503</v>
      </c>
      <c r="G39" s="578" t="s">
        <v>1525</v>
      </c>
    </row>
    <row r="40" spans="1:7" x14ac:dyDescent="0.25">
      <c r="A40" s="569" t="s">
        <v>29</v>
      </c>
      <c r="B40" s="570" t="s">
        <v>67</v>
      </c>
      <c r="C40" s="571">
        <v>1040101000</v>
      </c>
      <c r="D40" s="572" t="s">
        <v>1</v>
      </c>
      <c r="F40" s="584" t="s">
        <v>762</v>
      </c>
      <c r="G40" s="578" t="s">
        <v>1515</v>
      </c>
    </row>
    <row r="41" spans="1:7" x14ac:dyDescent="0.25">
      <c r="A41" s="935" t="s">
        <v>1624</v>
      </c>
      <c r="B41" s="936" t="s">
        <v>1625</v>
      </c>
      <c r="C41" s="937">
        <v>1040209000</v>
      </c>
      <c r="D41" s="572" t="s">
        <v>1</v>
      </c>
      <c r="F41" s="584" t="s">
        <v>1526</v>
      </c>
      <c r="G41" s="578" t="s">
        <v>1527</v>
      </c>
    </row>
    <row r="42" spans="1:7" x14ac:dyDescent="0.25">
      <c r="A42" s="569" t="s">
        <v>30</v>
      </c>
      <c r="B42" s="570" t="s">
        <v>1182</v>
      </c>
      <c r="C42" s="571">
        <v>1040401000</v>
      </c>
      <c r="D42" s="572" t="s">
        <v>1</v>
      </c>
      <c r="F42" s="584" t="s">
        <v>1528</v>
      </c>
      <c r="G42" s="578" t="s">
        <v>1529</v>
      </c>
    </row>
    <row r="43" spans="1:7" x14ac:dyDescent="0.25">
      <c r="A43" s="569" t="s">
        <v>1157</v>
      </c>
      <c r="B43" s="570" t="s">
        <v>1291</v>
      </c>
      <c r="C43" s="571">
        <v>1040402000</v>
      </c>
      <c r="D43" s="572" t="s">
        <v>1</v>
      </c>
      <c r="F43" s="584" t="s">
        <v>1530</v>
      </c>
      <c r="G43" s="578" t="s">
        <v>1531</v>
      </c>
    </row>
    <row r="44" spans="1:7" x14ac:dyDescent="0.25">
      <c r="A44" s="935" t="s">
        <v>1626</v>
      </c>
      <c r="B44" s="936" t="s">
        <v>1627</v>
      </c>
      <c r="C44" s="937">
        <v>1040403000</v>
      </c>
      <c r="D44" s="572" t="s">
        <v>1</v>
      </c>
      <c r="F44" s="584" t="s">
        <v>1532</v>
      </c>
      <c r="G44" s="578" t="s">
        <v>1533</v>
      </c>
    </row>
    <row r="45" spans="1:7" x14ac:dyDescent="0.25">
      <c r="A45" s="935" t="s">
        <v>1628</v>
      </c>
      <c r="B45" s="936" t="s">
        <v>1629</v>
      </c>
      <c r="C45" s="937">
        <v>1040406000</v>
      </c>
      <c r="D45" s="572" t="s">
        <v>1</v>
      </c>
      <c r="F45" s="584" t="s">
        <v>1534</v>
      </c>
      <c r="G45" s="578" t="s">
        <v>1535</v>
      </c>
    </row>
    <row r="46" spans="1:7" x14ac:dyDescent="0.25">
      <c r="A46" s="569" t="s">
        <v>1221</v>
      </c>
      <c r="B46" s="570" t="s">
        <v>1292</v>
      </c>
      <c r="C46" s="571">
        <v>1040407000</v>
      </c>
      <c r="D46" s="572" t="s">
        <v>1</v>
      </c>
      <c r="F46" s="584" t="s">
        <v>1536</v>
      </c>
      <c r="G46" s="578" t="s">
        <v>1537</v>
      </c>
    </row>
    <row r="47" spans="1:7" x14ac:dyDescent="0.25">
      <c r="A47" s="569" t="s">
        <v>31</v>
      </c>
      <c r="B47" s="570" t="s">
        <v>1183</v>
      </c>
      <c r="C47" s="571">
        <v>1040408000</v>
      </c>
      <c r="D47" s="572" t="s">
        <v>1</v>
      </c>
      <c r="F47" s="584"/>
      <c r="G47" s="578"/>
    </row>
    <row r="48" spans="1:7" x14ac:dyDescent="0.25">
      <c r="A48" s="938" t="s">
        <v>1630</v>
      </c>
      <c r="B48" s="936" t="s">
        <v>1631</v>
      </c>
      <c r="C48" s="937">
        <v>1040409000</v>
      </c>
      <c r="D48" s="572" t="s">
        <v>1</v>
      </c>
      <c r="F48" s="584"/>
      <c r="G48" s="578"/>
    </row>
    <row r="49" spans="1:7" x14ac:dyDescent="0.25">
      <c r="A49" s="569" t="s">
        <v>1222</v>
      </c>
      <c r="B49" s="570" t="s">
        <v>1184</v>
      </c>
      <c r="C49" s="571">
        <v>1040410000</v>
      </c>
      <c r="D49" s="572" t="s">
        <v>1</v>
      </c>
      <c r="F49" s="584"/>
      <c r="G49" s="578"/>
    </row>
    <row r="50" spans="1:7" x14ac:dyDescent="0.25">
      <c r="A50" s="935" t="s">
        <v>1632</v>
      </c>
      <c r="B50" s="936" t="s">
        <v>1633</v>
      </c>
      <c r="C50" s="937">
        <v>1040411000</v>
      </c>
      <c r="D50" s="572" t="s">
        <v>1</v>
      </c>
      <c r="F50" s="584"/>
      <c r="G50" s="578"/>
    </row>
    <row r="51" spans="1:7" x14ac:dyDescent="0.25">
      <c r="A51" s="569" t="s">
        <v>1223</v>
      </c>
      <c r="B51" s="570" t="s">
        <v>1185</v>
      </c>
      <c r="C51" s="571">
        <v>1040413000</v>
      </c>
      <c r="D51" s="572" t="s">
        <v>1</v>
      </c>
      <c r="F51" s="584"/>
      <c r="G51" s="578"/>
    </row>
    <row r="52" spans="1:7" x14ac:dyDescent="0.25">
      <c r="A52" s="569" t="s">
        <v>32</v>
      </c>
      <c r="B52" s="570" t="s">
        <v>366</v>
      </c>
      <c r="C52" s="571">
        <v>1040499000</v>
      </c>
      <c r="D52" s="572" t="s">
        <v>1</v>
      </c>
      <c r="F52" s="585"/>
      <c r="G52" s="586"/>
    </row>
    <row r="53" spans="1:7" x14ac:dyDescent="0.25">
      <c r="A53" s="569" t="s">
        <v>1244</v>
      </c>
      <c r="B53" s="570" t="s">
        <v>1293</v>
      </c>
      <c r="C53" s="571">
        <v>1040501000</v>
      </c>
      <c r="D53" s="572" t="s">
        <v>1</v>
      </c>
      <c r="F53" s="585"/>
      <c r="G53" s="586"/>
    </row>
    <row r="54" spans="1:7" x14ac:dyDescent="0.25">
      <c r="A54" s="569" t="s">
        <v>1245</v>
      </c>
      <c r="B54" s="570" t="s">
        <v>1186</v>
      </c>
      <c r="C54" s="571">
        <v>1040502000</v>
      </c>
      <c r="D54" s="572" t="s">
        <v>1</v>
      </c>
    </row>
    <row r="55" spans="1:7" x14ac:dyDescent="0.25">
      <c r="A55" s="569" t="s">
        <v>1246</v>
      </c>
      <c r="B55" s="570" t="s">
        <v>1294</v>
      </c>
      <c r="C55" s="571">
        <v>1040503000</v>
      </c>
      <c r="D55" s="572" t="s">
        <v>1</v>
      </c>
    </row>
    <row r="56" spans="1:7" x14ac:dyDescent="0.25">
      <c r="A56" s="569" t="s">
        <v>1247</v>
      </c>
      <c r="B56" s="570" t="s">
        <v>1187</v>
      </c>
      <c r="C56" s="571">
        <v>1040504000</v>
      </c>
      <c r="D56" s="572" t="s">
        <v>1</v>
      </c>
    </row>
    <row r="57" spans="1:7" x14ac:dyDescent="0.25">
      <c r="A57" s="569" t="s">
        <v>1248</v>
      </c>
      <c r="B57" s="570" t="s">
        <v>1188</v>
      </c>
      <c r="C57" s="571">
        <v>1040505000</v>
      </c>
      <c r="D57" s="572" t="s">
        <v>1</v>
      </c>
    </row>
    <row r="58" spans="1:7" x14ac:dyDescent="0.25">
      <c r="A58" s="569" t="s">
        <v>1249</v>
      </c>
      <c r="B58" s="570" t="s">
        <v>1295</v>
      </c>
      <c r="C58" s="571">
        <v>1040506000</v>
      </c>
      <c r="D58" s="572" t="s">
        <v>1</v>
      </c>
    </row>
    <row r="59" spans="1:7" x14ac:dyDescent="0.25">
      <c r="A59" s="569" t="s">
        <v>1250</v>
      </c>
      <c r="B59" s="570" t="s">
        <v>1296</v>
      </c>
      <c r="C59" s="571">
        <v>1040507000</v>
      </c>
      <c r="D59" s="572" t="s">
        <v>1</v>
      </c>
    </row>
    <row r="60" spans="1:7" x14ac:dyDescent="0.25">
      <c r="A60" s="569" t="s">
        <v>1251</v>
      </c>
      <c r="B60" s="570" t="s">
        <v>1189</v>
      </c>
      <c r="C60" s="571">
        <v>1040508000</v>
      </c>
      <c r="D60" s="572" t="s">
        <v>1</v>
      </c>
    </row>
    <row r="61" spans="1:7" x14ac:dyDescent="0.25">
      <c r="A61" s="569" t="s">
        <v>1252</v>
      </c>
      <c r="B61" s="570" t="s">
        <v>1190</v>
      </c>
      <c r="C61" s="571">
        <v>1040509000</v>
      </c>
      <c r="D61" s="572" t="s">
        <v>1</v>
      </c>
    </row>
    <row r="62" spans="1:7" x14ac:dyDescent="0.25">
      <c r="A62" s="569" t="s">
        <v>1253</v>
      </c>
      <c r="B62" s="570" t="s">
        <v>1191</v>
      </c>
      <c r="C62" s="571">
        <v>1040510000</v>
      </c>
      <c r="D62" s="572" t="s">
        <v>1</v>
      </c>
    </row>
    <row r="63" spans="1:7" x14ac:dyDescent="0.25">
      <c r="A63" s="569" t="s">
        <v>1254</v>
      </c>
      <c r="B63" s="570" t="s">
        <v>1192</v>
      </c>
      <c r="C63" s="571">
        <v>1040511000</v>
      </c>
      <c r="D63" s="572" t="s">
        <v>1</v>
      </c>
    </row>
    <row r="64" spans="1:7" x14ac:dyDescent="0.25">
      <c r="A64" s="569" t="s">
        <v>1255</v>
      </c>
      <c r="B64" s="570" t="s">
        <v>1193</v>
      </c>
      <c r="C64" s="571">
        <v>1040512000</v>
      </c>
      <c r="D64" s="572" t="s">
        <v>1</v>
      </c>
    </row>
    <row r="65" spans="1:4" x14ac:dyDescent="0.25">
      <c r="A65" s="569" t="s">
        <v>1256</v>
      </c>
      <c r="B65" s="570" t="s">
        <v>1194</v>
      </c>
      <c r="C65" s="571">
        <v>1040513000</v>
      </c>
      <c r="D65" s="572" t="s">
        <v>1</v>
      </c>
    </row>
    <row r="66" spans="1:4" x14ac:dyDescent="0.25">
      <c r="A66" s="569" t="s">
        <v>1257</v>
      </c>
      <c r="B66" s="570" t="s">
        <v>1297</v>
      </c>
      <c r="C66" s="571">
        <v>1040519000</v>
      </c>
      <c r="D66" s="572" t="s">
        <v>1</v>
      </c>
    </row>
    <row r="67" spans="1:4" x14ac:dyDescent="0.25">
      <c r="A67" s="569" t="s">
        <v>1438</v>
      </c>
      <c r="B67" s="570" t="s">
        <v>1195</v>
      </c>
      <c r="C67" s="571">
        <v>1040601000</v>
      </c>
      <c r="D67" s="572" t="s">
        <v>1</v>
      </c>
    </row>
    <row r="68" spans="1:4" x14ac:dyDescent="0.25">
      <c r="A68" s="569" t="s">
        <v>1439</v>
      </c>
      <c r="B68" s="570" t="s">
        <v>1196</v>
      </c>
      <c r="C68" s="571">
        <v>1040602000</v>
      </c>
      <c r="D68" s="572" t="s">
        <v>1</v>
      </c>
    </row>
    <row r="69" spans="1:4" x14ac:dyDescent="0.25">
      <c r="A69" s="569" t="s">
        <v>38</v>
      </c>
      <c r="B69" s="570" t="s">
        <v>72</v>
      </c>
      <c r="C69" s="571">
        <v>1060101000</v>
      </c>
      <c r="D69" s="572" t="s">
        <v>1</v>
      </c>
    </row>
    <row r="70" spans="1:4" x14ac:dyDescent="0.25">
      <c r="A70" s="569" t="s">
        <v>39</v>
      </c>
      <c r="B70" s="570" t="s">
        <v>1298</v>
      </c>
      <c r="C70" s="571">
        <v>1060299000</v>
      </c>
      <c r="D70" s="572" t="s">
        <v>1</v>
      </c>
    </row>
    <row r="71" spans="1:4" x14ac:dyDescent="0.25">
      <c r="A71" s="569" t="s">
        <v>85</v>
      </c>
      <c r="B71" s="570" t="s">
        <v>1299</v>
      </c>
      <c r="C71" s="571">
        <v>1060299100</v>
      </c>
      <c r="D71" s="572" t="s">
        <v>2</v>
      </c>
    </row>
    <row r="72" spans="1:4" x14ac:dyDescent="0.25">
      <c r="A72" s="569" t="s">
        <v>1226</v>
      </c>
      <c r="B72" s="570" t="s">
        <v>1200</v>
      </c>
      <c r="C72" s="571">
        <v>1060301000</v>
      </c>
      <c r="D72" s="572" t="s">
        <v>1</v>
      </c>
    </row>
    <row r="73" spans="1:4" x14ac:dyDescent="0.25">
      <c r="A73" s="569" t="s">
        <v>1260</v>
      </c>
      <c r="B73" s="570" t="s">
        <v>1300</v>
      </c>
      <c r="C73" s="571">
        <v>1060301100</v>
      </c>
      <c r="D73" s="572" t="s">
        <v>2</v>
      </c>
    </row>
    <row r="74" spans="1:4" x14ac:dyDescent="0.25">
      <c r="A74" s="569" t="s">
        <v>60</v>
      </c>
      <c r="B74" s="570" t="s">
        <v>1201</v>
      </c>
      <c r="C74" s="571">
        <v>1060304000</v>
      </c>
      <c r="D74" s="572" t="s">
        <v>1</v>
      </c>
    </row>
    <row r="75" spans="1:4" x14ac:dyDescent="0.25">
      <c r="A75" s="569" t="s">
        <v>1261</v>
      </c>
      <c r="B75" s="570" t="s">
        <v>1301</v>
      </c>
      <c r="C75" s="571">
        <v>1060304100</v>
      </c>
      <c r="D75" s="572" t="s">
        <v>2</v>
      </c>
    </row>
    <row r="76" spans="1:4" x14ac:dyDescent="0.25">
      <c r="A76" s="569" t="s">
        <v>1225</v>
      </c>
      <c r="B76" s="570" t="s">
        <v>1197</v>
      </c>
      <c r="C76" s="571">
        <v>1060305000</v>
      </c>
      <c r="D76" s="572" t="s">
        <v>1</v>
      </c>
    </row>
    <row r="77" spans="1:4" x14ac:dyDescent="0.25">
      <c r="A77" s="569" t="s">
        <v>1227</v>
      </c>
      <c r="B77" s="570" t="s">
        <v>1302</v>
      </c>
      <c r="C77" s="571">
        <v>1060305100</v>
      </c>
      <c r="D77" s="572" t="s">
        <v>2</v>
      </c>
    </row>
    <row r="78" spans="1:4" x14ac:dyDescent="0.25">
      <c r="A78" s="569" t="s">
        <v>40</v>
      </c>
      <c r="B78" s="570" t="s">
        <v>846</v>
      </c>
      <c r="C78" s="571">
        <v>1060401000</v>
      </c>
      <c r="D78" s="572" t="s">
        <v>1</v>
      </c>
    </row>
    <row r="79" spans="1:4" x14ac:dyDescent="0.25">
      <c r="A79" s="569" t="s">
        <v>86</v>
      </c>
      <c r="B79" s="570" t="s">
        <v>1303</v>
      </c>
      <c r="C79" s="571">
        <v>1060401100</v>
      </c>
      <c r="D79" s="572" t="s">
        <v>2</v>
      </c>
    </row>
    <row r="80" spans="1:4" x14ac:dyDescent="0.25">
      <c r="A80" s="569" t="s">
        <v>41</v>
      </c>
      <c r="B80" s="570" t="s">
        <v>73</v>
      </c>
      <c r="C80" s="571">
        <v>1060499000</v>
      </c>
      <c r="D80" s="572" t="s">
        <v>1</v>
      </c>
    </row>
    <row r="81" spans="1:4" x14ac:dyDescent="0.25">
      <c r="A81" s="569" t="s">
        <v>87</v>
      </c>
      <c r="B81" s="570" t="s">
        <v>1304</v>
      </c>
      <c r="C81" s="571">
        <v>1060499100</v>
      </c>
      <c r="D81" s="572" t="s">
        <v>2</v>
      </c>
    </row>
    <row r="82" spans="1:4" x14ac:dyDescent="0.25">
      <c r="A82" s="569" t="s">
        <v>46</v>
      </c>
      <c r="B82" s="570" t="s">
        <v>1305</v>
      </c>
      <c r="C82" s="571">
        <v>1060501000</v>
      </c>
      <c r="D82" s="572" t="s">
        <v>1</v>
      </c>
    </row>
    <row r="83" spans="1:4" x14ac:dyDescent="0.25">
      <c r="A83" s="569" t="s">
        <v>92</v>
      </c>
      <c r="B83" s="570" t="s">
        <v>1306</v>
      </c>
      <c r="C83" s="571">
        <v>1060501100</v>
      </c>
      <c r="D83" s="572" t="s">
        <v>2</v>
      </c>
    </row>
    <row r="84" spans="1:4" x14ac:dyDescent="0.25">
      <c r="A84" s="569" t="s">
        <v>42</v>
      </c>
      <c r="B84" s="570" t="s">
        <v>74</v>
      </c>
      <c r="C84" s="571">
        <v>1060502000</v>
      </c>
      <c r="D84" s="572" t="s">
        <v>1</v>
      </c>
    </row>
    <row r="85" spans="1:4" x14ac:dyDescent="0.25">
      <c r="A85" s="569" t="s">
        <v>88</v>
      </c>
      <c r="B85" s="570" t="s">
        <v>1307</v>
      </c>
      <c r="C85" s="571">
        <v>1060502100</v>
      </c>
      <c r="D85" s="572" t="s">
        <v>2</v>
      </c>
    </row>
    <row r="86" spans="1:4" x14ac:dyDescent="0.25">
      <c r="A86" s="569" t="s">
        <v>44</v>
      </c>
      <c r="B86" s="570" t="s">
        <v>1308</v>
      </c>
      <c r="C86" s="571">
        <v>1060503000</v>
      </c>
      <c r="D86" s="572" t="s">
        <v>1</v>
      </c>
    </row>
    <row r="87" spans="1:4" x14ac:dyDescent="0.25">
      <c r="A87" s="569" t="s">
        <v>90</v>
      </c>
      <c r="B87" s="570" t="s">
        <v>1309</v>
      </c>
      <c r="C87" s="571">
        <v>1060503100</v>
      </c>
      <c r="D87" s="572" t="s">
        <v>2</v>
      </c>
    </row>
    <row r="88" spans="1:4" x14ac:dyDescent="0.25">
      <c r="A88" s="569" t="s">
        <v>47</v>
      </c>
      <c r="B88" s="570" t="s">
        <v>1310</v>
      </c>
      <c r="C88" s="571">
        <v>1060504000</v>
      </c>
      <c r="D88" s="572" t="s">
        <v>1</v>
      </c>
    </row>
    <row r="89" spans="1:4" x14ac:dyDescent="0.25">
      <c r="A89" s="569" t="s">
        <v>93</v>
      </c>
      <c r="B89" s="570" t="s">
        <v>1311</v>
      </c>
      <c r="C89" s="571">
        <v>1060504100</v>
      </c>
      <c r="D89" s="572" t="s">
        <v>2</v>
      </c>
    </row>
    <row r="90" spans="1:4" x14ac:dyDescent="0.25">
      <c r="A90" s="569" t="s">
        <v>1258</v>
      </c>
      <c r="B90" s="570" t="s">
        <v>1198</v>
      </c>
      <c r="C90" s="571">
        <v>1060505000</v>
      </c>
      <c r="D90" s="572" t="s">
        <v>1</v>
      </c>
    </row>
    <row r="91" spans="1:4" x14ac:dyDescent="0.25">
      <c r="A91" s="569" t="s">
        <v>1259</v>
      </c>
      <c r="B91" s="570" t="s">
        <v>1312</v>
      </c>
      <c r="C91" s="571">
        <v>1060505100</v>
      </c>
      <c r="D91" s="572" t="s">
        <v>2</v>
      </c>
    </row>
    <row r="92" spans="1:4" x14ac:dyDescent="0.25">
      <c r="A92" s="569" t="s">
        <v>48</v>
      </c>
      <c r="B92" s="570" t="s">
        <v>75</v>
      </c>
      <c r="C92" s="571">
        <v>1060507000</v>
      </c>
      <c r="D92" s="572" t="s">
        <v>1</v>
      </c>
    </row>
    <row r="93" spans="1:4" x14ac:dyDescent="0.25">
      <c r="A93" s="569" t="s">
        <v>94</v>
      </c>
      <c r="B93" s="570" t="s">
        <v>1313</v>
      </c>
      <c r="C93" s="571">
        <v>1060507100</v>
      </c>
      <c r="D93" s="572" t="s">
        <v>2</v>
      </c>
    </row>
    <row r="94" spans="1:4" x14ac:dyDescent="0.25">
      <c r="A94" s="569" t="s">
        <v>49</v>
      </c>
      <c r="B94" s="570" t="s">
        <v>1314</v>
      </c>
      <c r="C94" s="571">
        <v>1060508000</v>
      </c>
      <c r="D94" s="572" t="s">
        <v>1</v>
      </c>
    </row>
    <row r="95" spans="1:4" x14ac:dyDescent="0.25">
      <c r="A95" s="569" t="s">
        <v>95</v>
      </c>
      <c r="B95" s="570" t="s">
        <v>1315</v>
      </c>
      <c r="C95" s="571">
        <v>1060508100</v>
      </c>
      <c r="D95" s="572" t="s">
        <v>2</v>
      </c>
    </row>
    <row r="96" spans="1:4" x14ac:dyDescent="0.25">
      <c r="A96" s="569" t="s">
        <v>50</v>
      </c>
      <c r="B96" s="570" t="s">
        <v>1199</v>
      </c>
      <c r="C96" s="571">
        <v>1060509000</v>
      </c>
      <c r="D96" s="572" t="s">
        <v>1</v>
      </c>
    </row>
    <row r="97" spans="1:4" x14ac:dyDescent="0.25">
      <c r="A97" s="569" t="s">
        <v>96</v>
      </c>
      <c r="B97" s="570" t="s">
        <v>1316</v>
      </c>
      <c r="C97" s="571">
        <v>1060509100</v>
      </c>
      <c r="D97" s="572" t="s">
        <v>2</v>
      </c>
    </row>
    <row r="98" spans="1:4" x14ac:dyDescent="0.25">
      <c r="A98" s="569" t="s">
        <v>51</v>
      </c>
      <c r="B98" s="570" t="s">
        <v>1317</v>
      </c>
      <c r="C98" s="571">
        <v>1060510000</v>
      </c>
      <c r="D98" s="572" t="s">
        <v>1</v>
      </c>
    </row>
    <row r="99" spans="1:4" x14ac:dyDescent="0.25">
      <c r="A99" s="569" t="s">
        <v>97</v>
      </c>
      <c r="B99" s="570" t="s">
        <v>1318</v>
      </c>
      <c r="C99" s="571">
        <v>1060510100</v>
      </c>
      <c r="D99" s="572" t="s">
        <v>2</v>
      </c>
    </row>
    <row r="100" spans="1:4" x14ac:dyDescent="0.25">
      <c r="A100" s="569" t="s">
        <v>406</v>
      </c>
      <c r="B100" s="570" t="s">
        <v>847</v>
      </c>
      <c r="C100" s="571">
        <v>1060511000</v>
      </c>
      <c r="D100" s="572" t="s">
        <v>1</v>
      </c>
    </row>
    <row r="101" spans="1:4" x14ac:dyDescent="0.25">
      <c r="A101" s="569" t="s">
        <v>1228</v>
      </c>
      <c r="B101" s="570" t="s">
        <v>1319</v>
      </c>
      <c r="C101" s="571">
        <v>1060511100</v>
      </c>
      <c r="D101" s="572" t="s">
        <v>2</v>
      </c>
    </row>
    <row r="102" spans="1:4" x14ac:dyDescent="0.25">
      <c r="A102" s="569" t="s">
        <v>52</v>
      </c>
      <c r="B102" s="570" t="s">
        <v>76</v>
      </c>
      <c r="C102" s="571">
        <v>1060513000</v>
      </c>
      <c r="D102" s="572" t="s">
        <v>1</v>
      </c>
    </row>
    <row r="103" spans="1:4" x14ac:dyDescent="0.25">
      <c r="A103" s="569" t="s">
        <v>98</v>
      </c>
      <c r="B103" s="570" t="s">
        <v>1320</v>
      </c>
      <c r="C103" s="571">
        <v>1060513100</v>
      </c>
      <c r="D103" s="572" t="s">
        <v>2</v>
      </c>
    </row>
    <row r="104" spans="1:4" x14ac:dyDescent="0.25">
      <c r="A104" s="569" t="s">
        <v>53</v>
      </c>
      <c r="B104" s="570" t="s">
        <v>77</v>
      </c>
      <c r="C104" s="571">
        <v>1060514000</v>
      </c>
      <c r="D104" s="572" t="s">
        <v>1</v>
      </c>
    </row>
    <row r="105" spans="1:4" x14ac:dyDescent="0.25">
      <c r="A105" s="569" t="s">
        <v>99</v>
      </c>
      <c r="B105" s="570" t="s">
        <v>1321</v>
      </c>
      <c r="C105" s="571">
        <v>1060514100</v>
      </c>
      <c r="D105" s="572" t="s">
        <v>2</v>
      </c>
    </row>
    <row r="106" spans="1:4" x14ac:dyDescent="0.25">
      <c r="A106" s="569" t="s">
        <v>54</v>
      </c>
      <c r="B106" s="570" t="s">
        <v>367</v>
      </c>
      <c r="C106" s="571">
        <v>1060599000</v>
      </c>
      <c r="D106" s="572" t="s">
        <v>1</v>
      </c>
    </row>
    <row r="107" spans="1:4" x14ac:dyDescent="0.25">
      <c r="A107" s="569" t="s">
        <v>100</v>
      </c>
      <c r="B107" s="570" t="s">
        <v>1322</v>
      </c>
      <c r="C107" s="571">
        <v>1060599100</v>
      </c>
      <c r="D107" s="572" t="s">
        <v>2</v>
      </c>
    </row>
    <row r="108" spans="1:4" x14ac:dyDescent="0.25">
      <c r="A108" s="569" t="s">
        <v>55</v>
      </c>
      <c r="B108" s="570" t="s">
        <v>78</v>
      </c>
      <c r="C108" s="571">
        <v>1060601000</v>
      </c>
      <c r="D108" s="572" t="s">
        <v>1</v>
      </c>
    </row>
    <row r="109" spans="1:4" x14ac:dyDescent="0.25">
      <c r="A109" s="569" t="s">
        <v>101</v>
      </c>
      <c r="B109" s="570" t="s">
        <v>1323</v>
      </c>
      <c r="C109" s="571">
        <v>1060601100</v>
      </c>
      <c r="D109" s="572" t="s">
        <v>2</v>
      </c>
    </row>
    <row r="110" spans="1:4" x14ac:dyDescent="0.25">
      <c r="A110" s="569" t="s">
        <v>56</v>
      </c>
      <c r="B110" s="570" t="s">
        <v>1324</v>
      </c>
      <c r="C110" s="571">
        <v>1060603000</v>
      </c>
      <c r="D110" s="572" t="s">
        <v>1</v>
      </c>
    </row>
    <row r="111" spans="1:4" x14ac:dyDescent="0.25">
      <c r="A111" s="569" t="s">
        <v>102</v>
      </c>
      <c r="B111" s="570" t="s">
        <v>1325</v>
      </c>
      <c r="C111" s="571">
        <v>1060603100</v>
      </c>
      <c r="D111" s="572" t="s">
        <v>2</v>
      </c>
    </row>
    <row r="112" spans="1:4" x14ac:dyDescent="0.25">
      <c r="A112" s="569" t="s">
        <v>57</v>
      </c>
      <c r="B112" s="570" t="s">
        <v>79</v>
      </c>
      <c r="C112" s="571">
        <v>1060604000</v>
      </c>
      <c r="D112" s="572" t="s">
        <v>1</v>
      </c>
    </row>
    <row r="113" spans="1:4" x14ac:dyDescent="0.25">
      <c r="A113" s="569" t="s">
        <v>103</v>
      </c>
      <c r="B113" s="570" t="s">
        <v>1326</v>
      </c>
      <c r="C113" s="571">
        <v>1060604100</v>
      </c>
      <c r="D113" s="572" t="s">
        <v>2</v>
      </c>
    </row>
    <row r="114" spans="1:4" x14ac:dyDescent="0.25">
      <c r="A114" s="569" t="s">
        <v>58</v>
      </c>
      <c r="B114" s="570" t="s">
        <v>80</v>
      </c>
      <c r="C114" s="571">
        <v>1060699000</v>
      </c>
      <c r="D114" s="572" t="s">
        <v>1</v>
      </c>
    </row>
    <row r="115" spans="1:4" x14ac:dyDescent="0.25">
      <c r="A115" s="569" t="s">
        <v>104</v>
      </c>
      <c r="B115" s="570" t="s">
        <v>1327</v>
      </c>
      <c r="C115" s="571">
        <v>1060699100</v>
      </c>
      <c r="D115" s="572" t="s">
        <v>2</v>
      </c>
    </row>
    <row r="116" spans="1:4" x14ac:dyDescent="0.25">
      <c r="A116" s="569" t="s">
        <v>43</v>
      </c>
      <c r="B116" s="570" t="s">
        <v>1328</v>
      </c>
      <c r="C116" s="571">
        <v>1060701000</v>
      </c>
      <c r="D116" s="572" t="s">
        <v>1</v>
      </c>
    </row>
    <row r="117" spans="1:4" x14ac:dyDescent="0.25">
      <c r="A117" s="569" t="s">
        <v>89</v>
      </c>
      <c r="B117" s="570" t="s">
        <v>1329</v>
      </c>
      <c r="C117" s="571">
        <v>1060701100</v>
      </c>
      <c r="D117" s="572" t="s">
        <v>2</v>
      </c>
    </row>
    <row r="118" spans="1:4" x14ac:dyDescent="0.25">
      <c r="A118" s="569" t="s">
        <v>45</v>
      </c>
      <c r="B118" s="570" t="s">
        <v>1330</v>
      </c>
      <c r="C118" s="571">
        <v>1060702000</v>
      </c>
      <c r="D118" s="572" t="s">
        <v>1</v>
      </c>
    </row>
    <row r="119" spans="1:4" x14ac:dyDescent="0.25">
      <c r="A119" s="569" t="s">
        <v>91</v>
      </c>
      <c r="B119" s="570" t="s">
        <v>1331</v>
      </c>
      <c r="C119" s="571">
        <v>1060702100</v>
      </c>
      <c r="D119" s="572" t="s">
        <v>2</v>
      </c>
    </row>
    <row r="120" spans="1:4" x14ac:dyDescent="0.25">
      <c r="A120" s="569" t="s">
        <v>59</v>
      </c>
      <c r="B120" s="570" t="s">
        <v>81</v>
      </c>
      <c r="C120" s="571">
        <v>1069899000</v>
      </c>
      <c r="D120" s="572" t="s">
        <v>1</v>
      </c>
    </row>
    <row r="121" spans="1:4" x14ac:dyDescent="0.25">
      <c r="A121" s="569" t="s">
        <v>105</v>
      </c>
      <c r="B121" s="570" t="s">
        <v>1332</v>
      </c>
      <c r="C121" s="571">
        <v>1069899100</v>
      </c>
      <c r="D121" s="572" t="s">
        <v>2</v>
      </c>
    </row>
    <row r="122" spans="1:4" x14ac:dyDescent="0.25">
      <c r="A122" s="569" t="s">
        <v>61</v>
      </c>
      <c r="B122" s="570" t="s">
        <v>1333</v>
      </c>
      <c r="C122" s="571">
        <v>1069902099</v>
      </c>
      <c r="D122" s="572" t="s">
        <v>1</v>
      </c>
    </row>
    <row r="123" spans="1:4" x14ac:dyDescent="0.25">
      <c r="A123" s="569" t="s">
        <v>62</v>
      </c>
      <c r="B123" s="570" t="s">
        <v>1334</v>
      </c>
      <c r="C123" s="571">
        <v>1069902099</v>
      </c>
      <c r="D123" s="572" t="s">
        <v>1</v>
      </c>
    </row>
    <row r="124" spans="1:4" x14ac:dyDescent="0.25">
      <c r="A124" s="569" t="s">
        <v>82</v>
      </c>
      <c r="B124" s="570" t="s">
        <v>1335</v>
      </c>
      <c r="C124" s="571">
        <v>1069902099</v>
      </c>
      <c r="D124" s="572" t="s">
        <v>1</v>
      </c>
    </row>
    <row r="125" spans="1:4" x14ac:dyDescent="0.25">
      <c r="A125" s="569" t="s">
        <v>12</v>
      </c>
      <c r="B125" s="570" t="s">
        <v>365</v>
      </c>
      <c r="C125" s="571">
        <v>1990102000</v>
      </c>
      <c r="D125" s="572" t="s">
        <v>1</v>
      </c>
    </row>
    <row r="126" spans="1:4" x14ac:dyDescent="0.25">
      <c r="A126" s="569" t="s">
        <v>10</v>
      </c>
      <c r="B126" s="570" t="s">
        <v>843</v>
      </c>
      <c r="C126" s="571">
        <v>1990103000</v>
      </c>
      <c r="D126" s="572" t="s">
        <v>1</v>
      </c>
    </row>
    <row r="127" spans="1:4" x14ac:dyDescent="0.25">
      <c r="A127" s="569" t="s">
        <v>27</v>
      </c>
      <c r="B127" s="570" t="s">
        <v>66</v>
      </c>
      <c r="C127" s="571">
        <v>1990104000</v>
      </c>
      <c r="D127" s="572" t="s">
        <v>1</v>
      </c>
    </row>
    <row r="128" spans="1:4" x14ac:dyDescent="0.25">
      <c r="A128" s="569" t="s">
        <v>35</v>
      </c>
      <c r="B128" s="570" t="s">
        <v>70</v>
      </c>
      <c r="C128" s="571">
        <v>1990201000</v>
      </c>
      <c r="D128" s="572" t="s">
        <v>1</v>
      </c>
    </row>
    <row r="129" spans="1:5" x14ac:dyDescent="0.25">
      <c r="A129" s="569" t="s">
        <v>33</v>
      </c>
      <c r="B129" s="570" t="s">
        <v>68</v>
      </c>
      <c r="C129" s="571">
        <v>1990202000</v>
      </c>
      <c r="D129" s="572" t="s">
        <v>1</v>
      </c>
    </row>
    <row r="130" spans="1:5" x14ac:dyDescent="0.25">
      <c r="A130" s="569" t="s">
        <v>1224</v>
      </c>
      <c r="B130" s="570" t="s">
        <v>595</v>
      </c>
      <c r="C130" s="571">
        <v>1990205000</v>
      </c>
      <c r="D130" s="572" t="s">
        <v>1</v>
      </c>
    </row>
    <row r="131" spans="1:5" x14ac:dyDescent="0.25">
      <c r="A131" s="569" t="s">
        <v>36</v>
      </c>
      <c r="B131" s="570" t="s">
        <v>596</v>
      </c>
      <c r="C131" s="571">
        <v>1990299000</v>
      </c>
      <c r="D131" s="572" t="s">
        <v>1</v>
      </c>
    </row>
    <row r="132" spans="1:5" x14ac:dyDescent="0.25">
      <c r="A132" s="569" t="s">
        <v>34</v>
      </c>
      <c r="B132" s="570" t="s">
        <v>69</v>
      </c>
      <c r="C132" s="571">
        <v>1990301000</v>
      </c>
      <c r="D132" s="572" t="s">
        <v>1</v>
      </c>
    </row>
    <row r="133" spans="1:5" x14ac:dyDescent="0.25">
      <c r="A133" s="569" t="s">
        <v>37</v>
      </c>
      <c r="B133" s="570" t="s">
        <v>1336</v>
      </c>
      <c r="C133" s="571">
        <v>1990302000</v>
      </c>
      <c r="D133" s="572" t="s">
        <v>1</v>
      </c>
    </row>
    <row r="134" spans="1:5" x14ac:dyDescent="0.25">
      <c r="A134" s="569" t="s">
        <v>83</v>
      </c>
      <c r="B134" s="570" t="s">
        <v>132</v>
      </c>
      <c r="C134" s="571">
        <v>1999999000</v>
      </c>
      <c r="D134" s="572" t="s">
        <v>1</v>
      </c>
    </row>
    <row r="135" spans="1:5" x14ac:dyDescent="0.25">
      <c r="A135" s="569" t="s">
        <v>509</v>
      </c>
      <c r="B135" s="570" t="s">
        <v>1337</v>
      </c>
      <c r="C135" s="571">
        <v>1999999100</v>
      </c>
      <c r="D135" s="572" t="s">
        <v>2</v>
      </c>
    </row>
    <row r="136" spans="1:5" x14ac:dyDescent="0.25">
      <c r="A136" s="569" t="s">
        <v>106</v>
      </c>
      <c r="B136" s="570" t="s">
        <v>133</v>
      </c>
      <c r="C136" s="571">
        <v>2010101000</v>
      </c>
      <c r="D136" s="572" t="s">
        <v>2</v>
      </c>
    </row>
    <row r="137" spans="1:5" x14ac:dyDescent="0.25">
      <c r="A137" s="569" t="s">
        <v>108</v>
      </c>
      <c r="B137" s="570" t="s">
        <v>135</v>
      </c>
      <c r="C137" s="571">
        <v>2010102000</v>
      </c>
      <c r="D137" s="572" t="s">
        <v>2</v>
      </c>
    </row>
    <row r="138" spans="1:5" x14ac:dyDescent="0.25">
      <c r="A138" s="569" t="s">
        <v>107</v>
      </c>
      <c r="B138" s="570" t="s">
        <v>134</v>
      </c>
      <c r="C138" s="571">
        <v>2010104000</v>
      </c>
      <c r="D138" s="572" t="s">
        <v>2</v>
      </c>
    </row>
    <row r="139" spans="1:5" x14ac:dyDescent="0.25">
      <c r="A139" s="569" t="s">
        <v>118</v>
      </c>
      <c r="B139" s="570" t="s">
        <v>1338</v>
      </c>
      <c r="C139" s="571">
        <v>2010204000</v>
      </c>
      <c r="D139" s="572" t="s">
        <v>2</v>
      </c>
    </row>
    <row r="140" spans="1:5" x14ac:dyDescent="0.25">
      <c r="A140" s="569" t="s">
        <v>119</v>
      </c>
      <c r="B140" s="570" t="s">
        <v>1339</v>
      </c>
      <c r="C140" s="571">
        <v>2010205000</v>
      </c>
      <c r="D140" s="572" t="s">
        <v>2</v>
      </c>
    </row>
    <row r="141" spans="1:5" x14ac:dyDescent="0.25">
      <c r="A141" s="569" t="s">
        <v>1496</v>
      </c>
      <c r="B141" s="570" t="s">
        <v>1497</v>
      </c>
      <c r="C141" s="571">
        <v>2020109000</v>
      </c>
      <c r="D141" s="572" t="s">
        <v>2</v>
      </c>
    </row>
    <row r="142" spans="1:5" x14ac:dyDescent="0.25">
      <c r="A142" s="569" t="s">
        <v>109</v>
      </c>
      <c r="B142" s="570" t="s">
        <v>4</v>
      </c>
      <c r="C142" s="571">
        <v>2020101000</v>
      </c>
      <c r="D142" s="572" t="s">
        <v>2</v>
      </c>
    </row>
    <row r="143" spans="1:5" x14ac:dyDescent="0.25">
      <c r="A143" s="630" t="s">
        <v>1546</v>
      </c>
      <c r="B143" s="570" t="s">
        <v>1547</v>
      </c>
      <c r="C143" s="571">
        <v>2020101001</v>
      </c>
      <c r="D143" s="572" t="s">
        <v>2</v>
      </c>
      <c r="E143" s="688"/>
    </row>
    <row r="144" spans="1:5" x14ac:dyDescent="0.25">
      <c r="A144" s="630" t="s">
        <v>1548</v>
      </c>
      <c r="B144" s="570" t="s">
        <v>1551</v>
      </c>
      <c r="C144" s="571">
        <v>2020101002</v>
      </c>
      <c r="D144" s="572" t="s">
        <v>2</v>
      </c>
      <c r="E144" s="688"/>
    </row>
    <row r="145" spans="1:5" x14ac:dyDescent="0.25">
      <c r="A145" s="630" t="s">
        <v>1549</v>
      </c>
      <c r="B145" s="570" t="s">
        <v>1552</v>
      </c>
      <c r="C145" s="571">
        <v>2020101003</v>
      </c>
      <c r="D145" s="572" t="s">
        <v>2</v>
      </c>
      <c r="E145" s="688"/>
    </row>
    <row r="146" spans="1:5" x14ac:dyDescent="0.25">
      <c r="A146" s="630" t="s">
        <v>1550</v>
      </c>
      <c r="B146" s="570" t="s">
        <v>1553</v>
      </c>
      <c r="C146" s="571">
        <v>2020101004</v>
      </c>
      <c r="D146" s="572" t="s">
        <v>2</v>
      </c>
      <c r="E146" s="688"/>
    </row>
    <row r="147" spans="1:5" x14ac:dyDescent="0.25">
      <c r="A147" s="630" t="s">
        <v>1554</v>
      </c>
      <c r="B147" s="570" t="s">
        <v>1555</v>
      </c>
      <c r="C147" s="571">
        <v>2020101005</v>
      </c>
      <c r="D147" s="572" t="s">
        <v>2</v>
      </c>
      <c r="E147" s="688"/>
    </row>
    <row r="148" spans="1:5" x14ac:dyDescent="0.25">
      <c r="A148" s="569" t="s">
        <v>110</v>
      </c>
      <c r="B148" s="570" t="s">
        <v>136</v>
      </c>
      <c r="C148" s="571">
        <v>2020102000</v>
      </c>
      <c r="D148" s="572" t="s">
        <v>2</v>
      </c>
    </row>
    <row r="149" spans="1:5" x14ac:dyDescent="0.25">
      <c r="A149" s="569" t="s">
        <v>1440</v>
      </c>
      <c r="B149" s="570" t="s">
        <v>1340</v>
      </c>
      <c r="C149" s="571">
        <v>2020102001</v>
      </c>
      <c r="D149" s="572" t="s">
        <v>2</v>
      </c>
    </row>
    <row r="150" spans="1:5" x14ac:dyDescent="0.25">
      <c r="A150" s="569" t="s">
        <v>1441</v>
      </c>
      <c r="B150" s="570" t="s">
        <v>1341</v>
      </c>
      <c r="C150" s="571">
        <v>2020102002</v>
      </c>
      <c r="D150" s="572" t="s">
        <v>2</v>
      </c>
    </row>
    <row r="151" spans="1:5" x14ac:dyDescent="0.25">
      <c r="A151" s="569" t="s">
        <v>1498</v>
      </c>
      <c r="B151" s="570" t="s">
        <v>1342</v>
      </c>
      <c r="C151" s="571">
        <v>2020102003</v>
      </c>
      <c r="D151" s="572" t="s">
        <v>2</v>
      </c>
    </row>
    <row r="152" spans="1:5" x14ac:dyDescent="0.25">
      <c r="A152" s="569" t="s">
        <v>1442</v>
      </c>
      <c r="B152" s="570" t="s">
        <v>1343</v>
      </c>
      <c r="C152" s="571">
        <v>2020102004</v>
      </c>
      <c r="D152" s="572" t="s">
        <v>2</v>
      </c>
    </row>
    <row r="153" spans="1:5" x14ac:dyDescent="0.25">
      <c r="A153" s="569" t="s">
        <v>1443</v>
      </c>
      <c r="B153" s="570" t="s">
        <v>1499</v>
      </c>
      <c r="C153" s="571">
        <v>2020102005</v>
      </c>
      <c r="D153" s="572" t="s">
        <v>2</v>
      </c>
    </row>
    <row r="154" spans="1:5" x14ac:dyDescent="0.25">
      <c r="A154" s="569" t="s">
        <v>1500</v>
      </c>
      <c r="B154" s="570" t="s">
        <v>1501</v>
      </c>
      <c r="C154" s="571">
        <v>2020102006</v>
      </c>
      <c r="D154" s="572" t="s">
        <v>2</v>
      </c>
    </row>
    <row r="155" spans="1:5" x14ac:dyDescent="0.25">
      <c r="A155" s="569" t="s">
        <v>1502</v>
      </c>
      <c r="B155" s="570" t="s">
        <v>1503</v>
      </c>
      <c r="C155" s="571">
        <v>2020102007</v>
      </c>
      <c r="D155" s="572" t="s">
        <v>2</v>
      </c>
    </row>
    <row r="156" spans="1:5" x14ac:dyDescent="0.25">
      <c r="A156" s="569" t="s">
        <v>1504</v>
      </c>
      <c r="B156" s="570" t="s">
        <v>1505</v>
      </c>
      <c r="C156" s="571">
        <v>2020102008</v>
      </c>
      <c r="D156" s="572" t="s">
        <v>2</v>
      </c>
    </row>
    <row r="157" spans="1:5" x14ac:dyDescent="0.25">
      <c r="A157" s="569" t="s">
        <v>111</v>
      </c>
      <c r="B157" s="570" t="s">
        <v>1344</v>
      </c>
      <c r="C157" s="571">
        <v>2020103000</v>
      </c>
      <c r="D157" s="572" t="s">
        <v>2</v>
      </c>
    </row>
    <row r="158" spans="1:5" x14ac:dyDescent="0.25">
      <c r="A158" s="569" t="s">
        <v>1444</v>
      </c>
      <c r="B158" s="570" t="s">
        <v>1345</v>
      </c>
      <c r="C158" s="571">
        <v>2020103001</v>
      </c>
      <c r="D158" s="572" t="s">
        <v>2</v>
      </c>
    </row>
    <row r="159" spans="1:5" x14ac:dyDescent="0.25">
      <c r="A159" s="569" t="s">
        <v>1445</v>
      </c>
      <c r="B159" s="570" t="s">
        <v>1346</v>
      </c>
      <c r="C159" s="571">
        <v>2020103002</v>
      </c>
      <c r="D159" s="572" t="s">
        <v>2</v>
      </c>
    </row>
    <row r="160" spans="1:5" x14ac:dyDescent="0.25">
      <c r="A160" s="569" t="s">
        <v>1446</v>
      </c>
      <c r="B160" s="570" t="s">
        <v>1347</v>
      </c>
      <c r="C160" s="571">
        <v>2020103003</v>
      </c>
      <c r="D160" s="572" t="s">
        <v>2</v>
      </c>
    </row>
    <row r="161" spans="1:4" x14ac:dyDescent="0.25">
      <c r="A161" s="569" t="s">
        <v>1506</v>
      </c>
      <c r="B161" s="570" t="s">
        <v>1507</v>
      </c>
      <c r="C161" s="571">
        <v>2020103004</v>
      </c>
      <c r="D161" s="572" t="s">
        <v>2</v>
      </c>
    </row>
    <row r="162" spans="1:4" x14ac:dyDescent="0.25">
      <c r="A162" s="569" t="s">
        <v>1508</v>
      </c>
      <c r="B162" s="570" t="s">
        <v>1509</v>
      </c>
      <c r="C162" s="571">
        <v>2020103005</v>
      </c>
      <c r="D162" s="572" t="s">
        <v>2</v>
      </c>
    </row>
    <row r="163" spans="1:4" x14ac:dyDescent="0.25">
      <c r="A163" s="569" t="s">
        <v>112</v>
      </c>
      <c r="B163" s="570" t="s">
        <v>1348</v>
      </c>
      <c r="C163" s="571">
        <v>2020104000</v>
      </c>
      <c r="D163" s="572" t="s">
        <v>2</v>
      </c>
    </row>
    <row r="164" spans="1:4" x14ac:dyDescent="0.25">
      <c r="A164" s="569" t="s">
        <v>113</v>
      </c>
      <c r="B164" s="570" t="s">
        <v>848</v>
      </c>
      <c r="C164" s="571">
        <v>2020105000</v>
      </c>
      <c r="D164" s="572" t="s">
        <v>2</v>
      </c>
    </row>
    <row r="165" spans="1:4" x14ac:dyDescent="0.25">
      <c r="A165" s="569" t="s">
        <v>407</v>
      </c>
      <c r="B165" s="570" t="s">
        <v>137</v>
      </c>
      <c r="C165" s="571">
        <v>2030101000</v>
      </c>
      <c r="D165" s="572" t="s">
        <v>2</v>
      </c>
    </row>
    <row r="166" spans="1:4" x14ac:dyDescent="0.25">
      <c r="A166" s="569" t="s">
        <v>1229</v>
      </c>
      <c r="B166" s="570" t="s">
        <v>1349</v>
      </c>
      <c r="C166" s="571">
        <v>2030103000</v>
      </c>
      <c r="D166" s="572" t="s">
        <v>2</v>
      </c>
    </row>
    <row r="167" spans="1:4" x14ac:dyDescent="0.25">
      <c r="A167" s="569" t="s">
        <v>114</v>
      </c>
      <c r="B167" s="570" t="s">
        <v>1174</v>
      </c>
      <c r="C167" s="571">
        <v>2030105000</v>
      </c>
      <c r="D167" s="572" t="s">
        <v>2</v>
      </c>
    </row>
    <row r="168" spans="1:4" x14ac:dyDescent="0.25">
      <c r="A168" s="569" t="s">
        <v>116</v>
      </c>
      <c r="B168" s="570" t="s">
        <v>1202</v>
      </c>
      <c r="C168" s="571">
        <v>2040103000</v>
      </c>
      <c r="D168" s="572" t="s">
        <v>2</v>
      </c>
    </row>
    <row r="169" spans="1:4" x14ac:dyDescent="0.25">
      <c r="A169" s="969" t="s">
        <v>1646</v>
      </c>
      <c r="B169" s="970" t="s">
        <v>1647</v>
      </c>
      <c r="C169" s="971">
        <v>2040109000</v>
      </c>
      <c r="D169" s="572" t="s">
        <v>2</v>
      </c>
    </row>
    <row r="170" spans="1:4" x14ac:dyDescent="0.25">
      <c r="A170" s="569" t="s">
        <v>115</v>
      </c>
      <c r="B170" s="570" t="s">
        <v>1350</v>
      </c>
      <c r="C170" s="571">
        <v>2040104000</v>
      </c>
      <c r="D170" s="572" t="s">
        <v>2</v>
      </c>
    </row>
    <row r="171" spans="1:4" x14ac:dyDescent="0.25">
      <c r="A171" s="569" t="s">
        <v>120</v>
      </c>
      <c r="B171" s="570" t="s">
        <v>1351</v>
      </c>
      <c r="C171" s="571">
        <v>2050199000</v>
      </c>
      <c r="D171" s="572" t="s">
        <v>2</v>
      </c>
    </row>
    <row r="172" spans="1:4" x14ac:dyDescent="0.25">
      <c r="A172" s="569" t="s">
        <v>8</v>
      </c>
      <c r="B172" s="570" t="s">
        <v>1352</v>
      </c>
      <c r="C172" s="571">
        <v>2050199000</v>
      </c>
      <c r="D172" s="572" t="s">
        <v>2</v>
      </c>
    </row>
    <row r="173" spans="1:4" x14ac:dyDescent="0.25">
      <c r="A173" s="569" t="s">
        <v>121</v>
      </c>
      <c r="B173" s="570" t="s">
        <v>1353</v>
      </c>
      <c r="C173" s="571">
        <v>2050299000</v>
      </c>
      <c r="D173" s="572" t="s">
        <v>2</v>
      </c>
    </row>
    <row r="174" spans="1:4" x14ac:dyDescent="0.25">
      <c r="A174" s="569" t="s">
        <v>117</v>
      </c>
      <c r="B174" s="570" t="s">
        <v>138</v>
      </c>
      <c r="C174" s="571">
        <v>2999999000</v>
      </c>
      <c r="D174" s="572" t="s">
        <v>2</v>
      </c>
    </row>
    <row r="175" spans="1:4" x14ac:dyDescent="0.25">
      <c r="A175" s="569" t="s">
        <v>122</v>
      </c>
      <c r="B175" s="570" t="s">
        <v>1354</v>
      </c>
      <c r="C175" s="571">
        <v>3010101000</v>
      </c>
      <c r="D175" s="572" t="s">
        <v>2</v>
      </c>
    </row>
    <row r="176" spans="1:4" x14ac:dyDescent="0.25">
      <c r="A176" s="569" t="s">
        <v>123</v>
      </c>
      <c r="B176" s="570" t="s">
        <v>1355</v>
      </c>
      <c r="C176" s="571">
        <v>3010101000</v>
      </c>
      <c r="D176" s="572" t="s">
        <v>2</v>
      </c>
    </row>
    <row r="177" spans="1:4" x14ac:dyDescent="0.25">
      <c r="A177" s="569" t="s">
        <v>124</v>
      </c>
      <c r="B177" s="570" t="s">
        <v>1356</v>
      </c>
      <c r="C177" s="571">
        <v>3030101000</v>
      </c>
      <c r="D177" s="572" t="s">
        <v>2</v>
      </c>
    </row>
    <row r="178" spans="1:4" x14ac:dyDescent="0.25">
      <c r="A178" s="569" t="s">
        <v>126</v>
      </c>
      <c r="B178" s="570" t="s">
        <v>1357</v>
      </c>
      <c r="C178" s="571">
        <v>4020199099</v>
      </c>
      <c r="D178" s="572" t="s">
        <v>2</v>
      </c>
    </row>
    <row r="179" spans="1:4" x14ac:dyDescent="0.25">
      <c r="A179" s="569" t="s">
        <v>721</v>
      </c>
      <c r="B179" s="570" t="s">
        <v>1358</v>
      </c>
      <c r="C179" s="571">
        <v>4020199099</v>
      </c>
      <c r="D179" s="572" t="s">
        <v>2</v>
      </c>
    </row>
    <row r="180" spans="1:4" x14ac:dyDescent="0.25">
      <c r="A180" s="569" t="s">
        <v>127</v>
      </c>
      <c r="B180" s="570" t="s">
        <v>1359</v>
      </c>
      <c r="C180" s="571">
        <v>4020199099</v>
      </c>
      <c r="D180" s="572" t="s">
        <v>2</v>
      </c>
    </row>
    <row r="181" spans="1:4" x14ac:dyDescent="0.25">
      <c r="A181" s="569" t="s">
        <v>128</v>
      </c>
      <c r="B181" s="570" t="s">
        <v>1360</v>
      </c>
      <c r="C181" s="571">
        <v>4020199099</v>
      </c>
      <c r="D181" s="572" t="s">
        <v>2</v>
      </c>
    </row>
    <row r="182" spans="1:4" x14ac:dyDescent="0.25">
      <c r="A182" s="569" t="s">
        <v>129</v>
      </c>
      <c r="B182" s="570" t="s">
        <v>1361</v>
      </c>
      <c r="C182" s="571">
        <v>4020199099</v>
      </c>
      <c r="D182" s="572" t="s">
        <v>2</v>
      </c>
    </row>
    <row r="183" spans="1:4" x14ac:dyDescent="0.25">
      <c r="A183" s="569" t="s">
        <v>131</v>
      </c>
      <c r="B183" s="570" t="s">
        <v>1362</v>
      </c>
      <c r="C183" s="571">
        <v>4020199099</v>
      </c>
      <c r="D183" s="572" t="s">
        <v>2</v>
      </c>
    </row>
    <row r="184" spans="1:4" x14ac:dyDescent="0.25">
      <c r="A184" s="569" t="s">
        <v>140</v>
      </c>
      <c r="B184" s="570" t="s">
        <v>1363</v>
      </c>
      <c r="C184" s="571">
        <v>4020199099</v>
      </c>
      <c r="D184" s="572" t="s">
        <v>2</v>
      </c>
    </row>
    <row r="185" spans="1:4" x14ac:dyDescent="0.25">
      <c r="A185" s="569" t="s">
        <v>141</v>
      </c>
      <c r="B185" s="570" t="s">
        <v>1454</v>
      </c>
      <c r="C185" s="571">
        <v>4020199099</v>
      </c>
      <c r="D185" s="572" t="s">
        <v>2</v>
      </c>
    </row>
    <row r="186" spans="1:4" x14ac:dyDescent="0.25">
      <c r="A186" s="569" t="s">
        <v>142</v>
      </c>
      <c r="B186" s="570" t="s">
        <v>1455</v>
      </c>
      <c r="C186" s="571">
        <v>4020199099</v>
      </c>
      <c r="D186" s="572" t="s">
        <v>2</v>
      </c>
    </row>
    <row r="187" spans="1:4" x14ac:dyDescent="0.25">
      <c r="A187" s="569" t="s">
        <v>1540</v>
      </c>
      <c r="B187" s="570" t="s">
        <v>1541</v>
      </c>
      <c r="C187" s="571">
        <v>4020205000</v>
      </c>
      <c r="D187" s="572" t="s">
        <v>2</v>
      </c>
    </row>
    <row r="188" spans="1:4" x14ac:dyDescent="0.25">
      <c r="A188" s="569" t="s">
        <v>146</v>
      </c>
      <c r="B188" s="570" t="s">
        <v>182</v>
      </c>
      <c r="C188" s="571">
        <v>4020205001</v>
      </c>
      <c r="D188" s="572" t="s">
        <v>2</v>
      </c>
    </row>
    <row r="189" spans="1:4" x14ac:dyDescent="0.25">
      <c r="A189" s="569" t="s">
        <v>147</v>
      </c>
      <c r="B189" s="570" t="s">
        <v>183</v>
      </c>
      <c r="C189" s="571">
        <v>4020205002</v>
      </c>
      <c r="D189" s="572" t="s">
        <v>2</v>
      </c>
    </row>
    <row r="190" spans="1:4" x14ac:dyDescent="0.25">
      <c r="A190" s="569" t="s">
        <v>148</v>
      </c>
      <c r="B190" s="570" t="s">
        <v>184</v>
      </c>
      <c r="C190" s="571">
        <v>4020205003</v>
      </c>
      <c r="D190" s="572" t="s">
        <v>2</v>
      </c>
    </row>
    <row r="191" spans="1:4" x14ac:dyDescent="0.25">
      <c r="A191" s="569" t="s">
        <v>149</v>
      </c>
      <c r="B191" s="570" t="s">
        <v>185</v>
      </c>
      <c r="C191" s="571">
        <v>4020205004</v>
      </c>
      <c r="D191" s="572" t="s">
        <v>2</v>
      </c>
    </row>
    <row r="192" spans="1:4" x14ac:dyDescent="0.25">
      <c r="A192" s="569" t="s">
        <v>150</v>
      </c>
      <c r="B192" s="570" t="s">
        <v>1364</v>
      </c>
      <c r="C192" s="571">
        <v>4020213000</v>
      </c>
      <c r="D192" s="572" t="s">
        <v>2</v>
      </c>
    </row>
    <row r="193" spans="1:4" x14ac:dyDescent="0.25">
      <c r="A193" s="569" t="s">
        <v>154</v>
      </c>
      <c r="B193" s="570" t="s">
        <v>188</v>
      </c>
      <c r="C193" s="571">
        <v>4020221000</v>
      </c>
      <c r="D193" s="572" t="s">
        <v>2</v>
      </c>
    </row>
    <row r="194" spans="1:4" x14ac:dyDescent="0.25">
      <c r="A194" s="569" t="s">
        <v>143</v>
      </c>
      <c r="B194" s="570" t="s">
        <v>1365</v>
      </c>
      <c r="C194" s="571">
        <v>4020223000</v>
      </c>
      <c r="D194" s="572" t="s">
        <v>2</v>
      </c>
    </row>
    <row r="195" spans="1:4" x14ac:dyDescent="0.25">
      <c r="A195" s="569" t="s">
        <v>151</v>
      </c>
      <c r="B195" s="570" t="s">
        <v>1366</v>
      </c>
      <c r="C195" s="571">
        <v>4030101000</v>
      </c>
      <c r="D195" s="572" t="s">
        <v>2</v>
      </c>
    </row>
    <row r="196" spans="1:4" x14ac:dyDescent="0.25">
      <c r="A196" s="569" t="s">
        <v>1230</v>
      </c>
      <c r="B196" s="570" t="s">
        <v>532</v>
      </c>
      <c r="C196" s="571">
        <v>4030103000</v>
      </c>
      <c r="D196" s="572" t="s">
        <v>2</v>
      </c>
    </row>
    <row r="197" spans="1:4" x14ac:dyDescent="0.25">
      <c r="A197" s="569" t="s">
        <v>1232</v>
      </c>
      <c r="B197" s="570" t="s">
        <v>1367</v>
      </c>
      <c r="C197" s="571">
        <v>4030105000</v>
      </c>
      <c r="D197" s="572" t="s">
        <v>2</v>
      </c>
    </row>
    <row r="198" spans="1:4" x14ac:dyDescent="0.25">
      <c r="A198" s="569" t="s">
        <v>152</v>
      </c>
      <c r="B198" s="570" t="s">
        <v>1368</v>
      </c>
      <c r="C198" s="571">
        <v>4030106000</v>
      </c>
      <c r="D198" s="572" t="s">
        <v>2</v>
      </c>
    </row>
    <row r="199" spans="1:4" x14ac:dyDescent="0.25">
      <c r="A199" s="569" t="s">
        <v>1231</v>
      </c>
      <c r="B199" s="570" t="s">
        <v>1369</v>
      </c>
      <c r="C199" s="571">
        <v>4030107000</v>
      </c>
      <c r="D199" s="572" t="s">
        <v>2</v>
      </c>
    </row>
    <row r="200" spans="1:4" x14ac:dyDescent="0.25">
      <c r="A200" s="569" t="s">
        <v>156</v>
      </c>
      <c r="B200" s="570" t="s">
        <v>1370</v>
      </c>
      <c r="C200" s="571">
        <v>4060102000</v>
      </c>
      <c r="D200" s="572" t="s">
        <v>2</v>
      </c>
    </row>
    <row r="201" spans="1:4" x14ac:dyDescent="0.25">
      <c r="A201" s="569" t="s">
        <v>155</v>
      </c>
      <c r="B201" s="570" t="s">
        <v>1371</v>
      </c>
      <c r="C201" s="571">
        <v>4060999000</v>
      </c>
      <c r="D201" s="572" t="s">
        <v>2</v>
      </c>
    </row>
    <row r="202" spans="1:4" x14ac:dyDescent="0.25">
      <c r="A202" s="569" t="s">
        <v>159</v>
      </c>
      <c r="B202" s="570" t="s">
        <v>1542</v>
      </c>
      <c r="C202" s="571">
        <v>4060999000</v>
      </c>
      <c r="D202" s="572" t="s">
        <v>2</v>
      </c>
    </row>
    <row r="203" spans="1:4" x14ac:dyDescent="0.25">
      <c r="A203" s="569" t="s">
        <v>160</v>
      </c>
      <c r="B203" s="570" t="s">
        <v>1372</v>
      </c>
      <c r="C203" s="571">
        <v>4060999000</v>
      </c>
      <c r="D203" s="572" t="s">
        <v>2</v>
      </c>
    </row>
    <row r="204" spans="1:4" x14ac:dyDescent="0.25">
      <c r="A204" s="569" t="s">
        <v>352</v>
      </c>
      <c r="B204" s="570" t="s">
        <v>1373</v>
      </c>
      <c r="C204" s="571">
        <v>4060999000</v>
      </c>
      <c r="D204" s="572" t="s">
        <v>2</v>
      </c>
    </row>
    <row r="205" spans="1:4" x14ac:dyDescent="0.25">
      <c r="A205" s="569" t="s">
        <v>162</v>
      </c>
      <c r="B205" s="570" t="s">
        <v>1374</v>
      </c>
      <c r="C205" s="571">
        <v>5010101000</v>
      </c>
      <c r="D205" s="572" t="s">
        <v>1</v>
      </c>
    </row>
    <row r="206" spans="1:4" x14ac:dyDescent="0.25">
      <c r="A206" s="569" t="s">
        <v>163</v>
      </c>
      <c r="B206" s="570" t="s">
        <v>1203</v>
      </c>
      <c r="C206" s="571">
        <v>5010102000</v>
      </c>
      <c r="D206" s="572" t="s">
        <v>1</v>
      </c>
    </row>
    <row r="207" spans="1:4" x14ac:dyDescent="0.25">
      <c r="A207" s="569" t="s">
        <v>164</v>
      </c>
      <c r="B207" s="570" t="s">
        <v>1578</v>
      </c>
      <c r="C207" s="571">
        <v>5010201000</v>
      </c>
      <c r="D207" s="572" t="s">
        <v>1</v>
      </c>
    </row>
    <row r="208" spans="1:4" x14ac:dyDescent="0.25">
      <c r="A208" s="569" t="s">
        <v>165</v>
      </c>
      <c r="B208" s="570" t="s">
        <v>198</v>
      </c>
      <c r="C208" s="571">
        <v>5010202000</v>
      </c>
      <c r="D208" s="572" t="s">
        <v>1</v>
      </c>
    </row>
    <row r="209" spans="1:4" x14ac:dyDescent="0.25">
      <c r="A209" s="569" t="s">
        <v>166</v>
      </c>
      <c r="B209" s="570" t="s">
        <v>199</v>
      </c>
      <c r="C209" s="571">
        <v>5010203000</v>
      </c>
      <c r="D209" s="572" t="s">
        <v>1</v>
      </c>
    </row>
    <row r="210" spans="1:4" x14ac:dyDescent="0.25">
      <c r="A210" s="569" t="s">
        <v>167</v>
      </c>
      <c r="B210" s="570" t="s">
        <v>200</v>
      </c>
      <c r="C210" s="571">
        <v>5010204000</v>
      </c>
      <c r="D210" s="572" t="s">
        <v>1</v>
      </c>
    </row>
    <row r="211" spans="1:4" x14ac:dyDescent="0.25">
      <c r="A211" s="569" t="s">
        <v>1262</v>
      </c>
      <c r="B211" s="570" t="s">
        <v>1204</v>
      </c>
      <c r="C211" s="571">
        <v>5010205000</v>
      </c>
      <c r="D211" s="572" t="s">
        <v>1</v>
      </c>
    </row>
    <row r="212" spans="1:4" x14ac:dyDescent="0.25">
      <c r="A212" s="569" t="s">
        <v>1263</v>
      </c>
      <c r="B212" s="570" t="s">
        <v>1375</v>
      </c>
      <c r="C212" s="571">
        <v>5010206000</v>
      </c>
      <c r="D212" s="572" t="s">
        <v>1</v>
      </c>
    </row>
    <row r="213" spans="1:4" x14ac:dyDescent="0.25">
      <c r="A213" s="569" t="s">
        <v>1264</v>
      </c>
      <c r="B213" s="570" t="s">
        <v>1205</v>
      </c>
      <c r="C213" s="571">
        <v>5010207000</v>
      </c>
      <c r="D213" s="572" t="s">
        <v>1</v>
      </c>
    </row>
    <row r="214" spans="1:4" x14ac:dyDescent="0.25">
      <c r="A214" s="569" t="s">
        <v>171</v>
      </c>
      <c r="B214" s="570" t="s">
        <v>204</v>
      </c>
      <c r="C214" s="571">
        <v>5010208000</v>
      </c>
      <c r="D214" s="572" t="s">
        <v>1</v>
      </c>
    </row>
    <row r="215" spans="1:4" x14ac:dyDescent="0.25">
      <c r="A215" s="569" t="s">
        <v>173</v>
      </c>
      <c r="B215" s="570" t="s">
        <v>206</v>
      </c>
      <c r="C215" s="571">
        <v>5010210000</v>
      </c>
      <c r="D215" s="572" t="s">
        <v>1</v>
      </c>
    </row>
    <row r="216" spans="1:4" x14ac:dyDescent="0.25">
      <c r="A216" s="569" t="s">
        <v>215</v>
      </c>
      <c r="B216" s="570" t="s">
        <v>220</v>
      </c>
      <c r="C216" s="571">
        <v>5010211000</v>
      </c>
      <c r="D216" s="572" t="s">
        <v>1</v>
      </c>
    </row>
    <row r="217" spans="1:4" x14ac:dyDescent="0.25">
      <c r="A217" s="569" t="s">
        <v>216</v>
      </c>
      <c r="B217" s="570" t="s">
        <v>221</v>
      </c>
      <c r="C217" s="571">
        <v>5010212000</v>
      </c>
      <c r="D217" s="572" t="s">
        <v>1</v>
      </c>
    </row>
    <row r="218" spans="1:4" x14ac:dyDescent="0.25">
      <c r="A218" s="569" t="s">
        <v>214</v>
      </c>
      <c r="B218" s="570" t="s">
        <v>219</v>
      </c>
      <c r="C218" s="571">
        <v>5010213000</v>
      </c>
      <c r="D218" s="572" t="s">
        <v>1</v>
      </c>
    </row>
    <row r="219" spans="1:4" x14ac:dyDescent="0.25">
      <c r="A219" s="569" t="s">
        <v>174</v>
      </c>
      <c r="B219" s="570" t="s">
        <v>1456</v>
      </c>
      <c r="C219" s="571">
        <v>5010214000</v>
      </c>
      <c r="D219" s="572" t="s">
        <v>1</v>
      </c>
    </row>
    <row r="220" spans="1:4" x14ac:dyDescent="0.25">
      <c r="A220" s="969" t="s">
        <v>1648</v>
      </c>
      <c r="B220" s="970" t="s">
        <v>1649</v>
      </c>
      <c r="C220" s="971">
        <v>5010216000</v>
      </c>
      <c r="D220" s="572" t="s">
        <v>1</v>
      </c>
    </row>
    <row r="221" spans="1:4" x14ac:dyDescent="0.25">
      <c r="A221" s="569" t="s">
        <v>172</v>
      </c>
      <c r="B221" s="570" t="s">
        <v>205</v>
      </c>
      <c r="C221" s="571">
        <v>5010215000</v>
      </c>
      <c r="D221" s="572" t="s">
        <v>1</v>
      </c>
    </row>
    <row r="222" spans="1:4" x14ac:dyDescent="0.25">
      <c r="A222" s="569" t="s">
        <v>168</v>
      </c>
      <c r="B222" s="570" t="s">
        <v>1376</v>
      </c>
      <c r="C222" s="571">
        <v>5010299011</v>
      </c>
      <c r="D222" s="572" t="s">
        <v>1</v>
      </c>
    </row>
    <row r="223" spans="1:4" x14ac:dyDescent="0.25">
      <c r="A223" s="569" t="s">
        <v>170</v>
      </c>
      <c r="B223" s="570" t="s">
        <v>1377</v>
      </c>
      <c r="C223" s="571">
        <v>5010299012</v>
      </c>
      <c r="D223" s="572" t="s">
        <v>1</v>
      </c>
    </row>
    <row r="224" spans="1:4" x14ac:dyDescent="0.25">
      <c r="A224" s="569" t="s">
        <v>5</v>
      </c>
      <c r="B224" s="570" t="s">
        <v>201</v>
      </c>
      <c r="C224" s="571">
        <v>5010299034</v>
      </c>
      <c r="D224" s="572" t="s">
        <v>1</v>
      </c>
    </row>
    <row r="225" spans="1:4" x14ac:dyDescent="0.25">
      <c r="A225" s="569" t="s">
        <v>6</v>
      </c>
      <c r="B225" s="570" t="s">
        <v>202</v>
      </c>
      <c r="C225" s="571">
        <v>5010299035</v>
      </c>
      <c r="D225" s="572" t="s">
        <v>1</v>
      </c>
    </row>
    <row r="226" spans="1:4" x14ac:dyDescent="0.25">
      <c r="A226" s="569" t="s">
        <v>7</v>
      </c>
      <c r="B226" s="570" t="s">
        <v>203</v>
      </c>
      <c r="C226" s="571">
        <v>5010299036</v>
      </c>
      <c r="D226" s="572" t="s">
        <v>1</v>
      </c>
    </row>
    <row r="227" spans="1:4" x14ac:dyDescent="0.25">
      <c r="A227" s="569" t="s">
        <v>169</v>
      </c>
      <c r="B227" s="570" t="s">
        <v>1378</v>
      </c>
      <c r="C227" s="571">
        <v>5010299037</v>
      </c>
      <c r="D227" s="572" t="s">
        <v>1</v>
      </c>
    </row>
    <row r="228" spans="1:4" x14ac:dyDescent="0.25">
      <c r="A228" s="569" t="s">
        <v>1510</v>
      </c>
      <c r="B228" s="570" t="s">
        <v>1511</v>
      </c>
      <c r="C228" s="571">
        <v>5010299014</v>
      </c>
      <c r="D228" s="572" t="s">
        <v>1</v>
      </c>
    </row>
    <row r="229" spans="1:4" x14ac:dyDescent="0.25">
      <c r="A229" s="569" t="s">
        <v>175</v>
      </c>
      <c r="B229" s="570" t="s">
        <v>1206</v>
      </c>
      <c r="C229" s="571">
        <v>5010301000</v>
      </c>
      <c r="D229" s="572" t="s">
        <v>1</v>
      </c>
    </row>
    <row r="230" spans="1:4" x14ac:dyDescent="0.25">
      <c r="A230" s="569" t="s">
        <v>176</v>
      </c>
      <c r="B230" s="570" t="s">
        <v>1379</v>
      </c>
      <c r="C230" s="571">
        <v>5010302000</v>
      </c>
      <c r="D230" s="572" t="s">
        <v>1</v>
      </c>
    </row>
    <row r="231" spans="1:4" x14ac:dyDescent="0.25">
      <c r="A231" s="569" t="s">
        <v>177</v>
      </c>
      <c r="B231" s="570" t="s">
        <v>1380</v>
      </c>
      <c r="C231" s="571">
        <v>5010303000</v>
      </c>
      <c r="D231" s="572" t="s">
        <v>1</v>
      </c>
    </row>
    <row r="232" spans="1:4" x14ac:dyDescent="0.25">
      <c r="A232" s="569" t="s">
        <v>178</v>
      </c>
      <c r="B232" s="570" t="s">
        <v>1207</v>
      </c>
      <c r="C232" s="571">
        <v>5010304000</v>
      </c>
      <c r="D232" s="572" t="s">
        <v>1</v>
      </c>
    </row>
    <row r="233" spans="1:4" x14ac:dyDescent="0.25">
      <c r="A233" s="569" t="s">
        <v>179</v>
      </c>
      <c r="B233" s="570" t="s">
        <v>795</v>
      </c>
      <c r="C233" s="571">
        <v>5010402000</v>
      </c>
      <c r="D233" s="572" t="s">
        <v>1</v>
      </c>
    </row>
    <row r="234" spans="1:4" x14ac:dyDescent="0.25">
      <c r="A234" s="569" t="s">
        <v>212</v>
      </c>
      <c r="B234" s="570" t="s">
        <v>217</v>
      </c>
      <c r="C234" s="571">
        <v>5010403000</v>
      </c>
      <c r="D234" s="572" t="s">
        <v>1</v>
      </c>
    </row>
    <row r="235" spans="1:4" x14ac:dyDescent="0.25">
      <c r="A235" s="569" t="s">
        <v>213</v>
      </c>
      <c r="B235" s="570" t="s">
        <v>218</v>
      </c>
      <c r="C235" s="571">
        <v>5010499099</v>
      </c>
      <c r="D235" s="572" t="s">
        <v>1</v>
      </c>
    </row>
    <row r="236" spans="1:4" x14ac:dyDescent="0.25">
      <c r="A236" s="569" t="s">
        <v>223</v>
      </c>
      <c r="B236" s="570" t="s">
        <v>1381</v>
      </c>
      <c r="C236" s="571">
        <v>5020101000</v>
      </c>
      <c r="D236" s="572" t="s">
        <v>1</v>
      </c>
    </row>
    <row r="237" spans="1:4" x14ac:dyDescent="0.25">
      <c r="A237" s="569" t="s">
        <v>1233</v>
      </c>
      <c r="B237" s="570" t="s">
        <v>1382</v>
      </c>
      <c r="C237" s="571">
        <v>5020102000</v>
      </c>
      <c r="D237" s="572" t="s">
        <v>1</v>
      </c>
    </row>
    <row r="238" spans="1:4" x14ac:dyDescent="0.25">
      <c r="A238" s="569" t="s">
        <v>224</v>
      </c>
      <c r="B238" s="570" t="s">
        <v>285</v>
      </c>
      <c r="C238" s="571">
        <v>5020201000</v>
      </c>
      <c r="D238" s="572" t="s">
        <v>1</v>
      </c>
    </row>
    <row r="239" spans="1:4" x14ac:dyDescent="0.25">
      <c r="A239" s="569" t="s">
        <v>1234</v>
      </c>
      <c r="B239" s="570" t="s">
        <v>1208</v>
      </c>
      <c r="C239" s="571">
        <v>5020202000</v>
      </c>
      <c r="D239" s="572" t="s">
        <v>1</v>
      </c>
    </row>
    <row r="240" spans="1:4" x14ac:dyDescent="0.25">
      <c r="A240" s="569" t="s">
        <v>225</v>
      </c>
      <c r="B240" s="570" t="s">
        <v>286</v>
      </c>
      <c r="C240" s="571">
        <v>5020301000</v>
      </c>
      <c r="D240" s="572" t="s">
        <v>1</v>
      </c>
    </row>
    <row r="241" spans="1:4" x14ac:dyDescent="0.25">
      <c r="A241" s="569" t="s">
        <v>226</v>
      </c>
      <c r="B241" s="570" t="s">
        <v>287</v>
      </c>
      <c r="C241" s="571">
        <v>5020302000</v>
      </c>
      <c r="D241" s="572" t="s">
        <v>1</v>
      </c>
    </row>
    <row r="242" spans="1:4" x14ac:dyDescent="0.25">
      <c r="A242" s="569" t="s">
        <v>1235</v>
      </c>
      <c r="B242" s="570" t="s">
        <v>1383</v>
      </c>
      <c r="C242" s="571">
        <v>5020305000</v>
      </c>
      <c r="D242" s="572" t="s">
        <v>1</v>
      </c>
    </row>
    <row r="243" spans="1:4" x14ac:dyDescent="0.25">
      <c r="A243" s="569" t="s">
        <v>227</v>
      </c>
      <c r="B243" s="570" t="s">
        <v>288</v>
      </c>
      <c r="C243" s="571">
        <v>5020307000</v>
      </c>
      <c r="D243" s="572" t="s">
        <v>1</v>
      </c>
    </row>
    <row r="244" spans="1:4" x14ac:dyDescent="0.25">
      <c r="A244" s="569" t="s">
        <v>228</v>
      </c>
      <c r="B244" s="570" t="s">
        <v>1384</v>
      </c>
      <c r="C244" s="571">
        <v>5020308000</v>
      </c>
      <c r="D244" s="572" t="s">
        <v>1</v>
      </c>
    </row>
    <row r="245" spans="1:4" x14ac:dyDescent="0.25">
      <c r="A245" s="569" t="s">
        <v>229</v>
      </c>
      <c r="B245" s="570" t="s">
        <v>1209</v>
      </c>
      <c r="C245" s="571">
        <v>5020309000</v>
      </c>
      <c r="D245" s="572" t="s">
        <v>1</v>
      </c>
    </row>
    <row r="246" spans="1:4" x14ac:dyDescent="0.25">
      <c r="A246" s="569" t="s">
        <v>230</v>
      </c>
      <c r="B246" s="570" t="s">
        <v>290</v>
      </c>
      <c r="C246" s="571">
        <v>5020311000</v>
      </c>
      <c r="D246" s="572" t="s">
        <v>1</v>
      </c>
    </row>
    <row r="247" spans="1:4" x14ac:dyDescent="0.25">
      <c r="A247" s="569" t="s">
        <v>1236</v>
      </c>
      <c r="B247" s="570" t="s">
        <v>1210</v>
      </c>
      <c r="C247" s="571">
        <v>5020312000</v>
      </c>
      <c r="D247" s="572" t="s">
        <v>1</v>
      </c>
    </row>
    <row r="248" spans="1:4" x14ac:dyDescent="0.25">
      <c r="A248" s="569" t="s">
        <v>1265</v>
      </c>
      <c r="B248" s="570" t="s">
        <v>1212</v>
      </c>
      <c r="C248" s="571">
        <v>5020321000</v>
      </c>
      <c r="D248" s="572" t="s">
        <v>1</v>
      </c>
    </row>
    <row r="249" spans="1:4" x14ac:dyDescent="0.25">
      <c r="A249" s="569" t="s">
        <v>1266</v>
      </c>
      <c r="B249" s="570" t="s">
        <v>1213</v>
      </c>
      <c r="C249" s="571">
        <v>5020322000</v>
      </c>
      <c r="D249" s="572" t="s">
        <v>1</v>
      </c>
    </row>
    <row r="250" spans="1:4" x14ac:dyDescent="0.25">
      <c r="A250" s="569" t="s">
        <v>231</v>
      </c>
      <c r="B250" s="570" t="s">
        <v>1211</v>
      </c>
      <c r="C250" s="571">
        <v>5020399000</v>
      </c>
      <c r="D250" s="572" t="s">
        <v>1</v>
      </c>
    </row>
    <row r="251" spans="1:4" x14ac:dyDescent="0.25">
      <c r="A251" s="569" t="s">
        <v>232</v>
      </c>
      <c r="B251" s="570" t="s">
        <v>292</v>
      </c>
      <c r="C251" s="571">
        <v>5020401000</v>
      </c>
      <c r="D251" s="572" t="s">
        <v>1</v>
      </c>
    </row>
    <row r="252" spans="1:4" x14ac:dyDescent="0.25">
      <c r="A252" s="569" t="s">
        <v>233</v>
      </c>
      <c r="B252" s="570" t="s">
        <v>293</v>
      </c>
      <c r="C252" s="571">
        <v>5020402000</v>
      </c>
      <c r="D252" s="572" t="s">
        <v>1</v>
      </c>
    </row>
    <row r="253" spans="1:4" x14ac:dyDescent="0.25">
      <c r="A253" s="569" t="s">
        <v>1237</v>
      </c>
      <c r="B253" s="570" t="s">
        <v>1214</v>
      </c>
      <c r="C253" s="571">
        <v>5020499000</v>
      </c>
      <c r="D253" s="572" t="s">
        <v>1</v>
      </c>
    </row>
    <row r="254" spans="1:4" x14ac:dyDescent="0.25">
      <c r="A254" s="569" t="s">
        <v>234</v>
      </c>
      <c r="B254" s="570" t="s">
        <v>1385</v>
      </c>
      <c r="C254" s="571">
        <v>5020501000</v>
      </c>
      <c r="D254" s="572" t="s">
        <v>1</v>
      </c>
    </row>
    <row r="255" spans="1:4" x14ac:dyDescent="0.25">
      <c r="A255" s="569" t="s">
        <v>236</v>
      </c>
      <c r="B255" s="570" t="s">
        <v>296</v>
      </c>
      <c r="C255" s="571">
        <v>5020502001</v>
      </c>
      <c r="D255" s="572" t="s">
        <v>1</v>
      </c>
    </row>
    <row r="256" spans="1:4" x14ac:dyDescent="0.25">
      <c r="A256" s="569" t="s">
        <v>235</v>
      </c>
      <c r="B256" s="570" t="s">
        <v>295</v>
      </c>
      <c r="C256" s="571">
        <v>5020502002</v>
      </c>
      <c r="D256" s="572" t="s">
        <v>1</v>
      </c>
    </row>
    <row r="257" spans="1:4" x14ac:dyDescent="0.25">
      <c r="A257" s="569" t="s">
        <v>237</v>
      </c>
      <c r="B257" s="570" t="s">
        <v>1215</v>
      </c>
      <c r="C257" s="571">
        <v>5020503000</v>
      </c>
      <c r="D257" s="572" t="s">
        <v>1</v>
      </c>
    </row>
    <row r="258" spans="1:4" x14ac:dyDescent="0.25">
      <c r="A258" s="569" t="s">
        <v>238</v>
      </c>
      <c r="B258" s="570" t="s">
        <v>298</v>
      </c>
      <c r="C258" s="571">
        <v>5020504000</v>
      </c>
      <c r="D258" s="572" t="s">
        <v>1</v>
      </c>
    </row>
    <row r="259" spans="1:4" x14ac:dyDescent="0.25">
      <c r="A259" s="569" t="s">
        <v>1238</v>
      </c>
      <c r="B259" s="570" t="s">
        <v>1216</v>
      </c>
      <c r="C259" s="571">
        <v>5020601000</v>
      </c>
      <c r="D259" s="572" t="s">
        <v>1</v>
      </c>
    </row>
    <row r="260" spans="1:4" x14ac:dyDescent="0.25">
      <c r="A260" s="569" t="s">
        <v>1267</v>
      </c>
      <c r="B260" s="570" t="s">
        <v>1217</v>
      </c>
      <c r="C260" s="571">
        <v>5020603000</v>
      </c>
      <c r="D260" s="572" t="s">
        <v>1</v>
      </c>
    </row>
    <row r="261" spans="1:4" x14ac:dyDescent="0.25">
      <c r="A261" s="569" t="s">
        <v>246</v>
      </c>
      <c r="B261" s="570" t="s">
        <v>303</v>
      </c>
      <c r="C261" s="571">
        <v>5021101000</v>
      </c>
      <c r="D261" s="572" t="s">
        <v>1</v>
      </c>
    </row>
    <row r="262" spans="1:4" x14ac:dyDescent="0.25">
      <c r="A262" s="569" t="s">
        <v>222</v>
      </c>
      <c r="B262" s="570" t="s">
        <v>304</v>
      </c>
      <c r="C262" s="571">
        <v>5021102000</v>
      </c>
      <c r="D262" s="572" t="s">
        <v>1</v>
      </c>
    </row>
    <row r="263" spans="1:4" x14ac:dyDescent="0.25">
      <c r="A263" s="569" t="s">
        <v>247</v>
      </c>
      <c r="B263" s="570" t="s">
        <v>1023</v>
      </c>
      <c r="C263" s="571">
        <v>5021103000</v>
      </c>
      <c r="D263" s="572" t="s">
        <v>1</v>
      </c>
    </row>
    <row r="264" spans="1:4" x14ac:dyDescent="0.25">
      <c r="A264" s="569" t="s">
        <v>250</v>
      </c>
      <c r="B264" s="570" t="s">
        <v>306</v>
      </c>
      <c r="C264" s="571">
        <v>5021199000</v>
      </c>
      <c r="D264" s="572" t="s">
        <v>1</v>
      </c>
    </row>
    <row r="265" spans="1:4" x14ac:dyDescent="0.25">
      <c r="A265" s="569" t="s">
        <v>249</v>
      </c>
      <c r="B265" s="570" t="s">
        <v>305</v>
      </c>
      <c r="C265" s="571">
        <v>5021202000</v>
      </c>
      <c r="D265" s="572" t="s">
        <v>1</v>
      </c>
    </row>
    <row r="266" spans="1:4" x14ac:dyDescent="0.25">
      <c r="A266" s="569" t="s">
        <v>1239</v>
      </c>
      <c r="B266" s="570" t="s">
        <v>1220</v>
      </c>
      <c r="C266" s="571">
        <v>5021203000</v>
      </c>
      <c r="D266" s="572" t="s">
        <v>1</v>
      </c>
    </row>
    <row r="267" spans="1:4" x14ac:dyDescent="0.25">
      <c r="A267" s="569" t="s">
        <v>248</v>
      </c>
      <c r="B267" s="570" t="s">
        <v>842</v>
      </c>
      <c r="C267" s="571">
        <v>5021299000</v>
      </c>
      <c r="D267" s="572" t="s">
        <v>1</v>
      </c>
    </row>
    <row r="268" spans="1:4" x14ac:dyDescent="0.25">
      <c r="A268" s="569" t="s">
        <v>1240</v>
      </c>
      <c r="B268" s="570" t="s">
        <v>1386</v>
      </c>
      <c r="C268" s="571">
        <v>5021302000</v>
      </c>
      <c r="D268" s="572" t="s">
        <v>1</v>
      </c>
    </row>
    <row r="269" spans="1:4" x14ac:dyDescent="0.25">
      <c r="A269" s="569" t="s">
        <v>266</v>
      </c>
      <c r="B269" s="570" t="s">
        <v>1387</v>
      </c>
      <c r="C269" s="571">
        <v>5021303097</v>
      </c>
      <c r="D269" s="572" t="s">
        <v>1</v>
      </c>
    </row>
    <row r="270" spans="1:4" x14ac:dyDescent="0.25">
      <c r="A270" s="569" t="s">
        <v>267</v>
      </c>
      <c r="B270" s="570" t="s">
        <v>1388</v>
      </c>
      <c r="C270" s="571">
        <v>5021303098</v>
      </c>
      <c r="D270" s="572" t="s">
        <v>1</v>
      </c>
    </row>
    <row r="271" spans="1:4" x14ac:dyDescent="0.25">
      <c r="A271" s="569" t="s">
        <v>251</v>
      </c>
      <c r="B271" s="570" t="s">
        <v>1389</v>
      </c>
      <c r="C271" s="571">
        <v>5021304001</v>
      </c>
      <c r="D271" s="572" t="s">
        <v>1</v>
      </c>
    </row>
    <row r="272" spans="1:4" x14ac:dyDescent="0.25">
      <c r="A272" s="569" t="s">
        <v>252</v>
      </c>
      <c r="B272" s="570" t="s">
        <v>1390</v>
      </c>
      <c r="C272" s="571">
        <v>5021304099</v>
      </c>
      <c r="D272" s="572" t="s">
        <v>1</v>
      </c>
    </row>
    <row r="273" spans="1:4" x14ac:dyDescent="0.25">
      <c r="A273" s="569" t="s">
        <v>256</v>
      </c>
      <c r="B273" s="570" t="s">
        <v>1391</v>
      </c>
      <c r="C273" s="571">
        <v>5021305001</v>
      </c>
      <c r="D273" s="572" t="s">
        <v>1</v>
      </c>
    </row>
    <row r="274" spans="1:4" x14ac:dyDescent="0.25">
      <c r="A274" s="569" t="s">
        <v>253</v>
      </c>
      <c r="B274" s="570" t="s">
        <v>1392</v>
      </c>
      <c r="C274" s="571">
        <v>5021305002</v>
      </c>
      <c r="D274" s="572" t="s">
        <v>1</v>
      </c>
    </row>
    <row r="275" spans="1:4" x14ac:dyDescent="0.25">
      <c r="A275" s="569" t="s">
        <v>255</v>
      </c>
      <c r="B275" s="570" t="s">
        <v>1393</v>
      </c>
      <c r="C275" s="571">
        <v>5021305003</v>
      </c>
      <c r="D275" s="572" t="s">
        <v>1</v>
      </c>
    </row>
    <row r="276" spans="1:4" x14ac:dyDescent="0.25">
      <c r="A276" s="569" t="s">
        <v>257</v>
      </c>
      <c r="B276" s="570" t="s">
        <v>1394</v>
      </c>
      <c r="C276" s="571">
        <v>5021305007</v>
      </c>
      <c r="D276" s="572" t="s">
        <v>1</v>
      </c>
    </row>
    <row r="277" spans="1:4" x14ac:dyDescent="0.25">
      <c r="A277" s="569" t="s">
        <v>258</v>
      </c>
      <c r="B277" s="570" t="s">
        <v>1395</v>
      </c>
      <c r="C277" s="571">
        <v>5021305008</v>
      </c>
      <c r="D277" s="572" t="s">
        <v>1</v>
      </c>
    </row>
    <row r="278" spans="1:4" x14ac:dyDescent="0.25">
      <c r="A278" s="569" t="s">
        <v>259</v>
      </c>
      <c r="B278" s="570" t="s">
        <v>1396</v>
      </c>
      <c r="C278" s="571">
        <v>5021305009</v>
      </c>
      <c r="D278" s="572" t="s">
        <v>1</v>
      </c>
    </row>
    <row r="279" spans="1:4" x14ac:dyDescent="0.25">
      <c r="A279" s="569" t="s">
        <v>1447</v>
      </c>
      <c r="B279" s="570" t="s">
        <v>1397</v>
      </c>
      <c r="C279" s="571">
        <v>5021305010</v>
      </c>
      <c r="D279" s="572" t="s">
        <v>1</v>
      </c>
    </row>
    <row r="280" spans="1:4" x14ac:dyDescent="0.25">
      <c r="A280" s="569" t="s">
        <v>1448</v>
      </c>
      <c r="B280" s="570" t="s">
        <v>1398</v>
      </c>
      <c r="C280" s="571">
        <v>5021305011</v>
      </c>
      <c r="D280" s="572" t="s">
        <v>1</v>
      </c>
    </row>
    <row r="281" spans="1:4" x14ac:dyDescent="0.25">
      <c r="A281" s="569" t="s">
        <v>1449</v>
      </c>
      <c r="B281" s="570" t="s">
        <v>1399</v>
      </c>
      <c r="C281" s="571">
        <v>5021305012</v>
      </c>
      <c r="D281" s="572" t="s">
        <v>1</v>
      </c>
    </row>
    <row r="282" spans="1:4" x14ac:dyDescent="0.25">
      <c r="A282" s="569" t="s">
        <v>1241</v>
      </c>
      <c r="B282" s="570" t="s">
        <v>1400</v>
      </c>
      <c r="C282" s="571">
        <v>5021305013</v>
      </c>
      <c r="D282" s="572" t="s">
        <v>1</v>
      </c>
    </row>
    <row r="283" spans="1:4" x14ac:dyDescent="0.25">
      <c r="A283" s="569" t="s">
        <v>260</v>
      </c>
      <c r="B283" s="570" t="s">
        <v>1401</v>
      </c>
      <c r="C283" s="571">
        <v>5021305014</v>
      </c>
      <c r="D283" s="572" t="s">
        <v>1</v>
      </c>
    </row>
    <row r="284" spans="1:4" x14ac:dyDescent="0.25">
      <c r="A284" s="569" t="s">
        <v>261</v>
      </c>
      <c r="B284" s="570" t="s">
        <v>1402</v>
      </c>
      <c r="C284" s="571">
        <v>5021305099</v>
      </c>
      <c r="D284" s="572" t="s">
        <v>1</v>
      </c>
    </row>
    <row r="285" spans="1:4" x14ac:dyDescent="0.25">
      <c r="A285" s="569" t="s">
        <v>262</v>
      </c>
      <c r="B285" s="570" t="s">
        <v>1403</v>
      </c>
      <c r="C285" s="571">
        <v>5021306001</v>
      </c>
      <c r="D285" s="572" t="s">
        <v>1</v>
      </c>
    </row>
    <row r="286" spans="1:4" x14ac:dyDescent="0.25">
      <c r="A286" s="569" t="s">
        <v>1450</v>
      </c>
      <c r="B286" s="570" t="s">
        <v>1404</v>
      </c>
      <c r="C286" s="571">
        <v>5021306002</v>
      </c>
      <c r="D286" s="572" t="s">
        <v>1</v>
      </c>
    </row>
    <row r="287" spans="1:4" x14ac:dyDescent="0.25">
      <c r="A287" s="569" t="s">
        <v>1451</v>
      </c>
      <c r="B287" s="570" t="s">
        <v>1405</v>
      </c>
      <c r="C287" s="571">
        <v>5021306003</v>
      </c>
      <c r="D287" s="572" t="s">
        <v>1</v>
      </c>
    </row>
    <row r="288" spans="1:4" x14ac:dyDescent="0.25">
      <c r="A288" s="569" t="s">
        <v>263</v>
      </c>
      <c r="B288" s="570" t="s">
        <v>1406</v>
      </c>
      <c r="C288" s="571">
        <v>5021306004</v>
      </c>
      <c r="D288" s="572" t="s">
        <v>1</v>
      </c>
    </row>
    <row r="289" spans="1:4" x14ac:dyDescent="0.25">
      <c r="A289" s="569" t="s">
        <v>264</v>
      </c>
      <c r="B289" s="570" t="s">
        <v>1407</v>
      </c>
      <c r="C289" s="571">
        <v>5021306099</v>
      </c>
      <c r="D289" s="572" t="s">
        <v>1</v>
      </c>
    </row>
    <row r="290" spans="1:4" x14ac:dyDescent="0.25">
      <c r="A290" s="569" t="s">
        <v>254</v>
      </c>
      <c r="B290" s="570" t="s">
        <v>1408</v>
      </c>
      <c r="C290" s="571">
        <v>5021307000</v>
      </c>
      <c r="D290" s="572" t="s">
        <v>1</v>
      </c>
    </row>
    <row r="291" spans="1:4" x14ac:dyDescent="0.25">
      <c r="A291" s="569" t="s">
        <v>265</v>
      </c>
      <c r="B291" s="570" t="s">
        <v>1409</v>
      </c>
      <c r="C291" s="571">
        <v>5021399099</v>
      </c>
      <c r="D291" s="572" t="s">
        <v>1</v>
      </c>
    </row>
    <row r="292" spans="1:4" x14ac:dyDescent="0.25">
      <c r="A292" s="569" t="s">
        <v>268</v>
      </c>
      <c r="B292" s="570" t="s">
        <v>1410</v>
      </c>
      <c r="C292" s="571">
        <v>5021407000</v>
      </c>
      <c r="D292" s="572" t="s">
        <v>1</v>
      </c>
    </row>
    <row r="293" spans="1:4" x14ac:dyDescent="0.25">
      <c r="A293" s="569" t="s">
        <v>272</v>
      </c>
      <c r="B293" s="570" t="s">
        <v>316</v>
      </c>
      <c r="C293" s="571">
        <v>5021501000</v>
      </c>
      <c r="D293" s="572" t="s">
        <v>1</v>
      </c>
    </row>
    <row r="294" spans="1:4" x14ac:dyDescent="0.25">
      <c r="A294" s="569" t="s">
        <v>273</v>
      </c>
      <c r="B294" s="570" t="s">
        <v>317</v>
      </c>
      <c r="C294" s="571">
        <v>5021502000</v>
      </c>
      <c r="D294" s="572" t="s">
        <v>1</v>
      </c>
    </row>
    <row r="295" spans="1:4" x14ac:dyDescent="0.25">
      <c r="A295" s="569" t="s">
        <v>274</v>
      </c>
      <c r="B295" s="570" t="s">
        <v>318</v>
      </c>
      <c r="C295" s="571">
        <v>5021503000</v>
      </c>
      <c r="D295" s="572" t="s">
        <v>1</v>
      </c>
    </row>
    <row r="296" spans="1:4" x14ac:dyDescent="0.25">
      <c r="A296" s="569" t="s">
        <v>240</v>
      </c>
      <c r="B296" s="570" t="s">
        <v>1411</v>
      </c>
      <c r="C296" s="571">
        <v>5029901000</v>
      </c>
      <c r="D296" s="572" t="s">
        <v>1</v>
      </c>
    </row>
    <row r="297" spans="1:4" x14ac:dyDescent="0.25">
      <c r="A297" s="569" t="s">
        <v>241</v>
      </c>
      <c r="B297" s="570" t="s">
        <v>1218</v>
      </c>
      <c r="C297" s="571">
        <v>5029902000</v>
      </c>
      <c r="D297" s="572" t="s">
        <v>1</v>
      </c>
    </row>
    <row r="298" spans="1:4" x14ac:dyDescent="0.25">
      <c r="A298" s="569" t="s">
        <v>243</v>
      </c>
      <c r="B298" s="570" t="s">
        <v>301</v>
      </c>
      <c r="C298" s="571">
        <v>5029903000</v>
      </c>
      <c r="D298" s="572" t="s">
        <v>1</v>
      </c>
    </row>
    <row r="299" spans="1:4" x14ac:dyDescent="0.25">
      <c r="A299" s="569" t="s">
        <v>244</v>
      </c>
      <c r="B299" s="570" t="s">
        <v>302</v>
      </c>
      <c r="C299" s="571">
        <v>5029904000</v>
      </c>
      <c r="D299" s="572" t="s">
        <v>1</v>
      </c>
    </row>
    <row r="300" spans="1:4" x14ac:dyDescent="0.25">
      <c r="A300" s="569" t="s">
        <v>242</v>
      </c>
      <c r="B300" s="570" t="s">
        <v>1219</v>
      </c>
      <c r="C300" s="571">
        <v>5029905000</v>
      </c>
      <c r="D300" s="572" t="s">
        <v>1</v>
      </c>
    </row>
    <row r="301" spans="1:4" x14ac:dyDescent="0.25">
      <c r="A301" s="569" t="s">
        <v>239</v>
      </c>
      <c r="B301" s="570" t="s">
        <v>1457</v>
      </c>
      <c r="C301" s="571">
        <v>5029906000</v>
      </c>
      <c r="D301" s="572" t="s">
        <v>1</v>
      </c>
    </row>
    <row r="302" spans="1:4" x14ac:dyDescent="0.25">
      <c r="A302" s="569" t="s">
        <v>339</v>
      </c>
      <c r="B302" s="570" t="s">
        <v>348</v>
      </c>
      <c r="C302" s="571">
        <v>5029907000</v>
      </c>
      <c r="D302" s="572" t="s">
        <v>1</v>
      </c>
    </row>
    <row r="303" spans="1:4" x14ac:dyDescent="0.25">
      <c r="A303" s="569" t="s">
        <v>269</v>
      </c>
      <c r="B303" s="570" t="s">
        <v>314</v>
      </c>
      <c r="C303" s="571">
        <v>5029908000</v>
      </c>
      <c r="D303" s="572" t="s">
        <v>1</v>
      </c>
    </row>
    <row r="304" spans="1:4" x14ac:dyDescent="0.25">
      <c r="A304" s="569" t="s">
        <v>408</v>
      </c>
      <c r="B304" s="570" t="s">
        <v>368</v>
      </c>
      <c r="C304" s="571">
        <v>5029999000</v>
      </c>
      <c r="D304" s="572" t="s">
        <v>1</v>
      </c>
    </row>
    <row r="305" spans="1:4" x14ac:dyDescent="0.25">
      <c r="A305" s="569" t="s">
        <v>271</v>
      </c>
      <c r="B305" s="570" t="s">
        <v>1412</v>
      </c>
      <c r="C305" s="571">
        <v>5029999002</v>
      </c>
      <c r="D305" s="572" t="s">
        <v>1</v>
      </c>
    </row>
    <row r="306" spans="1:4" x14ac:dyDescent="0.25">
      <c r="A306" s="569" t="s">
        <v>405</v>
      </c>
      <c r="B306" s="570" t="s">
        <v>1412</v>
      </c>
      <c r="C306" s="571">
        <v>5029999002</v>
      </c>
      <c r="D306" s="572" t="s">
        <v>1</v>
      </c>
    </row>
    <row r="307" spans="1:4" x14ac:dyDescent="0.25">
      <c r="A307" s="569" t="s">
        <v>333</v>
      </c>
      <c r="B307" s="570" t="s">
        <v>1413</v>
      </c>
      <c r="C307" s="571">
        <v>5029999098</v>
      </c>
      <c r="D307" s="572" t="s">
        <v>1</v>
      </c>
    </row>
    <row r="308" spans="1:4" x14ac:dyDescent="0.25">
      <c r="A308" s="569" t="s">
        <v>991</v>
      </c>
      <c r="B308" s="570" t="s">
        <v>1458</v>
      </c>
      <c r="C308" s="571">
        <v>5029999099</v>
      </c>
      <c r="D308" s="572" t="s">
        <v>1</v>
      </c>
    </row>
    <row r="309" spans="1:4" x14ac:dyDescent="0.25">
      <c r="A309" s="569" t="s">
        <v>341</v>
      </c>
      <c r="B309" s="570" t="s">
        <v>350</v>
      </c>
      <c r="C309" s="571">
        <v>5030102000</v>
      </c>
      <c r="D309" s="572" t="s">
        <v>1</v>
      </c>
    </row>
    <row r="310" spans="1:4" x14ac:dyDescent="0.25">
      <c r="A310" s="569" t="s">
        <v>340</v>
      </c>
      <c r="B310" s="570" t="s">
        <v>349</v>
      </c>
      <c r="C310" s="571">
        <v>5030104000</v>
      </c>
      <c r="D310" s="572" t="s">
        <v>1</v>
      </c>
    </row>
    <row r="311" spans="1:4" x14ac:dyDescent="0.25">
      <c r="A311" s="569" t="s">
        <v>275</v>
      </c>
      <c r="B311" s="570" t="s">
        <v>1414</v>
      </c>
      <c r="C311" s="571">
        <v>5050102000</v>
      </c>
      <c r="D311" s="572" t="s">
        <v>1</v>
      </c>
    </row>
    <row r="312" spans="1:4" x14ac:dyDescent="0.25">
      <c r="A312" s="569" t="s">
        <v>1452</v>
      </c>
      <c r="B312" s="570" t="s">
        <v>1415</v>
      </c>
      <c r="C312" s="571">
        <v>5050103099</v>
      </c>
      <c r="D312" s="572" t="s">
        <v>1</v>
      </c>
    </row>
    <row r="313" spans="1:4" x14ac:dyDescent="0.25">
      <c r="A313" s="569" t="s">
        <v>276</v>
      </c>
      <c r="B313" s="570" t="s">
        <v>1416</v>
      </c>
      <c r="C313" s="571">
        <v>5050104001</v>
      </c>
      <c r="D313" s="572" t="s">
        <v>1</v>
      </c>
    </row>
    <row r="314" spans="1:4" x14ac:dyDescent="0.25">
      <c r="A314" s="569" t="s">
        <v>277</v>
      </c>
      <c r="B314" s="570" t="s">
        <v>1417</v>
      </c>
      <c r="C314" s="571">
        <v>5050104099</v>
      </c>
      <c r="D314" s="572" t="s">
        <v>1</v>
      </c>
    </row>
    <row r="315" spans="1:4" x14ac:dyDescent="0.25">
      <c r="A315" s="569" t="s">
        <v>282</v>
      </c>
      <c r="B315" s="570" t="s">
        <v>1418</v>
      </c>
      <c r="C315" s="571">
        <v>5050105001</v>
      </c>
      <c r="D315" s="572" t="s">
        <v>1</v>
      </c>
    </row>
    <row r="316" spans="1:4" x14ac:dyDescent="0.25">
      <c r="A316" s="569" t="s">
        <v>278</v>
      </c>
      <c r="B316" s="570" t="s">
        <v>1419</v>
      </c>
      <c r="C316" s="571">
        <v>5050105002</v>
      </c>
      <c r="D316" s="572" t="s">
        <v>1</v>
      </c>
    </row>
    <row r="317" spans="1:4" x14ac:dyDescent="0.25">
      <c r="A317" s="569" t="s">
        <v>280</v>
      </c>
      <c r="B317" s="570" t="s">
        <v>1420</v>
      </c>
      <c r="C317" s="571">
        <v>5050105003</v>
      </c>
      <c r="D317" s="572" t="s">
        <v>1</v>
      </c>
    </row>
    <row r="318" spans="1:4" x14ac:dyDescent="0.25">
      <c r="A318" s="569" t="s">
        <v>283</v>
      </c>
      <c r="B318" s="570" t="s">
        <v>1421</v>
      </c>
      <c r="C318" s="571">
        <v>5050105004</v>
      </c>
      <c r="D318" s="572" t="s">
        <v>1</v>
      </c>
    </row>
    <row r="319" spans="1:4" x14ac:dyDescent="0.25">
      <c r="A319" s="569" t="s">
        <v>319</v>
      </c>
      <c r="B319" s="570" t="s">
        <v>1422</v>
      </c>
      <c r="C319" s="571">
        <v>5050105007</v>
      </c>
      <c r="D319" s="572" t="s">
        <v>1</v>
      </c>
    </row>
    <row r="320" spans="1:4" x14ac:dyDescent="0.25">
      <c r="A320" s="569" t="s">
        <v>320</v>
      </c>
      <c r="B320" s="570" t="s">
        <v>1423</v>
      </c>
      <c r="C320" s="571">
        <v>5050105008</v>
      </c>
      <c r="D320" s="572" t="s">
        <v>1</v>
      </c>
    </row>
    <row r="321" spans="1:4" x14ac:dyDescent="0.25">
      <c r="A321" s="569" t="s">
        <v>321</v>
      </c>
      <c r="B321" s="570" t="s">
        <v>1424</v>
      </c>
      <c r="C321" s="571">
        <v>5050105009</v>
      </c>
      <c r="D321" s="572" t="s">
        <v>1</v>
      </c>
    </row>
    <row r="322" spans="1:4" x14ac:dyDescent="0.25">
      <c r="A322" s="569" t="s">
        <v>322</v>
      </c>
      <c r="B322" s="570" t="s">
        <v>1425</v>
      </c>
      <c r="C322" s="571">
        <v>5050105010</v>
      </c>
      <c r="D322" s="572" t="s">
        <v>1</v>
      </c>
    </row>
    <row r="323" spans="1:4" x14ac:dyDescent="0.25">
      <c r="A323" s="569" t="s">
        <v>323</v>
      </c>
      <c r="B323" s="570" t="s">
        <v>1426</v>
      </c>
      <c r="C323" s="571">
        <v>5050105013</v>
      </c>
      <c r="D323" s="572" t="s">
        <v>1</v>
      </c>
    </row>
    <row r="324" spans="1:4" x14ac:dyDescent="0.25">
      <c r="A324" s="569" t="s">
        <v>324</v>
      </c>
      <c r="B324" s="570" t="s">
        <v>1427</v>
      </c>
      <c r="C324" s="571">
        <v>5050105014</v>
      </c>
      <c r="D324" s="572" t="s">
        <v>1</v>
      </c>
    </row>
    <row r="325" spans="1:4" x14ac:dyDescent="0.25">
      <c r="A325" s="569" t="s">
        <v>325</v>
      </c>
      <c r="B325" s="570" t="s">
        <v>1428</v>
      </c>
      <c r="C325" s="571">
        <v>5050105099</v>
      </c>
      <c r="D325" s="572" t="s">
        <v>1</v>
      </c>
    </row>
    <row r="326" spans="1:4" x14ac:dyDescent="0.25">
      <c r="A326" s="569" t="s">
        <v>326</v>
      </c>
      <c r="B326" s="570" t="s">
        <v>1429</v>
      </c>
      <c r="C326" s="571">
        <v>5050106001</v>
      </c>
      <c r="D326" s="572" t="s">
        <v>1</v>
      </c>
    </row>
    <row r="327" spans="1:4" x14ac:dyDescent="0.25">
      <c r="A327" s="569" t="s">
        <v>1453</v>
      </c>
      <c r="B327" s="570" t="s">
        <v>1430</v>
      </c>
      <c r="C327" s="571">
        <v>5050106002</v>
      </c>
      <c r="D327" s="572" t="s">
        <v>1</v>
      </c>
    </row>
    <row r="328" spans="1:4" x14ac:dyDescent="0.25">
      <c r="A328" s="569" t="s">
        <v>327</v>
      </c>
      <c r="B328" s="570" t="s">
        <v>1431</v>
      </c>
      <c r="C328" s="571">
        <v>5050106003</v>
      </c>
      <c r="D328" s="572" t="s">
        <v>1</v>
      </c>
    </row>
    <row r="329" spans="1:4" x14ac:dyDescent="0.25">
      <c r="A329" s="569" t="s">
        <v>328</v>
      </c>
      <c r="B329" s="570" t="s">
        <v>1432</v>
      </c>
      <c r="C329" s="571">
        <v>5050106004</v>
      </c>
      <c r="D329" s="572" t="s">
        <v>1</v>
      </c>
    </row>
    <row r="330" spans="1:4" x14ac:dyDescent="0.25">
      <c r="A330" s="569" t="s">
        <v>329</v>
      </c>
      <c r="B330" s="570" t="s">
        <v>1433</v>
      </c>
      <c r="C330" s="571">
        <v>5050106099</v>
      </c>
      <c r="D330" s="572" t="s">
        <v>1</v>
      </c>
    </row>
    <row r="331" spans="1:4" x14ac:dyDescent="0.25">
      <c r="A331" s="569" t="s">
        <v>279</v>
      </c>
      <c r="B331" s="570" t="s">
        <v>1434</v>
      </c>
      <c r="C331" s="571">
        <v>5050107001</v>
      </c>
      <c r="D331" s="572" t="s">
        <v>1</v>
      </c>
    </row>
    <row r="332" spans="1:4" x14ac:dyDescent="0.25">
      <c r="A332" s="569" t="s">
        <v>281</v>
      </c>
      <c r="B332" s="570" t="s">
        <v>1435</v>
      </c>
      <c r="C332" s="571">
        <v>5050107002</v>
      </c>
      <c r="D332" s="572" t="s">
        <v>1</v>
      </c>
    </row>
    <row r="333" spans="1:4" x14ac:dyDescent="0.25">
      <c r="A333" s="569" t="s">
        <v>330</v>
      </c>
      <c r="B333" s="570" t="s">
        <v>1436</v>
      </c>
      <c r="C333" s="571">
        <v>5050199000</v>
      </c>
      <c r="D333" s="572" t="s">
        <v>1</v>
      </c>
    </row>
  </sheetData>
  <sortState xmlns:xlrd2="http://schemas.microsoft.com/office/spreadsheetml/2017/richdata2" ref="F26:G43">
    <sortCondition ref="F26:F43"/>
  </sortState>
  <mergeCells count="1">
    <mergeCell ref="F4:H4"/>
  </mergeCells>
  <printOptions horizontalCentered="1"/>
  <pageMargins left="0.25" right="0.25" top="0.5" bottom="1.5" header="0.3" footer="0.3"/>
  <pageSetup paperSize="5" scale="75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>
    <tabColor rgb="FF00B0F0"/>
  </sheetPr>
  <dimension ref="A1:N81"/>
  <sheetViews>
    <sheetView zoomScale="90" zoomScaleNormal="90" workbookViewId="0">
      <selection activeCell="E52" sqref="E52"/>
    </sheetView>
  </sheetViews>
  <sheetFormatPr defaultColWidth="9" defaultRowHeight="12.75" x14ac:dyDescent="0.2"/>
  <cols>
    <col min="1" max="1" width="68.125" style="604" customWidth="1"/>
    <col min="2" max="4" width="8.375" style="604" customWidth="1"/>
    <col min="5" max="5" width="11.375" style="604" customWidth="1"/>
    <col min="6" max="6" width="16.5" style="604" customWidth="1"/>
    <col min="7" max="7" width="17.125" style="604" customWidth="1"/>
    <col min="8" max="8" width="16.125" style="604" customWidth="1"/>
    <col min="9" max="9" width="17" style="604" customWidth="1"/>
    <col min="10" max="11" width="9" style="142"/>
    <col min="12" max="12" width="15.125" style="162" customWidth="1"/>
    <col min="13" max="13" width="16.625" style="142" customWidth="1"/>
    <col min="14" max="14" width="17" style="142" customWidth="1"/>
    <col min="15" max="16384" width="9" style="142"/>
  </cols>
  <sheetData>
    <row r="1" spans="1:14" ht="15.75" x14ac:dyDescent="0.25">
      <c r="A1" s="589" t="s">
        <v>382</v>
      </c>
      <c r="B1" s="589"/>
      <c r="C1" s="589"/>
      <c r="D1" s="589"/>
      <c r="E1" s="590"/>
      <c r="F1" s="590"/>
      <c r="G1" s="591"/>
      <c r="H1" s="590"/>
      <c r="I1" s="590"/>
    </row>
    <row r="2" spans="1:14" ht="15.75" x14ac:dyDescent="0.2">
      <c r="A2" s="592">
        <v>44561</v>
      </c>
      <c r="B2" s="592"/>
      <c r="C2" s="592"/>
      <c r="D2" s="592"/>
      <c r="E2" s="590"/>
      <c r="F2" s="590"/>
      <c r="G2" s="590"/>
      <c r="H2" s="590"/>
      <c r="I2" s="590"/>
    </row>
    <row r="3" spans="1:14" ht="31.5" x14ac:dyDescent="0.2">
      <c r="A3" s="593" t="s">
        <v>371</v>
      </c>
      <c r="B3" s="594" t="s">
        <v>718</v>
      </c>
      <c r="C3" s="594" t="s">
        <v>740</v>
      </c>
      <c r="D3" s="594" t="s">
        <v>723</v>
      </c>
      <c r="E3" s="594" t="s">
        <v>725</v>
      </c>
      <c r="F3" s="594" t="s">
        <v>726</v>
      </c>
      <c r="G3" s="594" t="s">
        <v>1</v>
      </c>
      <c r="H3" s="594" t="s">
        <v>2</v>
      </c>
      <c r="I3" s="595" t="s">
        <v>727</v>
      </c>
    </row>
    <row r="4" spans="1:14" ht="15.75" hidden="1" x14ac:dyDescent="0.25">
      <c r="A4" s="596" t="str">
        <f>IF(E4=0,"",(INDEX(AccountCodes[ACCOUNT NAME],MATCH(E4,AccountCodes[NGAS CODE],0))))</f>
        <v>Cash in Bank-Local Currency, Current Account - RO</v>
      </c>
      <c r="B4" s="597" t="s">
        <v>494</v>
      </c>
      <c r="C4" s="597"/>
      <c r="D4" s="597"/>
      <c r="E4" s="584" t="s">
        <v>1478</v>
      </c>
      <c r="F4" s="598" t="str">
        <f>IF(E4=0,"",(INDEX(AccountCodes[PPSAS CODE],MATCH(E4,AccountCodes[NGAS CODE],0))))</f>
        <v>1010202000RO</v>
      </c>
      <c r="G4" s="599">
        <v>4370388.76</v>
      </c>
      <c r="H4" s="600">
        <v>0</v>
      </c>
      <c r="I4" s="601">
        <f t="shared" ref="I4:I46" si="0">IF(G4=0,H4,G4)</f>
        <v>4370388.76</v>
      </c>
      <c r="L4" s="162">
        <f>PostTB[[#This Row],[Debit]]</f>
        <v>4370388.76</v>
      </c>
    </row>
    <row r="5" spans="1:14" ht="15.75" hidden="1" x14ac:dyDescent="0.25">
      <c r="A5" s="596" t="str">
        <f>IF(E5=0,"",(INDEX(AccountCodes[ACCOUNT NAME],MATCH(E5,AccountCodes[NGAS CODE],0))))</f>
        <v>Cash in Bank-Local Currency, Current Account - FO</v>
      </c>
      <c r="B5" s="597" t="s">
        <v>484</v>
      </c>
      <c r="C5" s="597"/>
      <c r="D5" s="597"/>
      <c r="E5" s="584" t="s">
        <v>1479</v>
      </c>
      <c r="F5" s="598" t="str">
        <f>IF(E5=0,"",(INDEX(AccountCodes[PPSAS CODE],MATCH(E5,AccountCodes[NGAS CODE],0))))</f>
        <v>1010202000FO</v>
      </c>
      <c r="G5" s="600">
        <v>3925235.81</v>
      </c>
      <c r="H5" s="599"/>
      <c r="I5" s="601">
        <f t="shared" si="0"/>
        <v>3925235.81</v>
      </c>
    </row>
    <row r="6" spans="1:14" ht="15.75" hidden="1" x14ac:dyDescent="0.25">
      <c r="A6" s="596" t="str">
        <f>IF(E6=0,"",(INDEX(AccountCodes[ACCOUNT NAME],MATCH(E6,AccountCodes[NGAS CODE],0))))</f>
        <v>Cash in Bank-Local Currency, Current Account - FO</v>
      </c>
      <c r="B6" s="597" t="s">
        <v>485</v>
      </c>
      <c r="C6" s="597"/>
      <c r="D6" s="597"/>
      <c r="E6" s="584" t="s">
        <v>1479</v>
      </c>
      <c r="F6" s="598" t="str">
        <f>IF(E6=0,"",(INDEX(AccountCodes[PPSAS CODE],MATCH(E6,AccountCodes[NGAS CODE],0))))</f>
        <v>1010202000FO</v>
      </c>
      <c r="G6" s="600">
        <v>2107459.96</v>
      </c>
      <c r="H6" s="599"/>
      <c r="I6" s="601">
        <f t="shared" si="0"/>
        <v>2107459.96</v>
      </c>
    </row>
    <row r="7" spans="1:14" ht="15.75" hidden="1" x14ac:dyDescent="0.25">
      <c r="A7" s="596" t="str">
        <f>IF(E7=0,"",(INDEX(AccountCodes[ACCOUNT NAME],MATCH(E7,AccountCodes[NGAS CODE],0))))</f>
        <v>Cash in Bank-Local Currency, Current Account - FO</v>
      </c>
      <c r="B7" s="597" t="s">
        <v>486</v>
      </c>
      <c r="C7" s="597"/>
      <c r="D7" s="597"/>
      <c r="E7" s="584" t="s">
        <v>1479</v>
      </c>
      <c r="F7" s="598" t="str">
        <f>IF(E7=0,"",(INDEX(AccountCodes[PPSAS CODE],MATCH(E7,AccountCodes[NGAS CODE],0))))</f>
        <v>1010202000FO</v>
      </c>
      <c r="G7" s="600">
        <v>3460296.28</v>
      </c>
      <c r="H7" s="599"/>
      <c r="I7" s="601">
        <f t="shared" si="0"/>
        <v>3460296.28</v>
      </c>
    </row>
    <row r="8" spans="1:14" ht="15.75" x14ac:dyDescent="0.25">
      <c r="A8" s="596" t="str">
        <f>IF(E8=0,"",(INDEX(AccountCodes[ACCOUNT NAME],MATCH(E8,AccountCodes[NGAS CODE],0))))</f>
        <v>Cash in Bank-Local Currency, Current Account - FO</v>
      </c>
      <c r="B8" s="597" t="s">
        <v>762</v>
      </c>
      <c r="C8" s="597"/>
      <c r="D8" s="597"/>
      <c r="E8" s="584" t="s">
        <v>1479</v>
      </c>
      <c r="F8" s="598" t="str">
        <f>IF(E8=0,"",(INDEX(AccountCodes[PPSAS CODE],MATCH(E8,AccountCodes[NGAS CODE],0))))</f>
        <v>1010202000FO</v>
      </c>
      <c r="G8" s="600">
        <v>4878727.6900000004</v>
      </c>
      <c r="H8" s="599"/>
      <c r="I8" s="601">
        <f t="shared" si="0"/>
        <v>4878727.6900000004</v>
      </c>
      <c r="L8" s="162">
        <f>G5+G6+G7+PostTB[[#This Row],[Debit]]</f>
        <v>14371719.74</v>
      </c>
      <c r="N8" s="701">
        <f>L4+L8</f>
        <v>18742108.5</v>
      </c>
    </row>
    <row r="9" spans="1:14" ht="15.75" hidden="1" x14ac:dyDescent="0.25">
      <c r="A9" s="939" t="str">
        <f>IF(E9=0,"",(INDEX(AccountCodes[ACCOUNT NAME],MATCH(E9,AccountCodes[NGAS CODE],0))))</f>
        <v>Semi-Expendable Technical and Scientific Equipment</v>
      </c>
      <c r="B9" s="940"/>
      <c r="C9" s="940"/>
      <c r="D9" s="940"/>
      <c r="E9" s="941" t="s">
        <v>1256</v>
      </c>
      <c r="F9" s="942">
        <f>IF(E9=0,"",(INDEX(AccountCodes[PPSAS CODE],MATCH(E9,AccountCodes[NGAS CODE],0))))</f>
        <v>1040513000</v>
      </c>
      <c r="G9" s="943">
        <v>6000</v>
      </c>
      <c r="H9" s="944"/>
      <c r="I9" s="945">
        <f>IF(G9=0,H9,G9)</f>
        <v>6000</v>
      </c>
      <c r="L9" s="162">
        <f>PostTB[[#This Row],[Debit]]</f>
        <v>6000</v>
      </c>
      <c r="N9" s="701"/>
    </row>
    <row r="10" spans="1:14" ht="15.75" hidden="1" x14ac:dyDescent="0.25">
      <c r="A10" s="596" t="str">
        <f>IF(E10=0,"",(INDEX(AccountCodes[ACCOUNT NAME],MATCH(E10,AccountCodes[NGAS CODE],0))))</f>
        <v>Water Supply Systems</v>
      </c>
      <c r="B10" s="597" t="s">
        <v>484</v>
      </c>
      <c r="C10" s="597"/>
      <c r="D10" s="597"/>
      <c r="E10" s="672" t="s">
        <v>60</v>
      </c>
      <c r="F10" s="598">
        <f>IF(E10=0,"",(INDEX(AccountCodes[PPSAS CODE],MATCH(E10,AccountCodes[NGAS CODE],0))))</f>
        <v>1060304000</v>
      </c>
      <c r="G10" s="600">
        <v>25888646.859999999</v>
      </c>
      <c r="H10" s="599"/>
      <c r="I10" s="601">
        <f t="shared" si="0"/>
        <v>25888646.859999999</v>
      </c>
    </row>
    <row r="11" spans="1:14" ht="15.75" hidden="1" x14ac:dyDescent="0.25">
      <c r="A11" s="596" t="str">
        <f>IF(E11=0,"",(INDEX(AccountCodes[ACCOUNT NAME],MATCH(E11,AccountCodes[NGAS CODE],0))))</f>
        <v>Water Supply Systems</v>
      </c>
      <c r="B11" s="597" t="s">
        <v>485</v>
      </c>
      <c r="C11" s="597"/>
      <c r="D11" s="597"/>
      <c r="E11" s="672" t="s">
        <v>60</v>
      </c>
      <c r="F11" s="598">
        <f>IF(E11=0,"",(INDEX(AccountCodes[PPSAS CODE],MATCH(E11,AccountCodes[NGAS CODE],0))))</f>
        <v>1060304000</v>
      </c>
      <c r="G11" s="600">
        <v>18363496.390000001</v>
      </c>
      <c r="H11" s="599"/>
      <c r="I11" s="601">
        <f t="shared" si="0"/>
        <v>18363496.390000001</v>
      </c>
    </row>
    <row r="12" spans="1:14" ht="15.75" hidden="1" x14ac:dyDescent="0.25">
      <c r="A12" s="596" t="str">
        <f>IF(E12=0,"",(INDEX(AccountCodes[ACCOUNT NAME],MATCH(E12,AccountCodes[NGAS CODE],0))))</f>
        <v>Water Supply Systems</v>
      </c>
      <c r="B12" s="597" t="s">
        <v>486</v>
      </c>
      <c r="C12" s="597"/>
      <c r="D12" s="597"/>
      <c r="E12" s="672" t="s">
        <v>60</v>
      </c>
      <c r="F12" s="598">
        <f>IF(E12=0,"",(INDEX(AccountCodes[PPSAS CODE],MATCH(E12,AccountCodes[NGAS CODE],0))))</f>
        <v>1060304000</v>
      </c>
      <c r="G12" s="600">
        <v>12866494.34</v>
      </c>
      <c r="H12" s="599"/>
      <c r="I12" s="601">
        <f t="shared" si="0"/>
        <v>12866494.34</v>
      </c>
    </row>
    <row r="13" spans="1:14" ht="15.75" x14ac:dyDescent="0.25">
      <c r="A13" s="596" t="str">
        <f>IF(E13=0,"",(INDEX(AccountCodes[ACCOUNT NAME],MATCH(E13,AccountCodes[NGAS CODE],0))))</f>
        <v>Water Supply Systems</v>
      </c>
      <c r="B13" s="597" t="s">
        <v>762</v>
      </c>
      <c r="C13" s="597"/>
      <c r="D13" s="597"/>
      <c r="E13" s="672" t="s">
        <v>60</v>
      </c>
      <c r="F13" s="598">
        <f>IF(E13=0,"",(INDEX(AccountCodes[PPSAS CODE],MATCH(E13,AccountCodes[NGAS CODE],0))))</f>
        <v>1060304000</v>
      </c>
      <c r="G13" s="600">
        <v>47073225.729999997</v>
      </c>
      <c r="H13" s="599"/>
      <c r="I13" s="601">
        <f t="shared" si="0"/>
        <v>47073225.729999997</v>
      </c>
      <c r="L13" s="162">
        <f>G10+G11+G12+PostTB[[#This Row],[Debit]]</f>
        <v>104191863.31999999</v>
      </c>
    </row>
    <row r="14" spans="1:14" ht="15.75" hidden="1" x14ac:dyDescent="0.25">
      <c r="A14" s="818" t="str">
        <f>IF(E14=0,"",(INDEX(AccountCodes[ACCOUNT NAME],MATCH(E14,AccountCodes[NGAS CODE],0))))</f>
        <v>Accumulated Depreciation-Water Supply Systems</v>
      </c>
      <c r="B14" s="819" t="s">
        <v>484</v>
      </c>
      <c r="C14" s="819"/>
      <c r="D14" s="819"/>
      <c r="E14" s="820" t="s">
        <v>1261</v>
      </c>
      <c r="F14" s="821">
        <f>IF(E14=0,"",(INDEX(AccountCodes[PPSAS CODE],MATCH(E14,AccountCodes[NGAS CODE],0))))</f>
        <v>1060304100</v>
      </c>
      <c r="G14" s="822"/>
      <c r="H14" s="823">
        <v>1242931.8500000001</v>
      </c>
      <c r="I14" s="824">
        <f t="shared" si="0"/>
        <v>1242931.8500000001</v>
      </c>
    </row>
    <row r="15" spans="1:14" ht="15.75" hidden="1" x14ac:dyDescent="0.25">
      <c r="A15" s="818" t="str">
        <f>IF(E15=0,"",(INDEX(AccountCodes[ACCOUNT NAME],MATCH(E15,AccountCodes[NGAS CODE],0))))</f>
        <v>Accumulated Depreciation-Water Supply Systems</v>
      </c>
      <c r="B15" s="819" t="s">
        <v>485</v>
      </c>
      <c r="C15" s="819"/>
      <c r="D15" s="819"/>
      <c r="E15" s="820" t="s">
        <v>1261</v>
      </c>
      <c r="F15" s="821">
        <f>IF(E15=0,"",(INDEX(AccountCodes[PPSAS CODE],MATCH(E15,AccountCodes[NGAS CODE],0))))</f>
        <v>1060304100</v>
      </c>
      <c r="G15" s="822"/>
      <c r="H15" s="823">
        <v>1649234.07</v>
      </c>
      <c r="I15" s="824">
        <f t="shared" si="0"/>
        <v>1649234.07</v>
      </c>
    </row>
    <row r="16" spans="1:14" ht="15.75" hidden="1" x14ac:dyDescent="0.25">
      <c r="A16" s="818" t="str">
        <f>IF(E16=0,"",(INDEX(AccountCodes[ACCOUNT NAME],MATCH(E16,AccountCodes[NGAS CODE],0))))</f>
        <v>Accumulated Depreciation-Water Supply Systems</v>
      </c>
      <c r="B16" s="819" t="s">
        <v>486</v>
      </c>
      <c r="C16" s="819"/>
      <c r="D16" s="819"/>
      <c r="E16" s="820" t="s">
        <v>1261</v>
      </c>
      <c r="F16" s="821">
        <f>IF(E16=0,"",(INDEX(AccountCodes[PPSAS CODE],MATCH(E16,AccountCodes[NGAS CODE],0))))</f>
        <v>1060304100</v>
      </c>
      <c r="G16" s="822"/>
      <c r="H16" s="823">
        <v>1099684.23</v>
      </c>
      <c r="I16" s="824">
        <f t="shared" si="0"/>
        <v>1099684.23</v>
      </c>
    </row>
    <row r="17" spans="1:13" ht="15.75" x14ac:dyDescent="0.25">
      <c r="A17" s="818" t="str">
        <f>IF(E17=0,"",(INDEX(AccountCodes[ACCOUNT NAME],MATCH(E17,AccountCodes[NGAS CODE],0))))</f>
        <v>Accumulated Depreciation-Water Supply Systems</v>
      </c>
      <c r="B17" s="819" t="s">
        <v>762</v>
      </c>
      <c r="C17" s="819"/>
      <c r="D17" s="819"/>
      <c r="E17" s="820" t="s">
        <v>1261</v>
      </c>
      <c r="F17" s="821">
        <f>IF(E17=0,"",(INDEX(AccountCodes[PPSAS CODE],MATCH(E17,AccountCodes[NGAS CODE],0))))</f>
        <v>1060304100</v>
      </c>
      <c r="G17" s="822"/>
      <c r="H17" s="823">
        <v>4051311.92</v>
      </c>
      <c r="I17" s="824">
        <f t="shared" si="0"/>
        <v>4051311.92</v>
      </c>
      <c r="M17" s="700">
        <f>H14+H15+H16+PostTB[[#This Row],[Credit]]</f>
        <v>8043162.0700000003</v>
      </c>
    </row>
    <row r="18" spans="1:13" ht="15.75" hidden="1" x14ac:dyDescent="0.25">
      <c r="A18" s="596" t="str">
        <f>IF(E18=0,"",(INDEX(AccountCodes[ACCOUNT NAME],MATCH(E18,AccountCodes[NGAS CODE],0))))</f>
        <v>Office Equipment</v>
      </c>
      <c r="B18" s="597" t="s">
        <v>494</v>
      </c>
      <c r="C18" s="597"/>
      <c r="D18" s="597"/>
      <c r="E18" s="603" t="s">
        <v>42</v>
      </c>
      <c r="F18" s="598">
        <f>IF(E18=0,"",(INDEX(AccountCodes[PPSAS CODE],MATCH(E18,AccountCodes[NGAS CODE],0))))</f>
        <v>1060502000</v>
      </c>
      <c r="G18" s="600">
        <v>78683</v>
      </c>
      <c r="H18" s="599"/>
      <c r="I18" s="601">
        <f t="shared" si="0"/>
        <v>78683</v>
      </c>
    </row>
    <row r="19" spans="1:13" ht="15.75" hidden="1" x14ac:dyDescent="0.25">
      <c r="A19" s="939" t="str">
        <f>IF(E19=0,"",(INDEX(AccountCodes[ACCOUNT NAME],MATCH(E19,AccountCodes[NGAS CODE],0))))</f>
        <v>Office Equipment</v>
      </c>
      <c r="B19" s="940" t="s">
        <v>484</v>
      </c>
      <c r="C19" s="940"/>
      <c r="D19" s="940"/>
      <c r="E19" s="941" t="s">
        <v>42</v>
      </c>
      <c r="F19" s="942">
        <f>IF(E19=0,"",(INDEX(AccountCodes[PPSAS CODE],MATCH(E19,AccountCodes[NGAS CODE],0))))</f>
        <v>1060502000</v>
      </c>
      <c r="G19" s="943">
        <v>20000</v>
      </c>
      <c r="H19" s="944"/>
      <c r="I19" s="945">
        <f t="shared" ref="I19:I20" si="1">IF(G19=0,H19,G19)</f>
        <v>20000</v>
      </c>
    </row>
    <row r="20" spans="1:13" ht="15.75" hidden="1" x14ac:dyDescent="0.25">
      <c r="A20" s="939" t="str">
        <f>IF(E20=0,"",(INDEX(AccountCodes[ACCOUNT NAME],MATCH(E20,AccountCodes[NGAS CODE],0))))</f>
        <v>Office Equipment</v>
      </c>
      <c r="B20" s="940" t="s">
        <v>486</v>
      </c>
      <c r="C20" s="940"/>
      <c r="D20" s="940"/>
      <c r="E20" s="941" t="s">
        <v>42</v>
      </c>
      <c r="F20" s="942">
        <f>IF(E20=0,"",(INDEX(AccountCodes[PPSAS CODE],MATCH(E20,AccountCodes[NGAS CODE],0))))</f>
        <v>1060502000</v>
      </c>
      <c r="G20" s="943">
        <v>19700</v>
      </c>
      <c r="H20" s="944"/>
      <c r="I20" s="945">
        <f t="shared" si="1"/>
        <v>19700</v>
      </c>
    </row>
    <row r="21" spans="1:13" ht="15.75" x14ac:dyDescent="0.25">
      <c r="A21" s="596" t="str">
        <f>IF(E21=0,"",(INDEX(AccountCodes[ACCOUNT NAME],MATCH(E21,AccountCodes[NGAS CODE],0))))</f>
        <v>Office Equipment</v>
      </c>
      <c r="B21" s="597" t="s">
        <v>762</v>
      </c>
      <c r="C21" s="597"/>
      <c r="D21" s="597"/>
      <c r="E21" s="603" t="s">
        <v>42</v>
      </c>
      <c r="F21" s="598">
        <f>IF(E21=0,"",(INDEX(AccountCodes[PPSAS CODE],MATCH(E21,AccountCodes[NGAS CODE],0))))</f>
        <v>1060502000</v>
      </c>
      <c r="G21" s="600">
        <v>359339</v>
      </c>
      <c r="H21" s="599"/>
      <c r="I21" s="601">
        <f t="shared" si="0"/>
        <v>359339</v>
      </c>
      <c r="L21" s="162">
        <f>G18+G19+G20+PostTB[[#This Row],[Debit]]</f>
        <v>477722</v>
      </c>
    </row>
    <row r="22" spans="1:13" ht="15.75" hidden="1" x14ac:dyDescent="0.25">
      <c r="A22" s="596" t="str">
        <f>IF(E22=0,"",(INDEX(AccountCodes[ACCOUNT NAME],MATCH(E22,AccountCodes[NGAS CODE],0))))</f>
        <v>Accumulated Depreciation-Office Equipment</v>
      </c>
      <c r="B22" s="597" t="s">
        <v>494</v>
      </c>
      <c r="C22" s="597"/>
      <c r="D22" s="597"/>
      <c r="E22" s="603" t="s">
        <v>88</v>
      </c>
      <c r="F22" s="598">
        <f>IF(E22=0,"",(INDEX(AccountCodes[PPSAS CODE],MATCH(E22,AccountCodes[NGAS CODE],0))))</f>
        <v>1060502100</v>
      </c>
      <c r="G22" s="600"/>
      <c r="H22" s="599">
        <v>39979.24</v>
      </c>
      <c r="I22" s="601">
        <f t="shared" si="0"/>
        <v>39979.24</v>
      </c>
      <c r="M22" s="700">
        <f>PostTB[[#This Row],[Credit]]+H23</f>
        <v>100984.92</v>
      </c>
    </row>
    <row r="23" spans="1:13" ht="15.75" x14ac:dyDescent="0.25">
      <c r="A23" s="939" t="str">
        <f>IF(E23=0,"",(INDEX(AccountCodes[ACCOUNT NAME],MATCH(E23,AccountCodes[NGAS CODE],0))))</f>
        <v>Accumulated Depreciation-Office Equipment</v>
      </c>
      <c r="B23" s="940" t="s">
        <v>762</v>
      </c>
      <c r="C23" s="940"/>
      <c r="D23" s="940"/>
      <c r="E23" s="941" t="s">
        <v>88</v>
      </c>
      <c r="F23" s="942">
        <f>IF(E23=0,"",(INDEX(AccountCodes[PPSAS CODE],MATCH(E23,AccountCodes[NGAS CODE],0))))</f>
        <v>1060502100</v>
      </c>
      <c r="G23" s="943"/>
      <c r="H23" s="944">
        <v>61005.68</v>
      </c>
      <c r="I23" s="945">
        <f>IF(G23=0,H23,G23)</f>
        <v>61005.68</v>
      </c>
    </row>
    <row r="24" spans="1:13" ht="15.75" hidden="1" x14ac:dyDescent="0.25">
      <c r="A24" s="596" t="str">
        <f>IF(E24=0,"",(INDEX(AccountCodes[ACCOUNT NAME],MATCH(E24,AccountCodes[NGAS CODE],0))))</f>
        <v>Information and Communications Technology Equipment</v>
      </c>
      <c r="B24" s="597" t="s">
        <v>494</v>
      </c>
      <c r="C24" s="597"/>
      <c r="D24" s="597"/>
      <c r="E24" s="603" t="s">
        <v>44</v>
      </c>
      <c r="F24" s="598">
        <f>IF(E24=0,"",(INDEX(AccountCodes[PPSAS CODE],MATCH(E24,AccountCodes[NGAS CODE],0))))</f>
        <v>1060503000</v>
      </c>
      <c r="G24" s="600">
        <v>220004</v>
      </c>
      <c r="H24" s="599"/>
      <c r="I24" s="601">
        <f t="shared" si="0"/>
        <v>220004</v>
      </c>
    </row>
    <row r="25" spans="1:13" ht="15.75" hidden="1" x14ac:dyDescent="0.25">
      <c r="A25" s="818" t="str">
        <f>IF(E25=0,"",(INDEX(AccountCodes[ACCOUNT NAME],MATCH(E25,AccountCodes[NGAS CODE],0))))</f>
        <v>Information and Communications Technology Equipment</v>
      </c>
      <c r="B25" s="819" t="s">
        <v>484</v>
      </c>
      <c r="C25" s="819"/>
      <c r="D25" s="819"/>
      <c r="E25" s="820" t="s">
        <v>44</v>
      </c>
      <c r="F25" s="821">
        <f>IF(E25=0,"",(INDEX(AccountCodes[PPSAS CODE],MATCH(E25,AccountCodes[NGAS CODE],0))))</f>
        <v>1060503000</v>
      </c>
      <c r="G25" s="822">
        <v>112630</v>
      </c>
      <c r="H25" s="823"/>
      <c r="I25" s="824">
        <f t="shared" si="0"/>
        <v>112630</v>
      </c>
    </row>
    <row r="26" spans="1:13" ht="15.75" hidden="1" x14ac:dyDescent="0.25">
      <c r="A26" s="596" t="str">
        <f>IF(E26=0,"",(INDEX(AccountCodes[ACCOUNT NAME],MATCH(E26,AccountCodes[NGAS CODE],0))))</f>
        <v>Information and Communications Technology Equipment</v>
      </c>
      <c r="B26" s="597" t="s">
        <v>485</v>
      </c>
      <c r="C26" s="597"/>
      <c r="D26" s="597"/>
      <c r="E26" s="603" t="s">
        <v>44</v>
      </c>
      <c r="F26" s="598">
        <f>IF(E26=0,"",(INDEX(AccountCodes[PPSAS CODE],MATCH(E26,AccountCodes[NGAS CODE],0))))</f>
        <v>1060503000</v>
      </c>
      <c r="G26" s="600">
        <v>30500</v>
      </c>
      <c r="H26" s="599"/>
      <c r="I26" s="601">
        <f t="shared" si="0"/>
        <v>30500</v>
      </c>
    </row>
    <row r="27" spans="1:13" ht="15.75" hidden="1" x14ac:dyDescent="0.25">
      <c r="A27" s="939" t="str">
        <f>IF(E27=0,"",(INDEX(AccountCodes[ACCOUNT NAME],MATCH(E27,AccountCodes[NGAS CODE],0))))</f>
        <v>Information and Communications Technology Equipment</v>
      </c>
      <c r="B27" s="940" t="s">
        <v>486</v>
      </c>
      <c r="C27" s="940"/>
      <c r="D27" s="940"/>
      <c r="E27" s="941" t="s">
        <v>44</v>
      </c>
      <c r="F27" s="942">
        <f>IF(E27=0,"",(INDEX(AccountCodes[PPSAS CODE],MATCH(E27,AccountCodes[NGAS CODE],0))))</f>
        <v>1060503000</v>
      </c>
      <c r="G27" s="943">
        <v>204080</v>
      </c>
      <c r="H27" s="944"/>
      <c r="I27" s="945">
        <f>IF(G27=0,H27,G27)</f>
        <v>204080</v>
      </c>
    </row>
    <row r="28" spans="1:13" ht="15.75" x14ac:dyDescent="0.25">
      <c r="A28" s="596" t="str">
        <f>IF(E28=0,"",(INDEX(AccountCodes[ACCOUNT NAME],MATCH(E28,AccountCodes[NGAS CODE],0))))</f>
        <v>Information and Communications Technology Equipment</v>
      </c>
      <c r="B28" s="597" t="s">
        <v>762</v>
      </c>
      <c r="C28" s="597"/>
      <c r="D28" s="597"/>
      <c r="E28" s="603" t="s">
        <v>44</v>
      </c>
      <c r="F28" s="598">
        <f>IF(E28=0,"",(INDEX(AccountCodes[PPSAS CODE],MATCH(E28,AccountCodes[NGAS CODE],0))))</f>
        <v>1060503000</v>
      </c>
      <c r="G28" s="600">
        <v>325640</v>
      </c>
      <c r="H28" s="599"/>
      <c r="I28" s="601">
        <f t="shared" si="0"/>
        <v>325640</v>
      </c>
      <c r="L28" s="162">
        <f>G24+G25+G26+PostTB[[#This Row],[Debit]]</f>
        <v>688774</v>
      </c>
    </row>
    <row r="29" spans="1:13" ht="15.75" hidden="1" x14ac:dyDescent="0.25">
      <c r="A29" s="596" t="str">
        <f>IF(E29=0,"",(INDEX(AccountCodes[ACCOUNT NAME],MATCH(E29,AccountCodes[NGAS CODE],0))))</f>
        <v>Accumulated Depreciation-Information and Communications Technology Equipment</v>
      </c>
      <c r="B29" s="597" t="s">
        <v>494</v>
      </c>
      <c r="C29" s="597"/>
      <c r="D29" s="597"/>
      <c r="E29" s="603" t="s">
        <v>90</v>
      </c>
      <c r="F29" s="598">
        <f>IF(E29=0,"",(INDEX(AccountCodes[PPSAS CODE],MATCH(E29,AccountCodes[NGAS CODE],0))))</f>
        <v>1060503100</v>
      </c>
      <c r="G29" s="600"/>
      <c r="H29" s="599">
        <v>49707.75</v>
      </c>
      <c r="I29" s="601">
        <f t="shared" si="0"/>
        <v>49707.75</v>
      </c>
      <c r="M29" s="700">
        <f>PostTB[[#This Row],[Credit]]+H30+H31</f>
        <v>118725.1</v>
      </c>
    </row>
    <row r="30" spans="1:13" ht="15.75" hidden="1" x14ac:dyDescent="0.25">
      <c r="A30" s="939" t="str">
        <f>IF(E30=0,"",(INDEX(AccountCodes[ACCOUNT NAME],MATCH(E30,AccountCodes[NGAS CODE],0))))</f>
        <v>Accumulated Depreciation-Information and Communications Technology Equipment</v>
      </c>
      <c r="B30" s="940" t="s">
        <v>484</v>
      </c>
      <c r="C30" s="940"/>
      <c r="D30" s="940"/>
      <c r="E30" s="941" t="s">
        <v>90</v>
      </c>
      <c r="F30" s="942">
        <f>IF(E30=0,"",(INDEX(AccountCodes[PPSAS CODE],MATCH(E30,AccountCodes[NGAS CODE],0))))</f>
        <v>1060503100</v>
      </c>
      <c r="G30" s="943"/>
      <c r="H30" s="944">
        <v>30542.58</v>
      </c>
      <c r="I30" s="945">
        <f t="shared" ref="I30:I31" si="2">IF(G30=0,H30,G30)</f>
        <v>30542.58</v>
      </c>
    </row>
    <row r="31" spans="1:13" ht="15.75" x14ac:dyDescent="0.25">
      <c r="A31" s="939" t="str">
        <f>IF(E31=0,"",(INDEX(AccountCodes[ACCOUNT NAME],MATCH(E31,AccountCodes[NGAS CODE],0))))</f>
        <v>Accumulated Depreciation-Information and Communications Technology Equipment</v>
      </c>
      <c r="B31" s="940" t="s">
        <v>762</v>
      </c>
      <c r="C31" s="940"/>
      <c r="D31" s="940"/>
      <c r="E31" s="941" t="s">
        <v>90</v>
      </c>
      <c r="F31" s="942">
        <f>IF(E31=0,"",(INDEX(AccountCodes[PPSAS CODE],MATCH(E31,AccountCodes[NGAS CODE],0))))</f>
        <v>1060503100</v>
      </c>
      <c r="G31" s="943"/>
      <c r="H31" s="944">
        <v>38474.769999999997</v>
      </c>
      <c r="I31" s="945">
        <f t="shared" si="2"/>
        <v>38474.769999999997</v>
      </c>
    </row>
    <row r="32" spans="1:13" ht="15.75" hidden="1" x14ac:dyDescent="0.25">
      <c r="A32" s="596" t="str">
        <f>IF(E32=0,"",(INDEX(AccountCodes[ACCOUNT NAME],MATCH(E32,AccountCodes[NGAS CODE],0))))</f>
        <v>Construction in Progress-Infrastructure Assets (Irrigation, Canals and Laterals)</v>
      </c>
      <c r="B32" s="597" t="s">
        <v>484</v>
      </c>
      <c r="C32" s="597"/>
      <c r="D32" s="597"/>
      <c r="E32" s="672" t="s">
        <v>82</v>
      </c>
      <c r="F32" s="598">
        <f>IF(E32=0,"",(INDEX(AccountCodes[PPSAS CODE],MATCH(E32,AccountCodes[NGAS CODE],0))))</f>
        <v>1069902099</v>
      </c>
      <c r="G32" s="600">
        <v>2914937.18</v>
      </c>
      <c r="H32" s="599"/>
      <c r="I32" s="601">
        <f t="shared" si="0"/>
        <v>2914937.18</v>
      </c>
    </row>
    <row r="33" spans="1:14" ht="15.75" hidden="1" x14ac:dyDescent="0.25">
      <c r="A33" s="596" t="str">
        <f>IF(E33=0,"",(INDEX(AccountCodes[ACCOUNT NAME],MATCH(E33,AccountCodes[NGAS CODE],0))))</f>
        <v>Construction in Progress-Infrastructure Assets (Irrigation, Canals and Laterals)</v>
      </c>
      <c r="B33" s="597" t="s">
        <v>485</v>
      </c>
      <c r="C33" s="597"/>
      <c r="D33" s="597"/>
      <c r="E33" s="672" t="s">
        <v>82</v>
      </c>
      <c r="F33" s="598">
        <f>IF(E33=0,"",(INDEX(AccountCodes[PPSAS CODE],MATCH(E33,AccountCodes[NGAS CODE],0))))</f>
        <v>1069902099</v>
      </c>
      <c r="G33" s="600">
        <v>10286742.310000001</v>
      </c>
      <c r="H33" s="599"/>
      <c r="I33" s="601">
        <f t="shared" si="0"/>
        <v>10286742.310000001</v>
      </c>
    </row>
    <row r="34" spans="1:14" ht="15.75" hidden="1" x14ac:dyDescent="0.25">
      <c r="A34" s="596" t="str">
        <f>IF(E34=0,"",(INDEX(AccountCodes[ACCOUNT NAME],MATCH(E34,AccountCodes[NGAS CODE],0))))</f>
        <v>Construction in Progress-Infrastructure Assets (Irrigation, Canals and Laterals)</v>
      </c>
      <c r="B34" s="597" t="s">
        <v>486</v>
      </c>
      <c r="C34" s="597"/>
      <c r="D34" s="597"/>
      <c r="E34" s="672" t="s">
        <v>82</v>
      </c>
      <c r="F34" s="598">
        <f>IF(E34=0,"",(INDEX(AccountCodes[PPSAS CODE],MATCH(E34,AccountCodes[NGAS CODE],0))))</f>
        <v>1069902099</v>
      </c>
      <c r="G34" s="600">
        <v>2064761.55</v>
      </c>
      <c r="H34" s="599"/>
      <c r="I34" s="601">
        <f t="shared" si="0"/>
        <v>2064761.55</v>
      </c>
    </row>
    <row r="35" spans="1:14" ht="15.75" x14ac:dyDescent="0.25">
      <c r="A35" s="596" t="str">
        <f>IF(E35=0,"",(INDEX(AccountCodes[ACCOUNT NAME],MATCH(E35,AccountCodes[NGAS CODE],0))))</f>
        <v>Construction in Progress-Infrastructure Assets (Irrigation, Canals and Laterals)</v>
      </c>
      <c r="B35" s="597" t="s">
        <v>762</v>
      </c>
      <c r="C35" s="597"/>
      <c r="D35" s="597"/>
      <c r="E35" s="672" t="s">
        <v>82</v>
      </c>
      <c r="F35" s="598">
        <f>IF(E35=0,"",(INDEX(AccountCodes[PPSAS CODE],MATCH(E35,AccountCodes[NGAS CODE],0))))</f>
        <v>1069902099</v>
      </c>
      <c r="G35" s="600">
        <v>5127189.3600000003</v>
      </c>
      <c r="H35" s="599"/>
      <c r="I35" s="601">
        <f t="shared" si="0"/>
        <v>5127189.3600000003</v>
      </c>
      <c r="L35" s="162">
        <f>G32+G33+G34+PostTB[[#This Row],[Debit]]</f>
        <v>20393630.399999999</v>
      </c>
    </row>
    <row r="36" spans="1:14" ht="15.75" x14ac:dyDescent="0.25">
      <c r="A36" s="596" t="str">
        <f>IF(E36=0,"",(INDEX(AccountCodes[ACCOUNT NAME],MATCH(E36,AccountCodes[NGAS CODE],0))))</f>
        <v>Advances to Contractors</v>
      </c>
      <c r="B36" s="597" t="s">
        <v>762</v>
      </c>
      <c r="C36" s="597"/>
      <c r="D36" s="597"/>
      <c r="E36" s="603" t="s">
        <v>35</v>
      </c>
      <c r="F36" s="598">
        <f>IF(E36=0,"",(INDEX(AccountCodes[PPSAS CODE],MATCH(E36,AccountCodes[NGAS CODE],0))))</f>
        <v>1990201000</v>
      </c>
      <c r="G36" s="600"/>
      <c r="H36" s="599"/>
      <c r="I36" s="601">
        <f t="shared" si="0"/>
        <v>0</v>
      </c>
      <c r="L36" s="162">
        <f>PostTB[[#This Row],[Debit]]</f>
        <v>0</v>
      </c>
    </row>
    <row r="37" spans="1:14" ht="15.75" hidden="1" x14ac:dyDescent="0.25">
      <c r="A37" s="939" t="str">
        <f>IF(E37=0,"",(INDEX(AccountCodes[ACCOUNT NAME],MATCH(E37,AccountCodes[NGAS CODE],0))))</f>
        <v>Accounts Payable</v>
      </c>
      <c r="B37" s="940" t="s">
        <v>494</v>
      </c>
      <c r="C37" s="940"/>
      <c r="D37" s="940"/>
      <c r="E37" s="941" t="s">
        <v>106</v>
      </c>
      <c r="F37" s="942">
        <f>IF(E37=0,"",(INDEX(AccountCodes[PPSAS CODE],MATCH(E37,AccountCodes[NGAS CODE],0))))</f>
        <v>2010101000</v>
      </c>
      <c r="G37" s="943"/>
      <c r="H37" s="944">
        <v>844585.16</v>
      </c>
      <c r="I37" s="945">
        <f>IF(G37=0,H37,G37)</f>
        <v>844585.16</v>
      </c>
      <c r="L37" s="142"/>
      <c r="M37" s="162"/>
    </row>
    <row r="38" spans="1:14" ht="15.75" hidden="1" x14ac:dyDescent="0.25">
      <c r="A38" s="939" t="str">
        <f>IF(E38=0,"",(INDEX(AccountCodes[ACCOUNT NAME],MATCH(E38,AccountCodes[NGAS CODE],0))))</f>
        <v>Accounts Payable</v>
      </c>
      <c r="B38" s="940" t="s">
        <v>484</v>
      </c>
      <c r="C38" s="940"/>
      <c r="D38" s="940"/>
      <c r="E38" s="941" t="s">
        <v>106</v>
      </c>
      <c r="F38" s="942">
        <f>IF(E38=0,"",(INDEX(AccountCodes[PPSAS CODE],MATCH(E38,AccountCodes[NGAS CODE],0))))</f>
        <v>2010101000</v>
      </c>
      <c r="G38" s="943"/>
      <c r="H38" s="944">
        <v>270830.83</v>
      </c>
      <c r="I38" s="945">
        <f t="shared" ref="I38:I40" si="3">IF(G38=0,H38,G38)</f>
        <v>270830.83</v>
      </c>
      <c r="M38" s="700">
        <f>H37+PostTB[[#This Row],[Credit]]+H39+H40+H41</f>
        <v>2668086.44</v>
      </c>
    </row>
    <row r="39" spans="1:14" ht="15.75" hidden="1" x14ac:dyDescent="0.25">
      <c r="A39" s="939" t="str">
        <f>IF(E39=0,"",(INDEX(AccountCodes[ACCOUNT NAME],MATCH(E39,AccountCodes[NGAS CODE],0))))</f>
        <v>Accounts Payable</v>
      </c>
      <c r="B39" s="940" t="s">
        <v>485</v>
      </c>
      <c r="C39" s="940"/>
      <c r="D39" s="940"/>
      <c r="E39" s="941" t="s">
        <v>106</v>
      </c>
      <c r="F39" s="942">
        <f>IF(E39=0,"",(INDEX(AccountCodes[PPSAS CODE],MATCH(E39,AccountCodes[NGAS CODE],0))))</f>
        <v>2010101000</v>
      </c>
      <c r="G39" s="943"/>
      <c r="H39" s="944">
        <v>10000</v>
      </c>
      <c r="I39" s="945">
        <f t="shared" si="3"/>
        <v>10000</v>
      </c>
    </row>
    <row r="40" spans="1:14" ht="15.75" hidden="1" x14ac:dyDescent="0.25">
      <c r="A40" s="939" t="str">
        <f>IF(E40=0,"",(INDEX(AccountCodes[ACCOUNT NAME],MATCH(E40,AccountCodes[NGAS CODE],0))))</f>
        <v>Accounts Payable</v>
      </c>
      <c r="B40" s="940" t="s">
        <v>486</v>
      </c>
      <c r="C40" s="940"/>
      <c r="D40" s="940"/>
      <c r="E40" s="941" t="s">
        <v>106</v>
      </c>
      <c r="F40" s="942">
        <f>IF(E40=0,"",(INDEX(AccountCodes[PPSAS CODE],MATCH(E40,AccountCodes[NGAS CODE],0))))</f>
        <v>2010101000</v>
      </c>
      <c r="G40" s="943"/>
      <c r="H40" s="944">
        <v>407034.28</v>
      </c>
      <c r="I40" s="945">
        <f t="shared" si="3"/>
        <v>407034.28</v>
      </c>
    </row>
    <row r="41" spans="1:14" ht="15.75" x14ac:dyDescent="0.25">
      <c r="A41" s="939" t="str">
        <f>IF(E41=0,"",(INDEX(AccountCodes[ACCOUNT NAME],MATCH(E41,AccountCodes[NGAS CODE],0))))</f>
        <v>Accounts Payable</v>
      </c>
      <c r="B41" s="940" t="s">
        <v>762</v>
      </c>
      <c r="C41" s="940"/>
      <c r="D41" s="940"/>
      <c r="E41" s="941" t="s">
        <v>106</v>
      </c>
      <c r="F41" s="942">
        <f>IF(E41=0,"",(INDEX(AccountCodes[PPSAS CODE],MATCH(E41,AccountCodes[NGAS CODE],0))))</f>
        <v>2010101000</v>
      </c>
      <c r="G41" s="943"/>
      <c r="H41" s="944">
        <v>1135636.17</v>
      </c>
      <c r="I41" s="945">
        <f>IF(G41=0,H41,G41)</f>
        <v>1135636.17</v>
      </c>
    </row>
    <row r="42" spans="1:14" ht="15.75" hidden="1" x14ac:dyDescent="0.25">
      <c r="A42" s="596" t="str">
        <f>IF(E42=0,"",(INDEX(AccountCodes[ACCOUNT NAME],MATCH(E42,AccountCodes[NGAS CODE],0))))</f>
        <v>Due to the Treasurer of the Philippines</v>
      </c>
      <c r="B42" s="940" t="s">
        <v>494</v>
      </c>
      <c r="C42" s="597"/>
      <c r="D42" s="597"/>
      <c r="E42" s="941" t="s">
        <v>1496</v>
      </c>
      <c r="F42" s="598">
        <f>IF(E42=0,"",(INDEX(AccountCodes[PPSAS CODE],MATCH(E42,AccountCodes[NGAS CODE],0))))</f>
        <v>2020109000</v>
      </c>
      <c r="G42" s="600"/>
      <c r="H42" s="944">
        <v>507.02</v>
      </c>
      <c r="I42" s="601">
        <f t="shared" si="0"/>
        <v>507.02</v>
      </c>
      <c r="M42" s="700">
        <f>PostTB[[#This Row],[Credit]]+H43+H44+H45</f>
        <v>3852.23</v>
      </c>
    </row>
    <row r="43" spans="1:14" ht="15.75" hidden="1" x14ac:dyDescent="0.25">
      <c r="A43" s="596" t="str">
        <f>IF(E43=0,"",(INDEX(AccountCodes[ACCOUNT NAME],MATCH(E43,AccountCodes[NGAS CODE],0))))</f>
        <v>Due to the Treasurer of the Philippines</v>
      </c>
      <c r="B43" s="940" t="s">
        <v>485</v>
      </c>
      <c r="C43" s="597"/>
      <c r="D43" s="597"/>
      <c r="E43" s="941" t="s">
        <v>1496</v>
      </c>
      <c r="F43" s="598">
        <f>IF(E43=0,"",(INDEX(AccountCodes[PPSAS CODE],MATCH(E43,AccountCodes[NGAS CODE],0))))</f>
        <v>2020109000</v>
      </c>
      <c r="G43" s="600"/>
      <c r="H43" s="944">
        <v>2974.88</v>
      </c>
      <c r="I43" s="601">
        <f t="shared" si="0"/>
        <v>2974.88</v>
      </c>
    </row>
    <row r="44" spans="1:14" ht="15.75" hidden="1" x14ac:dyDescent="0.25">
      <c r="A44" s="596" t="str">
        <f>IF(E44=0,"",(INDEX(AccountCodes[ACCOUNT NAME],MATCH(E44,AccountCodes[NGAS CODE],0))))</f>
        <v>Due to the Treasurer of the Philippines</v>
      </c>
      <c r="B44" s="940" t="s">
        <v>486</v>
      </c>
      <c r="C44" s="597"/>
      <c r="D44" s="597"/>
      <c r="E44" s="941" t="s">
        <v>1496</v>
      </c>
      <c r="F44" s="598">
        <f>IF(E44=0,"",(INDEX(AccountCodes[PPSAS CODE],MATCH(E44,AccountCodes[NGAS CODE],0))))</f>
        <v>2020109000</v>
      </c>
      <c r="G44" s="600"/>
      <c r="H44" s="944">
        <v>369.42</v>
      </c>
      <c r="I44" s="601">
        <f t="shared" si="0"/>
        <v>369.42</v>
      </c>
      <c r="M44" s="700"/>
    </row>
    <row r="45" spans="1:14" ht="15.75" x14ac:dyDescent="0.25">
      <c r="A45" s="596" t="str">
        <f>IF(E45=0,"",(INDEX(AccountCodes[ACCOUNT NAME],MATCH(E45,AccountCodes[NGAS CODE],0))))</f>
        <v>Due to the Treasurer of the Philippines</v>
      </c>
      <c r="B45" s="940" t="s">
        <v>762</v>
      </c>
      <c r="C45" s="597"/>
      <c r="D45" s="597"/>
      <c r="E45" s="941" t="s">
        <v>1496</v>
      </c>
      <c r="F45" s="598">
        <f>IF(E45=0,"",(INDEX(AccountCodes[PPSAS CODE],MATCH(E45,AccountCodes[NGAS CODE],0))))</f>
        <v>2020109000</v>
      </c>
      <c r="G45" s="600"/>
      <c r="H45" s="944">
        <v>0.91</v>
      </c>
      <c r="I45" s="601">
        <f t="shared" si="0"/>
        <v>0.91</v>
      </c>
    </row>
    <row r="46" spans="1:14" ht="15.75" hidden="1" x14ac:dyDescent="0.25">
      <c r="A46" s="596" t="str">
        <f>IF(E46=0,"",(INDEX(AccountCodes[ACCOUNT NAME],MATCH(E46,AccountCodes[NGAS CODE],0))))</f>
        <v>Due to BIR - Compensation</v>
      </c>
      <c r="B46" s="597" t="s">
        <v>484</v>
      </c>
      <c r="C46" s="597"/>
      <c r="D46" s="597"/>
      <c r="E46" s="603" t="s">
        <v>1546</v>
      </c>
      <c r="F46" s="598">
        <f>IF(E46=0,"",(INDEX(AccountCodes[PPSAS CODE],MATCH(E46,AccountCodes[NGAS CODE],0))))</f>
        <v>2020101001</v>
      </c>
      <c r="G46" s="600"/>
      <c r="H46" s="599">
        <v>870.06</v>
      </c>
      <c r="I46" s="601">
        <f t="shared" si="0"/>
        <v>870.06</v>
      </c>
      <c r="M46" s="142">
        <f>PostTB[[#This Row],[Credit]]</f>
        <v>870.06</v>
      </c>
      <c r="N46" s="701">
        <f>M46+M47+M48</f>
        <v>10049.26</v>
      </c>
    </row>
    <row r="47" spans="1:14" ht="15.75" hidden="1" x14ac:dyDescent="0.25">
      <c r="A47" s="596" t="str">
        <f>IF(E47=0,"",(INDEX(AccountCodes[ACCOUNT NAME],MATCH(E47,AccountCodes[NGAS CODE],0))))</f>
        <v>Due to BIR - 5%</v>
      </c>
      <c r="B47" s="597" t="s">
        <v>484</v>
      </c>
      <c r="C47" s="597"/>
      <c r="D47" s="597"/>
      <c r="E47" s="603" t="s">
        <v>1548</v>
      </c>
      <c r="F47" s="598">
        <f>IF(E47=0,"",(INDEX(AccountCodes[PPSAS CODE],MATCH(E47,AccountCodes[NGAS CODE],0))))</f>
        <v>2020101002</v>
      </c>
      <c r="G47" s="600"/>
      <c r="H47" s="599">
        <v>7649.33</v>
      </c>
      <c r="I47" s="601">
        <f t="shared" ref="I47:I69" si="4">IF(G47=0,H47,G47)</f>
        <v>7649.33</v>
      </c>
      <c r="M47" s="700">
        <f>PostTB[[#This Row],[Credit]]</f>
        <v>7649.33</v>
      </c>
    </row>
    <row r="48" spans="1:14" ht="15.75" hidden="1" x14ac:dyDescent="0.25">
      <c r="A48" s="765" t="str">
        <f>IF(E48=0,"",(INDEX(AccountCodes[ACCOUNT NAME],MATCH(E48,AccountCodes[NGAS CODE],0))))</f>
        <v>Due to BIR - 1%</v>
      </c>
      <c r="B48" s="597" t="s">
        <v>484</v>
      </c>
      <c r="C48" s="766"/>
      <c r="D48" s="766"/>
      <c r="E48" s="672" t="s">
        <v>1554</v>
      </c>
      <c r="F48" s="767">
        <f>IF(E48=0,"",(INDEX(AccountCodes[PPSAS CODE],MATCH(E48,AccountCodes[NGAS CODE],0))))</f>
        <v>2020101005</v>
      </c>
      <c r="G48" s="768"/>
      <c r="H48" s="599">
        <v>1529.87</v>
      </c>
      <c r="I48" s="770">
        <f t="shared" si="4"/>
        <v>1529.87</v>
      </c>
      <c r="M48" s="700">
        <f>PostTB[[#This Row],[Credit]]</f>
        <v>1529.87</v>
      </c>
    </row>
    <row r="49" spans="1:14" ht="15.75" hidden="1" x14ac:dyDescent="0.25">
      <c r="A49" s="765" t="str">
        <f>IF(E49=0,"",(INDEX(AccountCodes[ACCOUNT NAME],MATCH(E49,AccountCodes[NGAS CODE],0))))</f>
        <v>Due to GSIS - Life and Retirement Premium</v>
      </c>
      <c r="B49" s="597" t="s">
        <v>485</v>
      </c>
      <c r="C49" s="766"/>
      <c r="D49" s="766"/>
      <c r="E49" s="672" t="s">
        <v>1440</v>
      </c>
      <c r="F49" s="767">
        <f>IF(E49=0,"",(INDEX(AccountCodes[PPSAS CODE],MATCH(E49,AccountCodes[NGAS CODE],0))))</f>
        <v>2020102001</v>
      </c>
      <c r="G49" s="768"/>
      <c r="H49" s="599">
        <v>10385.82</v>
      </c>
      <c r="I49" s="770">
        <f t="shared" si="4"/>
        <v>10385.82</v>
      </c>
      <c r="M49" s="700">
        <f>PostTB[[#This Row],[Credit]]</f>
        <v>10385.82</v>
      </c>
    </row>
    <row r="50" spans="1:14" ht="15.75" hidden="1" x14ac:dyDescent="0.25">
      <c r="A50" s="765" t="str">
        <f>IF(E50=0,"",(INDEX(AccountCodes[ACCOUNT NAME],MATCH(E50,AccountCodes[NGAS CODE],0))))</f>
        <v>Guaranty/Security Deposits Payable</v>
      </c>
      <c r="B50" s="597" t="s">
        <v>484</v>
      </c>
      <c r="C50" s="766"/>
      <c r="D50" s="766"/>
      <c r="E50" s="672" t="s">
        <v>115</v>
      </c>
      <c r="F50" s="767">
        <f>IF(E50=0,"",(INDEX(AccountCodes[PPSAS CODE],MATCH(E50,AccountCodes[NGAS CODE],0))))</f>
        <v>2040104000</v>
      </c>
      <c r="G50" s="768"/>
      <c r="H50" s="599">
        <v>1305699.6499999999</v>
      </c>
      <c r="I50" s="770">
        <f t="shared" si="4"/>
        <v>1305699.6499999999</v>
      </c>
      <c r="M50" s="700">
        <f>PostTB[[#This Row],[Credit]]+H51+H53</f>
        <v>2588810.2000000002</v>
      </c>
      <c r="N50" s="701"/>
    </row>
    <row r="51" spans="1:14" ht="15.75" hidden="1" x14ac:dyDescent="0.25">
      <c r="A51" s="596" t="str">
        <f>IF(E51=0,"",(INDEX(AccountCodes[ACCOUNT NAME],MATCH(E51,AccountCodes[NGAS CODE],0))))</f>
        <v>Guaranty/Security Deposits Payable</v>
      </c>
      <c r="B51" s="597" t="s">
        <v>486</v>
      </c>
      <c r="C51" s="597"/>
      <c r="D51" s="597"/>
      <c r="E51" s="672" t="s">
        <v>115</v>
      </c>
      <c r="F51" s="598">
        <f>IF(E51=0,"",(INDEX(AccountCodes[PPSAS CODE],MATCH(E51,AccountCodes[NGAS CODE],0))))</f>
        <v>2040104000</v>
      </c>
      <c r="G51" s="600"/>
      <c r="H51" s="599">
        <v>205501.01</v>
      </c>
      <c r="I51" s="601">
        <f t="shared" si="4"/>
        <v>205501.01</v>
      </c>
      <c r="M51" s="700"/>
    </row>
    <row r="52" spans="1:14" ht="15.75" x14ac:dyDescent="0.25">
      <c r="A52" s="998" t="str">
        <f>IF(E52=0,"",(INDEX(AccountCodes[ACCOUNT NAME],MATCH(E52,AccountCodes[NGAS CODE],0))))</f>
        <v>Due to BIR - Compensation</v>
      </c>
      <c r="B52" s="999" t="s">
        <v>762</v>
      </c>
      <c r="C52" s="999"/>
      <c r="D52" s="999"/>
      <c r="E52" s="1000" t="s">
        <v>1546</v>
      </c>
      <c r="F52" s="1001">
        <f>IF(E52=0,"",(INDEX(AccountCodes[PPSAS CODE],MATCH(E52,AccountCodes[NGAS CODE],0))))</f>
        <v>2020101001</v>
      </c>
      <c r="G52" s="1002">
        <v>0.01</v>
      </c>
      <c r="H52" s="1003"/>
      <c r="I52" s="1004">
        <f>IF(G52=0,H52,G52)</f>
        <v>0.01</v>
      </c>
      <c r="M52" s="700"/>
    </row>
    <row r="53" spans="1:14" ht="15.75" x14ac:dyDescent="0.25">
      <c r="A53" s="596" t="str">
        <f>IF(E53=0,"",(INDEX(AccountCodes[ACCOUNT NAME],MATCH(E53,AccountCodes[NGAS CODE],0))))</f>
        <v>Guaranty/Security Deposits Payable</v>
      </c>
      <c r="B53" s="597" t="s">
        <v>762</v>
      </c>
      <c r="C53" s="597"/>
      <c r="D53" s="597"/>
      <c r="E53" s="672" t="s">
        <v>115</v>
      </c>
      <c r="F53" s="598">
        <f>IF(E53=0,"",(INDEX(AccountCodes[PPSAS CODE],MATCH(E53,AccountCodes[NGAS CODE],0))))</f>
        <v>2040104000</v>
      </c>
      <c r="G53" s="600"/>
      <c r="H53" s="769">
        <v>1077609.54</v>
      </c>
      <c r="I53" s="601">
        <f t="shared" si="4"/>
        <v>1077609.54</v>
      </c>
      <c r="M53" s="700">
        <f>H51+PostTB[[#This Row],[Credit]]+H50</f>
        <v>2588810.2000000002</v>
      </c>
    </row>
    <row r="54" spans="1:14" ht="15.75" hidden="1" x14ac:dyDescent="0.25">
      <c r="A54" s="596" t="str">
        <f>IF(E54=0,"",(INDEX(AccountCodes[ACCOUNT NAME],MATCH(E54,AccountCodes[NGAS CODE],0))))</f>
        <v>Other Payables</v>
      </c>
      <c r="B54" s="597" t="s">
        <v>494</v>
      </c>
      <c r="C54" s="597"/>
      <c r="D54" s="597"/>
      <c r="E54" s="672" t="s">
        <v>117</v>
      </c>
      <c r="F54" s="598">
        <f>IF(E54=0,"",(INDEX(AccountCodes[PPSAS CODE],MATCH(E54,AccountCodes[NGAS CODE],0))))</f>
        <v>2999999000</v>
      </c>
      <c r="G54" s="600"/>
      <c r="H54" s="769">
        <v>2676406.96</v>
      </c>
      <c r="I54" s="601">
        <f t="shared" si="4"/>
        <v>2676406.96</v>
      </c>
      <c r="M54" s="142">
        <f>PostTB[[#This Row],[Credit]]</f>
        <v>2676406.96</v>
      </c>
    </row>
    <row r="55" spans="1:14" ht="15.75" hidden="1" x14ac:dyDescent="0.25">
      <c r="A55" s="596" t="str">
        <f>IF(E55=0,"",(INDEX(AccountCodes[ACCOUNT NAME],MATCH(E55,AccountCodes[NGAS CODE],0))))</f>
        <v>Accumulated Surplus/(Deficit) (Government Equity)</v>
      </c>
      <c r="B55" s="597" t="s">
        <v>494</v>
      </c>
      <c r="C55" s="597"/>
      <c r="D55" s="597"/>
      <c r="E55" s="672" t="s">
        <v>122</v>
      </c>
      <c r="F55" s="598">
        <f>IF(E55=0,"",(INDEX(AccountCodes[PPSAS CODE],MATCH(E55,AccountCodes[NGAS CODE],0))))</f>
        <v>3010101000</v>
      </c>
      <c r="G55" s="600"/>
      <c r="H55" s="599">
        <v>117680205.22</v>
      </c>
      <c r="I55" s="601">
        <f t="shared" si="4"/>
        <v>117680205.22</v>
      </c>
      <c r="M55" s="700">
        <f>PostTB[[#This Row],[Credit]]</f>
        <v>117680205.22</v>
      </c>
    </row>
    <row r="56" spans="1:14" ht="15.75" hidden="1" x14ac:dyDescent="0.25">
      <c r="A56" s="596" t="str">
        <f>IF(E56=0,"",(INDEX(AccountCodes[ACCOUNT NAME],MATCH(E56,AccountCodes[NGAS CODE],0))))</f>
        <v/>
      </c>
      <c r="B56" s="597"/>
      <c r="C56" s="597"/>
      <c r="D56" s="597"/>
      <c r="E56" s="603"/>
      <c r="F56" s="598" t="str">
        <f>IF(E56=0,"",(INDEX(AccountCodes[PPSAS CODE],MATCH(E56,AccountCodes[NGAS CODE],0))))</f>
        <v/>
      </c>
      <c r="G56" s="600"/>
      <c r="H56" s="599"/>
      <c r="I56" s="601">
        <f t="shared" si="4"/>
        <v>0</v>
      </c>
    </row>
    <row r="57" spans="1:14" ht="15.75" hidden="1" x14ac:dyDescent="0.25">
      <c r="A57" s="596" t="str">
        <f>IF(E57=0,"",(INDEX(AccountCodes[ACCOUNT NAME],MATCH(E57,AccountCodes[NGAS CODE],0))))</f>
        <v/>
      </c>
      <c r="B57" s="597"/>
      <c r="C57" s="597"/>
      <c r="D57" s="597"/>
      <c r="E57" s="672"/>
      <c r="F57" s="598" t="str">
        <f>IF(E57=0,"",(INDEX(AccountCodes[PPSAS CODE],MATCH(E57,AccountCodes[NGAS CODE],0))))</f>
        <v/>
      </c>
      <c r="G57" s="600"/>
      <c r="H57" s="599"/>
      <c r="I57" s="601">
        <f t="shared" si="4"/>
        <v>0</v>
      </c>
      <c r="M57" s="700">
        <f>H56+PostTB[[#This Row],[Credit]]</f>
        <v>0</v>
      </c>
    </row>
    <row r="58" spans="1:14" ht="15.75" hidden="1" x14ac:dyDescent="0.25">
      <c r="A58" s="596" t="str">
        <f>IF(E58=0,"",(INDEX(AccountCodes[ACCOUNT NAME],MATCH(E58,AccountCodes[NGAS CODE],0))))</f>
        <v/>
      </c>
      <c r="B58" s="597"/>
      <c r="C58" s="597"/>
      <c r="D58" s="597"/>
      <c r="E58" s="603"/>
      <c r="F58" s="598" t="str">
        <f>IF(E58=0,"",(INDEX(AccountCodes[PPSAS CODE],MATCH(E58,AccountCodes[NGAS CODE],0))))</f>
        <v/>
      </c>
      <c r="G58" s="600"/>
      <c r="H58" s="599"/>
      <c r="I58" s="601">
        <f t="shared" si="4"/>
        <v>0</v>
      </c>
    </row>
    <row r="59" spans="1:14" ht="15.75" hidden="1" x14ac:dyDescent="0.25">
      <c r="A59" s="596" t="str">
        <f>IF(E59=0,"",(INDEX(AccountCodes[ACCOUNT NAME],MATCH(E59,AccountCodes[NGAS CODE],0))))</f>
        <v/>
      </c>
      <c r="B59" s="597"/>
      <c r="C59" s="597"/>
      <c r="D59" s="597"/>
      <c r="E59" s="672"/>
      <c r="F59" s="598" t="str">
        <f>IF(E59=0,"",(INDEX(AccountCodes[PPSAS CODE],MATCH(E59,AccountCodes[NGAS CODE],0))))</f>
        <v/>
      </c>
      <c r="G59" s="600"/>
      <c r="H59" s="599"/>
      <c r="I59" s="601">
        <f t="shared" si="4"/>
        <v>0</v>
      </c>
    </row>
    <row r="60" spans="1:14" ht="15.75" hidden="1" x14ac:dyDescent="0.25">
      <c r="A60" s="596" t="str">
        <f>IF(E60=0,"",(INDEX(AccountCodes[ACCOUNT NAME],MATCH(E60,AccountCodes[NGAS CODE],0))))</f>
        <v/>
      </c>
      <c r="B60" s="597"/>
      <c r="C60" s="597"/>
      <c r="D60" s="597"/>
      <c r="E60" s="672"/>
      <c r="F60" s="598" t="str">
        <f>IF(E60=0,"",(INDEX(AccountCodes[PPSAS CODE],MATCH(E60,AccountCodes[NGAS CODE],0))))</f>
        <v/>
      </c>
      <c r="G60" s="600"/>
      <c r="H60" s="599"/>
      <c r="I60" s="601">
        <f t="shared" si="4"/>
        <v>0</v>
      </c>
    </row>
    <row r="61" spans="1:14" ht="15.75" hidden="1" x14ac:dyDescent="0.25">
      <c r="A61" s="596" t="str">
        <f>IF(E61=0,"",(INDEX(AccountCodes[ACCOUNT NAME],MATCH(E61,AccountCodes[NGAS CODE],0))))</f>
        <v/>
      </c>
      <c r="B61" s="597"/>
      <c r="C61" s="597"/>
      <c r="D61" s="597"/>
      <c r="E61" s="672"/>
      <c r="F61" s="598" t="str">
        <f>IF(E61=0,"",(INDEX(AccountCodes[PPSAS CODE],MATCH(E61,AccountCodes[NGAS CODE],0))))</f>
        <v/>
      </c>
      <c r="G61" s="600"/>
      <c r="H61" s="599"/>
      <c r="I61" s="601">
        <f t="shared" si="4"/>
        <v>0</v>
      </c>
      <c r="M61" s="701">
        <f>H58+H59+H60+H61</f>
        <v>0</v>
      </c>
    </row>
    <row r="62" spans="1:14" ht="15.75" hidden="1" x14ac:dyDescent="0.25">
      <c r="A62" s="596" t="str">
        <f>IF(E62=0,"",(INDEX(AccountCodes[ACCOUNT NAME],MATCH(E62,AccountCodes[NGAS CODE],0))))</f>
        <v/>
      </c>
      <c r="B62" s="597"/>
      <c r="C62" s="597"/>
      <c r="D62" s="597"/>
      <c r="E62" s="672"/>
      <c r="F62" s="598" t="str">
        <f>IF(E62=0,"",(INDEX(AccountCodes[PPSAS CODE],MATCH(E62,AccountCodes[NGAS CODE],0))))</f>
        <v/>
      </c>
      <c r="G62" s="600"/>
      <c r="H62" s="599"/>
      <c r="I62" s="601">
        <f t="shared" si="4"/>
        <v>0</v>
      </c>
      <c r="M62" s="701"/>
    </row>
    <row r="63" spans="1:14" ht="15.75" hidden="1" x14ac:dyDescent="0.25">
      <c r="A63" s="596" t="str">
        <f>IF(E63=0,"",(INDEX(AccountCodes[ACCOUNT NAME],MATCH(E63,AccountCodes[NGAS CODE],0))))</f>
        <v/>
      </c>
      <c r="B63" s="597"/>
      <c r="C63" s="597"/>
      <c r="D63" s="597"/>
      <c r="E63" s="672"/>
      <c r="F63" s="598" t="str">
        <f>IF(E63=0,"",(INDEX(AccountCodes[PPSAS CODE],MATCH(E63,AccountCodes[NGAS CODE],0))))</f>
        <v/>
      </c>
      <c r="G63" s="600"/>
      <c r="H63" s="599"/>
      <c r="I63" s="601">
        <f t="shared" si="4"/>
        <v>0</v>
      </c>
      <c r="M63" s="701"/>
    </row>
    <row r="64" spans="1:14" ht="15.75" hidden="1" x14ac:dyDescent="0.25">
      <c r="A64" s="596" t="str">
        <f>IF(E64=0,"",(INDEX(AccountCodes[ACCOUNT NAME],MATCH(E64,AccountCodes[NGAS CODE],0))))</f>
        <v/>
      </c>
      <c r="B64" s="597"/>
      <c r="C64" s="597"/>
      <c r="D64" s="597"/>
      <c r="E64" s="672"/>
      <c r="F64" s="598" t="str">
        <f>IF(E64=0,"",(INDEX(AccountCodes[PPSAS CODE],MATCH(E64,AccountCodes[NGAS CODE],0))))</f>
        <v/>
      </c>
      <c r="G64" s="600"/>
      <c r="H64" s="599"/>
      <c r="I64" s="601">
        <f t="shared" si="4"/>
        <v>0</v>
      </c>
      <c r="M64" s="701">
        <f>H62+H63+PostTB[[#This Row],[Credit]]</f>
        <v>0</v>
      </c>
    </row>
    <row r="65" spans="1:13" ht="15.75" hidden="1" x14ac:dyDescent="0.25">
      <c r="A65" s="596" t="str">
        <f>IF(E65=0,"",(INDEX(AccountCodes[ACCOUNT NAME],MATCH(E65,AccountCodes[NGAS CODE],0))))</f>
        <v/>
      </c>
      <c r="B65" s="597"/>
      <c r="C65" s="597"/>
      <c r="D65" s="597"/>
      <c r="E65" s="672"/>
      <c r="F65" s="598" t="str">
        <f>IF(E65=0,"",(INDEX(AccountCodes[PPSAS CODE],MATCH(E65,AccountCodes[NGAS CODE],0))))</f>
        <v/>
      </c>
      <c r="G65" s="600"/>
      <c r="H65" s="599"/>
      <c r="I65" s="601">
        <f t="shared" si="4"/>
        <v>0</v>
      </c>
    </row>
    <row r="66" spans="1:13" ht="15.75" hidden="1" x14ac:dyDescent="0.25">
      <c r="A66" s="596" t="str">
        <f>IF(E66=0,"",(INDEX(AccountCodes[ACCOUNT NAME],MATCH(E66,AccountCodes[NGAS CODE],0))))</f>
        <v/>
      </c>
      <c r="B66" s="597"/>
      <c r="C66" s="597"/>
      <c r="D66" s="597"/>
      <c r="E66" s="672"/>
      <c r="F66" s="598" t="str">
        <f>IF(E66=0,"",(INDEX(AccountCodes[PPSAS CODE],MATCH(E66,AccountCodes[NGAS CODE],0))))</f>
        <v/>
      </c>
      <c r="G66" s="600"/>
      <c r="H66" s="599"/>
      <c r="I66" s="601">
        <f t="shared" si="4"/>
        <v>0</v>
      </c>
    </row>
    <row r="67" spans="1:13" ht="15.75" hidden="1" x14ac:dyDescent="0.25">
      <c r="A67" s="596" t="str">
        <f>IF(E67=0,"",(INDEX(AccountCodes[ACCOUNT NAME],MATCH(E67,AccountCodes[NGAS CODE],0))))</f>
        <v/>
      </c>
      <c r="B67" s="597"/>
      <c r="C67" s="597"/>
      <c r="D67" s="597"/>
      <c r="E67" s="672"/>
      <c r="F67" s="598" t="str">
        <f>IF(E67=0,"",(INDEX(AccountCodes[PPSAS CODE],MATCH(E67,AccountCodes[NGAS CODE],0))))</f>
        <v/>
      </c>
      <c r="G67" s="600"/>
      <c r="H67" s="599"/>
      <c r="I67" s="601">
        <f t="shared" si="4"/>
        <v>0</v>
      </c>
      <c r="M67" s="700">
        <f>H65+H66+PostTB[[#This Row],[Credit]]</f>
        <v>0</v>
      </c>
    </row>
    <row r="68" spans="1:13" ht="15.75" hidden="1" x14ac:dyDescent="0.25">
      <c r="A68" s="596" t="str">
        <f>IF(E68=0,"",(INDEX(AccountCodes[ACCOUNT NAME],MATCH(E68,AccountCodes[NGAS CODE],0))))</f>
        <v/>
      </c>
      <c r="B68" s="597"/>
      <c r="C68" s="597"/>
      <c r="D68" s="597"/>
      <c r="E68" s="603"/>
      <c r="F68" s="598" t="str">
        <f>IF(E68=0,"",(INDEX(AccountCodes[PPSAS CODE],MATCH(E68,AccountCodes[NGAS CODE],0))))</f>
        <v/>
      </c>
      <c r="G68" s="600"/>
      <c r="H68" s="599"/>
      <c r="I68" s="601">
        <f t="shared" si="4"/>
        <v>0</v>
      </c>
      <c r="M68" s="142">
        <f>PostTB[[#This Row],[Credit]]</f>
        <v>0</v>
      </c>
    </row>
    <row r="69" spans="1:13" ht="15.75" hidden="1" x14ac:dyDescent="0.25">
      <c r="A69" s="596" t="str">
        <f>IF(E69=0,"",(INDEX(AccountCodes[ACCOUNT NAME],MATCH(E69,AccountCodes[NGAS CODE],0))))</f>
        <v/>
      </c>
      <c r="B69" s="597"/>
      <c r="C69" s="597"/>
      <c r="D69" s="597"/>
      <c r="E69" s="603"/>
      <c r="F69" s="598" t="str">
        <f>IF(E69=0,"",(INDEX(AccountCodes[PPSAS CODE],MATCH(E69,AccountCodes[NGAS CODE],0))))</f>
        <v/>
      </c>
      <c r="G69" s="600"/>
      <c r="H69" s="599"/>
      <c r="I69" s="601">
        <f t="shared" si="4"/>
        <v>0</v>
      </c>
      <c r="M69" s="142">
        <f>SUM(M8:M68)</f>
        <v>136489478.41999999</v>
      </c>
    </row>
    <row r="80" spans="1:13" x14ac:dyDescent="0.2">
      <c r="G80" s="684">
        <f>SUM(G4:G68)</f>
        <v>144704178.22999999</v>
      </c>
      <c r="H80" s="684">
        <f>SUM(H4:H68)</f>
        <v>133900668.22</v>
      </c>
    </row>
    <row r="81" spans="8:8" x14ac:dyDescent="0.2">
      <c r="H81" s="685">
        <f>G80-H80</f>
        <v>10803510.01</v>
      </c>
    </row>
  </sheetData>
  <sheetProtection autoFilter="0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>
    <tabColor rgb="FFFFFF00"/>
  </sheetPr>
  <dimension ref="A1:L15"/>
  <sheetViews>
    <sheetView showZeros="0" zoomScale="85" zoomScaleNormal="85" workbookViewId="0">
      <selection activeCell="A5" sqref="A5:A15"/>
    </sheetView>
  </sheetViews>
  <sheetFormatPr defaultColWidth="9" defaultRowHeight="15.75" x14ac:dyDescent="0.25"/>
  <cols>
    <col min="1" max="1" width="10" style="538" customWidth="1"/>
    <col min="2" max="2" width="11.5" style="24" customWidth="1"/>
    <col min="3" max="6" width="9.625" style="24" customWidth="1"/>
    <col min="7" max="7" width="30.125" style="24" customWidth="1"/>
    <col min="8" max="8" width="37.875" style="25" customWidth="1"/>
    <col min="9" max="9" width="12.5" style="24" bestFit="1" customWidth="1"/>
    <col min="10" max="10" width="21.375" style="9" customWidth="1"/>
    <col min="11" max="11" width="20.625" style="9" customWidth="1"/>
    <col min="12" max="12" width="19.125" style="25" customWidth="1"/>
    <col min="13" max="16384" width="9" style="25"/>
  </cols>
  <sheetData>
    <row r="1" spans="1:12" x14ac:dyDescent="0.25">
      <c r="A1" s="1037" t="s">
        <v>1615</v>
      </c>
      <c r="B1" s="1037"/>
      <c r="C1" s="1037"/>
      <c r="D1" s="1037"/>
      <c r="E1" s="1037"/>
      <c r="F1" s="1037"/>
      <c r="G1" s="1037"/>
      <c r="H1" s="1037"/>
      <c r="I1" s="1037"/>
      <c r="J1" s="1037"/>
      <c r="K1" s="1037"/>
      <c r="L1" s="14" t="s">
        <v>1614</v>
      </c>
    </row>
    <row r="3" spans="1:12" ht="20.100000000000001" customHeight="1" x14ac:dyDescent="0.25">
      <c r="A3" s="535" t="s">
        <v>0</v>
      </c>
      <c r="B3" s="181" t="s">
        <v>722</v>
      </c>
      <c r="C3" s="153" t="s">
        <v>718</v>
      </c>
      <c r="D3" s="153" t="s">
        <v>740</v>
      </c>
      <c r="E3" s="153" t="s">
        <v>723</v>
      </c>
      <c r="F3" s="153" t="s">
        <v>728</v>
      </c>
      <c r="G3" s="153" t="s">
        <v>719</v>
      </c>
      <c r="H3" s="546" t="s">
        <v>369</v>
      </c>
      <c r="I3" s="181" t="s">
        <v>370</v>
      </c>
      <c r="J3" s="157" t="s">
        <v>1</v>
      </c>
      <c r="K3" s="157" t="s">
        <v>2</v>
      </c>
      <c r="L3" s="155" t="s">
        <v>724</v>
      </c>
    </row>
    <row r="4" spans="1:12" ht="20.100000000000001" customHeight="1" x14ac:dyDescent="0.25">
      <c r="A4" s="714">
        <v>43646</v>
      </c>
      <c r="B4" s="105"/>
      <c r="C4" s="105"/>
      <c r="D4" s="105"/>
      <c r="E4" s="105"/>
      <c r="F4" s="105"/>
      <c r="G4" s="133"/>
      <c r="H4" s="547" t="str">
        <f>IF(I4=0,"",(INDEX(AccountCodes[ACCOUNT NAME],MATCH(I4,AccountCodes[NGAS CODE],0))))</f>
        <v/>
      </c>
      <c r="I4" s="133"/>
      <c r="J4" s="4"/>
      <c r="K4" s="4"/>
      <c r="L4" s="150">
        <f>J4-K4</f>
        <v>0</v>
      </c>
    </row>
    <row r="5" spans="1:12" x14ac:dyDescent="0.25">
      <c r="A5" s="714"/>
      <c r="B5" s="105"/>
      <c r="C5" s="105"/>
      <c r="D5" s="105"/>
      <c r="E5" s="105"/>
      <c r="F5" s="105"/>
      <c r="G5" s="133"/>
      <c r="H5" s="548" t="str">
        <f>IF(I5=0,"",(INDEX(AccountCodes[ACCOUNT NAME],MATCH(I5,AccountCodes[NGAS CODE],0))))</f>
        <v/>
      </c>
      <c r="I5" s="147"/>
      <c r="J5" s="149"/>
      <c r="K5" s="149"/>
      <c r="L5" s="152">
        <f>L4+J5-K5</f>
        <v>0</v>
      </c>
    </row>
    <row r="6" spans="1:12" x14ac:dyDescent="0.25">
      <c r="A6" s="714"/>
      <c r="B6" s="105"/>
      <c r="C6" s="105"/>
      <c r="D6" s="105"/>
      <c r="E6" s="105"/>
      <c r="F6" s="105"/>
      <c r="G6" s="133"/>
      <c r="H6" s="547" t="str">
        <f>IF(I6=0,"",(INDEX(AccountCodes[ACCOUNT NAME],MATCH(I6,AccountCodes[NGAS CODE],0))))</f>
        <v/>
      </c>
      <c r="I6" s="133"/>
      <c r="J6" s="4"/>
      <c r="K6" s="4"/>
      <c r="L6" s="150">
        <f t="shared" ref="L6:L15" si="0">L5+J6-K6</f>
        <v>0</v>
      </c>
    </row>
    <row r="7" spans="1:12" x14ac:dyDescent="0.25">
      <c r="A7" s="714"/>
      <c r="B7" s="105"/>
      <c r="C7" s="105"/>
      <c r="D7" s="105"/>
      <c r="E7" s="105"/>
      <c r="F7" s="105"/>
      <c r="G7" s="133"/>
      <c r="H7" s="548" t="str">
        <f>IF(I7=0,"",(INDEX(AccountCodes[ACCOUNT NAME],MATCH(I7,AccountCodes[NGAS CODE],0))))</f>
        <v/>
      </c>
      <c r="I7" s="147"/>
      <c r="J7" s="149"/>
      <c r="K7" s="149"/>
      <c r="L7" s="150">
        <f t="shared" si="0"/>
        <v>0</v>
      </c>
    </row>
    <row r="8" spans="1:12" x14ac:dyDescent="0.25">
      <c r="A8" s="714"/>
      <c r="B8" s="499"/>
      <c r="C8" s="105"/>
      <c r="D8" s="499"/>
      <c r="E8" s="499"/>
      <c r="F8" s="499"/>
      <c r="G8" s="133"/>
      <c r="H8" s="795" t="str">
        <f>IF(I8=0,"",(INDEX(AccountCodes[ACCOUNT NAME],MATCH(I8,AccountCodes[NGAS CODE],0))))</f>
        <v/>
      </c>
      <c r="I8" s="717"/>
      <c r="J8" s="500"/>
      <c r="K8" s="500"/>
      <c r="L8" s="150">
        <f t="shared" si="0"/>
        <v>0</v>
      </c>
    </row>
    <row r="9" spans="1:12" x14ac:dyDescent="0.25">
      <c r="A9" s="714"/>
      <c r="B9" s="499"/>
      <c r="C9" s="105"/>
      <c r="D9" s="499"/>
      <c r="E9" s="499"/>
      <c r="F9" s="499"/>
      <c r="G9" s="133"/>
      <c r="H9" s="795" t="str">
        <f>IF(I9=0,"",(INDEX(AccountCodes[ACCOUNT NAME],MATCH(I9,AccountCodes[NGAS CODE],0))))</f>
        <v/>
      </c>
      <c r="I9" s="717"/>
      <c r="J9" s="500"/>
      <c r="K9" s="500"/>
      <c r="L9" s="150">
        <f t="shared" si="0"/>
        <v>0</v>
      </c>
    </row>
    <row r="10" spans="1:12" x14ac:dyDescent="0.25">
      <c r="A10" s="714"/>
      <c r="B10" s="499"/>
      <c r="C10" s="105"/>
      <c r="D10" s="499"/>
      <c r="E10" s="499"/>
      <c r="F10" s="499"/>
      <c r="G10" s="133"/>
      <c r="H10" s="795" t="str">
        <f>IF(I10=0,"",(INDEX(AccountCodes[ACCOUNT NAME],MATCH(I10,AccountCodes[NGAS CODE],0))))</f>
        <v/>
      </c>
      <c r="I10" s="717"/>
      <c r="J10" s="500"/>
      <c r="K10" s="500"/>
      <c r="L10" s="150">
        <f t="shared" si="0"/>
        <v>0</v>
      </c>
    </row>
    <row r="11" spans="1:12" x14ac:dyDescent="0.25">
      <c r="A11" s="714"/>
      <c r="B11" s="499"/>
      <c r="C11" s="105"/>
      <c r="D11" s="718"/>
      <c r="E11" s="718"/>
      <c r="F11" s="718"/>
      <c r="G11" s="133"/>
      <c r="H11" s="796" t="str">
        <f>IF(I11=0,"",(INDEX(AccountCodes[ACCOUNT NAME],MATCH(I11,AccountCodes[NGAS CODE],0))))</f>
        <v/>
      </c>
      <c r="I11" s="719"/>
      <c r="J11" s="500"/>
      <c r="K11" s="500"/>
      <c r="L11" s="150">
        <f t="shared" si="0"/>
        <v>0</v>
      </c>
    </row>
    <row r="12" spans="1:12" x14ac:dyDescent="0.25">
      <c r="A12" s="714"/>
      <c r="B12" s="105"/>
      <c r="C12" s="105"/>
      <c r="D12" s="105"/>
      <c r="E12" s="105"/>
      <c r="F12" s="105"/>
      <c r="G12" s="133"/>
      <c r="H12" s="547" t="str">
        <f>IF(I12=0,"",(INDEX(AccountCodes[ACCOUNT NAME],MATCH(I12,AccountCodes[NGAS CODE],0))))</f>
        <v/>
      </c>
      <c r="I12" s="133"/>
      <c r="J12" s="4"/>
      <c r="K12" s="4"/>
      <c r="L12" s="150">
        <f t="shared" si="0"/>
        <v>0</v>
      </c>
    </row>
    <row r="13" spans="1:12" x14ac:dyDescent="0.25">
      <c r="A13" s="714"/>
      <c r="B13" s="105"/>
      <c r="C13" s="105"/>
      <c r="D13" s="105"/>
      <c r="E13" s="105"/>
      <c r="F13" s="105"/>
      <c r="G13" s="133"/>
      <c r="H13" s="547" t="str">
        <f>IF(I13=0,"",(INDEX(AccountCodes[ACCOUNT NAME],MATCH(I13,AccountCodes[NGAS CODE],0))))</f>
        <v/>
      </c>
      <c r="I13" s="133"/>
      <c r="J13" s="4"/>
      <c r="K13" s="4"/>
      <c r="L13" s="150">
        <f t="shared" si="0"/>
        <v>0</v>
      </c>
    </row>
    <row r="14" spans="1:12" x14ac:dyDescent="0.25">
      <c r="A14" s="714"/>
      <c r="B14" s="105"/>
      <c r="C14" s="105"/>
      <c r="D14" s="105"/>
      <c r="E14" s="105"/>
      <c r="F14" s="105"/>
      <c r="G14" s="133"/>
      <c r="H14" s="547" t="str">
        <f>IF(I14=0,"",(INDEX(AccountCodes[ACCOUNT NAME],MATCH(I14,AccountCodes[NGAS CODE],0))))</f>
        <v/>
      </c>
      <c r="I14" s="133"/>
      <c r="J14" s="4"/>
      <c r="K14" s="4"/>
      <c r="L14" s="150">
        <f t="shared" si="0"/>
        <v>0</v>
      </c>
    </row>
    <row r="15" spans="1:12" x14ac:dyDescent="0.25">
      <c r="A15" s="714"/>
      <c r="B15" s="105"/>
      <c r="C15" s="105"/>
      <c r="D15" s="151"/>
      <c r="E15" s="151"/>
      <c r="F15" s="151"/>
      <c r="G15" s="133"/>
      <c r="H15" s="548" t="str">
        <f>IF(I15=0,"",(INDEX(AccountCodes[ACCOUNT NAME],MATCH(I15,AccountCodes[NGAS CODE],0))))</f>
        <v/>
      </c>
      <c r="I15" s="147"/>
      <c r="J15" s="149"/>
      <c r="K15" s="149"/>
      <c r="L15" s="150">
        <f t="shared" si="0"/>
        <v>0</v>
      </c>
    </row>
  </sheetData>
  <sheetProtection autoFilter="0"/>
  <mergeCells count="1">
    <mergeCell ref="A1:K1"/>
  </mergeCells>
  <printOptions horizontalCentered="1"/>
  <pageMargins left="0.5" right="1.5" top="0.75" bottom="0.25" header="0.3" footer="0.3"/>
  <pageSetup paperSize="5" scale="75" orientation="landscape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D7"/>
  <sheetViews>
    <sheetView workbookViewId="0">
      <selection activeCell="B18" sqref="B18"/>
    </sheetView>
  </sheetViews>
  <sheetFormatPr defaultRowHeight="15.75" x14ac:dyDescent="0.25"/>
  <cols>
    <col min="1" max="1" width="14.5" bestFit="1" customWidth="1"/>
    <col min="2" max="2" width="55.125" customWidth="1"/>
    <col min="3" max="3" width="16.125" customWidth="1"/>
    <col min="4" max="4" width="16" customWidth="1"/>
  </cols>
  <sheetData>
    <row r="1" spans="1:4" x14ac:dyDescent="0.25">
      <c r="A1" s="303" t="s">
        <v>722</v>
      </c>
      <c r="B1" s="12" t="s">
        <v>850</v>
      </c>
    </row>
    <row r="2" spans="1:4" x14ac:dyDescent="0.25">
      <c r="A2" s="303" t="s">
        <v>0</v>
      </c>
      <c r="B2" s="12" t="s">
        <v>850</v>
      </c>
    </row>
    <row r="4" spans="1:4" x14ac:dyDescent="0.25">
      <c r="A4" s="12"/>
      <c r="B4" s="12"/>
      <c r="C4" s="301" t="s">
        <v>851</v>
      </c>
      <c r="D4" s="302"/>
    </row>
    <row r="5" spans="1:4" x14ac:dyDescent="0.25">
      <c r="A5" s="303" t="s">
        <v>370</v>
      </c>
      <c r="B5" s="303" t="s">
        <v>369</v>
      </c>
      <c r="C5" s="302" t="s">
        <v>852</v>
      </c>
      <c r="D5" s="302" t="s">
        <v>853</v>
      </c>
    </row>
    <row r="6" spans="1:4" x14ac:dyDescent="0.25">
      <c r="A6" s="12" t="s">
        <v>1607</v>
      </c>
      <c r="B6" s="12"/>
      <c r="C6" s="302"/>
      <c r="D6" s="302"/>
    </row>
    <row r="7" spans="1:4" x14ac:dyDescent="0.25">
      <c r="A7" s="12" t="s">
        <v>717</v>
      </c>
      <c r="B7" s="12"/>
      <c r="C7" s="302"/>
      <c r="D7" s="302"/>
    </row>
  </sheetData>
  <pageMargins left="0.7" right="0.7" top="0.75" bottom="0.75" header="0.3" footer="0.3"/>
  <pageSetup paperSize="9" orientation="portrait" horizontalDpi="360" verticalDpi="36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>
    <tabColor rgb="FFFFFF00"/>
  </sheetPr>
  <dimension ref="A1:V94"/>
  <sheetViews>
    <sheetView showZeros="0" workbookViewId="0">
      <selection activeCell="K98" sqref="K98"/>
    </sheetView>
  </sheetViews>
  <sheetFormatPr defaultColWidth="9" defaultRowHeight="15.75" x14ac:dyDescent="0.25"/>
  <cols>
    <col min="1" max="1" width="6" style="25" customWidth="1"/>
    <col min="2" max="3" width="2.125" style="25" customWidth="1"/>
    <col min="4" max="4" width="4.875" style="25" customWidth="1"/>
    <col min="5" max="5" width="8.125" style="25" customWidth="1"/>
    <col min="6" max="6" width="5.5" style="25" customWidth="1"/>
    <col min="7" max="7" width="0.875" style="25" customWidth="1"/>
    <col min="8" max="8" width="4.125" style="25" customWidth="1"/>
    <col min="9" max="9" width="26" style="25" customWidth="1"/>
    <col min="10" max="10" width="4.125" style="25" customWidth="1"/>
    <col min="11" max="11" width="9.5" style="25" customWidth="1"/>
    <col min="12" max="12" width="14.125" style="86" customWidth="1"/>
    <col min="13" max="13" width="4.875" style="25" customWidth="1"/>
    <col min="14" max="14" width="14.125" style="25" hidden="1" customWidth="1"/>
    <col min="15" max="15" width="13.875" style="25" hidden="1" customWidth="1"/>
    <col min="16" max="16" width="10.625" style="25" customWidth="1"/>
    <col min="17" max="17" width="2.125" style="25" customWidth="1"/>
    <col min="18" max="18" width="2.625" style="25" customWidth="1"/>
    <col min="19" max="20" width="2.125" style="25" customWidth="1"/>
    <col min="21" max="22" width="5.625" style="25" customWidth="1"/>
    <col min="23" max="16384" width="9" style="25"/>
  </cols>
  <sheetData>
    <row r="1" spans="1:22" ht="22.5" x14ac:dyDescent="0.25">
      <c r="A1" s="31" t="s">
        <v>441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3"/>
      <c r="R1" s="1053">
        <f>+P41-S41</f>
        <v>0</v>
      </c>
      <c r="S1" s="1054"/>
      <c r="T1" s="1054"/>
      <c r="U1" s="1054"/>
      <c r="V1" s="1055"/>
    </row>
    <row r="2" spans="1:22" x14ac:dyDescent="0.25">
      <c r="A2" s="34" t="s">
        <v>1557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6"/>
      <c r="R2" s="37" t="s">
        <v>443</v>
      </c>
      <c r="S2"/>
      <c r="T2" s="1056" t="s">
        <v>1595</v>
      </c>
      <c r="U2" s="1056"/>
      <c r="V2" s="1057"/>
    </row>
    <row r="3" spans="1:22" x14ac:dyDescent="0.25">
      <c r="A3" s="38" t="s">
        <v>444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6"/>
      <c r="R3" s="37" t="s">
        <v>0</v>
      </c>
      <c r="S3"/>
      <c r="T3" s="1058" t="e">
        <f>IF(T2=0,0,(LOOKUP(T2,CRDJ[JEV Number],CRDJ[Date])))</f>
        <v>#N/A</v>
      </c>
      <c r="U3" s="1058"/>
      <c r="V3" s="1059"/>
    </row>
    <row r="4" spans="1:22" ht="16.5" thickBot="1" x14ac:dyDescent="0.3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1"/>
      <c r="R4" s="42"/>
      <c r="S4" s="43"/>
      <c r="T4" s="43"/>
      <c r="U4" s="43"/>
      <c r="V4" s="44"/>
    </row>
    <row r="5" spans="1:22" x14ac:dyDescent="0.25">
      <c r="A5" s="45"/>
      <c r="B5" s="46"/>
      <c r="C5" s="46"/>
      <c r="D5" s="46"/>
      <c r="E5" s="46"/>
      <c r="F5" s="46"/>
      <c r="G5" s="46"/>
      <c r="H5" s="46"/>
      <c r="I5" s="46"/>
      <c r="J5" s="46"/>
      <c r="K5" s="46"/>
      <c r="L5" s="47"/>
      <c r="M5" s="46"/>
      <c r="N5" s="46"/>
      <c r="O5" s="46"/>
      <c r="P5" s="46"/>
      <c r="Q5" s="46"/>
      <c r="R5" s="46"/>
      <c r="S5" s="46"/>
      <c r="T5" s="46"/>
      <c r="U5" s="46"/>
      <c r="V5" s="48"/>
    </row>
    <row r="6" spans="1:22" x14ac:dyDescent="0.25">
      <c r="A6" s="49"/>
      <c r="B6" s="1060" t="s">
        <v>446</v>
      </c>
      <c r="C6" s="1060"/>
      <c r="D6" s="50" t="s">
        <v>445</v>
      </c>
      <c r="H6" s="51"/>
      <c r="I6" s="25" t="s">
        <v>447</v>
      </c>
      <c r="J6" s="14"/>
      <c r="K6" s="52" t="s">
        <v>448</v>
      </c>
      <c r="L6" s="52"/>
      <c r="Q6" s="1060"/>
      <c r="R6" s="1060"/>
      <c r="S6" s="50" t="s">
        <v>449</v>
      </c>
      <c r="T6" s="50"/>
      <c r="U6" s="50"/>
      <c r="V6" s="53"/>
    </row>
    <row r="7" spans="1:22" ht="16.5" thickBot="1" x14ac:dyDescent="0.3">
      <c r="A7" s="54"/>
      <c r="B7" s="55"/>
      <c r="C7" s="55"/>
      <c r="D7" s="55"/>
      <c r="E7" s="55"/>
      <c r="F7" s="55"/>
      <c r="G7" s="55"/>
      <c r="H7" s="55"/>
      <c r="I7" s="55"/>
      <c r="J7" s="55"/>
      <c r="K7" s="55"/>
      <c r="L7" s="56"/>
      <c r="M7" s="55"/>
      <c r="N7" s="55"/>
      <c r="O7" s="55"/>
      <c r="P7" s="55"/>
      <c r="Q7" s="55"/>
      <c r="R7" s="55"/>
      <c r="S7" s="55"/>
      <c r="T7" s="55"/>
      <c r="U7" s="55"/>
      <c r="V7" s="57"/>
    </row>
    <row r="8" spans="1:22" x14ac:dyDescent="0.25">
      <c r="A8" s="1061" t="s">
        <v>397</v>
      </c>
      <c r="B8" s="1062"/>
      <c r="C8" s="1062"/>
      <c r="D8" s="1063"/>
      <c r="E8" s="1070" t="s">
        <v>450</v>
      </c>
      <c r="F8" s="1070"/>
      <c r="G8" s="1070"/>
      <c r="H8" s="1070"/>
      <c r="I8" s="1070"/>
      <c r="J8" s="1070"/>
      <c r="K8" s="1070"/>
      <c r="L8" s="1070"/>
      <c r="M8" s="1070"/>
      <c r="N8" s="1070"/>
      <c r="O8" s="1070"/>
      <c r="P8" s="1070"/>
      <c r="Q8" s="1070"/>
      <c r="R8" s="1070"/>
      <c r="S8" s="1070"/>
      <c r="T8" s="1070"/>
      <c r="U8" s="1070"/>
      <c r="V8" s="1071"/>
    </row>
    <row r="9" spans="1:22" x14ac:dyDescent="0.25">
      <c r="A9" s="1064"/>
      <c r="B9" s="1065"/>
      <c r="C9" s="1065"/>
      <c r="D9" s="1066"/>
      <c r="E9" s="1072" t="s">
        <v>451</v>
      </c>
      <c r="F9" s="1072"/>
      <c r="G9" s="1072"/>
      <c r="H9" s="1072"/>
      <c r="I9" s="1072"/>
      <c r="J9" s="1072"/>
      <c r="K9" s="1074" t="s">
        <v>378</v>
      </c>
      <c r="L9" s="1074"/>
      <c r="M9" s="1072" t="s">
        <v>452</v>
      </c>
      <c r="N9" s="1075" t="s">
        <v>453</v>
      </c>
      <c r="O9" s="1076"/>
      <c r="P9" s="1076"/>
      <c r="Q9" s="1076"/>
      <c r="R9" s="1076"/>
      <c r="S9" s="1076"/>
      <c r="T9" s="1076"/>
      <c r="U9" s="1076"/>
      <c r="V9" s="1077"/>
    </row>
    <row r="10" spans="1:22" ht="16.5" customHeight="1" thickBot="1" x14ac:dyDescent="0.3">
      <c r="A10" s="1067"/>
      <c r="B10" s="1068"/>
      <c r="C10" s="1068"/>
      <c r="D10" s="1069"/>
      <c r="E10" s="1073"/>
      <c r="F10" s="1073"/>
      <c r="G10" s="1073"/>
      <c r="H10" s="1073"/>
      <c r="I10" s="1073"/>
      <c r="J10" s="1073"/>
      <c r="K10" s="58" t="s">
        <v>454</v>
      </c>
      <c r="L10" s="58" t="s">
        <v>455</v>
      </c>
      <c r="M10" s="1073"/>
      <c r="N10" s="87" t="s">
        <v>466</v>
      </c>
      <c r="O10" s="87" t="s">
        <v>467</v>
      </c>
      <c r="P10" s="1078" t="s">
        <v>1</v>
      </c>
      <c r="Q10" s="1079"/>
      <c r="R10" s="1080"/>
      <c r="S10" s="1078" t="s">
        <v>2</v>
      </c>
      <c r="T10" s="1079"/>
      <c r="U10" s="1079"/>
      <c r="V10" s="1081"/>
    </row>
    <row r="11" spans="1:22" ht="19.5" x14ac:dyDescent="0.3">
      <c r="A11" s="1082">
        <f>P41-S41</f>
        <v>0</v>
      </c>
      <c r="B11" s="1083"/>
      <c r="C11" s="1083"/>
      <c r="D11" s="1083"/>
      <c r="E11" s="1084" t="str">
        <f>Account!$G$1</f>
        <v>FUND 501 CARP</v>
      </c>
      <c r="F11" s="1085"/>
      <c r="G11" s="1085"/>
      <c r="H11" s="1085"/>
      <c r="I11" s="1085"/>
      <c r="J11" s="1086"/>
      <c r="K11" s="59"/>
      <c r="L11" s="59"/>
      <c r="M11" s="60"/>
      <c r="N11" s="60"/>
      <c r="O11" s="60"/>
      <c r="P11" s="1087"/>
      <c r="Q11" s="1087"/>
      <c r="R11" s="1087"/>
      <c r="S11" s="1087"/>
      <c r="T11" s="1087"/>
      <c r="U11" s="1087"/>
      <c r="V11" s="1088"/>
    </row>
    <row r="12" spans="1:22" x14ac:dyDescent="0.25">
      <c r="A12" s="1038"/>
      <c r="B12" s="1039"/>
      <c r="C12" s="1039"/>
      <c r="D12" s="1039"/>
      <c r="E12" s="1039"/>
      <c r="F12" s="1039"/>
      <c r="G12" s="1039"/>
      <c r="H12" s="1039"/>
      <c r="I12" s="1039"/>
      <c r="J12" s="1039"/>
      <c r="K12" s="61"/>
      <c r="L12" s="61"/>
      <c r="M12" s="14"/>
      <c r="N12" s="14"/>
      <c r="O12" s="14"/>
      <c r="P12" s="1039"/>
      <c r="Q12" s="1039"/>
      <c r="R12" s="1039"/>
      <c r="S12" s="1039"/>
      <c r="T12" s="1039"/>
      <c r="U12" s="1039"/>
      <c r="V12" s="1089"/>
    </row>
    <row r="13" spans="1:22" x14ac:dyDescent="0.25">
      <c r="A13" s="1038"/>
      <c r="B13" s="1039"/>
      <c r="C13" s="1039"/>
      <c r="D13" s="1039"/>
      <c r="E13" s="1045" t="str">
        <f>IF(K13=0,0,(INDEX(AccountCodes[ACCOUNT NAME],MATCH(K13,AccountCodes[NGAS CODE],0))))</f>
        <v>Cash-Collecting Officers</v>
      </c>
      <c r="F13" s="1046"/>
      <c r="G13" s="1046"/>
      <c r="H13" s="1046"/>
      <c r="I13" s="1046"/>
      <c r="J13" s="1047"/>
      <c r="K13" s="133" t="s">
        <v>9</v>
      </c>
      <c r="L13" s="62">
        <f t="array" ref="L13">IF(K13=0,0,(INDEX(AccountCodes[PPSAS CODE],MATCH(K13,AccountCodes[NGAS CODE],0))))</f>
        <v>1010101000</v>
      </c>
      <c r="M13" s="14"/>
      <c r="N13" s="89">
        <f t="array" ref="N13">SUM(IF((CRDJ[JEV Number]=TRIM($T$2))*(CRDJ[Account Code]=TRIM(K13)),CRDJ[Debit]))</f>
        <v>0</v>
      </c>
      <c r="O13" s="89">
        <f t="array" ref="O13">SUM(IF((CRDJ[JEV Number]=TRIM($T$2))*(CRDJ[Account Code]=TRIM(K13)),CRDJ[Credit]))</f>
        <v>0</v>
      </c>
      <c r="P13" s="1040">
        <f>N13</f>
        <v>0</v>
      </c>
      <c r="Q13" s="1040"/>
      <c r="R13" s="1040"/>
      <c r="S13" s="1040">
        <f>O13</f>
        <v>0</v>
      </c>
      <c r="T13" s="1040"/>
      <c r="U13" s="1040"/>
      <c r="V13" s="1041"/>
    </row>
    <row r="14" spans="1:22" x14ac:dyDescent="0.25">
      <c r="A14" s="1038"/>
      <c r="B14" s="1039"/>
      <c r="C14" s="1039"/>
      <c r="D14" s="1039"/>
      <c r="E14" s="1045" t="str">
        <f>IF(K14=0,0,(INDEX(AccountCodes[ACCOUNT NAME],MATCH(K14,AccountCodes[NGAS CODE],0))))</f>
        <v>Cash in Bank-Local Currency, Current Account - RO</v>
      </c>
      <c r="F14" s="1046"/>
      <c r="G14" s="1046"/>
      <c r="H14" s="1046"/>
      <c r="I14" s="1046"/>
      <c r="J14" s="1047"/>
      <c r="K14" s="133" t="s">
        <v>1556</v>
      </c>
      <c r="L14" s="62" t="str">
        <f t="array" ref="L14">IF(K14=0,0,(INDEX(AccountCodes[PPSAS CODE],MATCH(K14,AccountCodes[NGAS CODE],0))))</f>
        <v>1010202000RO</v>
      </c>
      <c r="M14" s="14"/>
      <c r="N14" s="89">
        <f t="array" ref="N14">SUM(IF((CRDJ[JEV Number]=TRIM($T$2))*(CRDJ[Account Code]=TRIM(K14)),CRDJ[Debit]))</f>
        <v>0</v>
      </c>
      <c r="O14" s="89">
        <f t="array" ref="O14">SUM(IF((CRDJ[JEV Number]=TRIM($T$2))*(CRDJ[Account Code]=TRIM(K14)),CRDJ[Credit]))</f>
        <v>0</v>
      </c>
      <c r="P14" s="1040">
        <f>N14</f>
        <v>0</v>
      </c>
      <c r="Q14" s="1040"/>
      <c r="R14" s="1040"/>
      <c r="S14" s="1040">
        <f>O14</f>
        <v>0</v>
      </c>
      <c r="T14" s="1040"/>
      <c r="U14" s="1040"/>
      <c r="V14" s="1041"/>
    </row>
    <row r="15" spans="1:22" x14ac:dyDescent="0.25">
      <c r="A15" s="1038"/>
      <c r="B15" s="1039"/>
      <c r="C15" s="1039"/>
      <c r="D15" s="1039"/>
      <c r="E15" s="1045" t="str">
        <f>IF(K15=0,0,(INDEX(AccountCodes[ACCOUNT NAME],MATCH(K15,AccountCodes[NGAS CODE],0))))</f>
        <v>Advances to Officers and Employees</v>
      </c>
      <c r="F15" s="1046"/>
      <c r="G15" s="1046"/>
      <c r="H15" s="1046"/>
      <c r="I15" s="1046"/>
      <c r="J15" s="1047"/>
      <c r="K15" s="133" t="s">
        <v>27</v>
      </c>
      <c r="L15" s="62">
        <f t="array" ref="L15">IF(K15=0,0,(INDEX(AccountCodes[PPSAS CODE],MATCH(K15,AccountCodes[NGAS CODE],0))))</f>
        <v>1990104000</v>
      </c>
      <c r="M15" s="14"/>
      <c r="N15" s="89">
        <f t="array" ref="N15">SUM(IF((CRDJ[JEV Number]=TRIM($T$2))*(CRDJ[Account Code]=TRIM(K15)),CRDJ[Debit]))</f>
        <v>0</v>
      </c>
      <c r="O15" s="89">
        <f t="array" ref="O15">SUM(IF((CRDJ[JEV Number]=TRIM($T$2))*(CRDJ[Account Code]=TRIM(K15)),CRDJ[Credit]))</f>
        <v>0</v>
      </c>
      <c r="P15" s="1040">
        <f t="shared" ref="P15:P35" si="0">N15</f>
        <v>0</v>
      </c>
      <c r="Q15" s="1040"/>
      <c r="R15" s="1040"/>
      <c r="S15" s="1040">
        <f t="shared" ref="S15:S35" si="1">O15</f>
        <v>0</v>
      </c>
      <c r="T15" s="1040"/>
      <c r="U15" s="1040"/>
      <c r="V15" s="1041"/>
    </row>
    <row r="16" spans="1:22" x14ac:dyDescent="0.25">
      <c r="A16" s="1038"/>
      <c r="B16" s="1039"/>
      <c r="C16" s="1039"/>
      <c r="D16" s="1039"/>
      <c r="E16" s="1045">
        <f>IF(K16=0,0,(INDEX(AccountCodes[ACCOUNT NAME],MATCH(K16,AccountCodes[NGAS CODE],0))))</f>
        <v>0</v>
      </c>
      <c r="F16" s="1046"/>
      <c r="G16" s="1046"/>
      <c r="H16" s="1046"/>
      <c r="I16" s="1046"/>
      <c r="J16" s="1047"/>
      <c r="K16" s="133"/>
      <c r="L16" s="62">
        <f t="array" ref="L16">IF(K16=0,0,(INDEX(AccountCodes[PPSAS CODE],MATCH(K16,AccountCodes[NGAS CODE],0))))</f>
        <v>0</v>
      </c>
      <c r="M16" s="14"/>
      <c r="N16" s="89">
        <f t="array" ref="N16">SUM(IF((CRDJ[JEV Number]=TRIM($T$2))*(CRDJ[Account Code]=TRIM(K16)),CRDJ[Debit]))</f>
        <v>0</v>
      </c>
      <c r="O16" s="89">
        <f t="array" ref="O16">SUM(IF((CRDJ[JEV Number]=TRIM($T$2))*(CRDJ[Account Code]=TRIM(K16)),CRDJ[Credit]))</f>
        <v>0</v>
      </c>
      <c r="P16" s="1040">
        <f>N16</f>
        <v>0</v>
      </c>
      <c r="Q16" s="1040"/>
      <c r="R16" s="1040"/>
      <c r="S16" s="1040">
        <f>O16</f>
        <v>0</v>
      </c>
      <c r="T16" s="1040"/>
      <c r="U16" s="1040"/>
      <c r="V16" s="1041"/>
    </row>
    <row r="17" spans="1:22" x14ac:dyDescent="0.25">
      <c r="A17" s="1038"/>
      <c r="B17" s="1039"/>
      <c r="C17" s="1039"/>
      <c r="D17" s="1039"/>
      <c r="E17" s="1045">
        <f>IF(K17=0,0,(INDEX(AccountCodes[ACCOUNT NAME],MATCH(K17,AccountCodes[NGAS CODE],0))))</f>
        <v>0</v>
      </c>
      <c r="F17" s="1046"/>
      <c r="G17" s="1046"/>
      <c r="H17" s="1046"/>
      <c r="I17" s="1046"/>
      <c r="J17" s="1047"/>
      <c r="K17" s="133"/>
      <c r="L17" s="62">
        <f t="array" ref="L17">IF(K17=0,0,(INDEX(AccountCodes[PPSAS CODE],MATCH(K17,AccountCodes[NGAS CODE],0))))</f>
        <v>0</v>
      </c>
      <c r="M17" s="14"/>
      <c r="N17" s="89">
        <f t="array" ref="N17">SUM(IF((CRDJ[JEV Number]=TRIM($T$2))*(CRDJ[Account Code]=TRIM(K17)),CRDJ[Debit]))</f>
        <v>0</v>
      </c>
      <c r="O17" s="89">
        <f t="array" ref="O17">SUM(IF((CRDJ[JEV Number]=TRIM($T$2))*(CRDJ[Account Code]=TRIM(K17)),CRDJ[Credit]))</f>
        <v>0</v>
      </c>
      <c r="P17" s="1040">
        <f>N17</f>
        <v>0</v>
      </c>
      <c r="Q17" s="1040"/>
      <c r="R17" s="1040"/>
      <c r="S17" s="1040">
        <f>O17</f>
        <v>0</v>
      </c>
      <c r="T17" s="1040"/>
      <c r="U17" s="1040"/>
      <c r="V17" s="1041"/>
    </row>
    <row r="18" spans="1:22" x14ac:dyDescent="0.25">
      <c r="A18" s="1038"/>
      <c r="B18" s="1039"/>
      <c r="C18" s="1039"/>
      <c r="D18" s="1039"/>
      <c r="E18" s="1045">
        <f>IF(K18=0,0,(INDEX(AccountCodes[ACCOUNT NAME],MATCH(K18,AccountCodes[NGAS CODE],0))))</f>
        <v>0</v>
      </c>
      <c r="F18" s="1046"/>
      <c r="G18" s="1046"/>
      <c r="H18" s="1046"/>
      <c r="I18" s="1046"/>
      <c r="J18" s="1047"/>
      <c r="K18" s="133"/>
      <c r="L18" s="62">
        <f t="array" ref="L18">IF(K18=0,0,(INDEX(AccountCodes[PPSAS CODE],MATCH(K18,AccountCodes[NGAS CODE],0))))</f>
        <v>0</v>
      </c>
      <c r="M18" s="14"/>
      <c r="N18" s="89">
        <f t="array" ref="N18">SUM(IF((CRDJ[JEV Number]=TRIM($T$2))*(CRDJ[Account Code]=TRIM(K18)),CRDJ[Debit]))</f>
        <v>0</v>
      </c>
      <c r="O18" s="89">
        <f t="array" ref="O18">SUM(IF((CRDJ[JEV Number]=TRIM($T$2))*(CRDJ[Account Code]=TRIM(K18)),CRDJ[Credit]))</f>
        <v>0</v>
      </c>
      <c r="P18" s="1040">
        <f>N18</f>
        <v>0</v>
      </c>
      <c r="Q18" s="1040"/>
      <c r="R18" s="1040"/>
      <c r="S18" s="1040">
        <f>O18</f>
        <v>0</v>
      </c>
      <c r="T18" s="1040"/>
      <c r="U18" s="1040"/>
      <c r="V18" s="1041"/>
    </row>
    <row r="19" spans="1:22" x14ac:dyDescent="0.25">
      <c r="A19" s="1038"/>
      <c r="B19" s="1039"/>
      <c r="C19" s="1039"/>
      <c r="D19" s="1039"/>
      <c r="E19" s="1045">
        <f>IF(K19=0,0,(INDEX(AccountCodes[ACCOUNT NAME],MATCH(K19,AccountCodes[NGAS CODE],0))))</f>
        <v>0</v>
      </c>
      <c r="F19" s="1046"/>
      <c r="G19" s="1046"/>
      <c r="H19" s="1046"/>
      <c r="I19" s="1046"/>
      <c r="J19" s="1047"/>
      <c r="K19" s="133"/>
      <c r="L19" s="62">
        <f t="array" ref="L19">IF(K19=0,0,(INDEX(AccountCodes[PPSAS CODE],MATCH(K19,AccountCodes[NGAS CODE],0))))</f>
        <v>0</v>
      </c>
      <c r="M19" s="14"/>
      <c r="N19" s="89">
        <f t="array" ref="N19">SUM(IF((CRDJ[JEV Number]=TRIM($T$2))*(CRDJ[Account Code]=TRIM(K19)),CRDJ[Debit]))</f>
        <v>0</v>
      </c>
      <c r="O19" s="89">
        <f t="array" ref="O19">SUM(IF((CRDJ[JEV Number]=TRIM($T$2))*(CRDJ[Account Code]=TRIM(K19)),CRDJ[Credit]))</f>
        <v>0</v>
      </c>
      <c r="P19" s="1040">
        <f>N19</f>
        <v>0</v>
      </c>
      <c r="Q19" s="1040"/>
      <c r="R19" s="1040"/>
      <c r="S19" s="1040">
        <f>O19</f>
        <v>0</v>
      </c>
      <c r="T19" s="1040"/>
      <c r="U19" s="1040"/>
      <c r="V19" s="1041"/>
    </row>
    <row r="20" spans="1:22" x14ac:dyDescent="0.25">
      <c r="A20" s="1038"/>
      <c r="B20" s="1039"/>
      <c r="C20" s="1039"/>
      <c r="D20" s="1039"/>
      <c r="E20" s="1045">
        <f>IF(K20=0,0,(INDEX(AccountCodes[ACCOUNT NAME],MATCH(K20,AccountCodes[NGAS CODE],0))))</f>
        <v>0</v>
      </c>
      <c r="F20" s="1046"/>
      <c r="G20" s="1046"/>
      <c r="H20" s="1046"/>
      <c r="I20" s="1046"/>
      <c r="J20" s="1047"/>
      <c r="K20" s="133"/>
      <c r="L20" s="62">
        <f t="array" ref="L20">IF(K20=0,0,(INDEX(AccountCodes[PPSAS CODE],MATCH(K20,AccountCodes[NGAS CODE],0))))</f>
        <v>0</v>
      </c>
      <c r="M20" s="14"/>
      <c r="N20" s="89">
        <f t="array" ref="N20">SUM(IF((CRDJ[JEV Number]=TRIM($T$2))*(CRDJ[Account Code]=TRIM(K20)),CRDJ[Debit]))</f>
        <v>0</v>
      </c>
      <c r="O20" s="89">
        <f t="array" ref="O20">SUM(IF((CRDJ[JEV Number]=TRIM($T$2))*(CRDJ[Account Code]=TRIM(K20)),CRDJ[Credit]))</f>
        <v>0</v>
      </c>
      <c r="P20" s="1040">
        <f>N20</f>
        <v>0</v>
      </c>
      <c r="Q20" s="1040"/>
      <c r="R20" s="1040"/>
      <c r="S20" s="1040">
        <f>O20</f>
        <v>0</v>
      </c>
      <c r="T20" s="1040"/>
      <c r="U20" s="1040"/>
      <c r="V20" s="1041"/>
    </row>
    <row r="21" spans="1:22" x14ac:dyDescent="0.25">
      <c r="A21" s="1038"/>
      <c r="B21" s="1039"/>
      <c r="C21" s="1039"/>
      <c r="D21" s="1039"/>
      <c r="E21" s="1045">
        <f>IF(K21=0,0,(INDEX(AccountCodes[ACCOUNT NAME],MATCH(K21,AccountCodes[NGAS CODE],0))))</f>
        <v>0</v>
      </c>
      <c r="F21" s="1046"/>
      <c r="G21" s="1046"/>
      <c r="H21" s="1046"/>
      <c r="I21" s="1046"/>
      <c r="J21" s="1047"/>
      <c r="K21" s="133"/>
      <c r="L21" s="62">
        <f t="array" ref="L21">IF(K21=0,0,(INDEX(AccountCodes[PPSAS CODE],MATCH(K21,AccountCodes[NGAS CODE],0))))</f>
        <v>0</v>
      </c>
      <c r="M21" s="14"/>
      <c r="N21" s="89">
        <f t="array" ref="N21">SUM(IF((CRDJ[JEV Number]=TRIM($T$2))*(CRDJ[Account Code]=TRIM(K21)),CRDJ[Debit]))</f>
        <v>0</v>
      </c>
      <c r="O21" s="89">
        <f t="array" ref="O21">SUM(IF((CRDJ[JEV Number]=TRIM($T$2))*(CRDJ[Account Code]=TRIM(K21)),CRDJ[Credit]))</f>
        <v>0</v>
      </c>
      <c r="P21" s="1040">
        <f t="shared" si="0"/>
        <v>0</v>
      </c>
      <c r="Q21" s="1040"/>
      <c r="R21" s="1040"/>
      <c r="S21" s="1040">
        <f t="shared" si="1"/>
        <v>0</v>
      </c>
      <c r="T21" s="1040"/>
      <c r="U21" s="1040"/>
      <c r="V21" s="1041"/>
    </row>
    <row r="22" spans="1:22" x14ac:dyDescent="0.25">
      <c r="A22" s="1038"/>
      <c r="B22" s="1039"/>
      <c r="C22" s="1039"/>
      <c r="D22" s="1039"/>
      <c r="E22" s="1045">
        <f>IF(K22=0,0,(INDEX(AccountCodes[ACCOUNT NAME],MATCH(K22,AccountCodes[NGAS CODE],0))))</f>
        <v>0</v>
      </c>
      <c r="F22" s="1046"/>
      <c r="G22" s="1046"/>
      <c r="H22" s="1046"/>
      <c r="I22" s="1046"/>
      <c r="J22" s="1047"/>
      <c r="K22" s="133"/>
      <c r="L22" s="62">
        <f t="array" ref="L22">IF(K22=0,0,(INDEX(AccountCodes[PPSAS CODE],MATCH(K22,AccountCodes[NGAS CODE],0))))</f>
        <v>0</v>
      </c>
      <c r="M22" s="14"/>
      <c r="N22" s="89">
        <f t="array" ref="N22">SUM(IF((CRDJ[JEV Number]=TRIM($T$2))*(CRDJ[Account Code]=TRIM(K22)),CRDJ[Debit]))</f>
        <v>0</v>
      </c>
      <c r="O22" s="89">
        <f t="array" ref="O22">SUM(IF((CRDJ[JEV Number]=TRIM($T$2))*(CRDJ[Account Code]=TRIM(K22)),CRDJ[Credit]))</f>
        <v>0</v>
      </c>
      <c r="P22" s="1040">
        <f t="shared" si="0"/>
        <v>0</v>
      </c>
      <c r="Q22" s="1040"/>
      <c r="R22" s="1040"/>
      <c r="S22" s="1040">
        <f t="shared" si="1"/>
        <v>0</v>
      </c>
      <c r="T22" s="1040"/>
      <c r="U22" s="1040"/>
      <c r="V22" s="1041"/>
    </row>
    <row r="23" spans="1:22" x14ac:dyDescent="0.25">
      <c r="A23" s="1038"/>
      <c r="B23" s="1039"/>
      <c r="C23" s="1039"/>
      <c r="D23" s="1039"/>
      <c r="E23" s="1045">
        <f>IF(K23=0,0,(INDEX(AccountCodes[ACCOUNT NAME],MATCH(K23,AccountCodes[NGAS CODE],0))))</f>
        <v>0</v>
      </c>
      <c r="F23" s="1046"/>
      <c r="G23" s="1046"/>
      <c r="H23" s="1046"/>
      <c r="I23" s="1046"/>
      <c r="J23" s="1047"/>
      <c r="K23" s="133"/>
      <c r="L23" s="62">
        <f t="array" ref="L23">IF(K23=0,0,(INDEX(AccountCodes[PPSAS CODE],MATCH(K23,AccountCodes[NGAS CODE],0))))</f>
        <v>0</v>
      </c>
      <c r="M23" s="14"/>
      <c r="N23" s="89">
        <f t="array" ref="N23">SUM(IF((CRDJ[JEV Number]=TRIM($T$2))*(CRDJ[Account Code]=TRIM(K23)),CRDJ[Debit]))</f>
        <v>0</v>
      </c>
      <c r="O23" s="89">
        <f t="array" ref="O23">SUM(IF((CRDJ[JEV Number]=TRIM($T$2))*(CRDJ[Account Code]=TRIM(K23)),CRDJ[Credit]))</f>
        <v>0</v>
      </c>
      <c r="P23" s="1040">
        <f t="shared" si="0"/>
        <v>0</v>
      </c>
      <c r="Q23" s="1040"/>
      <c r="R23" s="1040"/>
      <c r="S23" s="1040">
        <f t="shared" si="1"/>
        <v>0</v>
      </c>
      <c r="T23" s="1040"/>
      <c r="U23" s="1040"/>
      <c r="V23" s="1041"/>
    </row>
    <row r="24" spans="1:22" x14ac:dyDescent="0.25">
      <c r="A24" s="1038"/>
      <c r="B24" s="1039"/>
      <c r="C24" s="1039"/>
      <c r="D24" s="1039"/>
      <c r="E24" s="1045">
        <f>IF(K24=0,0,(INDEX(AccountCodes[ACCOUNT NAME],MATCH(K24,AccountCodes[NGAS CODE],0))))</f>
        <v>0</v>
      </c>
      <c r="F24" s="1046"/>
      <c r="G24" s="1046"/>
      <c r="H24" s="1046"/>
      <c r="I24" s="1046"/>
      <c r="J24" s="1047"/>
      <c r="K24" s="133"/>
      <c r="L24" s="62">
        <f t="array" ref="L24">IF(K24=0,0,(INDEX(AccountCodes[PPSAS CODE],MATCH(K24,AccountCodes[NGAS CODE],0))))</f>
        <v>0</v>
      </c>
      <c r="M24" s="14"/>
      <c r="N24" s="89">
        <f t="array" ref="N24">SUM(IF((CRDJ[JEV Number]=TRIM($T$2))*(CRDJ[Account Code]=TRIM(K24)),CRDJ[Debit]))</f>
        <v>0</v>
      </c>
      <c r="O24" s="89">
        <f t="array" ref="O24">SUM(IF((CRDJ[JEV Number]=TRIM($T$2))*(CRDJ[Account Code]=TRIM(K24)),CRDJ[Credit]))</f>
        <v>0</v>
      </c>
      <c r="P24" s="1040">
        <f t="shared" si="0"/>
        <v>0</v>
      </c>
      <c r="Q24" s="1040"/>
      <c r="R24" s="1040"/>
      <c r="S24" s="1040">
        <f t="shared" si="1"/>
        <v>0</v>
      </c>
      <c r="T24" s="1040"/>
      <c r="U24" s="1040"/>
      <c r="V24" s="1041"/>
    </row>
    <row r="25" spans="1:22" x14ac:dyDescent="0.25">
      <c r="A25" s="1038"/>
      <c r="B25" s="1039"/>
      <c r="C25" s="1039"/>
      <c r="D25" s="1039"/>
      <c r="E25" s="1045">
        <f>IF(K25=0,0,(INDEX(AccountCodes[ACCOUNT NAME],MATCH(K25,AccountCodes[NGAS CODE],0))))</f>
        <v>0</v>
      </c>
      <c r="F25" s="1046"/>
      <c r="G25" s="1046"/>
      <c r="H25" s="1046"/>
      <c r="I25" s="1046"/>
      <c r="J25" s="1047"/>
      <c r="K25" s="133"/>
      <c r="L25" s="62">
        <f t="array" ref="L25">IF(K25=0,0,(INDEX(AccountCodes[PPSAS CODE],MATCH(K25,AccountCodes[NGAS CODE],0))))</f>
        <v>0</v>
      </c>
      <c r="M25" s="14"/>
      <c r="N25" s="89">
        <f t="array" ref="N25">SUM(IF((CRDJ[JEV Number]=TRIM($T$2))*(CRDJ[Account Code]=TRIM(K25)),CRDJ[Debit]))</f>
        <v>0</v>
      </c>
      <c r="O25" s="89">
        <f t="array" ref="O25">SUM(IF((CRDJ[JEV Number]=TRIM($T$2))*(CRDJ[Account Code]=TRIM(K25)),CRDJ[Credit]))</f>
        <v>0</v>
      </c>
      <c r="P25" s="1040">
        <f t="shared" si="0"/>
        <v>0</v>
      </c>
      <c r="Q25" s="1040"/>
      <c r="R25" s="1040"/>
      <c r="S25" s="1040">
        <f t="shared" si="1"/>
        <v>0</v>
      </c>
      <c r="T25" s="1040"/>
      <c r="U25" s="1040"/>
      <c r="V25" s="1041"/>
    </row>
    <row r="26" spans="1:22" x14ac:dyDescent="0.25">
      <c r="A26" s="1038"/>
      <c r="B26" s="1039"/>
      <c r="C26" s="1039"/>
      <c r="D26" s="1039"/>
      <c r="E26" s="1045">
        <f>IF(K26=0,0,(INDEX(AccountCodes[ACCOUNT NAME],MATCH(K26,AccountCodes[NGAS CODE],0))))</f>
        <v>0</v>
      </c>
      <c r="F26" s="1046"/>
      <c r="G26" s="1046"/>
      <c r="H26" s="1046"/>
      <c r="I26" s="1046"/>
      <c r="J26" s="1047"/>
      <c r="K26" s="133"/>
      <c r="L26" s="62">
        <f t="array" ref="L26">IF(K26=0,0,(INDEX(AccountCodes[PPSAS CODE],MATCH(K26,AccountCodes[NGAS CODE],0))))</f>
        <v>0</v>
      </c>
      <c r="M26" s="14"/>
      <c r="N26" s="89">
        <f t="array" ref="N26">SUM(IF((CRDJ[JEV Number]=TRIM($T$2))*(CRDJ[Account Code]=TRIM(K26)),CRDJ[Debit]))</f>
        <v>0</v>
      </c>
      <c r="O26" s="89">
        <f t="array" ref="O26">SUM(IF((CRDJ[JEV Number]=TRIM($T$2))*(CRDJ[Account Code]=TRIM(K26)),CRDJ[Credit]))</f>
        <v>0</v>
      </c>
      <c r="P26" s="1040">
        <f t="shared" si="0"/>
        <v>0</v>
      </c>
      <c r="Q26" s="1040"/>
      <c r="R26" s="1040"/>
      <c r="S26" s="1040">
        <f t="shared" si="1"/>
        <v>0</v>
      </c>
      <c r="T26" s="1040"/>
      <c r="U26" s="1040"/>
      <c r="V26" s="1041"/>
    </row>
    <row r="27" spans="1:22" x14ac:dyDescent="0.25">
      <c r="A27" s="1038"/>
      <c r="B27" s="1039"/>
      <c r="C27" s="1039"/>
      <c r="D27" s="1039"/>
      <c r="E27" s="1045">
        <f>IF(K27=0,0,(INDEX(AccountCodes[ACCOUNT NAME],MATCH(K27,AccountCodes[NGAS CODE],0))))</f>
        <v>0</v>
      </c>
      <c r="F27" s="1046"/>
      <c r="G27" s="1046"/>
      <c r="H27" s="1046"/>
      <c r="I27" s="1046"/>
      <c r="J27" s="1047"/>
      <c r="K27" s="133"/>
      <c r="L27" s="62">
        <f t="array" ref="L27">IF(K27=0,0,(INDEX(AccountCodes[PPSAS CODE],MATCH(K27,AccountCodes[NGAS CODE],0))))</f>
        <v>0</v>
      </c>
      <c r="M27" s="14"/>
      <c r="N27" s="89">
        <f t="array" ref="N27">SUM(IF((CRDJ[JEV Number]=TRIM($T$2))*(CRDJ[Account Code]=TRIM(K27)),CRDJ[Debit]))</f>
        <v>0</v>
      </c>
      <c r="O27" s="89">
        <f t="array" ref="O27">SUM(IF((CRDJ[JEV Number]=TRIM($T$2))*(CRDJ[Account Code]=TRIM(K27)),CRDJ[Credit]))</f>
        <v>0</v>
      </c>
      <c r="P27" s="1040">
        <f t="shared" si="0"/>
        <v>0</v>
      </c>
      <c r="Q27" s="1040"/>
      <c r="R27" s="1040"/>
      <c r="S27" s="1040">
        <f t="shared" si="1"/>
        <v>0</v>
      </c>
      <c r="T27" s="1040"/>
      <c r="U27" s="1040"/>
      <c r="V27" s="1041"/>
    </row>
    <row r="28" spans="1:22" x14ac:dyDescent="0.25">
      <c r="A28" s="1038"/>
      <c r="B28" s="1039"/>
      <c r="C28" s="1039"/>
      <c r="D28" s="1039"/>
      <c r="E28" s="1045">
        <f>IF(K28=0,0,(INDEX(AccountCodes[ACCOUNT NAME],MATCH(K28,AccountCodes[NGAS CODE],0))))</f>
        <v>0</v>
      </c>
      <c r="F28" s="1046"/>
      <c r="G28" s="1046"/>
      <c r="H28" s="1046"/>
      <c r="I28" s="1046"/>
      <c r="J28" s="1047"/>
      <c r="K28" s="133"/>
      <c r="L28" s="62">
        <f t="array" ref="L28">IF(K28=0,0,(INDEX(AccountCodes[PPSAS CODE],MATCH(K28,AccountCodes[NGAS CODE],0))))</f>
        <v>0</v>
      </c>
      <c r="M28" s="14"/>
      <c r="N28" s="89">
        <f t="array" ref="N28">SUM(IF((CRDJ[JEV Number]=TRIM($T$2))*(CRDJ[Account Code]=TRIM(K28)),CRDJ[Debit]))</f>
        <v>0</v>
      </c>
      <c r="O28" s="89">
        <f t="array" ref="O28">SUM(IF((CRDJ[JEV Number]=TRIM($T$2))*(CRDJ[Account Code]=TRIM(K28)),CRDJ[Credit]))</f>
        <v>0</v>
      </c>
      <c r="P28" s="1040">
        <f t="shared" si="0"/>
        <v>0</v>
      </c>
      <c r="Q28" s="1040"/>
      <c r="R28" s="1040"/>
      <c r="S28" s="1040">
        <f t="shared" si="1"/>
        <v>0</v>
      </c>
      <c r="T28" s="1040"/>
      <c r="U28" s="1040"/>
      <c r="V28" s="1041"/>
    </row>
    <row r="29" spans="1:22" x14ac:dyDescent="0.25">
      <c r="A29" s="1038"/>
      <c r="B29" s="1039"/>
      <c r="C29" s="1039"/>
      <c r="D29" s="1039"/>
      <c r="E29" s="1045">
        <f>IF(K29=0,0,(INDEX(AccountCodes[ACCOUNT NAME],MATCH(K29,AccountCodes[NGAS CODE],0))))</f>
        <v>0</v>
      </c>
      <c r="F29" s="1046"/>
      <c r="G29" s="1046"/>
      <c r="H29" s="1046"/>
      <c r="I29" s="1046"/>
      <c r="J29" s="1047"/>
      <c r="K29" s="133"/>
      <c r="L29" s="62">
        <f t="array" ref="L29">IF(K29=0,0,(INDEX(AccountCodes[PPSAS CODE],MATCH(K29,AccountCodes[NGAS CODE],0))))</f>
        <v>0</v>
      </c>
      <c r="M29" s="14"/>
      <c r="N29" s="89">
        <f t="array" ref="N29">SUM(IF((CRDJ[JEV Number]=TRIM($T$2))*(CRDJ[Account Code]=TRIM(K29)),CRDJ[Debit]))</f>
        <v>0</v>
      </c>
      <c r="O29" s="89">
        <f t="array" ref="O29">SUM(IF((CRDJ[JEV Number]=TRIM($T$2))*(CRDJ[Account Code]=TRIM(K29)),CRDJ[Credit]))</f>
        <v>0</v>
      </c>
      <c r="P29" s="1040">
        <f t="shared" si="0"/>
        <v>0</v>
      </c>
      <c r="Q29" s="1040"/>
      <c r="R29" s="1040"/>
      <c r="S29" s="1040">
        <f t="shared" si="1"/>
        <v>0</v>
      </c>
      <c r="T29" s="1040"/>
      <c r="U29" s="1040"/>
      <c r="V29" s="1041"/>
    </row>
    <row r="30" spans="1:22" x14ac:dyDescent="0.25">
      <c r="A30" s="1038"/>
      <c r="B30" s="1039"/>
      <c r="C30" s="1039"/>
      <c r="D30" s="1039"/>
      <c r="E30" s="1045">
        <f>IF(K30=0,0,(INDEX(AccountCodes[ACCOUNT NAME],MATCH(K30,AccountCodes[NGAS CODE],0))))</f>
        <v>0</v>
      </c>
      <c r="F30" s="1046"/>
      <c r="G30" s="1046"/>
      <c r="H30" s="1046"/>
      <c r="I30" s="1046"/>
      <c r="J30" s="1047"/>
      <c r="K30" s="133"/>
      <c r="L30" s="62">
        <f t="array" ref="L30">IF(K30=0,0,(INDEX(AccountCodes[PPSAS CODE],MATCH(K30,AccountCodes[NGAS CODE],0))))</f>
        <v>0</v>
      </c>
      <c r="M30" s="14"/>
      <c r="N30" s="89">
        <f t="array" ref="N30">SUM(IF((CRDJ[JEV Number]=TRIM($T$2))*(CRDJ[Account Code]=TRIM(K30)),CRDJ[Debit]))</f>
        <v>0</v>
      </c>
      <c r="O30" s="89">
        <f t="array" ref="O30">SUM(IF((CRDJ[JEV Number]=TRIM($T$2))*(CRDJ[Account Code]=TRIM(K30)),CRDJ[Credit]))</f>
        <v>0</v>
      </c>
      <c r="P30" s="1040">
        <f t="shared" si="0"/>
        <v>0</v>
      </c>
      <c r="Q30" s="1040"/>
      <c r="R30" s="1040"/>
      <c r="S30" s="1040">
        <f t="shared" si="1"/>
        <v>0</v>
      </c>
      <c r="T30" s="1040"/>
      <c r="U30" s="1040"/>
      <c r="V30" s="1041"/>
    </row>
    <row r="31" spans="1:22" x14ac:dyDescent="0.25">
      <c r="A31" s="1038"/>
      <c r="B31" s="1039"/>
      <c r="C31" s="1039"/>
      <c r="D31" s="1039"/>
      <c r="E31" s="1045">
        <f>IF(K31=0,0,(INDEX(AccountCodes[ACCOUNT NAME],MATCH(K31,AccountCodes[NGAS CODE],0))))</f>
        <v>0</v>
      </c>
      <c r="F31" s="1046"/>
      <c r="G31" s="1046"/>
      <c r="H31" s="1046"/>
      <c r="I31" s="1046"/>
      <c r="J31" s="1047"/>
      <c r="K31" s="133"/>
      <c r="L31" s="62">
        <f t="array" ref="L31">IF(K31=0,0,(INDEX(AccountCodes[PPSAS CODE],MATCH(K31,AccountCodes[NGAS CODE],0))))</f>
        <v>0</v>
      </c>
      <c r="M31" s="14"/>
      <c r="N31" s="89">
        <f t="array" ref="N31">SUM(IF((CRDJ[JEV Number]=TRIM($T$2))*(CRDJ[Account Code]=TRIM(K31)),CRDJ[Debit]))</f>
        <v>0</v>
      </c>
      <c r="O31" s="89">
        <f t="array" ref="O31">SUM(IF((CRDJ[JEV Number]=TRIM($T$2))*(CRDJ[Account Code]=TRIM(K31)),CRDJ[Credit]))</f>
        <v>0</v>
      </c>
      <c r="P31" s="1040">
        <f t="shared" si="0"/>
        <v>0</v>
      </c>
      <c r="Q31" s="1040"/>
      <c r="R31" s="1040"/>
      <c r="S31" s="1040">
        <f t="shared" si="1"/>
        <v>0</v>
      </c>
      <c r="T31" s="1040"/>
      <c r="U31" s="1040"/>
      <c r="V31" s="1041"/>
    </row>
    <row r="32" spans="1:22" x14ac:dyDescent="0.25">
      <c r="A32" s="1038"/>
      <c r="B32" s="1039"/>
      <c r="C32" s="1039"/>
      <c r="D32" s="1039"/>
      <c r="E32" s="1045">
        <f>IF(K32=0,0,(INDEX(AccountCodes[ACCOUNT NAME],MATCH(K32,AccountCodes[NGAS CODE],0))))</f>
        <v>0</v>
      </c>
      <c r="F32" s="1046"/>
      <c r="G32" s="1046"/>
      <c r="H32" s="1046"/>
      <c r="I32" s="1046"/>
      <c r="J32" s="1047"/>
      <c r="K32" s="133"/>
      <c r="L32" s="62">
        <f t="array" ref="L32">IF(K32=0,0,(INDEX(AccountCodes[PPSAS CODE],MATCH(K32,AccountCodes[NGAS CODE],0))))</f>
        <v>0</v>
      </c>
      <c r="M32" s="14"/>
      <c r="N32" s="89">
        <f t="array" ref="N32">SUM(IF((CRDJ[JEV Number]=TRIM($T$2))*(CRDJ[Account Code]=TRIM(K32)),CRDJ[Debit]))</f>
        <v>0</v>
      </c>
      <c r="O32" s="89">
        <f t="array" ref="O32">SUM(IF((CRDJ[JEV Number]=TRIM($T$2))*(CRDJ[Account Code]=TRIM(K32)),CRDJ[Credit]))</f>
        <v>0</v>
      </c>
      <c r="P32" s="1040">
        <f t="shared" si="0"/>
        <v>0</v>
      </c>
      <c r="Q32" s="1040"/>
      <c r="R32" s="1040"/>
      <c r="S32" s="1040">
        <f t="shared" si="1"/>
        <v>0</v>
      </c>
      <c r="T32" s="1040"/>
      <c r="U32" s="1040"/>
      <c r="V32" s="1041"/>
    </row>
    <row r="33" spans="1:22" x14ac:dyDescent="0.25">
      <c r="A33" s="1038"/>
      <c r="B33" s="1039"/>
      <c r="C33" s="1039"/>
      <c r="D33" s="1039"/>
      <c r="E33" s="1045">
        <f>IF(K33=0,0,(INDEX(AccountCodes[ACCOUNT NAME],MATCH(K33,AccountCodes[NGAS CODE],0))))</f>
        <v>0</v>
      </c>
      <c r="F33" s="1046"/>
      <c r="G33" s="1046"/>
      <c r="H33" s="1046"/>
      <c r="I33" s="1046"/>
      <c r="J33" s="1047"/>
      <c r="K33" s="133"/>
      <c r="L33" s="62">
        <f t="array" ref="L33">IF(K33=0,0,(INDEX(AccountCodes[PPSAS CODE],MATCH(K33,AccountCodes[NGAS CODE],0))))</f>
        <v>0</v>
      </c>
      <c r="M33" s="14"/>
      <c r="N33" s="89">
        <f t="array" ref="N33">SUM(IF((CRDJ[JEV Number]=TRIM($T$2))*(CRDJ[Account Code]=TRIM(K33)),CRDJ[Debit]))</f>
        <v>0</v>
      </c>
      <c r="O33" s="89">
        <f t="array" ref="O33">SUM(IF((CRDJ[JEV Number]=TRIM($T$2))*(CRDJ[Account Code]=TRIM(K33)),CRDJ[Credit]))</f>
        <v>0</v>
      </c>
      <c r="P33" s="1040">
        <f t="shared" si="0"/>
        <v>0</v>
      </c>
      <c r="Q33" s="1040"/>
      <c r="R33" s="1040"/>
      <c r="S33" s="1040">
        <f t="shared" si="1"/>
        <v>0</v>
      </c>
      <c r="T33" s="1040"/>
      <c r="U33" s="1040"/>
      <c r="V33" s="1041"/>
    </row>
    <row r="34" spans="1:22" x14ac:dyDescent="0.25">
      <c r="A34" s="1038"/>
      <c r="B34" s="1039"/>
      <c r="C34" s="1039"/>
      <c r="D34" s="1039"/>
      <c r="E34" s="1045">
        <f>IF(K34=0,0,(INDEX(AccountCodes[ACCOUNT NAME],MATCH(K34,AccountCodes[NGAS CODE],0))))</f>
        <v>0</v>
      </c>
      <c r="F34" s="1046"/>
      <c r="G34" s="1046"/>
      <c r="H34" s="1046"/>
      <c r="I34" s="1046"/>
      <c r="J34" s="1047"/>
      <c r="K34" s="133"/>
      <c r="L34" s="62">
        <f t="array" ref="L34">IF(K34=0,0,(INDEX(AccountCodes[PPSAS CODE],MATCH(K34,AccountCodes[NGAS CODE],0))))</f>
        <v>0</v>
      </c>
      <c r="M34" s="14"/>
      <c r="N34" s="89">
        <f t="array" ref="N34">SUM(IF((CRDJ[JEV Number]=TRIM($T$2))*(CRDJ[Account Code]=TRIM(K34)),CRDJ[Debit]))</f>
        <v>0</v>
      </c>
      <c r="O34" s="89">
        <f t="array" ref="O34">SUM(IF((CRDJ[JEV Number]=TRIM($T$2))*(CRDJ[Account Code]=TRIM(K34)),CRDJ[Credit]))</f>
        <v>0</v>
      </c>
      <c r="P34" s="1040">
        <f t="shared" si="0"/>
        <v>0</v>
      </c>
      <c r="Q34" s="1040"/>
      <c r="R34" s="1040"/>
      <c r="S34" s="1040">
        <f t="shared" si="1"/>
        <v>0</v>
      </c>
      <c r="T34" s="1040"/>
      <c r="U34" s="1040"/>
      <c r="V34" s="1041"/>
    </row>
    <row r="35" spans="1:22" x14ac:dyDescent="0.25">
      <c r="A35" s="1038"/>
      <c r="B35" s="1039"/>
      <c r="C35" s="1039"/>
      <c r="D35" s="1039"/>
      <c r="E35" s="1045">
        <f>IF(K35=0,0,(INDEX(AccountCodes[ACCOUNT NAME],MATCH(K35,AccountCodes[NGAS CODE],0))))</f>
        <v>0</v>
      </c>
      <c r="F35" s="1046"/>
      <c r="G35" s="1046"/>
      <c r="H35" s="1046"/>
      <c r="I35" s="1046"/>
      <c r="J35" s="1047"/>
      <c r="K35" s="133"/>
      <c r="L35" s="62">
        <f t="array" ref="L35">IF(K35=0,0,(INDEX(AccountCodes[PPSAS CODE],MATCH(K35,AccountCodes[NGAS CODE],0))))</f>
        <v>0</v>
      </c>
      <c r="M35" s="14"/>
      <c r="N35" s="89">
        <f t="array" ref="N35">SUM(IF((CRDJ[JEV Number]=TRIM($T$2))*(CRDJ[Account Code]=TRIM(K35)),CRDJ[Debit]))</f>
        <v>0</v>
      </c>
      <c r="O35" s="89">
        <f t="array" ref="O35">SUM(IF((CRDJ[JEV Number]=TRIM($T$2))*(CRDJ[Account Code]=TRIM(K35)),CRDJ[Credit]))</f>
        <v>0</v>
      </c>
      <c r="P35" s="1040">
        <f t="shared" si="0"/>
        <v>0</v>
      </c>
      <c r="Q35" s="1040"/>
      <c r="R35" s="1040"/>
      <c r="S35" s="1040">
        <f t="shared" si="1"/>
        <v>0</v>
      </c>
      <c r="T35" s="1040"/>
      <c r="U35" s="1040"/>
      <c r="V35" s="1041"/>
    </row>
    <row r="36" spans="1:22" x14ac:dyDescent="0.25">
      <c r="A36" s="1038"/>
      <c r="B36" s="1039"/>
      <c r="C36" s="1039"/>
      <c r="D36" s="1039"/>
      <c r="E36" s="1048" t="s">
        <v>501</v>
      </c>
      <c r="F36" s="1049"/>
      <c r="G36" s="1049"/>
      <c r="H36" s="1049"/>
      <c r="I36" s="1049"/>
      <c r="J36" s="1050"/>
      <c r="K36" s="133"/>
      <c r="L36" s="62">
        <f t="array" ref="L36">IF(K36=0,0,(INDEX(AccountCodes[PPSAS CODE],MATCH(K36,AccountCodes[NGAS CODE],0))))</f>
        <v>0</v>
      </c>
      <c r="M36" s="14"/>
      <c r="N36" s="89">
        <f t="array" ref="N36">SUM(IF((CRDJ[JEV Number]=TRIM($T$2))*(CRDJ[Account Code]=TRIM(K36)),CRDJ[Debit]))</f>
        <v>0</v>
      </c>
      <c r="O36" s="89">
        <f t="array" ref="O36">SUM(IF((CRDJ[JEV Number]=TRIM($T$2))*(CRDJ[Account Code]=TRIM(K36)),CRDJ[Credit]))</f>
        <v>0</v>
      </c>
      <c r="P36" s="1040">
        <f>N36</f>
        <v>0</v>
      </c>
      <c r="Q36" s="1040"/>
      <c r="R36" s="1040"/>
      <c r="S36" s="1040">
        <f>O36</f>
        <v>0</v>
      </c>
      <c r="T36" s="1040"/>
      <c r="U36" s="1040"/>
      <c r="V36" s="1041"/>
    </row>
    <row r="37" spans="1:22" x14ac:dyDescent="0.25">
      <c r="A37" s="1038"/>
      <c r="B37" s="1039"/>
      <c r="C37" s="1039"/>
      <c r="D37" s="1039"/>
      <c r="E37" s="1048" t="s">
        <v>457</v>
      </c>
      <c r="F37" s="1049"/>
      <c r="G37" s="1049"/>
      <c r="H37" s="1049"/>
      <c r="I37" s="1051" t="e">
        <f>T3</f>
        <v>#N/A</v>
      </c>
      <c r="J37" s="1052"/>
      <c r="K37" s="133"/>
      <c r="L37" s="62">
        <f t="array" ref="L37">IF(K37=0,0,(INDEX(AccountCodes[PPSAS CODE],MATCH(K37,AccountCodes[NGAS CODE],0))))</f>
        <v>0</v>
      </c>
      <c r="M37" s="14"/>
      <c r="N37" s="89">
        <f t="array" ref="N37">SUM(IF((CRDJ[JEV Number]=TRIM($T$2))*(CRDJ[Account Code]=TRIM(K37)),CRDJ[Debit]))</f>
        <v>0</v>
      </c>
      <c r="O37" s="89">
        <f t="array" ref="O37">SUM(IF((CRDJ[JEV Number]=TRIM($T$2))*(CRDJ[Account Code]=TRIM(K37)),CRDJ[Credit]))</f>
        <v>0</v>
      </c>
      <c r="P37" s="1040">
        <f>N37</f>
        <v>0</v>
      </c>
      <c r="Q37" s="1040"/>
      <c r="R37" s="1040"/>
      <c r="S37" s="1040">
        <f>O37</f>
        <v>0</v>
      </c>
      <c r="T37" s="1040"/>
      <c r="U37" s="1040"/>
      <c r="V37" s="1041"/>
    </row>
    <row r="38" spans="1:22" x14ac:dyDescent="0.25">
      <c r="A38" s="1038"/>
      <c r="B38" s="1039"/>
      <c r="C38" s="1039"/>
      <c r="D38" s="1039"/>
      <c r="E38" s="1042" t="s">
        <v>720</v>
      </c>
      <c r="F38" s="1043"/>
      <c r="G38" s="1043"/>
      <c r="H38" s="1043"/>
      <c r="I38" s="1043" t="e">
        <f>IF(T2=0,0,(LOOKUP(T2,CRDJ[JEV Number],CRDJ[Collecting Officer/Office])))</f>
        <v>#N/A</v>
      </c>
      <c r="J38" s="1044"/>
      <c r="K38" s="133"/>
      <c r="L38" s="62">
        <f t="array" ref="L38">IF(K38=0,0,(INDEX(AccountCodes[PPSAS CODE],MATCH(K38,AccountCodes[NGAS CODE],0))))</f>
        <v>0</v>
      </c>
      <c r="M38" s="14"/>
      <c r="N38" s="89">
        <f t="array" ref="N38">SUM(IF((CRDJ[JEV Number]=TRIM($T$2))*(CRDJ[Account Code]=TRIM(K38)),CRDJ[Debit]))</f>
        <v>0</v>
      </c>
      <c r="O38" s="89">
        <f t="array" ref="O38">SUM(IF((CRDJ[JEV Number]=TRIM($T$2))*(CRDJ[Account Code]=TRIM(K38)),CRDJ[Credit]))</f>
        <v>0</v>
      </c>
      <c r="P38" s="1040">
        <f>N38</f>
        <v>0</v>
      </c>
      <c r="Q38" s="1040"/>
      <c r="R38" s="1040"/>
      <c r="S38" s="1040">
        <f>O38</f>
        <v>0</v>
      </c>
      <c r="T38" s="1040"/>
      <c r="U38" s="1040"/>
      <c r="V38" s="1041"/>
    </row>
    <row r="39" spans="1:22" x14ac:dyDescent="0.25">
      <c r="A39" s="1038"/>
      <c r="B39" s="1039"/>
      <c r="C39" s="1039"/>
      <c r="D39" s="1039"/>
      <c r="E39" s="1048"/>
      <c r="F39" s="1049"/>
      <c r="G39" s="1049"/>
      <c r="H39" s="1049"/>
      <c r="I39" s="1043"/>
      <c r="J39" s="1044"/>
      <c r="K39" s="133"/>
      <c r="L39" s="62">
        <f t="array" ref="L39">IF(K39=0,0,(INDEX(AccountCodes[PPSAS CODE],MATCH(K39,AccountCodes[NGAS CODE],0))))</f>
        <v>0</v>
      </c>
      <c r="M39" s="14"/>
      <c r="N39" s="89">
        <f t="array" ref="N39">SUM(IF((CRDJ[JEV Number]=TRIM($T$2))*(CRDJ[Account Code]=TRIM(K39)),CRDJ[Debit]))</f>
        <v>0</v>
      </c>
      <c r="O39" s="89">
        <f t="array" ref="O39">SUM(IF((CRDJ[JEV Number]=TRIM($T$2))*(CRDJ[Account Code]=TRIM(K39)),CRDJ[Credit]))</f>
        <v>0</v>
      </c>
      <c r="P39" s="1040">
        <f>N39</f>
        <v>0</v>
      </c>
      <c r="Q39" s="1040"/>
      <c r="R39" s="1040"/>
      <c r="S39" s="1040">
        <f>O39</f>
        <v>0</v>
      </c>
      <c r="T39" s="1040"/>
      <c r="U39" s="1040"/>
      <c r="V39" s="1041"/>
    </row>
    <row r="40" spans="1:22" x14ac:dyDescent="0.25">
      <c r="A40" s="1038"/>
      <c r="B40" s="1039"/>
      <c r="C40" s="1039"/>
      <c r="D40" s="1039"/>
      <c r="E40" s="1045" t="str">
        <f>IF(K40=0,"",(VLOOKUP((TRIM(K40)),Code,2,)))</f>
        <v/>
      </c>
      <c r="F40" s="1046"/>
      <c r="G40" s="1046"/>
      <c r="H40" s="1046"/>
      <c r="I40" s="1046"/>
      <c r="J40" s="1047"/>
      <c r="K40" s="133"/>
      <c r="L40" s="62">
        <f t="array" ref="L40">IF(K40=0,0,(INDEX(AccountCodes[PPSAS CODE],MATCH(K40,AccountCodes[NGAS CODE],0))))</f>
        <v>0</v>
      </c>
      <c r="M40" s="14"/>
      <c r="N40" s="89">
        <f t="array" ref="N40">SUM(IF((CRDJ[JEV Number]=TRIM($T$2))*(CRDJ[Account Code]=TRIM(K40)),CRDJ[Debit]))</f>
        <v>0</v>
      </c>
      <c r="O40" s="89">
        <f t="array" ref="O40">SUM(IF((CRDJ[JEV Number]=TRIM($T$2))*(CRDJ[Account Code]=TRIM(K40)),CRDJ[Credit]))</f>
        <v>0</v>
      </c>
      <c r="P40" s="1040">
        <f>N40</f>
        <v>0</v>
      </c>
      <c r="Q40" s="1040"/>
      <c r="R40" s="1040"/>
      <c r="S40" s="1040">
        <f>O40</f>
        <v>0</v>
      </c>
      <c r="T40" s="1040"/>
      <c r="U40" s="1040"/>
      <c r="V40" s="1041"/>
    </row>
    <row r="41" spans="1:22" ht="16.5" thickBot="1" x14ac:dyDescent="0.3">
      <c r="A41" s="1091"/>
      <c r="B41" s="1092"/>
      <c r="C41" s="1092"/>
      <c r="D41" s="1092"/>
      <c r="E41" s="1092"/>
      <c r="F41" s="1092"/>
      <c r="G41" s="1092"/>
      <c r="H41" s="1092"/>
      <c r="I41" s="1092"/>
      <c r="J41" s="1092"/>
      <c r="K41" s="1092"/>
      <c r="L41" s="1092"/>
      <c r="M41" s="1093"/>
      <c r="N41" s="88"/>
      <c r="O41" s="88"/>
      <c r="P41" s="1094">
        <f>SUM(P11:R40)</f>
        <v>0</v>
      </c>
      <c r="Q41" s="1094"/>
      <c r="R41" s="1094"/>
      <c r="S41" s="1094">
        <f>SUM(S11:V40)</f>
        <v>0</v>
      </c>
      <c r="T41" s="1094"/>
      <c r="U41" s="1094"/>
      <c r="V41" s="1095"/>
    </row>
    <row r="42" spans="1:22" x14ac:dyDescent="0.25">
      <c r="A42" s="63"/>
      <c r="B42" s="64"/>
      <c r="C42" s="64"/>
      <c r="D42" s="64"/>
      <c r="E42" s="64"/>
      <c r="F42" s="64"/>
      <c r="G42" s="64"/>
      <c r="H42" s="64"/>
      <c r="I42" s="65"/>
      <c r="J42" s="64"/>
      <c r="K42" s="66"/>
      <c r="L42" s="64"/>
      <c r="M42" s="65"/>
      <c r="N42" s="64"/>
      <c r="O42" s="64"/>
      <c r="P42" s="1090"/>
      <c r="Q42" s="1090"/>
      <c r="R42" s="1090"/>
      <c r="S42" s="1090"/>
      <c r="T42" s="1090"/>
      <c r="U42" s="1090"/>
      <c r="V42" s="1096"/>
    </row>
    <row r="43" spans="1:22" x14ac:dyDescent="0.25">
      <c r="A43" s="67" t="s">
        <v>460</v>
      </c>
      <c r="B43"/>
      <c r="C43"/>
      <c r="D43"/>
      <c r="E43"/>
      <c r="F43"/>
      <c r="G43"/>
      <c r="H43"/>
      <c r="I43" s="68" t="s">
        <v>353</v>
      </c>
      <c r="J43" s="69"/>
      <c r="K43" s="69"/>
      <c r="L43"/>
      <c r="M43" s="68" t="s">
        <v>461</v>
      </c>
      <c r="N43" s="69"/>
      <c r="O43" s="69"/>
      <c r="P43" s="70"/>
      <c r="Q43" s="70"/>
      <c r="R43" s="70"/>
      <c r="S43" s="70"/>
      <c r="T43" s="70"/>
      <c r="U43" s="70"/>
      <c r="V43" s="71"/>
    </row>
    <row r="44" spans="1:22" x14ac:dyDescent="0.25">
      <c r="A44" s="37"/>
      <c r="B44"/>
      <c r="C44"/>
      <c r="D44"/>
      <c r="E44"/>
      <c r="F44"/>
      <c r="G44"/>
      <c r="H44"/>
      <c r="I44" s="72"/>
      <c r="J44"/>
      <c r="K44"/>
      <c r="L44"/>
      <c r="M44" s="72"/>
      <c r="N44"/>
      <c r="O44"/>
      <c r="P44"/>
      <c r="Q44"/>
      <c r="R44"/>
      <c r="S44"/>
      <c r="T44"/>
      <c r="U44"/>
      <c r="V44" s="73"/>
    </row>
    <row r="45" spans="1:22" x14ac:dyDescent="0.25">
      <c r="A45" s="74"/>
      <c r="B45" s="75"/>
      <c r="C45" s="75"/>
      <c r="D45" s="75"/>
      <c r="E45" s="75"/>
      <c r="F45" s="75"/>
      <c r="G45" s="75"/>
      <c r="H45" s="76"/>
      <c r="I45" s="77" t="s">
        <v>1559</v>
      </c>
      <c r="J45" s="75"/>
      <c r="K45" s="75"/>
      <c r="L45" s="76"/>
      <c r="M45" s="77" t="s">
        <v>1591</v>
      </c>
      <c r="N45" s="75"/>
      <c r="O45" s="75"/>
      <c r="P45" s="75"/>
      <c r="Q45" s="75"/>
      <c r="R45" s="75"/>
      <c r="S45" s="75"/>
      <c r="T45" s="75"/>
      <c r="U45" s="75"/>
      <c r="V45" s="78"/>
    </row>
    <row r="46" spans="1:22" x14ac:dyDescent="0.25">
      <c r="A46" s="79"/>
      <c r="B46" s="80"/>
      <c r="C46" s="80"/>
      <c r="D46" s="80"/>
      <c r="E46" s="80"/>
      <c r="F46" s="80"/>
      <c r="G46" s="80"/>
      <c r="H46" s="80"/>
      <c r="I46" s="81" t="s">
        <v>1635</v>
      </c>
      <c r="J46" s="80"/>
      <c r="K46" s="80"/>
      <c r="L46" s="80"/>
      <c r="M46" s="81" t="s">
        <v>464</v>
      </c>
      <c r="N46" s="80"/>
      <c r="O46" s="80"/>
      <c r="P46" s="82"/>
      <c r="Q46" s="82"/>
      <c r="R46" s="82"/>
      <c r="S46" s="82"/>
      <c r="T46" s="82"/>
      <c r="U46" s="82"/>
      <c r="V46" s="83"/>
    </row>
    <row r="47" spans="1:22" ht="16.5" thickBot="1" x14ac:dyDescent="0.3">
      <c r="A47" s="84" t="s">
        <v>465</v>
      </c>
      <c r="B47" s="43"/>
      <c r="C47" s="43"/>
      <c r="D47" s="43"/>
      <c r="E47" s="43"/>
      <c r="F47" s="43"/>
      <c r="G47" s="43"/>
      <c r="H47" s="43"/>
      <c r="I47" s="85"/>
      <c r="J47" s="43"/>
      <c r="K47" s="43"/>
      <c r="L47" s="43"/>
      <c r="M47" s="85"/>
      <c r="N47" s="43"/>
      <c r="O47" s="43"/>
      <c r="P47" s="43"/>
      <c r="Q47" s="43"/>
      <c r="R47" s="43"/>
      <c r="S47" s="43"/>
      <c r="T47" s="43"/>
      <c r="U47" s="43"/>
      <c r="V47" s="44"/>
    </row>
    <row r="48" spans="1:22" ht="22.5" x14ac:dyDescent="0.25">
      <c r="A48" s="31" t="s">
        <v>441</v>
      </c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3"/>
      <c r="R48" s="1053">
        <f>+P88-S88</f>
        <v>0</v>
      </c>
      <c r="S48" s="1054"/>
      <c r="T48" s="1054"/>
      <c r="U48" s="1054"/>
      <c r="V48" s="1055"/>
    </row>
    <row r="49" spans="1:22" x14ac:dyDescent="0.25">
      <c r="A49" s="34" t="s">
        <v>442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6"/>
      <c r="R49" s="37" t="s">
        <v>443</v>
      </c>
      <c r="S49"/>
      <c r="T49" s="1056"/>
      <c r="U49" s="1056"/>
      <c r="V49" s="1057"/>
    </row>
    <row r="50" spans="1:22" x14ac:dyDescent="0.25">
      <c r="A50" s="38" t="s">
        <v>444</v>
      </c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6"/>
      <c r="R50" s="37" t="s">
        <v>0</v>
      </c>
      <c r="S50"/>
      <c r="T50" s="1058">
        <f>IF(T49=0,0,(LOOKUP(T49,CRDJ[JEV Number],CRDJ[Date])))</f>
        <v>0</v>
      </c>
      <c r="U50" s="1058"/>
      <c r="V50" s="1059"/>
    </row>
    <row r="51" spans="1:22" ht="16.5" thickBot="1" x14ac:dyDescent="0.3">
      <c r="A51" s="39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1"/>
      <c r="R51" s="42"/>
      <c r="S51" s="43"/>
      <c r="T51" s="43"/>
      <c r="U51" s="43"/>
      <c r="V51" s="44"/>
    </row>
    <row r="52" spans="1:22" x14ac:dyDescent="0.25">
      <c r="A52" s="45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7"/>
      <c r="M52" s="46"/>
      <c r="N52" s="46"/>
      <c r="O52" s="46"/>
      <c r="P52" s="46"/>
      <c r="Q52" s="46"/>
      <c r="R52" s="46"/>
      <c r="S52" s="46"/>
      <c r="T52" s="46"/>
      <c r="U52" s="46"/>
      <c r="V52" s="48"/>
    </row>
    <row r="53" spans="1:22" x14ac:dyDescent="0.25">
      <c r="A53" s="49"/>
      <c r="B53" s="1060" t="s">
        <v>446</v>
      </c>
      <c r="C53" s="1060"/>
      <c r="D53" s="50" t="s">
        <v>445</v>
      </c>
      <c r="H53" s="51"/>
      <c r="I53" s="25" t="s">
        <v>447</v>
      </c>
      <c r="J53" s="14"/>
      <c r="K53" s="52" t="s">
        <v>448</v>
      </c>
      <c r="L53" s="52"/>
      <c r="Q53" s="1060"/>
      <c r="R53" s="1060"/>
      <c r="S53" s="50" t="s">
        <v>449</v>
      </c>
      <c r="T53" s="50"/>
      <c r="U53" s="50"/>
      <c r="V53" s="53"/>
    </row>
    <row r="54" spans="1:22" ht="16.5" thickBot="1" x14ac:dyDescent="0.3">
      <c r="A54" s="54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6"/>
      <c r="M54" s="55"/>
      <c r="N54" s="55"/>
      <c r="O54" s="55"/>
      <c r="P54" s="55"/>
      <c r="Q54" s="55"/>
      <c r="R54" s="55"/>
      <c r="S54" s="55"/>
      <c r="T54" s="55"/>
      <c r="U54" s="55"/>
      <c r="V54" s="57"/>
    </row>
    <row r="55" spans="1:22" x14ac:dyDescent="0.25">
      <c r="A55" s="1061" t="s">
        <v>397</v>
      </c>
      <c r="B55" s="1062"/>
      <c r="C55" s="1062"/>
      <c r="D55" s="1063"/>
      <c r="E55" s="1070" t="s">
        <v>450</v>
      </c>
      <c r="F55" s="1070"/>
      <c r="G55" s="1070"/>
      <c r="H55" s="1070"/>
      <c r="I55" s="1070"/>
      <c r="J55" s="1070"/>
      <c r="K55" s="1070"/>
      <c r="L55" s="1070"/>
      <c r="M55" s="1070"/>
      <c r="N55" s="1070"/>
      <c r="O55" s="1070"/>
      <c r="P55" s="1070"/>
      <c r="Q55" s="1070"/>
      <c r="R55" s="1070"/>
      <c r="S55" s="1070"/>
      <c r="T55" s="1070"/>
      <c r="U55" s="1070"/>
      <c r="V55" s="1071"/>
    </row>
    <row r="56" spans="1:22" x14ac:dyDescent="0.25">
      <c r="A56" s="1064"/>
      <c r="B56" s="1065"/>
      <c r="C56" s="1065"/>
      <c r="D56" s="1066"/>
      <c r="E56" s="1072" t="s">
        <v>451</v>
      </c>
      <c r="F56" s="1072"/>
      <c r="G56" s="1072"/>
      <c r="H56" s="1072"/>
      <c r="I56" s="1072"/>
      <c r="J56" s="1072"/>
      <c r="K56" s="1074" t="s">
        <v>378</v>
      </c>
      <c r="L56" s="1074"/>
      <c r="M56" s="1072" t="s">
        <v>452</v>
      </c>
      <c r="N56" s="1075" t="s">
        <v>453</v>
      </c>
      <c r="O56" s="1076"/>
      <c r="P56" s="1076"/>
      <c r="Q56" s="1076"/>
      <c r="R56" s="1076"/>
      <c r="S56" s="1076"/>
      <c r="T56" s="1076"/>
      <c r="U56" s="1076"/>
      <c r="V56" s="1077"/>
    </row>
    <row r="57" spans="1:22" ht="16.5" customHeight="1" thickBot="1" x14ac:dyDescent="0.3">
      <c r="A57" s="1067"/>
      <c r="B57" s="1068"/>
      <c r="C57" s="1068"/>
      <c r="D57" s="1069"/>
      <c r="E57" s="1073"/>
      <c r="F57" s="1073"/>
      <c r="G57" s="1073"/>
      <c r="H57" s="1073"/>
      <c r="I57" s="1073"/>
      <c r="J57" s="1073"/>
      <c r="K57" s="58" t="s">
        <v>454</v>
      </c>
      <c r="L57" s="58" t="s">
        <v>455</v>
      </c>
      <c r="M57" s="1073"/>
      <c r="N57" s="87" t="s">
        <v>466</v>
      </c>
      <c r="O57" s="87" t="s">
        <v>467</v>
      </c>
      <c r="P57" s="1078" t="s">
        <v>1</v>
      </c>
      <c r="Q57" s="1079"/>
      <c r="R57" s="1080"/>
      <c r="S57" s="1078" t="s">
        <v>2</v>
      </c>
      <c r="T57" s="1079"/>
      <c r="U57" s="1079"/>
      <c r="V57" s="1081"/>
    </row>
    <row r="58" spans="1:22" ht="19.5" x14ac:dyDescent="0.3">
      <c r="A58" s="1082">
        <f>P88-S88</f>
        <v>0</v>
      </c>
      <c r="B58" s="1083"/>
      <c r="C58" s="1083"/>
      <c r="D58" s="1083"/>
      <c r="E58" s="1084" t="str">
        <f>Account!$G$1</f>
        <v>FUND 501 CARP</v>
      </c>
      <c r="F58" s="1085"/>
      <c r="G58" s="1085"/>
      <c r="H58" s="1085"/>
      <c r="I58" s="1085"/>
      <c r="J58" s="1086"/>
      <c r="K58" s="59"/>
      <c r="L58" s="59"/>
      <c r="M58" s="60"/>
      <c r="N58" s="60"/>
      <c r="O58" s="60"/>
      <c r="P58" s="1087"/>
      <c r="Q58" s="1087"/>
      <c r="R58" s="1087"/>
      <c r="S58" s="1087"/>
      <c r="T58" s="1087"/>
      <c r="U58" s="1087"/>
      <c r="V58" s="1088"/>
    </row>
    <row r="59" spans="1:22" x14ac:dyDescent="0.25">
      <c r="A59" s="1038"/>
      <c r="B59" s="1039"/>
      <c r="C59" s="1039"/>
      <c r="D59" s="1039"/>
      <c r="E59" s="1039"/>
      <c r="F59" s="1039"/>
      <c r="G59" s="1039"/>
      <c r="H59" s="1039"/>
      <c r="I59" s="1039"/>
      <c r="J59" s="1039"/>
      <c r="K59" s="61"/>
      <c r="L59" s="61"/>
      <c r="M59" s="14"/>
      <c r="N59" s="14"/>
      <c r="O59" s="14"/>
      <c r="P59" s="1039"/>
      <c r="Q59" s="1039"/>
      <c r="R59" s="1039"/>
      <c r="S59" s="1039"/>
      <c r="T59" s="1039"/>
      <c r="U59" s="1039"/>
      <c r="V59" s="1089"/>
    </row>
    <row r="60" spans="1:22" x14ac:dyDescent="0.25">
      <c r="A60" s="1038"/>
      <c r="B60" s="1039"/>
      <c r="C60" s="1039"/>
      <c r="D60" s="1039"/>
      <c r="E60" s="1045" t="str">
        <f t="shared" ref="E60:E82" si="2">IF(K60=0,"",(VLOOKUP((TRIM(K60)),Code,2,)))</f>
        <v/>
      </c>
      <c r="F60" s="1046"/>
      <c r="G60" s="1046"/>
      <c r="H60" s="1046"/>
      <c r="I60" s="1046"/>
      <c r="J60" s="1047"/>
      <c r="K60" s="133"/>
      <c r="L60" s="62" t="str">
        <f t="shared" ref="L60:L87" si="3">IF(K60=0,"",VLOOKUP((TRIM(K60)),Code,3,))</f>
        <v/>
      </c>
      <c r="M60" s="14"/>
      <c r="N60" s="89">
        <f t="array" ref="N60">SUM(IF((CRDJ[JEV Number]=TRIM($T49))*(CRDJ[Account Code]=TRIM(K60)),CRDJ[Debit]))</f>
        <v>0</v>
      </c>
      <c r="O60" s="89">
        <f t="array" ref="O60">SUM(IF((CRDJ[JEV Number]=TRIM($T49))*(CRDJ[Account Code]=TRIM(K60)),CRDJ[Credit]))</f>
        <v>0</v>
      </c>
      <c r="P60" s="1040">
        <f>N60</f>
        <v>0</v>
      </c>
      <c r="Q60" s="1040"/>
      <c r="R60" s="1040"/>
      <c r="S60" s="1040">
        <f>O60</f>
        <v>0</v>
      </c>
      <c r="T60" s="1040"/>
      <c r="U60" s="1040"/>
      <c r="V60" s="1041"/>
    </row>
    <row r="61" spans="1:22" x14ac:dyDescent="0.25">
      <c r="A61" s="1038"/>
      <c r="B61" s="1039"/>
      <c r="C61" s="1039"/>
      <c r="D61" s="1039"/>
      <c r="E61" s="1045" t="str">
        <f t="shared" si="2"/>
        <v/>
      </c>
      <c r="F61" s="1046"/>
      <c r="G61" s="1046"/>
      <c r="H61" s="1046"/>
      <c r="I61" s="1046"/>
      <c r="J61" s="1047"/>
      <c r="K61" s="133"/>
      <c r="L61" s="62" t="str">
        <f t="shared" si="3"/>
        <v/>
      </c>
      <c r="M61" s="14"/>
      <c r="N61" s="89">
        <f t="array" ref="N61">SUM(IF((CRDJ[JEV Number]=TRIM($T49))*(CRDJ[Account Code]=TRIM(K61)),CRDJ[Debit]))</f>
        <v>0</v>
      </c>
      <c r="O61" s="89">
        <f t="array" ref="O61">SUM(IF((CRDJ[JEV Number]=TRIM($T49))*(CRDJ[Account Code]=TRIM(K61)),CRDJ[Credit]))</f>
        <v>0</v>
      </c>
      <c r="P61" s="1040">
        <f>N61</f>
        <v>0</v>
      </c>
      <c r="Q61" s="1040"/>
      <c r="R61" s="1040"/>
      <c r="S61" s="1040">
        <f>O61</f>
        <v>0</v>
      </c>
      <c r="T61" s="1040"/>
      <c r="U61" s="1040"/>
      <c r="V61" s="1041"/>
    </row>
    <row r="62" spans="1:22" x14ac:dyDescent="0.25">
      <c r="A62" s="1038"/>
      <c r="B62" s="1039"/>
      <c r="C62" s="1039"/>
      <c r="D62" s="1039"/>
      <c r="E62" s="1045" t="str">
        <f t="shared" si="2"/>
        <v/>
      </c>
      <c r="F62" s="1046"/>
      <c r="G62" s="1046"/>
      <c r="H62" s="1046"/>
      <c r="I62" s="1046"/>
      <c r="J62" s="1047"/>
      <c r="K62" s="133"/>
      <c r="L62" s="62" t="str">
        <f t="shared" si="3"/>
        <v/>
      </c>
      <c r="M62" s="14"/>
      <c r="N62" s="89">
        <f t="array" ref="N62">SUM(IF((CRDJ[JEV Number]=TRIM($T49))*(CRDJ[Account Code]=TRIM(K62)),CRDJ[Debit]))</f>
        <v>0</v>
      </c>
      <c r="O62" s="89">
        <f t="array" ref="O62">SUM(IF((CRDJ[JEV Number]=TRIM($T49))*(CRDJ[Account Code]=TRIM(K62)),CRDJ[Credit]))</f>
        <v>0</v>
      </c>
      <c r="P62" s="1040">
        <f t="shared" ref="P62:P87" si="4">N62</f>
        <v>0</v>
      </c>
      <c r="Q62" s="1040"/>
      <c r="R62" s="1040"/>
      <c r="S62" s="1040">
        <f t="shared" ref="S62:S87" si="5">O62</f>
        <v>0</v>
      </c>
      <c r="T62" s="1040"/>
      <c r="U62" s="1040"/>
      <c r="V62" s="1041"/>
    </row>
    <row r="63" spans="1:22" x14ac:dyDescent="0.25">
      <c r="A63" s="1038"/>
      <c r="B63" s="1039"/>
      <c r="C63" s="1039"/>
      <c r="D63" s="1039"/>
      <c r="E63" s="1045" t="str">
        <f t="shared" si="2"/>
        <v/>
      </c>
      <c r="F63" s="1046"/>
      <c r="G63" s="1046"/>
      <c r="H63" s="1046"/>
      <c r="I63" s="1046"/>
      <c r="J63" s="1047"/>
      <c r="K63" s="133"/>
      <c r="L63" s="62" t="str">
        <f t="shared" si="3"/>
        <v/>
      </c>
      <c r="M63" s="14"/>
      <c r="N63" s="89">
        <f t="array" ref="N63">SUM(IF((CRDJ[JEV Number]=TRIM($T49))*(CRDJ[Account Code]=TRIM(K63)),CRDJ[Debit]))</f>
        <v>0</v>
      </c>
      <c r="O63" s="89">
        <f t="array" ref="O63">SUM(IF((CRDJ[JEV Number]=TRIM($T49))*(CRDJ[Account Code]=TRIM(K63)),CRDJ[Credit]))</f>
        <v>0</v>
      </c>
      <c r="P63" s="1040">
        <f t="shared" si="4"/>
        <v>0</v>
      </c>
      <c r="Q63" s="1040"/>
      <c r="R63" s="1040"/>
      <c r="S63" s="1040">
        <f t="shared" si="5"/>
        <v>0</v>
      </c>
      <c r="T63" s="1040"/>
      <c r="U63" s="1040"/>
      <c r="V63" s="1041"/>
    </row>
    <row r="64" spans="1:22" x14ac:dyDescent="0.25">
      <c r="A64" s="1038"/>
      <c r="B64" s="1039"/>
      <c r="C64" s="1039"/>
      <c r="D64" s="1039"/>
      <c r="E64" s="1045" t="str">
        <f t="shared" si="2"/>
        <v/>
      </c>
      <c r="F64" s="1046"/>
      <c r="G64" s="1046"/>
      <c r="H64" s="1046"/>
      <c r="I64" s="1046"/>
      <c r="J64" s="1047"/>
      <c r="K64" s="133"/>
      <c r="L64" s="62" t="str">
        <f t="shared" si="3"/>
        <v/>
      </c>
      <c r="M64" s="14"/>
      <c r="N64" s="89">
        <f t="array" ref="N64">SUM(IF((CRDJ[JEV Number]=TRIM($T49))*(CRDJ[Account Code]=TRIM(K64)),CRDJ[Debit]))</f>
        <v>0</v>
      </c>
      <c r="O64" s="89">
        <f t="array" ref="O64">SUM(IF((CRDJ[JEV Number]=TRIM($T49))*(CRDJ[Account Code]=TRIM(K64)),CRDJ[Credit]))</f>
        <v>0</v>
      </c>
      <c r="P64" s="1040">
        <f t="shared" si="4"/>
        <v>0</v>
      </c>
      <c r="Q64" s="1040"/>
      <c r="R64" s="1040"/>
      <c r="S64" s="1040">
        <f t="shared" si="5"/>
        <v>0</v>
      </c>
      <c r="T64" s="1040"/>
      <c r="U64" s="1040"/>
      <c r="V64" s="1041"/>
    </row>
    <row r="65" spans="1:22" x14ac:dyDescent="0.25">
      <c r="A65" s="1038"/>
      <c r="B65" s="1039"/>
      <c r="C65" s="1039"/>
      <c r="D65" s="1039"/>
      <c r="E65" s="1045" t="str">
        <f t="shared" si="2"/>
        <v/>
      </c>
      <c r="F65" s="1046"/>
      <c r="G65" s="1046"/>
      <c r="H65" s="1046"/>
      <c r="I65" s="1046"/>
      <c r="J65" s="1047"/>
      <c r="K65" s="133"/>
      <c r="L65" s="62" t="str">
        <f t="shared" si="3"/>
        <v/>
      </c>
      <c r="M65" s="14"/>
      <c r="N65" s="89">
        <f t="array" ref="N65">SUM(IF((CRDJ[JEV Number]=TRIM($T49))*(CRDJ[Account Code]=TRIM(K65)),CRDJ[Debit]))</f>
        <v>0</v>
      </c>
      <c r="O65" s="89">
        <f t="array" ref="O65">SUM(IF((CRDJ[JEV Number]=TRIM($T49))*(CRDJ[Account Code]=TRIM(K65)),CRDJ[Credit]))</f>
        <v>0</v>
      </c>
      <c r="P65" s="1040">
        <f t="shared" si="4"/>
        <v>0</v>
      </c>
      <c r="Q65" s="1040"/>
      <c r="R65" s="1040"/>
      <c r="S65" s="1040">
        <f t="shared" si="5"/>
        <v>0</v>
      </c>
      <c r="T65" s="1040"/>
      <c r="U65" s="1040"/>
      <c r="V65" s="1041"/>
    </row>
    <row r="66" spans="1:22" x14ac:dyDescent="0.25">
      <c r="A66" s="1038"/>
      <c r="B66" s="1039"/>
      <c r="C66" s="1039"/>
      <c r="D66" s="1039"/>
      <c r="E66" s="1045" t="str">
        <f t="shared" si="2"/>
        <v/>
      </c>
      <c r="F66" s="1046"/>
      <c r="G66" s="1046"/>
      <c r="H66" s="1046"/>
      <c r="I66" s="1046"/>
      <c r="J66" s="1047"/>
      <c r="K66" s="133"/>
      <c r="L66" s="62" t="str">
        <f t="shared" si="3"/>
        <v/>
      </c>
      <c r="M66" s="14"/>
      <c r="N66" s="89">
        <f t="array" ref="N66">SUM(IF((CRDJ[JEV Number]=TRIM($T49))*(CRDJ[Account Code]=TRIM(K66)),CRDJ[Debit]))</f>
        <v>0</v>
      </c>
      <c r="O66" s="89">
        <f t="array" ref="O66">SUM(IF((CRDJ[JEV Number]=TRIM($T49))*(CRDJ[Account Code]=TRIM(K66)),CRDJ[Credit]))</f>
        <v>0</v>
      </c>
      <c r="P66" s="1040">
        <f t="shared" si="4"/>
        <v>0</v>
      </c>
      <c r="Q66" s="1040"/>
      <c r="R66" s="1040"/>
      <c r="S66" s="1040">
        <f t="shared" si="5"/>
        <v>0</v>
      </c>
      <c r="T66" s="1040"/>
      <c r="U66" s="1040"/>
      <c r="V66" s="1041"/>
    </row>
    <row r="67" spans="1:22" x14ac:dyDescent="0.25">
      <c r="A67" s="1038"/>
      <c r="B67" s="1039"/>
      <c r="C67" s="1039"/>
      <c r="D67" s="1039"/>
      <c r="E67" s="1045" t="str">
        <f t="shared" si="2"/>
        <v/>
      </c>
      <c r="F67" s="1046"/>
      <c r="G67" s="1046"/>
      <c r="H67" s="1046"/>
      <c r="I67" s="1046"/>
      <c r="J67" s="1047"/>
      <c r="K67" s="133"/>
      <c r="L67" s="62" t="str">
        <f t="shared" si="3"/>
        <v/>
      </c>
      <c r="M67" s="14"/>
      <c r="N67" s="89">
        <f t="array" ref="N67">SUM(IF((CRDJ[JEV Number]=TRIM($T49))*(CRDJ[Account Code]=TRIM(K67)),CRDJ[Debit]))</f>
        <v>0</v>
      </c>
      <c r="O67" s="89">
        <f t="array" ref="O67">SUM(IF((CRDJ[JEV Number]=TRIM($T49))*(CRDJ[Account Code]=TRIM(K67)),CRDJ[Credit]))</f>
        <v>0</v>
      </c>
      <c r="P67" s="1040">
        <f t="shared" si="4"/>
        <v>0</v>
      </c>
      <c r="Q67" s="1040"/>
      <c r="R67" s="1040"/>
      <c r="S67" s="1040">
        <f t="shared" si="5"/>
        <v>0</v>
      </c>
      <c r="T67" s="1040"/>
      <c r="U67" s="1040"/>
      <c r="V67" s="1041"/>
    </row>
    <row r="68" spans="1:22" x14ac:dyDescent="0.25">
      <c r="A68" s="1038"/>
      <c r="B68" s="1039"/>
      <c r="C68" s="1039"/>
      <c r="D68" s="1039"/>
      <c r="E68" s="1045" t="str">
        <f t="shared" si="2"/>
        <v/>
      </c>
      <c r="F68" s="1046"/>
      <c r="G68" s="1046"/>
      <c r="H68" s="1046"/>
      <c r="I68" s="1046"/>
      <c r="J68" s="1047"/>
      <c r="K68" s="134"/>
      <c r="L68" s="62" t="str">
        <f t="shared" si="3"/>
        <v/>
      </c>
      <c r="M68" s="14"/>
      <c r="N68" s="89">
        <f t="array" ref="N68">SUM(IF((CRDJ[JEV Number]=TRIM($T49))*(CRDJ[Account Code]=TRIM(K68)),CRDJ[Debit]))</f>
        <v>0</v>
      </c>
      <c r="O68" s="89">
        <f t="array" ref="O68">SUM(IF((CRDJ[JEV Number]=TRIM($T49))*(CRDJ[Account Code]=TRIM(K68)),CRDJ[Credit]))</f>
        <v>0</v>
      </c>
      <c r="P68" s="1040">
        <f t="shared" si="4"/>
        <v>0</v>
      </c>
      <c r="Q68" s="1040"/>
      <c r="R68" s="1040"/>
      <c r="S68" s="1040">
        <f t="shared" si="5"/>
        <v>0</v>
      </c>
      <c r="T68" s="1040"/>
      <c r="U68" s="1040"/>
      <c r="V68" s="1041"/>
    </row>
    <row r="69" spans="1:22" x14ac:dyDescent="0.25">
      <c r="A69" s="1038"/>
      <c r="B69" s="1039"/>
      <c r="C69" s="1039"/>
      <c r="D69" s="1039"/>
      <c r="E69" s="1045" t="str">
        <f t="shared" si="2"/>
        <v/>
      </c>
      <c r="F69" s="1046"/>
      <c r="G69" s="1046"/>
      <c r="H69" s="1046"/>
      <c r="I69" s="1046"/>
      <c r="J69" s="1047"/>
      <c r="K69" s="134"/>
      <c r="L69" s="62" t="str">
        <f t="shared" si="3"/>
        <v/>
      </c>
      <c r="M69" s="14"/>
      <c r="N69" s="89">
        <f t="array" ref="N69">SUM(IF((CRDJ[JEV Number]=TRIM($T49))*(CRDJ[Account Code]=TRIM(K69)),CRDJ[Debit]))</f>
        <v>0</v>
      </c>
      <c r="O69" s="89">
        <f t="array" ref="O69">SUM(IF((CRDJ[JEV Number]=TRIM($T49))*(CRDJ[Account Code]=TRIM(K69)),CRDJ[Credit]))</f>
        <v>0</v>
      </c>
      <c r="P69" s="1040">
        <f t="shared" si="4"/>
        <v>0</v>
      </c>
      <c r="Q69" s="1040"/>
      <c r="R69" s="1040"/>
      <c r="S69" s="1040">
        <f t="shared" si="5"/>
        <v>0</v>
      </c>
      <c r="T69" s="1040"/>
      <c r="U69" s="1040"/>
      <c r="V69" s="1041"/>
    </row>
    <row r="70" spans="1:22" x14ac:dyDescent="0.25">
      <c r="A70" s="1038"/>
      <c r="B70" s="1039"/>
      <c r="C70" s="1039"/>
      <c r="D70" s="1039"/>
      <c r="E70" s="1045" t="str">
        <f t="shared" si="2"/>
        <v/>
      </c>
      <c r="F70" s="1046"/>
      <c r="G70" s="1046"/>
      <c r="H70" s="1046"/>
      <c r="I70" s="1046"/>
      <c r="J70" s="1047"/>
      <c r="K70" s="134"/>
      <c r="L70" s="62" t="str">
        <f t="shared" si="3"/>
        <v/>
      </c>
      <c r="M70" s="14"/>
      <c r="N70" s="89">
        <f t="array" ref="N70">SUM(IF((CRDJ[JEV Number]=TRIM($T49))*(CRDJ[Account Code]=TRIM(K70)),CRDJ[Debit]))</f>
        <v>0</v>
      </c>
      <c r="O70" s="89">
        <f t="array" ref="O70">SUM(IF((CRDJ[JEV Number]=TRIM($T49))*(CRDJ[Account Code]=TRIM(K70)),CRDJ[Credit]))</f>
        <v>0</v>
      </c>
      <c r="P70" s="1040">
        <f t="shared" si="4"/>
        <v>0</v>
      </c>
      <c r="Q70" s="1040"/>
      <c r="R70" s="1040"/>
      <c r="S70" s="1040">
        <f t="shared" si="5"/>
        <v>0</v>
      </c>
      <c r="T70" s="1040"/>
      <c r="U70" s="1040"/>
      <c r="V70" s="1041"/>
    </row>
    <row r="71" spans="1:22" x14ac:dyDescent="0.25">
      <c r="A71" s="1038"/>
      <c r="B71" s="1039"/>
      <c r="C71" s="1039"/>
      <c r="D71" s="1039"/>
      <c r="E71" s="1045" t="str">
        <f t="shared" si="2"/>
        <v/>
      </c>
      <c r="F71" s="1046"/>
      <c r="G71" s="1046"/>
      <c r="H71" s="1046"/>
      <c r="I71" s="1046"/>
      <c r="J71" s="1047"/>
      <c r="K71" s="134"/>
      <c r="L71" s="62" t="str">
        <f t="shared" si="3"/>
        <v/>
      </c>
      <c r="M71" s="14"/>
      <c r="N71" s="89">
        <f t="array" ref="N71">SUM(IF((CRDJ[JEV Number]=TRIM($T49))*(CRDJ[Account Code]=TRIM(K71)),CRDJ[Debit]))</f>
        <v>0</v>
      </c>
      <c r="O71" s="89">
        <f t="array" ref="O71">SUM(IF((CRDJ[JEV Number]=TRIM($T49))*(CRDJ[Account Code]=TRIM(K71)),CRDJ[Credit]))</f>
        <v>0</v>
      </c>
      <c r="P71" s="1040">
        <f t="shared" si="4"/>
        <v>0</v>
      </c>
      <c r="Q71" s="1040"/>
      <c r="R71" s="1040"/>
      <c r="S71" s="1040">
        <f t="shared" si="5"/>
        <v>0</v>
      </c>
      <c r="T71" s="1040"/>
      <c r="U71" s="1040"/>
      <c r="V71" s="1041"/>
    </row>
    <row r="72" spans="1:22" x14ac:dyDescent="0.25">
      <c r="A72" s="1038"/>
      <c r="B72" s="1039"/>
      <c r="C72" s="1039"/>
      <c r="D72" s="1039"/>
      <c r="E72" s="1045" t="str">
        <f t="shared" si="2"/>
        <v/>
      </c>
      <c r="F72" s="1046"/>
      <c r="G72" s="1046"/>
      <c r="H72" s="1046"/>
      <c r="I72" s="1046"/>
      <c r="J72" s="1047"/>
      <c r="K72" s="134"/>
      <c r="L72" s="62" t="str">
        <f t="shared" si="3"/>
        <v/>
      </c>
      <c r="M72" s="14"/>
      <c r="N72" s="89">
        <f t="array" ref="N72">SUM(IF((CRDJ[JEV Number]=TRIM($T49))*(CRDJ[Account Code]=TRIM(K72)),CRDJ[Debit]))</f>
        <v>0</v>
      </c>
      <c r="O72" s="89">
        <f t="array" ref="O72">SUM(IF((CRDJ[JEV Number]=TRIM($T49))*(CRDJ[Account Code]=TRIM(K72)),CRDJ[Credit]))</f>
        <v>0</v>
      </c>
      <c r="P72" s="1040">
        <f t="shared" si="4"/>
        <v>0</v>
      </c>
      <c r="Q72" s="1040"/>
      <c r="R72" s="1040"/>
      <c r="S72" s="1040">
        <f t="shared" si="5"/>
        <v>0</v>
      </c>
      <c r="T72" s="1040"/>
      <c r="U72" s="1040"/>
      <c r="V72" s="1041"/>
    </row>
    <row r="73" spans="1:22" x14ac:dyDescent="0.25">
      <c r="A73" s="1038"/>
      <c r="B73" s="1039"/>
      <c r="C73" s="1039"/>
      <c r="D73" s="1039"/>
      <c r="E73" s="1045" t="str">
        <f t="shared" si="2"/>
        <v/>
      </c>
      <c r="F73" s="1046"/>
      <c r="G73" s="1046"/>
      <c r="H73" s="1046"/>
      <c r="I73" s="1046"/>
      <c r="J73" s="1047"/>
      <c r="K73" s="134"/>
      <c r="L73" s="62" t="str">
        <f t="shared" si="3"/>
        <v/>
      </c>
      <c r="M73" s="14"/>
      <c r="N73" s="89">
        <f t="array" ref="N73">SUM(IF((CRDJ[JEV Number]=TRIM($T49))*(CRDJ[Account Code]=TRIM(K73)),CRDJ[Debit]))</f>
        <v>0</v>
      </c>
      <c r="O73" s="89">
        <f t="array" ref="O73">SUM(IF((CRDJ[JEV Number]=TRIM($T49))*(CRDJ[Account Code]=TRIM(K73)),CRDJ[Credit]))</f>
        <v>0</v>
      </c>
      <c r="P73" s="1040">
        <f t="shared" si="4"/>
        <v>0</v>
      </c>
      <c r="Q73" s="1040"/>
      <c r="R73" s="1040"/>
      <c r="S73" s="1040">
        <f t="shared" si="5"/>
        <v>0</v>
      </c>
      <c r="T73" s="1040"/>
      <c r="U73" s="1040"/>
      <c r="V73" s="1041"/>
    </row>
    <row r="74" spans="1:22" x14ac:dyDescent="0.25">
      <c r="A74" s="1038"/>
      <c r="B74" s="1039"/>
      <c r="C74" s="1039"/>
      <c r="D74" s="1039"/>
      <c r="E74" s="1045" t="str">
        <f t="shared" si="2"/>
        <v/>
      </c>
      <c r="F74" s="1046"/>
      <c r="G74" s="1046"/>
      <c r="H74" s="1046"/>
      <c r="I74" s="1046"/>
      <c r="J74" s="1047"/>
      <c r="K74" s="134"/>
      <c r="L74" s="62" t="str">
        <f t="shared" si="3"/>
        <v/>
      </c>
      <c r="M74" s="14"/>
      <c r="N74" s="89">
        <f t="array" ref="N74">SUM(IF((CRDJ[JEV Number]=TRIM($T49))*(CRDJ[Account Code]=TRIM(K74)),CRDJ[Debit]))</f>
        <v>0</v>
      </c>
      <c r="O74" s="89">
        <f t="array" ref="O74">SUM(IF((CRDJ[JEV Number]=TRIM($T49))*(CRDJ[Account Code]=TRIM(K74)),CRDJ[Credit]))</f>
        <v>0</v>
      </c>
      <c r="P74" s="1040">
        <f t="shared" si="4"/>
        <v>0</v>
      </c>
      <c r="Q74" s="1040"/>
      <c r="R74" s="1040"/>
      <c r="S74" s="1040">
        <f t="shared" si="5"/>
        <v>0</v>
      </c>
      <c r="T74" s="1040"/>
      <c r="U74" s="1040"/>
      <c r="V74" s="1041"/>
    </row>
    <row r="75" spans="1:22" x14ac:dyDescent="0.25">
      <c r="A75" s="1038"/>
      <c r="B75" s="1039"/>
      <c r="C75" s="1039"/>
      <c r="D75" s="1039"/>
      <c r="E75" s="1045" t="str">
        <f t="shared" si="2"/>
        <v/>
      </c>
      <c r="F75" s="1046"/>
      <c r="G75" s="1046"/>
      <c r="H75" s="1046"/>
      <c r="I75" s="1046"/>
      <c r="J75" s="1047"/>
      <c r="K75" s="134"/>
      <c r="L75" s="62" t="str">
        <f t="shared" si="3"/>
        <v/>
      </c>
      <c r="M75" s="14"/>
      <c r="N75" s="89">
        <f t="array" ref="N75">SUM(IF((CRDJ[JEV Number]=TRIM($T49))*(CRDJ[Account Code]=TRIM(K75)),CRDJ[Debit]))</f>
        <v>0</v>
      </c>
      <c r="O75" s="89">
        <f t="array" ref="O75">SUM(IF((CRDJ[JEV Number]=TRIM($T49))*(CRDJ[Account Code]=TRIM(K75)),CRDJ[Credit]))</f>
        <v>0</v>
      </c>
      <c r="P75" s="1040">
        <f t="shared" si="4"/>
        <v>0</v>
      </c>
      <c r="Q75" s="1040"/>
      <c r="R75" s="1040"/>
      <c r="S75" s="1040">
        <f t="shared" si="5"/>
        <v>0</v>
      </c>
      <c r="T75" s="1040"/>
      <c r="U75" s="1040"/>
      <c r="V75" s="1041"/>
    </row>
    <row r="76" spans="1:22" x14ac:dyDescent="0.25">
      <c r="A76" s="1038"/>
      <c r="B76" s="1039"/>
      <c r="C76" s="1039"/>
      <c r="D76" s="1039"/>
      <c r="E76" s="1045" t="str">
        <f t="shared" si="2"/>
        <v/>
      </c>
      <c r="F76" s="1046"/>
      <c r="G76" s="1046"/>
      <c r="H76" s="1046"/>
      <c r="I76" s="1046"/>
      <c r="J76" s="1047"/>
      <c r="K76" s="134"/>
      <c r="L76" s="62" t="str">
        <f t="shared" si="3"/>
        <v/>
      </c>
      <c r="M76" s="14"/>
      <c r="N76" s="89">
        <f t="array" ref="N76">SUM(IF((CRDJ[JEV Number]=TRIM($T49))*(CRDJ[Account Code]=TRIM(K76)),CRDJ[Debit]))</f>
        <v>0</v>
      </c>
      <c r="O76" s="89">
        <f t="array" ref="O76">SUM(IF((CRDJ[JEV Number]=TRIM($T49))*(CRDJ[Account Code]=TRIM(K76)),CRDJ[Credit]))</f>
        <v>0</v>
      </c>
      <c r="P76" s="1040">
        <f t="shared" si="4"/>
        <v>0</v>
      </c>
      <c r="Q76" s="1040"/>
      <c r="R76" s="1040"/>
      <c r="S76" s="1040">
        <f t="shared" si="5"/>
        <v>0</v>
      </c>
      <c r="T76" s="1040"/>
      <c r="U76" s="1040"/>
      <c r="V76" s="1041"/>
    </row>
    <row r="77" spans="1:22" x14ac:dyDescent="0.25">
      <c r="A77" s="1038"/>
      <c r="B77" s="1039"/>
      <c r="C77" s="1039"/>
      <c r="D77" s="1039"/>
      <c r="E77" s="1045" t="str">
        <f t="shared" si="2"/>
        <v/>
      </c>
      <c r="F77" s="1046"/>
      <c r="G77" s="1046"/>
      <c r="H77" s="1046"/>
      <c r="I77" s="1046"/>
      <c r="J77" s="1047"/>
      <c r="K77" s="134"/>
      <c r="L77" s="62" t="str">
        <f t="shared" si="3"/>
        <v/>
      </c>
      <c r="M77" s="14"/>
      <c r="N77" s="89">
        <f t="array" ref="N77">SUM(IF((CRDJ[JEV Number]=TRIM($T49))*(CRDJ[Account Code]=TRIM(K77)),CRDJ[Debit]))</f>
        <v>0</v>
      </c>
      <c r="O77" s="89">
        <f t="array" ref="O77">SUM(IF((CRDJ[JEV Number]=TRIM($T49))*(CRDJ[Account Code]=TRIM(K77)),CRDJ[Credit]))</f>
        <v>0</v>
      </c>
      <c r="P77" s="1040">
        <f t="shared" si="4"/>
        <v>0</v>
      </c>
      <c r="Q77" s="1040"/>
      <c r="R77" s="1040"/>
      <c r="S77" s="1040">
        <f t="shared" si="5"/>
        <v>0</v>
      </c>
      <c r="T77" s="1040"/>
      <c r="U77" s="1040"/>
      <c r="V77" s="1041"/>
    </row>
    <row r="78" spans="1:22" x14ac:dyDescent="0.25">
      <c r="A78" s="1038"/>
      <c r="B78" s="1039"/>
      <c r="C78" s="1039"/>
      <c r="D78" s="1039"/>
      <c r="E78" s="1045" t="str">
        <f t="shared" si="2"/>
        <v/>
      </c>
      <c r="F78" s="1046"/>
      <c r="G78" s="1046"/>
      <c r="H78" s="1046"/>
      <c r="I78" s="1046"/>
      <c r="J78" s="1047"/>
      <c r="K78" s="134"/>
      <c r="L78" s="62" t="str">
        <f t="shared" si="3"/>
        <v/>
      </c>
      <c r="M78" s="14"/>
      <c r="N78" s="89">
        <f t="array" ref="N78">SUM(IF((CRDJ[JEV Number]=TRIM($T49))*(CRDJ[Account Code]=TRIM(K78)),CRDJ[Debit]))</f>
        <v>0</v>
      </c>
      <c r="O78" s="89">
        <f t="array" ref="O78">SUM(IF((CRDJ[JEV Number]=TRIM($T49))*(CRDJ[Account Code]=TRIM(K78)),CRDJ[Credit]))</f>
        <v>0</v>
      </c>
      <c r="P78" s="1040">
        <f t="shared" si="4"/>
        <v>0</v>
      </c>
      <c r="Q78" s="1040"/>
      <c r="R78" s="1040"/>
      <c r="S78" s="1040">
        <f t="shared" si="5"/>
        <v>0</v>
      </c>
      <c r="T78" s="1040"/>
      <c r="U78" s="1040"/>
      <c r="V78" s="1041"/>
    </row>
    <row r="79" spans="1:22" x14ac:dyDescent="0.25">
      <c r="A79" s="1038"/>
      <c r="B79" s="1039"/>
      <c r="C79" s="1039"/>
      <c r="D79" s="1039"/>
      <c r="E79" s="1045" t="str">
        <f t="shared" si="2"/>
        <v/>
      </c>
      <c r="F79" s="1046"/>
      <c r="G79" s="1046"/>
      <c r="H79" s="1046"/>
      <c r="I79" s="1046"/>
      <c r="J79" s="1047"/>
      <c r="K79" s="134"/>
      <c r="L79" s="62" t="str">
        <f t="shared" si="3"/>
        <v/>
      </c>
      <c r="M79" s="14"/>
      <c r="N79" s="89">
        <f t="array" ref="N79">SUM(IF((CRDJ[JEV Number]=TRIM($T49))*(CRDJ[Account Code]=TRIM(K79)),CRDJ[Debit]))</f>
        <v>0</v>
      </c>
      <c r="O79" s="89">
        <f t="array" ref="O79">SUM(IF((CRDJ[JEV Number]=TRIM($T49))*(CRDJ[Account Code]=TRIM(K79)),CRDJ[Credit]))</f>
        <v>0</v>
      </c>
      <c r="P79" s="1040">
        <f t="shared" si="4"/>
        <v>0</v>
      </c>
      <c r="Q79" s="1040"/>
      <c r="R79" s="1040"/>
      <c r="S79" s="1040">
        <f t="shared" si="5"/>
        <v>0</v>
      </c>
      <c r="T79" s="1040"/>
      <c r="U79" s="1040"/>
      <c r="V79" s="1041"/>
    </row>
    <row r="80" spans="1:22" x14ac:dyDescent="0.25">
      <c r="A80" s="1038"/>
      <c r="B80" s="1039"/>
      <c r="C80" s="1039"/>
      <c r="D80" s="1039"/>
      <c r="E80" s="1045" t="str">
        <f t="shared" si="2"/>
        <v/>
      </c>
      <c r="F80" s="1046"/>
      <c r="G80" s="1046"/>
      <c r="H80" s="1046"/>
      <c r="I80" s="1046"/>
      <c r="J80" s="1047"/>
      <c r="K80" s="134"/>
      <c r="L80" s="62" t="str">
        <f t="shared" si="3"/>
        <v/>
      </c>
      <c r="M80" s="14"/>
      <c r="N80" s="89">
        <f t="array" ref="N80">SUM(IF((CRDJ[JEV Number]=TRIM($T49))*(CRDJ[Account Code]=TRIM(K80)),CRDJ[Debit]))</f>
        <v>0</v>
      </c>
      <c r="O80" s="89">
        <f t="array" ref="O80">SUM(IF((CRDJ[JEV Number]=TRIM($T49))*(CRDJ[Account Code]=TRIM(K80)),CRDJ[Credit]))</f>
        <v>0</v>
      </c>
      <c r="P80" s="1040">
        <f t="shared" si="4"/>
        <v>0</v>
      </c>
      <c r="Q80" s="1040"/>
      <c r="R80" s="1040"/>
      <c r="S80" s="1040">
        <f t="shared" si="5"/>
        <v>0</v>
      </c>
      <c r="T80" s="1040"/>
      <c r="U80" s="1040"/>
      <c r="V80" s="1041"/>
    </row>
    <row r="81" spans="1:22" x14ac:dyDescent="0.25">
      <c r="A81" s="1038"/>
      <c r="B81" s="1039"/>
      <c r="C81" s="1039"/>
      <c r="D81" s="1039"/>
      <c r="E81" s="1045" t="str">
        <f t="shared" si="2"/>
        <v/>
      </c>
      <c r="F81" s="1046"/>
      <c r="G81" s="1046"/>
      <c r="H81" s="1046"/>
      <c r="I81" s="1046"/>
      <c r="J81" s="1047"/>
      <c r="K81" s="134"/>
      <c r="L81" s="62" t="str">
        <f t="shared" si="3"/>
        <v/>
      </c>
      <c r="M81" s="14"/>
      <c r="N81" s="89">
        <f t="array" ref="N81">SUM(IF((CRDJ[JEV Number]=TRIM($T49))*(CRDJ[Account Code]=TRIM(K81)),CRDJ[Debit]))</f>
        <v>0</v>
      </c>
      <c r="O81" s="89">
        <f t="array" ref="O81">SUM(IF((CRDJ[JEV Number]=TRIM($T49))*(CRDJ[Account Code]=TRIM(K81)),CRDJ[Credit]))</f>
        <v>0</v>
      </c>
      <c r="P81" s="1040">
        <f t="shared" si="4"/>
        <v>0</v>
      </c>
      <c r="Q81" s="1040"/>
      <c r="R81" s="1040"/>
      <c r="S81" s="1040">
        <f t="shared" si="5"/>
        <v>0</v>
      </c>
      <c r="T81" s="1040"/>
      <c r="U81" s="1040"/>
      <c r="V81" s="1041"/>
    </row>
    <row r="82" spans="1:22" x14ac:dyDescent="0.25">
      <c r="A82" s="1038"/>
      <c r="B82" s="1039"/>
      <c r="C82" s="1039"/>
      <c r="D82" s="1039"/>
      <c r="E82" s="1045" t="str">
        <f t="shared" si="2"/>
        <v/>
      </c>
      <c r="F82" s="1046"/>
      <c r="G82" s="1046"/>
      <c r="H82" s="1046"/>
      <c r="I82" s="1046"/>
      <c r="J82" s="1047"/>
      <c r="K82" s="134"/>
      <c r="L82" s="62" t="str">
        <f t="shared" si="3"/>
        <v/>
      </c>
      <c r="M82" s="14"/>
      <c r="N82" s="89">
        <f t="array" ref="N82">SUM(IF((CRDJ[JEV Number]=TRIM($T49))*(CRDJ[Account Code]=TRIM(K82)),CRDJ[Debit]))</f>
        <v>0</v>
      </c>
      <c r="O82" s="89">
        <f t="array" ref="O82">SUM(IF((CRDJ[JEV Number]=TRIM($T49))*(CRDJ[Account Code]=TRIM(K82)),CRDJ[Credit]))</f>
        <v>0</v>
      </c>
      <c r="P82" s="1040">
        <f t="shared" si="4"/>
        <v>0</v>
      </c>
      <c r="Q82" s="1040"/>
      <c r="R82" s="1040"/>
      <c r="S82" s="1040">
        <f t="shared" si="5"/>
        <v>0</v>
      </c>
      <c r="T82" s="1040"/>
      <c r="U82" s="1040"/>
      <c r="V82" s="1041"/>
    </row>
    <row r="83" spans="1:22" x14ac:dyDescent="0.25">
      <c r="A83" s="1038"/>
      <c r="B83" s="1039"/>
      <c r="C83" s="1039"/>
      <c r="D83" s="1039"/>
      <c r="E83" s="1048" t="s">
        <v>501</v>
      </c>
      <c r="F83" s="1049"/>
      <c r="G83" s="1049"/>
      <c r="H83" s="1049"/>
      <c r="I83" s="1049"/>
      <c r="J83" s="1050"/>
      <c r="K83" s="133"/>
      <c r="L83" s="62" t="str">
        <f t="shared" si="3"/>
        <v/>
      </c>
      <c r="M83" s="14"/>
      <c r="N83" s="89">
        <f t="array" ref="N83">SUM(IF((CRDJ[JEV Number]=TRIM($T49))*(CRDJ[Account Code]=TRIM(K83)),CRDJ[Debit]))</f>
        <v>0</v>
      </c>
      <c r="O83" s="89">
        <f t="array" ref="O83">SUM(IF((CRDJ[JEV Number]=TRIM($T49))*(CRDJ[Account Code]=TRIM(K83)),CRDJ[Credit]))</f>
        <v>0</v>
      </c>
      <c r="P83" s="1040">
        <f t="shared" si="4"/>
        <v>0</v>
      </c>
      <c r="Q83" s="1040"/>
      <c r="R83" s="1040"/>
      <c r="S83" s="1040">
        <f t="shared" si="5"/>
        <v>0</v>
      </c>
      <c r="T83" s="1040"/>
      <c r="U83" s="1040"/>
      <c r="V83" s="1041"/>
    </row>
    <row r="84" spans="1:22" x14ac:dyDescent="0.25">
      <c r="A84" s="1038"/>
      <c r="B84" s="1039"/>
      <c r="C84" s="1039"/>
      <c r="D84" s="1039"/>
      <c r="E84" s="1048" t="s">
        <v>457</v>
      </c>
      <c r="F84" s="1049"/>
      <c r="G84" s="1049"/>
      <c r="H84" s="1049"/>
      <c r="I84" s="1051">
        <f>T50</f>
        <v>0</v>
      </c>
      <c r="J84" s="1052"/>
      <c r="K84" s="133"/>
      <c r="L84" s="62" t="str">
        <f t="shared" si="3"/>
        <v/>
      </c>
      <c r="M84" s="14"/>
      <c r="N84" s="89">
        <f t="array" ref="N84">SUM(IF((CRDJ[JEV Number]=TRIM($T49))*(CRDJ[Account Code]=TRIM(K84)),CRDJ[Debit]))</f>
        <v>0</v>
      </c>
      <c r="O84" s="89">
        <f t="array" ref="O84">SUM(IF((CRDJ[JEV Number]=TRIM($T49))*(CRDJ[Account Code]=TRIM(K84)),CRDJ[Credit]))</f>
        <v>0</v>
      </c>
      <c r="P84" s="1040">
        <f t="shared" si="4"/>
        <v>0</v>
      </c>
      <c r="Q84" s="1040"/>
      <c r="R84" s="1040"/>
      <c r="S84" s="1040">
        <f t="shared" si="5"/>
        <v>0</v>
      </c>
      <c r="T84" s="1040"/>
      <c r="U84" s="1040"/>
      <c r="V84" s="1041"/>
    </row>
    <row r="85" spans="1:22" x14ac:dyDescent="0.25">
      <c r="A85" s="1038"/>
      <c r="B85" s="1039"/>
      <c r="C85" s="1039"/>
      <c r="D85" s="1039"/>
      <c r="E85" s="1042" t="s">
        <v>720</v>
      </c>
      <c r="F85" s="1043"/>
      <c r="G85" s="1043"/>
      <c r="H85" s="1043"/>
      <c r="I85" s="1043">
        <f>IF(T49=0,0,(LOOKUP(T49,CRDJ[JEV Number],CRDJ[Collecting Officer/Office])))</f>
        <v>0</v>
      </c>
      <c r="J85" s="1044"/>
      <c r="K85" s="133"/>
      <c r="L85" s="62" t="str">
        <f t="shared" si="3"/>
        <v/>
      </c>
      <c r="M85" s="14"/>
      <c r="N85" s="89">
        <f t="array" ref="N85">SUM(IF((CRDJ[JEV Number]=TRIM($T49))*(CRDJ[Account Code]=TRIM(K85)),CRDJ[Debit]))</f>
        <v>0</v>
      </c>
      <c r="O85" s="89">
        <f t="array" ref="O85">SUM(IF((CRDJ[JEV Number]=TRIM($T49))*(CRDJ[Account Code]=TRIM(K85)),CRDJ[Credit]))</f>
        <v>0</v>
      </c>
      <c r="P85" s="1040">
        <f t="shared" si="4"/>
        <v>0</v>
      </c>
      <c r="Q85" s="1040"/>
      <c r="R85" s="1040"/>
      <c r="S85" s="1040">
        <f t="shared" si="5"/>
        <v>0</v>
      </c>
      <c r="T85" s="1040"/>
      <c r="U85" s="1040"/>
      <c r="V85" s="1041"/>
    </row>
    <row r="86" spans="1:22" x14ac:dyDescent="0.25">
      <c r="A86" s="1038"/>
      <c r="B86" s="1039"/>
      <c r="C86" s="1039"/>
      <c r="D86" s="1039"/>
      <c r="E86" s="1048"/>
      <c r="F86" s="1049"/>
      <c r="G86" s="1049"/>
      <c r="H86" s="1049"/>
      <c r="I86" s="1043"/>
      <c r="J86" s="1044"/>
      <c r="K86" s="133"/>
      <c r="L86" s="62" t="str">
        <f t="shared" si="3"/>
        <v/>
      </c>
      <c r="M86" s="14"/>
      <c r="N86" s="89">
        <f t="array" ref="N86">SUM(IF((CRDJ[JEV Number]=TRIM($T49))*(CRDJ[Account Code]=TRIM(K86)),CRDJ[Debit]))</f>
        <v>0</v>
      </c>
      <c r="O86" s="89">
        <f t="array" ref="O86">SUM(IF((CRDJ[JEV Number]=TRIM($T49))*(CRDJ[Account Code]=TRIM(K86)),CRDJ[Credit]))</f>
        <v>0</v>
      </c>
      <c r="P86" s="1040">
        <f t="shared" si="4"/>
        <v>0</v>
      </c>
      <c r="Q86" s="1040"/>
      <c r="R86" s="1040"/>
      <c r="S86" s="1040">
        <f t="shared" si="5"/>
        <v>0</v>
      </c>
      <c r="T86" s="1040"/>
      <c r="U86" s="1040"/>
      <c r="V86" s="1041"/>
    </row>
    <row r="87" spans="1:22" x14ac:dyDescent="0.25">
      <c r="A87" s="1038"/>
      <c r="B87" s="1039"/>
      <c r="C87" s="1039"/>
      <c r="D87" s="1039"/>
      <c r="E87" s="1045" t="str">
        <f>IF(K87=0,"",(VLOOKUP((TRIM(K87)),Code,2,)))</f>
        <v/>
      </c>
      <c r="F87" s="1046"/>
      <c r="G87" s="1046"/>
      <c r="H87" s="1046"/>
      <c r="I87" s="1046"/>
      <c r="J87" s="1047"/>
      <c r="K87" s="133"/>
      <c r="L87" s="62" t="str">
        <f t="shared" si="3"/>
        <v/>
      </c>
      <c r="M87" s="14"/>
      <c r="N87" s="89">
        <f t="array" ref="N87">SUM(IF((CRDJ[JEV Number]=TRIM($T49))*(CRDJ[Account Code]=TRIM(K87)),CRDJ[Debit]))</f>
        <v>0</v>
      </c>
      <c r="O87" s="89">
        <f t="array" ref="O87">SUM(IF((CRDJ[JEV Number]=TRIM($T49))*(CRDJ[Account Code]=TRIM(K87)),CRDJ[Credit]))</f>
        <v>0</v>
      </c>
      <c r="P87" s="1040">
        <f t="shared" si="4"/>
        <v>0</v>
      </c>
      <c r="Q87" s="1040"/>
      <c r="R87" s="1040"/>
      <c r="S87" s="1040">
        <f t="shared" si="5"/>
        <v>0</v>
      </c>
      <c r="T87" s="1040"/>
      <c r="U87" s="1040"/>
      <c r="V87" s="1041"/>
    </row>
    <row r="88" spans="1:22" ht="16.5" thickBot="1" x14ac:dyDescent="0.3">
      <c r="A88" s="1091"/>
      <c r="B88" s="1092"/>
      <c r="C88" s="1092"/>
      <c r="D88" s="1092"/>
      <c r="E88" s="1092"/>
      <c r="F88" s="1092"/>
      <c r="G88" s="1092"/>
      <c r="H88" s="1092"/>
      <c r="I88" s="1092"/>
      <c r="J88" s="1092"/>
      <c r="K88" s="1092"/>
      <c r="L88" s="1092"/>
      <c r="M88" s="1093"/>
      <c r="N88" s="88"/>
      <c r="O88" s="88"/>
      <c r="P88" s="1094">
        <f>SUM(P58:R87)</f>
        <v>0</v>
      </c>
      <c r="Q88" s="1094"/>
      <c r="R88" s="1094"/>
      <c r="S88" s="1094">
        <f>SUM(S58:V87)</f>
        <v>0</v>
      </c>
      <c r="T88" s="1094"/>
      <c r="U88" s="1094"/>
      <c r="V88" s="1095"/>
    </row>
    <row r="89" spans="1:22" x14ac:dyDescent="0.25">
      <c r="A89" s="63"/>
      <c r="B89" s="64"/>
      <c r="C89" s="64"/>
      <c r="D89" s="64"/>
      <c r="E89" s="64"/>
      <c r="F89" s="64"/>
      <c r="G89" s="64"/>
      <c r="H89" s="64"/>
      <c r="I89" s="65"/>
      <c r="J89" s="64"/>
      <c r="K89" s="66"/>
      <c r="L89" s="64"/>
      <c r="M89" s="65"/>
      <c r="N89" s="64"/>
      <c r="O89" s="64"/>
      <c r="P89" s="1090"/>
      <c r="Q89" s="1090"/>
      <c r="R89" s="1090"/>
      <c r="S89" s="1090"/>
      <c r="T89" s="1090"/>
      <c r="U89" s="1090"/>
      <c r="V89" s="1096"/>
    </row>
    <row r="90" spans="1:22" x14ac:dyDescent="0.25">
      <c r="A90" s="67" t="s">
        <v>460</v>
      </c>
      <c r="B90"/>
      <c r="C90"/>
      <c r="D90"/>
      <c r="E90"/>
      <c r="F90"/>
      <c r="G90"/>
      <c r="H90"/>
      <c r="I90" s="68" t="s">
        <v>353</v>
      </c>
      <c r="J90" s="69"/>
      <c r="K90" s="69"/>
      <c r="L90"/>
      <c r="M90" s="68" t="s">
        <v>461</v>
      </c>
      <c r="N90" s="69"/>
      <c r="O90" s="69"/>
      <c r="P90" s="70"/>
      <c r="Q90" s="70"/>
      <c r="R90" s="70"/>
      <c r="S90" s="70"/>
      <c r="T90" s="70"/>
      <c r="U90" s="70"/>
      <c r="V90" s="71"/>
    </row>
    <row r="91" spans="1:22" x14ac:dyDescent="0.25">
      <c r="A91" s="37"/>
      <c r="B91"/>
      <c r="C91"/>
      <c r="D91"/>
      <c r="E91"/>
      <c r="F91"/>
      <c r="G91"/>
      <c r="H91"/>
      <c r="I91" s="72"/>
      <c r="J91"/>
      <c r="K91"/>
      <c r="L91"/>
      <c r="M91" s="72"/>
      <c r="N91"/>
      <c r="O91"/>
      <c r="P91"/>
      <c r="Q91"/>
      <c r="R91"/>
      <c r="S91"/>
      <c r="T91"/>
      <c r="U91"/>
      <c r="V91" s="73"/>
    </row>
    <row r="92" spans="1:22" x14ac:dyDescent="0.25">
      <c r="A92" s="74" t="s">
        <v>462</v>
      </c>
      <c r="B92" s="75"/>
      <c r="C92" s="75"/>
      <c r="D92" s="75"/>
      <c r="E92" s="75"/>
      <c r="F92" s="75"/>
      <c r="G92" s="75"/>
      <c r="H92" s="76"/>
      <c r="I92" s="77" t="s">
        <v>380</v>
      </c>
      <c r="J92" s="75"/>
      <c r="K92" s="75"/>
      <c r="L92" s="76"/>
      <c r="M92" s="77" t="s">
        <v>3</v>
      </c>
      <c r="N92" s="75"/>
      <c r="O92" s="75"/>
      <c r="P92" s="75"/>
      <c r="Q92" s="75"/>
      <c r="R92" s="75"/>
      <c r="S92" s="75"/>
      <c r="T92" s="75"/>
      <c r="U92" s="75"/>
      <c r="V92" s="78"/>
    </row>
    <row r="93" spans="1:22" x14ac:dyDescent="0.25">
      <c r="A93" s="79" t="s">
        <v>463</v>
      </c>
      <c r="B93" s="80"/>
      <c r="C93" s="80"/>
      <c r="D93" s="80"/>
      <c r="E93" s="80"/>
      <c r="F93" s="80"/>
      <c r="G93" s="80"/>
      <c r="H93" s="80"/>
      <c r="I93" s="81" t="s">
        <v>381</v>
      </c>
      <c r="J93" s="80"/>
      <c r="K93" s="80"/>
      <c r="L93" s="80"/>
      <c r="M93" s="81" t="s">
        <v>464</v>
      </c>
      <c r="N93" s="80"/>
      <c r="O93" s="80"/>
      <c r="P93" s="82"/>
      <c r="Q93" s="82"/>
      <c r="R93" s="82"/>
      <c r="S93" s="82"/>
      <c r="T93" s="82"/>
      <c r="U93" s="82"/>
      <c r="V93" s="83"/>
    </row>
    <row r="94" spans="1:22" ht="16.5" thickBot="1" x14ac:dyDescent="0.3">
      <c r="A94" s="84" t="s">
        <v>465</v>
      </c>
      <c r="B94" s="43"/>
      <c r="C94" s="43"/>
      <c r="D94" s="43"/>
      <c r="E94" s="43"/>
      <c r="F94" s="43"/>
      <c r="G94" s="43"/>
      <c r="H94" s="43"/>
      <c r="I94" s="85"/>
      <c r="J94" s="43"/>
      <c r="K94" s="43"/>
      <c r="L94" s="43"/>
      <c r="M94" s="85"/>
      <c r="N94" s="43"/>
      <c r="O94" s="43"/>
      <c r="P94" s="43"/>
      <c r="Q94" s="43"/>
      <c r="R94" s="43"/>
      <c r="S94" s="43"/>
      <c r="T94" s="43"/>
      <c r="U94" s="43"/>
      <c r="V94" s="44"/>
    </row>
  </sheetData>
  <mergeCells count="282">
    <mergeCell ref="A88:M88"/>
    <mergeCell ref="P88:R88"/>
    <mergeCell ref="S88:V88"/>
    <mergeCell ref="P89:R89"/>
    <mergeCell ref="S89:V89"/>
    <mergeCell ref="A87:D87"/>
    <mergeCell ref="E87:J87"/>
    <mergeCell ref="P87:R87"/>
    <mergeCell ref="S87:V87"/>
    <mergeCell ref="A86:D86"/>
    <mergeCell ref="E86:H86"/>
    <mergeCell ref="I86:J86"/>
    <mergeCell ref="P86:R86"/>
    <mergeCell ref="S86:V86"/>
    <mergeCell ref="A82:D82"/>
    <mergeCell ref="E82:J82"/>
    <mergeCell ref="P82:R82"/>
    <mergeCell ref="S82:V82"/>
    <mergeCell ref="A83:D83"/>
    <mergeCell ref="E83:J83"/>
    <mergeCell ref="P83:R83"/>
    <mergeCell ref="S83:V83"/>
    <mergeCell ref="A84:D84"/>
    <mergeCell ref="E84:H84"/>
    <mergeCell ref="I84:J84"/>
    <mergeCell ref="P84:R84"/>
    <mergeCell ref="S84:V84"/>
    <mergeCell ref="A85:D85"/>
    <mergeCell ref="E85:H85"/>
    <mergeCell ref="I85:J85"/>
    <mergeCell ref="P85:R85"/>
    <mergeCell ref="S85:V85"/>
    <mergeCell ref="A81:D81"/>
    <mergeCell ref="E81:J81"/>
    <mergeCell ref="P81:R81"/>
    <mergeCell ref="S81:V81"/>
    <mergeCell ref="A77:D77"/>
    <mergeCell ref="E77:J77"/>
    <mergeCell ref="P77:R77"/>
    <mergeCell ref="S77:V77"/>
    <mergeCell ref="A78:D78"/>
    <mergeCell ref="E78:J78"/>
    <mergeCell ref="P78:R78"/>
    <mergeCell ref="S78:V78"/>
    <mergeCell ref="A79:D79"/>
    <mergeCell ref="E79:J79"/>
    <mergeCell ref="P79:R79"/>
    <mergeCell ref="S79:V79"/>
    <mergeCell ref="A80:D80"/>
    <mergeCell ref="E80:J80"/>
    <mergeCell ref="P80:R80"/>
    <mergeCell ref="S80:V80"/>
    <mergeCell ref="A70:D70"/>
    <mergeCell ref="E70:J70"/>
    <mergeCell ref="P70:R70"/>
    <mergeCell ref="S70:V70"/>
    <mergeCell ref="A76:D76"/>
    <mergeCell ref="E76:J76"/>
    <mergeCell ref="P76:R76"/>
    <mergeCell ref="S76:V76"/>
    <mergeCell ref="A72:D72"/>
    <mergeCell ref="E72:J72"/>
    <mergeCell ref="P72:R72"/>
    <mergeCell ref="S72:V72"/>
    <mergeCell ref="A73:D73"/>
    <mergeCell ref="E73:J73"/>
    <mergeCell ref="P73:R73"/>
    <mergeCell ref="S73:V73"/>
    <mergeCell ref="A74:D74"/>
    <mergeCell ref="E74:J74"/>
    <mergeCell ref="P74:R74"/>
    <mergeCell ref="S74:V74"/>
    <mergeCell ref="A75:D75"/>
    <mergeCell ref="E75:J75"/>
    <mergeCell ref="P75:R75"/>
    <mergeCell ref="S75:V75"/>
    <mergeCell ref="A71:D71"/>
    <mergeCell ref="E71:J71"/>
    <mergeCell ref="P71:R71"/>
    <mergeCell ref="S71:V71"/>
    <mergeCell ref="A65:D65"/>
    <mergeCell ref="E65:J65"/>
    <mergeCell ref="P65:R65"/>
    <mergeCell ref="S65:V65"/>
    <mergeCell ref="A66:D66"/>
    <mergeCell ref="E66:J66"/>
    <mergeCell ref="P66:R66"/>
    <mergeCell ref="S66:V66"/>
    <mergeCell ref="A67:D67"/>
    <mergeCell ref="E67:J67"/>
    <mergeCell ref="P67:R67"/>
    <mergeCell ref="S67:V67"/>
    <mergeCell ref="A68:D68"/>
    <mergeCell ref="E68:J68"/>
    <mergeCell ref="P68:R68"/>
    <mergeCell ref="S68:V68"/>
    <mergeCell ref="A69:D69"/>
    <mergeCell ref="E69:J69"/>
    <mergeCell ref="P69:R69"/>
    <mergeCell ref="S69:V69"/>
    <mergeCell ref="A58:D58"/>
    <mergeCell ref="E58:J58"/>
    <mergeCell ref="P58:R58"/>
    <mergeCell ref="S58:V58"/>
    <mergeCell ref="A59:D59"/>
    <mergeCell ref="A62:D62"/>
    <mergeCell ref="E62:J62"/>
    <mergeCell ref="P62:R62"/>
    <mergeCell ref="S62:V62"/>
    <mergeCell ref="E59:J59"/>
    <mergeCell ref="P59:R59"/>
    <mergeCell ref="S59:V59"/>
    <mergeCell ref="A64:D64"/>
    <mergeCell ref="E64:J64"/>
    <mergeCell ref="P64:R64"/>
    <mergeCell ref="S64:V64"/>
    <mergeCell ref="A60:D60"/>
    <mergeCell ref="E60:J60"/>
    <mergeCell ref="P60:R60"/>
    <mergeCell ref="S60:V60"/>
    <mergeCell ref="A61:D61"/>
    <mergeCell ref="E61:J61"/>
    <mergeCell ref="P61:R61"/>
    <mergeCell ref="S61:V61"/>
    <mergeCell ref="A63:D63"/>
    <mergeCell ref="E63:J63"/>
    <mergeCell ref="P63:R63"/>
    <mergeCell ref="S63:V63"/>
    <mergeCell ref="E39:H39"/>
    <mergeCell ref="I39:J39"/>
    <mergeCell ref="R48:V48"/>
    <mergeCell ref="T49:V49"/>
    <mergeCell ref="T50:V50"/>
    <mergeCell ref="B53:C53"/>
    <mergeCell ref="Q53:R53"/>
    <mergeCell ref="A55:D57"/>
    <mergeCell ref="E55:V55"/>
    <mergeCell ref="E56:J57"/>
    <mergeCell ref="K56:L56"/>
    <mergeCell ref="M56:M57"/>
    <mergeCell ref="N56:V56"/>
    <mergeCell ref="P57:R57"/>
    <mergeCell ref="S57:V57"/>
    <mergeCell ref="P42:R42"/>
    <mergeCell ref="A40:D40"/>
    <mergeCell ref="E40:J40"/>
    <mergeCell ref="P40:R40"/>
    <mergeCell ref="S40:V40"/>
    <mergeCell ref="A41:M41"/>
    <mergeCell ref="P41:R41"/>
    <mergeCell ref="S41:V41"/>
    <mergeCell ref="S42:V42"/>
    <mergeCell ref="E12:J12"/>
    <mergeCell ref="P12:R12"/>
    <mergeCell ref="S12:V12"/>
    <mergeCell ref="A13:D13"/>
    <mergeCell ref="E13:J13"/>
    <mergeCell ref="P13:R13"/>
    <mergeCell ref="S13:V13"/>
    <mergeCell ref="A14:D14"/>
    <mergeCell ref="E14:J14"/>
    <mergeCell ref="P14:R14"/>
    <mergeCell ref="S14:V14"/>
    <mergeCell ref="A18:D18"/>
    <mergeCell ref="E18:J18"/>
    <mergeCell ref="P18:R18"/>
    <mergeCell ref="A39:D39"/>
    <mergeCell ref="P39:R39"/>
    <mergeCell ref="S39:V39"/>
    <mergeCell ref="R1:V1"/>
    <mergeCell ref="T2:V2"/>
    <mergeCell ref="T3:V3"/>
    <mergeCell ref="B6:C6"/>
    <mergeCell ref="Q6:R6"/>
    <mergeCell ref="A8:D10"/>
    <mergeCell ref="E8:V8"/>
    <mergeCell ref="E9:J10"/>
    <mergeCell ref="K9:L9"/>
    <mergeCell ref="M9:M10"/>
    <mergeCell ref="N9:V9"/>
    <mergeCell ref="P10:R10"/>
    <mergeCell ref="S10:V10"/>
    <mergeCell ref="A11:D11"/>
    <mergeCell ref="E11:J11"/>
    <mergeCell ref="P11:R11"/>
    <mergeCell ref="S11:V11"/>
    <mergeCell ref="A12:D12"/>
    <mergeCell ref="A25:D25"/>
    <mergeCell ref="E25:J25"/>
    <mergeCell ref="P25:R25"/>
    <mergeCell ref="S25:V25"/>
    <mergeCell ref="A26:D26"/>
    <mergeCell ref="E26:J26"/>
    <mergeCell ref="P26:R26"/>
    <mergeCell ref="S26:V26"/>
    <mergeCell ref="A15:D15"/>
    <mergeCell ref="E15:J15"/>
    <mergeCell ref="P15:R15"/>
    <mergeCell ref="S15:V15"/>
    <mergeCell ref="A21:D21"/>
    <mergeCell ref="E21:J21"/>
    <mergeCell ref="P21:R21"/>
    <mergeCell ref="S21:V21"/>
    <mergeCell ref="A16:D16"/>
    <mergeCell ref="E16:J16"/>
    <mergeCell ref="P16:R16"/>
    <mergeCell ref="S16:V16"/>
    <mergeCell ref="A17:D17"/>
    <mergeCell ref="E17:J17"/>
    <mergeCell ref="P17:R17"/>
    <mergeCell ref="S17:V17"/>
    <mergeCell ref="A22:D22"/>
    <mergeCell ref="E22:J22"/>
    <mergeCell ref="P22:R22"/>
    <mergeCell ref="S22:V22"/>
    <mergeCell ref="A23:D23"/>
    <mergeCell ref="E23:J23"/>
    <mergeCell ref="P23:R23"/>
    <mergeCell ref="S23:V23"/>
    <mergeCell ref="A24:D24"/>
    <mergeCell ref="E24:J24"/>
    <mergeCell ref="P24:R24"/>
    <mergeCell ref="S24:V24"/>
    <mergeCell ref="E37:H37"/>
    <mergeCell ref="I37:J37"/>
    <mergeCell ref="S37:V37"/>
    <mergeCell ref="A30:D30"/>
    <mergeCell ref="E30:J30"/>
    <mergeCell ref="P30:R30"/>
    <mergeCell ref="S30:V30"/>
    <mergeCell ref="A31:D31"/>
    <mergeCell ref="E31:J31"/>
    <mergeCell ref="P31:R31"/>
    <mergeCell ref="S31:V31"/>
    <mergeCell ref="A32:D32"/>
    <mergeCell ref="E32:J32"/>
    <mergeCell ref="P32:R32"/>
    <mergeCell ref="S32:V32"/>
    <mergeCell ref="A33:D33"/>
    <mergeCell ref="E33:J33"/>
    <mergeCell ref="P33:R33"/>
    <mergeCell ref="S33:V33"/>
    <mergeCell ref="A35:D35"/>
    <mergeCell ref="E35:J35"/>
    <mergeCell ref="P35:R35"/>
    <mergeCell ref="S35:V35"/>
    <mergeCell ref="A27:D27"/>
    <mergeCell ref="E27:J27"/>
    <mergeCell ref="P27:R27"/>
    <mergeCell ref="S27:V27"/>
    <mergeCell ref="A28:D28"/>
    <mergeCell ref="E28:J28"/>
    <mergeCell ref="P28:R28"/>
    <mergeCell ref="S28:V28"/>
    <mergeCell ref="A29:D29"/>
    <mergeCell ref="E29:J29"/>
    <mergeCell ref="P29:R29"/>
    <mergeCell ref="S29:V29"/>
    <mergeCell ref="A38:D38"/>
    <mergeCell ref="P38:R38"/>
    <mergeCell ref="S38:V38"/>
    <mergeCell ref="E38:H38"/>
    <mergeCell ref="I38:J38"/>
    <mergeCell ref="S18:V18"/>
    <mergeCell ref="A19:D19"/>
    <mergeCell ref="E19:J19"/>
    <mergeCell ref="P19:R19"/>
    <mergeCell ref="S19:V19"/>
    <mergeCell ref="A20:D20"/>
    <mergeCell ref="E20:J20"/>
    <mergeCell ref="P20:R20"/>
    <mergeCell ref="S20:V20"/>
    <mergeCell ref="A36:D36"/>
    <mergeCell ref="E36:J36"/>
    <mergeCell ref="P36:R36"/>
    <mergeCell ref="S36:V36"/>
    <mergeCell ref="A37:D37"/>
    <mergeCell ref="P37:R37"/>
    <mergeCell ref="A34:D34"/>
    <mergeCell ref="E34:J34"/>
    <mergeCell ref="P34:R34"/>
    <mergeCell ref="S34:V34"/>
  </mergeCells>
  <printOptions horizontalCentered="1"/>
  <pageMargins left="0.25" right="0.25" top="0.75" bottom="1.5" header="0.3" footer="0.3"/>
  <pageSetup paperSize="5" scale="75" orientation="portrait" horizontalDpi="300" verticalDpi="300" r:id="rId1"/>
  <rowBreaks count="1" manualBreakCount="1">
    <brk id="47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  <pageSetUpPr fitToPage="1"/>
  </sheetPr>
  <dimension ref="A1:S36"/>
  <sheetViews>
    <sheetView workbookViewId="0"/>
  </sheetViews>
  <sheetFormatPr defaultColWidth="9" defaultRowHeight="15.75" x14ac:dyDescent="0.25"/>
  <cols>
    <col min="1" max="1" width="8.125" style="90" bestFit="1" customWidth="1"/>
    <col min="2" max="2" width="12.125" style="90" bestFit="1" customWidth="1"/>
    <col min="3" max="3" width="9.625" style="90" hidden="1" customWidth="1"/>
    <col min="4" max="4" width="19.125" style="90" customWidth="1"/>
    <col min="5" max="6" width="13.5" style="90" customWidth="1"/>
    <col min="7" max="7" width="8.125" style="90" customWidth="1"/>
    <col min="8" max="13" width="12.625" style="90" customWidth="1"/>
    <col min="14" max="14" width="10.5" style="90" customWidth="1"/>
    <col min="15" max="15" width="14.625" style="90" customWidth="1"/>
    <col min="16" max="16" width="13.375" style="90" customWidth="1"/>
    <col min="17" max="17" width="13.125" style="90" customWidth="1"/>
    <col min="18" max="18" width="12.625" style="90" customWidth="1"/>
    <col min="19" max="19" width="19.125" style="90" bestFit="1" customWidth="1"/>
    <col min="20" max="16384" width="9" style="90"/>
  </cols>
  <sheetData>
    <row r="1" spans="1:19" ht="27.75" x14ac:dyDescent="0.25">
      <c r="A1" s="742" t="s">
        <v>355</v>
      </c>
      <c r="B1" s="96"/>
      <c r="C1" s="91"/>
      <c r="D1" s="91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</row>
    <row r="2" spans="1:19" s="748" customFormat="1" ht="17.25" x14ac:dyDescent="0.25">
      <c r="A2" s="746" t="s">
        <v>1538</v>
      </c>
      <c r="B2" s="746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</row>
    <row r="3" spans="1:19" s="748" customFormat="1" ht="17.25" x14ac:dyDescent="0.25">
      <c r="A3" s="746"/>
      <c r="B3" s="746"/>
      <c r="C3" s="747"/>
      <c r="D3" s="747"/>
      <c r="E3" s="747"/>
      <c r="F3" s="747"/>
      <c r="G3" s="747"/>
      <c r="H3" s="747"/>
      <c r="I3" s="747"/>
      <c r="J3" s="747"/>
      <c r="K3" s="747"/>
      <c r="L3" s="747"/>
      <c r="M3" s="747"/>
      <c r="N3" s="747"/>
      <c r="O3" s="747"/>
      <c r="P3" s="747"/>
      <c r="Q3" s="747"/>
      <c r="R3" s="747"/>
    </row>
    <row r="4" spans="1:19" s="748" customFormat="1" ht="19.5" x14ac:dyDescent="0.25">
      <c r="A4" s="749" t="s">
        <v>499</v>
      </c>
      <c r="B4" s="746"/>
      <c r="C4" s="747"/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</row>
    <row r="5" spans="1:19" s="748" customFormat="1" ht="17.25" x14ac:dyDescent="0.25">
      <c r="A5" s="746" t="str">
        <f>Account!$G$1</f>
        <v>FUND 501 CARP</v>
      </c>
      <c r="B5" s="746"/>
      <c r="C5" s="747"/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</row>
    <row r="6" spans="1:19" s="748" customFormat="1" ht="17.25" x14ac:dyDescent="0.25">
      <c r="A6" s="750">
        <f>Account!$G$2</f>
        <v>44500</v>
      </c>
      <c r="B6" s="750"/>
      <c r="C6" s="747"/>
      <c r="D6" s="747"/>
      <c r="E6" s="747"/>
      <c r="F6" s="747"/>
      <c r="G6" s="747"/>
      <c r="H6" s="747"/>
      <c r="I6" s="747"/>
      <c r="J6" s="747"/>
      <c r="K6" s="747"/>
      <c r="L6" s="747"/>
      <c r="M6" s="747"/>
      <c r="N6" s="747"/>
      <c r="O6" s="747"/>
      <c r="P6" s="747"/>
      <c r="Q6" s="747"/>
      <c r="R6" s="747"/>
    </row>
    <row r="7" spans="1:19" x14ac:dyDescent="0.25">
      <c r="E7" s="503"/>
    </row>
    <row r="8" spans="1:19" ht="16.5" customHeight="1" x14ac:dyDescent="0.25">
      <c r="A8" s="1100" t="s">
        <v>473</v>
      </c>
      <c r="B8" s="1098" t="s">
        <v>474</v>
      </c>
      <c r="C8" s="1101" t="s">
        <v>474</v>
      </c>
      <c r="D8" s="1101" t="s">
        <v>500</v>
      </c>
      <c r="E8" s="1100" t="s">
        <v>497</v>
      </c>
      <c r="F8" s="1100"/>
      <c r="G8" s="1100"/>
      <c r="H8" s="1100"/>
      <c r="I8" s="1100"/>
      <c r="J8" s="1100"/>
      <c r="K8" s="1100"/>
      <c r="L8" s="1100"/>
      <c r="M8" s="1100"/>
      <c r="N8" s="1100"/>
      <c r="O8" s="1100"/>
      <c r="P8" s="1100" t="s">
        <v>498</v>
      </c>
      <c r="Q8" s="1100"/>
      <c r="R8" s="1100"/>
      <c r="S8" s="1098" t="s">
        <v>724</v>
      </c>
    </row>
    <row r="9" spans="1:19" ht="16.5" customHeight="1" x14ac:dyDescent="0.25">
      <c r="A9" s="1100"/>
      <c r="B9" s="1098"/>
      <c r="C9" s="1101"/>
      <c r="D9" s="1101"/>
      <c r="E9" s="1100" t="s">
        <v>357</v>
      </c>
      <c r="F9" s="1100"/>
      <c r="G9" s="1100"/>
      <c r="H9" s="1100" t="s">
        <v>356</v>
      </c>
      <c r="I9" s="1100"/>
      <c r="J9" s="1100"/>
      <c r="K9" s="1100"/>
      <c r="L9" s="1100"/>
      <c r="M9" s="1100"/>
      <c r="N9" s="1100"/>
      <c r="O9" s="1100"/>
      <c r="P9" s="1100" t="s">
        <v>357</v>
      </c>
      <c r="Q9" s="1100"/>
      <c r="R9" s="531" t="s">
        <v>356</v>
      </c>
      <c r="S9" s="1098"/>
    </row>
    <row r="10" spans="1:19" x14ac:dyDescent="0.25">
      <c r="A10" s="1100"/>
      <c r="B10" s="1099"/>
      <c r="C10" s="1100"/>
      <c r="D10" s="1101"/>
      <c r="E10" s="1097" t="s">
        <v>9</v>
      </c>
      <c r="F10" s="1097" t="s">
        <v>120</v>
      </c>
      <c r="G10" s="1097" t="s">
        <v>334</v>
      </c>
      <c r="H10" s="1097" t="s">
        <v>27</v>
      </c>
      <c r="I10" s="1097" t="s">
        <v>125</v>
      </c>
      <c r="J10" s="1097" t="s">
        <v>126</v>
      </c>
      <c r="K10" s="1097" t="s">
        <v>721</v>
      </c>
      <c r="L10" s="1097" t="s">
        <v>155</v>
      </c>
      <c r="M10" s="1097" t="s">
        <v>160</v>
      </c>
      <c r="N10" s="1100" t="s">
        <v>478</v>
      </c>
      <c r="O10" s="1100"/>
      <c r="P10" s="1097" t="s">
        <v>1478</v>
      </c>
      <c r="Q10" s="1097" t="s">
        <v>152</v>
      </c>
      <c r="R10" s="1097" t="s">
        <v>9</v>
      </c>
      <c r="S10" s="1099"/>
    </row>
    <row r="11" spans="1:19" x14ac:dyDescent="0.25">
      <c r="A11" s="1100"/>
      <c r="B11" s="1099"/>
      <c r="C11" s="1100"/>
      <c r="D11" s="1101"/>
      <c r="E11" s="1097"/>
      <c r="F11" s="1097"/>
      <c r="G11" s="1097"/>
      <c r="H11" s="1097"/>
      <c r="I11" s="1097"/>
      <c r="J11" s="1097"/>
      <c r="K11" s="1097"/>
      <c r="L11" s="1097"/>
      <c r="M11" s="1097"/>
      <c r="N11" s="531" t="s">
        <v>481</v>
      </c>
      <c r="O11" s="531" t="s">
        <v>453</v>
      </c>
      <c r="P11" s="1097"/>
      <c r="Q11" s="1097"/>
      <c r="R11" s="1097"/>
      <c r="S11" s="1099"/>
    </row>
    <row r="12" spans="1:19" hidden="1" x14ac:dyDescent="0.25">
      <c r="A12" s="316" t="s">
        <v>0</v>
      </c>
      <c r="B12" s="543" t="s">
        <v>1459</v>
      </c>
      <c r="C12" s="316" t="s">
        <v>1460</v>
      </c>
      <c r="D12" s="318" t="s">
        <v>1461</v>
      </c>
      <c r="E12" s="316" t="s">
        <v>1471</v>
      </c>
      <c r="F12" s="316" t="s">
        <v>120</v>
      </c>
      <c r="G12" s="316" t="s">
        <v>334</v>
      </c>
      <c r="H12" s="316" t="s">
        <v>351</v>
      </c>
      <c r="I12" s="316" t="s">
        <v>125</v>
      </c>
      <c r="J12" s="316" t="s">
        <v>126</v>
      </c>
      <c r="K12" s="316" t="s">
        <v>721</v>
      </c>
      <c r="L12" s="316" t="s">
        <v>1468</v>
      </c>
      <c r="M12" s="316" t="s">
        <v>1469</v>
      </c>
      <c r="N12" s="316" t="s">
        <v>1462</v>
      </c>
      <c r="O12" s="316" t="s">
        <v>453</v>
      </c>
      <c r="P12" s="316" t="s">
        <v>13</v>
      </c>
      <c r="Q12" s="316" t="s">
        <v>152</v>
      </c>
      <c r="R12" s="316" t="s">
        <v>1470</v>
      </c>
      <c r="S12" s="516" t="s">
        <v>724</v>
      </c>
    </row>
    <row r="13" spans="1:19" x14ac:dyDescent="0.25">
      <c r="A13" s="98" t="str">
        <f t="array" ref="A13">IF(OR(C13=C12,C13=0),"",INDEX(CRDJ[Date],MATCH(C13,CRDJ[JEV Number],0)))</f>
        <v/>
      </c>
      <c r="B13" s="549"/>
      <c r="C13" s="99" t="str">
        <f>IF(B13=0,C12,B13)</f>
        <v>JEV</v>
      </c>
      <c r="D13" s="506" t="str">
        <f t="array" ref="D13">IF(OR(C13=C12,C13=0),"",INDEX(CasheirCode[Name],MATCH((INDEX(CRDJ[Sort Code],MATCH(C13,CRDJ[JEV Number],0))),CasheirCode[Sort Code])))</f>
        <v/>
      </c>
      <c r="E13" s="100">
        <f t="array" ref="E13">IF(OR($C13=$C12,$C13=0),0,(SUM(IF((CRDJ[JEV Number]=$C13)*(CRDJ[Account Code]=(E$10)),CRDJ[Debit]))))</f>
        <v>0</v>
      </c>
      <c r="F13" s="100">
        <f t="array" ref="F13">IF(OR($C13=$C12,$C13=0),0,(SUM(IF((CRDJ[JEV Number]=$C13)*(CRDJ[Account Code]=(F$10)),CRDJ[Debit]))))</f>
        <v>0</v>
      </c>
      <c r="G13" s="100">
        <f t="array" ref="G13">IF(OR($C13=$C12,$C13=0),0,(SUM(IF((CRDJ[JEV Number]=$C13)*(CRDJ[Account Code]=(G$10)),CRDJ[Debit]))))</f>
        <v>0</v>
      </c>
      <c r="H13" s="100">
        <f t="array" ref="H13">IF(OR($C13=$C12,$C13=0),0,(SUM(IF((CRDJ[JEV Number]=$C13)*(CRDJ[Account Code]=(H$10)),CRDJ[Credit]))))</f>
        <v>0</v>
      </c>
      <c r="I13" s="100">
        <f t="array" ref="I13">IF(OR($C13=$C12,$C13=0),0,(SUM(IF((CRDJ[JEV Number]=$C13)*(CRDJ[Account Code]=(I$10)),CRDJ[Credit]))))</f>
        <v>0</v>
      </c>
      <c r="J13" s="100">
        <f t="array" ref="J13">IF(OR($C13=$C12,$C13=0),0,(SUM(IF((CRDJ[JEV Number]=$C13)*(CRDJ[Account Code]=(J$10)),CRDJ[Credit]))))</f>
        <v>0</v>
      </c>
      <c r="K13" s="100">
        <f t="array" ref="K13">IF(OR($C13=$C12,$C13=0),0,(SUM(IF((CRDJ[JEV Number]=$C13)*(CRDJ[Account Code]=(K$10)),CRDJ[Credit]))))</f>
        <v>0</v>
      </c>
      <c r="L13" s="100">
        <f t="array" ref="L13">IF(OR($C13=$C12,$C13=0),0,(SUM(IF((CRDJ[JEV Number]=$C13)*(CRDJ[Account Code]=(L$10)),CRDJ[Credit]))))</f>
        <v>0</v>
      </c>
      <c r="M13" s="100">
        <f t="array" ref="M13">IF(OR($C13=$C12,$C13=0),0,(SUM(IF((CRDJ[JEV Number]=$C13)*(CRDJ[Account Code]=(M$10)),CRDJ[Credit]))))</f>
        <v>0</v>
      </c>
      <c r="N13" s="507" t="s">
        <v>150</v>
      </c>
      <c r="O13" s="508">
        <f t="array" ref="O13">IF($C13=0,0,(SUM(IF((CRDJ[JEV Number]=$C13)*(CRDJ[Account Code]=(N13)),CRDJ[Credit]))))</f>
        <v>0</v>
      </c>
      <c r="P13" s="100">
        <f t="array" ref="P13">IF(OR($C13=$C12,$C13=0),0,(SUM(IF((CRDJ[JEV Number]=$C13)*(CRDJ[Account Code]=(P$10)),CRDJ[Debit]))))</f>
        <v>0</v>
      </c>
      <c r="Q13" s="100">
        <f t="array" ref="Q13">IF(OR($C13=$C12,$C13=0),0,(SUM(IF((CRDJ[JEV Number]=$C13)*(CRDJ[Account Code]=(Q$10)),CRDJ[Debit]))))</f>
        <v>0</v>
      </c>
      <c r="R13" s="100">
        <f t="array" ref="R13">IF(OR($C13=$C12,$C13=0),0,(SUM(IF((CRDJ[JEV Number]=$C13)*(CRDJ[Account Code]=(R$10)),CRDJ[Credit]))))</f>
        <v>0</v>
      </c>
      <c r="S13" s="514">
        <f>(SUM(E13:G13)+SUM(P13:Q13))-(SUM(H13:M13)+O13+R13)</f>
        <v>0</v>
      </c>
    </row>
    <row r="14" spans="1:19" x14ac:dyDescent="0.25">
      <c r="A14" s="98" t="str">
        <f t="array" ref="A14">IF(OR(C14=C13,C14=0),"",INDEX(CRDJ[Date],MATCH(C14,CRDJ[JEV Number],0)))</f>
        <v/>
      </c>
      <c r="B14" s="549"/>
      <c r="C14" s="99" t="str">
        <f>IF(B14=0,C13,B14)</f>
        <v>JEV</v>
      </c>
      <c r="D14" s="506" t="str">
        <f t="array" ref="D14">IF(OR(C14=C13,C14=0),"",INDEX(CasheirCode[Name],MATCH((INDEX(CRDJ[Sort Code],MATCH(C14,CRDJ[JEV Number],0))),CasheirCode[Sort Code])))</f>
        <v/>
      </c>
      <c r="E14" s="100">
        <f t="array" ref="E14">IF(OR($C14=$C13,$C14=0),0,(SUM(IF((CRDJ[JEV Number]=$C14)*(CRDJ[Account Code]=(E$10)),CRDJ[Debit]))))</f>
        <v>0</v>
      </c>
      <c r="F14" s="100">
        <f t="array" ref="F14">IF(OR($C14=$C13,$C14=0),0,(SUM(IF((CRDJ[JEV Number]=$C14)*(CRDJ[Account Code]=(F$10)),CRDJ[Debit]))))</f>
        <v>0</v>
      </c>
      <c r="G14" s="100">
        <f t="array" ref="G14">IF(OR($C14=$C13,$C14=0),0,(SUM(IF((CRDJ[JEV Number]=$C14)*(CRDJ[Account Code]=(G$10)),CRDJ[Debit]))))</f>
        <v>0</v>
      </c>
      <c r="H14" s="100">
        <f t="array" ref="H14">IF(OR($C14=$C13,$C14=0),0,(SUM(IF((CRDJ[JEV Number]=$C14)*(CRDJ[Account Code]=(H$10)),CRDJ[Credit]))))</f>
        <v>0</v>
      </c>
      <c r="I14" s="100">
        <f t="array" ref="I14">IF(OR($C14=$C13,$C14=0),0,(SUM(IF((CRDJ[JEV Number]=$C14)*(CRDJ[Account Code]=(I$10)),CRDJ[Credit]))))</f>
        <v>0</v>
      </c>
      <c r="J14" s="100">
        <f t="array" ref="J14">IF(OR($C14=$C13,$C14=0),0,(SUM(IF((CRDJ[JEV Number]=$C14)*(CRDJ[Account Code]=(J$10)),CRDJ[Credit]))))</f>
        <v>0</v>
      </c>
      <c r="K14" s="100">
        <f t="array" ref="K14">IF(OR($C14=$C13,$C14=0),0,(SUM(IF((CRDJ[JEV Number]=$C14)*(CRDJ[Account Code]=(K$10)),CRDJ[Credit]))))</f>
        <v>0</v>
      </c>
      <c r="L14" s="100">
        <f t="array" ref="L14">IF(OR($C14=$C13,$C14=0),0,(SUM(IF((CRDJ[JEV Number]=$C14)*(CRDJ[Account Code]=(L$10)),CRDJ[Credit]))))</f>
        <v>0</v>
      </c>
      <c r="M14" s="100">
        <f t="array" ref="M14">IF(OR($C14=$C13,$C14=0),0,(SUM(IF((CRDJ[JEV Number]=$C14)*(CRDJ[Account Code]=(M$10)),CRDJ[Credit]))))</f>
        <v>0</v>
      </c>
      <c r="N14" s="507"/>
      <c r="O14" s="509">
        <f t="array" ref="O14">IF($C14=0,0,(SUM(IF((CRDJ[JEV Number]=$C14)*(CRDJ[Account Code]=(N14)),CRDJ[Credit]))))</f>
        <v>0</v>
      </c>
      <c r="P14" s="100">
        <f t="array" ref="P14">IF(OR($C14=$C13,$C14=0),0,(SUM(IF((CRDJ[JEV Number]=$C14)*(CRDJ[Account Code]=(P$10)),CRDJ[Debit]))))</f>
        <v>0</v>
      </c>
      <c r="Q14" s="100">
        <f t="array" ref="Q14">IF(OR($C14=$C13,$C14=0),0,(SUM(IF((CRDJ[JEV Number]=$C14)*(CRDJ[Account Code]=(Q$10)),CRDJ[Debit]))))</f>
        <v>0</v>
      </c>
      <c r="R14" s="100">
        <f t="array" ref="R14">IF(OR($C14=$C13,$C14=0),0,(SUM(IF((CRDJ[JEV Number]=$C14)*(CRDJ[Account Code]=(R$10)),CRDJ[Credit]))))</f>
        <v>0</v>
      </c>
      <c r="S14" s="514">
        <f>S13+(SUM(E14:G14)+SUM(P14:Q14))-(SUM(H14:M14)+O14+R14)</f>
        <v>0</v>
      </c>
    </row>
    <row r="15" spans="1:19" x14ac:dyDescent="0.25">
      <c r="A15" s="510" t="str">
        <f t="array" ref="A15">IF(OR(C15=C14,C15=0),"",INDEX(CRDJ[Date],MATCH(C15,CRDJ[JEV Number],0)))</f>
        <v/>
      </c>
      <c r="B15" s="550"/>
      <c r="C15" s="99" t="str">
        <f>IF(B15=0,C14,B15)</f>
        <v>JEV</v>
      </c>
      <c r="D15" s="511" t="str">
        <f t="array" ref="D15">IF(OR(C15=C14,C15=0),"",INDEX(CasheirCode[Name],MATCH((INDEX(CRDJ[Sort Code],MATCH(C15,CRDJ[JEV Number],0))),CasheirCode[Sort Code])))</f>
        <v/>
      </c>
      <c r="E15" s="505">
        <f t="array" ref="E15">IF(OR($C15=$C14,$C15=0),0,(SUM(IF((CRDJ[JEV Number]=$C15)*(CRDJ[Account Code]=(E$10)),CRDJ[Debit]))))</f>
        <v>0</v>
      </c>
      <c r="F15" s="505">
        <f t="array" ref="F15">IF(OR($C15=$C14,$C15=0),0,(SUM(IF((CRDJ[JEV Number]=$C15)*(CRDJ[Account Code]=(F$10)),CRDJ[Debit]))))</f>
        <v>0</v>
      </c>
      <c r="G15" s="505">
        <f t="array" ref="G15">IF(OR($C15=$C14,$C15=0),0,(SUM(IF((CRDJ[JEV Number]=$C15)*(CRDJ[Account Code]=(G$10)),CRDJ[Debit]))))</f>
        <v>0</v>
      </c>
      <c r="H15" s="505">
        <f t="array" ref="H15">IF(OR($C15=$C14,$C15=0),0,(SUM(IF((CRDJ[JEV Number]=$C15)*(CRDJ[Account Code]=(H$10)),CRDJ[Credit]))))</f>
        <v>0</v>
      </c>
      <c r="I15" s="505">
        <f t="array" ref="I15">IF(OR($C15=$C14,$C15=0),0,(SUM(IF((CRDJ[JEV Number]=$C15)*(CRDJ[Account Code]=(I$10)),CRDJ[Credit]))))</f>
        <v>0</v>
      </c>
      <c r="J15" s="505">
        <f t="array" ref="J15">IF(OR($C15=$C14,$C15=0),0,(SUM(IF((CRDJ[JEV Number]=$C15)*(CRDJ[Account Code]=(J$10)),CRDJ[Credit]))))</f>
        <v>0</v>
      </c>
      <c r="K15" s="505">
        <f t="array" ref="K15">IF(OR($C15=$C14,$C15=0),0,(SUM(IF((CRDJ[JEV Number]=$C15)*(CRDJ[Account Code]=(K$10)),CRDJ[Credit]))))</f>
        <v>0</v>
      </c>
      <c r="L15" s="505">
        <f t="array" ref="L15">IF(OR($C15=$C14,$C15=0),0,(SUM(IF((CRDJ[JEV Number]=$C15)*(CRDJ[Account Code]=(L$10)),CRDJ[Credit]))))</f>
        <v>0</v>
      </c>
      <c r="M15" s="505">
        <f t="array" ref="M15">IF(OR($C15=$C14,$C15=0),0,(SUM(IF((CRDJ[JEV Number]=$C15)*(CRDJ[Account Code]=(M$10)),CRDJ[Credit]))))</f>
        <v>0</v>
      </c>
      <c r="N15" s="512"/>
      <c r="O15" s="513">
        <f t="array" ref="O15">IF($C15=0,0,(SUM(IF((CRDJ[JEV Number]=$C15)*(CRDJ[Account Code]=(N15)),CRDJ[Credit]))))</f>
        <v>0</v>
      </c>
      <c r="P15" s="505">
        <f t="array" ref="P15">IF(OR($C15=$C14,$C15=0),0,(SUM(IF((CRDJ[JEV Number]=$C15)*(CRDJ[Account Code]=(P$10)),CRDJ[Debit]))))</f>
        <v>0</v>
      </c>
      <c r="Q15" s="505">
        <f t="array" ref="Q15">IF(OR($C15=$C14,$C15=0),0,(SUM(IF((CRDJ[JEV Number]=$C15)*(CRDJ[Account Code]=(Q$10)),CRDJ[Debit]))))</f>
        <v>0</v>
      </c>
      <c r="R15" s="505">
        <f t="array" ref="R15">IF(OR($C15=$C14,$C15=0),0,(SUM(IF((CRDJ[JEV Number]=$C15)*(CRDJ[Account Code]=(R$10)),CRDJ[Credit]))))</f>
        <v>0</v>
      </c>
      <c r="S15" s="514">
        <f>S14+(SUM(E15:G15)+SUM(P15:Q15))-(SUM(H15:M15)+O15+R15)</f>
        <v>0</v>
      </c>
    </row>
    <row r="16" spans="1:19" x14ac:dyDescent="0.25">
      <c r="A16" s="510" t="str">
        <f t="array" ref="A16">IF(OR(C16=C15,C16=0),"",INDEX(CRDJ[Date],MATCH(C16,CRDJ[JEV Number],0)))</f>
        <v/>
      </c>
      <c r="B16" s="551"/>
      <c r="C16" s="504" t="str">
        <f>IF(B16=0,C15,B16)</f>
        <v>JEV</v>
      </c>
      <c r="D16" s="511" t="str">
        <f t="array" ref="D16">IF(OR(C16=C15,C16=0),"",INDEX(CasheirCode[Name],MATCH((INDEX(CRDJ[Sort Code],MATCH(C16,CRDJ[JEV Number],0))),CasheirCode[Sort Code])))</f>
        <v/>
      </c>
      <c r="E16" s="505">
        <f t="array" ref="E16">IF(OR($C16=$C15,$C16=0),0,(SUM(IF((CRDJ[JEV Number]=$C16)*(CRDJ[Account Code]=(E$10)),CRDJ[Debit]))))</f>
        <v>0</v>
      </c>
      <c r="F16" s="505">
        <f t="array" ref="F16">IF(OR($C16=$C15,$C16=0),0,(SUM(IF((CRDJ[JEV Number]=$C16)*(CRDJ[Account Code]=(F$10)),CRDJ[Debit]))))</f>
        <v>0</v>
      </c>
      <c r="G16" s="505">
        <f t="array" ref="G16">IF(OR($C16=$C15,$C16=0),0,(SUM(IF((CRDJ[JEV Number]=$C16)*(CRDJ[Account Code]=(G$10)),CRDJ[Debit]))))</f>
        <v>0</v>
      </c>
      <c r="H16" s="505">
        <f t="array" ref="H16">IF(OR($C16=$C15,$C16=0),0,(SUM(IF((CRDJ[JEV Number]=$C16)*(CRDJ[Account Code]=(H$10)),CRDJ[Credit]))))</f>
        <v>0</v>
      </c>
      <c r="I16" s="505">
        <f t="array" ref="I16">IF(OR($C16=$C15,$C16=0),0,(SUM(IF((CRDJ[JEV Number]=$C16)*(CRDJ[Account Code]=(I$10)),CRDJ[Credit]))))</f>
        <v>0</v>
      </c>
      <c r="J16" s="505">
        <f t="array" ref="J16">IF(OR($C16=$C15,$C16=0),0,(SUM(IF((CRDJ[JEV Number]=$C16)*(CRDJ[Account Code]=(J$10)),CRDJ[Credit]))))</f>
        <v>0</v>
      </c>
      <c r="K16" s="505">
        <f t="array" ref="K16">IF(OR($C16=$C15,$C16=0),0,(SUM(IF((CRDJ[JEV Number]=$C16)*(CRDJ[Account Code]=(K$10)),CRDJ[Credit]))))</f>
        <v>0</v>
      </c>
      <c r="L16" s="505">
        <f t="array" ref="L16">IF(OR($C16=$C15,$C16=0),0,(SUM(IF((CRDJ[JEV Number]=$C16)*(CRDJ[Account Code]=(L$10)),CRDJ[Credit]))))</f>
        <v>0</v>
      </c>
      <c r="M16" s="505">
        <f t="array" ref="M16">IF(OR($C16=$C15,$C16=0),0,(SUM(IF((CRDJ[JEV Number]=$C16)*(CRDJ[Account Code]=(M$10)),CRDJ[Credit]))))</f>
        <v>0</v>
      </c>
      <c r="N16" s="512"/>
      <c r="O16" s="513">
        <f t="array" ref="O16">IF($C16=0,0,(SUM(IF((CRDJ[JEV Number]=$C16)*(CRDJ[Account Code]=(N16)),CRDJ[Credit]))))</f>
        <v>0</v>
      </c>
      <c r="P16" s="505">
        <f t="array" ref="P16">IF(OR($C16=$C15,$C16=0),0,(SUM(IF((CRDJ[JEV Number]=$C16)*(CRDJ[Account Code]=(P$10)),CRDJ[Debit]))))</f>
        <v>0</v>
      </c>
      <c r="Q16" s="505">
        <f t="array" ref="Q16">IF(OR($C16=$C15,$C16=0),0,(SUM(IF((CRDJ[JEV Number]=$C16)*(CRDJ[Account Code]=(Q$10)),CRDJ[Debit]))))</f>
        <v>0</v>
      </c>
      <c r="R16" s="505">
        <f t="array" ref="R16">IF(OR($C16=$C15,$C16=0),0,(SUM(IF((CRDJ[JEV Number]=$C16)*(CRDJ[Account Code]=(R$10)),CRDJ[Credit]))))</f>
        <v>0</v>
      </c>
      <c r="S16" s="514">
        <f>S15+(SUM(E16:G16)+SUM(P16:Q16))-(SUM(H16:M16)+O16+R16)</f>
        <v>0</v>
      </c>
    </row>
    <row r="33" spans="9:10" x14ac:dyDescent="0.25">
      <c r="I33" s="764" t="s">
        <v>482</v>
      </c>
    </row>
    <row r="34" spans="9:10" x14ac:dyDescent="0.25">
      <c r="I34" s="526"/>
      <c r="J34" s="711"/>
    </row>
    <row r="35" spans="9:10" x14ac:dyDescent="0.25">
      <c r="I35" s="526"/>
      <c r="J35" s="711" t="s">
        <v>1559</v>
      </c>
    </row>
    <row r="36" spans="9:10" x14ac:dyDescent="0.25">
      <c r="I36" s="526"/>
      <c r="J36" s="711" t="s">
        <v>1560</v>
      </c>
    </row>
  </sheetData>
  <sheetProtection insertRows="0" autoFilter="0" pivotTables="0"/>
  <mergeCells count="23">
    <mergeCell ref="S8:S11"/>
    <mergeCell ref="A8:A11"/>
    <mergeCell ref="C8:C11"/>
    <mergeCell ref="D8:D11"/>
    <mergeCell ref="E8:O8"/>
    <mergeCell ref="P8:R8"/>
    <mergeCell ref="E9:G9"/>
    <mergeCell ref="H9:O9"/>
    <mergeCell ref="P9:Q9"/>
    <mergeCell ref="E10:E11"/>
    <mergeCell ref="F10:F11"/>
    <mergeCell ref="B8:B11"/>
    <mergeCell ref="Q10:Q11"/>
    <mergeCell ref="R10:R11"/>
    <mergeCell ref="M10:M11"/>
    <mergeCell ref="N10:O10"/>
    <mergeCell ref="P10:P11"/>
    <mergeCell ref="G10:G11"/>
    <mergeCell ref="H10:H11"/>
    <mergeCell ref="I10:I11"/>
    <mergeCell ref="J10:J11"/>
    <mergeCell ref="K10:K11"/>
    <mergeCell ref="L10:L11"/>
  </mergeCells>
  <pageMargins left="0.55118110236220474" right="0.23622047244094491" top="0.51181102362204722" bottom="0.51181102362204722" header="0.31496062992125984" footer="0.31496062992125984"/>
  <pageSetup paperSize="14" scale="68" orientation="landscape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">
    <tabColor theme="9"/>
  </sheetPr>
  <dimension ref="A1:P591"/>
  <sheetViews>
    <sheetView showZeros="0" tabSelected="1" view="pageBreakPreview" zoomScale="106" zoomScaleNormal="60" zoomScaleSheetLayoutView="106" workbookViewId="0">
      <selection activeCell="K594" sqref="K594"/>
    </sheetView>
  </sheetViews>
  <sheetFormatPr defaultColWidth="9" defaultRowHeight="15.75" x14ac:dyDescent="0.25"/>
  <cols>
    <col min="1" max="1" width="10.625" style="706" customWidth="1"/>
    <col min="2" max="2" width="11.625" style="706" bestFit="1" customWidth="1"/>
    <col min="3" max="3" width="9.5" style="707" customWidth="1"/>
    <col min="4" max="4" width="10.625" style="708" customWidth="1"/>
    <col min="5" max="5" width="8.125" style="709" customWidth="1"/>
    <col min="6" max="8" width="8.125" style="708" customWidth="1"/>
    <col min="9" max="9" width="20.875" style="708" customWidth="1"/>
    <col min="10" max="10" width="30.125" style="708" customWidth="1"/>
    <col min="11" max="11" width="36" style="681" customWidth="1"/>
    <col min="12" max="12" width="11.625" style="708" customWidth="1"/>
    <col min="13" max="14" width="14.375" style="710" customWidth="1"/>
    <col min="15" max="15" width="19.125" style="1022" bestFit="1" customWidth="1"/>
    <col min="16" max="16" width="17.375" style="681" customWidth="1"/>
    <col min="17" max="16384" width="9" style="681"/>
  </cols>
  <sheetData>
    <row r="1" spans="1:16" x14ac:dyDescent="0.25">
      <c r="A1" s="1075" t="s">
        <v>1613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102"/>
      <c r="O1" s="316"/>
      <c r="P1" s="94"/>
    </row>
    <row r="2" spans="1:16" ht="31.5" x14ac:dyDescent="0.25">
      <c r="A2" s="535" t="s">
        <v>0</v>
      </c>
      <c r="B2" s="535" t="s">
        <v>735</v>
      </c>
      <c r="C2" s="556" t="s">
        <v>736</v>
      </c>
      <c r="D2" s="153" t="s">
        <v>722</v>
      </c>
      <c r="E2" s="184" t="s">
        <v>718</v>
      </c>
      <c r="F2" s="153" t="s">
        <v>740</v>
      </c>
      <c r="G2" s="153" t="s">
        <v>723</v>
      </c>
      <c r="H2" s="153" t="s">
        <v>728</v>
      </c>
      <c r="I2" s="153" t="s">
        <v>838</v>
      </c>
      <c r="J2" s="153" t="s">
        <v>440</v>
      </c>
      <c r="K2" s="552" t="s">
        <v>369</v>
      </c>
      <c r="L2" s="181" t="s">
        <v>370</v>
      </c>
      <c r="M2" s="154" t="s">
        <v>1</v>
      </c>
      <c r="N2" s="154" t="s">
        <v>2</v>
      </c>
      <c r="O2" s="1014" t="s">
        <v>715</v>
      </c>
      <c r="P2" s="155" t="s">
        <v>724</v>
      </c>
    </row>
    <row r="3" spans="1:16" ht="47.25" hidden="1" x14ac:dyDescent="0.25">
      <c r="A3" s="958">
        <v>44592</v>
      </c>
      <c r="B3" s="959">
        <v>44583</v>
      </c>
      <c r="C3" s="960" t="s">
        <v>1656</v>
      </c>
      <c r="D3" s="494" t="s">
        <v>1657</v>
      </c>
      <c r="E3" s="961" t="s">
        <v>762</v>
      </c>
      <c r="F3" s="962" t="s">
        <v>1526</v>
      </c>
      <c r="G3" s="960"/>
      <c r="H3" s="960"/>
      <c r="I3" s="963" t="s">
        <v>1640</v>
      </c>
      <c r="J3" s="990" t="s">
        <v>1658</v>
      </c>
      <c r="K3" s="704" t="str">
        <f>IF(L3=0,"",(INDEX(AccountCodes[ACCOUNT NAME],MATCH(L3,AccountCodes[NGAS CODE],0))))</f>
        <v>Accounts Payable</v>
      </c>
      <c r="L3" s="966" t="s">
        <v>106</v>
      </c>
      <c r="M3" s="967">
        <v>1135636.17</v>
      </c>
      <c r="N3" s="967"/>
      <c r="O3" s="1015"/>
      <c r="P3" s="158">
        <f>M3-N3</f>
        <v>1135636.17</v>
      </c>
    </row>
    <row r="4" spans="1:16" ht="47.25" hidden="1" x14ac:dyDescent="0.25">
      <c r="A4" s="958">
        <v>44592</v>
      </c>
      <c r="B4" s="959">
        <v>44583</v>
      </c>
      <c r="C4" s="960" t="s">
        <v>1656</v>
      </c>
      <c r="D4" s="960" t="s">
        <v>1657</v>
      </c>
      <c r="E4" s="961" t="s">
        <v>762</v>
      </c>
      <c r="F4" s="962" t="s">
        <v>1526</v>
      </c>
      <c r="G4" s="960"/>
      <c r="H4" s="960"/>
      <c r="I4" s="963" t="s">
        <v>1640</v>
      </c>
      <c r="J4" s="990" t="s">
        <v>1658</v>
      </c>
      <c r="K4" s="704" t="str">
        <f>IF(L4=0,"",(INDEX(AccountCodes[ACCOUNT NAME],MATCH(L4,AccountCodes[NGAS CODE],0))))</f>
        <v>Due to BIR - 5%</v>
      </c>
      <c r="L4" s="966" t="s">
        <v>1548</v>
      </c>
      <c r="M4" s="967"/>
      <c r="N4" s="967">
        <v>50698.04</v>
      </c>
      <c r="O4" s="1015"/>
      <c r="P4" s="158">
        <f>P3+M4-N4</f>
        <v>1084938.1299999999</v>
      </c>
    </row>
    <row r="5" spans="1:16" ht="47.25" hidden="1" x14ac:dyDescent="0.25">
      <c r="A5" s="958">
        <v>44592</v>
      </c>
      <c r="B5" s="959">
        <v>44583</v>
      </c>
      <c r="C5" s="960" t="s">
        <v>1656</v>
      </c>
      <c r="D5" s="960" t="s">
        <v>1657</v>
      </c>
      <c r="E5" s="961" t="s">
        <v>762</v>
      </c>
      <c r="F5" s="962" t="s">
        <v>1526</v>
      </c>
      <c r="G5" s="960"/>
      <c r="H5" s="960"/>
      <c r="I5" s="963" t="s">
        <v>1640</v>
      </c>
      <c r="J5" s="990" t="s">
        <v>1658</v>
      </c>
      <c r="K5" s="680" t="str">
        <f>IF(L5=0,"",(INDEX(AccountCodes[ACCOUNT NAME],MATCH(L5,AccountCodes[NGAS CODE],0))))</f>
        <v>Due to BIR - 2%</v>
      </c>
      <c r="L5" s="966" t="s">
        <v>1550</v>
      </c>
      <c r="M5" s="967"/>
      <c r="N5" s="967">
        <v>20279.22</v>
      </c>
      <c r="O5" s="1015"/>
      <c r="P5" s="498">
        <f>P4+M5-N5</f>
        <v>1064658.9099999999</v>
      </c>
    </row>
    <row r="6" spans="1:16" s="683" customFormat="1" ht="47.25" hidden="1" x14ac:dyDescent="0.25">
      <c r="A6" s="958">
        <v>44592</v>
      </c>
      <c r="B6" s="959">
        <v>44583</v>
      </c>
      <c r="C6" s="960" t="s">
        <v>1656</v>
      </c>
      <c r="D6" s="960" t="s">
        <v>1657</v>
      </c>
      <c r="E6" s="961" t="s">
        <v>762</v>
      </c>
      <c r="F6" s="962" t="s">
        <v>1526</v>
      </c>
      <c r="G6" s="960"/>
      <c r="H6" s="960"/>
      <c r="I6" s="963" t="s">
        <v>1640</v>
      </c>
      <c r="J6" s="990" t="s">
        <v>1658</v>
      </c>
      <c r="K6" s="682" t="str">
        <f>IF(L6=0,"",(INDEX(AccountCodes[ACCOUNT NAME],MATCH(L6,AccountCodes[NGAS CODE],0))))</f>
        <v>Cash in Bank-Local Currency, Current Account - FO</v>
      </c>
      <c r="L6" s="966" t="s">
        <v>1566</v>
      </c>
      <c r="M6" s="967"/>
      <c r="N6" s="967">
        <v>1064658.9099999999</v>
      </c>
      <c r="O6" s="1015"/>
      <c r="P6" s="946">
        <f t="shared" ref="P6:P16" si="0">P5+M6-N6</f>
        <v>0</v>
      </c>
    </row>
    <row r="7" spans="1:16" ht="47.25" hidden="1" x14ac:dyDescent="0.25">
      <c r="A7" s="958">
        <v>44592</v>
      </c>
      <c r="B7" s="959">
        <v>44575</v>
      </c>
      <c r="C7" s="960" t="s">
        <v>1660</v>
      </c>
      <c r="D7" s="960" t="s">
        <v>1657</v>
      </c>
      <c r="E7" s="961" t="s">
        <v>762</v>
      </c>
      <c r="F7" s="962" t="s">
        <v>1526</v>
      </c>
      <c r="G7" s="960"/>
      <c r="H7" s="960"/>
      <c r="I7" s="963" t="s">
        <v>1654</v>
      </c>
      <c r="J7" s="990" t="s">
        <v>1659</v>
      </c>
      <c r="K7" s="680" t="str">
        <f>IF(L7=0,"",(INDEX(AccountCodes[ACCOUNT NAME],MATCH(L7,AccountCodes[NGAS CODE],0))))</f>
        <v>Guaranty/Security Deposits Payable</v>
      </c>
      <c r="L7" s="966" t="s">
        <v>115</v>
      </c>
      <c r="M7" s="967">
        <v>443597.57</v>
      </c>
      <c r="N7" s="967"/>
      <c r="O7" s="1015"/>
      <c r="P7" s="558">
        <f t="shared" si="0"/>
        <v>443597.57</v>
      </c>
    </row>
    <row r="8" spans="1:16" ht="47.25" hidden="1" x14ac:dyDescent="0.25">
      <c r="A8" s="958">
        <v>44592</v>
      </c>
      <c r="B8" s="959">
        <v>44575</v>
      </c>
      <c r="C8" s="663" t="s">
        <v>1660</v>
      </c>
      <c r="D8" s="960" t="s">
        <v>1657</v>
      </c>
      <c r="E8" s="961" t="s">
        <v>762</v>
      </c>
      <c r="F8" s="962" t="s">
        <v>1526</v>
      </c>
      <c r="G8" s="960"/>
      <c r="H8" s="960"/>
      <c r="I8" s="963" t="s">
        <v>1654</v>
      </c>
      <c r="J8" s="990" t="s">
        <v>1659</v>
      </c>
      <c r="K8" s="680" t="str">
        <f>IF(L8=0,"",(INDEX(AccountCodes[ACCOUNT NAME],MATCH(L8,AccountCodes[NGAS CODE],0))))</f>
        <v>Cash in Bank-Local Currency, Current Account - FO</v>
      </c>
      <c r="L8" s="966" t="s">
        <v>1566</v>
      </c>
      <c r="M8" s="967"/>
      <c r="N8" s="967">
        <v>443597.57</v>
      </c>
      <c r="O8" s="1015"/>
      <c r="P8" s="558">
        <f t="shared" si="0"/>
        <v>0</v>
      </c>
    </row>
    <row r="9" spans="1:16" ht="31.5" hidden="1" x14ac:dyDescent="0.25">
      <c r="A9" s="958">
        <v>44592</v>
      </c>
      <c r="B9" s="959">
        <v>44580</v>
      </c>
      <c r="C9" s="960" t="s">
        <v>1661</v>
      </c>
      <c r="D9" s="960" t="s">
        <v>1657</v>
      </c>
      <c r="E9" s="961" t="s">
        <v>762</v>
      </c>
      <c r="F9" s="962" t="s">
        <v>1526</v>
      </c>
      <c r="G9" s="960"/>
      <c r="H9" s="960"/>
      <c r="I9" s="963" t="s">
        <v>1643</v>
      </c>
      <c r="J9" s="990" t="s">
        <v>1662</v>
      </c>
      <c r="K9" s="680" t="str">
        <f>IF(L9=0,"",(INDEX(AccountCodes[ACCOUNT NAME],MATCH(L9,AccountCodes[NGAS CODE],0))))</f>
        <v>Training Expenses</v>
      </c>
      <c r="L9" s="966" t="s">
        <v>224</v>
      </c>
      <c r="M9" s="967">
        <v>2745</v>
      </c>
      <c r="N9" s="967"/>
      <c r="O9" s="1015"/>
      <c r="P9" s="558">
        <f t="shared" si="0"/>
        <v>2745</v>
      </c>
    </row>
    <row r="10" spans="1:16" ht="31.5" hidden="1" x14ac:dyDescent="0.25">
      <c r="A10" s="958">
        <v>44592</v>
      </c>
      <c r="B10" s="959">
        <v>44580</v>
      </c>
      <c r="C10" s="960" t="s">
        <v>1661</v>
      </c>
      <c r="D10" s="960" t="s">
        <v>1657</v>
      </c>
      <c r="E10" s="961" t="s">
        <v>762</v>
      </c>
      <c r="F10" s="962" t="s">
        <v>1526</v>
      </c>
      <c r="G10" s="960"/>
      <c r="H10" s="960"/>
      <c r="I10" s="963" t="s">
        <v>1643</v>
      </c>
      <c r="J10" s="990" t="s">
        <v>1662</v>
      </c>
      <c r="K10" s="680" t="str">
        <f>IF(L10=0,"",(INDEX(AccountCodes[ACCOUNT NAME],MATCH(L10,AccountCodes[NGAS CODE],0))))</f>
        <v>Cash in Bank-Local Currency, Current Account - FO</v>
      </c>
      <c r="L10" s="966" t="s">
        <v>1566</v>
      </c>
      <c r="M10" s="967"/>
      <c r="N10" s="967">
        <v>2745</v>
      </c>
      <c r="O10" s="1015"/>
      <c r="P10" s="558">
        <f t="shared" si="0"/>
        <v>0</v>
      </c>
    </row>
    <row r="11" spans="1:16" ht="47.25" hidden="1" x14ac:dyDescent="0.25">
      <c r="A11" s="958">
        <v>44592</v>
      </c>
      <c r="B11" s="959">
        <v>44580</v>
      </c>
      <c r="C11" s="960" t="s">
        <v>1663</v>
      </c>
      <c r="D11" s="960" t="s">
        <v>1657</v>
      </c>
      <c r="E11" s="961" t="s">
        <v>762</v>
      </c>
      <c r="F11" s="962" t="s">
        <v>1526</v>
      </c>
      <c r="G11" s="960"/>
      <c r="H11" s="960"/>
      <c r="I11" s="963" t="s">
        <v>1664</v>
      </c>
      <c r="J11" s="990" t="s">
        <v>1665</v>
      </c>
      <c r="K11" s="680" t="str">
        <f>IF(L11=0,"",(INDEX(AccountCodes[ACCOUNT NAME],MATCH(L11,AccountCodes[NGAS CODE],0))))</f>
        <v>Training Expenses</v>
      </c>
      <c r="L11" s="966" t="s">
        <v>224</v>
      </c>
      <c r="M11" s="967">
        <v>25875</v>
      </c>
      <c r="N11" s="967"/>
      <c r="O11" s="1016"/>
      <c r="P11" s="558">
        <f t="shared" si="0"/>
        <v>25875</v>
      </c>
    </row>
    <row r="12" spans="1:16" ht="47.25" hidden="1" x14ac:dyDescent="0.25">
      <c r="A12" s="958">
        <v>44592</v>
      </c>
      <c r="B12" s="959">
        <v>44580</v>
      </c>
      <c r="C12" s="960" t="s">
        <v>1663</v>
      </c>
      <c r="D12" s="960" t="s">
        <v>1657</v>
      </c>
      <c r="E12" s="961" t="s">
        <v>762</v>
      </c>
      <c r="F12" s="962" t="s">
        <v>1526</v>
      </c>
      <c r="G12" s="960"/>
      <c r="H12" s="960"/>
      <c r="I12" s="963" t="s">
        <v>1664</v>
      </c>
      <c r="J12" s="990" t="s">
        <v>1665</v>
      </c>
      <c r="K12" s="680" t="str">
        <f>IF(L12=0,"",(INDEX(AccountCodes[ACCOUNT NAME],MATCH(L12,AccountCodes[NGAS CODE],0))))</f>
        <v>Due to BIR - 1%</v>
      </c>
      <c r="L12" s="966" t="s">
        <v>1554</v>
      </c>
      <c r="M12" s="967"/>
      <c r="N12" s="967">
        <v>258.75</v>
      </c>
      <c r="O12" s="1016"/>
      <c r="P12" s="558">
        <f t="shared" si="0"/>
        <v>25616.25</v>
      </c>
    </row>
    <row r="13" spans="1:16" ht="47.25" hidden="1" x14ac:dyDescent="0.25">
      <c r="A13" s="958">
        <v>44592</v>
      </c>
      <c r="B13" s="959">
        <v>44580</v>
      </c>
      <c r="C13" s="960" t="s">
        <v>1663</v>
      </c>
      <c r="D13" s="960" t="s">
        <v>1657</v>
      </c>
      <c r="E13" s="961" t="s">
        <v>762</v>
      </c>
      <c r="F13" s="962" t="s">
        <v>1526</v>
      </c>
      <c r="G13" s="960"/>
      <c r="H13" s="960"/>
      <c r="I13" s="963" t="s">
        <v>1664</v>
      </c>
      <c r="J13" s="990" t="s">
        <v>1665</v>
      </c>
      <c r="K13" s="680" t="str">
        <f>IF(L13=0,"",(INDEX(AccountCodes[ACCOUNT NAME],MATCH(L13,AccountCodes[NGAS CODE],0))))</f>
        <v>Due to BIR - 2%</v>
      </c>
      <c r="L13" s="966" t="s">
        <v>1550</v>
      </c>
      <c r="M13" s="967"/>
      <c r="N13" s="967">
        <v>517.5</v>
      </c>
      <c r="O13" s="1016"/>
      <c r="P13" s="558">
        <f t="shared" si="0"/>
        <v>25098.75</v>
      </c>
    </row>
    <row r="14" spans="1:16" ht="47.25" hidden="1" x14ac:dyDescent="0.25">
      <c r="A14" s="958">
        <v>44592</v>
      </c>
      <c r="B14" s="959">
        <v>44580</v>
      </c>
      <c r="C14" s="960" t="s">
        <v>1663</v>
      </c>
      <c r="D14" s="960" t="s">
        <v>1657</v>
      </c>
      <c r="E14" s="961" t="s">
        <v>762</v>
      </c>
      <c r="F14" s="962" t="s">
        <v>1526</v>
      </c>
      <c r="G14" s="960"/>
      <c r="H14" s="960"/>
      <c r="I14" s="963" t="s">
        <v>1664</v>
      </c>
      <c r="J14" s="990" t="s">
        <v>1665</v>
      </c>
      <c r="K14" s="680" t="str">
        <f>IF(L14=0,"",(INDEX(AccountCodes[ACCOUNT NAME],MATCH(L14,AccountCodes[NGAS CODE],0))))</f>
        <v>Cash in Bank-Local Currency, Current Account - FO</v>
      </c>
      <c r="L14" s="966" t="s">
        <v>1566</v>
      </c>
      <c r="M14" s="967"/>
      <c r="N14" s="967">
        <v>25098.75</v>
      </c>
      <c r="O14" s="1016"/>
      <c r="P14" s="558">
        <f t="shared" si="0"/>
        <v>0</v>
      </c>
    </row>
    <row r="15" spans="1:16" ht="31.5" hidden="1" x14ac:dyDescent="0.25">
      <c r="A15" s="541">
        <v>44592</v>
      </c>
      <c r="B15" s="720">
        <v>44582</v>
      </c>
      <c r="C15" s="494" t="s">
        <v>1666</v>
      </c>
      <c r="D15" s="960" t="s">
        <v>1657</v>
      </c>
      <c r="E15" s="961" t="s">
        <v>762</v>
      </c>
      <c r="F15" s="962" t="s">
        <v>1526</v>
      </c>
      <c r="G15" s="494"/>
      <c r="H15" s="494"/>
      <c r="I15" s="671" t="s">
        <v>1667</v>
      </c>
      <c r="J15" s="988" t="s">
        <v>1668</v>
      </c>
      <c r="K15" s="680" t="str">
        <f>IF(L15=0,"",(INDEX(AccountCodes[ACCOUNT NAME],MATCH(L15,AccountCodes[NGAS CODE],0))))</f>
        <v>Salaries and Wages-Regular</v>
      </c>
      <c r="L15" s="955" t="s">
        <v>162</v>
      </c>
      <c r="M15" s="956">
        <v>70270</v>
      </c>
      <c r="N15" s="956"/>
      <c r="O15" s="1016"/>
      <c r="P15" s="558">
        <f t="shared" si="0"/>
        <v>70270</v>
      </c>
    </row>
    <row r="16" spans="1:16" ht="31.5" hidden="1" x14ac:dyDescent="0.25">
      <c r="A16" s="541">
        <v>44592</v>
      </c>
      <c r="B16" s="720">
        <v>44582</v>
      </c>
      <c r="C16" s="494" t="s">
        <v>1666</v>
      </c>
      <c r="D16" s="960" t="s">
        <v>1657</v>
      </c>
      <c r="E16" s="961" t="s">
        <v>762</v>
      </c>
      <c r="F16" s="962" t="s">
        <v>1526</v>
      </c>
      <c r="G16" s="494"/>
      <c r="H16" s="494"/>
      <c r="I16" s="671" t="s">
        <v>1667</v>
      </c>
      <c r="J16" s="988" t="s">
        <v>1668</v>
      </c>
      <c r="K16" s="680" t="str">
        <f>IF(L16=0,"",(INDEX(AccountCodes[ACCOUNT NAME],MATCH(L16,AccountCodes[NGAS CODE],0))))</f>
        <v>Personal Economic Relief Allowance (PERA)</v>
      </c>
      <c r="L16" s="955" t="s">
        <v>164</v>
      </c>
      <c r="M16" s="956">
        <v>6000</v>
      </c>
      <c r="N16" s="956"/>
      <c r="O16" s="1016"/>
      <c r="P16" s="558">
        <f t="shared" si="0"/>
        <v>76270</v>
      </c>
    </row>
    <row r="17" spans="1:16" ht="31.5" hidden="1" x14ac:dyDescent="0.25">
      <c r="A17" s="541">
        <v>44592</v>
      </c>
      <c r="B17" s="720">
        <v>44582</v>
      </c>
      <c r="C17" s="494" t="s">
        <v>1666</v>
      </c>
      <c r="D17" s="960" t="s">
        <v>1657</v>
      </c>
      <c r="E17" s="961" t="s">
        <v>762</v>
      </c>
      <c r="F17" s="962" t="s">
        <v>1526</v>
      </c>
      <c r="G17" s="494"/>
      <c r="H17" s="494"/>
      <c r="I17" s="671" t="s">
        <v>1667</v>
      </c>
      <c r="J17" s="988" t="s">
        <v>1668</v>
      </c>
      <c r="K17" s="705" t="str">
        <f>IF(L17=0,"",(INDEX(AccountCodes[ACCOUNT NAME],MATCH(L17,AccountCodes[NGAS CODE],0))))</f>
        <v>Due to BIR - Compensation</v>
      </c>
      <c r="L17" s="955" t="s">
        <v>1546</v>
      </c>
      <c r="M17" s="956"/>
      <c r="N17" s="956">
        <v>730.7</v>
      </c>
      <c r="O17" s="1016"/>
      <c r="P17" s="152">
        <f>P16+M17-N17</f>
        <v>75539.3</v>
      </c>
    </row>
    <row r="18" spans="1:16" ht="31.5" hidden="1" x14ac:dyDescent="0.25">
      <c r="A18" s="541">
        <v>44592</v>
      </c>
      <c r="B18" s="720">
        <v>44582</v>
      </c>
      <c r="C18" s="494" t="s">
        <v>1666</v>
      </c>
      <c r="D18" s="960" t="s">
        <v>1657</v>
      </c>
      <c r="E18" s="961" t="s">
        <v>762</v>
      </c>
      <c r="F18" s="962" t="s">
        <v>1526</v>
      </c>
      <c r="G18" s="494"/>
      <c r="H18" s="494"/>
      <c r="I18" s="671" t="s">
        <v>1667</v>
      </c>
      <c r="J18" s="988" t="s">
        <v>1668</v>
      </c>
      <c r="K18" s="704" t="str">
        <f>IF(L18=0,"",(INDEX(AccountCodes[ACCOUNT NAME],MATCH(L18,AccountCodes[NGAS CODE],0))))</f>
        <v>Due to GSIS - Life and Retirement Premium</v>
      </c>
      <c r="L18" s="955" t="s">
        <v>1440</v>
      </c>
      <c r="M18" s="956"/>
      <c r="N18" s="956">
        <v>6324.3</v>
      </c>
      <c r="O18" s="1016"/>
      <c r="P18" s="150">
        <f>P17+M18-N18</f>
        <v>69215</v>
      </c>
    </row>
    <row r="19" spans="1:16" ht="31.5" hidden="1" x14ac:dyDescent="0.25">
      <c r="A19" s="541">
        <v>44592</v>
      </c>
      <c r="B19" s="720">
        <v>44582</v>
      </c>
      <c r="C19" s="494" t="s">
        <v>1666</v>
      </c>
      <c r="D19" s="960" t="s">
        <v>1657</v>
      </c>
      <c r="E19" s="961" t="s">
        <v>762</v>
      </c>
      <c r="F19" s="962" t="s">
        <v>1526</v>
      </c>
      <c r="G19" s="494"/>
      <c r="H19" s="494"/>
      <c r="I19" s="671" t="s">
        <v>1667</v>
      </c>
      <c r="J19" s="988" t="s">
        <v>1668</v>
      </c>
      <c r="K19" s="704" t="str">
        <f>IF(L19=0,"",(INDEX(AccountCodes[ACCOUNT NAME],MATCH(L19,AccountCodes[NGAS CODE],0))))</f>
        <v>Due to Pag-IBIG - Pag-IBIG Premium</v>
      </c>
      <c r="L19" s="955" t="s">
        <v>1444</v>
      </c>
      <c r="M19" s="956"/>
      <c r="N19" s="956">
        <v>1446.64</v>
      </c>
      <c r="O19" s="984"/>
      <c r="P19" s="150">
        <f t="shared" ref="P19:P84" si="1">P18+M19-N19</f>
        <v>67768.36</v>
      </c>
    </row>
    <row r="20" spans="1:16" ht="31.5" hidden="1" x14ac:dyDescent="0.25">
      <c r="A20" s="541">
        <v>44592</v>
      </c>
      <c r="B20" s="720">
        <v>44582</v>
      </c>
      <c r="C20" s="494" t="s">
        <v>1666</v>
      </c>
      <c r="D20" s="960" t="s">
        <v>1657</v>
      </c>
      <c r="E20" s="961" t="s">
        <v>762</v>
      </c>
      <c r="F20" s="962" t="s">
        <v>1526</v>
      </c>
      <c r="G20" s="494"/>
      <c r="H20" s="494"/>
      <c r="I20" s="671" t="s">
        <v>1667</v>
      </c>
      <c r="J20" s="988" t="s">
        <v>1668</v>
      </c>
      <c r="K20" s="704" t="str">
        <f>IF(L20=0,"",(INDEX(AccountCodes[ACCOUNT NAME],MATCH(L20,AccountCodes[NGAS CODE],0))))</f>
        <v>Due to Pag-IBIG - MP2</v>
      </c>
      <c r="L20" s="955" t="s">
        <v>1508</v>
      </c>
      <c r="M20" s="956"/>
      <c r="N20" s="956">
        <v>1000</v>
      </c>
      <c r="O20" s="984"/>
      <c r="P20" s="150">
        <f t="shared" si="1"/>
        <v>66768.36</v>
      </c>
    </row>
    <row r="21" spans="1:16" ht="31.5" hidden="1" x14ac:dyDescent="0.25">
      <c r="A21" s="541">
        <v>44592</v>
      </c>
      <c r="B21" s="720">
        <v>44582</v>
      </c>
      <c r="C21" s="494" t="s">
        <v>1666</v>
      </c>
      <c r="D21" s="960" t="s">
        <v>1657</v>
      </c>
      <c r="E21" s="961" t="s">
        <v>762</v>
      </c>
      <c r="F21" s="962" t="s">
        <v>1526</v>
      </c>
      <c r="G21" s="494"/>
      <c r="H21" s="494"/>
      <c r="I21" s="671" t="s">
        <v>1667</v>
      </c>
      <c r="J21" s="988" t="s">
        <v>1668</v>
      </c>
      <c r="K21" s="704" t="str">
        <f>IF(L21=0,"",(INDEX(AccountCodes[ACCOUNT NAME],MATCH(L21,AccountCodes[NGAS CODE],0))))</f>
        <v>Due to PhilHealth</v>
      </c>
      <c r="L21" s="955" t="s">
        <v>112</v>
      </c>
      <c r="M21" s="956"/>
      <c r="N21" s="956">
        <v>1054.04</v>
      </c>
      <c r="O21" s="984"/>
      <c r="P21" s="150">
        <f t="shared" si="1"/>
        <v>65714.320000000007</v>
      </c>
    </row>
    <row r="22" spans="1:16" ht="31.5" hidden="1" x14ac:dyDescent="0.25">
      <c r="A22" s="541">
        <v>44592</v>
      </c>
      <c r="B22" s="720">
        <v>44582</v>
      </c>
      <c r="C22" s="494" t="s">
        <v>1666</v>
      </c>
      <c r="D22" s="960" t="s">
        <v>1657</v>
      </c>
      <c r="E22" s="961" t="s">
        <v>762</v>
      </c>
      <c r="F22" s="962" t="s">
        <v>1526</v>
      </c>
      <c r="G22" s="494"/>
      <c r="H22" s="494"/>
      <c r="I22" s="671" t="s">
        <v>1667</v>
      </c>
      <c r="J22" s="988" t="s">
        <v>1668</v>
      </c>
      <c r="K22" s="704" t="str">
        <f>IF(L22=0,"",(INDEX(AccountCodes[ACCOUNT NAME],MATCH(L22,AccountCodes[NGAS CODE],0))))</f>
        <v>Trust Liabilities - Disallowances / Charges</v>
      </c>
      <c r="L22" s="955" t="s">
        <v>1646</v>
      </c>
      <c r="M22" s="956"/>
      <c r="N22" s="956">
        <v>500</v>
      </c>
      <c r="O22" s="984"/>
      <c r="P22" s="150">
        <f t="shared" si="1"/>
        <v>65214.32</v>
      </c>
    </row>
    <row r="23" spans="1:16" ht="31.5" hidden="1" x14ac:dyDescent="0.25">
      <c r="A23" s="958">
        <v>44592</v>
      </c>
      <c r="B23" s="959">
        <v>44582</v>
      </c>
      <c r="C23" s="960" t="s">
        <v>1666</v>
      </c>
      <c r="D23" s="960" t="s">
        <v>1657</v>
      </c>
      <c r="E23" s="961" t="s">
        <v>762</v>
      </c>
      <c r="F23" s="962" t="s">
        <v>1526</v>
      </c>
      <c r="G23" s="960"/>
      <c r="H23" s="960"/>
      <c r="I23" s="963" t="s">
        <v>1667</v>
      </c>
      <c r="J23" s="990" t="s">
        <v>1668</v>
      </c>
      <c r="K23" s="704" t="str">
        <f>IF(L23=0,"",(INDEX(AccountCodes[ACCOUNT NAME],MATCH(L23,AccountCodes[NGAS CODE],0))))</f>
        <v>Cash in Bank-Local Currency, Current Account - FO</v>
      </c>
      <c r="L23" s="966" t="s">
        <v>1566</v>
      </c>
      <c r="M23" s="967"/>
      <c r="N23" s="967">
        <v>32606.97</v>
      </c>
      <c r="O23" s="984"/>
      <c r="P23" s="150">
        <f t="shared" si="1"/>
        <v>32607.35</v>
      </c>
    </row>
    <row r="24" spans="1:16" ht="31.5" hidden="1" x14ac:dyDescent="0.25">
      <c r="A24" s="958">
        <v>44592</v>
      </c>
      <c r="B24" s="959">
        <v>44582</v>
      </c>
      <c r="C24" s="960" t="s">
        <v>1666</v>
      </c>
      <c r="D24" s="960" t="s">
        <v>1657</v>
      </c>
      <c r="E24" s="961" t="s">
        <v>762</v>
      </c>
      <c r="F24" s="962" t="s">
        <v>1526</v>
      </c>
      <c r="G24" s="960"/>
      <c r="H24" s="960"/>
      <c r="I24" s="963" t="s">
        <v>1667</v>
      </c>
      <c r="J24" s="990" t="s">
        <v>1669</v>
      </c>
      <c r="K24" s="704" t="str">
        <f>IF(L24=0,"",(INDEX(AccountCodes[ACCOUNT NAME],MATCH(L24,AccountCodes[NGAS CODE],0))))</f>
        <v>Cash in Bank-Local Currency, Current Account - FO</v>
      </c>
      <c r="L24" s="966" t="s">
        <v>1566</v>
      </c>
      <c r="M24" s="967"/>
      <c r="N24" s="967">
        <v>32607.35</v>
      </c>
      <c r="O24" s="984"/>
      <c r="P24" s="150">
        <f t="shared" si="1"/>
        <v>0</v>
      </c>
    </row>
    <row r="25" spans="1:16" ht="31.5" hidden="1" x14ac:dyDescent="0.25">
      <c r="A25" s="541">
        <v>44592</v>
      </c>
      <c r="B25" s="720">
        <v>44592</v>
      </c>
      <c r="C25" s="494" t="s">
        <v>1670</v>
      </c>
      <c r="D25" s="960" t="s">
        <v>1657</v>
      </c>
      <c r="E25" s="961" t="s">
        <v>762</v>
      </c>
      <c r="F25" s="962" t="s">
        <v>1526</v>
      </c>
      <c r="G25" s="494"/>
      <c r="H25" s="494"/>
      <c r="I25" s="671" t="s">
        <v>1637</v>
      </c>
      <c r="J25" s="988" t="s">
        <v>1671</v>
      </c>
      <c r="K25" s="704" t="str">
        <f>IF(L25=0,"",(INDEX(AccountCodes[ACCOUNT NAME],MATCH(L25,AccountCodes[NGAS CODE],0))))</f>
        <v>Retirement and Life Insurance Premiums</v>
      </c>
      <c r="L25" s="955" t="s">
        <v>175</v>
      </c>
      <c r="M25" s="956">
        <v>8432.4</v>
      </c>
      <c r="N25" s="956"/>
      <c r="O25" s="984"/>
      <c r="P25" s="150">
        <f t="shared" si="1"/>
        <v>8432.4</v>
      </c>
    </row>
    <row r="26" spans="1:16" ht="31.5" hidden="1" x14ac:dyDescent="0.25">
      <c r="A26" s="541">
        <v>44592</v>
      </c>
      <c r="B26" s="720">
        <v>44592</v>
      </c>
      <c r="C26" s="494" t="s">
        <v>1670</v>
      </c>
      <c r="D26" s="960" t="s">
        <v>1657</v>
      </c>
      <c r="E26" s="961" t="s">
        <v>762</v>
      </c>
      <c r="F26" s="962" t="s">
        <v>1526</v>
      </c>
      <c r="G26" s="494"/>
      <c r="H26" s="494"/>
      <c r="I26" s="671" t="s">
        <v>1637</v>
      </c>
      <c r="J26" s="988" t="s">
        <v>1671</v>
      </c>
      <c r="K26" s="704" t="str">
        <f>IF(L26=0,"",(INDEX(AccountCodes[ACCOUNT NAME],MATCH(L26,AccountCodes[NGAS CODE],0))))</f>
        <v>Due to GSIS - Life and Retirement Premium</v>
      </c>
      <c r="L26" s="955" t="s">
        <v>1440</v>
      </c>
      <c r="M26" s="956">
        <v>6324.3</v>
      </c>
      <c r="N26" s="956"/>
      <c r="O26" s="984"/>
      <c r="P26" s="150">
        <f t="shared" si="1"/>
        <v>14756.7</v>
      </c>
    </row>
    <row r="27" spans="1:16" ht="31.5" hidden="1" x14ac:dyDescent="0.25">
      <c r="A27" s="958">
        <v>44592</v>
      </c>
      <c r="B27" s="959">
        <v>44592</v>
      </c>
      <c r="C27" s="960" t="s">
        <v>1670</v>
      </c>
      <c r="D27" s="960" t="s">
        <v>1657</v>
      </c>
      <c r="E27" s="961" t="s">
        <v>762</v>
      </c>
      <c r="F27" s="962" t="s">
        <v>1526</v>
      </c>
      <c r="G27" s="960"/>
      <c r="H27" s="960"/>
      <c r="I27" s="963" t="s">
        <v>1637</v>
      </c>
      <c r="J27" s="990" t="s">
        <v>1671</v>
      </c>
      <c r="K27" s="704" t="str">
        <f>IF(L27=0,"",(INDEX(AccountCodes[ACCOUNT NAME],MATCH(L27,AccountCodes[NGAS CODE],0))))</f>
        <v>Employees Compensation Insurance Premiums</v>
      </c>
      <c r="L27" s="966" t="s">
        <v>178</v>
      </c>
      <c r="M27" s="967">
        <v>300</v>
      </c>
      <c r="N27" s="967"/>
      <c r="O27" s="984"/>
      <c r="P27" s="150">
        <f t="shared" si="1"/>
        <v>15056.7</v>
      </c>
    </row>
    <row r="28" spans="1:16" ht="31.5" hidden="1" x14ac:dyDescent="0.25">
      <c r="A28" s="958">
        <v>44592</v>
      </c>
      <c r="B28" s="959">
        <v>44592</v>
      </c>
      <c r="C28" s="960" t="s">
        <v>1670</v>
      </c>
      <c r="D28" s="960" t="s">
        <v>1657</v>
      </c>
      <c r="E28" s="961" t="s">
        <v>762</v>
      </c>
      <c r="F28" s="962" t="s">
        <v>1526</v>
      </c>
      <c r="G28" s="494"/>
      <c r="H28" s="494"/>
      <c r="I28" s="963" t="s">
        <v>1637</v>
      </c>
      <c r="J28" s="990" t="s">
        <v>1671</v>
      </c>
      <c r="K28" s="704" t="str">
        <f>IF(L28=0,"",(INDEX(AccountCodes[ACCOUNT NAME],MATCH(L28,AccountCodes[NGAS CODE],0))))</f>
        <v>Cash in Bank-Local Currency, Current Account - FO</v>
      </c>
      <c r="L28" s="955" t="s">
        <v>1566</v>
      </c>
      <c r="M28" s="956"/>
      <c r="N28" s="956">
        <v>15056.7</v>
      </c>
      <c r="O28" s="984"/>
      <c r="P28" s="150">
        <f t="shared" si="1"/>
        <v>0</v>
      </c>
    </row>
    <row r="29" spans="1:16" ht="31.5" hidden="1" x14ac:dyDescent="0.25">
      <c r="A29" s="541">
        <v>44592</v>
      </c>
      <c r="B29" s="720">
        <v>44592</v>
      </c>
      <c r="C29" s="494" t="s">
        <v>1672</v>
      </c>
      <c r="D29" s="960" t="s">
        <v>1657</v>
      </c>
      <c r="E29" s="961" t="s">
        <v>762</v>
      </c>
      <c r="F29" s="962" t="s">
        <v>1526</v>
      </c>
      <c r="G29" s="494"/>
      <c r="H29" s="494"/>
      <c r="I29" s="671" t="s">
        <v>1639</v>
      </c>
      <c r="J29" s="988" t="s">
        <v>1673</v>
      </c>
      <c r="K29" s="704" t="str">
        <f>IF(L29=0,"",(INDEX(AccountCodes[ACCOUNT NAME],MATCH(L29,AccountCodes[NGAS CODE],0))))</f>
        <v>Pag-IBIG Contributions</v>
      </c>
      <c r="L29" s="955" t="s">
        <v>176</v>
      </c>
      <c r="M29" s="956">
        <v>300</v>
      </c>
      <c r="N29" s="956"/>
      <c r="O29" s="984"/>
      <c r="P29" s="150">
        <f t="shared" si="1"/>
        <v>300</v>
      </c>
    </row>
    <row r="30" spans="1:16" ht="31.5" hidden="1" x14ac:dyDescent="0.25">
      <c r="A30" s="958">
        <v>44592</v>
      </c>
      <c r="B30" s="959">
        <v>44592</v>
      </c>
      <c r="C30" s="960" t="s">
        <v>1672</v>
      </c>
      <c r="D30" s="960" t="s">
        <v>1657</v>
      </c>
      <c r="E30" s="961" t="s">
        <v>762</v>
      </c>
      <c r="F30" s="962" t="s">
        <v>1526</v>
      </c>
      <c r="G30" s="960"/>
      <c r="H30" s="960"/>
      <c r="I30" s="963" t="s">
        <v>1639</v>
      </c>
      <c r="J30" s="990" t="s">
        <v>1673</v>
      </c>
      <c r="K30" s="704" t="str">
        <f>IF(L30=0,"",(INDEX(AccountCodes[ACCOUNT NAME],MATCH(L30,AccountCodes[NGAS CODE],0))))</f>
        <v>Due to Pag-IBIG - Pag-IBIG Premium</v>
      </c>
      <c r="L30" s="966" t="s">
        <v>1444</v>
      </c>
      <c r="M30" s="956">
        <v>1446.64</v>
      </c>
      <c r="N30" s="967"/>
      <c r="O30" s="984"/>
      <c r="P30" s="150">
        <f t="shared" si="1"/>
        <v>1746.64</v>
      </c>
    </row>
    <row r="31" spans="1:16" ht="31.5" hidden="1" x14ac:dyDescent="0.25">
      <c r="A31" s="958">
        <v>44592</v>
      </c>
      <c r="B31" s="959">
        <v>44592</v>
      </c>
      <c r="C31" s="960" t="s">
        <v>1672</v>
      </c>
      <c r="D31" s="960" t="s">
        <v>1657</v>
      </c>
      <c r="E31" s="961" t="s">
        <v>762</v>
      </c>
      <c r="F31" s="962" t="s">
        <v>1526</v>
      </c>
      <c r="G31" s="960"/>
      <c r="H31" s="960"/>
      <c r="I31" s="963" t="s">
        <v>1639</v>
      </c>
      <c r="J31" s="990" t="s">
        <v>1673</v>
      </c>
      <c r="K31" s="704" t="str">
        <f>IF(L31=0,"",(INDEX(AccountCodes[ACCOUNT NAME],MATCH(L31,AccountCodes[NGAS CODE],0))))</f>
        <v>Cash in Bank-Local Currency, Current Account - FO</v>
      </c>
      <c r="L31" s="966" t="s">
        <v>1566</v>
      </c>
      <c r="M31" s="967"/>
      <c r="N31" s="967">
        <v>1746.64</v>
      </c>
      <c r="O31" s="984"/>
      <c r="P31" s="150">
        <f t="shared" si="1"/>
        <v>0</v>
      </c>
    </row>
    <row r="32" spans="1:16" hidden="1" x14ac:dyDescent="0.25">
      <c r="A32" s="541">
        <v>44592</v>
      </c>
      <c r="B32" s="720">
        <v>44592</v>
      </c>
      <c r="C32" s="494" t="s">
        <v>1674</v>
      </c>
      <c r="D32" s="960" t="s">
        <v>1657</v>
      </c>
      <c r="E32" s="961" t="s">
        <v>762</v>
      </c>
      <c r="F32" s="962" t="s">
        <v>1526</v>
      </c>
      <c r="G32" s="494"/>
      <c r="H32" s="494"/>
      <c r="I32" s="671" t="s">
        <v>1639</v>
      </c>
      <c r="J32" s="988" t="s">
        <v>1675</v>
      </c>
      <c r="K32" s="704" t="str">
        <f>IF(L32=0,"",(INDEX(AccountCodes[ACCOUNT NAME],MATCH(L32,AccountCodes[NGAS CODE],0))))</f>
        <v>Due to Pag-IBIG - MP2</v>
      </c>
      <c r="L32" s="955" t="s">
        <v>1508</v>
      </c>
      <c r="M32" s="956">
        <v>1000</v>
      </c>
      <c r="N32" s="956"/>
      <c r="O32" s="984"/>
      <c r="P32" s="150">
        <f t="shared" si="1"/>
        <v>1000</v>
      </c>
    </row>
    <row r="33" spans="1:16" hidden="1" x14ac:dyDescent="0.25">
      <c r="A33" s="958">
        <v>44592</v>
      </c>
      <c r="B33" s="959">
        <v>44592</v>
      </c>
      <c r="C33" s="960" t="s">
        <v>1674</v>
      </c>
      <c r="D33" s="960" t="s">
        <v>1657</v>
      </c>
      <c r="E33" s="961" t="s">
        <v>762</v>
      </c>
      <c r="F33" s="962" t="s">
        <v>1526</v>
      </c>
      <c r="G33" s="960"/>
      <c r="H33" s="960"/>
      <c r="I33" s="963" t="s">
        <v>1639</v>
      </c>
      <c r="J33" s="990" t="s">
        <v>1675</v>
      </c>
      <c r="K33" s="704" t="str">
        <f>IF(L33=0,"",(INDEX(AccountCodes[ACCOUNT NAME],MATCH(L33,AccountCodes[NGAS CODE],0))))</f>
        <v>Cash in Bank-Local Currency, Current Account - FO</v>
      </c>
      <c r="L33" s="966" t="s">
        <v>1566</v>
      </c>
      <c r="M33" s="967"/>
      <c r="N33" s="967">
        <v>1000</v>
      </c>
      <c r="O33" s="984"/>
      <c r="P33" s="150">
        <f t="shared" si="1"/>
        <v>0</v>
      </c>
    </row>
    <row r="34" spans="1:16" ht="31.5" hidden="1" x14ac:dyDescent="0.25">
      <c r="A34" s="541">
        <v>44592</v>
      </c>
      <c r="B34" s="720">
        <v>44592</v>
      </c>
      <c r="C34" s="494" t="s">
        <v>1682</v>
      </c>
      <c r="D34" s="960" t="s">
        <v>1657</v>
      </c>
      <c r="E34" s="961" t="s">
        <v>762</v>
      </c>
      <c r="F34" s="962" t="s">
        <v>1526</v>
      </c>
      <c r="G34" s="494"/>
      <c r="H34" s="494"/>
      <c r="I34" s="671" t="s">
        <v>1636</v>
      </c>
      <c r="J34" s="988" t="s">
        <v>1683</v>
      </c>
      <c r="K34" s="704" t="str">
        <f>IF(L34=0,"",(INDEX(AccountCodes[ACCOUNT NAME],MATCH(L34,AccountCodes[NGAS CODE],0))))</f>
        <v>PhilHealth Contributions</v>
      </c>
      <c r="L34" s="955" t="s">
        <v>177</v>
      </c>
      <c r="M34" s="956">
        <v>1054.06</v>
      </c>
      <c r="N34" s="956"/>
      <c r="O34" s="984"/>
      <c r="P34" s="150">
        <f t="shared" si="1"/>
        <v>1054.06</v>
      </c>
    </row>
    <row r="35" spans="1:16" ht="31.5" hidden="1" x14ac:dyDescent="0.25">
      <c r="A35" s="958">
        <v>44592</v>
      </c>
      <c r="B35" s="959">
        <v>44592</v>
      </c>
      <c r="C35" s="494" t="s">
        <v>1682</v>
      </c>
      <c r="D35" s="960" t="s">
        <v>1657</v>
      </c>
      <c r="E35" s="961" t="s">
        <v>762</v>
      </c>
      <c r="F35" s="962" t="s">
        <v>1526</v>
      </c>
      <c r="G35" s="494"/>
      <c r="H35" s="494"/>
      <c r="I35" s="671" t="s">
        <v>1636</v>
      </c>
      <c r="J35" s="988" t="s">
        <v>1683</v>
      </c>
      <c r="K35" s="704" t="str">
        <f>IF(L35=0,"",(INDEX(AccountCodes[ACCOUNT NAME],MATCH(L35,AccountCodes[NGAS CODE],0))))</f>
        <v>Due to PhilHealth</v>
      </c>
      <c r="L35" s="955" t="s">
        <v>112</v>
      </c>
      <c r="M35" s="956">
        <v>1054.04</v>
      </c>
      <c r="N35" s="956"/>
      <c r="O35" s="984"/>
      <c r="P35" s="150">
        <f t="shared" si="1"/>
        <v>2108.1</v>
      </c>
    </row>
    <row r="36" spans="1:16" ht="31.5" hidden="1" x14ac:dyDescent="0.25">
      <c r="A36" s="958">
        <v>44592</v>
      </c>
      <c r="B36" s="959">
        <v>44592</v>
      </c>
      <c r="C36" s="494" t="s">
        <v>1682</v>
      </c>
      <c r="D36" s="960" t="s">
        <v>1657</v>
      </c>
      <c r="E36" s="961" t="s">
        <v>762</v>
      </c>
      <c r="F36" s="962" t="s">
        <v>1526</v>
      </c>
      <c r="G36" s="494"/>
      <c r="H36" s="494"/>
      <c r="I36" s="671" t="s">
        <v>1636</v>
      </c>
      <c r="J36" s="988" t="s">
        <v>1683</v>
      </c>
      <c r="K36" s="704" t="str">
        <f>IF(L36=0,"",(INDEX(AccountCodes[ACCOUNT NAME],MATCH(L36,AccountCodes[NGAS CODE],0))))</f>
        <v>Cash in Bank-Local Currency, Current Account - FO</v>
      </c>
      <c r="L36" s="955" t="s">
        <v>1566</v>
      </c>
      <c r="M36" s="956"/>
      <c r="N36" s="956">
        <v>2108.1</v>
      </c>
      <c r="O36" s="984"/>
      <c r="P36" s="150">
        <f t="shared" si="1"/>
        <v>0</v>
      </c>
    </row>
    <row r="37" spans="1:16" ht="31.5" hidden="1" x14ac:dyDescent="0.25">
      <c r="A37" s="541">
        <v>44592</v>
      </c>
      <c r="B37" s="720">
        <v>44592</v>
      </c>
      <c r="C37" s="494" t="s">
        <v>1684</v>
      </c>
      <c r="D37" s="494" t="s">
        <v>1657</v>
      </c>
      <c r="E37" s="957" t="s">
        <v>762</v>
      </c>
      <c r="F37" s="495" t="s">
        <v>1526</v>
      </c>
      <c r="G37" s="494"/>
      <c r="H37" s="494"/>
      <c r="I37" s="671" t="s">
        <v>1638</v>
      </c>
      <c r="J37" s="988" t="s">
        <v>1685</v>
      </c>
      <c r="K37" s="704" t="str">
        <f>IF(L37=0,"",(INDEX(AccountCodes[ACCOUNT NAME],MATCH(L37,AccountCodes[NGAS CODE],0))))</f>
        <v>Due to BIR - Compensation</v>
      </c>
      <c r="L37" s="955" t="s">
        <v>1546</v>
      </c>
      <c r="M37" s="956">
        <v>730.69</v>
      </c>
      <c r="N37" s="956"/>
      <c r="O37" s="984"/>
      <c r="P37" s="150">
        <f t="shared" si="1"/>
        <v>730.69</v>
      </c>
    </row>
    <row r="38" spans="1:16" ht="31.5" hidden="1" x14ac:dyDescent="0.25">
      <c r="A38" s="541">
        <v>44592</v>
      </c>
      <c r="B38" s="720">
        <v>44592</v>
      </c>
      <c r="C38" s="494" t="s">
        <v>1684</v>
      </c>
      <c r="D38" s="494" t="s">
        <v>1657</v>
      </c>
      <c r="E38" s="957" t="s">
        <v>762</v>
      </c>
      <c r="F38" s="495" t="s">
        <v>1526</v>
      </c>
      <c r="G38" s="494"/>
      <c r="H38" s="494"/>
      <c r="I38" s="671" t="s">
        <v>1638</v>
      </c>
      <c r="J38" s="988" t="s">
        <v>1685</v>
      </c>
      <c r="K38" s="704" t="str">
        <f>IF(L38=0,"",(INDEX(AccountCodes[ACCOUNT NAME],MATCH(L38,AccountCodes[NGAS CODE],0))))</f>
        <v>Cash in Bank-Local Currency, Current Account - FO</v>
      </c>
      <c r="L38" s="955" t="s">
        <v>1566</v>
      </c>
      <c r="M38" s="956"/>
      <c r="N38" s="956">
        <v>730.69</v>
      </c>
      <c r="O38" s="984"/>
      <c r="P38" s="150">
        <f t="shared" si="1"/>
        <v>0</v>
      </c>
    </row>
    <row r="39" spans="1:16" ht="31.5" hidden="1" x14ac:dyDescent="0.25">
      <c r="A39" s="541">
        <v>44592</v>
      </c>
      <c r="B39" s="720">
        <v>44592</v>
      </c>
      <c r="C39" s="494" t="s">
        <v>1676</v>
      </c>
      <c r="D39" s="960" t="s">
        <v>1657</v>
      </c>
      <c r="E39" s="961" t="s">
        <v>762</v>
      </c>
      <c r="F39" s="962" t="s">
        <v>1526</v>
      </c>
      <c r="G39" s="494"/>
      <c r="H39" s="494"/>
      <c r="I39" s="671" t="s">
        <v>1650</v>
      </c>
      <c r="J39" s="988" t="s">
        <v>1677</v>
      </c>
      <c r="K39" s="704" t="str">
        <f>IF(L39=0,"",(INDEX(AccountCodes[ACCOUNT NAME],MATCH(L39,AccountCodes[NGAS CODE],0))))</f>
        <v>Trust Liabilities - Disallowances / Charges</v>
      </c>
      <c r="L39" s="955" t="s">
        <v>1646</v>
      </c>
      <c r="M39" s="956">
        <v>500</v>
      </c>
      <c r="N39" s="956"/>
      <c r="O39" s="984"/>
      <c r="P39" s="150">
        <f t="shared" si="1"/>
        <v>500</v>
      </c>
    </row>
    <row r="40" spans="1:16" ht="31.5" hidden="1" x14ac:dyDescent="0.25">
      <c r="A40" s="958">
        <v>44592</v>
      </c>
      <c r="B40" s="959">
        <v>44592</v>
      </c>
      <c r="C40" s="960" t="s">
        <v>1676</v>
      </c>
      <c r="D40" s="960" t="s">
        <v>1657</v>
      </c>
      <c r="E40" s="961" t="s">
        <v>762</v>
      </c>
      <c r="F40" s="962" t="s">
        <v>1526</v>
      </c>
      <c r="G40" s="960"/>
      <c r="H40" s="960"/>
      <c r="I40" s="963" t="s">
        <v>1650</v>
      </c>
      <c r="J40" s="990" t="s">
        <v>1677</v>
      </c>
      <c r="K40" s="704" t="str">
        <f>IF(L40=0,"",(INDEX(AccountCodes[ACCOUNT NAME],MATCH(L40,AccountCodes[NGAS CODE],0))))</f>
        <v>Cash in Bank-Local Currency, Current Account - FO</v>
      </c>
      <c r="L40" s="966" t="s">
        <v>1566</v>
      </c>
      <c r="M40" s="967"/>
      <c r="N40" s="967">
        <v>500</v>
      </c>
      <c r="O40" s="984"/>
      <c r="P40" s="150">
        <f t="shared" si="1"/>
        <v>0</v>
      </c>
    </row>
    <row r="41" spans="1:16" hidden="1" x14ac:dyDescent="0.25">
      <c r="A41" s="958">
        <v>44592</v>
      </c>
      <c r="B41" s="959">
        <v>44592</v>
      </c>
      <c r="C41" s="960" t="s">
        <v>1678</v>
      </c>
      <c r="D41" s="960" t="s">
        <v>1657</v>
      </c>
      <c r="E41" s="961" t="s">
        <v>762</v>
      </c>
      <c r="F41" s="962" t="s">
        <v>1526</v>
      </c>
      <c r="G41" s="960"/>
      <c r="H41" s="960"/>
      <c r="I41" s="963" t="s">
        <v>1638</v>
      </c>
      <c r="J41" s="990" t="s">
        <v>1680</v>
      </c>
      <c r="K41" s="704" t="str">
        <f>IF(L41=0,"",(INDEX(AccountCodes[ACCOUNT NAME],MATCH(L41,AccountCodes[NGAS CODE],0))))</f>
        <v>Due to BIR - 2%</v>
      </c>
      <c r="L41" s="966" t="s">
        <v>1550</v>
      </c>
      <c r="M41" s="967">
        <v>20279.22</v>
      </c>
      <c r="N41" s="967"/>
      <c r="O41" s="984"/>
      <c r="P41" s="150">
        <f t="shared" si="1"/>
        <v>20279.22</v>
      </c>
    </row>
    <row r="42" spans="1:16" hidden="1" x14ac:dyDescent="0.25">
      <c r="A42" s="958">
        <v>44592</v>
      </c>
      <c r="B42" s="959">
        <v>44592</v>
      </c>
      <c r="C42" s="960" t="s">
        <v>1678</v>
      </c>
      <c r="D42" s="960" t="s">
        <v>1657</v>
      </c>
      <c r="E42" s="961" t="s">
        <v>762</v>
      </c>
      <c r="F42" s="962" t="s">
        <v>1526</v>
      </c>
      <c r="G42" s="960"/>
      <c r="H42" s="960"/>
      <c r="I42" s="963" t="s">
        <v>1638</v>
      </c>
      <c r="J42" s="988" t="s">
        <v>1686</v>
      </c>
      <c r="K42" s="680" t="str">
        <f>IF(L42=0,"",(INDEX(AccountCodes[ACCOUNT NAME],MATCH(L42,AccountCodes[NGAS CODE],0))))</f>
        <v>Due to BIR - 1%</v>
      </c>
      <c r="L42" s="955" t="s">
        <v>1554</v>
      </c>
      <c r="M42" s="956">
        <v>258.75</v>
      </c>
      <c r="N42" s="956"/>
      <c r="O42" s="1017"/>
      <c r="P42" s="150">
        <f t="shared" si="1"/>
        <v>20537.97</v>
      </c>
    </row>
    <row r="43" spans="1:16" hidden="1" x14ac:dyDescent="0.25">
      <c r="A43" s="958">
        <v>44592</v>
      </c>
      <c r="B43" s="959">
        <v>44592</v>
      </c>
      <c r="C43" s="960" t="s">
        <v>1678</v>
      </c>
      <c r="D43" s="960" t="s">
        <v>1657</v>
      </c>
      <c r="E43" s="961" t="s">
        <v>762</v>
      </c>
      <c r="F43" s="962" t="s">
        <v>1526</v>
      </c>
      <c r="G43" s="960"/>
      <c r="H43" s="960"/>
      <c r="I43" s="963" t="s">
        <v>1638</v>
      </c>
      <c r="J43" s="990"/>
      <c r="K43" s="680" t="str">
        <f>IF(L43=0,"",(INDEX(AccountCodes[ACCOUNT NAME],MATCH(L43,AccountCodes[NGAS CODE],0))))</f>
        <v>Cash in Bank-Local Currency, Current Account - FO</v>
      </c>
      <c r="L43" s="966" t="s">
        <v>1566</v>
      </c>
      <c r="M43" s="967"/>
      <c r="N43" s="967">
        <v>20537.97</v>
      </c>
      <c r="O43" s="1017"/>
      <c r="P43" s="150">
        <f t="shared" si="1"/>
        <v>0</v>
      </c>
    </row>
    <row r="44" spans="1:16" hidden="1" x14ac:dyDescent="0.25">
      <c r="A44" s="958">
        <v>44592</v>
      </c>
      <c r="B44" s="959">
        <v>44592</v>
      </c>
      <c r="C44" s="960" t="s">
        <v>1679</v>
      </c>
      <c r="D44" s="960" t="s">
        <v>1657</v>
      </c>
      <c r="E44" s="961" t="s">
        <v>762</v>
      </c>
      <c r="F44" s="962" t="s">
        <v>1526</v>
      </c>
      <c r="G44" s="960"/>
      <c r="H44" s="960"/>
      <c r="I44" s="963" t="s">
        <v>1638</v>
      </c>
      <c r="J44" s="990" t="s">
        <v>1681</v>
      </c>
      <c r="K44" s="704" t="str">
        <f>IF(L44=0,"",(INDEX(AccountCodes[ACCOUNT NAME],MATCH(L44,AccountCodes[NGAS CODE],0))))</f>
        <v>Due to BIR - 5%</v>
      </c>
      <c r="L44" s="966" t="s">
        <v>1548</v>
      </c>
      <c r="M44" s="967">
        <v>50698.04</v>
      </c>
      <c r="N44" s="967"/>
      <c r="O44" s="984"/>
      <c r="P44" s="150">
        <f t="shared" si="1"/>
        <v>50698.04</v>
      </c>
    </row>
    <row r="45" spans="1:16" hidden="1" x14ac:dyDescent="0.25">
      <c r="A45" s="958">
        <v>44592</v>
      </c>
      <c r="B45" s="959">
        <v>44592</v>
      </c>
      <c r="C45" s="960" t="s">
        <v>1679</v>
      </c>
      <c r="D45" s="960" t="s">
        <v>1657</v>
      </c>
      <c r="E45" s="961" t="s">
        <v>762</v>
      </c>
      <c r="F45" s="962" t="s">
        <v>1526</v>
      </c>
      <c r="G45" s="494"/>
      <c r="H45" s="494"/>
      <c r="I45" s="963" t="s">
        <v>1638</v>
      </c>
      <c r="J45" s="988" t="s">
        <v>1680</v>
      </c>
      <c r="K45" s="704" t="str">
        <f>IF(L45=0,"",(INDEX(AccountCodes[ACCOUNT NAME],MATCH(L45,AccountCodes[NGAS CODE],0))))</f>
        <v>Due to BIR - 2%</v>
      </c>
      <c r="L45" s="955" t="s">
        <v>1550</v>
      </c>
      <c r="M45" s="956">
        <v>517.5</v>
      </c>
      <c r="N45" s="956"/>
      <c r="O45" s="984"/>
      <c r="P45" s="150">
        <f t="shared" si="1"/>
        <v>51215.54</v>
      </c>
    </row>
    <row r="46" spans="1:16" hidden="1" x14ac:dyDescent="0.25">
      <c r="A46" s="958">
        <v>44592</v>
      </c>
      <c r="B46" s="959">
        <v>44592</v>
      </c>
      <c r="C46" s="960" t="s">
        <v>1679</v>
      </c>
      <c r="D46" s="960" t="s">
        <v>1657</v>
      </c>
      <c r="E46" s="961" t="s">
        <v>762</v>
      </c>
      <c r="F46" s="962" t="s">
        <v>1526</v>
      </c>
      <c r="G46" s="960"/>
      <c r="H46" s="960"/>
      <c r="I46" s="963" t="s">
        <v>1638</v>
      </c>
      <c r="J46" s="990"/>
      <c r="K46" s="704" t="str">
        <f>IF(L46=0,"",(INDEX(AccountCodes[ACCOUNT NAME],MATCH(L46,AccountCodes[NGAS CODE],0))))</f>
        <v>Cash in Bank-Local Currency, Current Account - FO</v>
      </c>
      <c r="L46" s="966" t="s">
        <v>1566</v>
      </c>
      <c r="M46" s="967"/>
      <c r="N46" s="967">
        <v>51215.54</v>
      </c>
      <c r="O46" s="1016"/>
      <c r="P46" s="150">
        <f t="shared" si="1"/>
        <v>0</v>
      </c>
    </row>
    <row r="47" spans="1:16" ht="47.25" hidden="1" x14ac:dyDescent="0.25">
      <c r="A47" s="541">
        <v>44620</v>
      </c>
      <c r="B47" s="720">
        <v>44596</v>
      </c>
      <c r="C47" s="494" t="s">
        <v>1687</v>
      </c>
      <c r="D47" s="960" t="s">
        <v>1710</v>
      </c>
      <c r="E47" s="961" t="s">
        <v>762</v>
      </c>
      <c r="F47" s="962" t="s">
        <v>1526</v>
      </c>
      <c r="G47" s="494"/>
      <c r="H47" s="494"/>
      <c r="I47" s="671" t="s">
        <v>1688</v>
      </c>
      <c r="J47" s="988" t="s">
        <v>1689</v>
      </c>
      <c r="K47" s="704" t="str">
        <f>IF(L47=0,"",(INDEX(AccountCodes[ACCOUNT NAME],MATCH(L47,AccountCodes[NGAS CODE],0))))</f>
        <v>Office Supplies Expenses</v>
      </c>
      <c r="L47" s="955" t="s">
        <v>225</v>
      </c>
      <c r="M47" s="956">
        <v>41322</v>
      </c>
      <c r="N47" s="956"/>
      <c r="O47" s="1016"/>
      <c r="P47" s="150">
        <f t="shared" si="1"/>
        <v>41322</v>
      </c>
    </row>
    <row r="48" spans="1:16" ht="47.25" hidden="1" x14ac:dyDescent="0.25">
      <c r="A48" s="958">
        <v>44620</v>
      </c>
      <c r="B48" s="959">
        <v>44596</v>
      </c>
      <c r="C48" s="960" t="s">
        <v>1687</v>
      </c>
      <c r="D48" s="960" t="s">
        <v>1710</v>
      </c>
      <c r="E48" s="961" t="s">
        <v>762</v>
      </c>
      <c r="F48" s="962" t="s">
        <v>1526</v>
      </c>
      <c r="G48" s="960"/>
      <c r="H48" s="960"/>
      <c r="I48" s="963" t="s">
        <v>1688</v>
      </c>
      <c r="J48" s="990" t="s">
        <v>1689</v>
      </c>
      <c r="K48" s="704" t="str">
        <f>IF(L48=0,"",(INDEX(AccountCodes[ACCOUNT NAME],MATCH(L48,AccountCodes[NGAS CODE],0))))</f>
        <v>Cash in Bank-Local Currency, Current Account - FO</v>
      </c>
      <c r="L48" s="966" t="s">
        <v>1566</v>
      </c>
      <c r="M48" s="967"/>
      <c r="N48" s="967">
        <v>41322</v>
      </c>
      <c r="O48" s="984"/>
      <c r="P48" s="150">
        <f t="shared" si="1"/>
        <v>0</v>
      </c>
    </row>
    <row r="49" spans="1:16" ht="31.5" hidden="1" x14ac:dyDescent="0.25">
      <c r="A49" s="541">
        <v>44620</v>
      </c>
      <c r="B49" s="720">
        <v>44602</v>
      </c>
      <c r="C49" s="494" t="s">
        <v>1690</v>
      </c>
      <c r="D49" s="960" t="s">
        <v>1710</v>
      </c>
      <c r="E49" s="961" t="s">
        <v>762</v>
      </c>
      <c r="F49" s="962" t="s">
        <v>1526</v>
      </c>
      <c r="G49" s="494"/>
      <c r="H49" s="494"/>
      <c r="I49" s="671" t="s">
        <v>1691</v>
      </c>
      <c r="J49" s="988" t="s">
        <v>1692</v>
      </c>
      <c r="K49" s="704" t="str">
        <f>IF(L49=0,"",(INDEX(AccountCodes[ACCOUNT NAME],MATCH(L49,AccountCodes[NGAS CODE],0))))</f>
        <v>Guaranty/Security Deposits Payable</v>
      </c>
      <c r="L49" s="955" t="s">
        <v>115</v>
      </c>
      <c r="M49" s="956">
        <v>279695.34000000003</v>
      </c>
      <c r="N49" s="956"/>
      <c r="O49" s="984"/>
      <c r="P49" s="150">
        <f t="shared" si="1"/>
        <v>279695.34000000003</v>
      </c>
    </row>
    <row r="50" spans="1:16" ht="31.5" hidden="1" x14ac:dyDescent="0.25">
      <c r="A50" s="958">
        <v>44620</v>
      </c>
      <c r="B50" s="959">
        <v>44602</v>
      </c>
      <c r="C50" s="960" t="s">
        <v>1690</v>
      </c>
      <c r="D50" s="960" t="s">
        <v>1710</v>
      </c>
      <c r="E50" s="961" t="s">
        <v>762</v>
      </c>
      <c r="F50" s="962" t="s">
        <v>1526</v>
      </c>
      <c r="G50" s="960"/>
      <c r="H50" s="960"/>
      <c r="I50" s="963" t="s">
        <v>1691</v>
      </c>
      <c r="J50" s="990" t="s">
        <v>1692</v>
      </c>
      <c r="K50" s="704" t="str">
        <f>IF(L50=0,"",(INDEX(AccountCodes[ACCOUNT NAME],MATCH(L50,AccountCodes[NGAS CODE],0))))</f>
        <v>Cash in Bank-Local Currency, Current Account - FO</v>
      </c>
      <c r="L50" s="966" t="s">
        <v>1479</v>
      </c>
      <c r="M50" s="967"/>
      <c r="N50" s="967">
        <v>279695.34000000003</v>
      </c>
      <c r="O50" s="984"/>
      <c r="P50" s="150">
        <f t="shared" si="1"/>
        <v>0</v>
      </c>
    </row>
    <row r="51" spans="1:16" ht="31.5" hidden="1" x14ac:dyDescent="0.25">
      <c r="A51" s="541">
        <v>44620</v>
      </c>
      <c r="B51" s="720">
        <v>44609</v>
      </c>
      <c r="C51" s="494" t="s">
        <v>1693</v>
      </c>
      <c r="D51" s="960" t="s">
        <v>1710</v>
      </c>
      <c r="E51" s="957" t="s">
        <v>762</v>
      </c>
      <c r="F51" s="495" t="s">
        <v>1526</v>
      </c>
      <c r="G51" s="494"/>
      <c r="H51" s="494"/>
      <c r="I51" s="671" t="s">
        <v>1694</v>
      </c>
      <c r="J51" s="988" t="s">
        <v>1695</v>
      </c>
      <c r="K51" s="704" t="str">
        <f>IF(L51=0,"",(INDEX(AccountCodes[ACCOUNT NAME],MATCH(L51,AccountCodes[NGAS CODE],0))))</f>
        <v>Semi-Expendable Furniture, Fixtures and Books Expenses</v>
      </c>
      <c r="L51" s="955" t="s">
        <v>1266</v>
      </c>
      <c r="M51" s="956">
        <v>6985</v>
      </c>
      <c r="N51" s="956"/>
      <c r="O51" s="984"/>
      <c r="P51" s="150">
        <f t="shared" si="1"/>
        <v>6985</v>
      </c>
    </row>
    <row r="52" spans="1:16" ht="31.5" hidden="1" x14ac:dyDescent="0.25">
      <c r="A52" s="541">
        <v>44620</v>
      </c>
      <c r="B52" s="720">
        <v>44609</v>
      </c>
      <c r="C52" s="494" t="s">
        <v>1693</v>
      </c>
      <c r="D52" s="960" t="s">
        <v>1710</v>
      </c>
      <c r="E52" s="957" t="s">
        <v>762</v>
      </c>
      <c r="F52" s="495" t="s">
        <v>1526</v>
      </c>
      <c r="G52" s="494"/>
      <c r="H52" s="494"/>
      <c r="I52" s="671" t="s">
        <v>1694</v>
      </c>
      <c r="J52" s="988" t="s">
        <v>1695</v>
      </c>
      <c r="K52" s="704" t="str">
        <f>IF(L52=0,"",(INDEX(AccountCodes[ACCOUNT NAME],MATCH(L52,AccountCodes[NGAS CODE],0))))</f>
        <v>Due to BIR - 1%</v>
      </c>
      <c r="L52" s="955" t="s">
        <v>1554</v>
      </c>
      <c r="M52" s="956"/>
      <c r="N52" s="956">
        <v>62.37</v>
      </c>
      <c r="O52" s="984"/>
      <c r="P52" s="150">
        <f t="shared" si="1"/>
        <v>6922.63</v>
      </c>
    </row>
    <row r="53" spans="1:16" ht="31.5" hidden="1" x14ac:dyDescent="0.25">
      <c r="A53" s="541">
        <v>44620</v>
      </c>
      <c r="B53" s="720">
        <v>44609</v>
      </c>
      <c r="C53" s="494" t="s">
        <v>1693</v>
      </c>
      <c r="D53" s="960" t="s">
        <v>1710</v>
      </c>
      <c r="E53" s="957" t="s">
        <v>762</v>
      </c>
      <c r="F53" s="495" t="s">
        <v>1526</v>
      </c>
      <c r="G53" s="494"/>
      <c r="H53" s="494"/>
      <c r="I53" s="671" t="s">
        <v>1694</v>
      </c>
      <c r="J53" s="988" t="s">
        <v>1695</v>
      </c>
      <c r="K53" s="704" t="str">
        <f>IF(L53=0,"",(INDEX(AccountCodes[ACCOUNT NAME],MATCH(L53,AccountCodes[NGAS CODE],0))))</f>
        <v>Due to BIR - 5%</v>
      </c>
      <c r="L53" s="955" t="s">
        <v>1548</v>
      </c>
      <c r="M53" s="956"/>
      <c r="N53" s="956">
        <v>311.83</v>
      </c>
      <c r="O53" s="984"/>
      <c r="P53" s="150">
        <f t="shared" si="1"/>
        <v>6610.8</v>
      </c>
    </row>
    <row r="54" spans="1:16" ht="31.5" hidden="1" x14ac:dyDescent="0.25">
      <c r="A54" s="958">
        <v>44620</v>
      </c>
      <c r="B54" s="959">
        <v>44609</v>
      </c>
      <c r="C54" s="960" t="s">
        <v>1693</v>
      </c>
      <c r="D54" s="960" t="s">
        <v>1710</v>
      </c>
      <c r="E54" s="961" t="s">
        <v>762</v>
      </c>
      <c r="F54" s="962" t="s">
        <v>1526</v>
      </c>
      <c r="G54" s="960"/>
      <c r="H54" s="960"/>
      <c r="I54" s="963" t="s">
        <v>1694</v>
      </c>
      <c r="J54" s="990" t="s">
        <v>1695</v>
      </c>
      <c r="K54" s="704" t="str">
        <f>IF(L54=0,"",(INDEX(AccountCodes[ACCOUNT NAME],MATCH(L54,AccountCodes[NGAS CODE],0))))</f>
        <v>Cash in Bank-Local Currency, Current Account - FO</v>
      </c>
      <c r="L54" s="966" t="s">
        <v>1479</v>
      </c>
      <c r="M54" s="967"/>
      <c r="N54" s="967">
        <v>6610.8</v>
      </c>
      <c r="O54" s="984"/>
      <c r="P54" s="150">
        <f t="shared" si="1"/>
        <v>0</v>
      </c>
    </row>
    <row r="55" spans="1:16" ht="63" hidden="1" x14ac:dyDescent="0.25">
      <c r="A55" s="541">
        <v>44620</v>
      </c>
      <c r="B55" s="720">
        <v>44616</v>
      </c>
      <c r="C55" s="494" t="s">
        <v>1696</v>
      </c>
      <c r="D55" s="960" t="s">
        <v>1710</v>
      </c>
      <c r="E55" s="957" t="s">
        <v>762</v>
      </c>
      <c r="F55" s="495" t="s">
        <v>1526</v>
      </c>
      <c r="G55" s="494"/>
      <c r="H55" s="494"/>
      <c r="I55" s="671" t="s">
        <v>1655</v>
      </c>
      <c r="J55" s="988" t="s">
        <v>1697</v>
      </c>
      <c r="K55" s="704" t="str">
        <f>IF(L55=0,"",(INDEX(AccountCodes[ACCOUNT NAME],MATCH(L55,AccountCodes[NGAS CODE],0))))</f>
        <v>Training Expenses</v>
      </c>
      <c r="L55" s="955" t="s">
        <v>224</v>
      </c>
      <c r="M55" s="956">
        <v>7039.5</v>
      </c>
      <c r="N55" s="956"/>
      <c r="O55" s="984"/>
      <c r="P55" s="150">
        <f t="shared" si="1"/>
        <v>7039.5</v>
      </c>
    </row>
    <row r="56" spans="1:16" ht="63" hidden="1" x14ac:dyDescent="0.25">
      <c r="A56" s="958">
        <v>44620</v>
      </c>
      <c r="B56" s="959">
        <v>44616</v>
      </c>
      <c r="C56" s="960" t="s">
        <v>1696</v>
      </c>
      <c r="D56" s="960" t="s">
        <v>1710</v>
      </c>
      <c r="E56" s="961" t="s">
        <v>762</v>
      </c>
      <c r="F56" s="962" t="s">
        <v>1526</v>
      </c>
      <c r="G56" s="960"/>
      <c r="H56" s="960"/>
      <c r="I56" s="963" t="s">
        <v>1655</v>
      </c>
      <c r="J56" s="990" t="s">
        <v>1697</v>
      </c>
      <c r="K56" s="704" t="str">
        <f>IF(L56=0,"",(INDEX(AccountCodes[ACCOUNT NAME],MATCH(L56,AccountCodes[NGAS CODE],0))))</f>
        <v>Cash in Bank-Local Currency, Current Account - FO</v>
      </c>
      <c r="L56" s="966" t="s">
        <v>1566</v>
      </c>
      <c r="M56" s="967"/>
      <c r="N56" s="967">
        <v>7039.5</v>
      </c>
      <c r="O56" s="984"/>
      <c r="P56" s="150">
        <f t="shared" si="1"/>
        <v>0</v>
      </c>
    </row>
    <row r="57" spans="1:16" ht="31.5" hidden="1" x14ac:dyDescent="0.25">
      <c r="A57" s="541">
        <v>44620</v>
      </c>
      <c r="B57" s="720">
        <v>44616</v>
      </c>
      <c r="C57" s="494" t="s">
        <v>1698</v>
      </c>
      <c r="D57" s="960" t="s">
        <v>1710</v>
      </c>
      <c r="E57" s="957" t="s">
        <v>762</v>
      </c>
      <c r="F57" s="495" t="s">
        <v>1526</v>
      </c>
      <c r="G57" s="494"/>
      <c r="H57" s="494"/>
      <c r="I57" s="671" t="s">
        <v>1651</v>
      </c>
      <c r="J57" s="988" t="s">
        <v>1699</v>
      </c>
      <c r="K57" s="704" t="str">
        <f>IF(L57=0,"",(INDEX(AccountCodes[ACCOUNT NAME],MATCH(L57,AccountCodes[NGAS CODE],0))))</f>
        <v>Trust Liabilities - Disallowances / Charges</v>
      </c>
      <c r="L57" s="955" t="s">
        <v>1646</v>
      </c>
      <c r="M57" s="956">
        <v>500</v>
      </c>
      <c r="N57" s="956"/>
      <c r="O57" s="984"/>
      <c r="P57" s="150">
        <f t="shared" si="1"/>
        <v>500</v>
      </c>
    </row>
    <row r="58" spans="1:16" ht="31.5" hidden="1" x14ac:dyDescent="0.25">
      <c r="A58" s="958">
        <v>44620</v>
      </c>
      <c r="B58" s="959">
        <v>44616</v>
      </c>
      <c r="C58" s="960" t="s">
        <v>1698</v>
      </c>
      <c r="D58" s="960" t="s">
        <v>1710</v>
      </c>
      <c r="E58" s="961" t="s">
        <v>762</v>
      </c>
      <c r="F58" s="962" t="s">
        <v>1526</v>
      </c>
      <c r="G58" s="960"/>
      <c r="H58" s="960"/>
      <c r="I58" s="963" t="s">
        <v>1651</v>
      </c>
      <c r="J58" s="990" t="s">
        <v>1699</v>
      </c>
      <c r="K58" s="704" t="str">
        <f>IF(L58=0,"",(INDEX(AccountCodes[ACCOUNT NAME],MATCH(L58,AccountCodes[NGAS CODE],0))))</f>
        <v>Cash in Bank-Local Currency, Current Account - FO</v>
      </c>
      <c r="L58" s="966" t="s">
        <v>1566</v>
      </c>
      <c r="M58" s="967"/>
      <c r="N58" s="967">
        <v>500</v>
      </c>
      <c r="O58" s="984"/>
      <c r="P58" s="150">
        <f t="shared" si="1"/>
        <v>0</v>
      </c>
    </row>
    <row r="59" spans="1:16" ht="31.5" hidden="1" x14ac:dyDescent="0.25">
      <c r="A59" s="541">
        <v>44620</v>
      </c>
      <c r="B59" s="720">
        <v>44616</v>
      </c>
      <c r="C59" s="494" t="s">
        <v>1700</v>
      </c>
      <c r="D59" s="960" t="s">
        <v>1710</v>
      </c>
      <c r="E59" s="957" t="s">
        <v>762</v>
      </c>
      <c r="F59" s="495" t="s">
        <v>1526</v>
      </c>
      <c r="G59" s="494"/>
      <c r="H59" s="494"/>
      <c r="I59" s="671" t="s">
        <v>1638</v>
      </c>
      <c r="J59" s="988" t="s">
        <v>1701</v>
      </c>
      <c r="K59" s="704" t="str">
        <f>IF(L59=0,"",(INDEX(AccountCodes[ACCOUNT NAME],MATCH(L59,AccountCodes[NGAS CODE],0))))</f>
        <v>Due to BIR - Compensation</v>
      </c>
      <c r="L59" s="955" t="s">
        <v>1546</v>
      </c>
      <c r="M59" s="956">
        <v>730.7</v>
      </c>
      <c r="N59" s="956"/>
      <c r="O59" s="984"/>
      <c r="P59" s="150">
        <f t="shared" si="1"/>
        <v>730.7</v>
      </c>
    </row>
    <row r="60" spans="1:16" ht="31.5" hidden="1" x14ac:dyDescent="0.25">
      <c r="A60" s="958">
        <v>44620</v>
      </c>
      <c r="B60" s="959">
        <v>44616</v>
      </c>
      <c r="C60" s="960" t="s">
        <v>1700</v>
      </c>
      <c r="D60" s="960" t="s">
        <v>1710</v>
      </c>
      <c r="E60" s="961" t="s">
        <v>762</v>
      </c>
      <c r="F60" s="962" t="s">
        <v>1526</v>
      </c>
      <c r="G60" s="960"/>
      <c r="H60" s="960"/>
      <c r="I60" s="963" t="s">
        <v>1638</v>
      </c>
      <c r="J60" s="990" t="s">
        <v>1701</v>
      </c>
      <c r="K60" s="704" t="str">
        <f>IF(L60=0,"",(INDEX(AccountCodes[ACCOUNT NAME],MATCH(L60,AccountCodes[NGAS CODE],0))))</f>
        <v>Cash in Bank-Local Currency, Current Account - FO</v>
      </c>
      <c r="L60" s="966" t="s">
        <v>1566</v>
      </c>
      <c r="M60" s="967"/>
      <c r="N60" s="967">
        <v>730.7</v>
      </c>
      <c r="O60" s="984"/>
      <c r="P60" s="150">
        <f t="shared" si="1"/>
        <v>0</v>
      </c>
    </row>
    <row r="61" spans="1:16" hidden="1" x14ac:dyDescent="0.25">
      <c r="A61" s="541">
        <v>44620</v>
      </c>
      <c r="B61" s="720">
        <v>44616</v>
      </c>
      <c r="C61" s="494" t="s">
        <v>1702</v>
      </c>
      <c r="D61" s="960" t="s">
        <v>1710</v>
      </c>
      <c r="E61" s="957" t="s">
        <v>762</v>
      </c>
      <c r="F61" s="495" t="s">
        <v>1526</v>
      </c>
      <c r="G61" s="494"/>
      <c r="H61" s="494"/>
      <c r="I61" s="671" t="s">
        <v>1639</v>
      </c>
      <c r="J61" s="988" t="s">
        <v>1703</v>
      </c>
      <c r="K61" s="704" t="str">
        <f>IF(L61=0,"",(INDEX(AccountCodes[ACCOUNT NAME],MATCH(L61,AccountCodes[NGAS CODE],0))))</f>
        <v>Due to Pag-IBIG - MP2</v>
      </c>
      <c r="L61" s="955" t="s">
        <v>1508</v>
      </c>
      <c r="M61" s="956">
        <v>1000</v>
      </c>
      <c r="N61" s="956"/>
      <c r="O61" s="984"/>
      <c r="P61" s="150">
        <f t="shared" si="1"/>
        <v>1000</v>
      </c>
    </row>
    <row r="62" spans="1:16" hidden="1" x14ac:dyDescent="0.25">
      <c r="A62" s="958">
        <v>44620</v>
      </c>
      <c r="B62" s="959">
        <v>44616</v>
      </c>
      <c r="C62" s="960" t="s">
        <v>1702</v>
      </c>
      <c r="D62" s="960" t="s">
        <v>1710</v>
      </c>
      <c r="E62" s="961" t="s">
        <v>762</v>
      </c>
      <c r="F62" s="962" t="s">
        <v>1526</v>
      </c>
      <c r="G62" s="960"/>
      <c r="H62" s="960"/>
      <c r="I62" s="963" t="s">
        <v>1639</v>
      </c>
      <c r="J62" s="990" t="s">
        <v>1703</v>
      </c>
      <c r="K62" s="704" t="str">
        <f>IF(L62=0,"",(INDEX(AccountCodes[ACCOUNT NAME],MATCH(L62,AccountCodes[NGAS CODE],0))))</f>
        <v>Cash in Bank-Local Currency, Current Account - FO</v>
      </c>
      <c r="L62" s="966" t="s">
        <v>1566</v>
      </c>
      <c r="M62" s="967"/>
      <c r="N62" s="967">
        <v>1000</v>
      </c>
      <c r="O62" s="984"/>
      <c r="P62" s="150">
        <f t="shared" si="1"/>
        <v>0</v>
      </c>
    </row>
    <row r="63" spans="1:16" ht="31.5" hidden="1" x14ac:dyDescent="0.25">
      <c r="A63" s="541">
        <v>44620</v>
      </c>
      <c r="B63" s="720">
        <v>44616</v>
      </c>
      <c r="C63" s="494" t="s">
        <v>1704</v>
      </c>
      <c r="D63" s="960" t="s">
        <v>1710</v>
      </c>
      <c r="E63" s="957" t="s">
        <v>762</v>
      </c>
      <c r="F63" s="495" t="s">
        <v>1526</v>
      </c>
      <c r="G63" s="494"/>
      <c r="H63" s="494"/>
      <c r="I63" s="671" t="s">
        <v>1636</v>
      </c>
      <c r="J63" s="988" t="s">
        <v>1705</v>
      </c>
      <c r="K63" s="704" t="str">
        <f>IF(L63=0,"",(INDEX(AccountCodes[ACCOUNT NAME],MATCH(L63,AccountCodes[NGAS CODE],0))))</f>
        <v>PhilHealth Contributions</v>
      </c>
      <c r="L63" s="955" t="s">
        <v>177</v>
      </c>
      <c r="M63" s="956">
        <v>1054.06</v>
      </c>
      <c r="N63" s="956"/>
      <c r="O63" s="984"/>
      <c r="P63" s="150">
        <f t="shared" si="1"/>
        <v>1054.06</v>
      </c>
    </row>
    <row r="64" spans="1:16" ht="31.5" hidden="1" x14ac:dyDescent="0.25">
      <c r="A64" s="958">
        <v>44620</v>
      </c>
      <c r="B64" s="959">
        <v>44616</v>
      </c>
      <c r="C64" s="960" t="s">
        <v>1704</v>
      </c>
      <c r="D64" s="960" t="s">
        <v>1710</v>
      </c>
      <c r="E64" s="961" t="s">
        <v>762</v>
      </c>
      <c r="F64" s="962" t="s">
        <v>1526</v>
      </c>
      <c r="G64" s="960"/>
      <c r="H64" s="960"/>
      <c r="I64" s="963" t="s">
        <v>1636</v>
      </c>
      <c r="J64" s="990" t="s">
        <v>1705</v>
      </c>
      <c r="K64" s="704" t="str">
        <f>IF(L64=0,"",(INDEX(AccountCodes[ACCOUNT NAME],MATCH(L64,AccountCodes[NGAS CODE],0))))</f>
        <v>Due to PhilHealth</v>
      </c>
      <c r="L64" s="966" t="s">
        <v>112</v>
      </c>
      <c r="M64" s="967">
        <v>1054.04</v>
      </c>
      <c r="N64" s="967"/>
      <c r="O64" s="984"/>
      <c r="P64" s="150">
        <f t="shared" si="1"/>
        <v>2108.1</v>
      </c>
    </row>
    <row r="65" spans="1:16" ht="31.5" hidden="1" x14ac:dyDescent="0.25">
      <c r="A65" s="958">
        <v>44620</v>
      </c>
      <c r="B65" s="959">
        <v>44616</v>
      </c>
      <c r="C65" s="960" t="s">
        <v>1704</v>
      </c>
      <c r="D65" s="960" t="s">
        <v>1710</v>
      </c>
      <c r="E65" s="961" t="s">
        <v>762</v>
      </c>
      <c r="F65" s="962" t="s">
        <v>1526</v>
      </c>
      <c r="G65" s="960"/>
      <c r="H65" s="960"/>
      <c r="I65" s="963" t="s">
        <v>1636</v>
      </c>
      <c r="J65" s="990" t="s">
        <v>1705</v>
      </c>
      <c r="K65" s="704" t="str">
        <f>IF(L65=0,"",(INDEX(AccountCodes[ACCOUNT NAME],MATCH(L65,AccountCodes[NGAS CODE],0))))</f>
        <v>Cash in Bank-Local Currency, Current Account - FO</v>
      </c>
      <c r="L65" s="966" t="s">
        <v>1566</v>
      </c>
      <c r="M65" s="967"/>
      <c r="N65" s="967">
        <v>2108.1</v>
      </c>
      <c r="O65" s="984"/>
      <c r="P65" s="150">
        <f t="shared" si="1"/>
        <v>0</v>
      </c>
    </row>
    <row r="66" spans="1:16" ht="31.5" hidden="1" x14ac:dyDescent="0.25">
      <c r="A66" s="541">
        <v>44620</v>
      </c>
      <c r="B66" s="720">
        <v>44616</v>
      </c>
      <c r="C66" s="494" t="s">
        <v>1706</v>
      </c>
      <c r="D66" s="960" t="s">
        <v>1710</v>
      </c>
      <c r="E66" s="957" t="s">
        <v>762</v>
      </c>
      <c r="F66" s="495" t="s">
        <v>1526</v>
      </c>
      <c r="G66" s="494"/>
      <c r="H66" s="494"/>
      <c r="I66" s="671" t="s">
        <v>1639</v>
      </c>
      <c r="J66" s="988" t="s">
        <v>1707</v>
      </c>
      <c r="K66" s="704" t="str">
        <f>IF(L66=0,"",(INDEX(AccountCodes[ACCOUNT NAME],MATCH(L66,AccountCodes[NGAS CODE],0))))</f>
        <v>Pag-IBIG Contributions</v>
      </c>
      <c r="L66" s="955" t="s">
        <v>176</v>
      </c>
      <c r="M66" s="956">
        <v>300</v>
      </c>
      <c r="N66" s="956"/>
      <c r="O66" s="984"/>
      <c r="P66" s="150">
        <f t="shared" si="1"/>
        <v>300</v>
      </c>
    </row>
    <row r="67" spans="1:16" ht="31.5" hidden="1" x14ac:dyDescent="0.25">
      <c r="A67" s="958">
        <v>44620</v>
      </c>
      <c r="B67" s="959">
        <v>44616</v>
      </c>
      <c r="C67" s="960" t="s">
        <v>1706</v>
      </c>
      <c r="D67" s="960" t="s">
        <v>1710</v>
      </c>
      <c r="E67" s="961" t="s">
        <v>762</v>
      </c>
      <c r="F67" s="962" t="s">
        <v>1526</v>
      </c>
      <c r="G67" s="960"/>
      <c r="H67" s="960"/>
      <c r="I67" s="963" t="s">
        <v>1639</v>
      </c>
      <c r="J67" s="990" t="s">
        <v>1707</v>
      </c>
      <c r="K67" s="704" t="str">
        <f>IF(L67=0,"",(INDEX(AccountCodes[ACCOUNT NAME],MATCH(L67,AccountCodes[NGAS CODE],0))))</f>
        <v>Due to Pag-IBIG - Pag-IBIG Premium</v>
      </c>
      <c r="L67" s="966" t="s">
        <v>1444</v>
      </c>
      <c r="M67" s="967">
        <v>1446.64</v>
      </c>
      <c r="N67" s="967"/>
      <c r="O67" s="984"/>
      <c r="P67" s="150">
        <f t="shared" si="1"/>
        <v>1746.64</v>
      </c>
    </row>
    <row r="68" spans="1:16" ht="31.5" hidden="1" x14ac:dyDescent="0.25">
      <c r="A68" s="958">
        <v>44620</v>
      </c>
      <c r="B68" s="959">
        <v>44616</v>
      </c>
      <c r="C68" s="960" t="s">
        <v>1706</v>
      </c>
      <c r="D68" s="960" t="s">
        <v>1710</v>
      </c>
      <c r="E68" s="961" t="s">
        <v>762</v>
      </c>
      <c r="F68" s="962" t="s">
        <v>1526</v>
      </c>
      <c r="G68" s="960"/>
      <c r="H68" s="960"/>
      <c r="I68" s="963" t="s">
        <v>1639</v>
      </c>
      <c r="J68" s="990" t="s">
        <v>1707</v>
      </c>
      <c r="K68" s="704" t="str">
        <f>IF(L68=0,"",(INDEX(AccountCodes[ACCOUNT NAME],MATCH(L68,AccountCodes[NGAS CODE],0))))</f>
        <v>Cash in Bank-Local Currency, Current Account - FO</v>
      </c>
      <c r="L68" s="966" t="s">
        <v>1566</v>
      </c>
      <c r="M68" s="967"/>
      <c r="N68" s="967">
        <v>1746.64</v>
      </c>
      <c r="O68" s="984"/>
      <c r="P68" s="150">
        <f t="shared" si="1"/>
        <v>0</v>
      </c>
    </row>
    <row r="69" spans="1:16" ht="31.5" hidden="1" x14ac:dyDescent="0.25">
      <c r="A69" s="541">
        <v>44620</v>
      </c>
      <c r="B69" s="720">
        <v>44616</v>
      </c>
      <c r="C69" s="494" t="s">
        <v>1708</v>
      </c>
      <c r="D69" s="960" t="s">
        <v>1710</v>
      </c>
      <c r="E69" s="957" t="s">
        <v>762</v>
      </c>
      <c r="F69" s="495" t="s">
        <v>1526</v>
      </c>
      <c r="G69" s="494"/>
      <c r="H69" s="494"/>
      <c r="I69" s="671" t="s">
        <v>1641</v>
      </c>
      <c r="J69" s="988" t="s">
        <v>1709</v>
      </c>
      <c r="K69" s="704" t="str">
        <f>IF(L69=0,"",(INDEX(AccountCodes[ACCOUNT NAME],MATCH(L69,AccountCodes[NGAS CODE],0))))</f>
        <v>Retirement and Life Insurance Premiums</v>
      </c>
      <c r="L69" s="955" t="s">
        <v>175</v>
      </c>
      <c r="M69" s="956">
        <v>8432.4</v>
      </c>
      <c r="N69" s="956"/>
      <c r="O69" s="984"/>
      <c r="P69" s="150">
        <f t="shared" si="1"/>
        <v>8432.4</v>
      </c>
    </row>
    <row r="70" spans="1:16" ht="31.5" hidden="1" x14ac:dyDescent="0.25">
      <c r="A70" s="541">
        <v>44620</v>
      </c>
      <c r="B70" s="720">
        <v>44616</v>
      </c>
      <c r="C70" s="494" t="s">
        <v>1708</v>
      </c>
      <c r="D70" s="960" t="s">
        <v>1710</v>
      </c>
      <c r="E70" s="957" t="s">
        <v>762</v>
      </c>
      <c r="F70" s="495" t="s">
        <v>1526</v>
      </c>
      <c r="G70" s="494"/>
      <c r="H70" s="494"/>
      <c r="I70" s="671" t="s">
        <v>1641</v>
      </c>
      <c r="J70" s="988" t="s">
        <v>1709</v>
      </c>
      <c r="K70" s="704" t="str">
        <f>IF(L70=0,"",(INDEX(AccountCodes[ACCOUNT NAME],MATCH(L70,AccountCodes[NGAS CODE],0))))</f>
        <v>Due to GSIS - Life and Retirement Premium</v>
      </c>
      <c r="L70" s="955" t="s">
        <v>1440</v>
      </c>
      <c r="M70" s="956">
        <v>6324.3</v>
      </c>
      <c r="N70" s="956"/>
      <c r="O70" s="984"/>
      <c r="P70" s="150">
        <f t="shared" si="1"/>
        <v>14756.7</v>
      </c>
    </row>
    <row r="71" spans="1:16" ht="31.5" hidden="1" x14ac:dyDescent="0.25">
      <c r="A71" s="541">
        <v>44620</v>
      </c>
      <c r="B71" s="720">
        <v>44616</v>
      </c>
      <c r="C71" s="494" t="s">
        <v>1708</v>
      </c>
      <c r="D71" s="960" t="s">
        <v>1710</v>
      </c>
      <c r="E71" s="957" t="s">
        <v>762</v>
      </c>
      <c r="F71" s="495" t="s">
        <v>1526</v>
      </c>
      <c r="G71" s="494"/>
      <c r="H71" s="494"/>
      <c r="I71" s="671" t="s">
        <v>1641</v>
      </c>
      <c r="J71" s="988" t="s">
        <v>1709</v>
      </c>
      <c r="K71" s="704" t="str">
        <f>IF(L71=0,"",(INDEX(AccountCodes[ACCOUNT NAME],MATCH(L71,AccountCodes[NGAS CODE],0))))</f>
        <v>Employees Compensation Insurance Premiums</v>
      </c>
      <c r="L71" s="955" t="s">
        <v>178</v>
      </c>
      <c r="M71" s="956">
        <v>300</v>
      </c>
      <c r="N71" s="956"/>
      <c r="O71" s="984"/>
      <c r="P71" s="150">
        <f t="shared" si="1"/>
        <v>15056.7</v>
      </c>
    </row>
    <row r="72" spans="1:16" ht="31.5" hidden="1" x14ac:dyDescent="0.25">
      <c r="A72" s="958">
        <v>44620</v>
      </c>
      <c r="B72" s="959">
        <v>44616</v>
      </c>
      <c r="C72" s="960" t="s">
        <v>1708</v>
      </c>
      <c r="D72" s="960" t="s">
        <v>1710</v>
      </c>
      <c r="E72" s="961" t="s">
        <v>762</v>
      </c>
      <c r="F72" s="962" t="s">
        <v>1526</v>
      </c>
      <c r="G72" s="960"/>
      <c r="H72" s="960"/>
      <c r="I72" s="963" t="s">
        <v>1641</v>
      </c>
      <c r="J72" s="990" t="s">
        <v>1709</v>
      </c>
      <c r="K72" s="704" t="str">
        <f>IF(L72=0,"",(INDEX(AccountCodes[ACCOUNT NAME],MATCH(L72,AccountCodes[NGAS CODE],0))))</f>
        <v>Cash in Bank-Local Currency, Current Account - FO</v>
      </c>
      <c r="L72" s="966" t="s">
        <v>1566</v>
      </c>
      <c r="M72" s="967"/>
      <c r="N72" s="967">
        <v>15056.7</v>
      </c>
      <c r="O72" s="984"/>
      <c r="P72" s="150">
        <f t="shared" si="1"/>
        <v>0</v>
      </c>
    </row>
    <row r="73" spans="1:16" ht="31.5" hidden="1" x14ac:dyDescent="0.25">
      <c r="A73" s="951">
        <v>44620</v>
      </c>
      <c r="B73" s="559">
        <v>44607</v>
      </c>
      <c r="C73" s="145" t="s">
        <v>1711</v>
      </c>
      <c r="D73" s="960" t="s">
        <v>1710</v>
      </c>
      <c r="E73" s="961" t="s">
        <v>762</v>
      </c>
      <c r="F73" s="962" t="s">
        <v>1526</v>
      </c>
      <c r="G73" s="145"/>
      <c r="H73" s="145"/>
      <c r="I73" s="560" t="s">
        <v>1667</v>
      </c>
      <c r="J73" s="952" t="s">
        <v>1712</v>
      </c>
      <c r="K73" s="704" t="str">
        <f>IF(L73=0,"",(INDEX(AccountCodes[ACCOUNT NAME],MATCH(L73,AccountCodes[NGAS CODE],0))))</f>
        <v>Salaries and Wages-Regular</v>
      </c>
      <c r="L73" s="953" t="s">
        <v>162</v>
      </c>
      <c r="M73" s="982">
        <v>70270</v>
      </c>
      <c r="N73" s="982"/>
      <c r="O73" s="984"/>
      <c r="P73" s="150">
        <f t="shared" si="1"/>
        <v>70270</v>
      </c>
    </row>
    <row r="74" spans="1:16" ht="31.5" hidden="1" x14ac:dyDescent="0.25">
      <c r="A74" s="951">
        <v>44620</v>
      </c>
      <c r="B74" s="559">
        <v>44607</v>
      </c>
      <c r="C74" s="145" t="s">
        <v>1711</v>
      </c>
      <c r="D74" s="960" t="s">
        <v>1710</v>
      </c>
      <c r="E74" s="961" t="s">
        <v>762</v>
      </c>
      <c r="F74" s="962" t="s">
        <v>1526</v>
      </c>
      <c r="G74" s="145"/>
      <c r="H74" s="145"/>
      <c r="I74" s="560" t="s">
        <v>1667</v>
      </c>
      <c r="J74" s="952" t="s">
        <v>1712</v>
      </c>
      <c r="K74" s="704" t="str">
        <f>IF(L74=0,"",(INDEX(AccountCodes[ACCOUNT NAME],MATCH(L74,AccountCodes[NGAS CODE],0))))</f>
        <v>Personal Economic Relief Allowance (PERA)</v>
      </c>
      <c r="L74" s="953" t="s">
        <v>164</v>
      </c>
      <c r="M74" s="982">
        <v>6000</v>
      </c>
      <c r="N74" s="982"/>
      <c r="O74" s="984"/>
      <c r="P74" s="150">
        <f t="shared" si="1"/>
        <v>76270</v>
      </c>
    </row>
    <row r="75" spans="1:16" ht="31.5" hidden="1" x14ac:dyDescent="0.25">
      <c r="A75" s="951">
        <v>44620</v>
      </c>
      <c r="B75" s="559">
        <v>44607</v>
      </c>
      <c r="C75" s="145" t="s">
        <v>1711</v>
      </c>
      <c r="D75" s="960" t="s">
        <v>1710</v>
      </c>
      <c r="E75" s="957" t="s">
        <v>762</v>
      </c>
      <c r="F75" s="495" t="s">
        <v>1526</v>
      </c>
      <c r="G75" s="145"/>
      <c r="H75" s="145"/>
      <c r="I75" s="560" t="s">
        <v>1667</v>
      </c>
      <c r="J75" s="952" t="s">
        <v>1712</v>
      </c>
      <c r="K75" s="704" t="str">
        <f>IF(L75=0,"",(INDEX(AccountCodes[ACCOUNT NAME],MATCH(L75,AccountCodes[NGAS CODE],0))))</f>
        <v>Due to BIR - Compensation</v>
      </c>
      <c r="L75" s="953" t="s">
        <v>1546</v>
      </c>
      <c r="M75" s="982"/>
      <c r="N75" s="982">
        <v>730.7</v>
      </c>
      <c r="O75" s="984"/>
      <c r="P75" s="150">
        <f t="shared" si="1"/>
        <v>75539.3</v>
      </c>
    </row>
    <row r="76" spans="1:16" ht="31.5" hidden="1" x14ac:dyDescent="0.25">
      <c r="A76" s="951">
        <v>44620</v>
      </c>
      <c r="B76" s="559">
        <v>44607</v>
      </c>
      <c r="C76" s="145" t="s">
        <v>1711</v>
      </c>
      <c r="D76" s="960" t="s">
        <v>1710</v>
      </c>
      <c r="E76" s="961" t="s">
        <v>762</v>
      </c>
      <c r="F76" s="962" t="s">
        <v>1526</v>
      </c>
      <c r="G76" s="145"/>
      <c r="H76" s="145"/>
      <c r="I76" s="560" t="s">
        <v>1667</v>
      </c>
      <c r="J76" s="952" t="s">
        <v>1712</v>
      </c>
      <c r="K76" s="704" t="str">
        <f>IF(L76=0,"",(INDEX(AccountCodes[ACCOUNT NAME],MATCH(L76,AccountCodes[NGAS CODE],0))))</f>
        <v>Due to GSIS - Life and Retirement Premium</v>
      </c>
      <c r="L76" s="953" t="s">
        <v>1440</v>
      </c>
      <c r="M76" s="982"/>
      <c r="N76" s="982">
        <v>6324.3</v>
      </c>
      <c r="O76" s="984"/>
      <c r="P76" s="150">
        <f t="shared" si="1"/>
        <v>69215</v>
      </c>
    </row>
    <row r="77" spans="1:16" ht="31.5" hidden="1" x14ac:dyDescent="0.25">
      <c r="A77" s="951">
        <v>44620</v>
      </c>
      <c r="B77" s="559">
        <v>44607</v>
      </c>
      <c r="C77" s="145" t="s">
        <v>1711</v>
      </c>
      <c r="D77" s="960" t="s">
        <v>1710</v>
      </c>
      <c r="E77" s="961" t="s">
        <v>762</v>
      </c>
      <c r="F77" s="962" t="s">
        <v>1526</v>
      </c>
      <c r="G77" s="145"/>
      <c r="H77" s="145"/>
      <c r="I77" s="560" t="s">
        <v>1667</v>
      </c>
      <c r="J77" s="952" t="s">
        <v>1712</v>
      </c>
      <c r="K77" s="704" t="str">
        <f>IF(L77=0,"",(INDEX(AccountCodes[ACCOUNT NAME],MATCH(L77,AccountCodes[NGAS CODE],0))))</f>
        <v>Due to Pag-IBIG - Pag-IBIG Premium</v>
      </c>
      <c r="L77" s="953" t="s">
        <v>1444</v>
      </c>
      <c r="M77" s="982"/>
      <c r="N77" s="982">
        <v>1446.64</v>
      </c>
      <c r="O77" s="984"/>
      <c r="P77" s="150">
        <f t="shared" si="1"/>
        <v>67768.36</v>
      </c>
    </row>
    <row r="78" spans="1:16" ht="31.5" hidden="1" x14ac:dyDescent="0.25">
      <c r="A78" s="951">
        <v>44620</v>
      </c>
      <c r="B78" s="559">
        <v>44607</v>
      </c>
      <c r="C78" s="145" t="s">
        <v>1711</v>
      </c>
      <c r="D78" s="960" t="s">
        <v>1710</v>
      </c>
      <c r="E78" s="957" t="s">
        <v>762</v>
      </c>
      <c r="F78" s="495" t="s">
        <v>1526</v>
      </c>
      <c r="G78" s="145"/>
      <c r="H78" s="145"/>
      <c r="I78" s="560" t="s">
        <v>1667</v>
      </c>
      <c r="J78" s="952" t="s">
        <v>1712</v>
      </c>
      <c r="K78" s="704" t="str">
        <f>IF(L78=0,"",(INDEX(AccountCodes[ACCOUNT NAME],MATCH(L78,AccountCodes[NGAS CODE],0))))</f>
        <v>Due to Pag-IBIG - MP2</v>
      </c>
      <c r="L78" s="953" t="s">
        <v>1508</v>
      </c>
      <c r="M78" s="982"/>
      <c r="N78" s="982">
        <v>1000</v>
      </c>
      <c r="O78" s="984"/>
      <c r="P78" s="150">
        <f t="shared" si="1"/>
        <v>66768.36</v>
      </c>
    </row>
    <row r="79" spans="1:16" ht="31.5" hidden="1" x14ac:dyDescent="0.25">
      <c r="A79" s="951">
        <v>44620</v>
      </c>
      <c r="B79" s="559">
        <v>44607</v>
      </c>
      <c r="C79" s="145" t="s">
        <v>1711</v>
      </c>
      <c r="D79" s="960" t="s">
        <v>1710</v>
      </c>
      <c r="E79" s="957" t="s">
        <v>762</v>
      </c>
      <c r="F79" s="495" t="s">
        <v>1526</v>
      </c>
      <c r="G79" s="145"/>
      <c r="H79" s="145"/>
      <c r="I79" s="560" t="s">
        <v>1667</v>
      </c>
      <c r="J79" s="952" t="s">
        <v>1712</v>
      </c>
      <c r="K79" s="680" t="str">
        <f>IF(L79=0,"",(INDEX(AccountCodes[ACCOUNT NAME],MATCH(L79,AccountCodes[NGAS CODE],0))))</f>
        <v>Due to PhilHealth</v>
      </c>
      <c r="L79" s="953" t="s">
        <v>112</v>
      </c>
      <c r="M79" s="982"/>
      <c r="N79" s="982">
        <v>1054.04</v>
      </c>
      <c r="O79" s="1017"/>
      <c r="P79" s="150">
        <f t="shared" si="1"/>
        <v>65714.320000000007</v>
      </c>
    </row>
    <row r="80" spans="1:16" ht="31.5" hidden="1" x14ac:dyDescent="0.25">
      <c r="A80" s="951">
        <v>44620</v>
      </c>
      <c r="B80" s="559">
        <v>44607</v>
      </c>
      <c r="C80" s="145" t="s">
        <v>1711</v>
      </c>
      <c r="D80" s="960" t="s">
        <v>1710</v>
      </c>
      <c r="E80" s="957" t="s">
        <v>762</v>
      </c>
      <c r="F80" s="495" t="s">
        <v>1526</v>
      </c>
      <c r="G80" s="145"/>
      <c r="H80" s="145"/>
      <c r="I80" s="560" t="s">
        <v>1667</v>
      </c>
      <c r="J80" s="952" t="s">
        <v>1712</v>
      </c>
      <c r="K80" s="680" t="str">
        <f>IF(L80=0,"",(INDEX(AccountCodes[ACCOUNT NAME],MATCH(L80,AccountCodes[NGAS CODE],0))))</f>
        <v>Trust Liabilities - Disallowances / Charges</v>
      </c>
      <c r="L80" s="953" t="s">
        <v>1646</v>
      </c>
      <c r="M80" s="982"/>
      <c r="N80" s="982">
        <v>500</v>
      </c>
      <c r="O80" s="1017"/>
      <c r="P80" s="150">
        <f t="shared" si="1"/>
        <v>65214.32</v>
      </c>
    </row>
    <row r="81" spans="1:16" ht="31.5" hidden="1" x14ac:dyDescent="0.25">
      <c r="A81" s="714">
        <v>44620</v>
      </c>
      <c r="B81" s="975">
        <v>44607</v>
      </c>
      <c r="C81" s="663" t="s">
        <v>1711</v>
      </c>
      <c r="D81" s="960" t="s">
        <v>1710</v>
      </c>
      <c r="E81" s="961" t="s">
        <v>762</v>
      </c>
      <c r="F81" s="962" t="s">
        <v>1526</v>
      </c>
      <c r="G81" s="663"/>
      <c r="H81" s="663"/>
      <c r="I81" s="976" t="s">
        <v>1667</v>
      </c>
      <c r="J81" s="974" t="s">
        <v>1712</v>
      </c>
      <c r="K81" s="680" t="str">
        <f>IF(L81=0,"",(INDEX(AccountCodes[ACCOUNT NAME],MATCH(L81,AccountCodes[NGAS CODE],0))))</f>
        <v>Cash in Bank-Local Currency, Current Account - FO</v>
      </c>
      <c r="L81" s="978" t="s">
        <v>1566</v>
      </c>
      <c r="M81" s="979"/>
      <c r="N81" s="979">
        <v>32607.17</v>
      </c>
      <c r="O81" s="1017"/>
      <c r="P81" s="150">
        <f t="shared" si="1"/>
        <v>32607.15</v>
      </c>
    </row>
    <row r="82" spans="1:16" ht="31.5" hidden="1" x14ac:dyDescent="0.25">
      <c r="A82" s="714">
        <v>44620</v>
      </c>
      <c r="B82" s="975">
        <v>44620</v>
      </c>
      <c r="C82" s="663" t="s">
        <v>1713</v>
      </c>
      <c r="D82" s="663" t="s">
        <v>1710</v>
      </c>
      <c r="E82" s="666" t="s">
        <v>762</v>
      </c>
      <c r="F82" s="664" t="s">
        <v>1526</v>
      </c>
      <c r="G82" s="663"/>
      <c r="H82" s="663"/>
      <c r="I82" s="976" t="s">
        <v>1667</v>
      </c>
      <c r="J82" s="974" t="s">
        <v>1712</v>
      </c>
      <c r="K82" s="680" t="str">
        <f>IF(L82=0,"",(INDEX(AccountCodes[ACCOUNT NAME],MATCH(L82,AccountCodes[NGAS CODE],0))))</f>
        <v>Cash in Bank-Local Currency, Current Account - FO</v>
      </c>
      <c r="L82" s="978" t="s">
        <v>1566</v>
      </c>
      <c r="M82" s="979"/>
      <c r="N82" s="979">
        <v>32607.15</v>
      </c>
      <c r="O82" s="1017"/>
      <c r="P82" s="150">
        <f t="shared" si="1"/>
        <v>0</v>
      </c>
    </row>
    <row r="83" spans="1:16" ht="47.25" hidden="1" x14ac:dyDescent="0.25">
      <c r="A83" s="951">
        <v>44620</v>
      </c>
      <c r="B83" s="559">
        <v>44620</v>
      </c>
      <c r="C83" s="145" t="s">
        <v>1714</v>
      </c>
      <c r="D83" s="145" t="s">
        <v>1710</v>
      </c>
      <c r="E83" s="185" t="s">
        <v>762</v>
      </c>
      <c r="F83" s="137" t="s">
        <v>1526</v>
      </c>
      <c r="G83" s="145"/>
      <c r="H83" s="145"/>
      <c r="I83" s="560" t="s">
        <v>1638</v>
      </c>
      <c r="J83" s="952" t="s">
        <v>1715</v>
      </c>
      <c r="K83" s="680" t="str">
        <f>IF(L83=0,"",(INDEX(AccountCodes[ACCOUNT NAME],MATCH(L83,AccountCodes[NGAS CODE],0))))</f>
        <v>Due to BIR - 5%</v>
      </c>
      <c r="L83" s="953" t="s">
        <v>1548</v>
      </c>
      <c r="M83" s="982">
        <v>311.83</v>
      </c>
      <c r="N83" s="982"/>
      <c r="O83" s="1017"/>
      <c r="P83" s="150">
        <f t="shared" si="1"/>
        <v>311.83</v>
      </c>
    </row>
    <row r="84" spans="1:16" ht="47.25" hidden="1" x14ac:dyDescent="0.25">
      <c r="A84" s="714">
        <v>44620</v>
      </c>
      <c r="B84" s="975">
        <v>44620</v>
      </c>
      <c r="C84" s="663" t="s">
        <v>1714</v>
      </c>
      <c r="D84" s="663" t="s">
        <v>1710</v>
      </c>
      <c r="E84" s="666" t="s">
        <v>762</v>
      </c>
      <c r="F84" s="664" t="s">
        <v>1526</v>
      </c>
      <c r="G84" s="663"/>
      <c r="H84" s="663"/>
      <c r="I84" s="976" t="s">
        <v>1638</v>
      </c>
      <c r="J84" s="974" t="s">
        <v>1715</v>
      </c>
      <c r="K84" s="680" t="str">
        <f>IF(L84=0,"",(INDEX(AccountCodes[ACCOUNT NAME],MATCH(L84,AccountCodes[NGAS CODE],0))))</f>
        <v>Cash in Bank-Local Currency, Current Account - FO</v>
      </c>
      <c r="L84" s="978" t="s">
        <v>1566</v>
      </c>
      <c r="M84" s="979"/>
      <c r="N84" s="979">
        <v>311.83</v>
      </c>
      <c r="O84" s="1017"/>
      <c r="P84" s="150">
        <f t="shared" si="1"/>
        <v>0</v>
      </c>
    </row>
    <row r="85" spans="1:16" ht="47.25" hidden="1" x14ac:dyDescent="0.25">
      <c r="A85" s="951">
        <v>44620</v>
      </c>
      <c r="B85" s="559">
        <v>44620</v>
      </c>
      <c r="C85" s="145" t="s">
        <v>1714</v>
      </c>
      <c r="D85" s="145" t="s">
        <v>1710</v>
      </c>
      <c r="E85" s="185" t="s">
        <v>762</v>
      </c>
      <c r="F85" s="137" t="s">
        <v>1526</v>
      </c>
      <c r="G85" s="145"/>
      <c r="H85" s="145"/>
      <c r="I85" s="560" t="s">
        <v>1638</v>
      </c>
      <c r="J85" s="952" t="s">
        <v>1717</v>
      </c>
      <c r="K85" s="680" t="str">
        <f>IF(L85=0,"",(INDEX(AccountCodes[ACCOUNT NAME],MATCH(L85,AccountCodes[NGAS CODE],0))))</f>
        <v>Due to BIR - 1%</v>
      </c>
      <c r="L85" s="953" t="s">
        <v>1554</v>
      </c>
      <c r="M85" s="982">
        <v>62.37</v>
      </c>
      <c r="N85" s="982"/>
      <c r="O85" s="1017"/>
      <c r="P85" s="150">
        <f t="shared" ref="P85" si="2">P84+M85-N85</f>
        <v>62.37</v>
      </c>
    </row>
    <row r="86" spans="1:16" ht="47.25" hidden="1" x14ac:dyDescent="0.25">
      <c r="A86" s="714">
        <v>44620</v>
      </c>
      <c r="B86" s="975">
        <v>44620</v>
      </c>
      <c r="C86" s="663" t="s">
        <v>1716</v>
      </c>
      <c r="D86" s="663" t="s">
        <v>1710</v>
      </c>
      <c r="E86" s="666" t="s">
        <v>762</v>
      </c>
      <c r="F86" s="664" t="s">
        <v>1526</v>
      </c>
      <c r="G86" s="663"/>
      <c r="H86" s="663"/>
      <c r="I86" s="976" t="s">
        <v>1638</v>
      </c>
      <c r="J86" s="974" t="s">
        <v>1717</v>
      </c>
      <c r="K86" s="680" t="str">
        <f>IF(L86=0,"",(INDEX(AccountCodes[ACCOUNT NAME],MATCH(L86,AccountCodes[NGAS CODE],0))))</f>
        <v>Cash in Bank-Local Currency, Current Account - FO</v>
      </c>
      <c r="L86" s="978" t="s">
        <v>1566</v>
      </c>
      <c r="M86" s="979"/>
      <c r="N86" s="979">
        <v>62.37</v>
      </c>
      <c r="O86" s="1017"/>
      <c r="P86" s="987">
        <f>P85+M86-N86</f>
        <v>0</v>
      </c>
    </row>
    <row r="87" spans="1:16" ht="31.5" hidden="1" x14ac:dyDescent="0.25">
      <c r="A87" s="951">
        <v>44620</v>
      </c>
      <c r="B87" s="559">
        <v>44609</v>
      </c>
      <c r="C87" s="145" t="s">
        <v>1718</v>
      </c>
      <c r="D87" s="145" t="s">
        <v>1710</v>
      </c>
      <c r="E87" s="185" t="s">
        <v>762</v>
      </c>
      <c r="F87" s="137" t="s">
        <v>1526</v>
      </c>
      <c r="G87" s="145"/>
      <c r="H87" s="145"/>
      <c r="I87" s="560" t="s">
        <v>1719</v>
      </c>
      <c r="J87" s="952" t="s">
        <v>1720</v>
      </c>
      <c r="K87" s="680" t="str">
        <f>IF(L87=0,"",(INDEX(AccountCodes[ACCOUNT NAME],MATCH(L87,AccountCodes[NGAS CODE],0))))</f>
        <v>Clothing/Uniform Allowance</v>
      </c>
      <c r="L87" s="953" t="s">
        <v>167</v>
      </c>
      <c r="M87" s="982">
        <v>12000</v>
      </c>
      <c r="N87" s="982"/>
      <c r="O87" s="1017"/>
      <c r="P87" s="987">
        <f>P86+M87-N87</f>
        <v>12000</v>
      </c>
    </row>
    <row r="88" spans="1:16" ht="31.5" hidden="1" x14ac:dyDescent="0.25">
      <c r="A88" s="714">
        <v>44620</v>
      </c>
      <c r="B88" s="975">
        <v>44609</v>
      </c>
      <c r="C88" s="663" t="s">
        <v>1718</v>
      </c>
      <c r="D88" s="663" t="s">
        <v>1710</v>
      </c>
      <c r="E88" s="666" t="s">
        <v>762</v>
      </c>
      <c r="F88" s="664" t="s">
        <v>1526</v>
      </c>
      <c r="G88" s="663"/>
      <c r="H88" s="663"/>
      <c r="I88" s="976" t="s">
        <v>1719</v>
      </c>
      <c r="J88" s="974" t="s">
        <v>1720</v>
      </c>
      <c r="K88" s="680" t="str">
        <f>IF(L88=0,"",(INDEX(AccountCodes[ACCOUNT NAME],MATCH(L88,AccountCodes[NGAS CODE],0))))</f>
        <v>Cash in Bank-Local Currency, Current Account - FO</v>
      </c>
      <c r="L88" s="978" t="s">
        <v>1566</v>
      </c>
      <c r="M88" s="979"/>
      <c r="N88" s="979">
        <v>12000</v>
      </c>
      <c r="O88" s="1017"/>
      <c r="P88" s="987">
        <f t="shared" ref="P88:P151" si="3">P87+M88-N88</f>
        <v>0</v>
      </c>
    </row>
    <row r="89" spans="1:16" ht="47.25" hidden="1" x14ac:dyDescent="0.25">
      <c r="A89" s="951">
        <v>44651</v>
      </c>
      <c r="B89" s="993">
        <v>44623</v>
      </c>
      <c r="C89" s="994" t="s">
        <v>1722</v>
      </c>
      <c r="D89" s="663" t="s">
        <v>1725</v>
      </c>
      <c r="E89" s="185" t="s">
        <v>762</v>
      </c>
      <c r="F89" s="137" t="s">
        <v>1526</v>
      </c>
      <c r="G89" s="494"/>
      <c r="H89" s="494"/>
      <c r="I89" s="671" t="s">
        <v>1723</v>
      </c>
      <c r="J89" s="954" t="s">
        <v>1724</v>
      </c>
      <c r="K89" s="680" t="str">
        <f>IF(L89=0,"",(INDEX(AccountCodes[ACCOUNT NAME],MATCH(L89,AccountCodes[NGAS CODE],0))))</f>
        <v>Information and Communications Technology Equipment</v>
      </c>
      <c r="L89" s="955" t="s">
        <v>44</v>
      </c>
      <c r="M89" s="513">
        <v>72000</v>
      </c>
      <c r="N89" s="513"/>
      <c r="O89" s="1017"/>
      <c r="P89" s="987">
        <f t="shared" si="3"/>
        <v>72000</v>
      </c>
    </row>
    <row r="90" spans="1:16" ht="47.25" hidden="1" x14ac:dyDescent="0.25">
      <c r="A90" s="951">
        <v>44651</v>
      </c>
      <c r="B90" s="993">
        <v>44623</v>
      </c>
      <c r="C90" s="994" t="s">
        <v>1722</v>
      </c>
      <c r="D90" s="663" t="s">
        <v>1725</v>
      </c>
      <c r="E90" s="666" t="s">
        <v>762</v>
      </c>
      <c r="F90" s="664" t="s">
        <v>1526</v>
      </c>
      <c r="G90" s="494"/>
      <c r="H90" s="494"/>
      <c r="I90" s="671" t="s">
        <v>1723</v>
      </c>
      <c r="J90" s="954" t="s">
        <v>1724</v>
      </c>
      <c r="K90" s="680" t="str">
        <f>IF(L90=0,"",(INDEX(AccountCodes[ACCOUNT NAME],MATCH(L90,AccountCodes[NGAS CODE],0))))</f>
        <v>Semi-Expendable Machinery and Equipment Expenses</v>
      </c>
      <c r="L90" s="955" t="s">
        <v>1265</v>
      </c>
      <c r="M90" s="513">
        <v>12000</v>
      </c>
      <c r="N90" s="513"/>
      <c r="O90" s="1017"/>
      <c r="P90" s="987">
        <f t="shared" si="3"/>
        <v>84000</v>
      </c>
    </row>
    <row r="91" spans="1:16" ht="47.25" hidden="1" x14ac:dyDescent="0.25">
      <c r="A91" s="951">
        <v>44651</v>
      </c>
      <c r="B91" s="993">
        <v>44623</v>
      </c>
      <c r="C91" s="994" t="s">
        <v>1722</v>
      </c>
      <c r="D91" s="663" t="s">
        <v>1725</v>
      </c>
      <c r="E91" s="185" t="s">
        <v>762</v>
      </c>
      <c r="F91" s="137" t="s">
        <v>1526</v>
      </c>
      <c r="G91" s="494"/>
      <c r="H91" s="494"/>
      <c r="I91" s="671" t="s">
        <v>1723</v>
      </c>
      <c r="J91" s="954" t="s">
        <v>1724</v>
      </c>
      <c r="K91" s="680" t="str">
        <f>IF(L91=0,"",(INDEX(AccountCodes[ACCOUNT NAME],MATCH(L91,AccountCodes[NGAS CODE],0))))</f>
        <v>Due to BIR - 1%</v>
      </c>
      <c r="L91" s="955" t="s">
        <v>1554</v>
      </c>
      <c r="M91" s="513"/>
      <c r="N91" s="513">
        <v>750</v>
      </c>
      <c r="O91" s="1017"/>
      <c r="P91" s="987">
        <f t="shared" si="3"/>
        <v>83250</v>
      </c>
    </row>
    <row r="92" spans="1:16" ht="47.25" hidden="1" x14ac:dyDescent="0.25">
      <c r="A92" s="951">
        <v>44651</v>
      </c>
      <c r="B92" s="993">
        <v>44623</v>
      </c>
      <c r="C92" s="994" t="s">
        <v>1722</v>
      </c>
      <c r="D92" s="663" t="s">
        <v>1725</v>
      </c>
      <c r="E92" s="666" t="s">
        <v>762</v>
      </c>
      <c r="F92" s="664" t="s">
        <v>1526</v>
      </c>
      <c r="G92" s="494"/>
      <c r="H92" s="494"/>
      <c r="I92" s="671" t="s">
        <v>1723</v>
      </c>
      <c r="J92" s="954" t="s">
        <v>1724</v>
      </c>
      <c r="K92" s="680" t="str">
        <f>IF(L92=0,"",(INDEX(AccountCodes[ACCOUNT NAME],MATCH(L92,AccountCodes[NGAS CODE],0))))</f>
        <v>Due to BIR - 5%</v>
      </c>
      <c r="L92" s="955" t="s">
        <v>1548</v>
      </c>
      <c r="M92" s="513"/>
      <c r="N92" s="513">
        <v>3750</v>
      </c>
      <c r="O92" s="1017"/>
      <c r="P92" s="987">
        <f t="shared" si="3"/>
        <v>79500</v>
      </c>
    </row>
    <row r="93" spans="1:16" ht="47.25" hidden="1" x14ac:dyDescent="0.25">
      <c r="A93" s="951">
        <v>44651</v>
      </c>
      <c r="B93" s="993">
        <v>44623</v>
      </c>
      <c r="C93" s="994" t="s">
        <v>1722</v>
      </c>
      <c r="D93" s="663" t="s">
        <v>1725</v>
      </c>
      <c r="E93" s="666" t="s">
        <v>762</v>
      </c>
      <c r="F93" s="664" t="s">
        <v>1526</v>
      </c>
      <c r="G93" s="494"/>
      <c r="H93" s="494"/>
      <c r="I93" s="671" t="s">
        <v>1723</v>
      </c>
      <c r="J93" s="954" t="s">
        <v>1724</v>
      </c>
      <c r="K93" s="680" t="str">
        <f>IF(L93=0,"",(INDEX(AccountCodes[ACCOUNT NAME],MATCH(L93,AccountCodes[NGAS CODE],0))))</f>
        <v>Cash in Bank-Local Currency, Current Account - FO</v>
      </c>
      <c r="L93" s="955" t="s">
        <v>1479</v>
      </c>
      <c r="M93" s="513"/>
      <c r="N93" s="513">
        <v>79500</v>
      </c>
      <c r="O93" s="1017"/>
      <c r="P93" s="987">
        <f t="shared" si="3"/>
        <v>0</v>
      </c>
    </row>
    <row r="94" spans="1:16" ht="31.5" hidden="1" x14ac:dyDescent="0.25">
      <c r="A94" s="951">
        <v>44651</v>
      </c>
      <c r="B94" s="720">
        <v>44635</v>
      </c>
      <c r="C94" s="494" t="s">
        <v>1726</v>
      </c>
      <c r="D94" s="663" t="s">
        <v>1725</v>
      </c>
      <c r="E94" s="666" t="s">
        <v>762</v>
      </c>
      <c r="F94" s="664" t="s">
        <v>1526</v>
      </c>
      <c r="G94" s="494"/>
      <c r="H94" s="494"/>
      <c r="I94" s="671" t="s">
        <v>1667</v>
      </c>
      <c r="J94" s="954" t="s">
        <v>1727</v>
      </c>
      <c r="K94" s="680" t="str">
        <f>IF(L94=0,"",(INDEX(AccountCodes[ACCOUNT NAME],MATCH(L94,AccountCodes[NGAS CODE],0))))</f>
        <v>Salaries and Wages-Regular</v>
      </c>
      <c r="L94" s="955" t="s">
        <v>162</v>
      </c>
      <c r="M94" s="513">
        <v>70270</v>
      </c>
      <c r="N94" s="513"/>
      <c r="O94" s="1017"/>
      <c r="P94" s="987">
        <f t="shared" si="3"/>
        <v>70270</v>
      </c>
    </row>
    <row r="95" spans="1:16" ht="31.5" hidden="1" x14ac:dyDescent="0.25">
      <c r="A95" s="951">
        <v>44651</v>
      </c>
      <c r="B95" s="720">
        <v>44635</v>
      </c>
      <c r="C95" s="494" t="s">
        <v>1726</v>
      </c>
      <c r="D95" s="663" t="s">
        <v>1725</v>
      </c>
      <c r="E95" s="185" t="s">
        <v>762</v>
      </c>
      <c r="F95" s="137" t="s">
        <v>1526</v>
      </c>
      <c r="G95" s="494"/>
      <c r="H95" s="494"/>
      <c r="I95" s="671" t="s">
        <v>1667</v>
      </c>
      <c r="J95" s="954" t="s">
        <v>1727</v>
      </c>
      <c r="K95" s="680" t="str">
        <f>IF(L95=0,"",(INDEX(AccountCodes[ACCOUNT NAME],MATCH(L95,AccountCodes[NGAS CODE],0))))</f>
        <v>Personal Economic Relief Allowance (PERA)</v>
      </c>
      <c r="L95" s="955" t="s">
        <v>164</v>
      </c>
      <c r="M95" s="513">
        <v>6000</v>
      </c>
      <c r="N95" s="513"/>
      <c r="O95" s="1017"/>
      <c r="P95" s="987">
        <f t="shared" si="3"/>
        <v>76270</v>
      </c>
    </row>
    <row r="96" spans="1:16" ht="31.5" hidden="1" x14ac:dyDescent="0.25">
      <c r="A96" s="951">
        <v>44651</v>
      </c>
      <c r="B96" s="720">
        <v>44635</v>
      </c>
      <c r="C96" s="494" t="s">
        <v>1726</v>
      </c>
      <c r="D96" s="663" t="s">
        <v>1725</v>
      </c>
      <c r="E96" s="666" t="s">
        <v>762</v>
      </c>
      <c r="F96" s="664" t="s">
        <v>1526</v>
      </c>
      <c r="G96" s="494"/>
      <c r="H96" s="494"/>
      <c r="I96" s="671" t="s">
        <v>1667</v>
      </c>
      <c r="J96" s="954" t="s">
        <v>1727</v>
      </c>
      <c r="K96" s="680" t="str">
        <f>IF(L96=0,"",(INDEX(AccountCodes[ACCOUNT NAME],MATCH(L96,AccountCodes[NGAS CODE],0))))</f>
        <v>Due to BIR - Compensation</v>
      </c>
      <c r="L96" s="955" t="s">
        <v>1546</v>
      </c>
      <c r="M96" s="513"/>
      <c r="N96" s="513">
        <v>730.7</v>
      </c>
      <c r="O96" s="1017"/>
      <c r="P96" s="987">
        <f t="shared" si="3"/>
        <v>75539.3</v>
      </c>
    </row>
    <row r="97" spans="1:16" ht="31.5" hidden="1" x14ac:dyDescent="0.25">
      <c r="A97" s="951">
        <v>44651</v>
      </c>
      <c r="B97" s="720">
        <v>44635</v>
      </c>
      <c r="C97" s="494" t="s">
        <v>1726</v>
      </c>
      <c r="D97" s="663" t="s">
        <v>1725</v>
      </c>
      <c r="E97" s="666" t="s">
        <v>762</v>
      </c>
      <c r="F97" s="664" t="s">
        <v>1526</v>
      </c>
      <c r="G97" s="494"/>
      <c r="H97" s="494"/>
      <c r="I97" s="671" t="s">
        <v>1667</v>
      </c>
      <c r="J97" s="954" t="s">
        <v>1727</v>
      </c>
      <c r="K97" s="680" t="str">
        <f>IF(L97=0,"",(INDEX(AccountCodes[ACCOUNT NAME],MATCH(L97,AccountCodes[NGAS CODE],0))))</f>
        <v>Due to GSIS - Life and Retirement Premium</v>
      </c>
      <c r="L97" s="955" t="s">
        <v>1440</v>
      </c>
      <c r="M97" s="513"/>
      <c r="N97" s="513">
        <v>6324.3</v>
      </c>
      <c r="O97" s="1017"/>
      <c r="P97" s="987">
        <f t="shared" si="3"/>
        <v>69215</v>
      </c>
    </row>
    <row r="98" spans="1:16" ht="31.5" hidden="1" x14ac:dyDescent="0.25">
      <c r="A98" s="951">
        <v>44651</v>
      </c>
      <c r="B98" s="720">
        <v>44635</v>
      </c>
      <c r="C98" s="494" t="s">
        <v>1726</v>
      </c>
      <c r="D98" s="663" t="s">
        <v>1725</v>
      </c>
      <c r="E98" s="666" t="s">
        <v>762</v>
      </c>
      <c r="F98" s="664" t="s">
        <v>1526</v>
      </c>
      <c r="G98" s="494"/>
      <c r="H98" s="494"/>
      <c r="I98" s="671" t="s">
        <v>1667</v>
      </c>
      <c r="J98" s="954" t="s">
        <v>1727</v>
      </c>
      <c r="K98" s="680" t="str">
        <f>IF(L98=0,"",(INDEX(AccountCodes[ACCOUNT NAME],MATCH(L98,AccountCodes[NGAS CODE],0))))</f>
        <v>Due to Pag-IBIG - Pag-IBIG Premium</v>
      </c>
      <c r="L98" s="955" t="s">
        <v>1444</v>
      </c>
      <c r="M98" s="513"/>
      <c r="N98" s="513">
        <v>1446.64</v>
      </c>
      <c r="O98" s="1017"/>
      <c r="P98" s="987">
        <f t="shared" si="3"/>
        <v>67768.36</v>
      </c>
    </row>
    <row r="99" spans="1:16" ht="31.5" hidden="1" x14ac:dyDescent="0.25">
      <c r="A99" s="951">
        <v>44651</v>
      </c>
      <c r="B99" s="720">
        <v>44635</v>
      </c>
      <c r="C99" s="494" t="s">
        <v>1726</v>
      </c>
      <c r="D99" s="663" t="s">
        <v>1725</v>
      </c>
      <c r="E99" s="185" t="s">
        <v>762</v>
      </c>
      <c r="F99" s="137" t="s">
        <v>1526</v>
      </c>
      <c r="G99" s="494"/>
      <c r="H99" s="494"/>
      <c r="I99" s="671" t="s">
        <v>1667</v>
      </c>
      <c r="J99" s="954" t="s">
        <v>1727</v>
      </c>
      <c r="K99" s="680" t="str">
        <f>IF(L99=0,"",(INDEX(AccountCodes[ACCOUNT NAME],MATCH(L99,AccountCodes[NGAS CODE],0))))</f>
        <v>Due to Pag-IBIG - MP2</v>
      </c>
      <c r="L99" s="955" t="s">
        <v>1508</v>
      </c>
      <c r="M99" s="513"/>
      <c r="N99" s="513">
        <v>1000</v>
      </c>
      <c r="O99" s="1017"/>
      <c r="P99" s="987">
        <f t="shared" si="3"/>
        <v>66768.36</v>
      </c>
    </row>
    <row r="100" spans="1:16" ht="31.5" hidden="1" x14ac:dyDescent="0.25">
      <c r="A100" s="951">
        <v>44651</v>
      </c>
      <c r="B100" s="720">
        <v>44635</v>
      </c>
      <c r="C100" s="494" t="s">
        <v>1726</v>
      </c>
      <c r="D100" s="663" t="s">
        <v>1725</v>
      </c>
      <c r="E100" s="666" t="s">
        <v>762</v>
      </c>
      <c r="F100" s="664" t="s">
        <v>1526</v>
      </c>
      <c r="G100" s="494"/>
      <c r="H100" s="494"/>
      <c r="I100" s="671" t="s">
        <v>1667</v>
      </c>
      <c r="J100" s="954" t="s">
        <v>1727</v>
      </c>
      <c r="K100" s="680" t="str">
        <f>IF(L100=0,"",(INDEX(AccountCodes[ACCOUNT NAME],MATCH(L100,AccountCodes[NGAS CODE],0))))</f>
        <v>Due to PhilHealth</v>
      </c>
      <c r="L100" s="955" t="s">
        <v>112</v>
      </c>
      <c r="M100" s="513"/>
      <c r="N100" s="513">
        <v>1054.04</v>
      </c>
      <c r="O100" s="1017"/>
      <c r="P100" s="987">
        <f t="shared" si="3"/>
        <v>65714.320000000007</v>
      </c>
    </row>
    <row r="101" spans="1:16" ht="31.5" hidden="1" x14ac:dyDescent="0.25">
      <c r="A101" s="951">
        <v>44651</v>
      </c>
      <c r="B101" s="720">
        <v>44635</v>
      </c>
      <c r="C101" s="494" t="s">
        <v>1726</v>
      </c>
      <c r="D101" s="663" t="s">
        <v>1725</v>
      </c>
      <c r="E101" s="666" t="s">
        <v>762</v>
      </c>
      <c r="F101" s="664" t="s">
        <v>1526</v>
      </c>
      <c r="G101" s="494"/>
      <c r="H101" s="494"/>
      <c r="I101" s="671" t="s">
        <v>1667</v>
      </c>
      <c r="J101" s="954" t="s">
        <v>1727</v>
      </c>
      <c r="K101" s="680" t="str">
        <f>IF(L101=0,"",(INDEX(AccountCodes[ACCOUNT NAME],MATCH(L101,AccountCodes[NGAS CODE],0))))</f>
        <v>Cash in Bank-Local Currency, Current Account - FO</v>
      </c>
      <c r="L101" s="955" t="s">
        <v>1566</v>
      </c>
      <c r="M101" s="513"/>
      <c r="N101" s="513">
        <v>32857.17</v>
      </c>
      <c r="O101" s="1017"/>
      <c r="P101" s="987">
        <f t="shared" si="3"/>
        <v>32857.15</v>
      </c>
    </row>
    <row r="102" spans="1:16" ht="31.5" hidden="1" x14ac:dyDescent="0.25">
      <c r="A102" s="951">
        <v>44651</v>
      </c>
      <c r="B102" s="720">
        <v>44648</v>
      </c>
      <c r="C102" s="494" t="s">
        <v>1728</v>
      </c>
      <c r="D102" s="663" t="s">
        <v>1725</v>
      </c>
      <c r="E102" s="666" t="s">
        <v>762</v>
      </c>
      <c r="F102" s="664" t="s">
        <v>1526</v>
      </c>
      <c r="G102" s="494"/>
      <c r="H102" s="494"/>
      <c r="I102" s="671" t="s">
        <v>1667</v>
      </c>
      <c r="J102" s="954" t="s">
        <v>1729</v>
      </c>
      <c r="K102" s="680" t="str">
        <f>IF(L102=0,"",(INDEX(AccountCodes[ACCOUNT NAME],MATCH(L102,AccountCodes[NGAS CODE],0))))</f>
        <v>Cash in Bank-Local Currency, Current Account - FO</v>
      </c>
      <c r="L102" s="955" t="s">
        <v>1479</v>
      </c>
      <c r="M102" s="513"/>
      <c r="N102" s="513">
        <v>32857.15</v>
      </c>
      <c r="O102" s="1017"/>
      <c r="P102" s="987">
        <f t="shared" si="3"/>
        <v>0</v>
      </c>
    </row>
    <row r="103" spans="1:16" ht="47.25" hidden="1" x14ac:dyDescent="0.25">
      <c r="A103" s="951">
        <v>44651</v>
      </c>
      <c r="B103" s="720">
        <v>44636</v>
      </c>
      <c r="C103" s="494" t="s">
        <v>1730</v>
      </c>
      <c r="D103" s="663" t="s">
        <v>1725</v>
      </c>
      <c r="E103" s="185" t="s">
        <v>762</v>
      </c>
      <c r="F103" s="137" t="s">
        <v>1526</v>
      </c>
      <c r="G103" s="494"/>
      <c r="H103" s="494"/>
      <c r="I103" s="671" t="s">
        <v>1731</v>
      </c>
      <c r="J103" s="954" t="s">
        <v>1732</v>
      </c>
      <c r="K103" s="680" t="str">
        <f>IF(L103=0,"",(INDEX(AccountCodes[ACCOUNT NAME],MATCH(L103,AccountCodes[NGAS CODE],0))))</f>
        <v>Office Supplies Inventory</v>
      </c>
      <c r="L103" s="955" t="s">
        <v>30</v>
      </c>
      <c r="M103" s="513">
        <v>62400</v>
      </c>
      <c r="N103" s="513"/>
      <c r="O103" s="1017"/>
      <c r="P103" s="987">
        <f t="shared" si="3"/>
        <v>62400</v>
      </c>
    </row>
    <row r="104" spans="1:16" ht="47.25" hidden="1" x14ac:dyDescent="0.25">
      <c r="A104" s="951">
        <v>44651</v>
      </c>
      <c r="B104" s="720">
        <v>44636</v>
      </c>
      <c r="C104" s="494" t="s">
        <v>1730</v>
      </c>
      <c r="D104" s="663" t="s">
        <v>1725</v>
      </c>
      <c r="E104" s="666" t="s">
        <v>762</v>
      </c>
      <c r="F104" s="664" t="s">
        <v>1526</v>
      </c>
      <c r="G104" s="494"/>
      <c r="H104" s="494"/>
      <c r="I104" s="671" t="s">
        <v>1731</v>
      </c>
      <c r="J104" s="954" t="s">
        <v>1732</v>
      </c>
      <c r="K104" s="680" t="str">
        <f>IF(L104=0,"",(INDEX(AccountCodes[ACCOUNT NAME],MATCH(L104,AccountCodes[NGAS CODE],0))))</f>
        <v>Due to BIR - 1%</v>
      </c>
      <c r="L104" s="955" t="s">
        <v>1554</v>
      </c>
      <c r="M104" s="513"/>
      <c r="N104" s="513">
        <v>557.15</v>
      </c>
      <c r="O104" s="1017"/>
      <c r="P104" s="987">
        <f t="shared" si="3"/>
        <v>61842.85</v>
      </c>
    </row>
    <row r="105" spans="1:16" ht="47.25" hidden="1" x14ac:dyDescent="0.25">
      <c r="A105" s="951">
        <v>44651</v>
      </c>
      <c r="B105" s="720">
        <v>44636</v>
      </c>
      <c r="C105" s="494" t="s">
        <v>1730</v>
      </c>
      <c r="D105" s="663" t="s">
        <v>1725</v>
      </c>
      <c r="E105" s="666" t="s">
        <v>762</v>
      </c>
      <c r="F105" s="664" t="s">
        <v>1526</v>
      </c>
      <c r="G105" s="494"/>
      <c r="H105" s="494"/>
      <c r="I105" s="671" t="s">
        <v>1731</v>
      </c>
      <c r="J105" s="954" t="s">
        <v>1732</v>
      </c>
      <c r="K105" s="680" t="str">
        <f>IF(L105=0,"",(INDEX(AccountCodes[ACCOUNT NAME],MATCH(L105,AccountCodes[NGAS CODE],0))))</f>
        <v>Due to BIR - 5%</v>
      </c>
      <c r="L105" s="955" t="s">
        <v>1548</v>
      </c>
      <c r="M105" s="513"/>
      <c r="N105" s="513">
        <v>2785.71</v>
      </c>
      <c r="O105" s="1017"/>
      <c r="P105" s="987">
        <f t="shared" si="3"/>
        <v>59057.14</v>
      </c>
    </row>
    <row r="106" spans="1:16" ht="47.25" hidden="1" x14ac:dyDescent="0.25">
      <c r="A106" s="541">
        <v>44651</v>
      </c>
      <c r="B106" s="720">
        <v>44636</v>
      </c>
      <c r="C106" s="494" t="s">
        <v>1730</v>
      </c>
      <c r="D106" s="663" t="s">
        <v>1725</v>
      </c>
      <c r="E106" s="666" t="s">
        <v>762</v>
      </c>
      <c r="F106" s="664" t="s">
        <v>1526</v>
      </c>
      <c r="G106" s="494"/>
      <c r="H106" s="494"/>
      <c r="I106" s="560" t="s">
        <v>1731</v>
      </c>
      <c r="J106" s="560" t="s">
        <v>1732</v>
      </c>
      <c r="K106" s="680" t="str">
        <f>IF(L106=0,"",(INDEX(AccountCodes[ACCOUNT NAME],MATCH(L106,AccountCodes[NGAS CODE],0))))</f>
        <v>Cash in Bank-Local Currency, Current Account - FO</v>
      </c>
      <c r="L106" s="955" t="s">
        <v>1479</v>
      </c>
      <c r="M106" s="513"/>
      <c r="N106" s="513">
        <v>59057.14</v>
      </c>
      <c r="O106" s="1017"/>
      <c r="P106" s="987">
        <f t="shared" si="3"/>
        <v>0</v>
      </c>
    </row>
    <row r="107" spans="1:16" ht="31.5" hidden="1" x14ac:dyDescent="0.25">
      <c r="A107" s="541">
        <v>44651</v>
      </c>
      <c r="B107" s="720">
        <v>44649</v>
      </c>
      <c r="C107" s="494" t="s">
        <v>1733</v>
      </c>
      <c r="D107" s="663" t="s">
        <v>1725</v>
      </c>
      <c r="E107" s="666" t="s">
        <v>762</v>
      </c>
      <c r="F107" s="664" t="s">
        <v>1526</v>
      </c>
      <c r="G107" s="145"/>
      <c r="H107" s="145"/>
      <c r="I107" s="560" t="s">
        <v>1639</v>
      </c>
      <c r="J107" s="560" t="s">
        <v>1734</v>
      </c>
      <c r="K107" s="704" t="str">
        <f>IF(L107=0,"",(INDEX(AccountCodes[ACCOUNT NAME],MATCH(L107,AccountCodes[NGAS CODE],0))))</f>
        <v>Pag-IBIG Contributions</v>
      </c>
      <c r="L107" s="953" t="s">
        <v>176</v>
      </c>
      <c r="M107" s="509">
        <v>300</v>
      </c>
      <c r="N107" s="509"/>
      <c r="O107" s="984"/>
      <c r="P107" s="987">
        <f t="shared" si="3"/>
        <v>300</v>
      </c>
    </row>
    <row r="108" spans="1:16" ht="31.5" hidden="1" x14ac:dyDescent="0.25">
      <c r="A108" s="541">
        <v>44651</v>
      </c>
      <c r="B108" s="720">
        <v>44649</v>
      </c>
      <c r="C108" s="494" t="s">
        <v>1733</v>
      </c>
      <c r="D108" s="663" t="s">
        <v>1725</v>
      </c>
      <c r="E108" s="666" t="s">
        <v>762</v>
      </c>
      <c r="F108" s="664" t="s">
        <v>1526</v>
      </c>
      <c r="G108" s="145"/>
      <c r="H108" s="145"/>
      <c r="I108" s="560" t="s">
        <v>1639</v>
      </c>
      <c r="J108" s="560" t="s">
        <v>1734</v>
      </c>
      <c r="K108" s="704" t="str">
        <f>IF(L108=0,"",(INDEX(AccountCodes[ACCOUNT NAME],MATCH(L108,AccountCodes[NGAS CODE],0))))</f>
        <v>Due to Pag-IBIG - Pag-IBIG Premium</v>
      </c>
      <c r="L108" s="953" t="s">
        <v>1444</v>
      </c>
      <c r="M108" s="509">
        <v>1446.64</v>
      </c>
      <c r="N108" s="509"/>
      <c r="O108" s="984"/>
      <c r="P108" s="987">
        <f t="shared" si="3"/>
        <v>1746.64</v>
      </c>
    </row>
    <row r="109" spans="1:16" ht="31.5" hidden="1" x14ac:dyDescent="0.25">
      <c r="A109" s="541">
        <v>44651</v>
      </c>
      <c r="B109" s="720">
        <v>44649</v>
      </c>
      <c r="C109" s="494" t="s">
        <v>1733</v>
      </c>
      <c r="D109" s="663" t="s">
        <v>1725</v>
      </c>
      <c r="E109" s="666" t="s">
        <v>762</v>
      </c>
      <c r="F109" s="664" t="s">
        <v>1526</v>
      </c>
      <c r="G109" s="145"/>
      <c r="H109" s="145"/>
      <c r="I109" s="560" t="s">
        <v>1639</v>
      </c>
      <c r="J109" s="560" t="s">
        <v>1734</v>
      </c>
      <c r="K109" s="704" t="str">
        <f>IF(L109=0,"",(INDEX(AccountCodes[ACCOUNT NAME],MATCH(L109,AccountCodes[NGAS CODE],0))))</f>
        <v>Cash in Bank-Local Currency, Current Account - FO</v>
      </c>
      <c r="L109" s="953" t="s">
        <v>1566</v>
      </c>
      <c r="M109" s="509"/>
      <c r="N109" s="509">
        <v>1746.64</v>
      </c>
      <c r="O109" s="984"/>
      <c r="P109" s="987">
        <f t="shared" si="3"/>
        <v>0</v>
      </c>
    </row>
    <row r="110" spans="1:16" ht="31.5" hidden="1" x14ac:dyDescent="0.25">
      <c r="A110" s="541">
        <v>44651</v>
      </c>
      <c r="B110" s="720">
        <v>44649</v>
      </c>
      <c r="C110" s="494" t="s">
        <v>1735</v>
      </c>
      <c r="D110" s="663" t="s">
        <v>1725</v>
      </c>
      <c r="E110" s="666" t="s">
        <v>762</v>
      </c>
      <c r="F110" s="664" t="s">
        <v>1526</v>
      </c>
      <c r="G110" s="663"/>
      <c r="H110" s="663"/>
      <c r="I110" s="560" t="s">
        <v>1639</v>
      </c>
      <c r="J110" s="560" t="s">
        <v>1736</v>
      </c>
      <c r="K110" s="704" t="str">
        <f>IF(L110=0,"",(INDEX(AccountCodes[ACCOUNT NAME],MATCH(L110,AccountCodes[NGAS CODE],0))))</f>
        <v>Due to Pag-IBIG - MP2</v>
      </c>
      <c r="L110" s="825" t="s">
        <v>1508</v>
      </c>
      <c r="M110" s="513">
        <v>1000</v>
      </c>
      <c r="N110" s="513"/>
      <c r="O110" s="1016"/>
      <c r="P110" s="987">
        <f t="shared" si="3"/>
        <v>1000</v>
      </c>
    </row>
    <row r="111" spans="1:16" ht="31.5" hidden="1" x14ac:dyDescent="0.25">
      <c r="A111" s="541">
        <v>44651</v>
      </c>
      <c r="B111" s="720">
        <v>44649</v>
      </c>
      <c r="C111" s="494" t="s">
        <v>1735</v>
      </c>
      <c r="D111" s="663" t="s">
        <v>1725</v>
      </c>
      <c r="E111" s="666" t="s">
        <v>762</v>
      </c>
      <c r="F111" s="664" t="s">
        <v>1526</v>
      </c>
      <c r="G111" s="494"/>
      <c r="H111" s="494"/>
      <c r="I111" s="560" t="s">
        <v>1639</v>
      </c>
      <c r="J111" s="560" t="s">
        <v>1736</v>
      </c>
      <c r="K111" s="680" t="str">
        <f>IF(L111=0,"",(INDEX(AccountCodes[ACCOUNT NAME],MATCH(L111,AccountCodes[NGAS CODE],0))))</f>
        <v>Cash in Bank-Local Currency, Current Account - FO</v>
      </c>
      <c r="L111" s="825" t="s">
        <v>1479</v>
      </c>
      <c r="M111" s="956"/>
      <c r="N111" s="956">
        <v>1000</v>
      </c>
      <c r="O111" s="1017"/>
      <c r="P111" s="987">
        <f t="shared" si="3"/>
        <v>0</v>
      </c>
    </row>
    <row r="112" spans="1:16" ht="31.5" hidden="1" x14ac:dyDescent="0.25">
      <c r="A112" s="541">
        <v>44651</v>
      </c>
      <c r="B112" s="720">
        <v>44649</v>
      </c>
      <c r="C112" s="494" t="s">
        <v>1737</v>
      </c>
      <c r="D112" s="663" t="s">
        <v>1725</v>
      </c>
      <c r="E112" s="666" t="s">
        <v>762</v>
      </c>
      <c r="F112" s="664" t="s">
        <v>1526</v>
      </c>
      <c r="G112" s="494"/>
      <c r="H112" s="494"/>
      <c r="I112" s="560" t="s">
        <v>1637</v>
      </c>
      <c r="J112" s="560" t="s">
        <v>1738</v>
      </c>
      <c r="K112" s="680" t="str">
        <f>IF(L112=0,"",(INDEX(AccountCodes[ACCOUNT NAME],MATCH(L112,AccountCodes[NGAS CODE],0))))</f>
        <v>Retirement and Life Insurance Premiums</v>
      </c>
      <c r="L112" s="825" t="s">
        <v>175</v>
      </c>
      <c r="M112" s="956">
        <v>8432.4</v>
      </c>
      <c r="N112" s="956"/>
      <c r="O112" s="1017"/>
      <c r="P112" s="987">
        <f t="shared" si="3"/>
        <v>8432.4</v>
      </c>
    </row>
    <row r="113" spans="1:16" ht="31.5" hidden="1" x14ac:dyDescent="0.25">
      <c r="A113" s="541">
        <v>44651</v>
      </c>
      <c r="B113" s="720">
        <v>44649</v>
      </c>
      <c r="C113" s="494" t="s">
        <v>1737</v>
      </c>
      <c r="D113" s="663" t="s">
        <v>1725</v>
      </c>
      <c r="E113" s="666" t="s">
        <v>762</v>
      </c>
      <c r="F113" s="664" t="s">
        <v>1526</v>
      </c>
      <c r="G113" s="494"/>
      <c r="H113" s="494"/>
      <c r="I113" s="560" t="s">
        <v>1637</v>
      </c>
      <c r="J113" s="560" t="s">
        <v>1738</v>
      </c>
      <c r="K113" s="680" t="str">
        <f>IF(L113=0,"",(INDEX(AccountCodes[ACCOUNT NAME],MATCH(L113,AccountCodes[NGAS CODE],0))))</f>
        <v>Due to GSIS - Life and Retirement Premium</v>
      </c>
      <c r="L113" s="825" t="s">
        <v>1440</v>
      </c>
      <c r="M113" s="956">
        <v>6324.3</v>
      </c>
      <c r="N113" s="956"/>
      <c r="O113" s="1017"/>
      <c r="P113" s="987">
        <f t="shared" si="3"/>
        <v>14756.7</v>
      </c>
    </row>
    <row r="114" spans="1:16" ht="31.5" hidden="1" x14ac:dyDescent="0.25">
      <c r="A114" s="541">
        <v>44651</v>
      </c>
      <c r="B114" s="720">
        <v>44649</v>
      </c>
      <c r="C114" s="494" t="s">
        <v>1737</v>
      </c>
      <c r="D114" s="663" t="s">
        <v>1725</v>
      </c>
      <c r="E114" s="666" t="s">
        <v>762</v>
      </c>
      <c r="F114" s="664" t="s">
        <v>1526</v>
      </c>
      <c r="G114" s="494"/>
      <c r="H114" s="494"/>
      <c r="I114" s="671" t="s">
        <v>1637</v>
      </c>
      <c r="J114" s="954" t="s">
        <v>1738</v>
      </c>
      <c r="K114" s="680" t="str">
        <f>IF(L114=0,"",(INDEX(AccountCodes[ACCOUNT NAME],MATCH(L114,AccountCodes[NGAS CODE],0))))</f>
        <v>Employees Compensation Insurance Premiums</v>
      </c>
      <c r="L114" s="825" t="s">
        <v>178</v>
      </c>
      <c r="M114" s="956">
        <v>300</v>
      </c>
      <c r="N114" s="956"/>
      <c r="O114" s="1017"/>
      <c r="P114" s="987">
        <f t="shared" si="3"/>
        <v>15056.7</v>
      </c>
    </row>
    <row r="115" spans="1:16" ht="31.5" hidden="1" x14ac:dyDescent="0.25">
      <c r="A115" s="541">
        <v>44651</v>
      </c>
      <c r="B115" s="720">
        <v>44649</v>
      </c>
      <c r="C115" s="494" t="s">
        <v>1737</v>
      </c>
      <c r="D115" s="663" t="s">
        <v>1725</v>
      </c>
      <c r="E115" s="666" t="s">
        <v>762</v>
      </c>
      <c r="F115" s="664" t="s">
        <v>1526</v>
      </c>
      <c r="G115" s="494"/>
      <c r="H115" s="494"/>
      <c r="I115" s="671" t="s">
        <v>1637</v>
      </c>
      <c r="J115" s="954" t="s">
        <v>1738</v>
      </c>
      <c r="K115" s="680" t="str">
        <f>IF(L115=0,"",(INDEX(AccountCodes[ACCOUNT NAME],MATCH(L115,AccountCodes[NGAS CODE],0))))</f>
        <v>Cash in Bank-Local Currency, Current Account - FO</v>
      </c>
      <c r="L115" s="825" t="s">
        <v>1566</v>
      </c>
      <c r="M115" s="956"/>
      <c r="N115" s="956">
        <v>15056.7</v>
      </c>
      <c r="O115" s="1017"/>
      <c r="P115" s="987">
        <f t="shared" si="3"/>
        <v>0</v>
      </c>
    </row>
    <row r="116" spans="1:16" ht="31.5" hidden="1" x14ac:dyDescent="0.25">
      <c r="A116" s="541">
        <v>44651</v>
      </c>
      <c r="B116" s="720">
        <v>44649</v>
      </c>
      <c r="C116" s="494" t="s">
        <v>1739</v>
      </c>
      <c r="D116" s="663" t="s">
        <v>1725</v>
      </c>
      <c r="E116" s="666" t="s">
        <v>762</v>
      </c>
      <c r="F116" s="664" t="s">
        <v>1526</v>
      </c>
      <c r="G116" s="494"/>
      <c r="H116" s="494"/>
      <c r="I116" s="671" t="s">
        <v>1636</v>
      </c>
      <c r="J116" s="954" t="s">
        <v>1740</v>
      </c>
      <c r="K116" s="680" t="str">
        <f>IF(L116=0,"",(INDEX(AccountCodes[ACCOUNT NAME],MATCH(L116,AccountCodes[NGAS CODE],0))))</f>
        <v>PhilHealth Contributions</v>
      </c>
      <c r="L116" s="955" t="s">
        <v>177</v>
      </c>
      <c r="M116" s="956">
        <v>1054.06</v>
      </c>
      <c r="N116" s="956"/>
      <c r="O116" s="1017"/>
      <c r="P116" s="987">
        <f t="shared" si="3"/>
        <v>1054.06</v>
      </c>
    </row>
    <row r="117" spans="1:16" ht="31.5" hidden="1" x14ac:dyDescent="0.25">
      <c r="A117" s="541">
        <v>44651</v>
      </c>
      <c r="B117" s="720">
        <v>44649</v>
      </c>
      <c r="C117" s="494" t="s">
        <v>1739</v>
      </c>
      <c r="D117" s="663" t="s">
        <v>1725</v>
      </c>
      <c r="E117" s="666" t="s">
        <v>762</v>
      </c>
      <c r="F117" s="664" t="s">
        <v>1526</v>
      </c>
      <c r="G117" s="494"/>
      <c r="H117" s="494"/>
      <c r="I117" s="671" t="s">
        <v>1636</v>
      </c>
      <c r="J117" s="954" t="s">
        <v>1740</v>
      </c>
      <c r="K117" s="680" t="str">
        <f>IF(L117=0,"",(INDEX(AccountCodes[ACCOUNT NAME],MATCH(L117,AccountCodes[NGAS CODE],0))))</f>
        <v>Due to PhilHealth</v>
      </c>
      <c r="L117" s="955" t="s">
        <v>112</v>
      </c>
      <c r="M117" s="956">
        <v>1054.04</v>
      </c>
      <c r="N117" s="956"/>
      <c r="O117" s="1017"/>
      <c r="P117" s="987">
        <f t="shared" si="3"/>
        <v>2108.1</v>
      </c>
    </row>
    <row r="118" spans="1:16" ht="31.5" hidden="1" x14ac:dyDescent="0.25">
      <c r="A118" s="541">
        <v>44651</v>
      </c>
      <c r="B118" s="720">
        <v>44649</v>
      </c>
      <c r="C118" s="494" t="s">
        <v>1739</v>
      </c>
      <c r="D118" s="663" t="s">
        <v>1725</v>
      </c>
      <c r="E118" s="666" t="s">
        <v>762</v>
      </c>
      <c r="F118" s="664" t="s">
        <v>1526</v>
      </c>
      <c r="G118" s="494"/>
      <c r="H118" s="494"/>
      <c r="I118" s="671" t="s">
        <v>1636</v>
      </c>
      <c r="J118" s="954" t="s">
        <v>1740</v>
      </c>
      <c r="K118" s="680" t="str">
        <f>IF(L118=0,"",(INDEX(AccountCodes[ACCOUNT NAME],MATCH(L118,AccountCodes[NGAS CODE],0))))</f>
        <v>Cash in Bank-Local Currency, Current Account - FO</v>
      </c>
      <c r="L118" s="955" t="s">
        <v>1566</v>
      </c>
      <c r="M118" s="956"/>
      <c r="N118" s="956">
        <v>2108.1</v>
      </c>
      <c r="O118" s="1017"/>
      <c r="P118" s="987">
        <f t="shared" si="3"/>
        <v>0</v>
      </c>
    </row>
    <row r="119" spans="1:16" ht="31.5" hidden="1" x14ac:dyDescent="0.25">
      <c r="A119" s="541">
        <v>44651</v>
      </c>
      <c r="B119" s="720">
        <v>44649</v>
      </c>
      <c r="C119" s="494" t="s">
        <v>1741</v>
      </c>
      <c r="D119" s="663" t="s">
        <v>1725</v>
      </c>
      <c r="E119" s="666" t="s">
        <v>762</v>
      </c>
      <c r="F119" s="664" t="s">
        <v>1526</v>
      </c>
      <c r="G119" s="494"/>
      <c r="H119" s="494"/>
      <c r="I119" s="671" t="s">
        <v>1742</v>
      </c>
      <c r="J119" s="954" t="s">
        <v>1743</v>
      </c>
      <c r="K119" s="680" t="str">
        <f>IF(L119=0,"",(INDEX(AccountCodes[ACCOUNT NAME],MATCH(L119,AccountCodes[NGAS CODE],0))))</f>
        <v>Due to BIR - Compensation</v>
      </c>
      <c r="L119" s="955" t="s">
        <v>1546</v>
      </c>
      <c r="M119" s="956">
        <v>730.7</v>
      </c>
      <c r="N119" s="956"/>
      <c r="O119" s="1017"/>
      <c r="P119" s="987">
        <f t="shared" si="3"/>
        <v>730.7</v>
      </c>
    </row>
    <row r="120" spans="1:16" ht="31.5" hidden="1" x14ac:dyDescent="0.25">
      <c r="A120" s="541">
        <v>44651</v>
      </c>
      <c r="B120" s="720">
        <v>44649</v>
      </c>
      <c r="C120" s="494" t="s">
        <v>1741</v>
      </c>
      <c r="D120" s="663" t="s">
        <v>1725</v>
      </c>
      <c r="E120" s="666" t="s">
        <v>762</v>
      </c>
      <c r="F120" s="664" t="s">
        <v>1526</v>
      </c>
      <c r="G120" s="494"/>
      <c r="H120" s="494"/>
      <c r="I120" s="671" t="s">
        <v>1742</v>
      </c>
      <c r="J120" s="954" t="s">
        <v>1743</v>
      </c>
      <c r="K120" s="680" t="str">
        <f>IF(L120=0,"",(INDEX(AccountCodes[ACCOUNT NAME],MATCH(L120,AccountCodes[NGAS CODE],0))))</f>
        <v>Cash in Bank-Local Currency, Current Account - FO</v>
      </c>
      <c r="L120" s="955" t="s">
        <v>1479</v>
      </c>
      <c r="M120" s="956"/>
      <c r="N120" s="956">
        <v>730.7</v>
      </c>
      <c r="O120" s="1017"/>
      <c r="P120" s="987">
        <f t="shared" si="3"/>
        <v>0</v>
      </c>
    </row>
    <row r="121" spans="1:16" ht="31.5" hidden="1" x14ac:dyDescent="0.25">
      <c r="A121" s="541">
        <v>44651</v>
      </c>
      <c r="B121" s="720">
        <v>44649</v>
      </c>
      <c r="C121" s="494" t="s">
        <v>1744</v>
      </c>
      <c r="D121" s="663" t="s">
        <v>1725</v>
      </c>
      <c r="E121" s="666" t="s">
        <v>762</v>
      </c>
      <c r="F121" s="664" t="s">
        <v>1526</v>
      </c>
      <c r="G121" s="494"/>
      <c r="H121" s="494"/>
      <c r="I121" s="671" t="s">
        <v>1742</v>
      </c>
      <c r="J121" s="954" t="s">
        <v>1745</v>
      </c>
      <c r="K121" s="680" t="str">
        <f>IF(L121=0,"",(INDEX(AccountCodes[ACCOUNT NAME],MATCH(L121,AccountCodes[NGAS CODE],0))))</f>
        <v>Due to BIR - 5%</v>
      </c>
      <c r="L121" s="955" t="s">
        <v>1548</v>
      </c>
      <c r="M121" s="956">
        <v>6535.71</v>
      </c>
      <c r="N121" s="956"/>
      <c r="O121" s="1017"/>
      <c r="P121" s="987">
        <f t="shared" si="3"/>
        <v>6535.71</v>
      </c>
    </row>
    <row r="122" spans="1:16" ht="31.5" hidden="1" x14ac:dyDescent="0.25">
      <c r="A122" s="541">
        <v>44651</v>
      </c>
      <c r="B122" s="720">
        <v>44649</v>
      </c>
      <c r="C122" s="494" t="s">
        <v>1744</v>
      </c>
      <c r="D122" s="663" t="s">
        <v>1725</v>
      </c>
      <c r="E122" s="666" t="s">
        <v>762</v>
      </c>
      <c r="F122" s="664" t="s">
        <v>1526</v>
      </c>
      <c r="G122" s="494"/>
      <c r="H122" s="494"/>
      <c r="I122" s="671" t="s">
        <v>1742</v>
      </c>
      <c r="J122" s="954" t="s">
        <v>1745</v>
      </c>
      <c r="K122" s="680" t="str">
        <f>IF(L122=0,"",(INDEX(AccountCodes[ACCOUNT NAME],MATCH(L122,AccountCodes[NGAS CODE],0))))</f>
        <v>Cash in Bank-Local Currency, Current Account - FO</v>
      </c>
      <c r="L122" s="955" t="s">
        <v>1479</v>
      </c>
      <c r="M122" s="956"/>
      <c r="N122" s="956">
        <v>6535.71</v>
      </c>
      <c r="O122" s="1017"/>
      <c r="P122" s="987">
        <f t="shared" si="3"/>
        <v>0</v>
      </c>
    </row>
    <row r="123" spans="1:16" ht="31.5" hidden="1" x14ac:dyDescent="0.25">
      <c r="A123" s="541">
        <v>44651</v>
      </c>
      <c r="B123" s="720">
        <v>44649</v>
      </c>
      <c r="C123" s="494" t="s">
        <v>1747</v>
      </c>
      <c r="D123" s="663" t="s">
        <v>1725</v>
      </c>
      <c r="E123" s="666" t="s">
        <v>762</v>
      </c>
      <c r="F123" s="664" t="s">
        <v>1526</v>
      </c>
      <c r="G123" s="494"/>
      <c r="H123" s="494"/>
      <c r="I123" s="671" t="s">
        <v>1742</v>
      </c>
      <c r="J123" s="954" t="s">
        <v>1746</v>
      </c>
      <c r="K123" s="680" t="str">
        <f>IF(L123=0,"",(INDEX(AccountCodes[ACCOUNT NAME],MATCH(L123,AccountCodes[NGAS CODE],0))))</f>
        <v>Due to BIR - 1%</v>
      </c>
      <c r="L123" s="955" t="s">
        <v>1554</v>
      </c>
      <c r="M123" s="956">
        <v>1307.1500000000001</v>
      </c>
      <c r="N123" s="956"/>
      <c r="O123" s="1017"/>
      <c r="P123" s="987">
        <f t="shared" si="3"/>
        <v>1307.1500000000001</v>
      </c>
    </row>
    <row r="124" spans="1:16" ht="31.5" hidden="1" x14ac:dyDescent="0.25">
      <c r="A124" s="541">
        <v>44651</v>
      </c>
      <c r="B124" s="720">
        <v>44649</v>
      </c>
      <c r="C124" s="494" t="s">
        <v>1747</v>
      </c>
      <c r="D124" s="663" t="s">
        <v>1725</v>
      </c>
      <c r="E124" s="666" t="s">
        <v>762</v>
      </c>
      <c r="F124" s="664" t="s">
        <v>1526</v>
      </c>
      <c r="G124" s="494"/>
      <c r="H124" s="494"/>
      <c r="I124" s="671" t="s">
        <v>1742</v>
      </c>
      <c r="J124" s="954" t="s">
        <v>1746</v>
      </c>
      <c r="K124" s="680" t="str">
        <f>IF(L124=0,"",(INDEX(AccountCodes[ACCOUNT NAME],MATCH(L124,AccountCodes[NGAS CODE],0))))</f>
        <v>Cash in Bank-Local Currency, Current Account - FO</v>
      </c>
      <c r="L124" s="955" t="s">
        <v>1479</v>
      </c>
      <c r="M124" s="956"/>
      <c r="N124" s="956">
        <v>1307.1500000000001</v>
      </c>
      <c r="O124" s="1017"/>
      <c r="P124" s="987">
        <f t="shared" si="3"/>
        <v>0</v>
      </c>
    </row>
    <row r="125" spans="1:16" ht="63" hidden="1" x14ac:dyDescent="0.25">
      <c r="A125" s="541">
        <v>44681</v>
      </c>
      <c r="B125" s="720">
        <v>44652</v>
      </c>
      <c r="C125" s="494" t="s">
        <v>1752</v>
      </c>
      <c r="D125" s="663" t="s">
        <v>1753</v>
      </c>
      <c r="E125" s="666" t="s">
        <v>762</v>
      </c>
      <c r="F125" s="664" t="s">
        <v>1526</v>
      </c>
      <c r="G125" s="494"/>
      <c r="H125" s="494"/>
      <c r="I125" s="671" t="s">
        <v>1754</v>
      </c>
      <c r="J125" s="954" t="s">
        <v>1755</v>
      </c>
      <c r="K125" s="680" t="str">
        <f>IF(L125=0,"",(INDEX(AccountCodes[ACCOUNT NAME],MATCH(L125,AccountCodes[NGAS CODE],0))))</f>
        <v>Other Maintenance and Operating Expenses - Other Maintenance and Operating Expenses</v>
      </c>
      <c r="L125" s="955" t="s">
        <v>405</v>
      </c>
      <c r="M125" s="956">
        <v>2805</v>
      </c>
      <c r="N125" s="956"/>
      <c r="O125" s="1017" t="s">
        <v>1759</v>
      </c>
      <c r="P125" s="987">
        <f t="shared" si="3"/>
        <v>2805</v>
      </c>
    </row>
    <row r="126" spans="1:16" ht="63" hidden="1" x14ac:dyDescent="0.25">
      <c r="A126" s="541">
        <v>44681</v>
      </c>
      <c r="B126" s="720">
        <v>44652</v>
      </c>
      <c r="C126" s="494" t="s">
        <v>1752</v>
      </c>
      <c r="D126" s="663" t="s">
        <v>1753</v>
      </c>
      <c r="E126" s="666" t="s">
        <v>762</v>
      </c>
      <c r="F126" s="664" t="s">
        <v>1526</v>
      </c>
      <c r="G126" s="494"/>
      <c r="H126" s="494"/>
      <c r="I126" s="671" t="s">
        <v>1754</v>
      </c>
      <c r="J126" s="954" t="s">
        <v>1755</v>
      </c>
      <c r="K126" s="680" t="str">
        <f>IF(L126=0,"",(INDEX(AccountCodes[ACCOUNT NAME],MATCH(L126,AccountCodes[NGAS CODE],0))))</f>
        <v>Cash in Bank-Local Currency, Current Account - FO</v>
      </c>
      <c r="L126" s="955" t="s">
        <v>1566</v>
      </c>
      <c r="M126" s="956"/>
      <c r="N126" s="956">
        <v>2805</v>
      </c>
      <c r="O126" s="1017"/>
      <c r="P126" s="987">
        <f t="shared" si="3"/>
        <v>0</v>
      </c>
    </row>
    <row r="127" spans="1:16" ht="31.5" hidden="1" x14ac:dyDescent="0.25">
      <c r="A127" s="541">
        <v>44681</v>
      </c>
      <c r="B127" s="720">
        <v>44664</v>
      </c>
      <c r="C127" s="494" t="s">
        <v>1756</v>
      </c>
      <c r="D127" s="663" t="s">
        <v>1753</v>
      </c>
      <c r="E127" s="666" t="s">
        <v>762</v>
      </c>
      <c r="F127" s="664" t="s">
        <v>1526</v>
      </c>
      <c r="G127" s="494"/>
      <c r="H127" s="494"/>
      <c r="I127" s="671" t="s">
        <v>1757</v>
      </c>
      <c r="J127" s="954" t="s">
        <v>1758</v>
      </c>
      <c r="K127" s="680" t="str">
        <f>IF(L127=0,"",(INDEX(AccountCodes[ACCOUNT NAME],MATCH(L127,AccountCodes[NGAS CODE],0))))</f>
        <v>Salaries and Wages-Regular</v>
      </c>
      <c r="L127" s="955" t="s">
        <v>162</v>
      </c>
      <c r="M127" s="956">
        <v>70270</v>
      </c>
      <c r="N127" s="956"/>
      <c r="O127" s="1017"/>
      <c r="P127" s="987">
        <f t="shared" si="3"/>
        <v>70270</v>
      </c>
    </row>
    <row r="128" spans="1:16" ht="31.5" hidden="1" x14ac:dyDescent="0.25">
      <c r="A128" s="541">
        <v>44681</v>
      </c>
      <c r="B128" s="720">
        <v>44664</v>
      </c>
      <c r="C128" s="494" t="s">
        <v>1756</v>
      </c>
      <c r="D128" s="663" t="s">
        <v>1753</v>
      </c>
      <c r="E128" s="666" t="s">
        <v>762</v>
      </c>
      <c r="F128" s="664" t="s">
        <v>1526</v>
      </c>
      <c r="G128" s="494"/>
      <c r="H128" s="494"/>
      <c r="I128" s="671" t="s">
        <v>1757</v>
      </c>
      <c r="J128" s="954" t="s">
        <v>1758</v>
      </c>
      <c r="K128" s="680" t="str">
        <f>IF(L128=0,"",(INDEX(AccountCodes[ACCOUNT NAME],MATCH(L128,AccountCodes[NGAS CODE],0))))</f>
        <v>Personal Economic Relief Allowance (PERA)</v>
      </c>
      <c r="L128" s="955" t="s">
        <v>164</v>
      </c>
      <c r="M128" s="956">
        <v>6000</v>
      </c>
      <c r="N128" s="956"/>
      <c r="O128" s="1017"/>
      <c r="P128" s="987">
        <f t="shared" si="3"/>
        <v>76270</v>
      </c>
    </row>
    <row r="129" spans="1:16" ht="31.5" hidden="1" x14ac:dyDescent="0.25">
      <c r="A129" s="541">
        <v>44681</v>
      </c>
      <c r="B129" s="720">
        <v>44664</v>
      </c>
      <c r="C129" s="494" t="s">
        <v>1756</v>
      </c>
      <c r="D129" s="663" t="s">
        <v>1753</v>
      </c>
      <c r="E129" s="666" t="s">
        <v>762</v>
      </c>
      <c r="F129" s="664" t="s">
        <v>1526</v>
      </c>
      <c r="G129" s="494"/>
      <c r="H129" s="494"/>
      <c r="I129" s="671" t="s">
        <v>1757</v>
      </c>
      <c r="J129" s="954" t="s">
        <v>1758</v>
      </c>
      <c r="K129" s="680" t="str">
        <f>IF(L129=0,"",(INDEX(AccountCodes[ACCOUNT NAME],MATCH(L129,AccountCodes[NGAS CODE],0))))</f>
        <v>Due to BIR - Compensation</v>
      </c>
      <c r="L129" s="955" t="s">
        <v>1546</v>
      </c>
      <c r="M129" s="956"/>
      <c r="N129" s="956">
        <v>730.7</v>
      </c>
      <c r="O129" s="1017"/>
      <c r="P129" s="987">
        <f t="shared" si="3"/>
        <v>75539.3</v>
      </c>
    </row>
    <row r="130" spans="1:16" ht="31.5" hidden="1" x14ac:dyDescent="0.25">
      <c r="A130" s="541">
        <v>44681</v>
      </c>
      <c r="B130" s="720">
        <v>44664</v>
      </c>
      <c r="C130" s="494" t="s">
        <v>1756</v>
      </c>
      <c r="D130" s="663" t="s">
        <v>1753</v>
      </c>
      <c r="E130" s="666" t="s">
        <v>762</v>
      </c>
      <c r="F130" s="664" t="s">
        <v>1526</v>
      </c>
      <c r="G130" s="494"/>
      <c r="H130" s="494"/>
      <c r="I130" s="671" t="s">
        <v>1757</v>
      </c>
      <c r="J130" s="954" t="s">
        <v>1758</v>
      </c>
      <c r="K130" s="680" t="str">
        <f>IF(L130=0,"",(INDEX(AccountCodes[ACCOUNT NAME],MATCH(L130,AccountCodes[NGAS CODE],0))))</f>
        <v>Due to GSIS - Life and Retirement Premium</v>
      </c>
      <c r="L130" s="955" t="s">
        <v>1440</v>
      </c>
      <c r="M130" s="956"/>
      <c r="N130" s="956">
        <v>6324.3</v>
      </c>
      <c r="O130" s="1017"/>
      <c r="P130" s="987">
        <f t="shared" si="3"/>
        <v>69215</v>
      </c>
    </row>
    <row r="131" spans="1:16" ht="31.5" hidden="1" x14ac:dyDescent="0.25">
      <c r="A131" s="541">
        <v>44681</v>
      </c>
      <c r="B131" s="720">
        <v>44664</v>
      </c>
      <c r="C131" s="494" t="s">
        <v>1756</v>
      </c>
      <c r="D131" s="663" t="s">
        <v>1753</v>
      </c>
      <c r="E131" s="666" t="s">
        <v>762</v>
      </c>
      <c r="F131" s="664" t="s">
        <v>1526</v>
      </c>
      <c r="G131" s="494"/>
      <c r="H131" s="494"/>
      <c r="I131" s="671" t="s">
        <v>1757</v>
      </c>
      <c r="J131" s="954" t="s">
        <v>1758</v>
      </c>
      <c r="K131" s="680" t="str">
        <f>IF(L131=0,"",(INDEX(AccountCodes[ACCOUNT NAME],MATCH(L131,AccountCodes[NGAS CODE],0))))</f>
        <v>Due to Pag-IBIG - Pag-IBIG Premium</v>
      </c>
      <c r="L131" s="955" t="s">
        <v>1444</v>
      </c>
      <c r="M131" s="956"/>
      <c r="N131" s="956">
        <v>1446.64</v>
      </c>
      <c r="O131" s="1017"/>
      <c r="P131" s="987">
        <f t="shared" si="3"/>
        <v>67768.36</v>
      </c>
    </row>
    <row r="132" spans="1:16" ht="31.5" hidden="1" x14ac:dyDescent="0.25">
      <c r="A132" s="541">
        <v>44681</v>
      </c>
      <c r="B132" s="720">
        <v>44664</v>
      </c>
      <c r="C132" s="494" t="s">
        <v>1756</v>
      </c>
      <c r="D132" s="663" t="s">
        <v>1753</v>
      </c>
      <c r="E132" s="666" t="s">
        <v>762</v>
      </c>
      <c r="F132" s="664" t="s">
        <v>1526</v>
      </c>
      <c r="G132" s="494"/>
      <c r="H132" s="494"/>
      <c r="I132" s="671" t="s">
        <v>1757</v>
      </c>
      <c r="J132" s="985" t="s">
        <v>1758</v>
      </c>
      <c r="K132" s="680" t="str">
        <f>IF(L132=0,"",(INDEX(AccountCodes[ACCOUNT NAME],MATCH(L132,AccountCodes[NGAS CODE],0))))</f>
        <v>Due to Pag-IBIG - MP2</v>
      </c>
      <c r="L132" s="955" t="s">
        <v>1508</v>
      </c>
      <c r="M132" s="956"/>
      <c r="N132" s="956">
        <v>1000</v>
      </c>
      <c r="O132" s="1017"/>
      <c r="P132" s="987">
        <f t="shared" si="3"/>
        <v>66768.36</v>
      </c>
    </row>
    <row r="133" spans="1:16" ht="31.5" hidden="1" x14ac:dyDescent="0.25">
      <c r="A133" s="541">
        <v>44681</v>
      </c>
      <c r="B133" s="720">
        <v>44664</v>
      </c>
      <c r="C133" s="494" t="s">
        <v>1756</v>
      </c>
      <c r="D133" s="663" t="s">
        <v>1753</v>
      </c>
      <c r="E133" s="666" t="s">
        <v>762</v>
      </c>
      <c r="F133" s="664" t="s">
        <v>1526</v>
      </c>
      <c r="G133" s="494"/>
      <c r="H133" s="494"/>
      <c r="I133" s="671" t="s">
        <v>1757</v>
      </c>
      <c r="J133" s="985" t="s">
        <v>1758</v>
      </c>
      <c r="K133" s="680" t="str">
        <f>IF(L133=0,"",(INDEX(AccountCodes[ACCOUNT NAME],MATCH(L133,AccountCodes[NGAS CODE],0))))</f>
        <v>Due to PhilHealth</v>
      </c>
      <c r="L133" s="955" t="s">
        <v>112</v>
      </c>
      <c r="M133" s="956"/>
      <c r="N133" s="956">
        <v>1054.04</v>
      </c>
      <c r="O133" s="1017"/>
      <c r="P133" s="987">
        <f t="shared" si="3"/>
        <v>65714.320000000007</v>
      </c>
    </row>
    <row r="134" spans="1:16" ht="31.5" hidden="1" x14ac:dyDescent="0.25">
      <c r="A134" s="541">
        <v>44681</v>
      </c>
      <c r="B134" s="720">
        <v>44664</v>
      </c>
      <c r="C134" s="494" t="s">
        <v>1756</v>
      </c>
      <c r="D134" s="663" t="s">
        <v>1753</v>
      </c>
      <c r="E134" s="666" t="s">
        <v>762</v>
      </c>
      <c r="F134" s="664" t="s">
        <v>1526</v>
      </c>
      <c r="G134" s="494"/>
      <c r="H134" s="494"/>
      <c r="I134" s="671" t="s">
        <v>1757</v>
      </c>
      <c r="J134" s="985" t="s">
        <v>1758</v>
      </c>
      <c r="K134" s="680" t="str">
        <f>IF(L134=0,"",(INDEX(AccountCodes[ACCOUNT NAME],MATCH(L134,AccountCodes[NGAS CODE],0))))</f>
        <v>Cash in Bank-Local Currency, Current Account - FO</v>
      </c>
      <c r="L134" s="955" t="s">
        <v>1566</v>
      </c>
      <c r="M134" s="956"/>
      <c r="N134" s="956">
        <v>65714.320000000007</v>
      </c>
      <c r="O134" s="1017"/>
      <c r="P134" s="987">
        <f t="shared" si="3"/>
        <v>0</v>
      </c>
    </row>
    <row r="135" spans="1:16" ht="31.5" hidden="1" x14ac:dyDescent="0.25">
      <c r="A135" s="541">
        <v>44681</v>
      </c>
      <c r="B135" s="720">
        <v>44676</v>
      </c>
      <c r="C135" s="494" t="s">
        <v>1760</v>
      </c>
      <c r="D135" s="494" t="s">
        <v>1753</v>
      </c>
      <c r="E135" s="992" t="s">
        <v>762</v>
      </c>
      <c r="F135" s="137" t="s">
        <v>1526</v>
      </c>
      <c r="G135" s="494"/>
      <c r="H135" s="494"/>
      <c r="I135" s="671" t="s">
        <v>1641</v>
      </c>
      <c r="J135" s="985" t="s">
        <v>1761</v>
      </c>
      <c r="K135" s="680" t="str">
        <f>IF(L135=0,"",(INDEX(AccountCodes[ACCOUNT NAME],MATCH(L135,AccountCodes[NGAS CODE],0))))</f>
        <v>Retirement and Life Insurance Premiums</v>
      </c>
      <c r="L135" s="955" t="s">
        <v>175</v>
      </c>
      <c r="M135" s="956">
        <v>8432.4</v>
      </c>
      <c r="N135" s="956"/>
      <c r="O135" s="1017"/>
      <c r="P135" s="987">
        <f t="shared" si="3"/>
        <v>8432.4</v>
      </c>
    </row>
    <row r="136" spans="1:16" ht="31.5" hidden="1" x14ac:dyDescent="0.25">
      <c r="A136" s="541">
        <v>44681</v>
      </c>
      <c r="B136" s="720">
        <v>44676</v>
      </c>
      <c r="C136" s="494" t="s">
        <v>1760</v>
      </c>
      <c r="D136" s="494" t="s">
        <v>1753</v>
      </c>
      <c r="E136" s="992" t="s">
        <v>762</v>
      </c>
      <c r="F136" s="137" t="s">
        <v>1526</v>
      </c>
      <c r="G136" s="494"/>
      <c r="H136" s="494"/>
      <c r="I136" s="671" t="s">
        <v>1641</v>
      </c>
      <c r="J136" s="985" t="s">
        <v>1761</v>
      </c>
      <c r="K136" s="680" t="str">
        <f>IF(L136=0,"",(INDEX(AccountCodes[ACCOUNT NAME],MATCH(L136,AccountCodes[NGAS CODE],0))))</f>
        <v>Due to GSIS - Life and Retirement Premium</v>
      </c>
      <c r="L136" s="955" t="s">
        <v>1440</v>
      </c>
      <c r="M136" s="956">
        <v>6324.3</v>
      </c>
      <c r="N136" s="956"/>
      <c r="O136" s="1017"/>
      <c r="P136" s="987">
        <f t="shared" si="3"/>
        <v>14756.7</v>
      </c>
    </row>
    <row r="137" spans="1:16" ht="31.5" hidden="1" x14ac:dyDescent="0.25">
      <c r="A137" s="541">
        <v>44681</v>
      </c>
      <c r="B137" s="720">
        <v>44676</v>
      </c>
      <c r="C137" s="494" t="s">
        <v>1760</v>
      </c>
      <c r="D137" s="494" t="s">
        <v>1753</v>
      </c>
      <c r="E137" s="992" t="s">
        <v>762</v>
      </c>
      <c r="F137" s="137" t="s">
        <v>1526</v>
      </c>
      <c r="G137" s="494"/>
      <c r="H137" s="494"/>
      <c r="I137" s="671" t="s">
        <v>1641</v>
      </c>
      <c r="J137" s="954" t="s">
        <v>1761</v>
      </c>
      <c r="K137" s="680" t="str">
        <f>IF(L137=0,"",(INDEX(AccountCodes[ACCOUNT NAME],MATCH(L137,AccountCodes[NGAS CODE],0))))</f>
        <v>Employees Compensation Insurance Premiums</v>
      </c>
      <c r="L137" s="955" t="s">
        <v>178</v>
      </c>
      <c r="M137" s="956">
        <v>300</v>
      </c>
      <c r="N137" s="956"/>
      <c r="O137" s="1017"/>
      <c r="P137" s="987">
        <f t="shared" si="3"/>
        <v>15056.7</v>
      </c>
    </row>
    <row r="138" spans="1:16" ht="31.5" hidden="1" x14ac:dyDescent="0.25">
      <c r="A138" s="541">
        <v>44681</v>
      </c>
      <c r="B138" s="720">
        <v>44676</v>
      </c>
      <c r="C138" s="494" t="s">
        <v>1760</v>
      </c>
      <c r="D138" s="494" t="s">
        <v>1753</v>
      </c>
      <c r="E138" s="992" t="s">
        <v>762</v>
      </c>
      <c r="F138" s="137" t="s">
        <v>1526</v>
      </c>
      <c r="G138" s="494"/>
      <c r="H138" s="494"/>
      <c r="I138" s="671" t="s">
        <v>1641</v>
      </c>
      <c r="J138" s="954" t="s">
        <v>1761</v>
      </c>
      <c r="K138" s="680" t="str">
        <f>IF(L138=0,"",(INDEX(AccountCodes[ACCOUNT NAME],MATCH(L138,AccountCodes[NGAS CODE],0))))</f>
        <v>Cash in Bank-Local Currency, Current Account - FO</v>
      </c>
      <c r="L138" s="955" t="s">
        <v>1566</v>
      </c>
      <c r="M138" s="956"/>
      <c r="N138" s="956">
        <v>15056.7</v>
      </c>
      <c r="O138" s="1017"/>
      <c r="P138" s="987">
        <f t="shared" si="3"/>
        <v>0</v>
      </c>
    </row>
    <row r="139" spans="1:16" ht="31.5" hidden="1" x14ac:dyDescent="0.25">
      <c r="A139" s="541">
        <v>44681</v>
      </c>
      <c r="B139" s="720">
        <v>44676</v>
      </c>
      <c r="C139" s="494" t="s">
        <v>1762</v>
      </c>
      <c r="D139" s="494" t="s">
        <v>1753</v>
      </c>
      <c r="E139" s="992" t="s">
        <v>762</v>
      </c>
      <c r="F139" s="137" t="s">
        <v>1526</v>
      </c>
      <c r="G139" s="494"/>
      <c r="H139" s="494"/>
      <c r="I139" s="671" t="s">
        <v>1639</v>
      </c>
      <c r="J139" s="954" t="s">
        <v>1763</v>
      </c>
      <c r="K139" s="680" t="str">
        <f>IF(L139=0,"",(INDEX(AccountCodes[ACCOUNT NAME],MATCH(L139,AccountCodes[NGAS CODE],0))))</f>
        <v>Pag-IBIG Contributions</v>
      </c>
      <c r="L139" s="955" t="s">
        <v>176</v>
      </c>
      <c r="M139" s="956">
        <v>300</v>
      </c>
      <c r="N139" s="956"/>
      <c r="O139" s="1017"/>
      <c r="P139" s="987">
        <f t="shared" si="3"/>
        <v>300</v>
      </c>
    </row>
    <row r="140" spans="1:16" ht="31.5" hidden="1" x14ac:dyDescent="0.25">
      <c r="A140" s="541">
        <v>44681</v>
      </c>
      <c r="B140" s="720">
        <v>44676</v>
      </c>
      <c r="C140" s="494" t="s">
        <v>1762</v>
      </c>
      <c r="D140" s="494" t="s">
        <v>1753</v>
      </c>
      <c r="E140" s="992" t="s">
        <v>762</v>
      </c>
      <c r="F140" s="137" t="s">
        <v>1526</v>
      </c>
      <c r="G140" s="494"/>
      <c r="H140" s="494"/>
      <c r="I140" s="671" t="s">
        <v>1639</v>
      </c>
      <c r="J140" s="954" t="s">
        <v>1763</v>
      </c>
      <c r="K140" s="680" t="str">
        <f>IF(L140=0,"",(INDEX(AccountCodes[ACCOUNT NAME],MATCH(L140,AccountCodes[NGAS CODE],0))))</f>
        <v>Due to Pag-IBIG - Pag-IBIG Premium</v>
      </c>
      <c r="L140" s="955" t="s">
        <v>1444</v>
      </c>
      <c r="M140" s="956">
        <v>1446.64</v>
      </c>
      <c r="N140" s="956"/>
      <c r="O140" s="1017"/>
      <c r="P140" s="987">
        <f t="shared" si="3"/>
        <v>1746.64</v>
      </c>
    </row>
    <row r="141" spans="1:16" ht="31.5" hidden="1" x14ac:dyDescent="0.25">
      <c r="A141" s="958">
        <v>44681</v>
      </c>
      <c r="B141" s="959">
        <v>44676</v>
      </c>
      <c r="C141" s="960" t="s">
        <v>1762</v>
      </c>
      <c r="D141" s="494" t="s">
        <v>1753</v>
      </c>
      <c r="E141" s="992" t="s">
        <v>762</v>
      </c>
      <c r="F141" s="137" t="s">
        <v>1526</v>
      </c>
      <c r="G141" s="960"/>
      <c r="H141" s="960"/>
      <c r="I141" s="963" t="s">
        <v>1639</v>
      </c>
      <c r="J141" s="964" t="s">
        <v>1763</v>
      </c>
      <c r="K141" s="965" t="str">
        <f>IF(L141=0,"",(INDEX(AccountCodes[ACCOUNT NAME],MATCH(L141,AccountCodes[NGAS CODE],0))))</f>
        <v>Cash in Bank-Local Currency, Current Account - FO</v>
      </c>
      <c r="L141" s="966" t="s">
        <v>1566</v>
      </c>
      <c r="M141" s="967"/>
      <c r="N141" s="967">
        <v>1746.64</v>
      </c>
      <c r="O141" s="1018"/>
      <c r="P141" s="987">
        <f t="shared" si="3"/>
        <v>0</v>
      </c>
    </row>
    <row r="142" spans="1:16" ht="31.5" hidden="1" x14ac:dyDescent="0.25">
      <c r="A142" s="958">
        <v>44681</v>
      </c>
      <c r="B142" s="959">
        <v>44676</v>
      </c>
      <c r="C142" s="960" t="s">
        <v>1764</v>
      </c>
      <c r="D142" s="494" t="s">
        <v>1753</v>
      </c>
      <c r="E142" s="995" t="s">
        <v>762</v>
      </c>
      <c r="F142" s="962" t="s">
        <v>1526</v>
      </c>
      <c r="G142" s="960"/>
      <c r="H142" s="960"/>
      <c r="I142" s="963" t="s">
        <v>1765</v>
      </c>
      <c r="J142" s="964" t="s">
        <v>1763</v>
      </c>
      <c r="K142" s="965" t="str">
        <f>IF(L142=0,"",(INDEX(AccountCodes[ACCOUNT NAME],MATCH(L142,AccountCodes[NGAS CODE],0))))</f>
        <v>PhilHealth Contributions</v>
      </c>
      <c r="L142" s="966" t="s">
        <v>177</v>
      </c>
      <c r="M142" s="967">
        <v>1054.06</v>
      </c>
      <c r="N142" s="967"/>
      <c r="O142" s="1018"/>
      <c r="P142" s="987">
        <f t="shared" si="3"/>
        <v>1054.06</v>
      </c>
    </row>
    <row r="143" spans="1:16" ht="31.5" hidden="1" x14ac:dyDescent="0.25">
      <c r="A143" s="541">
        <v>44681</v>
      </c>
      <c r="B143" s="720">
        <v>44676</v>
      </c>
      <c r="C143" s="494" t="s">
        <v>1764</v>
      </c>
      <c r="D143" s="494" t="s">
        <v>1753</v>
      </c>
      <c r="E143" s="996" t="s">
        <v>762</v>
      </c>
      <c r="F143" s="495" t="s">
        <v>1526</v>
      </c>
      <c r="G143" s="494"/>
      <c r="H143" s="494"/>
      <c r="I143" s="671" t="s">
        <v>1765</v>
      </c>
      <c r="J143" s="954" t="s">
        <v>1763</v>
      </c>
      <c r="K143" s="680" t="str">
        <f>IF(L143=0,"",(INDEX(AccountCodes[ACCOUNT NAME],MATCH(L143,AccountCodes[NGAS CODE],0))))</f>
        <v>Due to PhilHealth</v>
      </c>
      <c r="L143" s="955" t="s">
        <v>112</v>
      </c>
      <c r="M143" s="956">
        <v>1054.04</v>
      </c>
      <c r="N143" s="956"/>
      <c r="O143" s="1017"/>
      <c r="P143" s="987">
        <f t="shared" si="3"/>
        <v>2108.1</v>
      </c>
    </row>
    <row r="144" spans="1:16" ht="31.5" hidden="1" x14ac:dyDescent="0.25">
      <c r="A144" s="958">
        <v>44681</v>
      </c>
      <c r="B144" s="959">
        <v>44676</v>
      </c>
      <c r="C144" s="494" t="s">
        <v>1764</v>
      </c>
      <c r="D144" s="494" t="s">
        <v>1753</v>
      </c>
      <c r="E144" s="996" t="s">
        <v>762</v>
      </c>
      <c r="F144" s="495" t="s">
        <v>1526</v>
      </c>
      <c r="G144" s="960"/>
      <c r="H144" s="960"/>
      <c r="I144" s="671" t="s">
        <v>1765</v>
      </c>
      <c r="J144" s="954" t="s">
        <v>1763</v>
      </c>
      <c r="K144" s="965" t="str">
        <f>IF(L144=0,"",(INDEX(AccountCodes[ACCOUNT NAME],MATCH(L144,AccountCodes[NGAS CODE],0))))</f>
        <v>Cash in Bank-Local Currency, Current Account - FO</v>
      </c>
      <c r="L144" s="966" t="s">
        <v>1566</v>
      </c>
      <c r="M144" s="967"/>
      <c r="N144" s="967">
        <v>2108.1</v>
      </c>
      <c r="O144" s="1018"/>
      <c r="P144" s="987">
        <f t="shared" si="3"/>
        <v>0</v>
      </c>
    </row>
    <row r="145" spans="1:16" ht="31.5" hidden="1" x14ac:dyDescent="0.25">
      <c r="A145" s="541">
        <v>44681</v>
      </c>
      <c r="B145" s="720">
        <v>44676</v>
      </c>
      <c r="C145" s="494" t="s">
        <v>1766</v>
      </c>
      <c r="D145" s="494" t="s">
        <v>1753</v>
      </c>
      <c r="E145" s="996" t="s">
        <v>762</v>
      </c>
      <c r="F145" s="495" t="s">
        <v>1526</v>
      </c>
      <c r="G145" s="494"/>
      <c r="H145" s="494"/>
      <c r="I145" s="671" t="s">
        <v>1638</v>
      </c>
      <c r="J145" s="954" t="s">
        <v>1767</v>
      </c>
      <c r="K145" s="680" t="str">
        <f>IF(L145=0,"",(INDEX(AccountCodes[ACCOUNT NAME],MATCH(L145,AccountCodes[NGAS CODE],0))))</f>
        <v>Due to BIR - Compensation</v>
      </c>
      <c r="L145" s="955" t="s">
        <v>1546</v>
      </c>
      <c r="M145" s="956">
        <v>730.7</v>
      </c>
      <c r="N145" s="956"/>
      <c r="O145" s="1017"/>
      <c r="P145" s="987">
        <f t="shared" si="3"/>
        <v>730.7</v>
      </c>
    </row>
    <row r="146" spans="1:16" ht="31.5" hidden="1" x14ac:dyDescent="0.25">
      <c r="A146" s="541">
        <v>44681</v>
      </c>
      <c r="B146" s="720">
        <v>44676</v>
      </c>
      <c r="C146" s="494" t="s">
        <v>1766</v>
      </c>
      <c r="D146" s="494" t="s">
        <v>1753</v>
      </c>
      <c r="E146" s="996" t="s">
        <v>762</v>
      </c>
      <c r="F146" s="495" t="s">
        <v>1526</v>
      </c>
      <c r="G146" s="494"/>
      <c r="H146" s="494"/>
      <c r="I146" s="671" t="s">
        <v>1638</v>
      </c>
      <c r="J146" s="954" t="s">
        <v>1767</v>
      </c>
      <c r="K146" s="680" t="str">
        <f>IF(L146=0,"",(INDEX(AccountCodes[ACCOUNT NAME],MATCH(L146,AccountCodes[NGAS CODE],0))))</f>
        <v>Cash in Bank-Local Currency, Current Account - FO</v>
      </c>
      <c r="L146" s="955" t="s">
        <v>1566</v>
      </c>
      <c r="M146" s="956"/>
      <c r="N146" s="956">
        <v>730.7</v>
      </c>
      <c r="O146" s="1017"/>
      <c r="P146" s="987">
        <f t="shared" si="3"/>
        <v>0</v>
      </c>
    </row>
    <row r="147" spans="1:16" hidden="1" x14ac:dyDescent="0.25">
      <c r="A147" s="541">
        <v>44681</v>
      </c>
      <c r="B147" s="720">
        <v>44676</v>
      </c>
      <c r="C147" s="494" t="s">
        <v>1768</v>
      </c>
      <c r="D147" s="494" t="s">
        <v>1753</v>
      </c>
      <c r="E147" s="996" t="s">
        <v>762</v>
      </c>
      <c r="F147" s="495" t="s">
        <v>1526</v>
      </c>
      <c r="G147" s="494"/>
      <c r="H147" s="494"/>
      <c r="I147" s="671" t="s">
        <v>1639</v>
      </c>
      <c r="J147" s="954" t="s">
        <v>1769</v>
      </c>
      <c r="K147" s="680" t="str">
        <f>IF(L147=0,"",(INDEX(AccountCodes[ACCOUNT NAME],MATCH(L147,AccountCodes[NGAS CODE],0))))</f>
        <v>Due to Pag-IBIG - MP2</v>
      </c>
      <c r="L147" s="955" t="s">
        <v>1508</v>
      </c>
      <c r="M147" s="956">
        <v>1000</v>
      </c>
      <c r="N147" s="956"/>
      <c r="O147" s="1017"/>
      <c r="P147" s="987">
        <f t="shared" si="3"/>
        <v>1000</v>
      </c>
    </row>
    <row r="148" spans="1:16" hidden="1" x14ac:dyDescent="0.25">
      <c r="A148" s="958">
        <v>44681</v>
      </c>
      <c r="B148" s="959">
        <v>44676</v>
      </c>
      <c r="C148" s="960" t="s">
        <v>1768</v>
      </c>
      <c r="D148" s="494" t="s">
        <v>1753</v>
      </c>
      <c r="E148" s="996" t="s">
        <v>762</v>
      </c>
      <c r="F148" s="495" t="s">
        <v>1526</v>
      </c>
      <c r="G148" s="960"/>
      <c r="H148" s="960"/>
      <c r="I148" s="963" t="s">
        <v>1639</v>
      </c>
      <c r="J148" s="964" t="s">
        <v>1769</v>
      </c>
      <c r="K148" s="965" t="str">
        <f>IF(L148=0,"",(INDEX(AccountCodes[ACCOUNT NAME],MATCH(L148,AccountCodes[NGAS CODE],0))))</f>
        <v>Cash in Bank-Local Currency, Current Account - FO</v>
      </c>
      <c r="L148" s="966" t="s">
        <v>1566</v>
      </c>
      <c r="M148" s="967"/>
      <c r="N148" s="967">
        <v>1000</v>
      </c>
      <c r="O148" s="1018"/>
      <c r="P148" s="987">
        <f t="shared" si="3"/>
        <v>0</v>
      </c>
    </row>
    <row r="149" spans="1:16" ht="31.5" hidden="1" x14ac:dyDescent="0.25">
      <c r="A149" s="541">
        <v>44681</v>
      </c>
      <c r="B149" s="720">
        <v>44677</v>
      </c>
      <c r="C149" s="494" t="s">
        <v>1770</v>
      </c>
      <c r="D149" s="494" t="s">
        <v>1753</v>
      </c>
      <c r="E149" s="996" t="s">
        <v>762</v>
      </c>
      <c r="F149" s="495" t="s">
        <v>1526</v>
      </c>
      <c r="G149" s="494"/>
      <c r="H149" s="494"/>
      <c r="I149" s="671" t="s">
        <v>1771</v>
      </c>
      <c r="J149" s="954" t="s">
        <v>1772</v>
      </c>
      <c r="K149" s="680" t="str">
        <f>IF(L149=0,"",(INDEX(AccountCodes[ACCOUNT NAME],MATCH(L149,AccountCodes[NGAS CODE],0))))</f>
        <v>Due to the Treasurer of the Philippines</v>
      </c>
      <c r="L149" s="955" t="s">
        <v>1496</v>
      </c>
      <c r="M149" s="956">
        <v>333.77</v>
      </c>
      <c r="N149" s="956"/>
      <c r="O149" s="1017"/>
      <c r="P149" s="987">
        <f t="shared" si="3"/>
        <v>333.77</v>
      </c>
    </row>
    <row r="150" spans="1:16" ht="31.5" hidden="1" x14ac:dyDescent="0.25">
      <c r="A150" s="541">
        <v>44681</v>
      </c>
      <c r="B150" s="720">
        <v>44677</v>
      </c>
      <c r="C150" s="494" t="s">
        <v>1770</v>
      </c>
      <c r="D150" s="494" t="s">
        <v>1753</v>
      </c>
      <c r="E150" s="996" t="s">
        <v>762</v>
      </c>
      <c r="F150" s="495" t="s">
        <v>1526</v>
      </c>
      <c r="G150" s="494"/>
      <c r="H150" s="494"/>
      <c r="I150" s="671" t="s">
        <v>1771</v>
      </c>
      <c r="J150" s="954" t="s">
        <v>1772</v>
      </c>
      <c r="K150" s="680" t="str">
        <f>IF(L150=0,"",(INDEX(AccountCodes[ACCOUNT NAME],MATCH(L150,AccountCodes[NGAS CODE],0))))</f>
        <v>Cash in Bank-Local Currency, Current Account - FO</v>
      </c>
      <c r="L150" s="955" t="s">
        <v>1566</v>
      </c>
      <c r="M150" s="956"/>
      <c r="N150" s="956">
        <v>333.77</v>
      </c>
      <c r="O150" s="1017"/>
      <c r="P150" s="987">
        <f t="shared" si="3"/>
        <v>0</v>
      </c>
    </row>
    <row r="151" spans="1:16" ht="63" hidden="1" x14ac:dyDescent="0.25">
      <c r="A151" s="541">
        <v>44712</v>
      </c>
      <c r="B151" s="720">
        <v>44692</v>
      </c>
      <c r="C151" s="494" t="s">
        <v>1777</v>
      </c>
      <c r="D151" s="494" t="s">
        <v>1778</v>
      </c>
      <c r="E151" s="996" t="s">
        <v>762</v>
      </c>
      <c r="F151" s="495" t="s">
        <v>1526</v>
      </c>
      <c r="G151" s="494"/>
      <c r="H151" s="494"/>
      <c r="I151" s="671" t="s">
        <v>1779</v>
      </c>
      <c r="J151" s="954" t="s">
        <v>1780</v>
      </c>
      <c r="K151" s="680" t="str">
        <f>IF(L151=0,"",(INDEX(AccountCodes[ACCOUNT NAME],MATCH(L151,AccountCodes[NGAS CODE],0))))</f>
        <v>Traveling Expenses-Local</v>
      </c>
      <c r="L151" s="955" t="s">
        <v>223</v>
      </c>
      <c r="M151" s="956">
        <v>10095</v>
      </c>
      <c r="N151" s="956"/>
      <c r="O151" s="1017"/>
      <c r="P151" s="987">
        <f t="shared" si="3"/>
        <v>10095</v>
      </c>
    </row>
    <row r="152" spans="1:16" ht="63" hidden="1" x14ac:dyDescent="0.25">
      <c r="A152" s="541">
        <v>44712</v>
      </c>
      <c r="B152" s="720">
        <v>44692</v>
      </c>
      <c r="C152" s="494" t="s">
        <v>1777</v>
      </c>
      <c r="D152" s="494" t="s">
        <v>1778</v>
      </c>
      <c r="E152" s="996" t="s">
        <v>762</v>
      </c>
      <c r="F152" s="495" t="s">
        <v>1526</v>
      </c>
      <c r="G152" s="494"/>
      <c r="H152" s="494"/>
      <c r="I152" s="671" t="s">
        <v>1779</v>
      </c>
      <c r="J152" s="954" t="s">
        <v>1780</v>
      </c>
      <c r="K152" s="680" t="str">
        <f>IF(L152=0,"",(INDEX(AccountCodes[ACCOUNT NAME],MATCH(L152,AccountCodes[NGAS CODE],0))))</f>
        <v>Cash in Bank-Local Currency, Current Account - FO</v>
      </c>
      <c r="L152" s="955" t="s">
        <v>1566</v>
      </c>
      <c r="M152" s="956"/>
      <c r="N152" s="956">
        <v>10095</v>
      </c>
      <c r="O152" s="1017"/>
      <c r="P152" s="987">
        <f t="shared" ref="P152:P220" si="4">P151+M152-N152</f>
        <v>0</v>
      </c>
    </row>
    <row r="153" spans="1:16" ht="63" hidden="1" x14ac:dyDescent="0.25">
      <c r="A153" s="958">
        <v>44712</v>
      </c>
      <c r="B153" s="959">
        <v>44693</v>
      </c>
      <c r="C153" s="960" t="s">
        <v>1781</v>
      </c>
      <c r="D153" s="494" t="s">
        <v>1778</v>
      </c>
      <c r="E153" s="996" t="s">
        <v>762</v>
      </c>
      <c r="F153" s="495" t="s">
        <v>1526</v>
      </c>
      <c r="G153" s="960"/>
      <c r="H153" s="960"/>
      <c r="I153" s="963" t="s">
        <v>1782</v>
      </c>
      <c r="J153" s="964" t="s">
        <v>1783</v>
      </c>
      <c r="K153" s="965" t="str">
        <f>IF(L153=0,"",(INDEX(AccountCodes[ACCOUNT NAME],MATCH(L153,AccountCodes[NGAS CODE],0))))</f>
        <v>Training Expenses</v>
      </c>
      <c r="L153" s="966" t="s">
        <v>224</v>
      </c>
      <c r="M153" s="967">
        <v>2600</v>
      </c>
      <c r="N153" s="967"/>
      <c r="O153" s="1018"/>
      <c r="P153" s="987">
        <f t="shared" si="4"/>
        <v>2600</v>
      </c>
    </row>
    <row r="154" spans="1:16" ht="63" hidden="1" x14ac:dyDescent="0.25">
      <c r="A154" s="541">
        <v>44712</v>
      </c>
      <c r="B154" s="720">
        <v>44693</v>
      </c>
      <c r="C154" s="494" t="s">
        <v>1781</v>
      </c>
      <c r="D154" s="494" t="s">
        <v>1778</v>
      </c>
      <c r="E154" s="996" t="s">
        <v>762</v>
      </c>
      <c r="F154" s="495" t="s">
        <v>1526</v>
      </c>
      <c r="G154" s="494"/>
      <c r="H154" s="494"/>
      <c r="I154" s="671" t="s">
        <v>1782</v>
      </c>
      <c r="J154" s="954" t="s">
        <v>1783</v>
      </c>
      <c r="K154" s="680" t="str">
        <f>IF(L154=0,"",(INDEX(AccountCodes[ACCOUNT NAME],MATCH(L154,AccountCodes[NGAS CODE],0))))</f>
        <v>Cash in Bank-Local Currency, Current Account - FO</v>
      </c>
      <c r="L154" s="955" t="s">
        <v>1566</v>
      </c>
      <c r="M154" s="956"/>
      <c r="N154" s="956">
        <v>2600</v>
      </c>
      <c r="O154" s="1017"/>
      <c r="P154" s="987">
        <f t="shared" si="4"/>
        <v>0</v>
      </c>
    </row>
    <row r="155" spans="1:16" ht="31.5" hidden="1" x14ac:dyDescent="0.25">
      <c r="A155" s="541">
        <v>44712</v>
      </c>
      <c r="B155" s="720">
        <v>44694</v>
      </c>
      <c r="C155" s="494" t="s">
        <v>1784</v>
      </c>
      <c r="D155" s="494" t="s">
        <v>1778</v>
      </c>
      <c r="E155" s="996" t="s">
        <v>762</v>
      </c>
      <c r="F155" s="495" t="s">
        <v>1526</v>
      </c>
      <c r="G155" s="494"/>
      <c r="H155" s="494"/>
      <c r="I155" s="671" t="s">
        <v>1667</v>
      </c>
      <c r="J155" s="954" t="s">
        <v>1785</v>
      </c>
      <c r="K155" s="680" t="str">
        <f>IF(L155=0,"",(INDEX(AccountCodes[ACCOUNT NAME],MATCH(L155,AccountCodes[NGAS CODE],0))))</f>
        <v>Salaries and Wages-Regular</v>
      </c>
      <c r="L155" s="955" t="s">
        <v>162</v>
      </c>
      <c r="M155" s="956">
        <v>70270</v>
      </c>
      <c r="N155" s="956"/>
      <c r="O155" s="1017"/>
      <c r="P155" s="987">
        <f t="shared" si="4"/>
        <v>70270</v>
      </c>
    </row>
    <row r="156" spans="1:16" ht="31.5" hidden="1" x14ac:dyDescent="0.25">
      <c r="A156" s="541">
        <v>44712</v>
      </c>
      <c r="B156" s="720">
        <v>44694</v>
      </c>
      <c r="C156" s="494" t="s">
        <v>1784</v>
      </c>
      <c r="D156" s="494" t="s">
        <v>1778</v>
      </c>
      <c r="E156" s="996" t="s">
        <v>762</v>
      </c>
      <c r="F156" s="495" t="s">
        <v>1526</v>
      </c>
      <c r="G156" s="494"/>
      <c r="H156" s="494"/>
      <c r="I156" s="671" t="s">
        <v>1667</v>
      </c>
      <c r="J156" s="954" t="s">
        <v>1785</v>
      </c>
      <c r="K156" s="680" t="str">
        <f>IF(L156=0,"",(INDEX(AccountCodes[ACCOUNT NAME],MATCH(L156,AccountCodes[NGAS CODE],0))))</f>
        <v>Personal Economic Relief Allowance (PERA)</v>
      </c>
      <c r="L156" s="955" t="s">
        <v>164</v>
      </c>
      <c r="M156" s="956">
        <v>6000</v>
      </c>
      <c r="N156" s="956"/>
      <c r="O156" s="1017"/>
      <c r="P156" s="987">
        <f t="shared" si="4"/>
        <v>76270</v>
      </c>
    </row>
    <row r="157" spans="1:16" ht="31.5" hidden="1" x14ac:dyDescent="0.25">
      <c r="A157" s="541">
        <v>44712</v>
      </c>
      <c r="B157" s="720">
        <v>44694</v>
      </c>
      <c r="C157" s="494" t="s">
        <v>1784</v>
      </c>
      <c r="D157" s="494" t="s">
        <v>1778</v>
      </c>
      <c r="E157" s="996" t="s">
        <v>762</v>
      </c>
      <c r="F157" s="495" t="s">
        <v>1526</v>
      </c>
      <c r="G157" s="494"/>
      <c r="H157" s="494"/>
      <c r="I157" s="671" t="s">
        <v>1667</v>
      </c>
      <c r="J157" s="954" t="s">
        <v>1785</v>
      </c>
      <c r="K157" s="680" t="str">
        <f>IF(L157=0,"",(INDEX(AccountCodes[ACCOUNT NAME],MATCH(L157,AccountCodes[NGAS CODE],0))))</f>
        <v>Due to BIR - Compensation</v>
      </c>
      <c r="L157" s="955" t="s">
        <v>1546</v>
      </c>
      <c r="M157" s="956"/>
      <c r="N157" s="956">
        <v>730.7</v>
      </c>
      <c r="O157" s="1017"/>
      <c r="P157" s="987">
        <f t="shared" si="4"/>
        <v>75539.3</v>
      </c>
    </row>
    <row r="158" spans="1:16" ht="31.5" hidden="1" x14ac:dyDescent="0.25">
      <c r="A158" s="541">
        <v>44712</v>
      </c>
      <c r="B158" s="720">
        <v>44694</v>
      </c>
      <c r="C158" s="494" t="s">
        <v>1784</v>
      </c>
      <c r="D158" s="494" t="s">
        <v>1778</v>
      </c>
      <c r="E158" s="996" t="s">
        <v>762</v>
      </c>
      <c r="F158" s="495" t="s">
        <v>1526</v>
      </c>
      <c r="G158" s="494"/>
      <c r="H158" s="494"/>
      <c r="I158" s="671" t="s">
        <v>1667</v>
      </c>
      <c r="J158" s="954" t="s">
        <v>1785</v>
      </c>
      <c r="K158" s="680" t="str">
        <f>IF(L158=0,"",(INDEX(AccountCodes[ACCOUNT NAME],MATCH(L158,AccountCodes[NGAS CODE],0))))</f>
        <v>Due to GSIS - Life and Retirement Premium</v>
      </c>
      <c r="L158" s="955" t="s">
        <v>1440</v>
      </c>
      <c r="M158" s="956"/>
      <c r="N158" s="956">
        <v>6324.3</v>
      </c>
      <c r="O158" s="1017"/>
      <c r="P158" s="987">
        <f t="shared" si="4"/>
        <v>69215</v>
      </c>
    </row>
    <row r="159" spans="1:16" ht="31.5" hidden="1" x14ac:dyDescent="0.25">
      <c r="A159" s="541">
        <v>44712</v>
      </c>
      <c r="B159" s="720">
        <v>44694</v>
      </c>
      <c r="C159" s="494" t="s">
        <v>1784</v>
      </c>
      <c r="D159" s="494" t="s">
        <v>1778</v>
      </c>
      <c r="E159" s="996" t="s">
        <v>762</v>
      </c>
      <c r="F159" s="495" t="s">
        <v>1526</v>
      </c>
      <c r="G159" s="494"/>
      <c r="H159" s="494"/>
      <c r="I159" s="671" t="s">
        <v>1667</v>
      </c>
      <c r="J159" s="954" t="s">
        <v>1785</v>
      </c>
      <c r="K159" s="680" t="str">
        <f>IF(L159=0,"",(INDEX(AccountCodes[ACCOUNT NAME],MATCH(L159,AccountCodes[NGAS CODE],0))))</f>
        <v>Due to Pag-IBIG - Pag-IBIG Premium</v>
      </c>
      <c r="L159" s="955" t="s">
        <v>1444</v>
      </c>
      <c r="M159" s="956"/>
      <c r="N159" s="956">
        <v>1446.64</v>
      </c>
      <c r="O159" s="1017"/>
      <c r="P159" s="987">
        <f t="shared" si="4"/>
        <v>67768.36</v>
      </c>
    </row>
    <row r="160" spans="1:16" ht="31.5" hidden="1" x14ac:dyDescent="0.25">
      <c r="A160" s="958">
        <v>44712</v>
      </c>
      <c r="B160" s="959">
        <v>44694</v>
      </c>
      <c r="C160" s="960" t="s">
        <v>1784</v>
      </c>
      <c r="D160" s="494" t="s">
        <v>1778</v>
      </c>
      <c r="E160" s="996" t="s">
        <v>762</v>
      </c>
      <c r="F160" s="495" t="s">
        <v>1526</v>
      </c>
      <c r="G160" s="960"/>
      <c r="H160" s="960"/>
      <c r="I160" s="963" t="s">
        <v>1667</v>
      </c>
      <c r="J160" s="964" t="s">
        <v>1785</v>
      </c>
      <c r="K160" s="965" t="str">
        <f>IF(L160=0,"",(INDEX(AccountCodes[ACCOUNT NAME],MATCH(L160,AccountCodes[NGAS CODE],0))))</f>
        <v>Due to Pag-IBIG - MP2</v>
      </c>
      <c r="L160" s="966" t="s">
        <v>1508</v>
      </c>
      <c r="M160" s="967"/>
      <c r="N160" s="967">
        <v>1000</v>
      </c>
      <c r="O160" s="1018"/>
      <c r="P160" s="987">
        <f t="shared" si="4"/>
        <v>66768.36</v>
      </c>
    </row>
    <row r="161" spans="1:16" ht="31.5" hidden="1" x14ac:dyDescent="0.25">
      <c r="A161" s="958">
        <v>44712</v>
      </c>
      <c r="B161" s="959">
        <v>44694</v>
      </c>
      <c r="C161" s="960" t="s">
        <v>1784</v>
      </c>
      <c r="D161" s="494" t="s">
        <v>1778</v>
      </c>
      <c r="E161" s="996" t="s">
        <v>762</v>
      </c>
      <c r="F161" s="495" t="s">
        <v>1526</v>
      </c>
      <c r="G161" s="494"/>
      <c r="H161" s="494"/>
      <c r="I161" s="671" t="s">
        <v>1667</v>
      </c>
      <c r="J161" s="954" t="s">
        <v>1785</v>
      </c>
      <c r="K161" s="680" t="str">
        <f>IF(L161=0,"",(INDEX(AccountCodes[ACCOUNT NAME],MATCH(L161,AccountCodes[NGAS CODE],0))))</f>
        <v>Due to PhilHealth</v>
      </c>
      <c r="L161" s="955" t="s">
        <v>112</v>
      </c>
      <c r="M161" s="956"/>
      <c r="N161" s="956">
        <v>1054.04</v>
      </c>
      <c r="O161" s="1017"/>
      <c r="P161" s="987">
        <f t="shared" si="4"/>
        <v>65714.320000000007</v>
      </c>
    </row>
    <row r="162" spans="1:16" ht="31.5" hidden="1" x14ac:dyDescent="0.25">
      <c r="A162" s="958">
        <v>44712</v>
      </c>
      <c r="B162" s="959">
        <v>44694</v>
      </c>
      <c r="C162" s="960" t="s">
        <v>1784</v>
      </c>
      <c r="D162" s="494" t="s">
        <v>1778</v>
      </c>
      <c r="E162" s="996" t="s">
        <v>762</v>
      </c>
      <c r="F162" s="495" t="s">
        <v>1526</v>
      </c>
      <c r="G162" s="494"/>
      <c r="H162" s="494"/>
      <c r="I162" s="671" t="s">
        <v>1667</v>
      </c>
      <c r="J162" s="954" t="s">
        <v>1785</v>
      </c>
      <c r="K162" s="680" t="str">
        <f>IF(L162=0,"",(INDEX(AccountCodes[ACCOUNT NAME],MATCH(L162,AccountCodes[NGAS CODE],0))))</f>
        <v>Cash in Bank-Local Currency, Current Account - FO</v>
      </c>
      <c r="L162" s="955" t="s">
        <v>1566</v>
      </c>
      <c r="M162" s="956"/>
      <c r="N162" s="956">
        <v>32857.17</v>
      </c>
      <c r="O162" s="1017"/>
      <c r="P162" s="987">
        <f t="shared" si="4"/>
        <v>32857.15</v>
      </c>
    </row>
    <row r="163" spans="1:16" ht="31.5" hidden="1" x14ac:dyDescent="0.25">
      <c r="A163" s="958">
        <v>44712</v>
      </c>
      <c r="B163" s="959">
        <v>44712</v>
      </c>
      <c r="C163" s="960" t="s">
        <v>1786</v>
      </c>
      <c r="D163" s="494" t="s">
        <v>1778</v>
      </c>
      <c r="E163" s="996" t="s">
        <v>762</v>
      </c>
      <c r="F163" s="495" t="s">
        <v>1526</v>
      </c>
      <c r="G163" s="494"/>
      <c r="H163" s="494"/>
      <c r="I163" s="671" t="s">
        <v>1667</v>
      </c>
      <c r="J163" s="954" t="s">
        <v>1787</v>
      </c>
      <c r="K163" s="680" t="str">
        <f>IF(L163=0,"",(INDEX(AccountCodes[ACCOUNT NAME],MATCH(L163,AccountCodes[NGAS CODE],0))))</f>
        <v>Cash in Bank-Local Currency, Current Account - FO</v>
      </c>
      <c r="L163" s="955" t="s">
        <v>1566</v>
      </c>
      <c r="M163" s="956"/>
      <c r="N163" s="956">
        <v>32857.15</v>
      </c>
      <c r="O163" s="1017"/>
      <c r="P163" s="987">
        <f t="shared" si="4"/>
        <v>0</v>
      </c>
    </row>
    <row r="164" spans="1:16" ht="31.5" hidden="1" x14ac:dyDescent="0.25">
      <c r="A164" s="958">
        <v>44712</v>
      </c>
      <c r="B164" s="959">
        <v>44705</v>
      </c>
      <c r="C164" s="960" t="s">
        <v>1792</v>
      </c>
      <c r="D164" s="494" t="s">
        <v>1778</v>
      </c>
      <c r="E164" s="996" t="s">
        <v>762</v>
      </c>
      <c r="F164" s="495" t="s">
        <v>1526</v>
      </c>
      <c r="G164" s="494"/>
      <c r="H164" s="494"/>
      <c r="I164" s="671" t="s">
        <v>1667</v>
      </c>
      <c r="J164" s="954" t="s">
        <v>1788</v>
      </c>
      <c r="K164" s="680" t="str">
        <f>IF(L164=0,"",(INDEX(AccountCodes[ACCOUNT NAME],MATCH(L164,AccountCodes[NGAS CODE],0))))</f>
        <v>Mid-Year/Year End Bonus</v>
      </c>
      <c r="L164" s="955" t="s">
        <v>174</v>
      </c>
      <c r="M164" s="956">
        <v>79449</v>
      </c>
      <c r="N164" s="956"/>
      <c r="O164" s="1017"/>
      <c r="P164" s="987">
        <f t="shared" si="4"/>
        <v>79449</v>
      </c>
    </row>
    <row r="165" spans="1:16" ht="31.5" hidden="1" x14ac:dyDescent="0.25">
      <c r="A165" s="541">
        <v>44712</v>
      </c>
      <c r="B165" s="720">
        <v>44705</v>
      </c>
      <c r="C165" s="494" t="s">
        <v>1792</v>
      </c>
      <c r="D165" s="494" t="s">
        <v>1778</v>
      </c>
      <c r="E165" s="996" t="s">
        <v>762</v>
      </c>
      <c r="F165" s="495" t="s">
        <v>1526</v>
      </c>
      <c r="G165" s="494"/>
      <c r="H165" s="494"/>
      <c r="I165" s="671" t="s">
        <v>1667</v>
      </c>
      <c r="J165" s="954" t="s">
        <v>1788</v>
      </c>
      <c r="K165" s="680" t="str">
        <f>IF(L165=0,"",(INDEX(AccountCodes[ACCOUNT NAME],MATCH(L165,AccountCodes[NGAS CODE],0))))</f>
        <v>Cash in Bank-Local Currency, Current Account - FO</v>
      </c>
      <c r="L165" s="955" t="s">
        <v>1479</v>
      </c>
      <c r="M165" s="956"/>
      <c r="N165" s="956">
        <v>79449</v>
      </c>
      <c r="O165" s="1017"/>
      <c r="P165" s="987">
        <f t="shared" si="4"/>
        <v>0</v>
      </c>
    </row>
    <row r="166" spans="1:16" ht="63" hidden="1" x14ac:dyDescent="0.25">
      <c r="A166" s="541">
        <v>44712</v>
      </c>
      <c r="B166" s="720">
        <v>44700</v>
      </c>
      <c r="C166" s="494" t="s">
        <v>1789</v>
      </c>
      <c r="D166" s="494" t="s">
        <v>1778</v>
      </c>
      <c r="E166" s="996" t="s">
        <v>762</v>
      </c>
      <c r="F166" s="495" t="s">
        <v>1526</v>
      </c>
      <c r="G166" s="494"/>
      <c r="H166" s="494"/>
      <c r="I166" s="671" t="s">
        <v>1790</v>
      </c>
      <c r="J166" s="954" t="s">
        <v>1791</v>
      </c>
      <c r="K166" s="680" t="str">
        <f>IF(L166=0,"",(INDEX(AccountCodes[ACCOUNT NAME],MATCH(L166,AccountCodes[NGAS CODE],0))))</f>
        <v>Training Expenses</v>
      </c>
      <c r="L166" s="955" t="s">
        <v>224</v>
      </c>
      <c r="M166" s="956">
        <v>25875</v>
      </c>
      <c r="N166" s="956"/>
      <c r="O166" s="1017"/>
      <c r="P166" s="987">
        <f t="shared" si="4"/>
        <v>25875</v>
      </c>
    </row>
    <row r="167" spans="1:16" ht="63" hidden="1" x14ac:dyDescent="0.25">
      <c r="A167" s="541">
        <v>44712</v>
      </c>
      <c r="B167" s="720">
        <v>44700</v>
      </c>
      <c r="C167" s="494" t="s">
        <v>1789</v>
      </c>
      <c r="D167" s="494" t="s">
        <v>1778</v>
      </c>
      <c r="E167" s="996" t="s">
        <v>762</v>
      </c>
      <c r="F167" s="495" t="s">
        <v>1526</v>
      </c>
      <c r="G167" s="494"/>
      <c r="H167" s="494"/>
      <c r="I167" s="671" t="s">
        <v>1790</v>
      </c>
      <c r="J167" s="954" t="s">
        <v>1791</v>
      </c>
      <c r="K167" s="680" t="str">
        <f>IF(L167=0,"",(INDEX(AccountCodes[ACCOUNT NAME],MATCH(L167,AccountCodes[NGAS CODE],0))))</f>
        <v>Due to BIR - 1%</v>
      </c>
      <c r="L167" s="955" t="s">
        <v>1554</v>
      </c>
      <c r="M167" s="956"/>
      <c r="N167" s="956">
        <v>258.75</v>
      </c>
      <c r="O167" s="1017"/>
      <c r="P167" s="987">
        <f t="shared" si="4"/>
        <v>25616.25</v>
      </c>
    </row>
    <row r="168" spans="1:16" ht="63" hidden="1" x14ac:dyDescent="0.25">
      <c r="A168" s="541">
        <v>44712</v>
      </c>
      <c r="B168" s="720">
        <v>44700</v>
      </c>
      <c r="C168" s="494" t="s">
        <v>1789</v>
      </c>
      <c r="D168" s="494" t="s">
        <v>1778</v>
      </c>
      <c r="E168" s="996" t="s">
        <v>762</v>
      </c>
      <c r="F168" s="495" t="s">
        <v>1526</v>
      </c>
      <c r="G168" s="494"/>
      <c r="H168" s="494"/>
      <c r="I168" s="671" t="s">
        <v>1790</v>
      </c>
      <c r="J168" s="954" t="s">
        <v>1791</v>
      </c>
      <c r="K168" s="680" t="str">
        <f>IF(L168=0,"",(INDEX(AccountCodes[ACCOUNT NAME],MATCH(L168,AccountCodes[NGAS CODE],0))))</f>
        <v>Due to BIR - 2%</v>
      </c>
      <c r="L168" s="955" t="s">
        <v>1550</v>
      </c>
      <c r="M168" s="956"/>
      <c r="N168" s="956">
        <v>517.5</v>
      </c>
      <c r="O168" s="1017"/>
      <c r="P168" s="987">
        <f t="shared" si="4"/>
        <v>25098.75</v>
      </c>
    </row>
    <row r="169" spans="1:16" ht="63" hidden="1" x14ac:dyDescent="0.25">
      <c r="A169" s="541">
        <v>44712</v>
      </c>
      <c r="B169" s="720">
        <v>44700</v>
      </c>
      <c r="C169" s="494" t="s">
        <v>1789</v>
      </c>
      <c r="D169" s="494" t="s">
        <v>1778</v>
      </c>
      <c r="E169" s="996" t="s">
        <v>762</v>
      </c>
      <c r="F169" s="495" t="s">
        <v>1526</v>
      </c>
      <c r="G169" s="494"/>
      <c r="H169" s="494"/>
      <c r="I169" s="671" t="s">
        <v>1790</v>
      </c>
      <c r="J169" s="954" t="s">
        <v>1791</v>
      </c>
      <c r="K169" s="680" t="str">
        <f>IF(L169=0,"",(INDEX(AccountCodes[ACCOUNT NAME],MATCH(L169,AccountCodes[NGAS CODE],0))))</f>
        <v>Cash in Bank-Local Currency, Current Account - FO</v>
      </c>
      <c r="L169" s="955" t="s">
        <v>1566</v>
      </c>
      <c r="M169" s="956"/>
      <c r="N169" s="956">
        <v>25098.75</v>
      </c>
      <c r="O169" s="1017"/>
      <c r="P169" s="987">
        <f t="shared" si="4"/>
        <v>0</v>
      </c>
    </row>
    <row r="170" spans="1:16" ht="31.5" hidden="1" x14ac:dyDescent="0.25">
      <c r="A170" s="541">
        <v>44712</v>
      </c>
      <c r="B170" s="720">
        <v>44705</v>
      </c>
      <c r="C170" s="494" t="s">
        <v>1792</v>
      </c>
      <c r="D170" s="494" t="s">
        <v>1778</v>
      </c>
      <c r="E170" s="996" t="s">
        <v>762</v>
      </c>
      <c r="F170" s="495" t="s">
        <v>1526</v>
      </c>
      <c r="G170" s="494"/>
      <c r="H170" s="494"/>
      <c r="I170" s="671" t="s">
        <v>1667</v>
      </c>
      <c r="J170" s="954" t="s">
        <v>1793</v>
      </c>
      <c r="K170" s="680" t="str">
        <f>IF(L170=0,"",(INDEX(AccountCodes[ACCOUNT NAME],MATCH(L170,AccountCodes[NGAS CODE],0))))</f>
        <v>Due to Officers and Employees</v>
      </c>
      <c r="L170" s="1005" t="s">
        <v>108</v>
      </c>
      <c r="M170" s="956">
        <v>7627</v>
      </c>
      <c r="N170" s="956"/>
      <c r="O170" s="1017"/>
      <c r="P170" s="987">
        <f t="shared" si="4"/>
        <v>7627</v>
      </c>
    </row>
    <row r="171" spans="1:16" ht="31.5" hidden="1" x14ac:dyDescent="0.25">
      <c r="A171" s="958">
        <v>44712</v>
      </c>
      <c r="B171" s="959">
        <v>44705</v>
      </c>
      <c r="C171" s="960" t="s">
        <v>1792</v>
      </c>
      <c r="D171" s="494" t="s">
        <v>1778</v>
      </c>
      <c r="E171" s="996" t="s">
        <v>762</v>
      </c>
      <c r="F171" s="495" t="s">
        <v>1526</v>
      </c>
      <c r="G171" s="960"/>
      <c r="H171" s="960"/>
      <c r="I171" s="963" t="s">
        <v>1667</v>
      </c>
      <c r="J171" s="964" t="s">
        <v>1794</v>
      </c>
      <c r="K171" s="965" t="str">
        <f>IF(L171=0,"",(INDEX(AccountCodes[ACCOUNT NAME],MATCH(L171,AccountCodes[NGAS CODE],0))))</f>
        <v>Cash in Bank-Local Currency, Current Account - FO</v>
      </c>
      <c r="L171" s="966" t="s">
        <v>1566</v>
      </c>
      <c r="M171" s="967"/>
      <c r="N171" s="967">
        <v>7627</v>
      </c>
      <c r="O171" s="1018"/>
      <c r="P171" s="987">
        <f t="shared" si="4"/>
        <v>0</v>
      </c>
    </row>
    <row r="172" spans="1:16" ht="31.5" hidden="1" x14ac:dyDescent="0.25">
      <c r="A172" s="541">
        <v>44712</v>
      </c>
      <c r="B172" s="959">
        <v>44705</v>
      </c>
      <c r="C172" s="494" t="s">
        <v>1795</v>
      </c>
      <c r="D172" s="494" t="s">
        <v>1778</v>
      </c>
      <c r="E172" s="996" t="s">
        <v>762</v>
      </c>
      <c r="F172" s="495" t="s">
        <v>1526</v>
      </c>
      <c r="G172" s="494"/>
      <c r="H172" s="494"/>
      <c r="I172" s="671" t="s">
        <v>1667</v>
      </c>
      <c r="J172" s="954" t="s">
        <v>1796</v>
      </c>
      <c r="K172" s="680" t="str">
        <f>IF(L172=0,"",(INDEX(AccountCodes[ACCOUNT NAME],MATCH(L172,AccountCodes[NGAS CODE],0))))</f>
        <v>Salaries and Wages-Regular</v>
      </c>
      <c r="L172" s="955" t="s">
        <v>162</v>
      </c>
      <c r="M172" s="956">
        <v>45895</v>
      </c>
      <c r="N172" s="956"/>
      <c r="O172" s="1017"/>
      <c r="P172" s="987">
        <f t="shared" si="4"/>
        <v>45895</v>
      </c>
    </row>
    <row r="173" spans="1:16" ht="31.5" hidden="1" x14ac:dyDescent="0.25">
      <c r="A173" s="541">
        <v>44712</v>
      </c>
      <c r="B173" s="959">
        <v>44705</v>
      </c>
      <c r="C173" s="494" t="s">
        <v>1795</v>
      </c>
      <c r="D173" s="494" t="s">
        <v>1778</v>
      </c>
      <c r="E173" s="996" t="s">
        <v>762</v>
      </c>
      <c r="F173" s="495" t="s">
        <v>1526</v>
      </c>
      <c r="G173" s="494"/>
      <c r="H173" s="494"/>
      <c r="I173" s="671" t="s">
        <v>1667</v>
      </c>
      <c r="J173" s="954" t="s">
        <v>1796</v>
      </c>
      <c r="K173" s="680" t="str">
        <f>IF(L173=0,"",(INDEX(AccountCodes[ACCOUNT NAME],MATCH(L173,AccountCodes[NGAS CODE],0))))</f>
        <v>Due to Officers and Employees</v>
      </c>
      <c r="L173" s="1005" t="s">
        <v>108</v>
      </c>
      <c r="M173" s="956">
        <v>12868.35</v>
      </c>
      <c r="N173" s="956"/>
      <c r="O173" s="1017"/>
      <c r="P173" s="987">
        <f t="shared" si="4"/>
        <v>58763.35</v>
      </c>
    </row>
    <row r="174" spans="1:16" ht="31.5" hidden="1" x14ac:dyDescent="0.25">
      <c r="A174" s="541">
        <v>44712</v>
      </c>
      <c r="B174" s="959">
        <v>44705</v>
      </c>
      <c r="C174" s="494" t="s">
        <v>1795</v>
      </c>
      <c r="D174" s="494" t="s">
        <v>1778</v>
      </c>
      <c r="E174" s="996" t="s">
        <v>762</v>
      </c>
      <c r="F174" s="495" t="s">
        <v>1526</v>
      </c>
      <c r="G174" s="145"/>
      <c r="H174" s="145"/>
      <c r="I174" s="671" t="s">
        <v>1667</v>
      </c>
      <c r="J174" s="954" t="s">
        <v>1796</v>
      </c>
      <c r="K174" s="704" t="str">
        <f>IF(L174=0,"",(INDEX(AccountCodes[ACCOUNT NAME],MATCH(L174,AccountCodes[NGAS CODE],0))))</f>
        <v>Salaries and Wages-Regular</v>
      </c>
      <c r="L174" s="953" t="s">
        <v>162</v>
      </c>
      <c r="M174" s="982">
        <v>372.65</v>
      </c>
      <c r="N174" s="982"/>
      <c r="O174" s="984"/>
      <c r="P174" s="987">
        <f t="shared" si="4"/>
        <v>59136</v>
      </c>
    </row>
    <row r="175" spans="1:16" ht="31.5" hidden="1" x14ac:dyDescent="0.25">
      <c r="A175" s="541">
        <v>44712</v>
      </c>
      <c r="B175" s="959">
        <v>44705</v>
      </c>
      <c r="C175" s="494" t="s">
        <v>1795</v>
      </c>
      <c r="D175" s="494" t="s">
        <v>1778</v>
      </c>
      <c r="E175" s="996" t="s">
        <v>762</v>
      </c>
      <c r="F175" s="495" t="s">
        <v>1526</v>
      </c>
      <c r="G175" s="494"/>
      <c r="H175" s="494"/>
      <c r="I175" s="671" t="s">
        <v>1667</v>
      </c>
      <c r="J175" s="954" t="s">
        <v>1796</v>
      </c>
      <c r="K175" s="680" t="str">
        <f>IF(L175=0,"",(INDEX(AccountCodes[ACCOUNT NAME],MATCH(L175,AccountCodes[NGAS CODE],0))))</f>
        <v>Due to GSIS - Life and Retirement Premium</v>
      </c>
      <c r="L175" s="955" t="s">
        <v>1440</v>
      </c>
      <c r="M175" s="956"/>
      <c r="N175" s="991">
        <v>5322.24</v>
      </c>
      <c r="O175" s="1017"/>
      <c r="P175" s="987">
        <f t="shared" si="4"/>
        <v>53813.760000000002</v>
      </c>
    </row>
    <row r="176" spans="1:16" ht="31.5" hidden="1" x14ac:dyDescent="0.25">
      <c r="A176" s="541">
        <v>44712</v>
      </c>
      <c r="B176" s="720">
        <v>44705</v>
      </c>
      <c r="C176" s="494" t="s">
        <v>1795</v>
      </c>
      <c r="D176" s="494" t="s">
        <v>1778</v>
      </c>
      <c r="E176" s="996" t="s">
        <v>762</v>
      </c>
      <c r="F176" s="495" t="s">
        <v>1526</v>
      </c>
      <c r="G176" s="494"/>
      <c r="H176" s="494"/>
      <c r="I176" s="671" t="s">
        <v>1667</v>
      </c>
      <c r="J176" s="954" t="s">
        <v>1796</v>
      </c>
      <c r="K176" s="680" t="str">
        <f>IF(L176=0,"",(INDEX(AccountCodes[ACCOUNT NAME],MATCH(L176,AccountCodes[NGAS CODE],0))))</f>
        <v>Due to BIR - Compensation</v>
      </c>
      <c r="L176" s="955" t="s">
        <v>1546</v>
      </c>
      <c r="M176" s="956"/>
      <c r="N176" s="956">
        <v>10556.5</v>
      </c>
      <c r="O176" s="1017"/>
      <c r="P176" s="987">
        <f t="shared" si="4"/>
        <v>43257.26</v>
      </c>
    </row>
    <row r="177" spans="1:16" ht="31.5" hidden="1" x14ac:dyDescent="0.25">
      <c r="A177" s="541">
        <v>44712</v>
      </c>
      <c r="B177" s="720">
        <v>44705</v>
      </c>
      <c r="C177" s="494" t="s">
        <v>1795</v>
      </c>
      <c r="D177" s="494" t="s">
        <v>1778</v>
      </c>
      <c r="E177" s="996" t="s">
        <v>762</v>
      </c>
      <c r="F177" s="495" t="s">
        <v>1526</v>
      </c>
      <c r="G177" s="494"/>
      <c r="H177" s="494"/>
      <c r="I177" s="671" t="s">
        <v>1667</v>
      </c>
      <c r="J177" s="954" t="s">
        <v>1796</v>
      </c>
      <c r="K177" s="680" t="str">
        <f>IF(L177=0,"",(INDEX(AccountCodes[ACCOUNT NAME],MATCH(L177,AccountCodes[NGAS CODE],0))))</f>
        <v>Cash in Bank-Local Currency, Current Account - FO</v>
      </c>
      <c r="L177" s="955" t="s">
        <v>1566</v>
      </c>
      <c r="M177" s="956"/>
      <c r="N177" s="956">
        <v>43257.26</v>
      </c>
      <c r="O177" s="1017"/>
      <c r="P177" s="987">
        <f t="shared" si="4"/>
        <v>0</v>
      </c>
    </row>
    <row r="178" spans="1:16" ht="31.5" hidden="1" x14ac:dyDescent="0.25">
      <c r="A178" s="541">
        <v>44712</v>
      </c>
      <c r="B178" s="720">
        <v>44712</v>
      </c>
      <c r="C178" s="494" t="s">
        <v>1797</v>
      </c>
      <c r="D178" s="494" t="s">
        <v>1778</v>
      </c>
      <c r="E178" s="996" t="s">
        <v>762</v>
      </c>
      <c r="F178" s="495" t="s">
        <v>1526</v>
      </c>
      <c r="G178" s="494"/>
      <c r="H178" s="494"/>
      <c r="I178" s="671" t="s">
        <v>1667</v>
      </c>
      <c r="J178" s="954" t="s">
        <v>1798</v>
      </c>
      <c r="K178" s="680" t="str">
        <f>IF(L178=0,"",(INDEX(AccountCodes[ACCOUNT NAME],MATCH(L178,AccountCodes[NGAS CODE],0))))</f>
        <v>Due to Officers and Employees</v>
      </c>
      <c r="L178" s="1005" t="s">
        <v>108</v>
      </c>
      <c r="M178" s="956">
        <v>11556.77</v>
      </c>
      <c r="N178" s="956"/>
      <c r="O178" s="1017"/>
      <c r="P178" s="987">
        <f t="shared" si="4"/>
        <v>11556.77</v>
      </c>
    </row>
    <row r="179" spans="1:16" ht="31.5" hidden="1" x14ac:dyDescent="0.25">
      <c r="A179" s="541">
        <v>44712</v>
      </c>
      <c r="B179" s="720">
        <v>44712</v>
      </c>
      <c r="C179" s="494" t="s">
        <v>1797</v>
      </c>
      <c r="D179" s="494" t="s">
        <v>1778</v>
      </c>
      <c r="E179" s="996" t="s">
        <v>762</v>
      </c>
      <c r="F179" s="495" t="s">
        <v>1526</v>
      </c>
      <c r="G179" s="494"/>
      <c r="H179" s="494"/>
      <c r="I179" s="671" t="s">
        <v>1667</v>
      </c>
      <c r="J179" s="954" t="s">
        <v>1798</v>
      </c>
      <c r="K179" s="680" t="str">
        <f>IF(L179=0,"",(INDEX(AccountCodes[ACCOUNT NAME],MATCH(L179,AccountCodes[NGAS CODE],0))))</f>
        <v>Due to GSIS - Life and Retirement Premium</v>
      </c>
      <c r="L179" s="955" t="s">
        <v>1440</v>
      </c>
      <c r="M179" s="956"/>
      <c r="N179" s="956">
        <v>1208.0899999999999</v>
      </c>
      <c r="O179" s="1017"/>
      <c r="P179" s="987">
        <f t="shared" si="4"/>
        <v>10348.68</v>
      </c>
    </row>
    <row r="180" spans="1:16" ht="31.5" hidden="1" x14ac:dyDescent="0.25">
      <c r="A180" s="541">
        <v>44712</v>
      </c>
      <c r="B180" s="720">
        <v>44712</v>
      </c>
      <c r="C180" s="494" t="s">
        <v>1797</v>
      </c>
      <c r="D180" s="494" t="s">
        <v>1778</v>
      </c>
      <c r="E180" s="996" t="s">
        <v>762</v>
      </c>
      <c r="F180" s="495" t="s">
        <v>1526</v>
      </c>
      <c r="G180" s="494"/>
      <c r="H180" s="494"/>
      <c r="I180" s="671" t="s">
        <v>1667</v>
      </c>
      <c r="J180" s="954" t="s">
        <v>1798</v>
      </c>
      <c r="K180" s="680" t="str">
        <f>IF(L180=0,"",(INDEX(AccountCodes[ACCOUNT NAME],MATCH(L180,AccountCodes[NGAS CODE],0))))</f>
        <v>Cash in Bank-Local Currency, Current Account - FO</v>
      </c>
      <c r="L180" s="955" t="s">
        <v>1566</v>
      </c>
      <c r="M180" s="956"/>
      <c r="N180" s="956">
        <v>10348.68</v>
      </c>
      <c r="O180" s="1017"/>
      <c r="P180" s="987">
        <f t="shared" si="4"/>
        <v>0</v>
      </c>
    </row>
    <row r="181" spans="1:16" hidden="1" x14ac:dyDescent="0.25">
      <c r="A181" s="541">
        <v>44712</v>
      </c>
      <c r="B181" s="720">
        <v>44711</v>
      </c>
      <c r="C181" s="494" t="s">
        <v>1811</v>
      </c>
      <c r="D181" s="494" t="s">
        <v>1778</v>
      </c>
      <c r="E181" s="996" t="s">
        <v>762</v>
      </c>
      <c r="F181" s="495" t="s">
        <v>1526</v>
      </c>
      <c r="G181" s="494"/>
      <c r="H181" s="494"/>
      <c r="I181" s="671" t="s">
        <v>1639</v>
      </c>
      <c r="J181" s="1013" t="s">
        <v>1812</v>
      </c>
      <c r="K181" s="680" t="str">
        <f>IF(L181=0,"",(INDEX(AccountCodes[ACCOUNT NAME],MATCH(L181,AccountCodes[NGAS CODE],0))))</f>
        <v>Due to Pag-IBIG - MP2</v>
      </c>
      <c r="L181" s="955" t="s">
        <v>1508</v>
      </c>
      <c r="M181" s="956">
        <v>1000</v>
      </c>
      <c r="N181" s="956"/>
      <c r="O181" s="1017"/>
      <c r="P181" s="987">
        <f t="shared" si="4"/>
        <v>1000</v>
      </c>
    </row>
    <row r="182" spans="1:16" hidden="1" x14ac:dyDescent="0.25">
      <c r="A182" s="541">
        <v>44712</v>
      </c>
      <c r="B182" s="720">
        <v>44711</v>
      </c>
      <c r="C182" s="494" t="s">
        <v>1811</v>
      </c>
      <c r="D182" s="494" t="s">
        <v>1778</v>
      </c>
      <c r="E182" s="996" t="s">
        <v>762</v>
      </c>
      <c r="F182" s="495" t="s">
        <v>1526</v>
      </c>
      <c r="G182" s="494"/>
      <c r="H182" s="494"/>
      <c r="I182" s="671" t="s">
        <v>1639</v>
      </c>
      <c r="J182" s="1013" t="s">
        <v>1812</v>
      </c>
      <c r="K182" s="680" t="str">
        <f>IF(L182=0,"",(INDEX(AccountCodes[ACCOUNT NAME],MATCH(L182,AccountCodes[NGAS CODE],0))))</f>
        <v>Cash in Bank-Local Currency, Current Account - FO</v>
      </c>
      <c r="L182" s="955" t="s">
        <v>1479</v>
      </c>
      <c r="M182" s="956"/>
      <c r="N182" s="956">
        <v>1000</v>
      </c>
      <c r="O182" s="1017"/>
      <c r="P182" s="987">
        <f t="shared" si="4"/>
        <v>0</v>
      </c>
    </row>
    <row r="183" spans="1:16" ht="31.5" hidden="1" x14ac:dyDescent="0.25">
      <c r="A183" s="541">
        <v>44712</v>
      </c>
      <c r="B183" s="720">
        <v>44712</v>
      </c>
      <c r="C183" s="494" t="s">
        <v>1799</v>
      </c>
      <c r="D183" s="494" t="s">
        <v>1778</v>
      </c>
      <c r="E183" s="996" t="s">
        <v>762</v>
      </c>
      <c r="F183" s="495" t="s">
        <v>1526</v>
      </c>
      <c r="G183" s="494"/>
      <c r="H183" s="494"/>
      <c r="I183" s="671" t="s">
        <v>1639</v>
      </c>
      <c r="J183" s="954" t="s">
        <v>1800</v>
      </c>
      <c r="K183" s="680" t="str">
        <f>IF(L183=0,"",(INDEX(AccountCodes[ACCOUNT NAME],MATCH(L183,AccountCodes[NGAS CODE],0))))</f>
        <v>Pag-IBIG Contributions</v>
      </c>
      <c r="L183" s="955" t="s">
        <v>176</v>
      </c>
      <c r="M183" s="956">
        <v>300</v>
      </c>
      <c r="N183" s="956"/>
      <c r="O183" s="1017"/>
      <c r="P183" s="987">
        <f>P180+M183-N183</f>
        <v>300</v>
      </c>
    </row>
    <row r="184" spans="1:16" ht="31.5" hidden="1" x14ac:dyDescent="0.25">
      <c r="A184" s="541">
        <v>44712</v>
      </c>
      <c r="B184" s="720">
        <v>44712</v>
      </c>
      <c r="C184" s="494" t="s">
        <v>1799</v>
      </c>
      <c r="D184" s="494" t="s">
        <v>1778</v>
      </c>
      <c r="E184" s="996" t="s">
        <v>762</v>
      </c>
      <c r="F184" s="495" t="s">
        <v>1526</v>
      </c>
      <c r="G184" s="494"/>
      <c r="H184" s="494"/>
      <c r="I184" s="671" t="s">
        <v>1639</v>
      </c>
      <c r="J184" s="954" t="s">
        <v>1800</v>
      </c>
      <c r="K184" s="680" t="str">
        <f>IF(L184=0,"",(INDEX(AccountCodes[ACCOUNT NAME],MATCH(L184,AccountCodes[NGAS CODE],0))))</f>
        <v>Due to Pag-IBIG - Pag-IBIG Premium</v>
      </c>
      <c r="L184" s="955" t="s">
        <v>1444</v>
      </c>
      <c r="M184" s="956">
        <v>1446.64</v>
      </c>
      <c r="N184" s="956"/>
      <c r="O184" s="1017"/>
      <c r="P184" s="987">
        <f t="shared" si="4"/>
        <v>1746.64</v>
      </c>
    </row>
    <row r="185" spans="1:16" ht="31.5" hidden="1" x14ac:dyDescent="0.25">
      <c r="A185" s="541">
        <v>44712</v>
      </c>
      <c r="B185" s="720">
        <v>44712</v>
      </c>
      <c r="C185" s="494" t="s">
        <v>1799</v>
      </c>
      <c r="D185" s="494" t="s">
        <v>1778</v>
      </c>
      <c r="E185" s="996" t="s">
        <v>762</v>
      </c>
      <c r="F185" s="495" t="s">
        <v>1526</v>
      </c>
      <c r="G185" s="494"/>
      <c r="H185" s="494"/>
      <c r="I185" s="671" t="s">
        <v>1639</v>
      </c>
      <c r="J185" s="954" t="s">
        <v>1800</v>
      </c>
      <c r="K185" s="680" t="str">
        <f>IF(L185=0,"",(INDEX(AccountCodes[ACCOUNT NAME],MATCH(L185,AccountCodes[NGAS CODE],0))))</f>
        <v>Cash in Bank-Local Currency, Current Account - FO</v>
      </c>
      <c r="L185" s="955" t="s">
        <v>1566</v>
      </c>
      <c r="M185" s="956"/>
      <c r="N185" s="956">
        <v>1746.64</v>
      </c>
      <c r="O185" s="1017"/>
      <c r="P185" s="987">
        <f t="shared" si="4"/>
        <v>0</v>
      </c>
    </row>
    <row r="186" spans="1:16" ht="31.5" hidden="1" x14ac:dyDescent="0.25">
      <c r="A186" s="541">
        <v>44712</v>
      </c>
      <c r="B186" s="720">
        <v>44712</v>
      </c>
      <c r="C186" s="494" t="s">
        <v>1801</v>
      </c>
      <c r="D186" s="494" t="s">
        <v>1778</v>
      </c>
      <c r="E186" s="996" t="s">
        <v>762</v>
      </c>
      <c r="F186" s="495" t="s">
        <v>1526</v>
      </c>
      <c r="G186" s="494"/>
      <c r="H186" s="494"/>
      <c r="I186" s="671" t="s">
        <v>1765</v>
      </c>
      <c r="J186" s="954" t="s">
        <v>1802</v>
      </c>
      <c r="K186" s="680" t="str">
        <f>IF(L186=0,"",(INDEX(AccountCodes[ACCOUNT NAME],MATCH(L186,AccountCodes[NGAS CODE],0))))</f>
        <v>PhilHealth Contributions</v>
      </c>
      <c r="L186" s="955" t="s">
        <v>177</v>
      </c>
      <c r="M186" s="956">
        <v>1054.06</v>
      </c>
      <c r="N186" s="956"/>
      <c r="O186" s="1017"/>
      <c r="P186" s="987">
        <f t="shared" si="4"/>
        <v>1054.06</v>
      </c>
    </row>
    <row r="187" spans="1:16" ht="31.5" hidden="1" x14ac:dyDescent="0.25">
      <c r="A187" s="541">
        <v>44712</v>
      </c>
      <c r="B187" s="720">
        <v>44712</v>
      </c>
      <c r="C187" s="494" t="s">
        <v>1801</v>
      </c>
      <c r="D187" s="494" t="s">
        <v>1778</v>
      </c>
      <c r="E187" s="996" t="s">
        <v>762</v>
      </c>
      <c r="F187" s="495" t="s">
        <v>1526</v>
      </c>
      <c r="G187" s="494"/>
      <c r="H187" s="494"/>
      <c r="I187" s="671" t="s">
        <v>1765</v>
      </c>
      <c r="J187" s="954" t="s">
        <v>1802</v>
      </c>
      <c r="K187" s="680" t="str">
        <f>IF(L187=0,"",(INDEX(AccountCodes[ACCOUNT NAME],MATCH(L187,AccountCodes[NGAS CODE],0))))</f>
        <v>Due to PhilHealth</v>
      </c>
      <c r="L187" s="955" t="s">
        <v>112</v>
      </c>
      <c r="M187" s="956">
        <v>1054.04</v>
      </c>
      <c r="N187" s="956"/>
      <c r="O187" s="1017"/>
      <c r="P187" s="987">
        <f t="shared" si="4"/>
        <v>2108.1</v>
      </c>
    </row>
    <row r="188" spans="1:16" ht="31.5" hidden="1" x14ac:dyDescent="0.25">
      <c r="A188" s="541">
        <v>44712</v>
      </c>
      <c r="B188" s="720">
        <v>44712</v>
      </c>
      <c r="C188" s="494" t="s">
        <v>1801</v>
      </c>
      <c r="D188" s="494" t="s">
        <v>1778</v>
      </c>
      <c r="E188" s="996" t="s">
        <v>762</v>
      </c>
      <c r="F188" s="495" t="s">
        <v>1526</v>
      </c>
      <c r="G188" s="494"/>
      <c r="H188" s="494"/>
      <c r="I188" s="671" t="s">
        <v>1765</v>
      </c>
      <c r="J188" s="954" t="s">
        <v>1802</v>
      </c>
      <c r="K188" s="680" t="str">
        <f>IF(L188=0,"",(INDEX(AccountCodes[ACCOUNT NAME],MATCH(L188,AccountCodes[NGAS CODE],0))))</f>
        <v>Cash in Bank-Local Currency, Current Account - FO</v>
      </c>
      <c r="L188" s="955" t="s">
        <v>1566</v>
      </c>
      <c r="M188" s="956"/>
      <c r="N188" s="956">
        <v>2108.1</v>
      </c>
      <c r="O188" s="1017"/>
      <c r="P188" s="987">
        <f t="shared" si="4"/>
        <v>0</v>
      </c>
    </row>
    <row r="189" spans="1:16" ht="31.5" hidden="1" x14ac:dyDescent="0.25">
      <c r="A189" s="541">
        <v>44712</v>
      </c>
      <c r="B189" s="720">
        <v>44712</v>
      </c>
      <c r="C189" s="494" t="s">
        <v>1803</v>
      </c>
      <c r="D189" s="494" t="s">
        <v>1778</v>
      </c>
      <c r="E189" s="996" t="s">
        <v>762</v>
      </c>
      <c r="F189" s="495" t="s">
        <v>1526</v>
      </c>
      <c r="G189" s="494"/>
      <c r="H189" s="494"/>
      <c r="I189" s="671" t="s">
        <v>1641</v>
      </c>
      <c r="J189" s="954" t="s">
        <v>1804</v>
      </c>
      <c r="K189" s="680" t="str">
        <f>IF(L189=0,"",(INDEX(AccountCodes[ACCOUNT NAME],MATCH(L189,AccountCodes[NGAS CODE],0))))</f>
        <v>Retirement and Life Insurance Premiums</v>
      </c>
      <c r="L189" s="955" t="s">
        <v>175</v>
      </c>
      <c r="M189" s="956">
        <v>8432.4</v>
      </c>
      <c r="N189" s="956"/>
      <c r="O189" s="1017"/>
      <c r="P189" s="987">
        <f t="shared" si="4"/>
        <v>8432.4</v>
      </c>
    </row>
    <row r="190" spans="1:16" ht="31.5" hidden="1" x14ac:dyDescent="0.25">
      <c r="A190" s="541">
        <v>44712</v>
      </c>
      <c r="B190" s="720">
        <v>44712</v>
      </c>
      <c r="C190" s="494" t="s">
        <v>1803</v>
      </c>
      <c r="D190" s="494" t="s">
        <v>1778</v>
      </c>
      <c r="E190" s="996" t="s">
        <v>762</v>
      </c>
      <c r="F190" s="495" t="s">
        <v>1526</v>
      </c>
      <c r="G190" s="494"/>
      <c r="H190" s="494"/>
      <c r="I190" s="671" t="s">
        <v>1641</v>
      </c>
      <c r="J190" s="954" t="s">
        <v>1804</v>
      </c>
      <c r="K190" s="680" t="str">
        <f>IF(L190=0,"",(INDEX(AccountCodes[ACCOUNT NAME],MATCH(L190,AccountCodes[NGAS CODE],0))))</f>
        <v>Due to GSIS - Life and Retirement Premium</v>
      </c>
      <c r="L190" s="955" t="s">
        <v>1440</v>
      </c>
      <c r="M190" s="956">
        <v>6324.3</v>
      </c>
      <c r="N190" s="956"/>
      <c r="O190" s="1017"/>
      <c r="P190" s="987">
        <f t="shared" si="4"/>
        <v>14756.7</v>
      </c>
    </row>
    <row r="191" spans="1:16" ht="31.5" hidden="1" x14ac:dyDescent="0.25">
      <c r="A191" s="541">
        <v>44712</v>
      </c>
      <c r="B191" s="720">
        <v>44712</v>
      </c>
      <c r="C191" s="494" t="s">
        <v>1803</v>
      </c>
      <c r="D191" s="494" t="s">
        <v>1778</v>
      </c>
      <c r="E191" s="996" t="s">
        <v>762</v>
      </c>
      <c r="F191" s="495" t="s">
        <v>1526</v>
      </c>
      <c r="G191" s="494"/>
      <c r="H191" s="494"/>
      <c r="I191" s="671" t="s">
        <v>1641</v>
      </c>
      <c r="J191" s="954" t="s">
        <v>1804</v>
      </c>
      <c r="K191" s="680" t="str">
        <f>IF(L191=0,"",(INDEX(AccountCodes[ACCOUNT NAME],MATCH(L191,AccountCodes[NGAS CODE],0))))</f>
        <v>Employees Compensation Insurance Premiums</v>
      </c>
      <c r="L191" s="955" t="s">
        <v>178</v>
      </c>
      <c r="M191" s="956">
        <v>300</v>
      </c>
      <c r="N191" s="956"/>
      <c r="O191" s="1017"/>
      <c r="P191" s="987">
        <f t="shared" si="4"/>
        <v>15056.7</v>
      </c>
    </row>
    <row r="192" spans="1:16" ht="31.5" hidden="1" x14ac:dyDescent="0.25">
      <c r="A192" s="541">
        <v>44712</v>
      </c>
      <c r="B192" s="720">
        <v>44712</v>
      </c>
      <c r="C192" s="494" t="s">
        <v>1803</v>
      </c>
      <c r="D192" s="494" t="s">
        <v>1778</v>
      </c>
      <c r="E192" s="996" t="s">
        <v>762</v>
      </c>
      <c r="F192" s="495" t="s">
        <v>1526</v>
      </c>
      <c r="G192" s="494"/>
      <c r="H192" s="494"/>
      <c r="I192" s="671" t="s">
        <v>1641</v>
      </c>
      <c r="J192" s="954" t="s">
        <v>1804</v>
      </c>
      <c r="K192" s="680" t="str">
        <f>IF(L192=0,"",(INDEX(AccountCodes[ACCOUNT NAME],MATCH(L192,AccountCodes[NGAS CODE],0))))</f>
        <v>Cash in Bank-Local Currency, Current Account - FO</v>
      </c>
      <c r="L192" s="955" t="s">
        <v>1566</v>
      </c>
      <c r="M192" s="956"/>
      <c r="N192" s="956">
        <v>15056.7</v>
      </c>
      <c r="O192" s="1017"/>
      <c r="P192" s="987">
        <f t="shared" si="4"/>
        <v>0</v>
      </c>
    </row>
    <row r="193" spans="1:16" ht="31.5" hidden="1" x14ac:dyDescent="0.25">
      <c r="A193" s="541">
        <v>44712</v>
      </c>
      <c r="B193" s="720">
        <v>44712</v>
      </c>
      <c r="C193" s="494" t="s">
        <v>1805</v>
      </c>
      <c r="D193" s="494" t="s">
        <v>1778</v>
      </c>
      <c r="E193" s="996" t="s">
        <v>762</v>
      </c>
      <c r="F193" s="495" t="s">
        <v>1526</v>
      </c>
      <c r="G193" s="494"/>
      <c r="H193" s="494"/>
      <c r="I193" s="671" t="s">
        <v>1638</v>
      </c>
      <c r="J193" s="954" t="s">
        <v>1806</v>
      </c>
      <c r="K193" s="680" t="str">
        <f>IF(L193=0,"",(INDEX(AccountCodes[ACCOUNT NAME],MATCH(L193,AccountCodes[NGAS CODE],0))))</f>
        <v>Due to BIR - Compensation</v>
      </c>
      <c r="L193" s="955" t="s">
        <v>1546</v>
      </c>
      <c r="M193" s="956">
        <v>11287.2</v>
      </c>
      <c r="N193" s="956"/>
      <c r="O193" s="1017"/>
      <c r="P193" s="987">
        <f t="shared" si="4"/>
        <v>11287.2</v>
      </c>
    </row>
    <row r="194" spans="1:16" ht="31.5" hidden="1" x14ac:dyDescent="0.25">
      <c r="A194" s="541">
        <v>44712</v>
      </c>
      <c r="B194" s="720">
        <v>44712</v>
      </c>
      <c r="C194" s="494" t="s">
        <v>1805</v>
      </c>
      <c r="D194" s="494" t="s">
        <v>1778</v>
      </c>
      <c r="E194" s="996" t="s">
        <v>762</v>
      </c>
      <c r="F194" s="495" t="s">
        <v>1526</v>
      </c>
      <c r="G194" s="494"/>
      <c r="H194" s="494"/>
      <c r="I194" s="671" t="s">
        <v>1638</v>
      </c>
      <c r="J194" s="954" t="s">
        <v>1806</v>
      </c>
      <c r="K194" s="680" t="str">
        <f>IF(L194=0,"",(INDEX(AccountCodes[ACCOUNT NAME],MATCH(L194,AccountCodes[NGAS CODE],0))))</f>
        <v>Cash in Bank-Local Currency, Current Account - FO</v>
      </c>
      <c r="L194" s="955" t="s">
        <v>1566</v>
      </c>
      <c r="M194" s="956"/>
      <c r="N194" s="956">
        <v>11287.2</v>
      </c>
      <c r="O194" s="1017"/>
      <c r="P194" s="987">
        <f t="shared" si="4"/>
        <v>0</v>
      </c>
    </row>
    <row r="195" spans="1:16" ht="31.5" hidden="1" x14ac:dyDescent="0.25">
      <c r="A195" s="541">
        <v>44712</v>
      </c>
      <c r="B195" s="720">
        <v>44712</v>
      </c>
      <c r="C195" s="494" t="s">
        <v>1807</v>
      </c>
      <c r="D195" s="494" t="s">
        <v>1778</v>
      </c>
      <c r="E195" s="996" t="s">
        <v>762</v>
      </c>
      <c r="F195" s="495" t="s">
        <v>1526</v>
      </c>
      <c r="G195" s="494"/>
      <c r="H195" s="494"/>
      <c r="I195" s="671" t="s">
        <v>1638</v>
      </c>
      <c r="J195" s="954" t="s">
        <v>1809</v>
      </c>
      <c r="K195" s="680" t="str">
        <f>IF(L195=0,"",(INDEX(AccountCodes[ACCOUNT NAME],MATCH(L195,AccountCodes[NGAS CODE],0))))</f>
        <v>Due to BIR - 1%</v>
      </c>
      <c r="L195" s="955" t="s">
        <v>1554</v>
      </c>
      <c r="M195" s="956">
        <v>258.75</v>
      </c>
      <c r="N195" s="956"/>
      <c r="O195" s="1017"/>
      <c r="P195" s="987">
        <f t="shared" si="4"/>
        <v>258.75</v>
      </c>
    </row>
    <row r="196" spans="1:16" ht="31.5" hidden="1" x14ac:dyDescent="0.25">
      <c r="A196" s="541">
        <v>44712</v>
      </c>
      <c r="B196" s="720">
        <v>44712</v>
      </c>
      <c r="C196" s="494" t="s">
        <v>1807</v>
      </c>
      <c r="D196" s="494" t="s">
        <v>1778</v>
      </c>
      <c r="E196" s="996" t="s">
        <v>762</v>
      </c>
      <c r="F196" s="495" t="s">
        <v>1526</v>
      </c>
      <c r="G196" s="494"/>
      <c r="H196" s="494"/>
      <c r="I196" s="671" t="s">
        <v>1638</v>
      </c>
      <c r="J196" s="954" t="s">
        <v>1809</v>
      </c>
      <c r="K196" s="680" t="str">
        <f>IF(L196=0,"",(INDEX(AccountCodes[ACCOUNT NAME],MATCH(L196,AccountCodes[NGAS CODE],0))))</f>
        <v>Cash in Bank-Local Currency, Current Account - FO</v>
      </c>
      <c r="L196" s="955" t="s">
        <v>1479</v>
      </c>
      <c r="M196" s="956"/>
      <c r="N196" s="956">
        <v>258.75</v>
      </c>
      <c r="O196" s="1017"/>
      <c r="P196" s="987">
        <f t="shared" si="4"/>
        <v>0</v>
      </c>
    </row>
    <row r="197" spans="1:16" ht="47.25" hidden="1" x14ac:dyDescent="0.25">
      <c r="A197" s="541">
        <v>44712</v>
      </c>
      <c r="B197" s="720">
        <v>44712</v>
      </c>
      <c r="C197" s="494" t="s">
        <v>1808</v>
      </c>
      <c r="D197" s="494" t="s">
        <v>1778</v>
      </c>
      <c r="E197" s="996" t="s">
        <v>762</v>
      </c>
      <c r="F197" s="495" t="s">
        <v>1526</v>
      </c>
      <c r="G197" s="494"/>
      <c r="H197" s="494"/>
      <c r="I197" s="671" t="s">
        <v>1638</v>
      </c>
      <c r="J197" s="954" t="s">
        <v>1810</v>
      </c>
      <c r="K197" s="680" t="str">
        <f>IF(L197=0,"",(INDEX(AccountCodes[ACCOUNT NAME],MATCH(L197,AccountCodes[NGAS CODE],0))))</f>
        <v>Due to BIR - 2%</v>
      </c>
      <c r="L197" s="955" t="s">
        <v>1550</v>
      </c>
      <c r="M197" s="956">
        <v>517.5</v>
      </c>
      <c r="N197" s="956"/>
      <c r="O197" s="1017"/>
      <c r="P197" s="987">
        <f t="shared" si="4"/>
        <v>517.5</v>
      </c>
    </row>
    <row r="198" spans="1:16" ht="47.25" hidden="1" x14ac:dyDescent="0.25">
      <c r="A198" s="541">
        <v>44712</v>
      </c>
      <c r="B198" s="720">
        <v>44712</v>
      </c>
      <c r="C198" s="494" t="s">
        <v>1808</v>
      </c>
      <c r="D198" s="494" t="s">
        <v>1778</v>
      </c>
      <c r="E198" s="996" t="s">
        <v>762</v>
      </c>
      <c r="F198" s="495" t="s">
        <v>1526</v>
      </c>
      <c r="G198" s="494"/>
      <c r="H198" s="494"/>
      <c r="I198" s="671" t="s">
        <v>1638</v>
      </c>
      <c r="J198" s="954" t="s">
        <v>1810</v>
      </c>
      <c r="K198" s="680" t="str">
        <f>IF(L198=0,"",(INDEX(AccountCodes[ACCOUNT NAME],MATCH(L198,AccountCodes[NGAS CODE],0))))</f>
        <v>Cash in Bank-Local Currency, Current Account - FO</v>
      </c>
      <c r="L198" s="955" t="s">
        <v>1566</v>
      </c>
      <c r="M198" s="956"/>
      <c r="N198" s="956">
        <v>517.5</v>
      </c>
      <c r="O198" s="1017"/>
      <c r="P198" s="987">
        <f t="shared" si="4"/>
        <v>0</v>
      </c>
    </row>
    <row r="199" spans="1:16" ht="31.5" hidden="1" x14ac:dyDescent="0.25">
      <c r="A199" s="541">
        <v>44742</v>
      </c>
      <c r="B199" s="541">
        <v>44715</v>
      </c>
      <c r="C199" s="494" t="s">
        <v>1815</v>
      </c>
      <c r="D199" s="145" t="s">
        <v>1816</v>
      </c>
      <c r="E199" s="996" t="s">
        <v>762</v>
      </c>
      <c r="F199" s="495" t="s">
        <v>1526</v>
      </c>
      <c r="G199" s="494"/>
      <c r="H199" s="494"/>
      <c r="I199" s="560" t="s">
        <v>1723</v>
      </c>
      <c r="J199" s="954" t="s">
        <v>1817</v>
      </c>
      <c r="K199" s="680" t="str">
        <f>IF(L199=0,"",(INDEX(AccountCodes[ACCOUNT NAME],MATCH(L199,AccountCodes[NGAS CODE],0))))</f>
        <v>Information and Communications Technology Equipment</v>
      </c>
      <c r="L199" s="953" t="s">
        <v>44</v>
      </c>
      <c r="M199" s="956">
        <v>108000</v>
      </c>
      <c r="N199" s="956"/>
      <c r="O199" s="1017" t="s">
        <v>1829</v>
      </c>
      <c r="P199" s="987">
        <f t="shared" si="4"/>
        <v>108000</v>
      </c>
    </row>
    <row r="200" spans="1:16" ht="31.5" hidden="1" x14ac:dyDescent="0.25">
      <c r="A200" s="951">
        <v>44742</v>
      </c>
      <c r="B200" s="541">
        <v>44715</v>
      </c>
      <c r="C200" s="494" t="s">
        <v>1815</v>
      </c>
      <c r="D200" s="145" t="s">
        <v>1816</v>
      </c>
      <c r="E200" s="996" t="s">
        <v>762</v>
      </c>
      <c r="F200" s="495" t="s">
        <v>1526</v>
      </c>
      <c r="G200" s="145"/>
      <c r="H200" s="145"/>
      <c r="I200" s="560" t="s">
        <v>1723</v>
      </c>
      <c r="J200" s="952" t="s">
        <v>1817</v>
      </c>
      <c r="K200" s="704" t="str">
        <f>IF(L200=0,"",(INDEX(AccountCodes[ACCOUNT NAME],MATCH(L200,AccountCodes[NGAS CODE],0))))</f>
        <v>Due to BIR - 1%</v>
      </c>
      <c r="L200" s="953" t="s">
        <v>1554</v>
      </c>
      <c r="M200" s="982"/>
      <c r="N200" s="982">
        <v>964.29</v>
      </c>
      <c r="O200" s="984"/>
      <c r="P200" s="987">
        <f t="shared" si="4"/>
        <v>107035.71</v>
      </c>
    </row>
    <row r="201" spans="1:16" ht="31.5" hidden="1" x14ac:dyDescent="0.25">
      <c r="A201" s="541">
        <v>44742</v>
      </c>
      <c r="B201" s="541">
        <v>44715</v>
      </c>
      <c r="C201" s="960" t="s">
        <v>1815</v>
      </c>
      <c r="D201" s="145" t="s">
        <v>1816</v>
      </c>
      <c r="E201" s="996" t="s">
        <v>762</v>
      </c>
      <c r="F201" s="495" t="s">
        <v>1526</v>
      </c>
      <c r="G201" s="960"/>
      <c r="H201" s="960"/>
      <c r="I201" s="976" t="s">
        <v>1723</v>
      </c>
      <c r="J201" s="964" t="s">
        <v>1817</v>
      </c>
      <c r="K201" s="965" t="str">
        <f>IF(L201=0,"",(INDEX(AccountCodes[ACCOUNT NAME],MATCH(L201,AccountCodes[NGAS CODE],0))))</f>
        <v>Due to BIR - 5%</v>
      </c>
      <c r="L201" s="978" t="s">
        <v>1548</v>
      </c>
      <c r="M201" s="967"/>
      <c r="N201" s="967">
        <v>4821.43</v>
      </c>
      <c r="O201" s="1018"/>
      <c r="P201" s="987">
        <f t="shared" si="4"/>
        <v>102214.28</v>
      </c>
    </row>
    <row r="202" spans="1:16" ht="31.5" hidden="1" x14ac:dyDescent="0.25">
      <c r="A202" s="541">
        <v>44742</v>
      </c>
      <c r="B202" s="541">
        <v>44715</v>
      </c>
      <c r="C202" s="960" t="s">
        <v>1815</v>
      </c>
      <c r="D202" s="145" t="s">
        <v>1816</v>
      </c>
      <c r="E202" s="996" t="s">
        <v>762</v>
      </c>
      <c r="F202" s="495" t="s">
        <v>1526</v>
      </c>
      <c r="G202" s="494"/>
      <c r="H202" s="494"/>
      <c r="I202" s="560" t="s">
        <v>1723</v>
      </c>
      <c r="J202" s="954" t="s">
        <v>1817</v>
      </c>
      <c r="K202" s="680" t="str">
        <f>IF(L202=0,"",(INDEX(AccountCodes[ACCOUNT NAME],MATCH(L202,AccountCodes[NGAS CODE],0))))</f>
        <v>Cash in Bank-Local Currency, Current Account - FO</v>
      </c>
      <c r="L202" s="953" t="s">
        <v>1479</v>
      </c>
      <c r="M202" s="956"/>
      <c r="N202" s="956">
        <v>102214.28</v>
      </c>
      <c r="O202" s="1017"/>
      <c r="P202" s="987">
        <f t="shared" si="4"/>
        <v>0</v>
      </c>
    </row>
    <row r="203" spans="1:16" ht="31.5" hidden="1" x14ac:dyDescent="0.25">
      <c r="A203" s="541">
        <v>44742</v>
      </c>
      <c r="B203" s="720">
        <v>44728</v>
      </c>
      <c r="C203" s="960" t="s">
        <v>1818</v>
      </c>
      <c r="D203" s="145" t="s">
        <v>1816</v>
      </c>
      <c r="E203" s="996" t="s">
        <v>762</v>
      </c>
      <c r="F203" s="495" t="s">
        <v>1526</v>
      </c>
      <c r="G203" s="494"/>
      <c r="H203" s="494"/>
      <c r="I203" s="671" t="s">
        <v>1667</v>
      </c>
      <c r="J203" s="954" t="s">
        <v>1819</v>
      </c>
      <c r="K203" s="680" t="str">
        <f>IF(L203=0,"",(INDEX(AccountCodes[ACCOUNT NAME],MATCH(L203,AccountCodes[NGAS CODE],0))))</f>
        <v>Salaries and Wages-Regular</v>
      </c>
      <c r="L203" s="955" t="s">
        <v>162</v>
      </c>
      <c r="M203" s="956">
        <v>79449</v>
      </c>
      <c r="N203" s="956"/>
      <c r="O203" s="1017" t="s">
        <v>1828</v>
      </c>
      <c r="P203" s="987">
        <f t="shared" si="4"/>
        <v>79449</v>
      </c>
    </row>
    <row r="204" spans="1:16" ht="31.5" hidden="1" x14ac:dyDescent="0.25">
      <c r="A204" s="541">
        <v>44742</v>
      </c>
      <c r="B204" s="720">
        <v>44728</v>
      </c>
      <c r="C204" s="960" t="s">
        <v>1818</v>
      </c>
      <c r="D204" s="145" t="s">
        <v>1816</v>
      </c>
      <c r="E204" s="996" t="s">
        <v>762</v>
      </c>
      <c r="F204" s="495" t="s">
        <v>1526</v>
      </c>
      <c r="G204" s="494"/>
      <c r="H204" s="494"/>
      <c r="I204" s="671" t="s">
        <v>1667</v>
      </c>
      <c r="J204" s="954" t="s">
        <v>1819</v>
      </c>
      <c r="K204" s="680" t="str">
        <f>IF(L204=0,"",(INDEX(AccountCodes[ACCOUNT NAME],MATCH(L204,AccountCodes[NGAS CODE],0))))</f>
        <v>Personal Economic Relief Allowance (PERA)</v>
      </c>
      <c r="L204" s="955" t="s">
        <v>164</v>
      </c>
      <c r="M204" s="956">
        <v>6000</v>
      </c>
      <c r="N204" s="956"/>
      <c r="O204" s="1017"/>
      <c r="P204" s="987">
        <f t="shared" si="4"/>
        <v>85449</v>
      </c>
    </row>
    <row r="205" spans="1:16" ht="31.5" hidden="1" x14ac:dyDescent="0.25">
      <c r="A205" s="541">
        <v>44742</v>
      </c>
      <c r="B205" s="720">
        <v>44728</v>
      </c>
      <c r="C205" s="960" t="s">
        <v>1818</v>
      </c>
      <c r="D205" s="145" t="s">
        <v>1816</v>
      </c>
      <c r="E205" s="996" t="s">
        <v>762</v>
      </c>
      <c r="F205" s="495" t="s">
        <v>1526</v>
      </c>
      <c r="G205" s="494"/>
      <c r="H205" s="494"/>
      <c r="I205" s="671" t="s">
        <v>1667</v>
      </c>
      <c r="J205" s="954" t="s">
        <v>1819</v>
      </c>
      <c r="K205" s="680" t="str">
        <f>IF(L205=0,"",(INDEX(AccountCodes[ACCOUNT NAME],MATCH(L205,AccountCodes[NGAS CODE],0))))</f>
        <v>Due to BIR - Compensation</v>
      </c>
      <c r="L205" s="955" t="s">
        <v>1546</v>
      </c>
      <c r="M205" s="956"/>
      <c r="N205" s="956">
        <v>1706.01</v>
      </c>
      <c r="O205" s="1017"/>
      <c r="P205" s="987">
        <f t="shared" si="4"/>
        <v>83742.990000000005</v>
      </c>
    </row>
    <row r="206" spans="1:16" ht="31.5" hidden="1" x14ac:dyDescent="0.25">
      <c r="A206" s="541">
        <v>44742</v>
      </c>
      <c r="B206" s="720">
        <v>44728</v>
      </c>
      <c r="C206" s="960" t="s">
        <v>1818</v>
      </c>
      <c r="D206" s="145" t="s">
        <v>1816</v>
      </c>
      <c r="E206" s="996" t="s">
        <v>762</v>
      </c>
      <c r="F206" s="495" t="s">
        <v>1526</v>
      </c>
      <c r="G206" s="494"/>
      <c r="H206" s="494"/>
      <c r="I206" s="671" t="s">
        <v>1667</v>
      </c>
      <c r="J206" s="954" t="s">
        <v>1819</v>
      </c>
      <c r="K206" s="680" t="str">
        <f>IF(L206=0,"",(INDEX(AccountCodes[ACCOUNT NAME],MATCH(L206,AccountCodes[NGAS CODE],0))))</f>
        <v>Due to GSIS - Life and Retirement Premium</v>
      </c>
      <c r="L206" s="955" t="s">
        <v>1440</v>
      </c>
      <c r="M206" s="956"/>
      <c r="N206" s="956">
        <v>7150.41</v>
      </c>
      <c r="O206" s="1017"/>
      <c r="P206" s="987">
        <f t="shared" si="4"/>
        <v>76592.58</v>
      </c>
    </row>
    <row r="207" spans="1:16" ht="31.5" hidden="1" x14ac:dyDescent="0.25">
      <c r="A207" s="541">
        <v>44742</v>
      </c>
      <c r="B207" s="720">
        <v>44728</v>
      </c>
      <c r="C207" s="494" t="s">
        <v>1818</v>
      </c>
      <c r="D207" s="145" t="s">
        <v>1816</v>
      </c>
      <c r="E207" s="996" t="s">
        <v>762</v>
      </c>
      <c r="F207" s="495" t="s">
        <v>1526</v>
      </c>
      <c r="G207" s="494"/>
      <c r="H207" s="494"/>
      <c r="I207" s="671" t="s">
        <v>1667</v>
      </c>
      <c r="J207" s="954" t="s">
        <v>1819</v>
      </c>
      <c r="K207" s="680" t="str">
        <f>IF(L207=0,"",(INDEX(AccountCodes[ACCOUNT NAME],MATCH(L207,AccountCodes[NGAS CODE],0))))</f>
        <v>Due to Pag-IBIG - Pag-IBIG Premium</v>
      </c>
      <c r="L207" s="955" t="s">
        <v>1444</v>
      </c>
      <c r="M207" s="956"/>
      <c r="N207" s="956">
        <v>1588.98</v>
      </c>
      <c r="O207" s="1017"/>
      <c r="P207" s="987">
        <f t="shared" si="4"/>
        <v>75003.600000000006</v>
      </c>
    </row>
    <row r="208" spans="1:16" ht="31.5" hidden="1" x14ac:dyDescent="0.25">
      <c r="A208" s="541">
        <v>44742</v>
      </c>
      <c r="B208" s="959">
        <v>44728</v>
      </c>
      <c r="C208" s="960" t="s">
        <v>1818</v>
      </c>
      <c r="D208" s="145" t="s">
        <v>1816</v>
      </c>
      <c r="E208" s="996" t="s">
        <v>762</v>
      </c>
      <c r="F208" s="495" t="s">
        <v>1526</v>
      </c>
      <c r="G208" s="960"/>
      <c r="H208" s="960"/>
      <c r="I208" s="963" t="s">
        <v>1667</v>
      </c>
      <c r="J208" s="964" t="s">
        <v>1819</v>
      </c>
      <c r="K208" s="965" t="str">
        <f>IF(L208=0,"",(INDEX(AccountCodes[ACCOUNT NAME],MATCH(L208,AccountCodes[NGAS CODE],0))))</f>
        <v>Due to Pag-IBIG - MP2</v>
      </c>
      <c r="L208" s="966" t="s">
        <v>1508</v>
      </c>
      <c r="M208" s="967"/>
      <c r="N208" s="967">
        <v>1000</v>
      </c>
      <c r="O208" s="1018"/>
      <c r="P208" s="987">
        <f t="shared" si="4"/>
        <v>74003.600000000006</v>
      </c>
    </row>
    <row r="209" spans="1:16" ht="31.5" hidden="1" x14ac:dyDescent="0.25">
      <c r="A209" s="541">
        <v>44742</v>
      </c>
      <c r="B209" s="959">
        <v>44728</v>
      </c>
      <c r="C209" s="960" t="s">
        <v>1818</v>
      </c>
      <c r="D209" s="145" t="s">
        <v>1816</v>
      </c>
      <c r="E209" s="996" t="s">
        <v>762</v>
      </c>
      <c r="F209" s="495" t="s">
        <v>1526</v>
      </c>
      <c r="G209" s="494"/>
      <c r="H209" s="494"/>
      <c r="I209" s="671" t="s">
        <v>1667</v>
      </c>
      <c r="J209" s="954" t="s">
        <v>1819</v>
      </c>
      <c r="K209" s="680" t="str">
        <f>IF(L209=0,"",(INDEX(AccountCodes[ACCOUNT NAME],MATCH(L209,AccountCodes[NGAS CODE],0))))</f>
        <v>Due to PhilHealth</v>
      </c>
      <c r="L209" s="955" t="s">
        <v>112</v>
      </c>
      <c r="M209" s="956"/>
      <c r="N209" s="956">
        <v>1588.98</v>
      </c>
      <c r="O209" s="1017"/>
      <c r="P209" s="987">
        <f t="shared" si="4"/>
        <v>72414.62</v>
      </c>
    </row>
    <row r="210" spans="1:16" ht="31.5" hidden="1" x14ac:dyDescent="0.25">
      <c r="A210" s="541">
        <v>44742</v>
      </c>
      <c r="B210" s="959">
        <v>44728</v>
      </c>
      <c r="C210" s="960" t="s">
        <v>1818</v>
      </c>
      <c r="D210" s="145" t="s">
        <v>1816</v>
      </c>
      <c r="E210" s="996" t="s">
        <v>762</v>
      </c>
      <c r="F210" s="495" t="s">
        <v>1526</v>
      </c>
      <c r="G210" s="494"/>
      <c r="H210" s="494"/>
      <c r="I210" s="671" t="s">
        <v>1667</v>
      </c>
      <c r="J210" s="954" t="s">
        <v>1819</v>
      </c>
      <c r="K210" s="680" t="str">
        <f>IF(L210=0,"",(INDEX(AccountCodes[ACCOUNT NAME],MATCH(L210,AccountCodes[NGAS CODE],0))))</f>
        <v>Cash in Bank-Local Currency, Current Account - FO</v>
      </c>
      <c r="L210" s="955" t="s">
        <v>1566</v>
      </c>
      <c r="M210" s="956"/>
      <c r="N210" s="956">
        <v>36207.32</v>
      </c>
      <c r="O210" s="1017"/>
      <c r="P210" s="987">
        <f t="shared" si="4"/>
        <v>36207.300000000003</v>
      </c>
    </row>
    <row r="211" spans="1:16" ht="31.5" hidden="1" x14ac:dyDescent="0.25">
      <c r="A211" s="541">
        <v>44742</v>
      </c>
      <c r="B211" s="959">
        <v>44742</v>
      </c>
      <c r="C211" s="960" t="s">
        <v>1820</v>
      </c>
      <c r="D211" s="145" t="s">
        <v>1816</v>
      </c>
      <c r="E211" s="996" t="s">
        <v>762</v>
      </c>
      <c r="F211" s="495" t="s">
        <v>1526</v>
      </c>
      <c r="G211" s="494"/>
      <c r="H211" s="494"/>
      <c r="I211" s="671" t="s">
        <v>1667</v>
      </c>
      <c r="J211" s="954" t="s">
        <v>1821</v>
      </c>
      <c r="K211" s="680" t="str">
        <f>IF(L211=0,"",(INDEX(AccountCodes[ACCOUNT NAME],MATCH(L211,AccountCodes[NGAS CODE],0))))</f>
        <v>Cash in Bank-Local Currency, Current Account - FO</v>
      </c>
      <c r="L211" s="955" t="s">
        <v>1566</v>
      </c>
      <c r="M211" s="956"/>
      <c r="N211" s="956">
        <v>36207.300000000003</v>
      </c>
      <c r="O211" s="1017"/>
      <c r="P211" s="987">
        <f t="shared" si="4"/>
        <v>0</v>
      </c>
    </row>
    <row r="212" spans="1:16" ht="31.5" hidden="1" x14ac:dyDescent="0.25">
      <c r="A212" s="541">
        <v>44742</v>
      </c>
      <c r="B212" s="959">
        <v>44739</v>
      </c>
      <c r="C212" s="960" t="s">
        <v>1822</v>
      </c>
      <c r="D212" s="145" t="s">
        <v>1816</v>
      </c>
      <c r="E212" s="996" t="s">
        <v>762</v>
      </c>
      <c r="F212" s="495" t="s">
        <v>1526</v>
      </c>
      <c r="G212" s="494"/>
      <c r="H212" s="494"/>
      <c r="I212" s="671" t="s">
        <v>1637</v>
      </c>
      <c r="J212" s="954" t="s">
        <v>1823</v>
      </c>
      <c r="K212" s="680" t="str">
        <f>IF(L212=0,"",(INDEX(AccountCodes[ACCOUNT NAME],MATCH(L212,AccountCodes[NGAS CODE],0))))</f>
        <v>Retirement and Life Insurance Premiums</v>
      </c>
      <c r="L212" s="955" t="s">
        <v>175</v>
      </c>
      <c r="M212" s="956">
        <v>9533.8799999999992</v>
      </c>
      <c r="N212" s="956"/>
      <c r="O212" s="1017" t="s">
        <v>1828</v>
      </c>
      <c r="P212" s="987">
        <f t="shared" si="4"/>
        <v>9533.8799999999992</v>
      </c>
    </row>
    <row r="213" spans="1:16" ht="31.5" hidden="1" x14ac:dyDescent="0.25">
      <c r="A213" s="541">
        <v>44742</v>
      </c>
      <c r="B213" s="959">
        <v>44739</v>
      </c>
      <c r="C213" s="960" t="s">
        <v>1822</v>
      </c>
      <c r="D213" s="145" t="s">
        <v>1816</v>
      </c>
      <c r="E213" s="996" t="s">
        <v>762</v>
      </c>
      <c r="F213" s="495" t="s">
        <v>1526</v>
      </c>
      <c r="G213" s="494"/>
      <c r="H213" s="494"/>
      <c r="I213" s="671" t="s">
        <v>1637</v>
      </c>
      <c r="J213" s="954" t="s">
        <v>1823</v>
      </c>
      <c r="K213" s="680" t="str">
        <f>IF(L213=0,"",(INDEX(AccountCodes[ACCOUNT NAME],MATCH(L213,AccountCodes[NGAS CODE],0))))</f>
        <v>Due to GSIS - Life and Retirement Premium</v>
      </c>
      <c r="L213" s="955" t="s">
        <v>1440</v>
      </c>
      <c r="M213" s="956">
        <v>7150.41</v>
      </c>
      <c r="N213" s="956"/>
      <c r="O213" s="1017"/>
      <c r="P213" s="987">
        <f t="shared" si="4"/>
        <v>16684.29</v>
      </c>
    </row>
    <row r="214" spans="1:16" ht="31.5" hidden="1" x14ac:dyDescent="0.25">
      <c r="A214" s="541">
        <v>44742</v>
      </c>
      <c r="B214" s="959">
        <v>44739</v>
      </c>
      <c r="C214" s="960" t="s">
        <v>1822</v>
      </c>
      <c r="D214" s="145" t="s">
        <v>1816</v>
      </c>
      <c r="E214" s="996" t="s">
        <v>762</v>
      </c>
      <c r="F214" s="495" t="s">
        <v>1526</v>
      </c>
      <c r="G214" s="494"/>
      <c r="H214" s="494"/>
      <c r="I214" s="671" t="s">
        <v>1637</v>
      </c>
      <c r="J214" s="954" t="s">
        <v>1823</v>
      </c>
      <c r="K214" s="680" t="str">
        <f>IF(L214=0,"",(INDEX(AccountCodes[ACCOUNT NAME],MATCH(L214,AccountCodes[NGAS CODE],0))))</f>
        <v>Employees Compensation Insurance Premiums</v>
      </c>
      <c r="L214" s="955" t="s">
        <v>178</v>
      </c>
      <c r="M214" s="956">
        <v>300</v>
      </c>
      <c r="N214" s="956"/>
      <c r="O214" s="1017"/>
      <c r="P214" s="987">
        <f t="shared" si="4"/>
        <v>16984.29</v>
      </c>
    </row>
    <row r="215" spans="1:16" ht="31.5" hidden="1" x14ac:dyDescent="0.25">
      <c r="A215" s="541">
        <v>44742</v>
      </c>
      <c r="B215" s="959">
        <v>44739</v>
      </c>
      <c r="C215" s="960" t="s">
        <v>1822</v>
      </c>
      <c r="D215" s="145" t="s">
        <v>1816</v>
      </c>
      <c r="E215" s="996" t="s">
        <v>762</v>
      </c>
      <c r="F215" s="495" t="s">
        <v>1526</v>
      </c>
      <c r="G215" s="960"/>
      <c r="H215" s="960"/>
      <c r="I215" s="963" t="s">
        <v>1637</v>
      </c>
      <c r="J215" s="964" t="s">
        <v>1823</v>
      </c>
      <c r="K215" s="965" t="str">
        <f>IF(L215=0,"",(INDEX(AccountCodes[ACCOUNT NAME],MATCH(L215,AccountCodes[NGAS CODE],0))))</f>
        <v>Cash in Bank-Local Currency, Current Account - FO</v>
      </c>
      <c r="L215" s="966" t="s">
        <v>1566</v>
      </c>
      <c r="M215" s="967"/>
      <c r="N215" s="967">
        <v>16984.29</v>
      </c>
      <c r="O215" s="1018"/>
      <c r="P215" s="987">
        <f t="shared" si="4"/>
        <v>0</v>
      </c>
    </row>
    <row r="216" spans="1:16" ht="31.5" hidden="1" x14ac:dyDescent="0.25">
      <c r="A216" s="541">
        <v>44742</v>
      </c>
      <c r="B216" s="720">
        <v>44739</v>
      </c>
      <c r="C216" s="960" t="s">
        <v>1824</v>
      </c>
      <c r="D216" s="145" t="s">
        <v>1816</v>
      </c>
      <c r="E216" s="996" t="s">
        <v>762</v>
      </c>
      <c r="F216" s="495" t="s">
        <v>1526</v>
      </c>
      <c r="G216" s="494"/>
      <c r="H216" s="494"/>
      <c r="I216" s="671" t="s">
        <v>1639</v>
      </c>
      <c r="J216" s="954" t="s">
        <v>1825</v>
      </c>
      <c r="K216" s="680" t="str">
        <f>IF(L216=0,"",(INDEX(AccountCodes[ACCOUNT NAME],MATCH(L216,AccountCodes[NGAS CODE],0))))</f>
        <v>Pag-IBIG Contributions</v>
      </c>
      <c r="L216" s="955" t="s">
        <v>176</v>
      </c>
      <c r="M216" s="956">
        <v>300</v>
      </c>
      <c r="N216" s="956"/>
      <c r="O216" s="1017" t="s">
        <v>1828</v>
      </c>
      <c r="P216" s="987">
        <f t="shared" si="4"/>
        <v>300</v>
      </c>
    </row>
    <row r="217" spans="1:16" ht="31.5" hidden="1" x14ac:dyDescent="0.25">
      <c r="A217" s="541">
        <v>44742</v>
      </c>
      <c r="B217" s="720">
        <v>44739</v>
      </c>
      <c r="C217" s="960" t="s">
        <v>1824</v>
      </c>
      <c r="D217" s="145" t="s">
        <v>1816</v>
      </c>
      <c r="E217" s="996" t="s">
        <v>762</v>
      </c>
      <c r="F217" s="495" t="s">
        <v>1526</v>
      </c>
      <c r="G217" s="494"/>
      <c r="H217" s="494"/>
      <c r="I217" s="671" t="s">
        <v>1639</v>
      </c>
      <c r="J217" s="954" t="s">
        <v>1825</v>
      </c>
      <c r="K217" s="680" t="str">
        <f>IF(L217=0,"",(INDEX(AccountCodes[ACCOUNT NAME],MATCH(L217,AccountCodes[NGAS CODE],0))))</f>
        <v>Due to Pag-IBIG - Pag-IBIG Premium</v>
      </c>
      <c r="L217" s="955" t="s">
        <v>1444</v>
      </c>
      <c r="M217" s="956">
        <v>1588.98</v>
      </c>
      <c r="N217" s="956"/>
      <c r="O217" s="1017"/>
      <c r="P217" s="987">
        <f t="shared" si="4"/>
        <v>1888.98</v>
      </c>
    </row>
    <row r="218" spans="1:16" ht="31.5" hidden="1" x14ac:dyDescent="0.25">
      <c r="A218" s="541">
        <v>44742</v>
      </c>
      <c r="B218" s="720">
        <v>44739</v>
      </c>
      <c r="C218" s="960" t="s">
        <v>1824</v>
      </c>
      <c r="D218" s="145" t="s">
        <v>1816</v>
      </c>
      <c r="E218" s="996" t="s">
        <v>762</v>
      </c>
      <c r="F218" s="495" t="s">
        <v>1526</v>
      </c>
      <c r="G218" s="494"/>
      <c r="H218" s="494"/>
      <c r="I218" s="671" t="s">
        <v>1639</v>
      </c>
      <c r="J218" s="954" t="s">
        <v>1825</v>
      </c>
      <c r="K218" s="680" t="str">
        <f>IF(L218=0,"",(INDEX(AccountCodes[ACCOUNT NAME],MATCH(L218,AccountCodes[NGAS CODE],0))))</f>
        <v>Cash in Bank-Local Currency, Current Account - FO</v>
      </c>
      <c r="L218" s="955" t="s">
        <v>1566</v>
      </c>
      <c r="M218" s="956"/>
      <c r="N218" s="956">
        <v>1888.98</v>
      </c>
      <c r="O218" s="1017"/>
      <c r="P218" s="987">
        <f t="shared" si="4"/>
        <v>0</v>
      </c>
    </row>
    <row r="219" spans="1:16" hidden="1" x14ac:dyDescent="0.25">
      <c r="A219" s="541">
        <v>44742</v>
      </c>
      <c r="B219" s="720">
        <v>44739</v>
      </c>
      <c r="C219" s="960" t="s">
        <v>1826</v>
      </c>
      <c r="D219" s="494" t="s">
        <v>1816</v>
      </c>
      <c r="E219" s="996" t="s">
        <v>762</v>
      </c>
      <c r="F219" s="495" t="s">
        <v>1526</v>
      </c>
      <c r="G219" s="494"/>
      <c r="H219" s="494"/>
      <c r="I219" s="671" t="s">
        <v>1639</v>
      </c>
      <c r="J219" s="954" t="s">
        <v>1827</v>
      </c>
      <c r="K219" s="680" t="str">
        <f>IF(L219=0,"",(INDEX(AccountCodes[ACCOUNT NAME],MATCH(L219,AccountCodes[NGAS CODE],0))))</f>
        <v>Due to Pag-IBIG - MP2</v>
      </c>
      <c r="L219" s="955" t="s">
        <v>1508</v>
      </c>
      <c r="M219" s="956">
        <v>1000</v>
      </c>
      <c r="N219" s="956"/>
      <c r="O219" s="1017"/>
      <c r="P219" s="987">
        <f t="shared" si="4"/>
        <v>1000</v>
      </c>
    </row>
    <row r="220" spans="1:16" hidden="1" x14ac:dyDescent="0.25">
      <c r="A220" s="541">
        <v>44742</v>
      </c>
      <c r="B220" s="720">
        <v>44739</v>
      </c>
      <c r="C220" s="960" t="s">
        <v>1826</v>
      </c>
      <c r="D220" s="494" t="s">
        <v>1816</v>
      </c>
      <c r="E220" s="996" t="s">
        <v>762</v>
      </c>
      <c r="F220" s="495" t="s">
        <v>1526</v>
      </c>
      <c r="G220" s="494"/>
      <c r="H220" s="494"/>
      <c r="I220" s="671" t="s">
        <v>1639</v>
      </c>
      <c r="J220" s="954" t="s">
        <v>1827</v>
      </c>
      <c r="K220" s="680" t="str">
        <f>IF(L220=0,"",(INDEX(AccountCodes[ACCOUNT NAME],MATCH(L220,AccountCodes[NGAS CODE],0))))</f>
        <v>Cash in Bank-Local Currency, Current Account - FO</v>
      </c>
      <c r="L220" s="955" t="s">
        <v>1479</v>
      </c>
      <c r="M220" s="956"/>
      <c r="N220" s="956">
        <v>1000</v>
      </c>
      <c r="O220" s="1017"/>
      <c r="P220" s="987">
        <f t="shared" si="4"/>
        <v>0</v>
      </c>
    </row>
    <row r="221" spans="1:16" ht="31.5" hidden="1" x14ac:dyDescent="0.25">
      <c r="A221" s="541">
        <v>44742</v>
      </c>
      <c r="B221" s="720">
        <v>44742</v>
      </c>
      <c r="C221" s="960" t="s">
        <v>1830</v>
      </c>
      <c r="D221" s="494" t="s">
        <v>1816</v>
      </c>
      <c r="E221" s="996" t="s">
        <v>762</v>
      </c>
      <c r="F221" s="495" t="s">
        <v>1526</v>
      </c>
      <c r="G221" s="494"/>
      <c r="H221" s="494"/>
      <c r="I221" s="671" t="s">
        <v>1638</v>
      </c>
      <c r="J221" s="954" t="s">
        <v>1831</v>
      </c>
      <c r="K221" s="680" t="str">
        <f>IF(L221=0,"",(INDEX(AccountCodes[ACCOUNT NAME],MATCH(L221,AccountCodes[NGAS CODE],0))))</f>
        <v>Due to BIR - Compensation</v>
      </c>
      <c r="L221" s="955" t="s">
        <v>1546</v>
      </c>
      <c r="M221" s="956">
        <v>1706.01</v>
      </c>
      <c r="N221" s="956"/>
      <c r="O221" s="1017"/>
      <c r="P221" s="987">
        <f t="shared" ref="P221:P285" si="5">P220+M221-N221</f>
        <v>1706.01</v>
      </c>
    </row>
    <row r="222" spans="1:16" ht="31.5" hidden="1" x14ac:dyDescent="0.25">
      <c r="A222" s="541">
        <v>44742</v>
      </c>
      <c r="B222" s="720">
        <v>44742</v>
      </c>
      <c r="C222" s="494" t="s">
        <v>1830</v>
      </c>
      <c r="D222" s="494" t="s">
        <v>1816</v>
      </c>
      <c r="E222" s="996" t="s">
        <v>762</v>
      </c>
      <c r="F222" s="495" t="s">
        <v>1526</v>
      </c>
      <c r="G222" s="494"/>
      <c r="H222" s="494"/>
      <c r="I222" s="671" t="s">
        <v>1638</v>
      </c>
      <c r="J222" s="954" t="s">
        <v>1831</v>
      </c>
      <c r="K222" s="680" t="str">
        <f>IF(L222=0,"",(INDEX(AccountCodes[ACCOUNT NAME],MATCH(L222,AccountCodes[NGAS CODE],0))))</f>
        <v>Cash in Bank-Local Currency, Current Account - FO</v>
      </c>
      <c r="L222" s="955" t="s">
        <v>1566</v>
      </c>
      <c r="M222" s="956"/>
      <c r="N222" s="956">
        <v>1706.01</v>
      </c>
      <c r="O222" s="1017"/>
      <c r="P222" s="987">
        <f t="shared" si="5"/>
        <v>0</v>
      </c>
    </row>
    <row r="223" spans="1:16" ht="31.5" hidden="1" x14ac:dyDescent="0.25">
      <c r="A223" s="541">
        <v>44742</v>
      </c>
      <c r="B223" s="720">
        <v>44742</v>
      </c>
      <c r="C223" s="494" t="s">
        <v>1832</v>
      </c>
      <c r="D223" s="494" t="s">
        <v>1816</v>
      </c>
      <c r="E223" s="996" t="s">
        <v>762</v>
      </c>
      <c r="F223" s="495" t="s">
        <v>1526</v>
      </c>
      <c r="G223" s="494"/>
      <c r="H223" s="494"/>
      <c r="I223" s="671" t="s">
        <v>1765</v>
      </c>
      <c r="J223" s="954" t="s">
        <v>1823</v>
      </c>
      <c r="K223" s="680" t="str">
        <f>IF(L223=0,"",(INDEX(AccountCodes[ACCOUNT NAME],MATCH(L223,AccountCodes[NGAS CODE],0))))</f>
        <v>PhilHealth Contributions</v>
      </c>
      <c r="L223" s="955" t="s">
        <v>177</v>
      </c>
      <c r="M223" s="956">
        <v>1588.98</v>
      </c>
      <c r="N223" s="956"/>
      <c r="O223" s="1017"/>
      <c r="P223" s="987">
        <f t="shared" si="5"/>
        <v>1588.98</v>
      </c>
    </row>
    <row r="224" spans="1:16" ht="31.5" hidden="1" x14ac:dyDescent="0.25">
      <c r="A224" s="541">
        <v>44742</v>
      </c>
      <c r="B224" s="720">
        <v>44742</v>
      </c>
      <c r="C224" s="494" t="s">
        <v>1832</v>
      </c>
      <c r="D224" s="494" t="s">
        <v>1816</v>
      </c>
      <c r="E224" s="996" t="s">
        <v>762</v>
      </c>
      <c r="F224" s="495" t="s">
        <v>1526</v>
      </c>
      <c r="G224" s="494"/>
      <c r="H224" s="494"/>
      <c r="I224" s="671" t="s">
        <v>1765</v>
      </c>
      <c r="J224" s="954" t="s">
        <v>1823</v>
      </c>
      <c r="K224" s="680" t="str">
        <f>IF(L224=0,"",(INDEX(AccountCodes[ACCOUNT NAME],MATCH(L224,AccountCodes[NGAS CODE],0))))</f>
        <v>Due to PhilHealth</v>
      </c>
      <c r="L224" s="955" t="s">
        <v>112</v>
      </c>
      <c r="M224" s="956">
        <v>1588.98</v>
      </c>
      <c r="N224" s="956"/>
      <c r="O224" s="1017"/>
      <c r="P224" s="987">
        <f t="shared" si="5"/>
        <v>3177.96</v>
      </c>
    </row>
    <row r="225" spans="1:16" ht="31.5" hidden="1" x14ac:dyDescent="0.25">
      <c r="A225" s="541">
        <v>44742</v>
      </c>
      <c r="B225" s="720">
        <v>44742</v>
      </c>
      <c r="C225" s="494" t="s">
        <v>1832</v>
      </c>
      <c r="D225" s="494" t="s">
        <v>1816</v>
      </c>
      <c r="E225" s="996" t="s">
        <v>762</v>
      </c>
      <c r="F225" s="495" t="s">
        <v>1526</v>
      </c>
      <c r="G225" s="494"/>
      <c r="H225" s="494"/>
      <c r="I225" s="671" t="s">
        <v>1765</v>
      </c>
      <c r="J225" s="954" t="s">
        <v>1823</v>
      </c>
      <c r="K225" s="680" t="str">
        <f>IF(L225=0,"",(INDEX(AccountCodes[ACCOUNT NAME],MATCH(L225,AccountCodes[NGAS CODE],0))))</f>
        <v>Cash in Bank-Local Currency, Current Account - FO</v>
      </c>
      <c r="L225" s="955" t="s">
        <v>1479</v>
      </c>
      <c r="M225" s="956"/>
      <c r="N225" s="956">
        <v>3177.96</v>
      </c>
      <c r="O225" s="1017"/>
      <c r="P225" s="987">
        <f t="shared" si="5"/>
        <v>0</v>
      </c>
    </row>
    <row r="226" spans="1:16" ht="31.5" hidden="1" x14ac:dyDescent="0.25">
      <c r="A226" s="541">
        <v>44742</v>
      </c>
      <c r="B226" s="959">
        <v>44742</v>
      </c>
      <c r="C226" s="960" t="s">
        <v>1833</v>
      </c>
      <c r="D226" s="494" t="s">
        <v>1816</v>
      </c>
      <c r="E226" s="996" t="s">
        <v>762</v>
      </c>
      <c r="F226" s="495" t="s">
        <v>1526</v>
      </c>
      <c r="G226" s="960"/>
      <c r="H226" s="960"/>
      <c r="I226" s="963" t="s">
        <v>1637</v>
      </c>
      <c r="J226" s="964" t="s">
        <v>1834</v>
      </c>
      <c r="K226" s="965" t="str">
        <f>IF(L226=0,"",(INDEX(AccountCodes[ACCOUNT NAME],MATCH(L226,AccountCodes[NGAS CODE],0))))</f>
        <v>Retirement and Life Insurance Premiums</v>
      </c>
      <c r="L226" s="966" t="s">
        <v>175</v>
      </c>
      <c r="M226" s="967">
        <v>5507.4</v>
      </c>
      <c r="N226" s="967"/>
      <c r="O226" s="1018"/>
      <c r="P226" s="987">
        <f t="shared" si="5"/>
        <v>5507.4</v>
      </c>
    </row>
    <row r="227" spans="1:16" ht="31.5" hidden="1" x14ac:dyDescent="0.25">
      <c r="A227" s="541">
        <v>44742</v>
      </c>
      <c r="B227" s="959">
        <v>44742</v>
      </c>
      <c r="C227" s="960" t="s">
        <v>1833</v>
      </c>
      <c r="D227" s="494" t="s">
        <v>1816</v>
      </c>
      <c r="E227" s="996" t="s">
        <v>762</v>
      </c>
      <c r="F227" s="495" t="s">
        <v>1526</v>
      </c>
      <c r="G227" s="494"/>
      <c r="H227" s="494"/>
      <c r="I227" s="963" t="s">
        <v>1637</v>
      </c>
      <c r="J227" s="964" t="s">
        <v>1834</v>
      </c>
      <c r="K227" s="680" t="str">
        <f>IF(L227=0,"",(INDEX(AccountCodes[ACCOUNT NAME],MATCH(L227,AccountCodes[NGAS CODE],0))))</f>
        <v>Due to Officers and Employees</v>
      </c>
      <c r="L227" s="1005" t="s">
        <v>108</v>
      </c>
      <c r="M227" s="956">
        <v>3199.7</v>
      </c>
      <c r="N227" s="956"/>
      <c r="O227" s="1017"/>
      <c r="P227" s="987">
        <f t="shared" si="5"/>
        <v>8707.1</v>
      </c>
    </row>
    <row r="228" spans="1:16" ht="31.5" hidden="1" x14ac:dyDescent="0.25">
      <c r="A228" s="541">
        <v>44742</v>
      </c>
      <c r="B228" s="959">
        <v>44742</v>
      </c>
      <c r="C228" s="960" t="s">
        <v>1833</v>
      </c>
      <c r="D228" s="494" t="s">
        <v>1816</v>
      </c>
      <c r="E228" s="996" t="s">
        <v>762</v>
      </c>
      <c r="F228" s="495" t="s">
        <v>1526</v>
      </c>
      <c r="G228" s="494"/>
      <c r="H228" s="494"/>
      <c r="I228" s="671" t="s">
        <v>1637</v>
      </c>
      <c r="J228" s="964" t="s">
        <v>1834</v>
      </c>
      <c r="K228" s="680" t="str">
        <f>IF(L228=0,"",(INDEX(AccountCodes[ACCOUNT NAME],MATCH(L228,AccountCodes[NGAS CODE],0))))</f>
        <v>Due to GSIS - Life and Retirement Premium</v>
      </c>
      <c r="L228" s="955" t="s">
        <v>1440</v>
      </c>
      <c r="M228" s="982">
        <f>4130.55+2399.78</f>
        <v>6530.33</v>
      </c>
      <c r="N228" s="956"/>
      <c r="O228" s="1017"/>
      <c r="P228" s="987">
        <f t="shared" si="5"/>
        <v>15237.43</v>
      </c>
    </row>
    <row r="229" spans="1:16" ht="31.5" hidden="1" x14ac:dyDescent="0.25">
      <c r="A229" s="541">
        <v>44742</v>
      </c>
      <c r="B229" s="959">
        <v>44742</v>
      </c>
      <c r="C229" s="494" t="s">
        <v>1833</v>
      </c>
      <c r="D229" s="494" t="s">
        <v>1816</v>
      </c>
      <c r="E229" s="996" t="s">
        <v>762</v>
      </c>
      <c r="F229" s="495" t="s">
        <v>1526</v>
      </c>
      <c r="G229" s="494"/>
      <c r="H229" s="494"/>
      <c r="I229" s="997" t="s">
        <v>1637</v>
      </c>
      <c r="J229" s="952" t="s">
        <v>1834</v>
      </c>
      <c r="K229" s="680" t="str">
        <f>IF(L229=0,"",(INDEX(AccountCodes[ACCOUNT NAME],MATCH(L229,AccountCodes[NGAS CODE],0))))</f>
        <v>Cash in Bank-Local Currency, Current Account - FO</v>
      </c>
      <c r="L229" s="955" t="s">
        <v>1566</v>
      </c>
      <c r="M229" s="956"/>
      <c r="N229" s="956">
        <v>15237.43</v>
      </c>
      <c r="O229" s="1017"/>
      <c r="P229" s="987">
        <f t="shared" si="5"/>
        <v>0</v>
      </c>
    </row>
    <row r="230" spans="1:16" ht="31.5" hidden="1" x14ac:dyDescent="0.25">
      <c r="A230" s="958">
        <v>44742</v>
      </c>
      <c r="B230" s="959">
        <v>44742</v>
      </c>
      <c r="C230" s="494" t="s">
        <v>1835</v>
      </c>
      <c r="D230" s="494" t="s">
        <v>1816</v>
      </c>
      <c r="E230" s="996" t="s">
        <v>762</v>
      </c>
      <c r="F230" s="495" t="s">
        <v>1526</v>
      </c>
      <c r="G230" s="960"/>
      <c r="H230" s="960"/>
      <c r="I230" s="997" t="s">
        <v>1638</v>
      </c>
      <c r="J230" s="952" t="s">
        <v>1837</v>
      </c>
      <c r="K230" s="965" t="str">
        <f>IF(L230=0,"",(INDEX(AccountCodes[ACCOUNT NAME],MATCH(L230,AccountCodes[NGAS CODE],0))))</f>
        <v>Due to BIR - 5%</v>
      </c>
      <c r="L230" s="966" t="s">
        <v>1548</v>
      </c>
      <c r="M230" s="967">
        <v>4821.43</v>
      </c>
      <c r="N230" s="967"/>
      <c r="O230" s="1019"/>
      <c r="P230" s="987">
        <f t="shared" si="5"/>
        <v>4821.43</v>
      </c>
    </row>
    <row r="231" spans="1:16" ht="31.5" hidden="1" x14ac:dyDescent="0.25">
      <c r="A231" s="541">
        <v>44742</v>
      </c>
      <c r="B231" s="720">
        <v>44742</v>
      </c>
      <c r="C231" s="494" t="s">
        <v>1835</v>
      </c>
      <c r="D231" s="494" t="s">
        <v>1816</v>
      </c>
      <c r="E231" s="996" t="s">
        <v>762</v>
      </c>
      <c r="F231" s="495" t="s">
        <v>1526</v>
      </c>
      <c r="G231" s="494"/>
      <c r="H231" s="494"/>
      <c r="I231" s="671" t="s">
        <v>1638</v>
      </c>
      <c r="J231" s="952" t="s">
        <v>1837</v>
      </c>
      <c r="K231" s="680" t="str">
        <f>IF(L231=0,"",(INDEX(AccountCodes[ACCOUNT NAME],MATCH(L231,AccountCodes[NGAS CODE],0))))</f>
        <v>Cash in Bank-Local Currency, Current Account - FO</v>
      </c>
      <c r="L231" s="955" t="s">
        <v>1479</v>
      </c>
      <c r="M231" s="956"/>
      <c r="N231" s="956">
        <v>4821.43</v>
      </c>
      <c r="O231" s="1017"/>
      <c r="P231" s="987">
        <f t="shared" si="5"/>
        <v>0</v>
      </c>
    </row>
    <row r="232" spans="1:16" ht="31.5" hidden="1" x14ac:dyDescent="0.25">
      <c r="A232" s="541">
        <v>44742</v>
      </c>
      <c r="B232" s="720">
        <v>44742</v>
      </c>
      <c r="C232" s="494" t="s">
        <v>1836</v>
      </c>
      <c r="D232" s="494" t="s">
        <v>1816</v>
      </c>
      <c r="E232" s="996" t="s">
        <v>762</v>
      </c>
      <c r="F232" s="495" t="s">
        <v>1526</v>
      </c>
      <c r="G232" s="494"/>
      <c r="H232" s="494"/>
      <c r="I232" s="671" t="s">
        <v>1638</v>
      </c>
      <c r="J232" s="952" t="s">
        <v>1838</v>
      </c>
      <c r="K232" s="680" t="str">
        <f>IF(L232=0,"",(INDEX(AccountCodes[ACCOUNT NAME],MATCH(L232,AccountCodes[NGAS CODE],0))))</f>
        <v>Due to BIR - 1%</v>
      </c>
      <c r="L232" s="955" t="s">
        <v>1554</v>
      </c>
      <c r="M232" s="956">
        <v>964.29</v>
      </c>
      <c r="N232" s="956"/>
      <c r="O232" s="1017"/>
      <c r="P232" s="987">
        <f t="shared" si="5"/>
        <v>964.29</v>
      </c>
    </row>
    <row r="233" spans="1:16" ht="31.5" hidden="1" x14ac:dyDescent="0.25">
      <c r="A233" s="541">
        <v>44742</v>
      </c>
      <c r="B233" s="720">
        <v>44742</v>
      </c>
      <c r="C233" s="494" t="s">
        <v>1836</v>
      </c>
      <c r="D233" s="494" t="s">
        <v>1816</v>
      </c>
      <c r="E233" s="996" t="s">
        <v>762</v>
      </c>
      <c r="F233" s="495" t="s">
        <v>1526</v>
      </c>
      <c r="G233" s="494"/>
      <c r="H233" s="494"/>
      <c r="I233" s="671" t="s">
        <v>1638</v>
      </c>
      <c r="J233" s="952" t="s">
        <v>1838</v>
      </c>
      <c r="K233" s="680" t="str">
        <f>IF(L233=0,"",(INDEX(AccountCodes[ACCOUNT NAME],MATCH(L233,AccountCodes[NGAS CODE],0))))</f>
        <v>Cash in Bank-Local Currency, Current Account - FO</v>
      </c>
      <c r="L233" s="955" t="s">
        <v>1479</v>
      </c>
      <c r="M233" s="956"/>
      <c r="N233" s="956">
        <v>964.29</v>
      </c>
      <c r="O233" s="1017"/>
      <c r="P233" s="987">
        <f t="shared" si="5"/>
        <v>0</v>
      </c>
    </row>
    <row r="234" spans="1:16" hidden="1" x14ac:dyDescent="0.25">
      <c r="A234" s="541">
        <v>44742</v>
      </c>
      <c r="B234" s="720">
        <v>44742</v>
      </c>
      <c r="C234" s="494" t="s">
        <v>1839</v>
      </c>
      <c r="D234" s="494" t="s">
        <v>1816</v>
      </c>
      <c r="E234" s="996" t="s">
        <v>762</v>
      </c>
      <c r="F234" s="495" t="s">
        <v>1526</v>
      </c>
      <c r="G234" s="494"/>
      <c r="H234" s="494"/>
      <c r="I234" s="671" t="s">
        <v>1840</v>
      </c>
      <c r="J234" s="952" t="s">
        <v>1841</v>
      </c>
      <c r="K234" s="680" t="str">
        <f>IF(L234=0,"",(INDEX(AccountCodes[ACCOUNT NAME],MATCH(L234,AccountCodes[NGAS CODE],0))))</f>
        <v>Clothing/Uniform Allowance</v>
      </c>
      <c r="L234" s="955" t="s">
        <v>167</v>
      </c>
      <c r="M234" s="956">
        <v>6000</v>
      </c>
      <c r="N234" s="956"/>
      <c r="O234" s="1017"/>
      <c r="P234" s="987">
        <f t="shared" si="5"/>
        <v>6000</v>
      </c>
    </row>
    <row r="235" spans="1:16" hidden="1" x14ac:dyDescent="0.25">
      <c r="A235" s="541">
        <v>44742</v>
      </c>
      <c r="B235" s="720">
        <v>44742</v>
      </c>
      <c r="C235" s="494" t="s">
        <v>1839</v>
      </c>
      <c r="D235" s="494" t="s">
        <v>1816</v>
      </c>
      <c r="E235" s="996" t="s">
        <v>762</v>
      </c>
      <c r="F235" s="495" t="s">
        <v>1526</v>
      </c>
      <c r="G235" s="494"/>
      <c r="H235" s="494"/>
      <c r="I235" s="671" t="s">
        <v>1840</v>
      </c>
      <c r="J235" s="952" t="s">
        <v>1841</v>
      </c>
      <c r="K235" s="680" t="str">
        <f>IF(L235=0,"",(INDEX(AccountCodes[ACCOUNT NAME],MATCH(L235,AccountCodes[NGAS CODE],0))))</f>
        <v>Cash in Bank-Local Currency, Current Account - FO</v>
      </c>
      <c r="L235" s="955" t="s">
        <v>1566</v>
      </c>
      <c r="M235" s="956"/>
      <c r="N235" s="956">
        <v>6000</v>
      </c>
      <c r="O235" s="1017"/>
      <c r="P235" s="987">
        <f t="shared" si="5"/>
        <v>0</v>
      </c>
    </row>
    <row r="236" spans="1:16" ht="31.5" hidden="1" x14ac:dyDescent="0.25">
      <c r="A236" s="541">
        <v>44742</v>
      </c>
      <c r="B236" s="720">
        <v>44742</v>
      </c>
      <c r="C236" s="494" t="s">
        <v>1842</v>
      </c>
      <c r="D236" s="494" t="s">
        <v>1816</v>
      </c>
      <c r="E236" s="996" t="s">
        <v>762</v>
      </c>
      <c r="F236" s="495" t="s">
        <v>1526</v>
      </c>
      <c r="G236" s="494"/>
      <c r="H236" s="494"/>
      <c r="I236" s="671" t="s">
        <v>1771</v>
      </c>
      <c r="J236" s="952" t="s">
        <v>1843</v>
      </c>
      <c r="K236" s="680" t="str">
        <f>IF(L236=0,"",(INDEX(AccountCodes[ACCOUNT NAME],MATCH(L236,AccountCodes[NGAS CODE],0))))</f>
        <v>Due to the Treasurer of the Philippines</v>
      </c>
      <c r="L236" s="955" t="s">
        <v>1496</v>
      </c>
      <c r="M236" s="956">
        <v>605.75</v>
      </c>
      <c r="N236" s="956"/>
      <c r="O236" s="1017"/>
      <c r="P236" s="987">
        <f t="shared" si="5"/>
        <v>605.75</v>
      </c>
    </row>
    <row r="237" spans="1:16" ht="31.5" hidden="1" x14ac:dyDescent="0.25">
      <c r="A237" s="958">
        <v>44742</v>
      </c>
      <c r="B237" s="959">
        <v>44742</v>
      </c>
      <c r="C237" s="960" t="s">
        <v>1842</v>
      </c>
      <c r="D237" s="494" t="s">
        <v>1816</v>
      </c>
      <c r="E237" s="996" t="s">
        <v>762</v>
      </c>
      <c r="F237" s="495" t="s">
        <v>1526</v>
      </c>
      <c r="G237" s="960"/>
      <c r="H237" s="960"/>
      <c r="I237" s="963" t="s">
        <v>1771</v>
      </c>
      <c r="J237" s="974" t="s">
        <v>1843</v>
      </c>
      <c r="K237" s="965" t="str">
        <f>IF(L237=0,"",(INDEX(AccountCodes[ACCOUNT NAME],MATCH(L237,AccountCodes[NGAS CODE],0))))</f>
        <v>Cash in Bank-Local Currency, Current Account - FO</v>
      </c>
      <c r="L237" s="966" t="s">
        <v>1566</v>
      </c>
      <c r="M237" s="967"/>
      <c r="N237" s="967">
        <v>605.75</v>
      </c>
      <c r="O237" s="1018"/>
      <c r="P237" s="987">
        <f t="shared" si="5"/>
        <v>0</v>
      </c>
    </row>
    <row r="238" spans="1:16" ht="31.5" x14ac:dyDescent="0.25">
      <c r="A238" s="720">
        <v>44773</v>
      </c>
      <c r="B238" s="720">
        <v>44753</v>
      </c>
      <c r="C238" s="494" t="s">
        <v>1849</v>
      </c>
      <c r="D238" s="494" t="s">
        <v>1847</v>
      </c>
      <c r="E238" s="996" t="s">
        <v>762</v>
      </c>
      <c r="F238" s="495" t="s">
        <v>1526</v>
      </c>
      <c r="G238" s="494"/>
      <c r="H238" s="494"/>
      <c r="I238" s="963" t="s">
        <v>1850</v>
      </c>
      <c r="J238" s="974" t="s">
        <v>1851</v>
      </c>
      <c r="K238" s="680" t="str">
        <f>IF(L238=0,"",(INDEX(AccountCodes[ACCOUNT NAME],MATCH(L238,AccountCodes[NGAS CODE],0))))</f>
        <v>Semi-Expendable Information and Communications Technology Equipment</v>
      </c>
      <c r="L238" s="955" t="s">
        <v>1246</v>
      </c>
      <c r="M238" s="956">
        <v>36000</v>
      </c>
      <c r="N238" s="956"/>
      <c r="O238" s="1017" t="s">
        <v>1855</v>
      </c>
      <c r="P238" s="987">
        <f>P237+M238-N238</f>
        <v>36000</v>
      </c>
    </row>
    <row r="239" spans="1:16" ht="31.5" hidden="1" x14ac:dyDescent="0.25">
      <c r="A239" s="958">
        <v>44773</v>
      </c>
      <c r="B239" s="959">
        <v>44753</v>
      </c>
      <c r="C239" s="960" t="s">
        <v>1849</v>
      </c>
      <c r="D239" s="494" t="s">
        <v>1847</v>
      </c>
      <c r="E239" s="996" t="s">
        <v>762</v>
      </c>
      <c r="F239" s="495" t="s">
        <v>1526</v>
      </c>
      <c r="G239" s="960"/>
      <c r="H239" s="960"/>
      <c r="I239" s="963" t="s">
        <v>1850</v>
      </c>
      <c r="J239" s="974" t="s">
        <v>1851</v>
      </c>
      <c r="K239" s="965" t="str">
        <f>IF(L239=0,"",(INDEX(AccountCodes[ACCOUNT NAME],MATCH(L239,AccountCodes[NGAS CODE],0))))</f>
        <v>Due to BIR - 1%</v>
      </c>
      <c r="L239" s="966" t="s">
        <v>1554</v>
      </c>
      <c r="M239" s="967"/>
      <c r="N239" s="967">
        <v>321.43</v>
      </c>
      <c r="O239" s="1018"/>
      <c r="P239" s="987">
        <f t="shared" si="5"/>
        <v>35678.57</v>
      </c>
    </row>
    <row r="240" spans="1:16" ht="31.5" hidden="1" x14ac:dyDescent="0.25">
      <c r="A240" s="541">
        <v>44773</v>
      </c>
      <c r="B240" s="720">
        <v>44753</v>
      </c>
      <c r="C240" s="494" t="s">
        <v>1849</v>
      </c>
      <c r="D240" s="494" t="s">
        <v>1847</v>
      </c>
      <c r="E240" s="996" t="s">
        <v>762</v>
      </c>
      <c r="F240" s="495" t="s">
        <v>1526</v>
      </c>
      <c r="G240" s="494"/>
      <c r="H240" s="494"/>
      <c r="I240" s="671" t="s">
        <v>1850</v>
      </c>
      <c r="J240" s="952" t="s">
        <v>1851</v>
      </c>
      <c r="K240" s="680" t="str">
        <f>IF(L240=0,"",(INDEX(AccountCodes[ACCOUNT NAME],MATCH(L240,AccountCodes[NGAS CODE],0))))</f>
        <v>Due to BIR - 5%</v>
      </c>
      <c r="L240" s="955" t="s">
        <v>1548</v>
      </c>
      <c r="M240" s="956"/>
      <c r="N240" s="956">
        <v>1607.14</v>
      </c>
      <c r="O240" s="1017"/>
      <c r="P240" s="987">
        <f t="shared" si="5"/>
        <v>34071.43</v>
      </c>
    </row>
    <row r="241" spans="1:16" ht="31.5" hidden="1" x14ac:dyDescent="0.25">
      <c r="A241" s="958">
        <v>44773</v>
      </c>
      <c r="B241" s="959">
        <v>44753</v>
      </c>
      <c r="C241" s="960" t="s">
        <v>1849</v>
      </c>
      <c r="D241" s="494" t="s">
        <v>1847</v>
      </c>
      <c r="E241" s="996" t="s">
        <v>762</v>
      </c>
      <c r="F241" s="495" t="s">
        <v>1526</v>
      </c>
      <c r="G241" s="960"/>
      <c r="H241" s="960"/>
      <c r="I241" s="963" t="s">
        <v>1850</v>
      </c>
      <c r="J241" s="974" t="s">
        <v>1851</v>
      </c>
      <c r="K241" s="965" t="str">
        <f>IF(L241=0,"",(INDEX(AccountCodes[ACCOUNT NAME],MATCH(L241,AccountCodes[NGAS CODE],0))))</f>
        <v>Cash in Bank-Local Currency, Current Account - FO</v>
      </c>
      <c r="L241" s="966" t="s">
        <v>1566</v>
      </c>
      <c r="M241" s="967"/>
      <c r="N241" s="967">
        <v>34071.43</v>
      </c>
      <c r="O241" s="1018"/>
      <c r="P241" s="987">
        <f t="shared" si="5"/>
        <v>0</v>
      </c>
    </row>
    <row r="242" spans="1:16" ht="47.25" hidden="1" x14ac:dyDescent="0.25">
      <c r="A242" s="541">
        <v>44773</v>
      </c>
      <c r="B242" s="720">
        <v>44757</v>
      </c>
      <c r="C242" s="494" t="s">
        <v>1852</v>
      </c>
      <c r="D242" s="494" t="s">
        <v>1847</v>
      </c>
      <c r="E242" s="996" t="s">
        <v>762</v>
      </c>
      <c r="F242" s="495" t="s">
        <v>1526</v>
      </c>
      <c r="G242" s="494"/>
      <c r="H242" s="494"/>
      <c r="I242" s="671" t="s">
        <v>1667</v>
      </c>
      <c r="J242" s="952" t="s">
        <v>1854</v>
      </c>
      <c r="K242" s="680" t="str">
        <f>IF(L242=0,"",(INDEX(AccountCodes[ACCOUNT NAME],MATCH(L242,AccountCodes[NGAS CODE],0))))</f>
        <v>Salaries and Wages-Regular</v>
      </c>
      <c r="L242" s="955" t="s">
        <v>162</v>
      </c>
      <c r="M242" s="956">
        <v>79449</v>
      </c>
      <c r="N242" s="956"/>
      <c r="O242" s="1020" t="s">
        <v>1828</v>
      </c>
      <c r="P242" s="987">
        <f t="shared" si="5"/>
        <v>79449</v>
      </c>
    </row>
    <row r="243" spans="1:16" ht="47.25" hidden="1" x14ac:dyDescent="0.25">
      <c r="A243" s="541">
        <v>44773</v>
      </c>
      <c r="B243" s="720">
        <v>44757</v>
      </c>
      <c r="C243" s="494" t="s">
        <v>1852</v>
      </c>
      <c r="D243" s="494" t="s">
        <v>1847</v>
      </c>
      <c r="E243" s="996" t="s">
        <v>762</v>
      </c>
      <c r="F243" s="495" t="s">
        <v>1526</v>
      </c>
      <c r="G243" s="494"/>
      <c r="H243" s="494"/>
      <c r="I243" s="671" t="s">
        <v>1667</v>
      </c>
      <c r="J243" s="952" t="s">
        <v>1854</v>
      </c>
      <c r="K243" s="680" t="str">
        <f>IF(L243=0,"",(INDEX(AccountCodes[ACCOUNT NAME],MATCH(L243,AccountCodes[NGAS CODE],0))))</f>
        <v>Personal Economic Relief Allowance (PERA)</v>
      </c>
      <c r="L243" s="955" t="s">
        <v>164</v>
      </c>
      <c r="M243" s="956">
        <v>6000</v>
      </c>
      <c r="N243" s="956"/>
      <c r="O243" s="1017"/>
      <c r="P243" s="987">
        <f t="shared" si="5"/>
        <v>85449</v>
      </c>
    </row>
    <row r="244" spans="1:16" ht="47.25" hidden="1" x14ac:dyDescent="0.25">
      <c r="A244" s="541">
        <v>44773</v>
      </c>
      <c r="B244" s="720">
        <v>44757</v>
      </c>
      <c r="C244" s="494" t="s">
        <v>1852</v>
      </c>
      <c r="D244" s="494" t="s">
        <v>1847</v>
      </c>
      <c r="E244" s="996" t="s">
        <v>762</v>
      </c>
      <c r="F244" s="495" t="s">
        <v>1526</v>
      </c>
      <c r="G244" s="494"/>
      <c r="H244" s="494"/>
      <c r="I244" s="671" t="s">
        <v>1667</v>
      </c>
      <c r="J244" s="952" t="s">
        <v>1854</v>
      </c>
      <c r="K244" s="680" t="str">
        <f>IF(L244=0,"",(INDEX(AccountCodes[ACCOUNT NAME],MATCH(L244,AccountCodes[NGAS CODE],0))))</f>
        <v>Due to BIR - Compensation</v>
      </c>
      <c r="L244" s="955" t="s">
        <v>1546</v>
      </c>
      <c r="M244" s="956"/>
      <c r="N244" s="956">
        <v>1706.01</v>
      </c>
      <c r="O244" s="1017"/>
      <c r="P244" s="987">
        <f t="shared" si="5"/>
        <v>83742.990000000005</v>
      </c>
    </row>
    <row r="245" spans="1:16" ht="47.25" hidden="1" x14ac:dyDescent="0.25">
      <c r="A245" s="541">
        <v>44773</v>
      </c>
      <c r="B245" s="720">
        <v>44757</v>
      </c>
      <c r="C245" s="494" t="s">
        <v>1852</v>
      </c>
      <c r="D245" s="494" t="s">
        <v>1847</v>
      </c>
      <c r="E245" s="996" t="s">
        <v>762</v>
      </c>
      <c r="F245" s="495" t="s">
        <v>1526</v>
      </c>
      <c r="G245" s="494"/>
      <c r="H245" s="494"/>
      <c r="I245" s="671" t="s">
        <v>1667</v>
      </c>
      <c r="J245" s="952" t="s">
        <v>1854</v>
      </c>
      <c r="K245" s="680" t="str">
        <f>IF(L245=0,"",(INDEX(AccountCodes[ACCOUNT NAME],MATCH(L245,AccountCodes[NGAS CODE],0))))</f>
        <v>Due to GSIS - Life and Retirement Premium</v>
      </c>
      <c r="L245" s="955" t="s">
        <v>1440</v>
      </c>
      <c r="M245" s="956"/>
      <c r="N245" s="956">
        <v>7150.41</v>
      </c>
      <c r="O245" s="1017"/>
      <c r="P245" s="987">
        <f t="shared" si="5"/>
        <v>76592.58</v>
      </c>
    </row>
    <row r="246" spans="1:16" ht="47.25" hidden="1" x14ac:dyDescent="0.25">
      <c r="A246" s="958">
        <v>44773</v>
      </c>
      <c r="B246" s="959">
        <v>44757</v>
      </c>
      <c r="C246" s="960" t="s">
        <v>1852</v>
      </c>
      <c r="D246" s="494" t="s">
        <v>1847</v>
      </c>
      <c r="E246" s="996" t="s">
        <v>762</v>
      </c>
      <c r="F246" s="495" t="s">
        <v>1526</v>
      </c>
      <c r="G246" s="960"/>
      <c r="H246" s="960"/>
      <c r="I246" s="963" t="s">
        <v>1667</v>
      </c>
      <c r="J246" s="974" t="s">
        <v>1854</v>
      </c>
      <c r="K246" s="965" t="str">
        <f>IF(L246=0,"",(INDEX(AccountCodes[ACCOUNT NAME],MATCH(L246,AccountCodes[NGAS CODE],0))))</f>
        <v>Due to Pag-IBIG - Pag-IBIG Premium</v>
      </c>
      <c r="L246" s="966" t="s">
        <v>1444</v>
      </c>
      <c r="M246" s="967"/>
      <c r="N246" s="967">
        <v>1588.98</v>
      </c>
      <c r="O246" s="1019"/>
      <c r="P246" s="987">
        <f t="shared" si="5"/>
        <v>75003.600000000006</v>
      </c>
    </row>
    <row r="247" spans="1:16" ht="47.25" hidden="1" x14ac:dyDescent="0.25">
      <c r="A247" s="541">
        <v>44773</v>
      </c>
      <c r="B247" s="720">
        <v>44757</v>
      </c>
      <c r="C247" s="494" t="s">
        <v>1852</v>
      </c>
      <c r="D247" s="494" t="s">
        <v>1847</v>
      </c>
      <c r="E247" s="996" t="s">
        <v>762</v>
      </c>
      <c r="F247" s="495" t="s">
        <v>1526</v>
      </c>
      <c r="G247" s="494"/>
      <c r="H247" s="494"/>
      <c r="I247" s="671" t="s">
        <v>1667</v>
      </c>
      <c r="J247" s="952" t="s">
        <v>1854</v>
      </c>
      <c r="K247" s="680" t="str">
        <f>IF(L247=0,"",(INDEX(AccountCodes[ACCOUNT NAME],MATCH(L247,AccountCodes[NGAS CODE],0))))</f>
        <v>Due to Pag-IBIG - MP2</v>
      </c>
      <c r="L247" s="955" t="s">
        <v>1508</v>
      </c>
      <c r="M247" s="956"/>
      <c r="N247" s="956">
        <v>1000</v>
      </c>
      <c r="O247" s="1017"/>
      <c r="P247" s="987">
        <f t="shared" si="5"/>
        <v>74003.600000000006</v>
      </c>
    </row>
    <row r="248" spans="1:16" ht="47.25" hidden="1" x14ac:dyDescent="0.25">
      <c r="A248" s="541">
        <v>44773</v>
      </c>
      <c r="B248" s="720">
        <v>44757</v>
      </c>
      <c r="C248" s="494" t="s">
        <v>1852</v>
      </c>
      <c r="D248" s="494" t="s">
        <v>1847</v>
      </c>
      <c r="E248" s="996" t="s">
        <v>762</v>
      </c>
      <c r="F248" s="495" t="s">
        <v>1526</v>
      </c>
      <c r="G248" s="494"/>
      <c r="H248" s="494"/>
      <c r="I248" s="671" t="s">
        <v>1667</v>
      </c>
      <c r="J248" s="952" t="s">
        <v>1854</v>
      </c>
      <c r="K248" s="680" t="str">
        <f>IF(L248=0,"",(INDEX(AccountCodes[ACCOUNT NAME],MATCH(L248,AccountCodes[NGAS CODE],0))))</f>
        <v>Due to PhilHealth</v>
      </c>
      <c r="L248" s="955" t="s">
        <v>112</v>
      </c>
      <c r="M248" s="956"/>
      <c r="N248" s="956">
        <v>1588.98</v>
      </c>
      <c r="O248" s="1017"/>
      <c r="P248" s="987">
        <f t="shared" si="5"/>
        <v>72414.62</v>
      </c>
    </row>
    <row r="249" spans="1:16" ht="47.25" hidden="1" x14ac:dyDescent="0.25">
      <c r="A249" s="541">
        <v>44773</v>
      </c>
      <c r="B249" s="720">
        <v>44757</v>
      </c>
      <c r="C249" s="494" t="s">
        <v>1852</v>
      </c>
      <c r="D249" s="494" t="s">
        <v>1847</v>
      </c>
      <c r="E249" s="996" t="s">
        <v>762</v>
      </c>
      <c r="F249" s="495" t="s">
        <v>1526</v>
      </c>
      <c r="G249" s="494"/>
      <c r="H249" s="494"/>
      <c r="I249" s="671" t="s">
        <v>1667</v>
      </c>
      <c r="J249" s="952" t="s">
        <v>1854</v>
      </c>
      <c r="K249" s="680" t="str">
        <f>IF(L249=0,"",(INDEX(AccountCodes[ACCOUNT NAME],MATCH(L249,AccountCodes[NGAS CODE],0))))</f>
        <v>Cash in Bank-Local Currency, Current Account - FO</v>
      </c>
      <c r="L249" s="955" t="s">
        <v>1566</v>
      </c>
      <c r="M249" s="956"/>
      <c r="N249" s="956">
        <v>36207.32</v>
      </c>
      <c r="O249" s="1017"/>
      <c r="P249" s="987">
        <f t="shared" si="5"/>
        <v>36207.300000000003</v>
      </c>
    </row>
    <row r="250" spans="1:16" ht="47.25" hidden="1" x14ac:dyDescent="0.25">
      <c r="A250" s="958">
        <v>44773</v>
      </c>
      <c r="B250" s="959">
        <v>44771</v>
      </c>
      <c r="C250" s="960" t="s">
        <v>1853</v>
      </c>
      <c r="D250" s="494" t="s">
        <v>1847</v>
      </c>
      <c r="E250" s="996" t="s">
        <v>762</v>
      </c>
      <c r="F250" s="495" t="s">
        <v>1526</v>
      </c>
      <c r="G250" s="960"/>
      <c r="H250" s="960"/>
      <c r="I250" s="963" t="s">
        <v>1667</v>
      </c>
      <c r="J250" s="952" t="s">
        <v>1854</v>
      </c>
      <c r="K250" s="965" t="str">
        <f>IF(L250=0,"",(INDEX(AccountCodes[ACCOUNT NAME],MATCH(L250,AccountCodes[NGAS CODE],0))))</f>
        <v>Cash in Bank-Local Currency, Current Account - FO</v>
      </c>
      <c r="L250" s="966" t="s">
        <v>1566</v>
      </c>
      <c r="M250" s="967"/>
      <c r="N250" s="967">
        <v>36207.300000000003</v>
      </c>
      <c r="O250" s="1018"/>
      <c r="P250" s="987">
        <f t="shared" si="5"/>
        <v>0</v>
      </c>
    </row>
    <row r="251" spans="1:16" ht="31.5" hidden="1" x14ac:dyDescent="0.25">
      <c r="A251" s="541">
        <v>44773</v>
      </c>
      <c r="B251" s="720">
        <v>44771</v>
      </c>
      <c r="C251" s="494" t="s">
        <v>1856</v>
      </c>
      <c r="D251" s="494" t="s">
        <v>1847</v>
      </c>
      <c r="E251" s="996" t="s">
        <v>762</v>
      </c>
      <c r="F251" s="495" t="s">
        <v>1526</v>
      </c>
      <c r="G251" s="494"/>
      <c r="H251" s="494"/>
      <c r="I251" s="671" t="s">
        <v>1637</v>
      </c>
      <c r="J251" s="952" t="s">
        <v>1857</v>
      </c>
      <c r="K251" s="680" t="str">
        <f>IF(L251=0,"",(INDEX(AccountCodes[ACCOUNT NAME],MATCH(L251,AccountCodes[NGAS CODE],0))))</f>
        <v>Retirement and Life Insurance Premiums</v>
      </c>
      <c r="L251" s="955" t="s">
        <v>175</v>
      </c>
      <c r="M251" s="956">
        <v>9533.8799999999992</v>
      </c>
      <c r="N251" s="956"/>
      <c r="O251" s="1020" t="s">
        <v>1828</v>
      </c>
      <c r="P251" s="987">
        <f t="shared" si="5"/>
        <v>9533.8799999999992</v>
      </c>
    </row>
    <row r="252" spans="1:16" ht="31.5" hidden="1" x14ac:dyDescent="0.25">
      <c r="A252" s="958">
        <v>44773</v>
      </c>
      <c r="B252" s="959">
        <v>44771</v>
      </c>
      <c r="C252" s="960" t="s">
        <v>1856</v>
      </c>
      <c r="D252" s="494" t="s">
        <v>1847</v>
      </c>
      <c r="E252" s="996" t="s">
        <v>762</v>
      </c>
      <c r="F252" s="495" t="s">
        <v>1526</v>
      </c>
      <c r="G252" s="960"/>
      <c r="H252" s="960"/>
      <c r="I252" s="963" t="s">
        <v>1637</v>
      </c>
      <c r="J252" s="974" t="s">
        <v>1857</v>
      </c>
      <c r="K252" s="965" t="str">
        <f>IF(L252=0,"",(INDEX(AccountCodes[ACCOUNT NAME],MATCH(L252,AccountCodes[NGAS CODE],0))))</f>
        <v>Due to GSIS - Life and Retirement Premium</v>
      </c>
      <c r="L252" s="966" t="s">
        <v>1440</v>
      </c>
      <c r="M252" s="967">
        <v>7150.41</v>
      </c>
      <c r="N252" s="967"/>
      <c r="O252" s="1018"/>
      <c r="P252" s="987">
        <f t="shared" si="5"/>
        <v>16684.29</v>
      </c>
    </row>
    <row r="253" spans="1:16" ht="31.5" hidden="1" x14ac:dyDescent="0.25">
      <c r="A253" s="541">
        <v>44773</v>
      </c>
      <c r="B253" s="720">
        <v>44771</v>
      </c>
      <c r="C253" s="494" t="s">
        <v>1856</v>
      </c>
      <c r="D253" s="494" t="s">
        <v>1847</v>
      </c>
      <c r="E253" s="996" t="s">
        <v>762</v>
      </c>
      <c r="F253" s="495" t="s">
        <v>1526</v>
      </c>
      <c r="G253" s="494"/>
      <c r="H253" s="494"/>
      <c r="I253" s="671" t="s">
        <v>1637</v>
      </c>
      <c r="J253" s="952" t="s">
        <v>1857</v>
      </c>
      <c r="K253" s="680" t="str">
        <f>IF(L253=0,"",(INDEX(AccountCodes[ACCOUNT NAME],MATCH(L253,AccountCodes[NGAS CODE],0))))</f>
        <v>Employees Compensation Insurance Premiums</v>
      </c>
      <c r="L253" s="955" t="s">
        <v>178</v>
      </c>
      <c r="M253" s="956">
        <v>300</v>
      </c>
      <c r="N253" s="956"/>
      <c r="O253" s="1017"/>
      <c r="P253" s="987">
        <f t="shared" si="5"/>
        <v>16984.29</v>
      </c>
    </row>
    <row r="254" spans="1:16" ht="31.5" hidden="1" x14ac:dyDescent="0.25">
      <c r="A254" s="541">
        <v>44773</v>
      </c>
      <c r="B254" s="720">
        <v>44771</v>
      </c>
      <c r="C254" s="494" t="s">
        <v>1856</v>
      </c>
      <c r="D254" s="494" t="s">
        <v>1847</v>
      </c>
      <c r="E254" s="996" t="s">
        <v>762</v>
      </c>
      <c r="F254" s="495" t="s">
        <v>1526</v>
      </c>
      <c r="G254" s="494"/>
      <c r="H254" s="494"/>
      <c r="I254" s="671" t="s">
        <v>1637</v>
      </c>
      <c r="J254" s="952" t="s">
        <v>1857</v>
      </c>
      <c r="K254" s="680" t="str">
        <f>IF(L254=0,"",(INDEX(AccountCodes[ACCOUNT NAME],MATCH(L254,AccountCodes[NGAS CODE],0))))</f>
        <v>Cash in Bank-Local Currency, Current Account - FO</v>
      </c>
      <c r="L254" s="955" t="s">
        <v>1566</v>
      </c>
      <c r="M254" s="956"/>
      <c r="N254" s="956">
        <v>16984.29</v>
      </c>
      <c r="O254" s="1017"/>
      <c r="P254" s="987">
        <f t="shared" si="5"/>
        <v>0</v>
      </c>
    </row>
    <row r="255" spans="1:16" ht="31.5" hidden="1" x14ac:dyDescent="0.25">
      <c r="A255" s="958">
        <v>44773</v>
      </c>
      <c r="B255" s="959">
        <v>44771</v>
      </c>
      <c r="C255" s="960" t="s">
        <v>1858</v>
      </c>
      <c r="D255" s="494" t="s">
        <v>1847</v>
      </c>
      <c r="E255" s="996" t="s">
        <v>762</v>
      </c>
      <c r="F255" s="495" t="s">
        <v>1526</v>
      </c>
      <c r="G255" s="960"/>
      <c r="H255" s="960"/>
      <c r="I255" s="963" t="s">
        <v>1859</v>
      </c>
      <c r="J255" s="974" t="s">
        <v>1860</v>
      </c>
      <c r="K255" s="965" t="str">
        <f>IF(L255=0,"",(INDEX(AccountCodes[ACCOUNT NAME],MATCH(L255,AccountCodes[NGAS CODE],0))))</f>
        <v>PhilHealth Contributions</v>
      </c>
      <c r="L255" s="966" t="s">
        <v>177</v>
      </c>
      <c r="M255" s="967">
        <v>1588.98</v>
      </c>
      <c r="N255" s="967"/>
      <c r="O255" s="1018"/>
      <c r="P255" s="987">
        <f t="shared" si="5"/>
        <v>1588.98</v>
      </c>
    </row>
    <row r="256" spans="1:16" ht="31.5" hidden="1" x14ac:dyDescent="0.25">
      <c r="A256" s="541">
        <v>44773</v>
      </c>
      <c r="B256" s="720">
        <v>44771</v>
      </c>
      <c r="C256" s="494" t="s">
        <v>1858</v>
      </c>
      <c r="D256" s="494" t="s">
        <v>1847</v>
      </c>
      <c r="E256" s="996" t="s">
        <v>762</v>
      </c>
      <c r="F256" s="495" t="s">
        <v>1526</v>
      </c>
      <c r="G256" s="494"/>
      <c r="H256" s="494"/>
      <c r="I256" s="671" t="s">
        <v>1859</v>
      </c>
      <c r="J256" s="974" t="s">
        <v>1860</v>
      </c>
      <c r="K256" s="680" t="str">
        <f>IF(L256=0,"",(INDEX(AccountCodes[ACCOUNT NAME],MATCH(L256,AccountCodes[NGAS CODE],0))))</f>
        <v>Due to PhilHealth</v>
      </c>
      <c r="L256" s="955" t="s">
        <v>112</v>
      </c>
      <c r="M256" s="956">
        <v>1588.98</v>
      </c>
      <c r="N256" s="956"/>
      <c r="O256" s="1017"/>
      <c r="P256" s="987">
        <f t="shared" si="5"/>
        <v>3177.96</v>
      </c>
    </row>
    <row r="257" spans="1:16" ht="31.5" hidden="1" x14ac:dyDescent="0.25">
      <c r="A257" s="958">
        <v>44773</v>
      </c>
      <c r="B257" s="959">
        <v>44771</v>
      </c>
      <c r="C257" s="960" t="s">
        <v>1858</v>
      </c>
      <c r="D257" s="494" t="s">
        <v>1847</v>
      </c>
      <c r="E257" s="996" t="s">
        <v>762</v>
      </c>
      <c r="F257" s="495" t="s">
        <v>1526</v>
      </c>
      <c r="G257" s="960"/>
      <c r="H257" s="960"/>
      <c r="I257" s="963" t="s">
        <v>1859</v>
      </c>
      <c r="J257" s="974" t="s">
        <v>1861</v>
      </c>
      <c r="K257" s="965" t="str">
        <f>IF(L257=0,"",(INDEX(AccountCodes[ACCOUNT NAME],MATCH(L257,AccountCodes[NGAS CODE],0))))</f>
        <v>Cash in Bank-Local Currency, Current Account - FO</v>
      </c>
      <c r="L257" s="966" t="s">
        <v>1566</v>
      </c>
      <c r="M257" s="967"/>
      <c r="N257" s="967">
        <v>3177.96</v>
      </c>
      <c r="O257" s="1018"/>
      <c r="P257" s="987">
        <f t="shared" si="5"/>
        <v>0</v>
      </c>
    </row>
    <row r="258" spans="1:16" ht="31.5" hidden="1" x14ac:dyDescent="0.25">
      <c r="A258" s="541">
        <v>44773</v>
      </c>
      <c r="B258" s="720">
        <v>44771</v>
      </c>
      <c r="C258" s="494" t="s">
        <v>1862</v>
      </c>
      <c r="D258" s="494" t="s">
        <v>1847</v>
      </c>
      <c r="E258" s="996" t="s">
        <v>762</v>
      </c>
      <c r="F258" s="495" t="s">
        <v>1526</v>
      </c>
      <c r="G258" s="494"/>
      <c r="H258" s="494"/>
      <c r="I258" s="671" t="s">
        <v>1639</v>
      </c>
      <c r="J258" s="952" t="s">
        <v>1863</v>
      </c>
      <c r="K258" s="680" t="str">
        <f>IF(L258=0,"",(INDEX(AccountCodes[ACCOUNT NAME],MATCH(L258,AccountCodes[NGAS CODE],0))))</f>
        <v>Pag-IBIG Contributions</v>
      </c>
      <c r="L258" s="955" t="s">
        <v>176</v>
      </c>
      <c r="M258" s="956">
        <v>300</v>
      </c>
      <c r="N258" s="956"/>
      <c r="O258" s="1017"/>
      <c r="P258" s="987">
        <f t="shared" si="5"/>
        <v>300</v>
      </c>
    </row>
    <row r="259" spans="1:16" ht="31.5" hidden="1" x14ac:dyDescent="0.25">
      <c r="A259" s="958">
        <v>44773</v>
      </c>
      <c r="B259" s="959">
        <v>44771</v>
      </c>
      <c r="C259" s="960" t="s">
        <v>1862</v>
      </c>
      <c r="D259" s="494" t="s">
        <v>1847</v>
      </c>
      <c r="E259" s="996" t="s">
        <v>762</v>
      </c>
      <c r="F259" s="495" t="s">
        <v>1526</v>
      </c>
      <c r="G259" s="960"/>
      <c r="H259" s="960"/>
      <c r="I259" s="963" t="s">
        <v>1639</v>
      </c>
      <c r="J259" s="974" t="s">
        <v>1863</v>
      </c>
      <c r="K259" s="965" t="str">
        <f>IF(L259=0,"",(INDEX(AccountCodes[ACCOUNT NAME],MATCH(L259,AccountCodes[NGAS CODE],0))))</f>
        <v>Due to Pag-IBIG - Pag-IBIG Premium</v>
      </c>
      <c r="L259" s="966" t="s">
        <v>1444</v>
      </c>
      <c r="M259" s="967">
        <v>1588</v>
      </c>
      <c r="N259" s="967"/>
      <c r="O259" s="1018"/>
      <c r="P259" s="987">
        <f t="shared" si="5"/>
        <v>1888</v>
      </c>
    </row>
    <row r="260" spans="1:16" ht="31.5" hidden="1" x14ac:dyDescent="0.25">
      <c r="A260" s="541">
        <v>44773</v>
      </c>
      <c r="B260" s="720">
        <v>44771</v>
      </c>
      <c r="C260" s="494" t="s">
        <v>1862</v>
      </c>
      <c r="D260" s="494" t="s">
        <v>1847</v>
      </c>
      <c r="E260" s="996" t="s">
        <v>762</v>
      </c>
      <c r="F260" s="495" t="s">
        <v>1526</v>
      </c>
      <c r="G260" s="494"/>
      <c r="H260" s="494"/>
      <c r="I260" s="671" t="s">
        <v>1639</v>
      </c>
      <c r="J260" s="952" t="s">
        <v>1863</v>
      </c>
      <c r="K260" s="680" t="str">
        <f>IF(L260=0,"",(INDEX(AccountCodes[ACCOUNT NAME],MATCH(L260,AccountCodes[NGAS CODE],0))))</f>
        <v>Cash in Bank-Local Currency, Current Account - FO</v>
      </c>
      <c r="L260" s="955" t="s">
        <v>1566</v>
      </c>
      <c r="M260" s="956"/>
      <c r="N260" s="956">
        <v>1888</v>
      </c>
      <c r="O260" s="1017"/>
      <c r="P260" s="987">
        <f t="shared" si="5"/>
        <v>0</v>
      </c>
    </row>
    <row r="261" spans="1:16" ht="31.5" hidden="1" x14ac:dyDescent="0.25">
      <c r="A261" s="958">
        <v>44773</v>
      </c>
      <c r="B261" s="959">
        <v>44771</v>
      </c>
      <c r="C261" s="960" t="s">
        <v>1864</v>
      </c>
      <c r="D261" s="494" t="s">
        <v>1847</v>
      </c>
      <c r="E261" s="996" t="s">
        <v>762</v>
      </c>
      <c r="F261" s="495" t="s">
        <v>1526</v>
      </c>
      <c r="G261" s="960"/>
      <c r="H261" s="960"/>
      <c r="I261" s="963" t="s">
        <v>1638</v>
      </c>
      <c r="J261" s="974" t="s">
        <v>1865</v>
      </c>
      <c r="K261" s="965" t="str">
        <f>IF(L261=0,"",(INDEX(AccountCodes[ACCOUNT NAME],MATCH(L261,AccountCodes[NGAS CODE],0))))</f>
        <v>Due to BIR - Compensation</v>
      </c>
      <c r="L261" s="966" t="s">
        <v>1546</v>
      </c>
      <c r="M261" s="967">
        <v>1706.01</v>
      </c>
      <c r="N261" s="967"/>
      <c r="O261" s="1018"/>
      <c r="P261" s="987">
        <f t="shared" si="5"/>
        <v>1706.01</v>
      </c>
    </row>
    <row r="262" spans="1:16" ht="31.5" hidden="1" x14ac:dyDescent="0.25">
      <c r="A262" s="541">
        <v>44773</v>
      </c>
      <c r="B262" s="720">
        <v>44771</v>
      </c>
      <c r="C262" s="494" t="s">
        <v>1864</v>
      </c>
      <c r="D262" s="494" t="s">
        <v>1847</v>
      </c>
      <c r="E262" s="996" t="s">
        <v>762</v>
      </c>
      <c r="F262" s="495" t="s">
        <v>1526</v>
      </c>
      <c r="G262" s="494"/>
      <c r="H262" s="494"/>
      <c r="I262" s="671" t="s">
        <v>1638</v>
      </c>
      <c r="J262" s="952" t="s">
        <v>1865</v>
      </c>
      <c r="K262" s="680" t="str">
        <f>IF(L262=0,"",(INDEX(AccountCodes[ACCOUNT NAME],MATCH(L262,AccountCodes[NGAS CODE],0))))</f>
        <v>Cash in Bank-Local Currency, Current Account - FO</v>
      </c>
      <c r="L262" s="955" t="s">
        <v>1566</v>
      </c>
      <c r="M262" s="956"/>
      <c r="N262" s="956">
        <v>1706.01</v>
      </c>
      <c r="O262" s="1017"/>
      <c r="P262" s="987">
        <f t="shared" si="5"/>
        <v>0</v>
      </c>
    </row>
    <row r="263" spans="1:16" ht="31.5" hidden="1" x14ac:dyDescent="0.25">
      <c r="A263" s="541">
        <v>44773</v>
      </c>
      <c r="B263" s="720">
        <v>44771</v>
      </c>
      <c r="C263" s="494" t="s">
        <v>1866</v>
      </c>
      <c r="D263" s="494" t="s">
        <v>1847</v>
      </c>
      <c r="E263" s="996" t="s">
        <v>762</v>
      </c>
      <c r="F263" s="495" t="s">
        <v>1526</v>
      </c>
      <c r="G263" s="494"/>
      <c r="H263" s="494"/>
      <c r="I263" s="671" t="s">
        <v>1639</v>
      </c>
      <c r="J263" s="952" t="s">
        <v>1867</v>
      </c>
      <c r="K263" s="680" t="str">
        <f>IF(L263=0,"",(INDEX(AccountCodes[ACCOUNT NAME],MATCH(L263,AccountCodes[NGAS CODE],0))))</f>
        <v>Due to Pag-IBIG - MP2</v>
      </c>
      <c r="L263" s="955" t="s">
        <v>1508</v>
      </c>
      <c r="M263" s="956">
        <v>1000</v>
      </c>
      <c r="N263" s="956"/>
      <c r="O263" s="1017"/>
      <c r="P263" s="987">
        <f t="shared" si="5"/>
        <v>1000</v>
      </c>
    </row>
    <row r="264" spans="1:16" ht="31.5" hidden="1" x14ac:dyDescent="0.25">
      <c r="A264" s="958">
        <v>44773</v>
      </c>
      <c r="B264" s="959">
        <v>44771</v>
      </c>
      <c r="C264" s="960" t="s">
        <v>1866</v>
      </c>
      <c r="D264" s="494" t="s">
        <v>1847</v>
      </c>
      <c r="E264" s="996" t="s">
        <v>762</v>
      </c>
      <c r="F264" s="495" t="s">
        <v>1526</v>
      </c>
      <c r="G264" s="960"/>
      <c r="H264" s="960"/>
      <c r="I264" s="963" t="s">
        <v>1639</v>
      </c>
      <c r="J264" s="974" t="s">
        <v>1867</v>
      </c>
      <c r="K264" s="965" t="str">
        <f>IF(L264=0,"",(INDEX(AccountCodes[ACCOUNT NAME],MATCH(L264,AccountCodes[NGAS CODE],0))))</f>
        <v>Cash in Bank-Local Currency, Current Account - FO</v>
      </c>
      <c r="L264" s="966" t="s">
        <v>1566</v>
      </c>
      <c r="M264" s="967"/>
      <c r="N264" s="967">
        <v>1000</v>
      </c>
      <c r="O264" s="1018"/>
      <c r="P264" s="987">
        <f t="shared" si="5"/>
        <v>0</v>
      </c>
    </row>
    <row r="265" spans="1:16" ht="47.25" hidden="1" x14ac:dyDescent="0.25">
      <c r="A265" s="541">
        <v>44773</v>
      </c>
      <c r="B265" s="720">
        <v>44771</v>
      </c>
      <c r="C265" s="494" t="s">
        <v>1868</v>
      </c>
      <c r="D265" s="494" t="s">
        <v>1847</v>
      </c>
      <c r="E265" s="996" t="s">
        <v>762</v>
      </c>
      <c r="F265" s="495" t="s">
        <v>1526</v>
      </c>
      <c r="G265" s="494"/>
      <c r="H265" s="494"/>
      <c r="I265" s="671" t="s">
        <v>1869</v>
      </c>
      <c r="J265" s="952" t="s">
        <v>1870</v>
      </c>
      <c r="K265" s="680" t="str">
        <f>IF(L265=0,"",(INDEX(AccountCodes[ACCOUNT NAME],MATCH(L265,AccountCodes[NGAS CODE],0))))</f>
        <v>Accumulated Surplus/(Deficit) (Government Equity)</v>
      </c>
      <c r="L265" s="955" t="s">
        <v>122</v>
      </c>
      <c r="M265" s="956">
        <v>31591.05</v>
      </c>
      <c r="N265" s="956"/>
      <c r="O265" s="1017"/>
      <c r="P265" s="987">
        <f t="shared" si="5"/>
        <v>31591.05</v>
      </c>
    </row>
    <row r="266" spans="1:16" ht="47.25" hidden="1" x14ac:dyDescent="0.25">
      <c r="A266" s="958">
        <v>44773</v>
      </c>
      <c r="B266" s="959">
        <v>44771</v>
      </c>
      <c r="C266" s="960" t="s">
        <v>1868</v>
      </c>
      <c r="D266" s="494" t="s">
        <v>1847</v>
      </c>
      <c r="E266" s="996" t="s">
        <v>762</v>
      </c>
      <c r="F266" s="495" t="s">
        <v>1526</v>
      </c>
      <c r="G266" s="960"/>
      <c r="H266" s="960"/>
      <c r="I266" s="963" t="s">
        <v>1869</v>
      </c>
      <c r="J266" s="974" t="s">
        <v>1870</v>
      </c>
      <c r="K266" s="965" t="str">
        <f>IF(L266=0,"",(INDEX(AccountCodes[ACCOUNT NAME],MATCH(L266,AccountCodes[NGAS CODE],0))))</f>
        <v>Cash in Bank-Local Currency, Current Account - FO</v>
      </c>
      <c r="L266" s="966" t="s">
        <v>1566</v>
      </c>
      <c r="M266" s="967"/>
      <c r="N266" s="967">
        <v>31591.05</v>
      </c>
      <c r="O266" s="1019"/>
      <c r="P266" s="987">
        <f t="shared" si="5"/>
        <v>0</v>
      </c>
    </row>
    <row r="267" spans="1:16" ht="63" hidden="1" x14ac:dyDescent="0.25">
      <c r="A267" s="541">
        <v>44773</v>
      </c>
      <c r="B267" s="720">
        <v>44771</v>
      </c>
      <c r="C267" s="494" t="s">
        <v>1873</v>
      </c>
      <c r="D267" s="494" t="s">
        <v>1847</v>
      </c>
      <c r="E267" s="996" t="s">
        <v>762</v>
      </c>
      <c r="F267" s="495" t="s">
        <v>1526</v>
      </c>
      <c r="G267" s="494"/>
      <c r="H267" s="494"/>
      <c r="I267" s="671" t="s">
        <v>1638</v>
      </c>
      <c r="J267" s="952" t="s">
        <v>1875</v>
      </c>
      <c r="K267" s="680" t="str">
        <f>IF(L267=0,"",(INDEX(AccountCodes[ACCOUNT NAME],MATCH(L267,AccountCodes[NGAS CODE],0))))</f>
        <v>Due to BIR - 1%</v>
      </c>
      <c r="L267" s="955" t="s">
        <v>1554</v>
      </c>
      <c r="M267" s="956">
        <v>321.43</v>
      </c>
      <c r="N267" s="956"/>
      <c r="O267" s="1017"/>
      <c r="P267" s="987">
        <f t="shared" si="5"/>
        <v>321.43</v>
      </c>
    </row>
    <row r="268" spans="1:16" ht="63" hidden="1" x14ac:dyDescent="0.25">
      <c r="A268" s="958">
        <v>44773</v>
      </c>
      <c r="B268" s="959">
        <v>44771</v>
      </c>
      <c r="C268" s="960" t="s">
        <v>1873</v>
      </c>
      <c r="D268" s="494" t="s">
        <v>1847</v>
      </c>
      <c r="E268" s="996" t="s">
        <v>762</v>
      </c>
      <c r="F268" s="495" t="s">
        <v>1526</v>
      </c>
      <c r="G268" s="960"/>
      <c r="H268" s="960"/>
      <c r="I268" s="963" t="s">
        <v>1638</v>
      </c>
      <c r="J268" s="974" t="s">
        <v>1875</v>
      </c>
      <c r="K268" s="965" t="str">
        <f>IF(L268=0,"",(INDEX(AccountCodes[ACCOUNT NAME],MATCH(L268,AccountCodes[NGAS CODE],0))))</f>
        <v>Cash in Bank-Local Currency, Current Account - FO</v>
      </c>
      <c r="L268" s="966" t="s">
        <v>1566</v>
      </c>
      <c r="M268" s="967"/>
      <c r="N268" s="967">
        <v>321.43</v>
      </c>
      <c r="O268" s="1019"/>
      <c r="P268" s="987">
        <f t="shared" si="5"/>
        <v>0</v>
      </c>
    </row>
    <row r="269" spans="1:16" ht="63" hidden="1" x14ac:dyDescent="0.25">
      <c r="A269" s="541">
        <v>44773</v>
      </c>
      <c r="B269" s="720">
        <v>44771</v>
      </c>
      <c r="C269" s="494" t="s">
        <v>1874</v>
      </c>
      <c r="D269" s="494" t="s">
        <v>1847</v>
      </c>
      <c r="E269" s="996" t="s">
        <v>762</v>
      </c>
      <c r="F269" s="495" t="s">
        <v>1526</v>
      </c>
      <c r="G269" s="494"/>
      <c r="H269" s="494"/>
      <c r="I269" s="671" t="s">
        <v>1638</v>
      </c>
      <c r="J269" s="980" t="s">
        <v>1876</v>
      </c>
      <c r="K269" s="680" t="str">
        <f>IF(L269=0,"",(INDEX(AccountCodes[ACCOUNT NAME],MATCH(L269,AccountCodes[NGAS CODE],0))))</f>
        <v>Due to BIR - 5%</v>
      </c>
      <c r="L269" s="955" t="s">
        <v>1548</v>
      </c>
      <c r="M269" s="956">
        <v>1607.14</v>
      </c>
      <c r="N269" s="956"/>
      <c r="O269" s="1017"/>
      <c r="P269" s="987">
        <f t="shared" si="5"/>
        <v>1607.14</v>
      </c>
    </row>
    <row r="270" spans="1:16" ht="63" hidden="1" x14ac:dyDescent="0.25">
      <c r="A270" s="958">
        <v>44773</v>
      </c>
      <c r="B270" s="959">
        <v>44771</v>
      </c>
      <c r="C270" s="494" t="s">
        <v>1874</v>
      </c>
      <c r="D270" s="494" t="s">
        <v>1847</v>
      </c>
      <c r="E270" s="996" t="s">
        <v>762</v>
      </c>
      <c r="F270" s="495" t="s">
        <v>1526</v>
      </c>
      <c r="G270" s="494"/>
      <c r="H270" s="494"/>
      <c r="I270" s="671" t="s">
        <v>1638</v>
      </c>
      <c r="J270" s="980" t="s">
        <v>1876</v>
      </c>
      <c r="K270" s="680" t="str">
        <f>IF(L270=0,"",(INDEX(AccountCodes[ACCOUNT NAME],MATCH(L270,AccountCodes[NGAS CODE],0))))</f>
        <v>Cash in Bank-Local Currency, Current Account - FO</v>
      </c>
      <c r="L270" s="955" t="s">
        <v>1566</v>
      </c>
      <c r="M270" s="956"/>
      <c r="N270" s="956">
        <v>1607.14</v>
      </c>
      <c r="O270" s="1017"/>
      <c r="P270" s="987">
        <f t="shared" si="5"/>
        <v>0</v>
      </c>
    </row>
    <row r="271" spans="1:16" ht="94.5" hidden="1" x14ac:dyDescent="0.25">
      <c r="A271" s="958">
        <v>44804</v>
      </c>
      <c r="B271" s="959">
        <v>44782</v>
      </c>
      <c r="C271" s="960" t="s">
        <v>1880</v>
      </c>
      <c r="D271" s="494" t="s">
        <v>1881</v>
      </c>
      <c r="E271" s="996" t="s">
        <v>762</v>
      </c>
      <c r="F271" s="495" t="s">
        <v>1526</v>
      </c>
      <c r="G271" s="960"/>
      <c r="H271" s="960"/>
      <c r="I271" s="963" t="s">
        <v>1882</v>
      </c>
      <c r="J271" s="973" t="s">
        <v>1883</v>
      </c>
      <c r="K271" s="965" t="str">
        <f>IF(L271=0,"",(INDEX(AccountCodes[ACCOUNT NAME],MATCH(L271,AccountCodes[NGAS CODE],0))))</f>
        <v>Advances to Contractors</v>
      </c>
      <c r="L271" s="966" t="s">
        <v>35</v>
      </c>
      <c r="M271" s="967">
        <v>1579858.44</v>
      </c>
      <c r="N271" s="967"/>
      <c r="O271" s="1017">
        <v>220044</v>
      </c>
      <c r="P271" s="987">
        <f t="shared" si="5"/>
        <v>1579858.44</v>
      </c>
    </row>
    <row r="272" spans="1:16" ht="94.5" hidden="1" x14ac:dyDescent="0.25">
      <c r="A272" s="541">
        <v>44804</v>
      </c>
      <c r="B272" s="720">
        <v>44782</v>
      </c>
      <c r="C272" s="494" t="s">
        <v>1880</v>
      </c>
      <c r="D272" s="494" t="s">
        <v>1881</v>
      </c>
      <c r="E272" s="996" t="s">
        <v>762</v>
      </c>
      <c r="F272" s="495" t="s">
        <v>1526</v>
      </c>
      <c r="G272" s="494"/>
      <c r="H272" s="494"/>
      <c r="I272" s="671" t="s">
        <v>1882</v>
      </c>
      <c r="J272" s="972" t="s">
        <v>1883</v>
      </c>
      <c r="K272" s="680" t="str">
        <f>IF(L272=0,"",(INDEX(AccountCodes[ACCOUNT NAME],MATCH(L272,AccountCodes[NGAS CODE],0))))</f>
        <v>Cash in Bank-Local Currency, Current Account - FO</v>
      </c>
      <c r="L272" s="955" t="s">
        <v>1566</v>
      </c>
      <c r="M272" s="956"/>
      <c r="N272" s="956">
        <v>1579858.44</v>
      </c>
      <c r="O272" s="1017"/>
      <c r="P272" s="987">
        <f t="shared" si="5"/>
        <v>0</v>
      </c>
    </row>
    <row r="273" spans="1:16" ht="63" hidden="1" x14ac:dyDescent="0.25">
      <c r="A273" s="541">
        <v>44804</v>
      </c>
      <c r="B273" s="720">
        <v>44788</v>
      </c>
      <c r="C273" s="494" t="s">
        <v>1884</v>
      </c>
      <c r="D273" s="494" t="s">
        <v>1881</v>
      </c>
      <c r="E273" s="996" t="s">
        <v>762</v>
      </c>
      <c r="F273" s="495" t="s">
        <v>1526</v>
      </c>
      <c r="G273" s="494"/>
      <c r="H273" s="494"/>
      <c r="I273" s="671" t="s">
        <v>1667</v>
      </c>
      <c r="J273" s="972" t="s">
        <v>1885</v>
      </c>
      <c r="K273" s="680" t="str">
        <f>IF(L273=0,"",(INDEX(AccountCodes[ACCOUNT NAME],MATCH(L273,AccountCodes[NGAS CODE],0))))</f>
        <v>Salaries and Wages-Regular</v>
      </c>
      <c r="L273" s="955" t="s">
        <v>162</v>
      </c>
      <c r="M273" s="956">
        <v>79449</v>
      </c>
      <c r="N273" s="956"/>
      <c r="O273" s="1017"/>
      <c r="P273" s="987">
        <f t="shared" si="5"/>
        <v>79449</v>
      </c>
    </row>
    <row r="274" spans="1:16" ht="63" hidden="1" x14ac:dyDescent="0.25">
      <c r="A274" s="541">
        <v>44804</v>
      </c>
      <c r="B274" s="720">
        <v>44788</v>
      </c>
      <c r="C274" s="494" t="s">
        <v>1884</v>
      </c>
      <c r="D274" s="494" t="s">
        <v>1881</v>
      </c>
      <c r="E274" s="996" t="s">
        <v>762</v>
      </c>
      <c r="F274" s="495" t="s">
        <v>1526</v>
      </c>
      <c r="G274" s="494"/>
      <c r="H274" s="494"/>
      <c r="I274" s="671" t="s">
        <v>1667</v>
      </c>
      <c r="J274" s="972" t="s">
        <v>1885</v>
      </c>
      <c r="K274" s="680" t="str">
        <f>IF(L274=0,"",(INDEX(AccountCodes[ACCOUNT NAME],MATCH(L274,AccountCodes[NGAS CODE],0))))</f>
        <v>Personal Economic Relief Allowance (PERA)</v>
      </c>
      <c r="L274" s="955" t="s">
        <v>164</v>
      </c>
      <c r="M274" s="956">
        <v>6000</v>
      </c>
      <c r="N274" s="956"/>
      <c r="O274" s="1017"/>
      <c r="P274" s="987">
        <f t="shared" si="5"/>
        <v>85449</v>
      </c>
    </row>
    <row r="275" spans="1:16" ht="63" hidden="1" x14ac:dyDescent="0.25">
      <c r="A275" s="541">
        <v>44804</v>
      </c>
      <c r="B275" s="720">
        <v>44788</v>
      </c>
      <c r="C275" s="494" t="s">
        <v>1884</v>
      </c>
      <c r="D275" s="494" t="s">
        <v>1881</v>
      </c>
      <c r="E275" s="996" t="s">
        <v>762</v>
      </c>
      <c r="F275" s="495" t="s">
        <v>1526</v>
      </c>
      <c r="G275" s="494"/>
      <c r="H275" s="494"/>
      <c r="I275" s="671" t="s">
        <v>1667</v>
      </c>
      <c r="J275" s="972" t="s">
        <v>1885</v>
      </c>
      <c r="K275" s="680" t="str">
        <f>IF(L275=0,"",(INDEX(AccountCodes[ACCOUNT NAME],MATCH(L275,AccountCodes[NGAS CODE],0))))</f>
        <v>Due to BIR - Compensation</v>
      </c>
      <c r="L275" s="955" t="s">
        <v>1546</v>
      </c>
      <c r="M275" s="956"/>
      <c r="N275" s="956">
        <v>1706.01</v>
      </c>
      <c r="O275" s="1021"/>
      <c r="P275" s="987">
        <f t="shared" si="5"/>
        <v>83742.990000000005</v>
      </c>
    </row>
    <row r="276" spans="1:16" ht="63" hidden="1" x14ac:dyDescent="0.25">
      <c r="A276" s="541">
        <v>44804</v>
      </c>
      <c r="B276" s="720">
        <v>44788</v>
      </c>
      <c r="C276" s="494" t="s">
        <v>1884</v>
      </c>
      <c r="D276" s="494" t="s">
        <v>1881</v>
      </c>
      <c r="E276" s="996" t="s">
        <v>762</v>
      </c>
      <c r="F276" s="495" t="s">
        <v>1526</v>
      </c>
      <c r="G276" s="494"/>
      <c r="H276" s="494"/>
      <c r="I276" s="671" t="s">
        <v>1667</v>
      </c>
      <c r="J276" s="972" t="s">
        <v>1885</v>
      </c>
      <c r="K276" s="680" t="str">
        <f>IF(L276=0,"",(INDEX(AccountCodes[ACCOUNT NAME],MATCH(L276,AccountCodes[NGAS CODE],0))))</f>
        <v>Due to GSIS - Life and Retirement Premium</v>
      </c>
      <c r="L276" s="955" t="s">
        <v>1440</v>
      </c>
      <c r="M276" s="956"/>
      <c r="N276" s="956">
        <v>7150.41</v>
      </c>
      <c r="O276" s="1017"/>
      <c r="P276" s="987">
        <f t="shared" si="5"/>
        <v>76592.58</v>
      </c>
    </row>
    <row r="277" spans="1:16" ht="63" hidden="1" x14ac:dyDescent="0.25">
      <c r="A277" s="541">
        <v>44804</v>
      </c>
      <c r="B277" s="720">
        <v>44788</v>
      </c>
      <c r="C277" s="494" t="s">
        <v>1884</v>
      </c>
      <c r="D277" s="494" t="s">
        <v>1881</v>
      </c>
      <c r="E277" s="996" t="s">
        <v>762</v>
      </c>
      <c r="F277" s="495" t="s">
        <v>1526</v>
      </c>
      <c r="G277" s="494"/>
      <c r="H277" s="494"/>
      <c r="I277" s="671" t="s">
        <v>1667</v>
      </c>
      <c r="J277" s="972" t="s">
        <v>1885</v>
      </c>
      <c r="K277" s="680" t="str">
        <f>IF(L277=0,"",(INDEX(AccountCodes[ACCOUNT NAME],MATCH(L277,AccountCodes[NGAS CODE],0))))</f>
        <v>Due to Pag-IBIG - Pag-IBIG Premium</v>
      </c>
      <c r="L277" s="955" t="s">
        <v>1444</v>
      </c>
      <c r="M277" s="956"/>
      <c r="N277" s="956">
        <v>1588.98</v>
      </c>
      <c r="O277" s="1017"/>
      <c r="P277" s="987">
        <f t="shared" si="5"/>
        <v>75003.600000000006</v>
      </c>
    </row>
    <row r="278" spans="1:16" ht="63" hidden="1" x14ac:dyDescent="0.25">
      <c r="A278" s="541">
        <v>44804</v>
      </c>
      <c r="B278" s="720">
        <v>44788</v>
      </c>
      <c r="C278" s="494" t="s">
        <v>1884</v>
      </c>
      <c r="D278" s="494" t="s">
        <v>1881</v>
      </c>
      <c r="E278" s="996" t="s">
        <v>762</v>
      </c>
      <c r="F278" s="495" t="s">
        <v>1526</v>
      </c>
      <c r="G278" s="494"/>
      <c r="H278" s="494"/>
      <c r="I278" s="671" t="s">
        <v>1667</v>
      </c>
      <c r="J278" s="972" t="s">
        <v>1885</v>
      </c>
      <c r="K278" s="680" t="str">
        <f>IF(L278=0,"",(INDEX(AccountCodes[ACCOUNT NAME],MATCH(L278,AccountCodes[NGAS CODE],0))))</f>
        <v>Due to Pag-IBIG - MP2</v>
      </c>
      <c r="L278" s="955" t="s">
        <v>1508</v>
      </c>
      <c r="M278" s="956"/>
      <c r="N278" s="956">
        <v>4000</v>
      </c>
      <c r="O278" s="1021"/>
      <c r="P278" s="987">
        <f t="shared" si="5"/>
        <v>71003.600000000006</v>
      </c>
    </row>
    <row r="279" spans="1:16" ht="63" hidden="1" x14ac:dyDescent="0.25">
      <c r="A279" s="541">
        <v>44804</v>
      </c>
      <c r="B279" s="720">
        <v>44788</v>
      </c>
      <c r="C279" s="494" t="s">
        <v>1884</v>
      </c>
      <c r="D279" s="494" t="s">
        <v>1881</v>
      </c>
      <c r="E279" s="996" t="s">
        <v>762</v>
      </c>
      <c r="F279" s="495" t="s">
        <v>1526</v>
      </c>
      <c r="G279" s="494"/>
      <c r="H279" s="494"/>
      <c r="I279" s="671" t="s">
        <v>1667</v>
      </c>
      <c r="J279" s="972" t="s">
        <v>1885</v>
      </c>
      <c r="K279" s="680" t="str">
        <f>IF(L279=0,"",(INDEX(AccountCodes[ACCOUNT NAME],MATCH(L279,AccountCodes[NGAS CODE],0))))</f>
        <v>Due to PhilHealth</v>
      </c>
      <c r="L279" s="955" t="s">
        <v>112</v>
      </c>
      <c r="M279" s="956"/>
      <c r="N279" s="956">
        <v>1588.98</v>
      </c>
      <c r="O279" s="1021"/>
      <c r="P279" s="987">
        <f t="shared" si="5"/>
        <v>69414.62</v>
      </c>
    </row>
    <row r="280" spans="1:16" ht="63" hidden="1" x14ac:dyDescent="0.25">
      <c r="A280" s="541">
        <v>44804</v>
      </c>
      <c r="B280" s="720">
        <v>44788</v>
      </c>
      <c r="C280" s="494" t="s">
        <v>1884</v>
      </c>
      <c r="D280" s="494" t="s">
        <v>1881</v>
      </c>
      <c r="E280" s="996" t="s">
        <v>762</v>
      </c>
      <c r="F280" s="495" t="s">
        <v>1526</v>
      </c>
      <c r="G280" s="494"/>
      <c r="H280" s="494"/>
      <c r="I280" s="671" t="s">
        <v>1667</v>
      </c>
      <c r="J280" s="972" t="s">
        <v>1885</v>
      </c>
      <c r="K280" s="680" t="str">
        <f>IF(L280=0,"",(INDEX(AccountCodes[ACCOUNT NAME],MATCH(L280,AccountCodes[NGAS CODE],0))))</f>
        <v>Cash in Bank-Local Currency, Current Account - FO</v>
      </c>
      <c r="L280" s="955" t="s">
        <v>1566</v>
      </c>
      <c r="M280" s="956"/>
      <c r="N280" s="956">
        <v>34707.32</v>
      </c>
      <c r="O280" s="1021"/>
      <c r="P280" s="987">
        <f t="shared" si="5"/>
        <v>34707.300000000003</v>
      </c>
    </row>
    <row r="281" spans="1:16" ht="63" hidden="1" x14ac:dyDescent="0.25">
      <c r="A281" s="541">
        <v>44804</v>
      </c>
      <c r="B281" s="720">
        <v>44799</v>
      </c>
      <c r="C281" s="494" t="s">
        <v>1886</v>
      </c>
      <c r="D281" s="494" t="s">
        <v>1881</v>
      </c>
      <c r="E281" s="996" t="s">
        <v>762</v>
      </c>
      <c r="F281" s="495" t="s">
        <v>1526</v>
      </c>
      <c r="G281" s="494"/>
      <c r="H281" s="494"/>
      <c r="I281" s="671" t="s">
        <v>1667</v>
      </c>
      <c r="J281" s="972" t="s">
        <v>1885</v>
      </c>
      <c r="K281" s="680" t="str">
        <f>IF(L281=0,"",(INDEX(AccountCodes[ACCOUNT NAME],MATCH(L281,AccountCodes[NGAS CODE],0))))</f>
        <v>Cash in Bank-Local Currency, Current Account - FO</v>
      </c>
      <c r="L281" s="955" t="s">
        <v>1566</v>
      </c>
      <c r="M281" s="956"/>
      <c r="N281" s="956">
        <v>34707.300000000003</v>
      </c>
      <c r="O281" s="1017"/>
      <c r="P281" s="987">
        <f t="shared" si="5"/>
        <v>0</v>
      </c>
    </row>
    <row r="282" spans="1:16" ht="31.5" hidden="1" x14ac:dyDescent="0.25">
      <c r="A282" s="541">
        <v>44804</v>
      </c>
      <c r="B282" s="720">
        <v>44799</v>
      </c>
      <c r="C282" s="494" t="s">
        <v>1887</v>
      </c>
      <c r="D282" s="960" t="s">
        <v>1881</v>
      </c>
      <c r="E282" s="995" t="s">
        <v>762</v>
      </c>
      <c r="F282" s="962" t="s">
        <v>1526</v>
      </c>
      <c r="G282" s="494"/>
      <c r="H282" s="494"/>
      <c r="I282" s="671" t="s">
        <v>1639</v>
      </c>
      <c r="J282" s="972" t="s">
        <v>1889</v>
      </c>
      <c r="K282" s="680" t="str">
        <f>IF(L282=0,"",(INDEX(AccountCodes[ACCOUNT NAME],MATCH(L282,AccountCodes[NGAS CODE],0))))</f>
        <v>Due to Pag-IBIG - MP2</v>
      </c>
      <c r="L282" s="955" t="s">
        <v>1508</v>
      </c>
      <c r="M282" s="956">
        <v>4000</v>
      </c>
      <c r="N282" s="956"/>
      <c r="O282" s="1017"/>
      <c r="P282" s="987">
        <f t="shared" si="5"/>
        <v>4000</v>
      </c>
    </row>
    <row r="283" spans="1:16" ht="31.5" hidden="1" x14ac:dyDescent="0.25">
      <c r="A283" s="541">
        <v>44804</v>
      </c>
      <c r="B283" s="720">
        <v>44799</v>
      </c>
      <c r="C283" s="494" t="s">
        <v>1887</v>
      </c>
      <c r="D283" s="960" t="s">
        <v>1881</v>
      </c>
      <c r="E283" s="995" t="s">
        <v>762</v>
      </c>
      <c r="F283" s="962" t="s">
        <v>1526</v>
      </c>
      <c r="G283" s="494"/>
      <c r="H283" s="494"/>
      <c r="I283" s="671" t="s">
        <v>1639</v>
      </c>
      <c r="J283" s="972" t="s">
        <v>1889</v>
      </c>
      <c r="K283" s="680" t="str">
        <f>IF(L283=0,"",(INDEX(AccountCodes[ACCOUNT NAME],MATCH(L283,AccountCodes[NGAS CODE],0))))</f>
        <v>Cash in Bank-Local Currency, Current Account - FO</v>
      </c>
      <c r="L283" s="955" t="s">
        <v>1566</v>
      </c>
      <c r="M283" s="956"/>
      <c r="N283" s="956">
        <v>4000</v>
      </c>
      <c r="O283" s="1017"/>
      <c r="P283" s="987">
        <f t="shared" si="5"/>
        <v>0</v>
      </c>
    </row>
    <row r="284" spans="1:16" ht="31.5" hidden="1" x14ac:dyDescent="0.25">
      <c r="A284" s="541">
        <v>44804</v>
      </c>
      <c r="B284" s="720">
        <v>44799</v>
      </c>
      <c r="C284" s="494" t="s">
        <v>1888</v>
      </c>
      <c r="D284" s="960" t="s">
        <v>1881</v>
      </c>
      <c r="E284" s="995" t="s">
        <v>762</v>
      </c>
      <c r="F284" s="962" t="s">
        <v>1526</v>
      </c>
      <c r="G284" s="494"/>
      <c r="H284" s="494"/>
      <c r="I284" s="671" t="s">
        <v>1639</v>
      </c>
      <c r="J284" s="972" t="s">
        <v>1890</v>
      </c>
      <c r="K284" s="680" t="str">
        <f>IF(L284=0,"",(INDEX(AccountCodes[ACCOUNT NAME],MATCH(L284,AccountCodes[NGAS CODE],0))))</f>
        <v>Pag-IBIG Contributions</v>
      </c>
      <c r="L284" s="955" t="s">
        <v>176</v>
      </c>
      <c r="M284" s="956">
        <v>300</v>
      </c>
      <c r="N284" s="956"/>
      <c r="O284" s="1017"/>
      <c r="P284" s="987">
        <f t="shared" si="5"/>
        <v>300</v>
      </c>
    </row>
    <row r="285" spans="1:16" ht="31.5" hidden="1" x14ac:dyDescent="0.25">
      <c r="A285" s="541">
        <v>44804</v>
      </c>
      <c r="B285" s="720">
        <v>44799</v>
      </c>
      <c r="C285" s="494" t="s">
        <v>1888</v>
      </c>
      <c r="D285" s="960" t="s">
        <v>1881</v>
      </c>
      <c r="E285" s="995" t="s">
        <v>762</v>
      </c>
      <c r="F285" s="962" t="s">
        <v>1526</v>
      </c>
      <c r="G285" s="494"/>
      <c r="H285" s="494"/>
      <c r="I285" s="671" t="s">
        <v>1639</v>
      </c>
      <c r="J285" s="972" t="s">
        <v>1890</v>
      </c>
      <c r="K285" s="680" t="str">
        <f>IF(L285=0,"",(INDEX(AccountCodes[ACCOUNT NAME],MATCH(L285,AccountCodes[NGAS CODE],0))))</f>
        <v>Due to Pag-IBIG - Pag-IBIG Premium</v>
      </c>
      <c r="L285" s="955" t="s">
        <v>1444</v>
      </c>
      <c r="M285" s="956">
        <v>1589.96</v>
      </c>
      <c r="N285" s="956"/>
      <c r="O285" s="1017"/>
      <c r="P285" s="987">
        <f t="shared" si="5"/>
        <v>1889.96</v>
      </c>
    </row>
    <row r="286" spans="1:16" ht="31.5" hidden="1" x14ac:dyDescent="0.25">
      <c r="A286" s="541">
        <v>44804</v>
      </c>
      <c r="B286" s="720">
        <v>44799</v>
      </c>
      <c r="C286" s="494" t="s">
        <v>1888</v>
      </c>
      <c r="D286" s="960" t="s">
        <v>1881</v>
      </c>
      <c r="E286" s="995" t="s">
        <v>762</v>
      </c>
      <c r="F286" s="962" t="s">
        <v>1526</v>
      </c>
      <c r="G286" s="494"/>
      <c r="H286" s="494"/>
      <c r="I286" s="671" t="s">
        <v>1639</v>
      </c>
      <c r="J286" s="972" t="s">
        <v>1890</v>
      </c>
      <c r="K286" s="680" t="str">
        <f>IF(L286=0,"",(INDEX(AccountCodes[ACCOUNT NAME],MATCH(L286,AccountCodes[NGAS CODE],0))))</f>
        <v>Cash in Bank-Local Currency, Current Account - FO</v>
      </c>
      <c r="L286" s="955" t="s">
        <v>1566</v>
      </c>
      <c r="M286" s="956"/>
      <c r="N286" s="956">
        <v>1889.96</v>
      </c>
      <c r="O286" s="1017"/>
      <c r="P286" s="987">
        <f t="shared" ref="P286:P349" si="6">P285+M286-N286</f>
        <v>0</v>
      </c>
    </row>
    <row r="287" spans="1:16" ht="47.25" hidden="1" x14ac:dyDescent="0.25">
      <c r="A287" s="541">
        <v>44804</v>
      </c>
      <c r="B287" s="720">
        <v>44799</v>
      </c>
      <c r="C287" s="494" t="s">
        <v>1891</v>
      </c>
      <c r="D287" s="960" t="s">
        <v>1881</v>
      </c>
      <c r="E287" s="995" t="s">
        <v>762</v>
      </c>
      <c r="F287" s="962" t="s">
        <v>1526</v>
      </c>
      <c r="G287" s="494"/>
      <c r="H287" s="494"/>
      <c r="I287" s="671" t="s">
        <v>1859</v>
      </c>
      <c r="J287" s="972" t="s">
        <v>1892</v>
      </c>
      <c r="K287" s="680" t="str">
        <f>IF(L287=0,"",(INDEX(AccountCodes[ACCOUNT NAME],MATCH(L287,AccountCodes[NGAS CODE],0))))</f>
        <v>PhilHealth Contributions</v>
      </c>
      <c r="L287" s="955" t="s">
        <v>177</v>
      </c>
      <c r="M287" s="956">
        <v>1588.98</v>
      </c>
      <c r="N287" s="956"/>
      <c r="O287" s="1017"/>
      <c r="P287" s="987">
        <f t="shared" si="6"/>
        <v>1588.98</v>
      </c>
    </row>
    <row r="288" spans="1:16" ht="47.25" hidden="1" x14ac:dyDescent="0.25">
      <c r="A288" s="541">
        <v>44804</v>
      </c>
      <c r="B288" s="720">
        <v>44799</v>
      </c>
      <c r="C288" s="494" t="s">
        <v>1891</v>
      </c>
      <c r="D288" s="960" t="s">
        <v>1881</v>
      </c>
      <c r="E288" s="995" t="s">
        <v>762</v>
      </c>
      <c r="F288" s="962" t="s">
        <v>1526</v>
      </c>
      <c r="G288" s="494"/>
      <c r="H288" s="494"/>
      <c r="I288" s="671" t="s">
        <v>1859</v>
      </c>
      <c r="J288" s="972" t="s">
        <v>1892</v>
      </c>
      <c r="K288" s="680" t="str">
        <f>IF(L288=0,"",(INDEX(AccountCodes[ACCOUNT NAME],MATCH(L288,AccountCodes[NGAS CODE],0))))</f>
        <v>Due to PhilHealth</v>
      </c>
      <c r="L288" s="955" t="s">
        <v>112</v>
      </c>
      <c r="M288" s="956">
        <v>1588.98</v>
      </c>
      <c r="N288" s="956"/>
      <c r="O288" s="1017"/>
      <c r="P288" s="987">
        <f t="shared" si="6"/>
        <v>3177.96</v>
      </c>
    </row>
    <row r="289" spans="1:16" ht="47.25" hidden="1" x14ac:dyDescent="0.25">
      <c r="A289" s="958">
        <v>44804</v>
      </c>
      <c r="B289" s="959">
        <v>44799</v>
      </c>
      <c r="C289" s="960" t="s">
        <v>1891</v>
      </c>
      <c r="D289" s="960" t="s">
        <v>1881</v>
      </c>
      <c r="E289" s="995" t="s">
        <v>762</v>
      </c>
      <c r="F289" s="962" t="s">
        <v>1526</v>
      </c>
      <c r="G289" s="960"/>
      <c r="H289" s="960"/>
      <c r="I289" s="963" t="s">
        <v>1859</v>
      </c>
      <c r="J289" s="973" t="s">
        <v>1892</v>
      </c>
      <c r="K289" s="965" t="str">
        <f>IF(L289=0,"",(INDEX(AccountCodes[ACCOUNT NAME],MATCH(L289,AccountCodes[NGAS CODE],0))))</f>
        <v>Cash in Bank-Local Currency, Current Account - FO</v>
      </c>
      <c r="L289" s="966" t="s">
        <v>1566</v>
      </c>
      <c r="M289" s="967"/>
      <c r="N289" s="967">
        <v>3177.96</v>
      </c>
      <c r="O289" s="1017"/>
      <c r="P289" s="987">
        <f t="shared" si="6"/>
        <v>0</v>
      </c>
    </row>
    <row r="290" spans="1:16" ht="31.5" hidden="1" x14ac:dyDescent="0.25">
      <c r="A290" s="541">
        <v>44804</v>
      </c>
      <c r="B290" s="720">
        <v>44799</v>
      </c>
      <c r="C290" s="494" t="s">
        <v>1893</v>
      </c>
      <c r="D290" s="960" t="s">
        <v>1881</v>
      </c>
      <c r="E290" s="995" t="s">
        <v>762</v>
      </c>
      <c r="F290" s="962" t="s">
        <v>1526</v>
      </c>
      <c r="G290" s="494"/>
      <c r="H290" s="494"/>
      <c r="I290" s="671" t="s">
        <v>1637</v>
      </c>
      <c r="J290" s="972" t="s">
        <v>1894</v>
      </c>
      <c r="K290" s="680" t="str">
        <f>IF(L290=0,"",(INDEX(AccountCodes[ACCOUNT NAME],MATCH(L290,AccountCodes[NGAS CODE],0))))</f>
        <v>Retirement and Life Insurance Premiums</v>
      </c>
      <c r="L290" s="955" t="s">
        <v>175</v>
      </c>
      <c r="M290" s="956">
        <v>9533.8799999999992</v>
      </c>
      <c r="N290" s="956"/>
      <c r="O290" s="1017"/>
      <c r="P290" s="987">
        <f t="shared" si="6"/>
        <v>9533.8799999999992</v>
      </c>
    </row>
    <row r="291" spans="1:16" ht="31.5" hidden="1" x14ac:dyDescent="0.25">
      <c r="A291" s="541">
        <v>44804</v>
      </c>
      <c r="B291" s="720">
        <v>44799</v>
      </c>
      <c r="C291" s="494" t="s">
        <v>1893</v>
      </c>
      <c r="D291" s="960" t="s">
        <v>1881</v>
      </c>
      <c r="E291" s="995" t="s">
        <v>762</v>
      </c>
      <c r="F291" s="962" t="s">
        <v>1526</v>
      </c>
      <c r="G291" s="494"/>
      <c r="H291" s="494"/>
      <c r="I291" s="671" t="s">
        <v>1637</v>
      </c>
      <c r="J291" s="972" t="s">
        <v>1894</v>
      </c>
      <c r="K291" s="680" t="str">
        <f>IF(L291=0,"",(INDEX(AccountCodes[ACCOUNT NAME],MATCH(L291,AccountCodes[NGAS CODE],0))))</f>
        <v>Due to GSIS - Life and Retirement Premium</v>
      </c>
      <c r="L291" s="955" t="s">
        <v>1440</v>
      </c>
      <c r="M291" s="956">
        <v>7150.41</v>
      </c>
      <c r="N291" s="956"/>
      <c r="O291" s="1017"/>
      <c r="P291" s="987">
        <f t="shared" si="6"/>
        <v>16684.29</v>
      </c>
    </row>
    <row r="292" spans="1:16" ht="31.5" hidden="1" x14ac:dyDescent="0.25">
      <c r="A292" s="958">
        <v>44804</v>
      </c>
      <c r="B292" s="959">
        <v>44799</v>
      </c>
      <c r="C292" s="960" t="s">
        <v>1893</v>
      </c>
      <c r="D292" s="960" t="s">
        <v>1881</v>
      </c>
      <c r="E292" s="995" t="s">
        <v>762</v>
      </c>
      <c r="F292" s="962" t="s">
        <v>1526</v>
      </c>
      <c r="G292" s="960"/>
      <c r="H292" s="960"/>
      <c r="I292" s="963" t="s">
        <v>1637</v>
      </c>
      <c r="J292" s="973" t="s">
        <v>1894</v>
      </c>
      <c r="K292" s="965" t="str">
        <f>IF(L292=0,"",(INDEX(AccountCodes[ACCOUNT NAME],MATCH(L292,AccountCodes[NGAS CODE],0))))</f>
        <v>Employees Compensation Insurance Premiums</v>
      </c>
      <c r="L292" s="966" t="s">
        <v>178</v>
      </c>
      <c r="M292" s="967">
        <v>300</v>
      </c>
      <c r="N292" s="967"/>
      <c r="O292" s="1018"/>
      <c r="P292" s="987">
        <f t="shared" si="6"/>
        <v>16984.29</v>
      </c>
    </row>
    <row r="293" spans="1:16" ht="31.5" hidden="1" x14ac:dyDescent="0.25">
      <c r="A293" s="541">
        <v>44804</v>
      </c>
      <c r="B293" s="720">
        <v>44799</v>
      </c>
      <c r="C293" s="494" t="s">
        <v>1893</v>
      </c>
      <c r="D293" s="494" t="s">
        <v>1881</v>
      </c>
      <c r="E293" s="995" t="s">
        <v>762</v>
      </c>
      <c r="F293" s="962" t="s">
        <v>1526</v>
      </c>
      <c r="G293" s="494"/>
      <c r="H293" s="494"/>
      <c r="I293" s="671" t="s">
        <v>1637</v>
      </c>
      <c r="J293" s="972" t="s">
        <v>1894</v>
      </c>
      <c r="K293" s="680" t="str">
        <f>IF(L293=0,"",(INDEX(AccountCodes[ACCOUNT NAME],MATCH(L293,AccountCodes[NGAS CODE],0))))</f>
        <v>Cash in Bank-Local Currency, Current Account - FO</v>
      </c>
      <c r="L293" s="955" t="s">
        <v>1479</v>
      </c>
      <c r="M293" s="956"/>
      <c r="N293" s="956">
        <v>16984.29</v>
      </c>
      <c r="O293" s="1017"/>
      <c r="P293" s="987">
        <f t="shared" si="6"/>
        <v>0</v>
      </c>
    </row>
    <row r="294" spans="1:16" ht="47.25" hidden="1" x14ac:dyDescent="0.25">
      <c r="A294" s="541">
        <v>44804</v>
      </c>
      <c r="B294" s="720">
        <v>44799</v>
      </c>
      <c r="C294" s="494" t="s">
        <v>1895</v>
      </c>
      <c r="D294" s="960" t="s">
        <v>1881</v>
      </c>
      <c r="E294" s="995" t="s">
        <v>762</v>
      </c>
      <c r="F294" s="962" t="s">
        <v>1526</v>
      </c>
      <c r="G294" s="494"/>
      <c r="H294" s="494"/>
      <c r="I294" s="671" t="s">
        <v>1896</v>
      </c>
      <c r="J294" s="972" t="s">
        <v>1897</v>
      </c>
      <c r="K294" s="680" t="str">
        <f>IF(L294=0,"",(INDEX(AccountCodes[ACCOUNT NAME],MATCH(L294,AccountCodes[NGAS CODE],0))))</f>
        <v>Due to BIR - Compensation</v>
      </c>
      <c r="L294" s="955" t="s">
        <v>1546</v>
      </c>
      <c r="M294" s="956">
        <v>1706.01</v>
      </c>
      <c r="N294" s="956"/>
      <c r="O294" s="1017"/>
      <c r="P294" s="987">
        <f t="shared" si="6"/>
        <v>1706.01</v>
      </c>
    </row>
    <row r="295" spans="1:16" ht="47.25" hidden="1" x14ac:dyDescent="0.25">
      <c r="A295" s="958">
        <v>44804</v>
      </c>
      <c r="B295" s="959">
        <v>44799</v>
      </c>
      <c r="C295" s="960" t="s">
        <v>1895</v>
      </c>
      <c r="D295" s="494" t="s">
        <v>1881</v>
      </c>
      <c r="E295" s="995" t="s">
        <v>762</v>
      </c>
      <c r="F295" s="962" t="s">
        <v>1526</v>
      </c>
      <c r="G295" s="960"/>
      <c r="H295" s="960"/>
      <c r="I295" s="963" t="s">
        <v>1896</v>
      </c>
      <c r="J295" s="973" t="s">
        <v>1897</v>
      </c>
      <c r="K295" s="965" t="str">
        <f>IF(L295=0,"",(INDEX(AccountCodes[ACCOUNT NAME],MATCH(L295,AccountCodes[NGAS CODE],0))))</f>
        <v>Cash in Bank-Local Currency, Current Account - FO</v>
      </c>
      <c r="L295" s="966" t="s">
        <v>1566</v>
      </c>
      <c r="M295" s="967"/>
      <c r="N295" s="967">
        <v>1706.01</v>
      </c>
      <c r="O295" s="1018"/>
      <c r="P295" s="987">
        <f t="shared" si="6"/>
        <v>0</v>
      </c>
    </row>
    <row r="296" spans="1:16" ht="63" hidden="1" x14ac:dyDescent="0.25">
      <c r="A296" s="541">
        <v>44804</v>
      </c>
      <c r="B296" s="720">
        <v>44804</v>
      </c>
      <c r="C296" s="494" t="s">
        <v>1898</v>
      </c>
      <c r="D296" s="960" t="s">
        <v>1881</v>
      </c>
      <c r="E296" s="995" t="s">
        <v>762</v>
      </c>
      <c r="F296" s="962" t="s">
        <v>1526</v>
      </c>
      <c r="G296" s="494"/>
      <c r="H296" s="494"/>
      <c r="I296" s="671" t="s">
        <v>1899</v>
      </c>
      <c r="J296" s="972" t="s">
        <v>1900</v>
      </c>
      <c r="K296" s="680" t="str">
        <f>IF(L296=0,"",(INDEX(AccountCodes[ACCOUNT NAME],MATCH(L296,AccountCodes[NGAS CODE],0))))</f>
        <v>Other Maintenance and Operating Expenses - Other Maintenance and Operating Expenses</v>
      </c>
      <c r="L296" s="955" t="s">
        <v>405</v>
      </c>
      <c r="M296" s="956">
        <v>200</v>
      </c>
      <c r="N296" s="956"/>
      <c r="O296" s="1017">
        <v>200120</v>
      </c>
      <c r="P296" s="987">
        <f t="shared" si="6"/>
        <v>200</v>
      </c>
    </row>
    <row r="297" spans="1:16" ht="63" hidden="1" x14ac:dyDescent="0.25">
      <c r="A297" s="958">
        <v>44804</v>
      </c>
      <c r="B297" s="959">
        <v>44804</v>
      </c>
      <c r="C297" s="960" t="s">
        <v>1898</v>
      </c>
      <c r="D297" s="494" t="s">
        <v>1881</v>
      </c>
      <c r="E297" s="995" t="s">
        <v>762</v>
      </c>
      <c r="F297" s="962" t="s">
        <v>1526</v>
      </c>
      <c r="G297" s="960"/>
      <c r="H297" s="960"/>
      <c r="I297" s="963" t="s">
        <v>1899</v>
      </c>
      <c r="J297" s="973" t="s">
        <v>1900</v>
      </c>
      <c r="K297" s="965" t="str">
        <f>IF(L297=0,"",(INDEX(AccountCodes[ACCOUNT NAME],MATCH(L297,AccountCodes[NGAS CODE],0))))</f>
        <v>Cash in Bank-Local Currency, Current Account - FO</v>
      </c>
      <c r="L297" s="966" t="s">
        <v>1566</v>
      </c>
      <c r="M297" s="967"/>
      <c r="N297" s="967">
        <v>200</v>
      </c>
      <c r="O297" s="1018"/>
      <c r="P297" s="987">
        <f t="shared" si="6"/>
        <v>0</v>
      </c>
    </row>
    <row r="298" spans="1:16" ht="78.75" hidden="1" x14ac:dyDescent="0.25">
      <c r="A298" s="541">
        <v>44804</v>
      </c>
      <c r="B298" s="720">
        <v>44804</v>
      </c>
      <c r="C298" s="494" t="s">
        <v>1901</v>
      </c>
      <c r="D298" s="960" t="s">
        <v>1881</v>
      </c>
      <c r="E298" s="995" t="s">
        <v>762</v>
      </c>
      <c r="F298" s="962" t="s">
        <v>1526</v>
      </c>
      <c r="G298" s="494"/>
      <c r="H298" s="494"/>
      <c r="I298" s="671" t="s">
        <v>1902</v>
      </c>
      <c r="J298" s="972" t="s">
        <v>1903</v>
      </c>
      <c r="K298" s="680" t="str">
        <f>IF(L298=0,"",(INDEX(AccountCodes[ACCOUNT NAME],MATCH(L298,AccountCodes[NGAS CODE],0))))</f>
        <v>Advances to Contractors</v>
      </c>
      <c r="L298" s="955" t="s">
        <v>35</v>
      </c>
      <c r="M298" s="956">
        <v>998181.31</v>
      </c>
      <c r="N298" s="956"/>
      <c r="O298" s="1017">
        <v>220076</v>
      </c>
      <c r="P298" s="987">
        <f t="shared" si="6"/>
        <v>998181.31</v>
      </c>
    </row>
    <row r="299" spans="1:16" ht="78.75" hidden="1" x14ac:dyDescent="0.25">
      <c r="A299" s="958">
        <v>44804</v>
      </c>
      <c r="B299" s="959">
        <v>44804</v>
      </c>
      <c r="C299" s="960" t="s">
        <v>1901</v>
      </c>
      <c r="D299" s="494" t="s">
        <v>1881</v>
      </c>
      <c r="E299" s="995" t="s">
        <v>762</v>
      </c>
      <c r="F299" s="962" t="s">
        <v>1526</v>
      </c>
      <c r="G299" s="960"/>
      <c r="H299" s="960"/>
      <c r="I299" s="963" t="s">
        <v>1902</v>
      </c>
      <c r="J299" s="973" t="s">
        <v>1903</v>
      </c>
      <c r="K299" s="965" t="str">
        <f>IF(L299=0,"",(INDEX(AccountCodes[ACCOUNT NAME],MATCH(L299,AccountCodes[NGAS CODE],0))))</f>
        <v>Cash in Bank-Local Currency, Current Account - FO</v>
      </c>
      <c r="L299" s="966" t="s">
        <v>1566</v>
      </c>
      <c r="M299" s="967"/>
      <c r="N299" s="967">
        <v>998181.31</v>
      </c>
      <c r="O299" s="1018"/>
      <c r="P299" s="987">
        <f t="shared" si="6"/>
        <v>0</v>
      </c>
    </row>
    <row r="300" spans="1:16" ht="63" hidden="1" x14ac:dyDescent="0.25">
      <c r="A300" s="541">
        <v>44834</v>
      </c>
      <c r="B300" s="720">
        <v>44817</v>
      </c>
      <c r="C300" s="494" t="s">
        <v>1912</v>
      </c>
      <c r="D300" s="145" t="s">
        <v>1913</v>
      </c>
      <c r="E300" s="995" t="s">
        <v>762</v>
      </c>
      <c r="F300" s="962" t="s">
        <v>1526</v>
      </c>
      <c r="G300" s="494"/>
      <c r="H300" s="494"/>
      <c r="I300" s="671" t="s">
        <v>1914</v>
      </c>
      <c r="J300" s="972" t="s">
        <v>1915</v>
      </c>
      <c r="K300" s="680" t="str">
        <f>IF(L300=0,"",(INDEX(AccountCodes[ACCOUNT NAME],MATCH(L300,AccountCodes[NGAS CODE],0))))</f>
        <v>Salaries and Wages-Regular</v>
      </c>
      <c r="L300" s="953" t="s">
        <v>162</v>
      </c>
      <c r="M300" s="956">
        <v>79449</v>
      </c>
      <c r="N300" s="956"/>
      <c r="O300" s="1017"/>
      <c r="P300" s="987">
        <f t="shared" si="6"/>
        <v>79449</v>
      </c>
    </row>
    <row r="301" spans="1:16" ht="63" hidden="1" x14ac:dyDescent="0.25">
      <c r="A301" s="958">
        <v>44834</v>
      </c>
      <c r="B301" s="959">
        <v>44817</v>
      </c>
      <c r="C301" s="960" t="s">
        <v>1912</v>
      </c>
      <c r="D301" s="145" t="s">
        <v>1913</v>
      </c>
      <c r="E301" s="995" t="s">
        <v>762</v>
      </c>
      <c r="F301" s="962" t="s">
        <v>1526</v>
      </c>
      <c r="G301" s="960"/>
      <c r="H301" s="960"/>
      <c r="I301" s="963" t="s">
        <v>1914</v>
      </c>
      <c r="J301" s="973" t="s">
        <v>1915</v>
      </c>
      <c r="K301" s="965" t="str">
        <f>IF(L301=0,"",(INDEX(AccountCodes[ACCOUNT NAME],MATCH(L301,AccountCodes[NGAS CODE],0))))</f>
        <v>Personal Economic Relief Allowance (PERA)</v>
      </c>
      <c r="L301" s="978" t="s">
        <v>164</v>
      </c>
      <c r="M301" s="967">
        <v>6000</v>
      </c>
      <c r="N301" s="967"/>
      <c r="O301" s="1018"/>
      <c r="P301" s="987">
        <f t="shared" si="6"/>
        <v>85449</v>
      </c>
    </row>
    <row r="302" spans="1:16" ht="63" hidden="1" x14ac:dyDescent="0.25">
      <c r="A302" s="541">
        <v>44834</v>
      </c>
      <c r="B302" s="720">
        <v>44817</v>
      </c>
      <c r="C302" s="494" t="s">
        <v>1912</v>
      </c>
      <c r="D302" s="145" t="s">
        <v>1913</v>
      </c>
      <c r="E302" s="995" t="s">
        <v>762</v>
      </c>
      <c r="F302" s="962" t="s">
        <v>1526</v>
      </c>
      <c r="G302" s="494"/>
      <c r="H302" s="494"/>
      <c r="I302" s="671" t="s">
        <v>1914</v>
      </c>
      <c r="J302" s="972" t="s">
        <v>1915</v>
      </c>
      <c r="K302" s="680" t="str">
        <f>IF(L302=0,"",(INDEX(AccountCodes[ACCOUNT NAME],MATCH(L302,AccountCodes[NGAS CODE],0))))</f>
        <v>Due to BIR - Compensation</v>
      </c>
      <c r="L302" s="953" t="s">
        <v>1546</v>
      </c>
      <c r="M302" s="956"/>
      <c r="N302" s="956">
        <v>1706.01</v>
      </c>
      <c r="O302" s="1017"/>
      <c r="P302" s="987">
        <f t="shared" si="6"/>
        <v>83742.990000000005</v>
      </c>
    </row>
    <row r="303" spans="1:16" ht="63" hidden="1" x14ac:dyDescent="0.25">
      <c r="A303" s="541">
        <v>44834</v>
      </c>
      <c r="B303" s="720">
        <v>44817</v>
      </c>
      <c r="C303" s="494" t="s">
        <v>1912</v>
      </c>
      <c r="D303" s="145" t="s">
        <v>1913</v>
      </c>
      <c r="E303" s="995" t="s">
        <v>762</v>
      </c>
      <c r="F303" s="962" t="s">
        <v>1526</v>
      </c>
      <c r="G303" s="494"/>
      <c r="H303" s="494"/>
      <c r="I303" s="671" t="s">
        <v>1914</v>
      </c>
      <c r="J303" s="972" t="s">
        <v>1915</v>
      </c>
      <c r="K303" s="680" t="str">
        <f>IF(L303=0,"",(INDEX(AccountCodes[ACCOUNT NAME],MATCH(L303,AccountCodes[NGAS CODE],0))))</f>
        <v>Due to GSIS - Life and Retirement Premium</v>
      </c>
      <c r="L303" s="955" t="s">
        <v>1440</v>
      </c>
      <c r="M303" s="956"/>
      <c r="N303" s="956">
        <v>7150.41</v>
      </c>
      <c r="O303" s="1017"/>
      <c r="P303" s="987">
        <f t="shared" si="6"/>
        <v>76592.58</v>
      </c>
    </row>
    <row r="304" spans="1:16" ht="63" hidden="1" x14ac:dyDescent="0.25">
      <c r="A304" s="541">
        <v>44834</v>
      </c>
      <c r="B304" s="720">
        <v>44817</v>
      </c>
      <c r="C304" s="494" t="s">
        <v>1912</v>
      </c>
      <c r="D304" s="145" t="s">
        <v>1913</v>
      </c>
      <c r="E304" s="995" t="s">
        <v>762</v>
      </c>
      <c r="F304" s="962" t="s">
        <v>1526</v>
      </c>
      <c r="G304" s="494"/>
      <c r="H304" s="494"/>
      <c r="I304" s="671" t="s">
        <v>1914</v>
      </c>
      <c r="J304" s="972" t="s">
        <v>1915</v>
      </c>
      <c r="K304" s="680" t="str">
        <f>IF(L304=0,"",(INDEX(AccountCodes[ACCOUNT NAME],MATCH(L304,AccountCodes[NGAS CODE],0))))</f>
        <v>Due to Pag-IBIG - Pag-IBIG Premium</v>
      </c>
      <c r="L304" s="955" t="s">
        <v>1444</v>
      </c>
      <c r="M304" s="956"/>
      <c r="N304" s="956">
        <v>1588.98</v>
      </c>
      <c r="O304" s="1017"/>
      <c r="P304" s="987">
        <f t="shared" si="6"/>
        <v>75003.600000000006</v>
      </c>
    </row>
    <row r="305" spans="1:16" ht="63" hidden="1" x14ac:dyDescent="0.25">
      <c r="A305" s="541">
        <v>44834</v>
      </c>
      <c r="B305" s="720">
        <v>44817</v>
      </c>
      <c r="C305" s="494" t="s">
        <v>1912</v>
      </c>
      <c r="D305" s="145" t="s">
        <v>1913</v>
      </c>
      <c r="E305" s="995" t="s">
        <v>762</v>
      </c>
      <c r="F305" s="962" t="s">
        <v>1526</v>
      </c>
      <c r="G305" s="494"/>
      <c r="H305" s="494"/>
      <c r="I305" s="671" t="s">
        <v>1914</v>
      </c>
      <c r="J305" s="972" t="s">
        <v>1915</v>
      </c>
      <c r="K305" s="680" t="str">
        <f>IF(L305=0,"",(INDEX(AccountCodes[ACCOUNT NAME],MATCH(L305,AccountCodes[NGAS CODE],0))))</f>
        <v>Due to Pag-IBIG - MP2</v>
      </c>
      <c r="L305" s="955" t="s">
        <v>1508</v>
      </c>
      <c r="M305" s="956"/>
      <c r="N305" s="956">
        <v>4000</v>
      </c>
      <c r="O305" s="1017"/>
      <c r="P305" s="987">
        <f t="shared" si="6"/>
        <v>71003.600000000006</v>
      </c>
    </row>
    <row r="306" spans="1:16" ht="63" hidden="1" x14ac:dyDescent="0.25">
      <c r="A306" s="541">
        <v>44834</v>
      </c>
      <c r="B306" s="720">
        <v>44817</v>
      </c>
      <c r="C306" s="494" t="s">
        <v>1912</v>
      </c>
      <c r="D306" s="145" t="s">
        <v>1913</v>
      </c>
      <c r="E306" s="995" t="s">
        <v>762</v>
      </c>
      <c r="F306" s="962" t="s">
        <v>1526</v>
      </c>
      <c r="G306" s="494"/>
      <c r="H306" s="494"/>
      <c r="I306" s="671" t="s">
        <v>1914</v>
      </c>
      <c r="J306" s="972" t="s">
        <v>1915</v>
      </c>
      <c r="K306" s="680" t="str">
        <f>IF(L306=0,"",(INDEX(AccountCodes[ACCOUNT NAME],MATCH(L306,AccountCodes[NGAS CODE],0))))</f>
        <v>Due to PhilHealth</v>
      </c>
      <c r="L306" s="953" t="s">
        <v>112</v>
      </c>
      <c r="M306" s="956"/>
      <c r="N306" s="956">
        <v>1588.98</v>
      </c>
      <c r="O306" s="1017"/>
      <c r="P306" s="987">
        <f t="shared" si="6"/>
        <v>69414.62</v>
      </c>
    </row>
    <row r="307" spans="1:16" ht="63" hidden="1" x14ac:dyDescent="0.25">
      <c r="A307" s="541">
        <v>44834</v>
      </c>
      <c r="B307" s="720">
        <v>44817</v>
      </c>
      <c r="C307" s="494" t="s">
        <v>1912</v>
      </c>
      <c r="D307" s="145" t="s">
        <v>1913</v>
      </c>
      <c r="E307" s="995" t="s">
        <v>762</v>
      </c>
      <c r="F307" s="962" t="s">
        <v>1526</v>
      </c>
      <c r="G307" s="494"/>
      <c r="H307" s="494"/>
      <c r="I307" s="671" t="s">
        <v>1914</v>
      </c>
      <c r="J307" s="972" t="s">
        <v>1915</v>
      </c>
      <c r="K307" s="680" t="str">
        <f>IF(L307=0,"",(INDEX(AccountCodes[ACCOUNT NAME],MATCH(L307,AccountCodes[NGAS CODE],0))))</f>
        <v>Cash in Bank-Local Currency, Current Account - FO</v>
      </c>
      <c r="L307" s="955" t="s">
        <v>1566</v>
      </c>
      <c r="M307" s="956"/>
      <c r="N307" s="956">
        <v>34707.32</v>
      </c>
      <c r="O307" s="1017"/>
      <c r="P307" s="987">
        <f t="shared" si="6"/>
        <v>34707.300000000003</v>
      </c>
    </row>
    <row r="308" spans="1:16" ht="63" hidden="1" x14ac:dyDescent="0.25">
      <c r="A308" s="541">
        <v>44834</v>
      </c>
      <c r="B308" s="720">
        <v>44831</v>
      </c>
      <c r="C308" s="494" t="s">
        <v>1916</v>
      </c>
      <c r="D308" s="960" t="s">
        <v>1913</v>
      </c>
      <c r="E308" s="995" t="s">
        <v>762</v>
      </c>
      <c r="F308" s="962" t="s">
        <v>1526</v>
      </c>
      <c r="G308" s="494"/>
      <c r="H308" s="494"/>
      <c r="I308" s="671" t="s">
        <v>1917</v>
      </c>
      <c r="J308" s="972" t="s">
        <v>1915</v>
      </c>
      <c r="K308" s="680" t="str">
        <f>IF(L308=0,"",(INDEX(AccountCodes[ACCOUNT NAME],MATCH(L308,AccountCodes[NGAS CODE],0))))</f>
        <v>Cash in Bank-Local Currency, Current Account - FO</v>
      </c>
      <c r="L308" s="953" t="s">
        <v>1566</v>
      </c>
      <c r="M308" s="956"/>
      <c r="N308" s="956">
        <v>34707.300000000003</v>
      </c>
      <c r="O308" s="1017"/>
      <c r="P308" s="987">
        <f t="shared" si="6"/>
        <v>0</v>
      </c>
    </row>
    <row r="309" spans="1:16" ht="94.5" hidden="1" x14ac:dyDescent="0.25">
      <c r="A309" s="541">
        <v>44834</v>
      </c>
      <c r="B309" s="720">
        <v>44819</v>
      </c>
      <c r="C309" s="494" t="s">
        <v>1918</v>
      </c>
      <c r="D309" s="494" t="s">
        <v>1913</v>
      </c>
      <c r="E309" s="995" t="s">
        <v>762</v>
      </c>
      <c r="F309" s="962" t="s">
        <v>1526</v>
      </c>
      <c r="G309" s="494"/>
      <c r="H309" s="494"/>
      <c r="I309" s="671" t="s">
        <v>1643</v>
      </c>
      <c r="J309" s="972" t="s">
        <v>1919</v>
      </c>
      <c r="K309" s="680" t="str">
        <f>IF(L309=0,"",(INDEX(AccountCodes[ACCOUNT NAME],MATCH(L309,AccountCodes[NGAS CODE],0))))</f>
        <v>Traveling Expenses-Local</v>
      </c>
      <c r="L309" s="953" t="s">
        <v>223</v>
      </c>
      <c r="M309" s="956">
        <v>11873.88</v>
      </c>
      <c r="N309" s="956"/>
      <c r="O309" s="984" t="s">
        <v>1921</v>
      </c>
      <c r="P309" s="987">
        <f t="shared" si="6"/>
        <v>11873.88</v>
      </c>
    </row>
    <row r="310" spans="1:16" ht="94.5" hidden="1" x14ac:dyDescent="0.25">
      <c r="A310" s="958">
        <v>44834</v>
      </c>
      <c r="B310" s="959">
        <v>44819</v>
      </c>
      <c r="C310" s="960" t="s">
        <v>1918</v>
      </c>
      <c r="D310" s="960" t="s">
        <v>1913</v>
      </c>
      <c r="E310" s="995" t="s">
        <v>762</v>
      </c>
      <c r="F310" s="962" t="s">
        <v>1526</v>
      </c>
      <c r="G310" s="960"/>
      <c r="H310" s="960"/>
      <c r="I310" s="963" t="s">
        <v>1643</v>
      </c>
      <c r="J310" s="973" t="s">
        <v>1920</v>
      </c>
      <c r="K310" s="965" t="str">
        <f>IF(L310=0,"",(INDEX(AccountCodes[ACCOUNT NAME],MATCH(L310,AccountCodes[NGAS CODE],0))))</f>
        <v>Cash in Bank-Local Currency, Current Account - FO</v>
      </c>
      <c r="L310" s="966" t="s">
        <v>1566</v>
      </c>
      <c r="M310" s="967"/>
      <c r="N310" s="967">
        <v>11873.88</v>
      </c>
      <c r="O310" s="1018"/>
      <c r="P310" s="987">
        <f t="shared" si="6"/>
        <v>0</v>
      </c>
    </row>
    <row r="311" spans="1:16" ht="94.5" hidden="1" x14ac:dyDescent="0.25">
      <c r="A311" s="541">
        <v>44834</v>
      </c>
      <c r="B311" s="720">
        <v>44819</v>
      </c>
      <c r="C311" s="494" t="s">
        <v>1922</v>
      </c>
      <c r="D311" s="494" t="s">
        <v>1913</v>
      </c>
      <c r="E311" s="995" t="s">
        <v>762</v>
      </c>
      <c r="F311" s="962" t="s">
        <v>1526</v>
      </c>
      <c r="G311" s="494"/>
      <c r="H311" s="494"/>
      <c r="I311" s="671" t="s">
        <v>1782</v>
      </c>
      <c r="J311" s="952" t="s">
        <v>1923</v>
      </c>
      <c r="K311" s="680" t="str">
        <f>IF(L311=0,"",(INDEX(AccountCodes[ACCOUNT NAME],MATCH(L311,AccountCodes[NGAS CODE],0))))</f>
        <v>Training Expenses</v>
      </c>
      <c r="L311" s="953" t="s">
        <v>224</v>
      </c>
      <c r="M311" s="956">
        <v>1989</v>
      </c>
      <c r="N311" s="956"/>
      <c r="O311" s="984" t="s">
        <v>1926</v>
      </c>
      <c r="P311" s="987">
        <f t="shared" si="6"/>
        <v>1989</v>
      </c>
    </row>
    <row r="312" spans="1:16" ht="94.5" hidden="1" x14ac:dyDescent="0.25">
      <c r="A312" s="958">
        <v>44834</v>
      </c>
      <c r="B312" s="959">
        <v>44819</v>
      </c>
      <c r="C312" s="960" t="s">
        <v>1922</v>
      </c>
      <c r="D312" s="960" t="s">
        <v>1913</v>
      </c>
      <c r="E312" s="995" t="s">
        <v>762</v>
      </c>
      <c r="F312" s="962" t="s">
        <v>1526</v>
      </c>
      <c r="G312" s="960"/>
      <c r="H312" s="960"/>
      <c r="I312" s="963" t="s">
        <v>1782</v>
      </c>
      <c r="J312" s="974" t="s">
        <v>1923</v>
      </c>
      <c r="K312" s="965" t="str">
        <f>IF(L312=0,"",(INDEX(AccountCodes[ACCOUNT NAME],MATCH(L312,AccountCodes[NGAS CODE],0))))</f>
        <v>Cash in Bank-Local Currency, Current Account - FO</v>
      </c>
      <c r="L312" s="966" t="s">
        <v>1566</v>
      </c>
      <c r="M312" s="967"/>
      <c r="N312" s="967">
        <v>1989</v>
      </c>
      <c r="O312" s="1018"/>
      <c r="P312" s="987">
        <f t="shared" si="6"/>
        <v>0</v>
      </c>
    </row>
    <row r="313" spans="1:16" ht="94.5" hidden="1" x14ac:dyDescent="0.25">
      <c r="A313" s="541">
        <v>44834</v>
      </c>
      <c r="B313" s="720">
        <v>44819</v>
      </c>
      <c r="C313" s="494" t="s">
        <v>1924</v>
      </c>
      <c r="D313" s="494" t="s">
        <v>1913</v>
      </c>
      <c r="E313" s="995" t="s">
        <v>762</v>
      </c>
      <c r="F313" s="962" t="s">
        <v>1526</v>
      </c>
      <c r="G313" s="494"/>
      <c r="H313" s="494"/>
      <c r="I313" s="671" t="s">
        <v>1643</v>
      </c>
      <c r="J313" s="952" t="s">
        <v>1925</v>
      </c>
      <c r="K313" s="680" t="str">
        <f>IF(L313=0,"",(INDEX(AccountCodes[ACCOUNT NAME],MATCH(L313,AccountCodes[NGAS CODE],0))))</f>
        <v>Traveling Expenses-Local</v>
      </c>
      <c r="L313" s="953" t="s">
        <v>223</v>
      </c>
      <c r="M313" s="956">
        <v>3080</v>
      </c>
      <c r="N313" s="956"/>
      <c r="O313" s="984" t="s">
        <v>1921</v>
      </c>
      <c r="P313" s="987">
        <f t="shared" si="6"/>
        <v>3080</v>
      </c>
    </row>
    <row r="314" spans="1:16" ht="94.5" hidden="1" x14ac:dyDescent="0.25">
      <c r="A314" s="958">
        <v>44834</v>
      </c>
      <c r="B314" s="959">
        <v>44819</v>
      </c>
      <c r="C314" s="960" t="s">
        <v>1924</v>
      </c>
      <c r="D314" s="960" t="s">
        <v>1913</v>
      </c>
      <c r="E314" s="995" t="s">
        <v>762</v>
      </c>
      <c r="F314" s="962" t="s">
        <v>1526</v>
      </c>
      <c r="G314" s="960"/>
      <c r="H314" s="960"/>
      <c r="I314" s="963" t="s">
        <v>1643</v>
      </c>
      <c r="J314" s="974" t="s">
        <v>1925</v>
      </c>
      <c r="K314" s="965" t="str">
        <f>IF(L314=0,"",(INDEX(AccountCodes[ACCOUNT NAME],MATCH(L314,AccountCodes[NGAS CODE],0))))</f>
        <v>Cash in Bank-Local Currency, Current Account - FO</v>
      </c>
      <c r="L314" s="966" t="s">
        <v>1566</v>
      </c>
      <c r="M314" s="967"/>
      <c r="N314" s="967">
        <v>3080</v>
      </c>
      <c r="O314" s="1018"/>
      <c r="P314" s="987">
        <f t="shared" si="6"/>
        <v>0</v>
      </c>
    </row>
    <row r="315" spans="1:16" ht="63" hidden="1" x14ac:dyDescent="0.25">
      <c r="A315" s="714">
        <v>44834</v>
      </c>
      <c r="B315" s="975">
        <v>44819</v>
      </c>
      <c r="C315" s="663" t="s">
        <v>1927</v>
      </c>
      <c r="D315" s="494" t="s">
        <v>1913</v>
      </c>
      <c r="E315" s="995" t="s">
        <v>762</v>
      </c>
      <c r="F315" s="962" t="s">
        <v>1526</v>
      </c>
      <c r="G315" s="663"/>
      <c r="H315" s="663"/>
      <c r="I315" s="976" t="s">
        <v>1928</v>
      </c>
      <c r="J315" s="974" t="s">
        <v>1929</v>
      </c>
      <c r="K315" s="977" t="str">
        <f>IF(L315=0,"",(INDEX(AccountCodes[ACCOUNT NAME],MATCH(L315,AccountCodes[NGAS CODE],0))))</f>
        <v>Traveling Expenses-Local</v>
      </c>
      <c r="L315" s="978" t="s">
        <v>223</v>
      </c>
      <c r="M315" s="979">
        <v>12841</v>
      </c>
      <c r="N315" s="979"/>
      <c r="O315" s="1019" t="s">
        <v>1940</v>
      </c>
      <c r="P315" s="987">
        <f t="shared" si="6"/>
        <v>12841</v>
      </c>
    </row>
    <row r="316" spans="1:16" ht="63" hidden="1" x14ac:dyDescent="0.25">
      <c r="A316" s="714">
        <v>44834</v>
      </c>
      <c r="B316" s="975">
        <v>44819</v>
      </c>
      <c r="C316" s="663" t="s">
        <v>1927</v>
      </c>
      <c r="D316" s="960" t="s">
        <v>1913</v>
      </c>
      <c r="E316" s="995" t="s">
        <v>762</v>
      </c>
      <c r="F316" s="962" t="s">
        <v>1526</v>
      </c>
      <c r="G316" s="663"/>
      <c r="H316" s="663"/>
      <c r="I316" s="976" t="s">
        <v>1928</v>
      </c>
      <c r="J316" s="974" t="s">
        <v>1929</v>
      </c>
      <c r="K316" s="977" t="str">
        <f>IF(L316=0,"",(INDEX(AccountCodes[ACCOUNT NAME],MATCH(L316,AccountCodes[NGAS CODE],0))))</f>
        <v>Cash in Bank-Local Currency, Current Account - FO</v>
      </c>
      <c r="L316" s="978" t="s">
        <v>1566</v>
      </c>
      <c r="M316" s="979"/>
      <c r="N316" s="979">
        <v>12841</v>
      </c>
      <c r="O316" s="1019"/>
      <c r="P316" s="987">
        <f t="shared" si="6"/>
        <v>0</v>
      </c>
    </row>
    <row r="317" spans="1:16" ht="47.25" x14ac:dyDescent="0.25">
      <c r="A317" s="958">
        <v>44834</v>
      </c>
      <c r="B317" s="959">
        <v>44819</v>
      </c>
      <c r="C317" s="960" t="s">
        <v>1930</v>
      </c>
      <c r="D317" s="960" t="s">
        <v>1913</v>
      </c>
      <c r="E317" s="995" t="s">
        <v>762</v>
      </c>
      <c r="F317" s="962" t="s">
        <v>1526</v>
      </c>
      <c r="G317" s="960"/>
      <c r="H317" s="960"/>
      <c r="I317" s="963" t="s">
        <v>1723</v>
      </c>
      <c r="J317" s="981" t="s">
        <v>1931</v>
      </c>
      <c r="K317" s="965" t="str">
        <f>IF(L317=0,"",(INDEX(AccountCodes[ACCOUNT NAME],MATCH(L317,AccountCodes[NGAS CODE],0))))</f>
        <v>Semi-Expendable Information and Communications Technology Equipment</v>
      </c>
      <c r="L317" s="978" t="s">
        <v>1246</v>
      </c>
      <c r="M317" s="967">
        <v>33500</v>
      </c>
      <c r="N317" s="967"/>
      <c r="O317" s="1019" t="s">
        <v>1941</v>
      </c>
      <c r="P317" s="987">
        <f t="shared" si="6"/>
        <v>33500</v>
      </c>
    </row>
    <row r="318" spans="1:16" ht="47.25" hidden="1" x14ac:dyDescent="0.25">
      <c r="A318" s="541">
        <v>44834</v>
      </c>
      <c r="B318" s="720">
        <v>44819</v>
      </c>
      <c r="C318" s="494" t="s">
        <v>1930</v>
      </c>
      <c r="D318" s="960" t="s">
        <v>1913</v>
      </c>
      <c r="E318" s="995" t="s">
        <v>762</v>
      </c>
      <c r="F318" s="962" t="s">
        <v>1526</v>
      </c>
      <c r="G318" s="494"/>
      <c r="H318" s="494"/>
      <c r="I318" s="671" t="s">
        <v>1723</v>
      </c>
      <c r="J318" s="980" t="s">
        <v>1931</v>
      </c>
      <c r="K318" s="680" t="str">
        <f>IF(L318=0,"",(INDEX(AccountCodes[ACCOUNT NAME],MATCH(L318,AccountCodes[NGAS CODE],0))))</f>
        <v>Due to BIR - 1%</v>
      </c>
      <c r="L318" s="955" t="s">
        <v>1554</v>
      </c>
      <c r="M318" s="956"/>
      <c r="N318" s="956">
        <v>299.11</v>
      </c>
      <c r="O318" s="1017"/>
      <c r="P318" s="987">
        <f t="shared" si="6"/>
        <v>33200.89</v>
      </c>
    </row>
    <row r="319" spans="1:16" ht="47.25" hidden="1" x14ac:dyDescent="0.25">
      <c r="A319" s="541">
        <v>44834</v>
      </c>
      <c r="B319" s="720">
        <v>44819</v>
      </c>
      <c r="C319" s="494" t="s">
        <v>1930</v>
      </c>
      <c r="D319" s="960" t="s">
        <v>1913</v>
      </c>
      <c r="E319" s="995" t="s">
        <v>762</v>
      </c>
      <c r="F319" s="962" t="s">
        <v>1526</v>
      </c>
      <c r="G319" s="494"/>
      <c r="H319" s="494"/>
      <c r="I319" s="671" t="s">
        <v>1723</v>
      </c>
      <c r="J319" s="980" t="s">
        <v>1931</v>
      </c>
      <c r="K319" s="680" t="str">
        <f>IF(L319=0,"",(INDEX(AccountCodes[ACCOUNT NAME],MATCH(L319,AccountCodes[NGAS CODE],0))))</f>
        <v>Due to BIR - 5%</v>
      </c>
      <c r="L319" s="955" t="s">
        <v>1548</v>
      </c>
      <c r="M319" s="956"/>
      <c r="N319" s="956">
        <v>1495.54</v>
      </c>
      <c r="O319" s="1017"/>
      <c r="P319" s="987">
        <f t="shared" si="6"/>
        <v>31705.35</v>
      </c>
    </row>
    <row r="320" spans="1:16" ht="47.25" hidden="1" x14ac:dyDescent="0.25">
      <c r="A320" s="541">
        <v>44834</v>
      </c>
      <c r="B320" s="720">
        <v>44819</v>
      </c>
      <c r="C320" s="494" t="s">
        <v>1930</v>
      </c>
      <c r="D320" s="960" t="s">
        <v>1913</v>
      </c>
      <c r="E320" s="995" t="s">
        <v>762</v>
      </c>
      <c r="F320" s="962" t="s">
        <v>1526</v>
      </c>
      <c r="G320" s="494"/>
      <c r="H320" s="494"/>
      <c r="I320" s="671" t="s">
        <v>1723</v>
      </c>
      <c r="J320" s="980" t="s">
        <v>1931</v>
      </c>
      <c r="K320" s="680" t="str">
        <f>IF(L320=0,"",(INDEX(AccountCodes[ACCOUNT NAME],MATCH(L320,AccountCodes[NGAS CODE],0))))</f>
        <v>Cash in Bank-Local Currency, Current Account - FO</v>
      </c>
      <c r="L320" s="955" t="s">
        <v>1566</v>
      </c>
      <c r="M320" s="956"/>
      <c r="N320" s="956">
        <v>31705.35</v>
      </c>
      <c r="O320" s="1017"/>
      <c r="P320" s="987">
        <f t="shared" si="6"/>
        <v>0</v>
      </c>
    </row>
    <row r="321" spans="1:16" ht="47.25" x14ac:dyDescent="0.25">
      <c r="A321" s="541">
        <v>44834</v>
      </c>
      <c r="B321" s="720">
        <v>44819</v>
      </c>
      <c r="C321" s="494" t="s">
        <v>1932</v>
      </c>
      <c r="D321" s="960" t="s">
        <v>1913</v>
      </c>
      <c r="E321" s="995" t="s">
        <v>762</v>
      </c>
      <c r="F321" s="962" t="s">
        <v>1526</v>
      </c>
      <c r="G321" s="494"/>
      <c r="H321" s="494"/>
      <c r="I321" s="671" t="s">
        <v>1933</v>
      </c>
      <c r="J321" s="980" t="s">
        <v>1934</v>
      </c>
      <c r="K321" s="680" t="str">
        <f>IF(L321=0,"",(INDEX(AccountCodes[ACCOUNT NAME],MATCH(L321,AccountCodes[NGAS CODE],0))))</f>
        <v>Semi-Expendable Furniture and Fixtures</v>
      </c>
      <c r="L321" s="953" t="s">
        <v>1438</v>
      </c>
      <c r="M321" s="956">
        <v>8398</v>
      </c>
      <c r="N321" s="956"/>
      <c r="O321" s="984" t="s">
        <v>1939</v>
      </c>
      <c r="P321" s="987">
        <f t="shared" si="6"/>
        <v>8398</v>
      </c>
    </row>
    <row r="322" spans="1:16" ht="47.25" hidden="1" x14ac:dyDescent="0.25">
      <c r="A322" s="958">
        <v>44834</v>
      </c>
      <c r="B322" s="959">
        <v>44819</v>
      </c>
      <c r="C322" s="960" t="s">
        <v>1932</v>
      </c>
      <c r="D322" s="960" t="s">
        <v>1913</v>
      </c>
      <c r="E322" s="995" t="s">
        <v>762</v>
      </c>
      <c r="F322" s="962" t="s">
        <v>1526</v>
      </c>
      <c r="G322" s="960"/>
      <c r="H322" s="960"/>
      <c r="I322" s="963" t="s">
        <v>1933</v>
      </c>
      <c r="J322" s="981" t="s">
        <v>1934</v>
      </c>
      <c r="K322" s="965" t="str">
        <f>IF(L322=0,"",(INDEX(AccountCodes[ACCOUNT NAME],MATCH(L322,AccountCodes[NGAS CODE],0))))</f>
        <v>Due to BIR - 1%</v>
      </c>
      <c r="L322" s="966" t="s">
        <v>1554</v>
      </c>
      <c r="M322" s="967"/>
      <c r="N322" s="967">
        <v>74.98</v>
      </c>
      <c r="O322" s="1018"/>
      <c r="P322" s="987">
        <f t="shared" si="6"/>
        <v>8323.02</v>
      </c>
    </row>
    <row r="323" spans="1:16" ht="47.25" hidden="1" x14ac:dyDescent="0.25">
      <c r="A323" s="541">
        <v>44834</v>
      </c>
      <c r="B323" s="720">
        <v>44819</v>
      </c>
      <c r="C323" s="494" t="s">
        <v>1932</v>
      </c>
      <c r="D323" s="960" t="s">
        <v>1913</v>
      </c>
      <c r="E323" s="995" t="s">
        <v>762</v>
      </c>
      <c r="F323" s="962" t="s">
        <v>1526</v>
      </c>
      <c r="G323" s="494"/>
      <c r="H323" s="494"/>
      <c r="I323" s="671" t="s">
        <v>1933</v>
      </c>
      <c r="J323" s="980" t="s">
        <v>1934</v>
      </c>
      <c r="K323" s="680" t="str">
        <f>IF(L323=0,"",(INDEX(AccountCodes[ACCOUNT NAME],MATCH(L323,AccountCodes[NGAS CODE],0))))</f>
        <v>Due to BIR - 5%</v>
      </c>
      <c r="L323" s="955" t="s">
        <v>1548</v>
      </c>
      <c r="M323" s="956"/>
      <c r="N323" s="956">
        <v>374.91</v>
      </c>
      <c r="O323" s="1017"/>
      <c r="P323" s="987">
        <f t="shared" si="6"/>
        <v>7948.11</v>
      </c>
    </row>
    <row r="324" spans="1:16" ht="47.25" hidden="1" x14ac:dyDescent="0.25">
      <c r="A324" s="958">
        <v>44834</v>
      </c>
      <c r="B324" s="959">
        <v>44819</v>
      </c>
      <c r="C324" s="960" t="s">
        <v>1932</v>
      </c>
      <c r="D324" s="960" t="s">
        <v>1913</v>
      </c>
      <c r="E324" s="995" t="s">
        <v>762</v>
      </c>
      <c r="F324" s="962" t="s">
        <v>1526</v>
      </c>
      <c r="G324" s="960"/>
      <c r="H324" s="960"/>
      <c r="I324" s="963" t="s">
        <v>1933</v>
      </c>
      <c r="J324" s="981" t="s">
        <v>1934</v>
      </c>
      <c r="K324" s="965" t="str">
        <f>IF(L324=0,"",(INDEX(AccountCodes[ACCOUNT NAME],MATCH(L324,AccountCodes[NGAS CODE],0))))</f>
        <v>Cash in Bank-Local Currency, Current Account - FO</v>
      </c>
      <c r="L324" s="966" t="s">
        <v>1566</v>
      </c>
      <c r="M324" s="967"/>
      <c r="N324" s="967">
        <v>7948.11</v>
      </c>
      <c r="O324" s="1018"/>
      <c r="P324" s="987">
        <f t="shared" si="6"/>
        <v>0</v>
      </c>
    </row>
    <row r="325" spans="1:16" ht="78.75" hidden="1" x14ac:dyDescent="0.25">
      <c r="A325" s="958">
        <v>44834</v>
      </c>
      <c r="B325" s="959">
        <v>44823</v>
      </c>
      <c r="C325" s="960" t="s">
        <v>1935</v>
      </c>
      <c r="D325" s="960" t="s">
        <v>1913</v>
      </c>
      <c r="E325" s="995" t="s">
        <v>762</v>
      </c>
      <c r="F325" s="962" t="s">
        <v>1526</v>
      </c>
      <c r="G325" s="960"/>
      <c r="H325" s="960"/>
      <c r="I325" s="963" t="s">
        <v>1638</v>
      </c>
      <c r="J325" s="981" t="s">
        <v>1936</v>
      </c>
      <c r="K325" s="965" t="str">
        <f>IF(L325=0,"",(INDEX(AccountCodes[ACCOUNT NAME],MATCH(L325,AccountCodes[NGAS CODE],0))))</f>
        <v>Due to BIR - Compensation</v>
      </c>
      <c r="L325" s="978" t="s">
        <v>1546</v>
      </c>
      <c r="M325" s="967">
        <v>1706.01</v>
      </c>
      <c r="N325" s="967"/>
      <c r="O325" s="1018"/>
      <c r="P325" s="987">
        <f t="shared" si="6"/>
        <v>1706.01</v>
      </c>
    </row>
    <row r="326" spans="1:16" ht="78.75" hidden="1" x14ac:dyDescent="0.25">
      <c r="A326" s="541">
        <v>44834</v>
      </c>
      <c r="B326" s="720">
        <v>44823</v>
      </c>
      <c r="C326" s="494" t="s">
        <v>1935</v>
      </c>
      <c r="D326" s="494" t="s">
        <v>1913</v>
      </c>
      <c r="E326" s="996" t="s">
        <v>762</v>
      </c>
      <c r="F326" s="495" t="s">
        <v>1526</v>
      </c>
      <c r="G326" s="494"/>
      <c r="H326" s="494"/>
      <c r="I326" s="671" t="s">
        <v>1638</v>
      </c>
      <c r="J326" s="980" t="s">
        <v>1936</v>
      </c>
      <c r="K326" s="680" t="str">
        <f>IF(L326=0,"",(INDEX(AccountCodes[ACCOUNT NAME],MATCH(L326,AccountCodes[NGAS CODE],0))))</f>
        <v>Cash in Bank-Local Currency, Current Account - FO</v>
      </c>
      <c r="L326" s="955" t="s">
        <v>1566</v>
      </c>
      <c r="M326" s="956"/>
      <c r="N326" s="956">
        <v>1706.01</v>
      </c>
      <c r="O326" s="1017"/>
      <c r="P326" s="987">
        <f t="shared" si="6"/>
        <v>0</v>
      </c>
    </row>
    <row r="327" spans="1:16" ht="78.75" hidden="1" x14ac:dyDescent="0.25">
      <c r="A327" s="541">
        <v>44834</v>
      </c>
      <c r="B327" s="720">
        <v>44823</v>
      </c>
      <c r="C327" s="494" t="s">
        <v>1937</v>
      </c>
      <c r="D327" s="960" t="s">
        <v>1913</v>
      </c>
      <c r="E327" s="995" t="s">
        <v>762</v>
      </c>
      <c r="F327" s="962" t="s">
        <v>1526</v>
      </c>
      <c r="G327" s="494"/>
      <c r="H327" s="494"/>
      <c r="I327" s="671" t="s">
        <v>1639</v>
      </c>
      <c r="J327" s="980" t="s">
        <v>1938</v>
      </c>
      <c r="K327" s="680" t="str">
        <f>IF(L327=0,"",(INDEX(AccountCodes[ACCOUNT NAME],MATCH(L327,AccountCodes[NGAS CODE],0))))</f>
        <v>Due to Pag-IBIG - MP2</v>
      </c>
      <c r="L327" s="955" t="s">
        <v>1508</v>
      </c>
      <c r="M327" s="956">
        <v>4000</v>
      </c>
      <c r="N327" s="956"/>
      <c r="O327" s="1017"/>
      <c r="P327" s="987">
        <f t="shared" si="6"/>
        <v>4000</v>
      </c>
    </row>
    <row r="328" spans="1:16" ht="78.75" hidden="1" x14ac:dyDescent="0.25">
      <c r="A328" s="958">
        <v>44834</v>
      </c>
      <c r="B328" s="959">
        <v>44823</v>
      </c>
      <c r="C328" s="960" t="s">
        <v>1937</v>
      </c>
      <c r="D328" s="494" t="s">
        <v>1913</v>
      </c>
      <c r="E328" s="996" t="s">
        <v>762</v>
      </c>
      <c r="F328" s="495" t="s">
        <v>1526</v>
      </c>
      <c r="G328" s="960"/>
      <c r="H328" s="960"/>
      <c r="I328" s="963" t="s">
        <v>1639</v>
      </c>
      <c r="J328" s="981" t="s">
        <v>1938</v>
      </c>
      <c r="K328" s="965" t="str">
        <f>IF(L328=0,"",(INDEX(AccountCodes[ACCOUNT NAME],MATCH(L328,AccountCodes[NGAS CODE],0))))</f>
        <v>Cash in Bank-Local Currency, Current Account - FO</v>
      </c>
      <c r="L328" s="966" t="s">
        <v>1566</v>
      </c>
      <c r="M328" s="967"/>
      <c r="N328" s="967">
        <v>4000</v>
      </c>
      <c r="O328" s="1018"/>
      <c r="P328" s="987">
        <f t="shared" si="6"/>
        <v>0</v>
      </c>
    </row>
    <row r="329" spans="1:16" ht="47.25" hidden="1" x14ac:dyDescent="0.25">
      <c r="A329" s="541">
        <v>44834</v>
      </c>
      <c r="B329" s="720">
        <v>44823</v>
      </c>
      <c r="C329" s="494" t="s">
        <v>1942</v>
      </c>
      <c r="D329" s="494" t="s">
        <v>1913</v>
      </c>
      <c r="E329" s="996" t="s">
        <v>762</v>
      </c>
      <c r="F329" s="495" t="s">
        <v>1526</v>
      </c>
      <c r="G329" s="494"/>
      <c r="H329" s="494"/>
      <c r="I329" s="671" t="s">
        <v>1943</v>
      </c>
      <c r="J329" s="980" t="s">
        <v>1944</v>
      </c>
      <c r="K329" s="680" t="str">
        <f>IF(L329=0,"",(INDEX(AccountCodes[ACCOUNT NAME],MATCH(L329,AccountCodes[NGAS CODE],0))))</f>
        <v>Information and Communications Technology Equipment</v>
      </c>
      <c r="L329" s="953" t="s">
        <v>44</v>
      </c>
      <c r="M329" s="956">
        <v>147000</v>
      </c>
      <c r="N329" s="956"/>
      <c r="O329" s="984" t="s">
        <v>1945</v>
      </c>
      <c r="P329" s="987">
        <f t="shared" si="6"/>
        <v>147000</v>
      </c>
    </row>
    <row r="330" spans="1:16" ht="47.25" hidden="1" x14ac:dyDescent="0.25">
      <c r="A330" s="958">
        <v>44834</v>
      </c>
      <c r="B330" s="959">
        <v>44823</v>
      </c>
      <c r="C330" s="960" t="s">
        <v>1942</v>
      </c>
      <c r="D330" s="960" t="s">
        <v>1913</v>
      </c>
      <c r="E330" s="995" t="s">
        <v>762</v>
      </c>
      <c r="F330" s="962" t="s">
        <v>1526</v>
      </c>
      <c r="G330" s="960"/>
      <c r="H330" s="960"/>
      <c r="I330" s="963" t="s">
        <v>1943</v>
      </c>
      <c r="J330" s="981" t="s">
        <v>1944</v>
      </c>
      <c r="K330" s="965" t="str">
        <f>IF(L330=0,"",(INDEX(AccountCodes[ACCOUNT NAME],MATCH(L330,AccountCodes[NGAS CODE],0))))</f>
        <v>Due to BIR - 1%</v>
      </c>
      <c r="L330" s="966" t="s">
        <v>1554</v>
      </c>
      <c r="M330" s="967"/>
      <c r="N330" s="967">
        <v>1312.5</v>
      </c>
      <c r="O330" s="1018"/>
      <c r="P330" s="987">
        <f t="shared" si="6"/>
        <v>145687.5</v>
      </c>
    </row>
    <row r="331" spans="1:16" ht="47.25" hidden="1" x14ac:dyDescent="0.25">
      <c r="A331" s="541">
        <v>44834</v>
      </c>
      <c r="B331" s="720">
        <v>44823</v>
      </c>
      <c r="C331" s="494" t="s">
        <v>1942</v>
      </c>
      <c r="D331" s="494" t="s">
        <v>1913</v>
      </c>
      <c r="E331" s="996" t="s">
        <v>762</v>
      </c>
      <c r="F331" s="495" t="s">
        <v>1526</v>
      </c>
      <c r="G331" s="494"/>
      <c r="H331" s="494"/>
      <c r="I331" s="671" t="s">
        <v>1943</v>
      </c>
      <c r="J331" s="980" t="s">
        <v>1944</v>
      </c>
      <c r="K331" s="680" t="str">
        <f>IF(L331=0,"",(INDEX(AccountCodes[ACCOUNT NAME],MATCH(L331,AccountCodes[NGAS CODE],0))))</f>
        <v>Due to BIR - 5%</v>
      </c>
      <c r="L331" s="955" t="s">
        <v>1548</v>
      </c>
      <c r="M331" s="956"/>
      <c r="N331" s="956">
        <v>6562.5</v>
      </c>
      <c r="O331" s="1017"/>
      <c r="P331" s="987">
        <f t="shared" si="6"/>
        <v>139125</v>
      </c>
    </row>
    <row r="332" spans="1:16" ht="47.25" hidden="1" x14ac:dyDescent="0.25">
      <c r="A332" s="958">
        <v>44834</v>
      </c>
      <c r="B332" s="959">
        <v>44823</v>
      </c>
      <c r="C332" s="960" t="s">
        <v>1942</v>
      </c>
      <c r="D332" s="960" t="s">
        <v>1913</v>
      </c>
      <c r="E332" s="995" t="s">
        <v>762</v>
      </c>
      <c r="F332" s="962" t="s">
        <v>1526</v>
      </c>
      <c r="G332" s="960"/>
      <c r="H332" s="960"/>
      <c r="I332" s="963" t="s">
        <v>1943</v>
      </c>
      <c r="J332" s="981" t="s">
        <v>1944</v>
      </c>
      <c r="K332" s="965" t="str">
        <f>IF(L332=0,"",(INDEX(AccountCodes[ACCOUNT NAME],MATCH(L332,AccountCodes[NGAS CODE],0))))</f>
        <v>Cash in Bank-Local Currency, Current Account - FO</v>
      </c>
      <c r="L332" s="966" t="s">
        <v>1566</v>
      </c>
      <c r="M332" s="967"/>
      <c r="N332" s="967">
        <v>139125</v>
      </c>
      <c r="O332" s="1018"/>
      <c r="P332" s="987">
        <f t="shared" si="6"/>
        <v>0</v>
      </c>
    </row>
    <row r="333" spans="1:16" ht="31.5" hidden="1" x14ac:dyDescent="0.25">
      <c r="A333" s="541">
        <v>44834</v>
      </c>
      <c r="B333" s="720">
        <v>44823</v>
      </c>
      <c r="C333" s="494" t="s">
        <v>1946</v>
      </c>
      <c r="D333" s="494" t="s">
        <v>1913</v>
      </c>
      <c r="E333" s="996" t="s">
        <v>762</v>
      </c>
      <c r="F333" s="495" t="s">
        <v>1526</v>
      </c>
      <c r="G333" s="494"/>
      <c r="H333" s="494"/>
      <c r="I333" s="671" t="s">
        <v>1947</v>
      </c>
      <c r="J333" s="980" t="s">
        <v>1948</v>
      </c>
      <c r="K333" s="680" t="str">
        <f>IF(L333=0,"",(INDEX(AccountCodes[ACCOUNT NAME],MATCH(L333,AccountCodes[NGAS CODE],0))))</f>
        <v>Office Supplies Inventory</v>
      </c>
      <c r="L333" s="953" t="s">
        <v>30</v>
      </c>
      <c r="M333" s="956">
        <v>34275</v>
      </c>
      <c r="N333" s="956"/>
      <c r="O333" s="1017" t="s">
        <v>1965</v>
      </c>
      <c r="P333" s="987">
        <f t="shared" si="6"/>
        <v>34275</v>
      </c>
    </row>
    <row r="334" spans="1:16" ht="31.5" hidden="1" x14ac:dyDescent="0.25">
      <c r="A334" s="958">
        <v>44834</v>
      </c>
      <c r="B334" s="959">
        <v>44823</v>
      </c>
      <c r="C334" s="960" t="s">
        <v>1946</v>
      </c>
      <c r="D334" s="960" t="s">
        <v>1913</v>
      </c>
      <c r="E334" s="995" t="s">
        <v>762</v>
      </c>
      <c r="F334" s="962" t="s">
        <v>1526</v>
      </c>
      <c r="G334" s="960"/>
      <c r="H334" s="960"/>
      <c r="I334" s="963" t="s">
        <v>1947</v>
      </c>
      <c r="J334" s="981" t="s">
        <v>1948</v>
      </c>
      <c r="K334" s="965" t="str">
        <f>IF(L334=0,"",(INDEX(AccountCodes[ACCOUNT NAME],MATCH(L334,AccountCodes[NGAS CODE],0))))</f>
        <v>Due to BIR - 1%</v>
      </c>
      <c r="L334" s="966" t="s">
        <v>1554</v>
      </c>
      <c r="M334" s="967"/>
      <c r="N334" s="967">
        <v>306.02999999999997</v>
      </c>
      <c r="O334" s="1018"/>
      <c r="P334" s="987">
        <f t="shared" si="6"/>
        <v>33968.97</v>
      </c>
    </row>
    <row r="335" spans="1:16" ht="31.5" hidden="1" x14ac:dyDescent="0.25">
      <c r="A335" s="541">
        <v>44834</v>
      </c>
      <c r="B335" s="720">
        <v>44823</v>
      </c>
      <c r="C335" s="494" t="s">
        <v>1946</v>
      </c>
      <c r="D335" s="494" t="s">
        <v>1913</v>
      </c>
      <c r="E335" s="996" t="s">
        <v>762</v>
      </c>
      <c r="F335" s="495" t="s">
        <v>1526</v>
      </c>
      <c r="G335" s="494"/>
      <c r="H335" s="494"/>
      <c r="I335" s="671" t="s">
        <v>1947</v>
      </c>
      <c r="J335" s="980" t="s">
        <v>1948</v>
      </c>
      <c r="K335" s="680" t="str">
        <f>IF(L335=0,"",(INDEX(AccountCodes[ACCOUNT NAME],MATCH(L335,AccountCodes[NGAS CODE],0))))</f>
        <v>Due to BIR - 5%</v>
      </c>
      <c r="L335" s="955" t="s">
        <v>1548</v>
      </c>
      <c r="M335" s="956"/>
      <c r="N335" s="956">
        <v>1530.13</v>
      </c>
      <c r="O335" s="1017"/>
      <c r="P335" s="987">
        <f t="shared" si="6"/>
        <v>32438.84</v>
      </c>
    </row>
    <row r="336" spans="1:16" ht="31.5" hidden="1" x14ac:dyDescent="0.25">
      <c r="A336" s="541">
        <v>44834</v>
      </c>
      <c r="B336" s="720">
        <v>44823</v>
      </c>
      <c r="C336" s="494" t="s">
        <v>1946</v>
      </c>
      <c r="D336" s="960" t="s">
        <v>1913</v>
      </c>
      <c r="E336" s="995" t="s">
        <v>762</v>
      </c>
      <c r="F336" s="962" t="s">
        <v>1526</v>
      </c>
      <c r="G336" s="494"/>
      <c r="H336" s="494"/>
      <c r="I336" s="671" t="s">
        <v>1947</v>
      </c>
      <c r="J336" s="980" t="s">
        <v>1948</v>
      </c>
      <c r="K336" s="680" t="str">
        <f>IF(L336=0,"",(INDEX(AccountCodes[ACCOUNT NAME],MATCH(L336,AccountCodes[NGAS CODE],0))))</f>
        <v>Cash in Bank-Local Currency, Current Account - FO</v>
      </c>
      <c r="L336" s="955" t="s">
        <v>1566</v>
      </c>
      <c r="M336" s="956"/>
      <c r="N336" s="956">
        <v>32438.84</v>
      </c>
      <c r="O336" s="1017"/>
      <c r="P336" s="987">
        <f t="shared" si="6"/>
        <v>0</v>
      </c>
    </row>
    <row r="337" spans="1:16" ht="63" hidden="1" x14ac:dyDescent="0.25">
      <c r="A337" s="541">
        <v>44834</v>
      </c>
      <c r="B337" s="720">
        <v>44823</v>
      </c>
      <c r="C337" s="494" t="s">
        <v>1949</v>
      </c>
      <c r="D337" s="494" t="s">
        <v>1913</v>
      </c>
      <c r="E337" s="996" t="s">
        <v>762</v>
      </c>
      <c r="F337" s="495" t="s">
        <v>1526</v>
      </c>
      <c r="G337" s="494"/>
      <c r="H337" s="494"/>
      <c r="I337" s="671" t="s">
        <v>1950</v>
      </c>
      <c r="J337" s="952" t="s">
        <v>1957</v>
      </c>
      <c r="K337" s="680" t="str">
        <f>IF(L337=0,"",(INDEX(AccountCodes[ACCOUNT NAME],MATCH(L337,AccountCodes[NGAS CODE],0))))</f>
        <v>Training Expenses</v>
      </c>
      <c r="L337" s="953" t="s">
        <v>224</v>
      </c>
      <c r="M337" s="956">
        <v>11900</v>
      </c>
      <c r="N337" s="956"/>
      <c r="O337" s="984" t="s">
        <v>1952</v>
      </c>
      <c r="P337" s="987">
        <f t="shared" si="6"/>
        <v>11900</v>
      </c>
    </row>
    <row r="338" spans="1:16" ht="63" hidden="1" x14ac:dyDescent="0.25">
      <c r="A338" s="541">
        <v>44834</v>
      </c>
      <c r="B338" s="720">
        <v>44823</v>
      </c>
      <c r="C338" s="494" t="s">
        <v>1949</v>
      </c>
      <c r="D338" s="960" t="s">
        <v>1913</v>
      </c>
      <c r="E338" s="995" t="s">
        <v>762</v>
      </c>
      <c r="F338" s="962" t="s">
        <v>1526</v>
      </c>
      <c r="G338" s="494"/>
      <c r="H338" s="494"/>
      <c r="I338" s="671" t="s">
        <v>1950</v>
      </c>
      <c r="J338" s="952" t="s">
        <v>1957</v>
      </c>
      <c r="K338" s="680" t="str">
        <f>IF(L338=0,"",(INDEX(AccountCodes[ACCOUNT NAME],MATCH(L338,AccountCodes[NGAS CODE],0))))</f>
        <v>Due to BIR - 1%</v>
      </c>
      <c r="L338" s="955" t="s">
        <v>1554</v>
      </c>
      <c r="M338" s="956"/>
      <c r="N338" s="956">
        <v>119</v>
      </c>
      <c r="O338" s="1017"/>
      <c r="P338" s="987">
        <f t="shared" si="6"/>
        <v>11781</v>
      </c>
    </row>
    <row r="339" spans="1:16" ht="63" hidden="1" x14ac:dyDescent="0.25">
      <c r="A339" s="541">
        <v>44834</v>
      </c>
      <c r="B339" s="720">
        <v>44823</v>
      </c>
      <c r="C339" s="494" t="s">
        <v>1949</v>
      </c>
      <c r="D339" s="494" t="s">
        <v>1913</v>
      </c>
      <c r="E339" s="996" t="s">
        <v>762</v>
      </c>
      <c r="F339" s="495" t="s">
        <v>1526</v>
      </c>
      <c r="G339" s="494"/>
      <c r="H339" s="494"/>
      <c r="I339" s="671" t="s">
        <v>1950</v>
      </c>
      <c r="J339" s="952" t="s">
        <v>1957</v>
      </c>
      <c r="K339" s="680" t="str">
        <f>IF(L339=0,"",(INDEX(AccountCodes[ACCOUNT NAME],MATCH(L339,AccountCodes[NGAS CODE],0))))</f>
        <v>Due to BIR - 2%</v>
      </c>
      <c r="L339" s="955" t="s">
        <v>1550</v>
      </c>
      <c r="M339" s="956"/>
      <c r="N339" s="956">
        <v>238</v>
      </c>
      <c r="O339" s="1017"/>
      <c r="P339" s="987">
        <f t="shared" si="6"/>
        <v>11543</v>
      </c>
    </row>
    <row r="340" spans="1:16" ht="63" hidden="1" x14ac:dyDescent="0.25">
      <c r="A340" s="541">
        <v>44834</v>
      </c>
      <c r="B340" s="720">
        <v>44823</v>
      </c>
      <c r="C340" s="494" t="s">
        <v>1949</v>
      </c>
      <c r="D340" s="960" t="s">
        <v>1913</v>
      </c>
      <c r="E340" s="995" t="s">
        <v>762</v>
      </c>
      <c r="F340" s="962" t="s">
        <v>1526</v>
      </c>
      <c r="G340" s="494"/>
      <c r="H340" s="494"/>
      <c r="I340" s="671" t="s">
        <v>1950</v>
      </c>
      <c r="J340" s="952" t="s">
        <v>1957</v>
      </c>
      <c r="K340" s="680" t="str">
        <f>IF(L340=0,"",(INDEX(AccountCodes[ACCOUNT NAME],MATCH(L340,AccountCodes[NGAS CODE],0))))</f>
        <v>Cash in Bank-Local Currency, Current Account - FO</v>
      </c>
      <c r="L340" s="955" t="s">
        <v>1566</v>
      </c>
      <c r="M340" s="956"/>
      <c r="N340" s="956">
        <v>11543</v>
      </c>
      <c r="O340" s="1017"/>
      <c r="P340" s="987">
        <f t="shared" si="6"/>
        <v>0</v>
      </c>
    </row>
    <row r="341" spans="1:16" ht="78.75" hidden="1" x14ac:dyDescent="0.25">
      <c r="A341" s="541">
        <v>44834</v>
      </c>
      <c r="B341" s="720">
        <v>44823</v>
      </c>
      <c r="C341" s="494" t="s">
        <v>1951</v>
      </c>
      <c r="D341" s="960" t="s">
        <v>1913</v>
      </c>
      <c r="E341" s="995" t="s">
        <v>762</v>
      </c>
      <c r="F341" s="962" t="s">
        <v>1526</v>
      </c>
      <c r="G341" s="494"/>
      <c r="H341" s="494"/>
      <c r="I341" s="671" t="s">
        <v>1664</v>
      </c>
      <c r="J341" s="952" t="s">
        <v>1956</v>
      </c>
      <c r="K341" s="680" t="str">
        <f>IF(L341=0,"",(INDEX(AccountCodes[ACCOUNT NAME],MATCH(L341,AccountCodes[NGAS CODE],0))))</f>
        <v>Training Expenses</v>
      </c>
      <c r="L341" s="953" t="s">
        <v>224</v>
      </c>
      <c r="M341" s="956">
        <v>12075</v>
      </c>
      <c r="N341" s="956"/>
      <c r="O341" s="984" t="s">
        <v>1953</v>
      </c>
      <c r="P341" s="987">
        <f t="shared" si="6"/>
        <v>12075</v>
      </c>
    </row>
    <row r="342" spans="1:16" ht="78.75" hidden="1" x14ac:dyDescent="0.25">
      <c r="A342" s="541">
        <v>44834</v>
      </c>
      <c r="B342" s="720">
        <v>44823</v>
      </c>
      <c r="C342" s="494" t="s">
        <v>1951</v>
      </c>
      <c r="D342" s="494" t="s">
        <v>1913</v>
      </c>
      <c r="E342" s="996" t="s">
        <v>762</v>
      </c>
      <c r="F342" s="495" t="s">
        <v>1526</v>
      </c>
      <c r="G342" s="494"/>
      <c r="H342" s="494"/>
      <c r="I342" s="671" t="s">
        <v>1664</v>
      </c>
      <c r="J342" s="952" t="s">
        <v>1956</v>
      </c>
      <c r="K342" s="680" t="str">
        <f>IF(L342=0,"",(INDEX(AccountCodes[ACCOUNT NAME],MATCH(L342,AccountCodes[NGAS CODE],0))))</f>
        <v>Due to BIR - 2%</v>
      </c>
      <c r="L342" s="955" t="s">
        <v>1550</v>
      </c>
      <c r="M342" s="956"/>
      <c r="N342" s="956">
        <v>215.63</v>
      </c>
      <c r="O342" s="1017"/>
      <c r="P342" s="987">
        <f t="shared" si="6"/>
        <v>11859.37</v>
      </c>
    </row>
    <row r="343" spans="1:16" ht="78.75" hidden="1" x14ac:dyDescent="0.25">
      <c r="A343" s="958">
        <v>44834</v>
      </c>
      <c r="B343" s="959">
        <v>44823</v>
      </c>
      <c r="C343" s="960" t="s">
        <v>1951</v>
      </c>
      <c r="D343" s="960" t="s">
        <v>1913</v>
      </c>
      <c r="E343" s="995" t="s">
        <v>762</v>
      </c>
      <c r="F343" s="962" t="s">
        <v>1526</v>
      </c>
      <c r="G343" s="960"/>
      <c r="H343" s="960"/>
      <c r="I343" s="963" t="s">
        <v>1664</v>
      </c>
      <c r="J343" s="952" t="s">
        <v>1956</v>
      </c>
      <c r="K343" s="965" t="str">
        <f>IF(L343=0,"",(INDEX(AccountCodes[ACCOUNT NAME],MATCH(L343,AccountCodes[NGAS CODE],0))))</f>
        <v>Due to BIR - 5%</v>
      </c>
      <c r="L343" s="966" t="s">
        <v>1548</v>
      </c>
      <c r="M343" s="967"/>
      <c r="N343" s="967">
        <v>539.05999999999995</v>
      </c>
      <c r="O343" s="1018"/>
      <c r="P343" s="987">
        <f t="shared" si="6"/>
        <v>11320.31</v>
      </c>
    </row>
    <row r="344" spans="1:16" ht="78.75" hidden="1" x14ac:dyDescent="0.25">
      <c r="A344" s="951">
        <v>44834</v>
      </c>
      <c r="B344" s="559">
        <v>44823</v>
      </c>
      <c r="C344" s="145" t="s">
        <v>1951</v>
      </c>
      <c r="D344" s="494" t="s">
        <v>1913</v>
      </c>
      <c r="E344" s="996" t="s">
        <v>762</v>
      </c>
      <c r="F344" s="495" t="s">
        <v>1526</v>
      </c>
      <c r="G344" s="145"/>
      <c r="H344" s="145"/>
      <c r="I344" s="560" t="s">
        <v>1664</v>
      </c>
      <c r="J344" s="952" t="s">
        <v>1956</v>
      </c>
      <c r="K344" s="704" t="str">
        <f>IF(L344=0,"",(INDEX(AccountCodes[ACCOUNT NAME],MATCH(L344,AccountCodes[NGAS CODE],0))))</f>
        <v>Cash in Bank-Local Currency, Current Account - FO</v>
      </c>
      <c r="L344" s="953" t="s">
        <v>1566</v>
      </c>
      <c r="M344" s="982"/>
      <c r="N344" s="982">
        <v>11320.31</v>
      </c>
      <c r="O344" s="984"/>
      <c r="P344" s="987">
        <f t="shared" si="6"/>
        <v>0</v>
      </c>
    </row>
    <row r="345" spans="1:16" ht="47.25" hidden="1" x14ac:dyDescent="0.25">
      <c r="A345" s="714">
        <v>44834</v>
      </c>
      <c r="B345" s="975">
        <v>44823</v>
      </c>
      <c r="C345" s="663" t="s">
        <v>1954</v>
      </c>
      <c r="D345" s="960" t="s">
        <v>1913</v>
      </c>
      <c r="E345" s="995" t="s">
        <v>762</v>
      </c>
      <c r="F345" s="962" t="s">
        <v>1526</v>
      </c>
      <c r="G345" s="663"/>
      <c r="H345" s="663"/>
      <c r="I345" s="976" t="s">
        <v>1664</v>
      </c>
      <c r="J345" s="974" t="s">
        <v>1955</v>
      </c>
      <c r="K345" s="977" t="str">
        <f>IF(L345=0,"",(INDEX(AccountCodes[ACCOUNT NAME],MATCH(L345,AccountCodes[NGAS CODE],0))))</f>
        <v>Training Expenses</v>
      </c>
      <c r="L345" s="978" t="s">
        <v>224</v>
      </c>
      <c r="M345" s="979">
        <v>10350</v>
      </c>
      <c r="N345" s="979"/>
      <c r="O345" s="1019" t="s">
        <v>1953</v>
      </c>
      <c r="P345" s="987">
        <f t="shared" si="6"/>
        <v>10350</v>
      </c>
    </row>
    <row r="346" spans="1:16" ht="47.25" hidden="1" x14ac:dyDescent="0.25">
      <c r="A346" s="541">
        <v>44834</v>
      </c>
      <c r="B346" s="720">
        <v>44823</v>
      </c>
      <c r="C346" s="494" t="s">
        <v>1954</v>
      </c>
      <c r="D346" s="494" t="s">
        <v>1913</v>
      </c>
      <c r="E346" s="996" t="s">
        <v>762</v>
      </c>
      <c r="F346" s="495" t="s">
        <v>1526</v>
      </c>
      <c r="G346" s="494"/>
      <c r="H346" s="494"/>
      <c r="I346" s="671" t="s">
        <v>1664</v>
      </c>
      <c r="J346" s="974" t="s">
        <v>1955</v>
      </c>
      <c r="K346" s="680" t="str">
        <f>IF(L346=0,"",(INDEX(AccountCodes[ACCOUNT NAME],MATCH(L346,AccountCodes[NGAS CODE],0))))</f>
        <v>Due to BIR - 2%</v>
      </c>
      <c r="L346" s="955" t="s">
        <v>1550</v>
      </c>
      <c r="M346" s="956"/>
      <c r="N346" s="956">
        <v>184.82</v>
      </c>
      <c r="O346" s="984"/>
      <c r="P346" s="987">
        <f t="shared" si="6"/>
        <v>10165.18</v>
      </c>
    </row>
    <row r="347" spans="1:16" ht="47.25" hidden="1" x14ac:dyDescent="0.25">
      <c r="A347" s="541">
        <v>44834</v>
      </c>
      <c r="B347" s="720">
        <v>44823</v>
      </c>
      <c r="C347" s="494" t="s">
        <v>1954</v>
      </c>
      <c r="D347" s="494" t="s">
        <v>1913</v>
      </c>
      <c r="E347" s="995" t="s">
        <v>762</v>
      </c>
      <c r="F347" s="962" t="s">
        <v>1526</v>
      </c>
      <c r="G347" s="494"/>
      <c r="H347" s="494"/>
      <c r="I347" s="671" t="s">
        <v>1664</v>
      </c>
      <c r="J347" s="974" t="s">
        <v>1955</v>
      </c>
      <c r="K347" s="680" t="str">
        <f>IF(L347=0,"",(INDEX(AccountCodes[ACCOUNT NAME],MATCH(L347,AccountCodes[NGAS CODE],0))))</f>
        <v>Due to BIR - 5%</v>
      </c>
      <c r="L347" s="955" t="s">
        <v>1548</v>
      </c>
      <c r="M347" s="956"/>
      <c r="N347" s="956">
        <v>462.05</v>
      </c>
      <c r="O347" s="1017"/>
      <c r="P347" s="987">
        <f t="shared" si="6"/>
        <v>9703.1299999999992</v>
      </c>
    </row>
    <row r="348" spans="1:16" ht="47.25" hidden="1" x14ac:dyDescent="0.25">
      <c r="A348" s="541">
        <v>44834</v>
      </c>
      <c r="B348" s="720">
        <v>44823</v>
      </c>
      <c r="C348" s="494" t="s">
        <v>1954</v>
      </c>
      <c r="D348" s="494" t="s">
        <v>1913</v>
      </c>
      <c r="E348" s="996" t="s">
        <v>762</v>
      </c>
      <c r="F348" s="495" t="s">
        <v>1526</v>
      </c>
      <c r="G348" s="494"/>
      <c r="H348" s="494"/>
      <c r="I348" s="671" t="s">
        <v>1664</v>
      </c>
      <c r="J348" s="974" t="s">
        <v>1955</v>
      </c>
      <c r="K348" s="680" t="str">
        <f>IF(L348=0,"",(INDEX(AccountCodes[ACCOUNT NAME],MATCH(L348,AccountCodes[NGAS CODE],0))))</f>
        <v>Cash in Bank-Local Currency, Current Account - FO</v>
      </c>
      <c r="L348" s="955" t="s">
        <v>1566</v>
      </c>
      <c r="M348" s="956"/>
      <c r="N348" s="956">
        <v>9703.1299999999992</v>
      </c>
      <c r="O348" s="1017"/>
      <c r="P348" s="987">
        <f t="shared" si="6"/>
        <v>0</v>
      </c>
    </row>
    <row r="349" spans="1:16" ht="47.25" hidden="1" x14ac:dyDescent="0.25">
      <c r="A349" s="541">
        <v>44834</v>
      </c>
      <c r="B349" s="959">
        <v>44824</v>
      </c>
      <c r="C349" s="960" t="s">
        <v>1958</v>
      </c>
      <c r="D349" s="494" t="s">
        <v>1913</v>
      </c>
      <c r="E349" s="995" t="s">
        <v>762</v>
      </c>
      <c r="F349" s="962" t="s">
        <v>1526</v>
      </c>
      <c r="G349" s="960"/>
      <c r="H349" s="960"/>
      <c r="I349" s="963" t="s">
        <v>1959</v>
      </c>
      <c r="J349" s="981" t="s">
        <v>1960</v>
      </c>
      <c r="K349" s="965" t="str">
        <f>IF(L349=0,"",(INDEX(AccountCodes[ACCOUNT NAME],MATCH(L349,AccountCodes[NGAS CODE],0))))</f>
        <v>Office Equipment</v>
      </c>
      <c r="L349" s="966" t="s">
        <v>42</v>
      </c>
      <c r="M349" s="967">
        <v>125000</v>
      </c>
      <c r="N349" s="967"/>
      <c r="O349" s="1019" t="s">
        <v>1966</v>
      </c>
      <c r="P349" s="987">
        <f t="shared" si="6"/>
        <v>125000</v>
      </c>
    </row>
    <row r="350" spans="1:16" ht="47.25" hidden="1" x14ac:dyDescent="0.25">
      <c r="A350" s="541">
        <v>44834</v>
      </c>
      <c r="B350" s="720">
        <v>44824</v>
      </c>
      <c r="C350" s="494" t="s">
        <v>1958</v>
      </c>
      <c r="D350" s="494" t="s">
        <v>1913</v>
      </c>
      <c r="E350" s="996" t="s">
        <v>762</v>
      </c>
      <c r="F350" s="495" t="s">
        <v>1526</v>
      </c>
      <c r="G350" s="494"/>
      <c r="H350" s="494"/>
      <c r="I350" s="671" t="s">
        <v>1959</v>
      </c>
      <c r="J350" s="980" t="s">
        <v>1960</v>
      </c>
      <c r="K350" s="680" t="str">
        <f>IF(L350=0,"",(INDEX(AccountCodes[ACCOUNT NAME],MATCH(L350,AccountCodes[NGAS CODE],0))))</f>
        <v>Due to BIR - 1%</v>
      </c>
      <c r="L350" s="955" t="s">
        <v>1554</v>
      </c>
      <c r="M350" s="956"/>
      <c r="N350" s="956">
        <v>1116.07</v>
      </c>
      <c r="O350" s="1017"/>
      <c r="P350" s="987">
        <f t="shared" ref="P350:P414" si="7">P349+M350-N350</f>
        <v>123883.93</v>
      </c>
    </row>
    <row r="351" spans="1:16" ht="47.25" hidden="1" x14ac:dyDescent="0.25">
      <c r="A351" s="541">
        <v>44834</v>
      </c>
      <c r="B351" s="720">
        <v>44824</v>
      </c>
      <c r="C351" s="494" t="s">
        <v>1958</v>
      </c>
      <c r="D351" s="494" t="s">
        <v>1913</v>
      </c>
      <c r="E351" s="995" t="s">
        <v>762</v>
      </c>
      <c r="F351" s="962" t="s">
        <v>1526</v>
      </c>
      <c r="G351" s="494"/>
      <c r="H351" s="494"/>
      <c r="I351" s="671" t="s">
        <v>1959</v>
      </c>
      <c r="J351" s="980" t="s">
        <v>1960</v>
      </c>
      <c r="K351" s="680" t="str">
        <f>IF(L351=0,"",(INDEX(AccountCodes[ACCOUNT NAME],MATCH(L351,AccountCodes[NGAS CODE],0))))</f>
        <v>Due to BIR - 5%</v>
      </c>
      <c r="L351" s="955" t="s">
        <v>1548</v>
      </c>
      <c r="M351" s="956"/>
      <c r="N351" s="956">
        <v>5580.36</v>
      </c>
      <c r="O351" s="1017"/>
      <c r="P351" s="987">
        <f t="shared" si="7"/>
        <v>118303.57</v>
      </c>
    </row>
    <row r="352" spans="1:16" ht="47.25" hidden="1" x14ac:dyDescent="0.25">
      <c r="A352" s="541">
        <v>44834</v>
      </c>
      <c r="B352" s="959">
        <v>44824</v>
      </c>
      <c r="C352" s="960" t="s">
        <v>1958</v>
      </c>
      <c r="D352" s="494" t="s">
        <v>1913</v>
      </c>
      <c r="E352" s="996" t="s">
        <v>762</v>
      </c>
      <c r="F352" s="495" t="s">
        <v>1526</v>
      </c>
      <c r="G352" s="960"/>
      <c r="H352" s="960"/>
      <c r="I352" s="963" t="s">
        <v>1959</v>
      </c>
      <c r="J352" s="981" t="s">
        <v>1960</v>
      </c>
      <c r="K352" s="965" t="str">
        <f>IF(L352=0,"",(INDEX(AccountCodes[ACCOUNT NAME],MATCH(L352,AccountCodes[NGAS CODE],0))))</f>
        <v>Cash in Bank-Local Currency, Current Account - FO</v>
      </c>
      <c r="L352" s="966" t="s">
        <v>1566</v>
      </c>
      <c r="M352" s="967"/>
      <c r="N352" s="967">
        <v>118303.57</v>
      </c>
      <c r="O352" s="1018"/>
      <c r="P352" s="987">
        <f t="shared" si="7"/>
        <v>0</v>
      </c>
    </row>
    <row r="353" spans="1:16" ht="63" hidden="1" x14ac:dyDescent="0.25">
      <c r="A353" s="541">
        <v>44834</v>
      </c>
      <c r="B353" s="720">
        <v>44825</v>
      </c>
      <c r="C353" s="494" t="s">
        <v>1961</v>
      </c>
      <c r="D353" s="494" t="s">
        <v>1913</v>
      </c>
      <c r="E353" s="995" t="s">
        <v>762</v>
      </c>
      <c r="F353" s="962" t="s">
        <v>1526</v>
      </c>
      <c r="G353" s="494"/>
      <c r="H353" s="494"/>
      <c r="I353" s="671" t="s">
        <v>1637</v>
      </c>
      <c r="J353" s="952" t="s">
        <v>1964</v>
      </c>
      <c r="K353" s="680" t="str">
        <f>IF(L353=0,"",(INDEX(AccountCodes[ACCOUNT NAME],MATCH(L353,AccountCodes[NGAS CODE],0))))</f>
        <v>Retirement and Life Insurance Premiums</v>
      </c>
      <c r="L353" s="955" t="s">
        <v>175</v>
      </c>
      <c r="M353" s="956">
        <v>9533.8799999999992</v>
      </c>
      <c r="N353" s="956"/>
      <c r="O353" s="1017"/>
      <c r="P353" s="987">
        <f t="shared" si="7"/>
        <v>9533.8799999999992</v>
      </c>
    </row>
    <row r="354" spans="1:16" ht="63" hidden="1" x14ac:dyDescent="0.25">
      <c r="A354" s="541">
        <v>44834</v>
      </c>
      <c r="B354" s="720">
        <v>44825</v>
      </c>
      <c r="C354" s="494" t="s">
        <v>1961</v>
      </c>
      <c r="D354" s="494" t="s">
        <v>1913</v>
      </c>
      <c r="E354" s="996" t="s">
        <v>762</v>
      </c>
      <c r="F354" s="495" t="s">
        <v>1526</v>
      </c>
      <c r="G354" s="494"/>
      <c r="H354" s="494"/>
      <c r="I354" s="671" t="s">
        <v>1637</v>
      </c>
      <c r="J354" s="952" t="s">
        <v>1964</v>
      </c>
      <c r="K354" s="680" t="str">
        <f>IF(L354=0,"",(INDEX(AccountCodes[ACCOUNT NAME],MATCH(L354,AccountCodes[NGAS CODE],0))))</f>
        <v>Due to GSIS - Life and Retirement Premium</v>
      </c>
      <c r="L354" s="955" t="s">
        <v>1440</v>
      </c>
      <c r="M354" s="956">
        <v>7150.41</v>
      </c>
      <c r="N354" s="956"/>
      <c r="O354" s="1017"/>
      <c r="P354" s="987">
        <f t="shared" si="7"/>
        <v>16684.29</v>
      </c>
    </row>
    <row r="355" spans="1:16" ht="63" hidden="1" x14ac:dyDescent="0.25">
      <c r="A355" s="541">
        <v>44834</v>
      </c>
      <c r="B355" s="720">
        <v>44825</v>
      </c>
      <c r="C355" s="494" t="s">
        <v>1961</v>
      </c>
      <c r="D355" s="494" t="s">
        <v>1913</v>
      </c>
      <c r="E355" s="995" t="s">
        <v>762</v>
      </c>
      <c r="F355" s="962" t="s">
        <v>1526</v>
      </c>
      <c r="G355" s="494"/>
      <c r="H355" s="494"/>
      <c r="I355" s="671" t="s">
        <v>1637</v>
      </c>
      <c r="J355" s="952" t="s">
        <v>1964</v>
      </c>
      <c r="K355" s="680" t="str">
        <f>IF(L355=0,"",(INDEX(AccountCodes[ACCOUNT NAME],MATCH(L355,AccountCodes[NGAS CODE],0))))</f>
        <v>Employees Compensation Insurance Premiums</v>
      </c>
      <c r="L355" s="955" t="s">
        <v>178</v>
      </c>
      <c r="M355" s="956">
        <v>300</v>
      </c>
      <c r="N355" s="956"/>
      <c r="O355" s="1017"/>
      <c r="P355" s="987">
        <f t="shared" si="7"/>
        <v>16984.29</v>
      </c>
    </row>
    <row r="356" spans="1:16" ht="63" hidden="1" x14ac:dyDescent="0.25">
      <c r="A356" s="541">
        <v>44834</v>
      </c>
      <c r="B356" s="959">
        <v>44825</v>
      </c>
      <c r="C356" s="960" t="s">
        <v>1961</v>
      </c>
      <c r="D356" s="494" t="s">
        <v>1913</v>
      </c>
      <c r="E356" s="996" t="s">
        <v>762</v>
      </c>
      <c r="F356" s="495" t="s">
        <v>1526</v>
      </c>
      <c r="G356" s="960"/>
      <c r="H356" s="960"/>
      <c r="I356" s="963" t="s">
        <v>1637</v>
      </c>
      <c r="J356" s="952" t="s">
        <v>1964</v>
      </c>
      <c r="K356" s="965" t="str">
        <f>IF(L356=0,"",(INDEX(AccountCodes[ACCOUNT NAME],MATCH(L356,AccountCodes[NGAS CODE],0))))</f>
        <v>Cash in Bank-Local Currency, Current Account - FO</v>
      </c>
      <c r="L356" s="966" t="s">
        <v>1566</v>
      </c>
      <c r="M356" s="967"/>
      <c r="N356" s="967">
        <v>16984.29</v>
      </c>
      <c r="O356" s="1018"/>
      <c r="P356" s="987">
        <f t="shared" si="7"/>
        <v>0</v>
      </c>
    </row>
    <row r="357" spans="1:16" ht="63" hidden="1" x14ac:dyDescent="0.25">
      <c r="A357" s="541">
        <v>44834</v>
      </c>
      <c r="B357" s="720">
        <v>44825</v>
      </c>
      <c r="C357" s="494" t="s">
        <v>1962</v>
      </c>
      <c r="D357" s="494" t="s">
        <v>1913</v>
      </c>
      <c r="E357" s="996" t="s">
        <v>762</v>
      </c>
      <c r="F357" s="495" t="s">
        <v>1526</v>
      </c>
      <c r="G357" s="494"/>
      <c r="H357" s="494"/>
      <c r="I357" s="671" t="s">
        <v>1639</v>
      </c>
      <c r="J357" s="952" t="s">
        <v>1963</v>
      </c>
      <c r="K357" s="680" t="str">
        <f>IF(L357=0,"",(INDEX(AccountCodes[ACCOUNT NAME],MATCH(L357,AccountCodes[NGAS CODE],0))))</f>
        <v>Pag-IBIG Contributions</v>
      </c>
      <c r="L357" s="955" t="s">
        <v>176</v>
      </c>
      <c r="M357" s="956">
        <v>300</v>
      </c>
      <c r="N357" s="956"/>
      <c r="O357" s="1017"/>
      <c r="P357" s="987">
        <f t="shared" si="7"/>
        <v>300</v>
      </c>
    </row>
    <row r="358" spans="1:16" ht="63" hidden="1" x14ac:dyDescent="0.25">
      <c r="A358" s="541">
        <v>44834</v>
      </c>
      <c r="B358" s="720">
        <v>44825</v>
      </c>
      <c r="C358" s="494" t="s">
        <v>1962</v>
      </c>
      <c r="D358" s="494" t="s">
        <v>1913</v>
      </c>
      <c r="E358" s="995" t="s">
        <v>762</v>
      </c>
      <c r="F358" s="962" t="s">
        <v>1526</v>
      </c>
      <c r="G358" s="494"/>
      <c r="H358" s="494"/>
      <c r="I358" s="671" t="s">
        <v>1639</v>
      </c>
      <c r="J358" s="952" t="s">
        <v>1963</v>
      </c>
      <c r="K358" s="680" t="str">
        <f>IF(L358=0,"",(INDEX(AccountCodes[ACCOUNT NAME],MATCH(L358,AccountCodes[NGAS CODE],0))))</f>
        <v>Due to Pag-IBIG - Pag-IBIG Premium</v>
      </c>
      <c r="L358" s="955" t="s">
        <v>1444</v>
      </c>
      <c r="M358" s="956">
        <v>1588.98</v>
      </c>
      <c r="N358" s="956"/>
      <c r="O358" s="1017"/>
      <c r="P358" s="987">
        <f t="shared" si="7"/>
        <v>1888.98</v>
      </c>
    </row>
    <row r="359" spans="1:16" ht="63" hidden="1" x14ac:dyDescent="0.25">
      <c r="A359" s="541">
        <v>44834</v>
      </c>
      <c r="B359" s="959">
        <v>44825</v>
      </c>
      <c r="C359" s="960" t="s">
        <v>1962</v>
      </c>
      <c r="D359" s="494" t="s">
        <v>1913</v>
      </c>
      <c r="E359" s="996" t="s">
        <v>762</v>
      </c>
      <c r="F359" s="495" t="s">
        <v>1526</v>
      </c>
      <c r="G359" s="960"/>
      <c r="H359" s="960"/>
      <c r="I359" s="963" t="s">
        <v>1639</v>
      </c>
      <c r="J359" s="952" t="s">
        <v>1963</v>
      </c>
      <c r="K359" s="965" t="str">
        <f>IF(L359=0,"",(INDEX(AccountCodes[ACCOUNT NAME],MATCH(L359,AccountCodes[NGAS CODE],0))))</f>
        <v>Cash in Bank-Local Currency, Current Account - FO</v>
      </c>
      <c r="L359" s="966" t="s">
        <v>1566</v>
      </c>
      <c r="M359" s="967"/>
      <c r="N359" s="967">
        <v>1888.98</v>
      </c>
      <c r="O359" s="1018"/>
      <c r="P359" s="987">
        <f t="shared" si="7"/>
        <v>0</v>
      </c>
    </row>
    <row r="360" spans="1:16" ht="47.25" hidden="1" x14ac:dyDescent="0.25">
      <c r="A360" s="541">
        <v>44834</v>
      </c>
      <c r="B360" s="720">
        <v>44831</v>
      </c>
      <c r="C360" s="494" t="s">
        <v>1967</v>
      </c>
      <c r="D360" s="494" t="s">
        <v>1913</v>
      </c>
      <c r="E360" s="996" t="s">
        <v>762</v>
      </c>
      <c r="F360" s="495" t="s">
        <v>1526</v>
      </c>
      <c r="G360" s="494"/>
      <c r="H360" s="494"/>
      <c r="I360" s="671" t="s">
        <v>1636</v>
      </c>
      <c r="J360" s="952" t="s">
        <v>1968</v>
      </c>
      <c r="K360" s="680" t="str">
        <f>IF(L360=0,"",(INDEX(AccountCodes[ACCOUNT NAME],MATCH(L360,AccountCodes[NGAS CODE],0))))</f>
        <v>PhilHealth Contributions</v>
      </c>
      <c r="L360" s="955" t="s">
        <v>177</v>
      </c>
      <c r="M360" s="956">
        <v>1588.98</v>
      </c>
      <c r="N360" s="956"/>
      <c r="O360" s="1017"/>
      <c r="P360" s="987">
        <f t="shared" si="7"/>
        <v>1588.98</v>
      </c>
    </row>
    <row r="361" spans="1:16" ht="47.25" hidden="1" x14ac:dyDescent="0.25">
      <c r="A361" s="541">
        <v>44834</v>
      </c>
      <c r="B361" s="959">
        <v>44831</v>
      </c>
      <c r="C361" s="960" t="s">
        <v>1967</v>
      </c>
      <c r="D361" s="494" t="s">
        <v>1913</v>
      </c>
      <c r="E361" s="995" t="s">
        <v>762</v>
      </c>
      <c r="F361" s="962" t="s">
        <v>1526</v>
      </c>
      <c r="G361" s="960"/>
      <c r="H361" s="960"/>
      <c r="I361" s="963" t="s">
        <v>1636</v>
      </c>
      <c r="J361" s="952" t="s">
        <v>1968</v>
      </c>
      <c r="K361" s="965" t="str">
        <f>IF(L361=0,"",(INDEX(AccountCodes[ACCOUNT NAME],MATCH(L361,AccountCodes[NGAS CODE],0))))</f>
        <v>Due to PhilHealth</v>
      </c>
      <c r="L361" s="966" t="s">
        <v>112</v>
      </c>
      <c r="M361" s="967">
        <v>1588.98</v>
      </c>
      <c r="N361" s="967"/>
      <c r="O361" s="1018"/>
      <c r="P361" s="987">
        <f t="shared" si="7"/>
        <v>3177.96</v>
      </c>
    </row>
    <row r="362" spans="1:16" ht="47.25" hidden="1" x14ac:dyDescent="0.25">
      <c r="A362" s="541">
        <v>44834</v>
      </c>
      <c r="B362" s="959">
        <v>44831</v>
      </c>
      <c r="C362" s="960" t="s">
        <v>1967</v>
      </c>
      <c r="D362" s="494" t="s">
        <v>1913</v>
      </c>
      <c r="E362" s="995" t="s">
        <v>762</v>
      </c>
      <c r="F362" s="962" t="s">
        <v>1526</v>
      </c>
      <c r="G362" s="494"/>
      <c r="H362" s="494"/>
      <c r="I362" s="963" t="s">
        <v>1636</v>
      </c>
      <c r="J362" s="952" t="s">
        <v>1968</v>
      </c>
      <c r="K362" s="680" t="str">
        <f>IF(L362=0,"",(INDEX(AccountCodes[ACCOUNT NAME],MATCH(L362,AccountCodes[NGAS CODE],0))))</f>
        <v>Cash in Bank-Local Currency, Current Account - FO</v>
      </c>
      <c r="L362" s="955" t="s">
        <v>1566</v>
      </c>
      <c r="M362" s="956"/>
      <c r="N362" s="956">
        <v>3177.96</v>
      </c>
      <c r="O362" s="1017"/>
      <c r="P362" s="987">
        <f t="shared" si="7"/>
        <v>0</v>
      </c>
    </row>
    <row r="363" spans="1:16" ht="31.5" hidden="1" x14ac:dyDescent="0.25">
      <c r="A363" s="541">
        <v>44834</v>
      </c>
      <c r="B363" s="959">
        <v>44834</v>
      </c>
      <c r="C363" s="960" t="s">
        <v>1969</v>
      </c>
      <c r="D363" s="494" t="s">
        <v>1913</v>
      </c>
      <c r="E363" s="996" t="s">
        <v>762</v>
      </c>
      <c r="F363" s="495" t="s">
        <v>1526</v>
      </c>
      <c r="G363" s="960"/>
      <c r="H363" s="960"/>
      <c r="I363" s="963" t="s">
        <v>1638</v>
      </c>
      <c r="J363" s="974" t="s">
        <v>1970</v>
      </c>
      <c r="K363" s="965" t="str">
        <f>IF(L363=0,"",(INDEX(AccountCodes[ACCOUNT NAME],MATCH(L363,AccountCodes[NGAS CODE],0))))</f>
        <v>Due to BIR - 2%</v>
      </c>
      <c r="L363" s="966" t="s">
        <v>1550</v>
      </c>
      <c r="M363" s="967">
        <v>638.45000000000005</v>
      </c>
      <c r="N363" s="967"/>
      <c r="O363" s="1018"/>
      <c r="P363" s="987">
        <f t="shared" si="7"/>
        <v>638.45000000000005</v>
      </c>
    </row>
    <row r="364" spans="1:16" ht="31.5" hidden="1" x14ac:dyDescent="0.25">
      <c r="A364" s="541">
        <v>44834</v>
      </c>
      <c r="B364" s="720">
        <v>44834</v>
      </c>
      <c r="C364" s="494" t="s">
        <v>1969</v>
      </c>
      <c r="D364" s="494" t="s">
        <v>1913</v>
      </c>
      <c r="E364" s="995" t="s">
        <v>762</v>
      </c>
      <c r="F364" s="962" t="s">
        <v>1526</v>
      </c>
      <c r="G364" s="494"/>
      <c r="H364" s="494"/>
      <c r="I364" s="671" t="s">
        <v>1638</v>
      </c>
      <c r="J364" s="974" t="s">
        <v>1970</v>
      </c>
      <c r="K364" s="680" t="str">
        <f>IF(L364=0,"",(INDEX(AccountCodes[ACCOUNT NAME],MATCH(L364,AccountCodes[NGAS CODE],0))))</f>
        <v>Due to BIR - 1%</v>
      </c>
      <c r="L364" s="955" t="s">
        <v>1554</v>
      </c>
      <c r="M364" s="956">
        <v>3108.69</v>
      </c>
      <c r="N364" s="956"/>
      <c r="O364" s="1017"/>
      <c r="P364" s="987">
        <f t="shared" si="7"/>
        <v>3747.14</v>
      </c>
    </row>
    <row r="365" spans="1:16" ht="31.5" hidden="1" x14ac:dyDescent="0.25">
      <c r="A365" s="541">
        <v>44834</v>
      </c>
      <c r="B365" s="959">
        <v>44834</v>
      </c>
      <c r="C365" s="960" t="s">
        <v>1969</v>
      </c>
      <c r="D365" s="494" t="s">
        <v>1913</v>
      </c>
      <c r="E365" s="995" t="s">
        <v>762</v>
      </c>
      <c r="F365" s="962" t="s">
        <v>1526</v>
      </c>
      <c r="G365" s="960"/>
      <c r="H365" s="960"/>
      <c r="I365" s="963" t="s">
        <v>1638</v>
      </c>
      <c r="J365" s="974" t="s">
        <v>1970</v>
      </c>
      <c r="K365" s="965" t="str">
        <f>IF(L365=0,"",(INDEX(AccountCodes[ACCOUNT NAME],MATCH(L365,AccountCodes[NGAS CODE],0))))</f>
        <v>Cash in Bank-Local Currency, Current Account - FO</v>
      </c>
      <c r="L365" s="966" t="s">
        <v>1566</v>
      </c>
      <c r="M365" s="967"/>
      <c r="N365" s="967">
        <v>3747.14</v>
      </c>
      <c r="O365" s="1018"/>
      <c r="P365" s="987">
        <f t="shared" si="7"/>
        <v>0</v>
      </c>
    </row>
    <row r="366" spans="1:16" ht="31.5" hidden="1" x14ac:dyDescent="0.25">
      <c r="A366" s="541">
        <v>44834</v>
      </c>
      <c r="B366" s="720">
        <v>44834</v>
      </c>
      <c r="C366" s="494" t="s">
        <v>1971</v>
      </c>
      <c r="D366" s="494" t="s">
        <v>1913</v>
      </c>
      <c r="E366" s="996" t="s">
        <v>762</v>
      </c>
      <c r="F366" s="495" t="s">
        <v>1526</v>
      </c>
      <c r="G366" s="494"/>
      <c r="H366" s="494"/>
      <c r="I366" s="671" t="s">
        <v>1638</v>
      </c>
      <c r="J366" s="974" t="s">
        <v>1972</v>
      </c>
      <c r="K366" s="680" t="str">
        <f>IF(L366=0,"",(INDEX(AccountCodes[ACCOUNT NAME],MATCH(L366,AccountCodes[NGAS CODE],0))))</f>
        <v>Due to BIR - 5%</v>
      </c>
      <c r="L366" s="955" t="s">
        <v>1548</v>
      </c>
      <c r="M366" s="956">
        <v>16544.55</v>
      </c>
      <c r="N366" s="956"/>
      <c r="O366" s="1017"/>
      <c r="P366" s="987">
        <f t="shared" si="7"/>
        <v>16544.55</v>
      </c>
    </row>
    <row r="367" spans="1:16" ht="31.5" hidden="1" x14ac:dyDescent="0.25">
      <c r="A367" s="541">
        <v>44834</v>
      </c>
      <c r="B367" s="720">
        <v>44834</v>
      </c>
      <c r="C367" s="494" t="s">
        <v>1971</v>
      </c>
      <c r="D367" s="494" t="s">
        <v>1913</v>
      </c>
      <c r="E367" s="995" t="s">
        <v>762</v>
      </c>
      <c r="F367" s="962" t="s">
        <v>1526</v>
      </c>
      <c r="G367" s="494"/>
      <c r="H367" s="494"/>
      <c r="I367" s="671" t="s">
        <v>1638</v>
      </c>
      <c r="J367" s="974" t="s">
        <v>1972</v>
      </c>
      <c r="K367" s="680" t="str">
        <f>IF(L367=0,"",(INDEX(AccountCodes[ACCOUNT NAME],MATCH(L367,AccountCodes[NGAS CODE],0))))</f>
        <v>Due to BIR - 1%</v>
      </c>
      <c r="L367" s="955" t="s">
        <v>1554</v>
      </c>
      <c r="M367" s="956">
        <v>119</v>
      </c>
      <c r="N367" s="956"/>
      <c r="O367" s="1017"/>
      <c r="P367" s="987">
        <f t="shared" si="7"/>
        <v>16663.55</v>
      </c>
    </row>
    <row r="368" spans="1:16" ht="31.5" hidden="1" x14ac:dyDescent="0.25">
      <c r="A368" s="541">
        <v>44834</v>
      </c>
      <c r="B368" s="720">
        <v>44834</v>
      </c>
      <c r="C368" s="494" t="s">
        <v>1971</v>
      </c>
      <c r="D368" s="494" t="s">
        <v>1913</v>
      </c>
      <c r="E368" s="996" t="s">
        <v>762</v>
      </c>
      <c r="F368" s="495" t="s">
        <v>1526</v>
      </c>
      <c r="G368" s="494"/>
      <c r="H368" s="494"/>
      <c r="I368" s="671" t="s">
        <v>1638</v>
      </c>
      <c r="J368" s="974" t="s">
        <v>1972</v>
      </c>
      <c r="K368" s="680" t="str">
        <f>IF(L368=0,"",(INDEX(AccountCodes[ACCOUNT NAME],MATCH(L368,AccountCodes[NGAS CODE],0))))</f>
        <v>Cash in Bank-Local Currency, Current Account - FO</v>
      </c>
      <c r="L368" s="955" t="s">
        <v>1566</v>
      </c>
      <c r="M368" s="956"/>
      <c r="N368" s="956">
        <v>16663.55</v>
      </c>
      <c r="O368" s="1017"/>
      <c r="P368" s="987">
        <f t="shared" si="7"/>
        <v>0</v>
      </c>
    </row>
    <row r="369" spans="1:16" ht="47.25" hidden="1" x14ac:dyDescent="0.25">
      <c r="A369" s="541">
        <v>44834</v>
      </c>
      <c r="B369" s="720">
        <v>44834</v>
      </c>
      <c r="C369" s="494" t="s">
        <v>1976</v>
      </c>
      <c r="D369" s="494" t="s">
        <v>1913</v>
      </c>
      <c r="E369" s="995" t="s">
        <v>762</v>
      </c>
      <c r="F369" s="962" t="s">
        <v>1526</v>
      </c>
      <c r="G369" s="494"/>
      <c r="H369" s="494"/>
      <c r="I369" s="671" t="s">
        <v>1771</v>
      </c>
      <c r="J369" s="980" t="s">
        <v>1977</v>
      </c>
      <c r="K369" s="680" t="str">
        <f>IF(L369=0,"",(INDEX(AccountCodes[ACCOUNT NAME],MATCH(L369,AccountCodes[NGAS CODE],0))))</f>
        <v>Due to the Treasurer of the Philippines</v>
      </c>
      <c r="L369" s="955" t="s">
        <v>1496</v>
      </c>
      <c r="M369" s="956">
        <v>634.37</v>
      </c>
      <c r="N369" s="956"/>
      <c r="O369" s="1017"/>
      <c r="P369" s="987">
        <f t="shared" si="7"/>
        <v>634.37</v>
      </c>
    </row>
    <row r="370" spans="1:16" ht="31.5" hidden="1" x14ac:dyDescent="0.25">
      <c r="A370" s="541">
        <v>44834</v>
      </c>
      <c r="B370" s="720">
        <v>44834</v>
      </c>
      <c r="C370" s="494" t="s">
        <v>1976</v>
      </c>
      <c r="D370" s="494" t="s">
        <v>1913</v>
      </c>
      <c r="E370" s="996" t="s">
        <v>762</v>
      </c>
      <c r="F370" s="495" t="s">
        <v>1526</v>
      </c>
      <c r="G370" s="494"/>
      <c r="H370" s="494"/>
      <c r="I370" s="671" t="s">
        <v>1771</v>
      </c>
      <c r="J370" s="980" t="s">
        <v>1978</v>
      </c>
      <c r="K370" s="680" t="str">
        <f>IF(L370=0,"",(INDEX(AccountCodes[ACCOUNT NAME],MATCH(L370,AccountCodes[NGAS CODE],0))))</f>
        <v>Cash in Bank-Local Currency, Current Account - FO</v>
      </c>
      <c r="L370" s="955" t="s">
        <v>1479</v>
      </c>
      <c r="M370" s="956"/>
      <c r="N370" s="956">
        <v>634.37</v>
      </c>
      <c r="O370" s="1017"/>
      <c r="P370" s="987">
        <f t="shared" si="7"/>
        <v>0</v>
      </c>
    </row>
    <row r="371" spans="1:16" ht="71.25" hidden="1" customHeight="1" x14ac:dyDescent="0.25">
      <c r="A371" s="541">
        <v>44865</v>
      </c>
      <c r="B371" s="720">
        <v>44845</v>
      </c>
      <c r="C371" s="494" t="s">
        <v>1986</v>
      </c>
      <c r="D371" s="494" t="s">
        <v>1984</v>
      </c>
      <c r="E371" s="996" t="s">
        <v>762</v>
      </c>
      <c r="F371" s="495" t="s">
        <v>1526</v>
      </c>
      <c r="G371" s="494"/>
      <c r="H371" s="494"/>
      <c r="I371" s="671" t="s">
        <v>1987</v>
      </c>
      <c r="J371" s="952" t="s">
        <v>1988</v>
      </c>
      <c r="K371" s="680" t="str">
        <f>IF(L371=0,"",(INDEX(AccountCodes[ACCOUNT NAME],MATCH(L371,AccountCodes[NGAS CODE],0))))</f>
        <v>Construction in Progress-Infrastructure Assets (Irrigation, Canals and Laterals)</v>
      </c>
      <c r="L371" s="955" t="s">
        <v>82</v>
      </c>
      <c r="M371" s="956">
        <v>2453515.9</v>
      </c>
      <c r="N371" s="956"/>
      <c r="O371" s="1029" t="s">
        <v>1992</v>
      </c>
      <c r="P371" s="987">
        <f t="shared" si="7"/>
        <v>2453515.9</v>
      </c>
    </row>
    <row r="372" spans="1:16" ht="47.25" hidden="1" x14ac:dyDescent="0.25">
      <c r="A372" s="541">
        <v>44865</v>
      </c>
      <c r="B372" s="720">
        <v>44845</v>
      </c>
      <c r="C372" s="494" t="s">
        <v>1986</v>
      </c>
      <c r="D372" s="494" t="s">
        <v>1984</v>
      </c>
      <c r="E372" s="996" t="s">
        <v>762</v>
      </c>
      <c r="F372" s="495" t="s">
        <v>1526</v>
      </c>
      <c r="G372" s="494"/>
      <c r="H372" s="494"/>
      <c r="I372" s="671" t="s">
        <v>1987</v>
      </c>
      <c r="J372" s="952" t="s">
        <v>1988</v>
      </c>
      <c r="K372" s="680" t="str">
        <f>IF(L372=0,"",(INDEX(AccountCodes[ACCOUNT NAME],MATCH(L372,AccountCodes[NGAS CODE],0))))</f>
        <v>Due to BIR - 5%</v>
      </c>
      <c r="L372" s="955" t="s">
        <v>1548</v>
      </c>
      <c r="M372" s="956"/>
      <c r="N372" s="956">
        <v>109531.96</v>
      </c>
      <c r="O372" s="1017" t="s">
        <v>1991</v>
      </c>
      <c r="P372" s="987">
        <f t="shared" si="7"/>
        <v>2343983.94</v>
      </c>
    </row>
    <row r="373" spans="1:16" ht="47.25" hidden="1" x14ac:dyDescent="0.25">
      <c r="A373" s="541">
        <v>44865</v>
      </c>
      <c r="B373" s="720">
        <v>44845</v>
      </c>
      <c r="C373" s="494" t="s">
        <v>1986</v>
      </c>
      <c r="D373" s="494" t="s">
        <v>1984</v>
      </c>
      <c r="E373" s="996" t="s">
        <v>762</v>
      </c>
      <c r="F373" s="495" t="s">
        <v>1526</v>
      </c>
      <c r="G373" s="494"/>
      <c r="H373" s="494"/>
      <c r="I373" s="671" t="s">
        <v>1987</v>
      </c>
      <c r="J373" s="952" t="s">
        <v>1988</v>
      </c>
      <c r="K373" s="680" t="str">
        <f>IF(L373=0,"",(INDEX(AccountCodes[ACCOUNT NAME],MATCH(L373,AccountCodes[NGAS CODE],0))))</f>
        <v>Due to BIR - 2%</v>
      </c>
      <c r="L373" s="955" t="s">
        <v>1550</v>
      </c>
      <c r="M373" s="956"/>
      <c r="N373" s="956">
        <v>43812.78</v>
      </c>
      <c r="O373" s="1017" t="s">
        <v>1991</v>
      </c>
      <c r="P373" s="987">
        <f t="shared" si="7"/>
        <v>2300171.16</v>
      </c>
    </row>
    <row r="374" spans="1:16" ht="47.25" hidden="1" x14ac:dyDescent="0.25">
      <c r="A374" s="541">
        <v>44865</v>
      </c>
      <c r="B374" s="959">
        <v>44845</v>
      </c>
      <c r="C374" s="960" t="s">
        <v>1986</v>
      </c>
      <c r="D374" s="494" t="s">
        <v>1984</v>
      </c>
      <c r="E374" s="996" t="s">
        <v>762</v>
      </c>
      <c r="F374" s="495" t="s">
        <v>1526</v>
      </c>
      <c r="G374" s="960"/>
      <c r="H374" s="960"/>
      <c r="I374" s="963" t="s">
        <v>1987</v>
      </c>
      <c r="J374" s="952" t="s">
        <v>1988</v>
      </c>
      <c r="K374" s="965" t="str">
        <f>IF(L374=0,"",(INDEX(AccountCodes[ACCOUNT NAME],MATCH(L374,AccountCodes[NGAS CODE],0))))</f>
        <v>Guaranty/Security Deposits Payable</v>
      </c>
      <c r="L374" s="966" t="s">
        <v>115</v>
      </c>
      <c r="M374" s="967"/>
      <c r="N374" s="967">
        <v>197792.84</v>
      </c>
      <c r="O374" s="1017"/>
      <c r="P374" s="987">
        <f t="shared" si="7"/>
        <v>2102378.3199999998</v>
      </c>
    </row>
    <row r="375" spans="1:16" ht="47.25" hidden="1" x14ac:dyDescent="0.25">
      <c r="A375" s="541">
        <v>44865</v>
      </c>
      <c r="B375" s="720">
        <v>44845</v>
      </c>
      <c r="C375" s="494" t="s">
        <v>1986</v>
      </c>
      <c r="D375" s="494" t="s">
        <v>1984</v>
      </c>
      <c r="E375" s="996" t="s">
        <v>762</v>
      </c>
      <c r="F375" s="495" t="s">
        <v>1526</v>
      </c>
      <c r="G375" s="494"/>
      <c r="H375" s="494"/>
      <c r="I375" s="671" t="s">
        <v>1987</v>
      </c>
      <c r="J375" s="952" t="s">
        <v>1988</v>
      </c>
      <c r="K375" s="680" t="str">
        <f>IF(L375=0,"",(INDEX(AccountCodes[ACCOUNT NAME],MATCH(L375,AccountCodes[NGAS CODE],0))))</f>
        <v>Cash in Bank-Local Currency, Current Account - FO</v>
      </c>
      <c r="L375" s="955" t="s">
        <v>1566</v>
      </c>
      <c r="M375" s="956"/>
      <c r="N375" s="956">
        <v>2102378.3199999998</v>
      </c>
      <c r="O375" s="1017"/>
      <c r="P375" s="987">
        <f t="shared" si="7"/>
        <v>0</v>
      </c>
    </row>
    <row r="376" spans="1:16" ht="31.5" hidden="1" x14ac:dyDescent="0.25">
      <c r="A376" s="541">
        <v>44865</v>
      </c>
      <c r="B376" s="959">
        <v>44846</v>
      </c>
      <c r="C376" s="960" t="s">
        <v>1989</v>
      </c>
      <c r="D376" s="494" t="s">
        <v>1984</v>
      </c>
      <c r="E376" s="996" t="s">
        <v>762</v>
      </c>
      <c r="F376" s="495" t="s">
        <v>1526</v>
      </c>
      <c r="G376" s="960"/>
      <c r="H376" s="960"/>
      <c r="I376" s="963" t="s">
        <v>1947</v>
      </c>
      <c r="J376" s="952" t="s">
        <v>1990</v>
      </c>
      <c r="K376" s="965" t="str">
        <f>IF(L376=0,"",(INDEX(AccountCodes[ACCOUNT NAME],MATCH(L376,AccountCodes[NGAS CODE],0))))</f>
        <v>Information and Communications Technology Equipment</v>
      </c>
      <c r="L376" s="966" t="s">
        <v>44</v>
      </c>
      <c r="M376" s="967">
        <v>65750</v>
      </c>
      <c r="N376" s="967"/>
      <c r="O376" s="1030" t="s">
        <v>1993</v>
      </c>
      <c r="P376" s="987">
        <f t="shared" si="7"/>
        <v>65750</v>
      </c>
    </row>
    <row r="377" spans="1:16" ht="31.5" hidden="1" x14ac:dyDescent="0.25">
      <c r="A377" s="541">
        <v>44865</v>
      </c>
      <c r="B377" s="720">
        <v>44846</v>
      </c>
      <c r="C377" s="494" t="s">
        <v>1989</v>
      </c>
      <c r="D377" s="494" t="s">
        <v>1984</v>
      </c>
      <c r="E377" s="995" t="s">
        <v>762</v>
      </c>
      <c r="F377" s="962" t="s">
        <v>1526</v>
      </c>
      <c r="G377" s="494"/>
      <c r="H377" s="494"/>
      <c r="I377" s="671" t="s">
        <v>1947</v>
      </c>
      <c r="J377" s="952" t="s">
        <v>1990</v>
      </c>
      <c r="K377" s="680" t="str">
        <f>IF(L377=0,"",(INDEX(AccountCodes[ACCOUNT NAME],MATCH(L377,AccountCodes[NGAS CODE],0))))</f>
        <v>Due to BIR - 1%</v>
      </c>
      <c r="L377" s="955" t="s">
        <v>1554</v>
      </c>
      <c r="M377" s="956"/>
      <c r="N377" s="956">
        <v>587.04999999999995</v>
      </c>
      <c r="O377" s="1019" t="s">
        <v>1993</v>
      </c>
      <c r="P377" s="987">
        <f t="shared" si="7"/>
        <v>65162.95</v>
      </c>
    </row>
    <row r="378" spans="1:16" ht="31.5" hidden="1" x14ac:dyDescent="0.25">
      <c r="A378" s="541">
        <v>44865</v>
      </c>
      <c r="B378" s="959">
        <v>44846</v>
      </c>
      <c r="C378" s="960" t="s">
        <v>1989</v>
      </c>
      <c r="D378" s="960" t="s">
        <v>1984</v>
      </c>
      <c r="E378" s="995" t="s">
        <v>762</v>
      </c>
      <c r="F378" s="962" t="s">
        <v>1526</v>
      </c>
      <c r="G378" s="960"/>
      <c r="H378" s="960"/>
      <c r="I378" s="963" t="s">
        <v>1947</v>
      </c>
      <c r="J378" s="952" t="s">
        <v>1990</v>
      </c>
      <c r="K378" s="965" t="str">
        <f>IF(L378=0,"",(INDEX(AccountCodes[ACCOUNT NAME],MATCH(L378,AccountCodes[NGAS CODE],0))))</f>
        <v>Due to BIR - 5%</v>
      </c>
      <c r="L378" s="966" t="s">
        <v>1548</v>
      </c>
      <c r="M378" s="967"/>
      <c r="N378" s="967">
        <v>2935.27</v>
      </c>
      <c r="O378" s="1019" t="s">
        <v>1993</v>
      </c>
      <c r="P378" s="987">
        <f t="shared" si="7"/>
        <v>62227.68</v>
      </c>
    </row>
    <row r="379" spans="1:16" ht="31.5" hidden="1" x14ac:dyDescent="0.25">
      <c r="A379" s="541">
        <v>44865</v>
      </c>
      <c r="B379" s="720">
        <v>44846</v>
      </c>
      <c r="C379" s="494" t="s">
        <v>1989</v>
      </c>
      <c r="D379" s="960" t="s">
        <v>1984</v>
      </c>
      <c r="E379" s="995" t="s">
        <v>762</v>
      </c>
      <c r="F379" s="962" t="s">
        <v>1526</v>
      </c>
      <c r="G379" s="494"/>
      <c r="H379" s="494"/>
      <c r="I379" s="671" t="s">
        <v>1947</v>
      </c>
      <c r="J379" s="952" t="s">
        <v>1990</v>
      </c>
      <c r="K379" s="680" t="str">
        <f>IF(L379=0,"",(INDEX(AccountCodes[ACCOUNT NAME],MATCH(L379,AccountCodes[NGAS CODE],0))))</f>
        <v>Cash in Bank-Local Currency, Current Account - FO</v>
      </c>
      <c r="L379" s="955" t="s">
        <v>1566</v>
      </c>
      <c r="M379" s="956"/>
      <c r="N379" s="956">
        <v>62227.68</v>
      </c>
      <c r="O379" s="1017"/>
      <c r="P379" s="987">
        <f t="shared" si="7"/>
        <v>0</v>
      </c>
    </row>
    <row r="380" spans="1:16" ht="63" hidden="1" x14ac:dyDescent="0.25">
      <c r="A380" s="541">
        <v>44865</v>
      </c>
      <c r="B380" s="720">
        <v>44847</v>
      </c>
      <c r="C380" s="494" t="s">
        <v>1994</v>
      </c>
      <c r="D380" s="494" t="s">
        <v>1984</v>
      </c>
      <c r="E380" s="996" t="s">
        <v>762</v>
      </c>
      <c r="F380" s="495" t="s">
        <v>1526</v>
      </c>
      <c r="G380" s="494"/>
      <c r="H380" s="494"/>
      <c r="I380" s="671" t="s">
        <v>1950</v>
      </c>
      <c r="J380" s="952" t="s">
        <v>1995</v>
      </c>
      <c r="K380" s="680" t="str">
        <f>IF(L380=0,"",(INDEX(AccountCodes[ACCOUNT NAME],MATCH(L380,AccountCodes[NGAS CODE],0))))</f>
        <v>Training Expenses</v>
      </c>
      <c r="L380" s="953" t="s">
        <v>224</v>
      </c>
      <c r="M380" s="956">
        <v>43600</v>
      </c>
      <c r="N380" s="956"/>
      <c r="O380" s="1031" t="s">
        <v>1996</v>
      </c>
      <c r="P380" s="987">
        <f t="shared" si="7"/>
        <v>43600</v>
      </c>
    </row>
    <row r="381" spans="1:16" ht="63" hidden="1" x14ac:dyDescent="0.25">
      <c r="A381" s="541">
        <v>44865</v>
      </c>
      <c r="B381" s="720">
        <v>44847</v>
      </c>
      <c r="C381" s="494" t="s">
        <v>1994</v>
      </c>
      <c r="D381" s="494" t="s">
        <v>1984</v>
      </c>
      <c r="E381" s="995" t="s">
        <v>762</v>
      </c>
      <c r="F381" s="962" t="s">
        <v>1526</v>
      </c>
      <c r="G381" s="494"/>
      <c r="H381" s="494"/>
      <c r="I381" s="671" t="s">
        <v>1950</v>
      </c>
      <c r="J381" s="952" t="s">
        <v>1995</v>
      </c>
      <c r="K381" s="680" t="str">
        <f>IF(L381=0,"",(INDEX(AccountCodes[ACCOUNT NAME],MATCH(L381,AccountCodes[NGAS CODE],0))))</f>
        <v>Due to BIR - 1%</v>
      </c>
      <c r="L381" s="955" t="s">
        <v>1554</v>
      </c>
      <c r="M381" s="956"/>
      <c r="N381" s="956">
        <v>436</v>
      </c>
      <c r="O381" s="984" t="s">
        <v>1997</v>
      </c>
      <c r="P381" s="987">
        <f t="shared" si="7"/>
        <v>43164</v>
      </c>
    </row>
    <row r="382" spans="1:16" ht="63" hidden="1" x14ac:dyDescent="0.25">
      <c r="A382" s="541">
        <v>44865</v>
      </c>
      <c r="B382" s="959">
        <v>44847</v>
      </c>
      <c r="C382" s="960" t="s">
        <v>1994</v>
      </c>
      <c r="D382" s="960" t="s">
        <v>1984</v>
      </c>
      <c r="E382" s="995" t="s">
        <v>762</v>
      </c>
      <c r="F382" s="962" t="s">
        <v>1526</v>
      </c>
      <c r="G382" s="960"/>
      <c r="H382" s="960"/>
      <c r="I382" s="963" t="s">
        <v>1950</v>
      </c>
      <c r="J382" s="952" t="s">
        <v>1995</v>
      </c>
      <c r="K382" s="965" t="str">
        <f>IF(L382=0,"",(INDEX(AccountCodes[ACCOUNT NAME],MATCH(L382,AccountCodes[NGAS CODE],0))))</f>
        <v>Due to BIR - 2%</v>
      </c>
      <c r="L382" s="966" t="s">
        <v>1550</v>
      </c>
      <c r="M382" s="967"/>
      <c r="N382" s="967">
        <v>872</v>
      </c>
      <c r="O382" s="984" t="s">
        <v>1997</v>
      </c>
      <c r="P382" s="987">
        <f t="shared" si="7"/>
        <v>42292</v>
      </c>
    </row>
    <row r="383" spans="1:16" ht="63" hidden="1" x14ac:dyDescent="0.25">
      <c r="A383" s="541">
        <v>44865</v>
      </c>
      <c r="B383" s="720">
        <v>44847</v>
      </c>
      <c r="C383" s="494" t="s">
        <v>1994</v>
      </c>
      <c r="D383" s="960" t="s">
        <v>1984</v>
      </c>
      <c r="E383" s="995" t="s">
        <v>762</v>
      </c>
      <c r="F383" s="962" t="s">
        <v>1526</v>
      </c>
      <c r="G383" s="494"/>
      <c r="H383" s="494"/>
      <c r="I383" s="671" t="s">
        <v>1950</v>
      </c>
      <c r="J383" s="952" t="s">
        <v>1995</v>
      </c>
      <c r="K383" s="680" t="str">
        <f>IF(L383=0,"",(INDEX(AccountCodes[ACCOUNT NAME],MATCH(L383,AccountCodes[NGAS CODE],0))))</f>
        <v>Cash in Bank-Local Currency, Current Account - FO</v>
      </c>
      <c r="L383" s="955" t="s">
        <v>1566</v>
      </c>
      <c r="M383" s="956"/>
      <c r="N383" s="956">
        <v>42292</v>
      </c>
      <c r="O383" s="1017"/>
      <c r="P383" s="987">
        <f t="shared" si="7"/>
        <v>0</v>
      </c>
    </row>
    <row r="384" spans="1:16" ht="63" hidden="1" x14ac:dyDescent="0.25">
      <c r="A384" s="541">
        <v>44865</v>
      </c>
      <c r="B384" s="720">
        <v>44847</v>
      </c>
      <c r="C384" s="494" t="s">
        <v>1998</v>
      </c>
      <c r="D384" s="494" t="s">
        <v>1984</v>
      </c>
      <c r="E384" s="996" t="s">
        <v>762</v>
      </c>
      <c r="F384" s="495" t="s">
        <v>1526</v>
      </c>
      <c r="G384" s="494"/>
      <c r="H384" s="494"/>
      <c r="I384" s="671" t="s">
        <v>1999</v>
      </c>
      <c r="J384" s="985" t="s">
        <v>2000</v>
      </c>
      <c r="K384" s="680" t="str">
        <f>IF(L384=0,"",(INDEX(AccountCodes[ACCOUNT NAME],MATCH(L384,AccountCodes[NGAS CODE],0))))</f>
        <v>Salaries and Wages-Regular</v>
      </c>
      <c r="L384" s="953" t="s">
        <v>162</v>
      </c>
      <c r="M384" s="956">
        <v>79449</v>
      </c>
      <c r="N384" s="956"/>
      <c r="O384" s="1029" t="s">
        <v>2001</v>
      </c>
      <c r="P384" s="987">
        <f t="shared" si="7"/>
        <v>79449</v>
      </c>
    </row>
    <row r="385" spans="1:16" ht="63" hidden="1" x14ac:dyDescent="0.25">
      <c r="A385" s="541">
        <v>44865</v>
      </c>
      <c r="B385" s="720">
        <v>44847</v>
      </c>
      <c r="C385" s="494" t="s">
        <v>1998</v>
      </c>
      <c r="D385" s="494" t="s">
        <v>1984</v>
      </c>
      <c r="E385" s="995" t="s">
        <v>762</v>
      </c>
      <c r="F385" s="962" t="s">
        <v>1526</v>
      </c>
      <c r="G385" s="494"/>
      <c r="H385" s="494"/>
      <c r="I385" s="671" t="s">
        <v>1999</v>
      </c>
      <c r="J385" s="985" t="s">
        <v>2000</v>
      </c>
      <c r="K385" s="680" t="str">
        <f>IF(L385=0,"",(INDEX(AccountCodes[ACCOUNT NAME],MATCH(L385,AccountCodes[NGAS CODE],0))))</f>
        <v>Personal Economic Relief Allowance (PERA)</v>
      </c>
      <c r="L385" s="953" t="s">
        <v>164</v>
      </c>
      <c r="M385" s="956">
        <v>6000</v>
      </c>
      <c r="N385" s="956"/>
      <c r="O385" s="1017"/>
      <c r="P385" s="987">
        <f t="shared" si="7"/>
        <v>85449</v>
      </c>
    </row>
    <row r="386" spans="1:16" ht="63" hidden="1" x14ac:dyDescent="0.25">
      <c r="A386" s="541">
        <v>44865</v>
      </c>
      <c r="B386" s="959">
        <v>44847</v>
      </c>
      <c r="C386" s="960" t="s">
        <v>1998</v>
      </c>
      <c r="D386" s="960" t="s">
        <v>1984</v>
      </c>
      <c r="E386" s="995" t="s">
        <v>762</v>
      </c>
      <c r="F386" s="962" t="s">
        <v>1526</v>
      </c>
      <c r="G386" s="960"/>
      <c r="H386" s="960"/>
      <c r="I386" s="963" t="s">
        <v>1999</v>
      </c>
      <c r="J386" s="986" t="s">
        <v>2000</v>
      </c>
      <c r="K386" s="965" t="str">
        <f>IF(L386=0,"",(INDEX(AccountCodes[ACCOUNT NAME],MATCH(L386,AccountCodes[NGAS CODE],0))))</f>
        <v>Due to BIR - Compensation</v>
      </c>
      <c r="L386" s="978" t="s">
        <v>1546</v>
      </c>
      <c r="M386" s="967"/>
      <c r="N386" s="967">
        <v>1706.01</v>
      </c>
      <c r="O386" s="1018"/>
      <c r="P386" s="987">
        <f t="shared" si="7"/>
        <v>83742.990000000005</v>
      </c>
    </row>
    <row r="387" spans="1:16" ht="63" hidden="1" x14ac:dyDescent="0.25">
      <c r="A387" s="541">
        <v>44865</v>
      </c>
      <c r="B387" s="720">
        <v>44847</v>
      </c>
      <c r="C387" s="494" t="s">
        <v>1998</v>
      </c>
      <c r="D387" s="960" t="s">
        <v>1984</v>
      </c>
      <c r="E387" s="995" t="s">
        <v>762</v>
      </c>
      <c r="F387" s="962" t="s">
        <v>1526</v>
      </c>
      <c r="G387" s="494"/>
      <c r="H387" s="494"/>
      <c r="I387" s="671" t="s">
        <v>1999</v>
      </c>
      <c r="J387" s="985" t="s">
        <v>2000</v>
      </c>
      <c r="K387" s="680" t="str">
        <f>IF(L387=0,"",(INDEX(AccountCodes[ACCOUNT NAME],MATCH(L387,AccountCodes[NGAS CODE],0))))</f>
        <v>Due to GSIS - Life and Retirement Premium</v>
      </c>
      <c r="L387" s="955" t="s">
        <v>1440</v>
      </c>
      <c r="M387" s="956"/>
      <c r="N387" s="956">
        <v>7150.41</v>
      </c>
      <c r="O387" s="1017"/>
      <c r="P387" s="987">
        <f t="shared" si="7"/>
        <v>76592.58</v>
      </c>
    </row>
    <row r="388" spans="1:16" ht="63" hidden="1" x14ac:dyDescent="0.25">
      <c r="A388" s="541">
        <v>44865</v>
      </c>
      <c r="B388" s="720">
        <v>44847</v>
      </c>
      <c r="C388" s="494" t="s">
        <v>1998</v>
      </c>
      <c r="D388" s="494" t="s">
        <v>1984</v>
      </c>
      <c r="E388" s="996" t="s">
        <v>762</v>
      </c>
      <c r="F388" s="495" t="s">
        <v>1526</v>
      </c>
      <c r="G388" s="494"/>
      <c r="H388" s="494"/>
      <c r="I388" s="671" t="s">
        <v>1999</v>
      </c>
      <c r="J388" s="985" t="s">
        <v>2000</v>
      </c>
      <c r="K388" s="680" t="str">
        <f>IF(L388=0,"",(INDEX(AccountCodes[ACCOUNT NAME],MATCH(L388,AccountCodes[NGAS CODE],0))))</f>
        <v>Due to Pag-IBIG - Pag-IBIG Premium</v>
      </c>
      <c r="L388" s="955" t="s">
        <v>1444</v>
      </c>
      <c r="M388" s="956"/>
      <c r="N388" s="956">
        <v>1588.98</v>
      </c>
      <c r="O388" s="1017"/>
      <c r="P388" s="987">
        <f t="shared" si="7"/>
        <v>75003.600000000006</v>
      </c>
    </row>
    <row r="389" spans="1:16" ht="63" hidden="1" x14ac:dyDescent="0.25">
      <c r="A389" s="541">
        <v>44865</v>
      </c>
      <c r="B389" s="720">
        <v>44847</v>
      </c>
      <c r="C389" s="494" t="s">
        <v>1998</v>
      </c>
      <c r="D389" s="494" t="s">
        <v>1984</v>
      </c>
      <c r="E389" s="995" t="s">
        <v>762</v>
      </c>
      <c r="F389" s="962" t="s">
        <v>1526</v>
      </c>
      <c r="G389" s="494"/>
      <c r="H389" s="494"/>
      <c r="I389" s="671" t="s">
        <v>1999</v>
      </c>
      <c r="J389" s="985" t="s">
        <v>2000</v>
      </c>
      <c r="K389" s="680" t="str">
        <f>IF(L389=0,"",(INDEX(AccountCodes[ACCOUNT NAME],MATCH(L389,AccountCodes[NGAS CODE],0))))</f>
        <v>Due to Pag-IBIG - MP2</v>
      </c>
      <c r="L389" s="955" t="s">
        <v>1508</v>
      </c>
      <c r="M389" s="956"/>
      <c r="N389" s="956">
        <v>4000</v>
      </c>
      <c r="O389" s="1017"/>
      <c r="P389" s="987">
        <f t="shared" si="7"/>
        <v>71003.600000000006</v>
      </c>
    </row>
    <row r="390" spans="1:16" ht="63" hidden="1" x14ac:dyDescent="0.25">
      <c r="A390" s="541">
        <v>44865</v>
      </c>
      <c r="B390" s="959">
        <v>44847</v>
      </c>
      <c r="C390" s="960" t="s">
        <v>1998</v>
      </c>
      <c r="D390" s="960" t="s">
        <v>1984</v>
      </c>
      <c r="E390" s="995" t="s">
        <v>762</v>
      </c>
      <c r="F390" s="962" t="s">
        <v>1526</v>
      </c>
      <c r="G390" s="960"/>
      <c r="H390" s="960"/>
      <c r="I390" s="963" t="s">
        <v>1999</v>
      </c>
      <c r="J390" s="986" t="s">
        <v>2000</v>
      </c>
      <c r="K390" s="965" t="str">
        <f>IF(L390=0,"",(INDEX(AccountCodes[ACCOUNT NAME],MATCH(L390,AccountCodes[NGAS CODE],0))))</f>
        <v>Due to PhilHealth</v>
      </c>
      <c r="L390" s="978" t="s">
        <v>112</v>
      </c>
      <c r="M390" s="967"/>
      <c r="N390" s="967">
        <v>1588.98</v>
      </c>
      <c r="O390" s="1018"/>
      <c r="P390" s="987">
        <f t="shared" si="7"/>
        <v>69414.62</v>
      </c>
    </row>
    <row r="391" spans="1:16" ht="63" hidden="1" x14ac:dyDescent="0.25">
      <c r="A391" s="541">
        <v>44865</v>
      </c>
      <c r="B391" s="720">
        <v>44847</v>
      </c>
      <c r="C391" s="494" t="s">
        <v>1998</v>
      </c>
      <c r="D391" s="960" t="s">
        <v>1984</v>
      </c>
      <c r="E391" s="995" t="s">
        <v>762</v>
      </c>
      <c r="F391" s="962" t="s">
        <v>1526</v>
      </c>
      <c r="G391" s="494"/>
      <c r="H391" s="494"/>
      <c r="I391" s="671" t="s">
        <v>1999</v>
      </c>
      <c r="J391" s="985" t="s">
        <v>2000</v>
      </c>
      <c r="K391" s="680" t="str">
        <f>IF(L391=0,"",(INDEX(AccountCodes[ACCOUNT NAME],MATCH(L391,AccountCodes[NGAS CODE],0))))</f>
        <v>Cash in Bank-Local Currency, Current Account - FO</v>
      </c>
      <c r="L391" s="955" t="s">
        <v>1566</v>
      </c>
      <c r="M391" s="956"/>
      <c r="N391" s="956">
        <v>34707.32</v>
      </c>
      <c r="O391" s="1017"/>
      <c r="P391" s="987">
        <f t="shared" si="7"/>
        <v>34707.300000000003</v>
      </c>
    </row>
    <row r="392" spans="1:16" ht="63" hidden="1" x14ac:dyDescent="0.25">
      <c r="A392" s="541">
        <v>44865</v>
      </c>
      <c r="B392" s="559">
        <v>44862</v>
      </c>
      <c r="C392" s="145" t="s">
        <v>2018</v>
      </c>
      <c r="D392" s="960" t="s">
        <v>1984</v>
      </c>
      <c r="E392" s="995" t="s">
        <v>762</v>
      </c>
      <c r="F392" s="962" t="s">
        <v>1526</v>
      </c>
      <c r="G392" s="145"/>
      <c r="H392" s="145"/>
      <c r="I392" s="671" t="s">
        <v>1999</v>
      </c>
      <c r="J392" s="985" t="s">
        <v>2000</v>
      </c>
      <c r="K392" s="704" t="str">
        <f>IF(L392=0,"",(INDEX(AccountCodes[ACCOUNT NAME],MATCH(L392,AccountCodes[NGAS CODE],0))))</f>
        <v>Cash in Bank-Local Currency, Current Account - FO</v>
      </c>
      <c r="L392" s="953" t="s">
        <v>1566</v>
      </c>
      <c r="M392" s="982"/>
      <c r="N392" s="982">
        <v>34707.300000000003</v>
      </c>
      <c r="O392" s="984"/>
      <c r="P392" s="987">
        <f t="shared" si="7"/>
        <v>0</v>
      </c>
    </row>
    <row r="393" spans="1:16" ht="63" hidden="1" x14ac:dyDescent="0.25">
      <c r="A393" s="541">
        <v>44865</v>
      </c>
      <c r="B393" s="720">
        <v>44851</v>
      </c>
      <c r="C393" s="494" t="s">
        <v>2002</v>
      </c>
      <c r="D393" s="960" t="s">
        <v>1984</v>
      </c>
      <c r="E393" s="996" t="s">
        <v>762</v>
      </c>
      <c r="F393" s="495" t="s">
        <v>1526</v>
      </c>
      <c r="G393" s="494"/>
      <c r="H393" s="494"/>
      <c r="I393" s="671" t="s">
        <v>1637</v>
      </c>
      <c r="J393" s="952" t="s">
        <v>2003</v>
      </c>
      <c r="K393" s="680" t="str">
        <f>IF(L393=0,"",(INDEX(AccountCodes[ACCOUNT NAME],MATCH(L393,AccountCodes[NGAS CODE],0))))</f>
        <v>Retirement and Life Insurance Premiums</v>
      </c>
      <c r="L393" s="953" t="s">
        <v>175</v>
      </c>
      <c r="M393" s="956">
        <v>9533.8799999999992</v>
      </c>
      <c r="N393" s="956"/>
      <c r="O393" s="1029" t="s">
        <v>2001</v>
      </c>
      <c r="P393" s="987">
        <f t="shared" si="7"/>
        <v>9533.8799999999992</v>
      </c>
    </row>
    <row r="394" spans="1:16" ht="63" hidden="1" x14ac:dyDescent="0.25">
      <c r="A394" s="958">
        <v>44865</v>
      </c>
      <c r="B394" s="959">
        <v>44851</v>
      </c>
      <c r="C394" s="960" t="s">
        <v>2002</v>
      </c>
      <c r="D394" s="960" t="s">
        <v>1984</v>
      </c>
      <c r="E394" s="995" t="s">
        <v>762</v>
      </c>
      <c r="F394" s="962" t="s">
        <v>1526</v>
      </c>
      <c r="G394" s="960"/>
      <c r="H394" s="960"/>
      <c r="I394" s="963" t="s">
        <v>1637</v>
      </c>
      <c r="J394" s="952" t="s">
        <v>2003</v>
      </c>
      <c r="K394" s="965" t="str">
        <f>IF(L394=0,"",(INDEX(AccountCodes[ACCOUNT NAME],MATCH(L394,AccountCodes[NGAS CODE],0))))</f>
        <v>Employees Compensation Insurance Premiums</v>
      </c>
      <c r="L394" s="978" t="s">
        <v>178</v>
      </c>
      <c r="M394" s="967">
        <v>300</v>
      </c>
      <c r="N394" s="967"/>
      <c r="O394" s="1018"/>
      <c r="P394" s="987">
        <f t="shared" si="7"/>
        <v>9833.8799999999992</v>
      </c>
    </row>
    <row r="395" spans="1:16" ht="63" hidden="1" x14ac:dyDescent="0.25">
      <c r="A395" s="541">
        <v>44865</v>
      </c>
      <c r="B395" s="720">
        <v>44851</v>
      </c>
      <c r="C395" s="494" t="s">
        <v>2002</v>
      </c>
      <c r="D395" s="960" t="s">
        <v>1984</v>
      </c>
      <c r="E395" s="996" t="s">
        <v>762</v>
      </c>
      <c r="F395" s="495" t="s">
        <v>1526</v>
      </c>
      <c r="G395" s="494"/>
      <c r="H395" s="494"/>
      <c r="I395" s="671" t="s">
        <v>1637</v>
      </c>
      <c r="J395" s="952" t="s">
        <v>2003</v>
      </c>
      <c r="K395" s="680" t="str">
        <f>IF(L395=0,"",(INDEX(AccountCodes[ACCOUNT NAME],MATCH(L395,AccountCodes[NGAS CODE],0))))</f>
        <v>Due to GSIS - Life and Retirement Premium</v>
      </c>
      <c r="L395" s="955" t="s">
        <v>1440</v>
      </c>
      <c r="M395" s="956">
        <v>7150.41</v>
      </c>
      <c r="N395" s="956"/>
      <c r="O395" s="1017"/>
      <c r="P395" s="987">
        <f t="shared" si="7"/>
        <v>16984.29</v>
      </c>
    </row>
    <row r="396" spans="1:16" ht="63" hidden="1" x14ac:dyDescent="0.25">
      <c r="A396" s="541">
        <v>44865</v>
      </c>
      <c r="B396" s="720">
        <v>44851</v>
      </c>
      <c r="C396" s="494" t="s">
        <v>2002</v>
      </c>
      <c r="D396" s="960" t="s">
        <v>1984</v>
      </c>
      <c r="E396" s="996" t="s">
        <v>762</v>
      </c>
      <c r="F396" s="495" t="s">
        <v>1526</v>
      </c>
      <c r="G396" s="494"/>
      <c r="H396" s="494"/>
      <c r="I396" s="671" t="s">
        <v>1637</v>
      </c>
      <c r="J396" s="952" t="s">
        <v>2003</v>
      </c>
      <c r="K396" s="680" t="str">
        <f>IF(L396=0,"",(INDEX(AccountCodes[ACCOUNT NAME],MATCH(L396,AccountCodes[NGAS CODE],0))))</f>
        <v>Cash in Bank-Local Currency, Current Account - FO</v>
      </c>
      <c r="L396" s="955" t="s">
        <v>1566</v>
      </c>
      <c r="M396" s="956"/>
      <c r="N396" s="956">
        <v>16984.29</v>
      </c>
      <c r="O396" s="1017"/>
      <c r="P396" s="987">
        <f t="shared" si="7"/>
        <v>0</v>
      </c>
    </row>
    <row r="397" spans="1:16" ht="31.5" hidden="1" x14ac:dyDescent="0.25">
      <c r="A397" s="541">
        <v>44865</v>
      </c>
      <c r="B397" s="720">
        <v>44851</v>
      </c>
      <c r="C397" s="494" t="s">
        <v>2004</v>
      </c>
      <c r="D397" s="960" t="s">
        <v>1984</v>
      </c>
      <c r="E397" s="996" t="s">
        <v>762</v>
      </c>
      <c r="F397" s="495" t="s">
        <v>1526</v>
      </c>
      <c r="G397" s="494"/>
      <c r="H397" s="494"/>
      <c r="I397" s="671" t="s">
        <v>1639</v>
      </c>
      <c r="J397" s="952" t="s">
        <v>2005</v>
      </c>
      <c r="K397" s="680" t="str">
        <f>IF(L397=0,"",(INDEX(AccountCodes[ACCOUNT NAME],MATCH(L397,AccountCodes[NGAS CODE],0))))</f>
        <v>Pag-IBIG Contributions</v>
      </c>
      <c r="L397" s="953" t="s">
        <v>176</v>
      </c>
      <c r="M397" s="956">
        <v>300</v>
      </c>
      <c r="N397" s="956"/>
      <c r="O397" s="1029" t="s">
        <v>2001</v>
      </c>
      <c r="P397" s="987">
        <f t="shared" si="7"/>
        <v>300</v>
      </c>
    </row>
    <row r="398" spans="1:16" ht="31.5" hidden="1" x14ac:dyDescent="0.25">
      <c r="A398" s="541">
        <v>44865</v>
      </c>
      <c r="B398" s="720">
        <v>44851</v>
      </c>
      <c r="C398" s="494" t="s">
        <v>2004</v>
      </c>
      <c r="D398" s="960" t="s">
        <v>1984</v>
      </c>
      <c r="E398" s="996" t="s">
        <v>762</v>
      </c>
      <c r="F398" s="495" t="s">
        <v>1526</v>
      </c>
      <c r="G398" s="494"/>
      <c r="H398" s="494"/>
      <c r="I398" s="671" t="s">
        <v>1639</v>
      </c>
      <c r="J398" s="952" t="s">
        <v>2005</v>
      </c>
      <c r="K398" s="680" t="str">
        <f>IF(L398=0,"",(INDEX(AccountCodes[ACCOUNT NAME],MATCH(L398,AccountCodes[NGAS CODE],0))))</f>
        <v>Due to Pag-IBIG - Pag-IBIG Premium</v>
      </c>
      <c r="L398" s="955" t="s">
        <v>1444</v>
      </c>
      <c r="M398" s="956">
        <v>1588.98</v>
      </c>
      <c r="N398" s="956"/>
      <c r="O398" s="1017"/>
      <c r="P398" s="987">
        <f t="shared" si="7"/>
        <v>1888.98</v>
      </c>
    </row>
    <row r="399" spans="1:16" ht="31.5" hidden="1" x14ac:dyDescent="0.25">
      <c r="A399" s="541">
        <v>44865</v>
      </c>
      <c r="B399" s="720">
        <v>44851</v>
      </c>
      <c r="C399" s="494" t="s">
        <v>2004</v>
      </c>
      <c r="D399" s="960" t="s">
        <v>1984</v>
      </c>
      <c r="E399" s="996" t="s">
        <v>762</v>
      </c>
      <c r="F399" s="495" t="s">
        <v>1526</v>
      </c>
      <c r="G399" s="960"/>
      <c r="H399" s="960"/>
      <c r="I399" s="671" t="s">
        <v>1639</v>
      </c>
      <c r="J399" s="952" t="s">
        <v>2005</v>
      </c>
      <c r="K399" s="965" t="str">
        <f>IF(L399=0,"",(INDEX(AccountCodes[ACCOUNT NAME],MATCH(L399,AccountCodes[NGAS CODE],0))))</f>
        <v>Cash in Bank-Local Currency, Current Account - FO</v>
      </c>
      <c r="L399" s="966" t="s">
        <v>1566</v>
      </c>
      <c r="M399" s="967"/>
      <c r="N399" s="967">
        <v>1888.98</v>
      </c>
      <c r="O399" s="1018"/>
      <c r="P399" s="987">
        <f t="shared" si="7"/>
        <v>0</v>
      </c>
    </row>
    <row r="400" spans="1:16" ht="31.5" hidden="1" x14ac:dyDescent="0.25">
      <c r="A400" s="541">
        <v>44865</v>
      </c>
      <c r="B400" s="720">
        <v>44851</v>
      </c>
      <c r="C400" s="494" t="s">
        <v>2006</v>
      </c>
      <c r="D400" s="960" t="s">
        <v>1984</v>
      </c>
      <c r="E400" s="996" t="s">
        <v>762</v>
      </c>
      <c r="F400" s="495" t="s">
        <v>1526</v>
      </c>
      <c r="G400" s="494"/>
      <c r="H400" s="494"/>
      <c r="I400" s="963" t="s">
        <v>1639</v>
      </c>
      <c r="J400" s="952" t="s">
        <v>2007</v>
      </c>
      <c r="K400" s="680" t="str">
        <f>IF(L400=0,"",(INDEX(AccountCodes[ACCOUNT NAME],MATCH(L400,AccountCodes[NGAS CODE],0))))</f>
        <v>Due to Pag-IBIG - MP2</v>
      </c>
      <c r="L400" s="955" t="s">
        <v>1508</v>
      </c>
      <c r="M400" s="956">
        <v>4000</v>
      </c>
      <c r="N400" s="956"/>
      <c r="O400" s="1017"/>
      <c r="P400" s="987">
        <f t="shared" si="7"/>
        <v>4000</v>
      </c>
    </row>
    <row r="401" spans="1:16" ht="31.5" hidden="1" x14ac:dyDescent="0.25">
      <c r="A401" s="541">
        <v>44865</v>
      </c>
      <c r="B401" s="959">
        <v>44851</v>
      </c>
      <c r="C401" s="494" t="s">
        <v>2006</v>
      </c>
      <c r="D401" s="960" t="s">
        <v>1984</v>
      </c>
      <c r="E401" s="996" t="s">
        <v>762</v>
      </c>
      <c r="F401" s="495" t="s">
        <v>1526</v>
      </c>
      <c r="G401" s="960"/>
      <c r="H401" s="960"/>
      <c r="I401" s="963" t="s">
        <v>1639</v>
      </c>
      <c r="J401" s="952" t="s">
        <v>2007</v>
      </c>
      <c r="K401" s="965" t="str">
        <f>IF(L401=0,"",(INDEX(AccountCodes[ACCOUNT NAME],MATCH(L401,AccountCodes[NGAS CODE],0))))</f>
        <v>Cash in Bank-Local Currency, Current Account - FO</v>
      </c>
      <c r="L401" s="966" t="s">
        <v>1566</v>
      </c>
      <c r="M401" s="967"/>
      <c r="N401" s="967">
        <v>4000</v>
      </c>
      <c r="O401" s="1018"/>
      <c r="P401" s="987">
        <f t="shared" si="7"/>
        <v>0</v>
      </c>
    </row>
    <row r="402" spans="1:16" ht="31.5" hidden="1" x14ac:dyDescent="0.25">
      <c r="A402" s="541">
        <v>44865</v>
      </c>
      <c r="B402" s="720">
        <v>44851</v>
      </c>
      <c r="C402" s="494" t="s">
        <v>2008</v>
      </c>
      <c r="D402" s="960" t="s">
        <v>1984</v>
      </c>
      <c r="E402" s="996" t="s">
        <v>762</v>
      </c>
      <c r="F402" s="495" t="s">
        <v>1526</v>
      </c>
      <c r="G402" s="494"/>
      <c r="H402" s="494"/>
      <c r="I402" s="963" t="s">
        <v>1636</v>
      </c>
      <c r="J402" s="952" t="s">
        <v>2009</v>
      </c>
      <c r="K402" s="680" t="str">
        <f>IF(L402=0,"",(INDEX(AccountCodes[ACCOUNT NAME],MATCH(L402,AccountCodes[NGAS CODE],0))))</f>
        <v>PhilHealth Contributions</v>
      </c>
      <c r="L402" s="953" t="s">
        <v>177</v>
      </c>
      <c r="M402" s="956">
        <v>1588.98</v>
      </c>
      <c r="N402" s="956"/>
      <c r="O402" s="1029" t="s">
        <v>2001</v>
      </c>
      <c r="P402" s="987">
        <f t="shared" si="7"/>
        <v>1588.98</v>
      </c>
    </row>
    <row r="403" spans="1:16" ht="31.5" hidden="1" x14ac:dyDescent="0.25">
      <c r="A403" s="541">
        <v>44865</v>
      </c>
      <c r="B403" s="959">
        <v>44851</v>
      </c>
      <c r="C403" s="494" t="s">
        <v>2008</v>
      </c>
      <c r="D403" s="960" t="s">
        <v>1984</v>
      </c>
      <c r="E403" s="995" t="s">
        <v>762</v>
      </c>
      <c r="F403" s="962" t="s">
        <v>1526</v>
      </c>
      <c r="G403" s="960"/>
      <c r="H403" s="960"/>
      <c r="I403" s="963" t="s">
        <v>1636</v>
      </c>
      <c r="J403" s="952" t="s">
        <v>2009</v>
      </c>
      <c r="K403" s="965" t="str">
        <f>IF(L403=0,"",(INDEX(AccountCodes[ACCOUNT NAME],MATCH(L403,AccountCodes[NGAS CODE],0))))</f>
        <v>Due to PhilHealth</v>
      </c>
      <c r="L403" s="978" t="s">
        <v>112</v>
      </c>
      <c r="M403" s="967">
        <v>1588.98</v>
      </c>
      <c r="N403" s="967"/>
      <c r="O403" s="1018"/>
      <c r="P403" s="987">
        <f t="shared" si="7"/>
        <v>3177.96</v>
      </c>
    </row>
    <row r="404" spans="1:16" ht="31.5" hidden="1" x14ac:dyDescent="0.25">
      <c r="A404" s="541">
        <v>44865</v>
      </c>
      <c r="B404" s="720">
        <v>44851</v>
      </c>
      <c r="C404" s="494" t="s">
        <v>2008</v>
      </c>
      <c r="D404" s="494" t="s">
        <v>1984</v>
      </c>
      <c r="E404" s="996" t="s">
        <v>762</v>
      </c>
      <c r="F404" s="495" t="s">
        <v>1526</v>
      </c>
      <c r="G404" s="494"/>
      <c r="H404" s="494"/>
      <c r="I404" s="671" t="s">
        <v>1636</v>
      </c>
      <c r="J404" s="952" t="s">
        <v>2009</v>
      </c>
      <c r="K404" s="680" t="str">
        <f>IF(L404=0,"",(INDEX(AccountCodes[ACCOUNT NAME],MATCH(L404,AccountCodes[NGAS CODE],0))))</f>
        <v>Cash in Bank-Local Currency, Current Account - FO</v>
      </c>
      <c r="L404" s="955" t="s">
        <v>1566</v>
      </c>
      <c r="M404" s="956"/>
      <c r="N404" s="956">
        <v>3177.96</v>
      </c>
      <c r="O404" s="1017"/>
      <c r="P404" s="987">
        <f t="shared" si="7"/>
        <v>0</v>
      </c>
    </row>
    <row r="405" spans="1:16" ht="94.5" hidden="1" x14ac:dyDescent="0.25">
      <c r="A405" s="541">
        <v>44865</v>
      </c>
      <c r="B405" s="720">
        <v>44851</v>
      </c>
      <c r="C405" s="494" t="s">
        <v>2010</v>
      </c>
      <c r="D405" s="960" t="s">
        <v>1984</v>
      </c>
      <c r="E405" s="995" t="s">
        <v>762</v>
      </c>
      <c r="F405" s="962" t="s">
        <v>1526</v>
      </c>
      <c r="G405" s="494"/>
      <c r="H405" s="494"/>
      <c r="I405" s="671" t="s">
        <v>1638</v>
      </c>
      <c r="J405" s="985" t="s">
        <v>2011</v>
      </c>
      <c r="K405" s="680" t="str">
        <f>IF(L405=0,"",(INDEX(AccountCodes[ACCOUNT NAME],MATCH(L405,AccountCodes[NGAS CODE],0))))</f>
        <v>Due to BIR - Compensation</v>
      </c>
      <c r="L405" s="953" t="s">
        <v>1546</v>
      </c>
      <c r="M405" s="956">
        <v>1706.01</v>
      </c>
      <c r="N405" s="956"/>
      <c r="O405" s="1017"/>
      <c r="P405" s="987">
        <f t="shared" si="7"/>
        <v>1706.01</v>
      </c>
    </row>
    <row r="406" spans="1:16" ht="94.5" hidden="1" x14ac:dyDescent="0.25">
      <c r="A406" s="541">
        <v>44865</v>
      </c>
      <c r="B406" s="720">
        <v>44851</v>
      </c>
      <c r="C406" s="494" t="s">
        <v>2010</v>
      </c>
      <c r="D406" s="494" t="s">
        <v>1984</v>
      </c>
      <c r="E406" s="996" t="s">
        <v>762</v>
      </c>
      <c r="F406" s="495" t="s">
        <v>1526</v>
      </c>
      <c r="G406" s="494"/>
      <c r="H406" s="494"/>
      <c r="I406" s="671" t="s">
        <v>1638</v>
      </c>
      <c r="J406" s="985" t="s">
        <v>2011</v>
      </c>
      <c r="K406" s="680" t="str">
        <f>IF(L406=0,"",(INDEX(AccountCodes[ACCOUNT NAME],MATCH(L406,AccountCodes[NGAS CODE],0))))</f>
        <v>Cash in Bank-Local Currency, Current Account - FO</v>
      </c>
      <c r="L406" s="955" t="s">
        <v>1566</v>
      </c>
      <c r="M406" s="956"/>
      <c r="N406" s="956">
        <v>1706.01</v>
      </c>
      <c r="O406" s="1017"/>
      <c r="P406" s="987">
        <f t="shared" si="7"/>
        <v>0</v>
      </c>
    </row>
    <row r="407" spans="1:16" ht="47.25" hidden="1" x14ac:dyDescent="0.25">
      <c r="A407" s="541">
        <v>44865</v>
      </c>
      <c r="B407" s="720">
        <v>44859</v>
      </c>
      <c r="C407" s="494" t="s">
        <v>2012</v>
      </c>
      <c r="D407" s="960" t="s">
        <v>1984</v>
      </c>
      <c r="E407" s="995" t="s">
        <v>762</v>
      </c>
      <c r="F407" s="962" t="s">
        <v>1526</v>
      </c>
      <c r="G407" s="494"/>
      <c r="H407" s="494"/>
      <c r="I407" s="671" t="s">
        <v>1643</v>
      </c>
      <c r="J407" s="985" t="s">
        <v>2013</v>
      </c>
      <c r="K407" s="680" t="str">
        <f>IF(L407=0,"",(INDEX(AccountCodes[ACCOUNT NAME],MATCH(L407,AccountCodes[NGAS CODE],0))))</f>
        <v>Traveling Expenses-Local</v>
      </c>
      <c r="L407" s="953" t="s">
        <v>223</v>
      </c>
      <c r="M407" s="956">
        <v>9225</v>
      </c>
      <c r="N407" s="956"/>
      <c r="O407" s="1029" t="s">
        <v>1993</v>
      </c>
      <c r="P407" s="987">
        <f t="shared" si="7"/>
        <v>9225</v>
      </c>
    </row>
    <row r="408" spans="1:16" ht="47.25" hidden="1" x14ac:dyDescent="0.25">
      <c r="A408" s="541">
        <v>44865</v>
      </c>
      <c r="B408" s="720">
        <v>44859</v>
      </c>
      <c r="C408" s="494" t="s">
        <v>2012</v>
      </c>
      <c r="D408" s="494" t="s">
        <v>1984</v>
      </c>
      <c r="E408" s="996" t="s">
        <v>762</v>
      </c>
      <c r="F408" s="495" t="s">
        <v>1526</v>
      </c>
      <c r="G408" s="494"/>
      <c r="H408" s="494"/>
      <c r="I408" s="671" t="s">
        <v>1643</v>
      </c>
      <c r="J408" s="985" t="s">
        <v>2013</v>
      </c>
      <c r="K408" s="680" t="str">
        <f>IF(L408=0,"",(INDEX(AccountCodes[ACCOUNT NAME],MATCH(L408,AccountCodes[NGAS CODE],0))))</f>
        <v>Cash in Bank-Local Currency, Current Account - FO</v>
      </c>
      <c r="L408" s="955" t="s">
        <v>1566</v>
      </c>
      <c r="M408" s="956"/>
      <c r="N408" s="956">
        <v>9225</v>
      </c>
      <c r="O408" s="1017"/>
      <c r="P408" s="987">
        <f t="shared" si="7"/>
        <v>0</v>
      </c>
    </row>
    <row r="409" spans="1:16" ht="63" hidden="1" x14ac:dyDescent="0.25">
      <c r="A409" s="541">
        <v>44865</v>
      </c>
      <c r="B409" s="720">
        <v>44862</v>
      </c>
      <c r="C409" s="494" t="s">
        <v>2014</v>
      </c>
      <c r="D409" s="494" t="s">
        <v>1984</v>
      </c>
      <c r="E409" s="996" t="s">
        <v>762</v>
      </c>
      <c r="F409" s="495" t="s">
        <v>1526</v>
      </c>
      <c r="G409" s="494"/>
      <c r="H409" s="494"/>
      <c r="I409" s="671" t="s">
        <v>1638</v>
      </c>
      <c r="J409" s="952" t="s">
        <v>2015</v>
      </c>
      <c r="K409" s="680" t="str">
        <f>IF(L409=0,"",(INDEX(AccountCodes[ACCOUNT NAME],MATCH(L409,AccountCodes[NGAS CODE],0))))</f>
        <v>Due to BIR - 2%</v>
      </c>
      <c r="L409" s="955" t="s">
        <v>1550</v>
      </c>
      <c r="M409" s="956">
        <v>44684.78</v>
      </c>
      <c r="N409" s="956"/>
      <c r="O409" s="1017"/>
      <c r="P409" s="987">
        <f t="shared" si="7"/>
        <v>44684.78</v>
      </c>
    </row>
    <row r="410" spans="1:16" ht="63" hidden="1" x14ac:dyDescent="0.25">
      <c r="A410" s="541">
        <v>44865</v>
      </c>
      <c r="B410" s="720">
        <v>44862</v>
      </c>
      <c r="C410" s="494" t="s">
        <v>2014</v>
      </c>
      <c r="D410" s="960" t="s">
        <v>1984</v>
      </c>
      <c r="E410" s="995" t="s">
        <v>762</v>
      </c>
      <c r="F410" s="962" t="s">
        <v>1526</v>
      </c>
      <c r="G410" s="494"/>
      <c r="H410" s="494"/>
      <c r="I410" s="671" t="s">
        <v>1638</v>
      </c>
      <c r="J410" s="952" t="s">
        <v>2015</v>
      </c>
      <c r="K410" s="680" t="str">
        <f>IF(L410=0,"",(INDEX(AccountCodes[ACCOUNT NAME],MATCH(L410,AccountCodes[NGAS CODE],0))))</f>
        <v>Due to BIR - 1%</v>
      </c>
      <c r="L410" s="955" t="s">
        <v>1554</v>
      </c>
      <c r="M410" s="956">
        <v>587.04999999999995</v>
      </c>
      <c r="N410" s="956"/>
      <c r="O410" s="1017"/>
      <c r="P410" s="987">
        <f t="shared" si="7"/>
        <v>45271.83</v>
      </c>
    </row>
    <row r="411" spans="1:16" ht="63" hidden="1" x14ac:dyDescent="0.25">
      <c r="A411" s="541">
        <v>44865</v>
      </c>
      <c r="B411" s="720">
        <v>44862</v>
      </c>
      <c r="C411" s="494" t="s">
        <v>2014</v>
      </c>
      <c r="D411" s="494" t="s">
        <v>1984</v>
      </c>
      <c r="E411" s="996" t="s">
        <v>762</v>
      </c>
      <c r="F411" s="495" t="s">
        <v>1526</v>
      </c>
      <c r="G411" s="494"/>
      <c r="H411" s="494"/>
      <c r="I411" s="671" t="s">
        <v>1638</v>
      </c>
      <c r="J411" s="952" t="s">
        <v>2015</v>
      </c>
      <c r="K411" s="680" t="str">
        <f>IF(L411=0,"",(INDEX(AccountCodes[ACCOUNT NAME],MATCH(L411,AccountCodes[NGAS CODE],0))))</f>
        <v>Cash in Bank-Local Currency, Current Account - FO</v>
      </c>
      <c r="L411" s="955" t="s">
        <v>1566</v>
      </c>
      <c r="M411" s="956"/>
      <c r="N411" s="956">
        <v>45271.83</v>
      </c>
      <c r="O411" s="1017"/>
      <c r="P411" s="987">
        <f t="shared" si="7"/>
        <v>0</v>
      </c>
    </row>
    <row r="412" spans="1:16" ht="63" hidden="1" x14ac:dyDescent="0.25">
      <c r="A412" s="541">
        <v>44865</v>
      </c>
      <c r="B412" s="959">
        <v>44862</v>
      </c>
      <c r="C412" s="960" t="s">
        <v>2016</v>
      </c>
      <c r="D412" s="494" t="s">
        <v>1984</v>
      </c>
      <c r="E412" s="996" t="s">
        <v>762</v>
      </c>
      <c r="F412" s="495" t="s">
        <v>1526</v>
      </c>
      <c r="G412" s="960"/>
      <c r="H412" s="960"/>
      <c r="I412" s="963" t="s">
        <v>1638</v>
      </c>
      <c r="J412" s="974" t="s">
        <v>2017</v>
      </c>
      <c r="K412" s="965" t="str">
        <f>IF(L412=0,"",(INDEX(AccountCodes[ACCOUNT NAME],MATCH(L412,AccountCodes[NGAS CODE],0))))</f>
        <v>Due to BIR - 5%</v>
      </c>
      <c r="L412" s="966" t="s">
        <v>1548</v>
      </c>
      <c r="M412" s="967">
        <v>112467.23</v>
      </c>
      <c r="N412" s="967"/>
      <c r="O412" s="1018"/>
      <c r="P412" s="987">
        <f t="shared" si="7"/>
        <v>112467.23</v>
      </c>
    </row>
    <row r="413" spans="1:16" ht="63" hidden="1" x14ac:dyDescent="0.25">
      <c r="A413" s="541">
        <v>44865</v>
      </c>
      <c r="B413" s="720">
        <v>44862</v>
      </c>
      <c r="C413" s="494" t="s">
        <v>2016</v>
      </c>
      <c r="D413" s="960" t="s">
        <v>1984</v>
      </c>
      <c r="E413" s="995" t="s">
        <v>762</v>
      </c>
      <c r="F413" s="962" t="s">
        <v>1526</v>
      </c>
      <c r="G413" s="494"/>
      <c r="H413" s="494"/>
      <c r="I413" s="671" t="s">
        <v>1638</v>
      </c>
      <c r="J413" s="974" t="s">
        <v>2017</v>
      </c>
      <c r="K413" s="680" t="str">
        <f>IF(L413=0,"",(INDEX(AccountCodes[ACCOUNT NAME],MATCH(L413,AccountCodes[NGAS CODE],0))))</f>
        <v>Due to BIR - 1%</v>
      </c>
      <c r="L413" s="955" t="s">
        <v>1554</v>
      </c>
      <c r="M413" s="956">
        <v>436</v>
      </c>
      <c r="N413" s="956"/>
      <c r="O413" s="1017"/>
      <c r="P413" s="987">
        <f t="shared" si="7"/>
        <v>112903.23</v>
      </c>
    </row>
    <row r="414" spans="1:16" ht="63" hidden="1" x14ac:dyDescent="0.25">
      <c r="A414" s="541">
        <v>44865</v>
      </c>
      <c r="B414" s="720">
        <v>44862</v>
      </c>
      <c r="C414" s="494" t="s">
        <v>2016</v>
      </c>
      <c r="D414" s="494" t="s">
        <v>1984</v>
      </c>
      <c r="E414" s="996" t="s">
        <v>762</v>
      </c>
      <c r="F414" s="495" t="s">
        <v>1526</v>
      </c>
      <c r="G414" s="494"/>
      <c r="H414" s="494"/>
      <c r="I414" s="671" t="s">
        <v>1638</v>
      </c>
      <c r="J414" s="974" t="s">
        <v>2017</v>
      </c>
      <c r="K414" s="680" t="str">
        <f>IF(L414=0,"",(INDEX(AccountCodes[ACCOUNT NAME],MATCH(L414,AccountCodes[NGAS CODE],0))))</f>
        <v>Cash in Bank-Local Currency, Current Account - FO</v>
      </c>
      <c r="L414" s="955" t="s">
        <v>1566</v>
      </c>
      <c r="M414" s="956"/>
      <c r="N414" s="956">
        <v>112903.23</v>
      </c>
      <c r="O414" s="1017"/>
      <c r="P414" s="987">
        <f t="shared" si="7"/>
        <v>0</v>
      </c>
    </row>
    <row r="415" spans="1:16" hidden="1" x14ac:dyDescent="0.25">
      <c r="A415" s="541">
        <v>44865</v>
      </c>
      <c r="B415" s="720">
        <v>44862</v>
      </c>
      <c r="C415" s="494"/>
      <c r="D415" s="960" t="s">
        <v>1984</v>
      </c>
      <c r="E415" s="995" t="s">
        <v>762</v>
      </c>
      <c r="F415" s="962" t="s">
        <v>1526</v>
      </c>
      <c r="G415" s="494"/>
      <c r="H415" s="494"/>
      <c r="I415" s="671" t="s">
        <v>2019</v>
      </c>
      <c r="J415" s="985"/>
      <c r="K415" s="680" t="str">
        <f>IF(L415=0,"",(INDEX(AccountCodes[ACCOUNT NAME],MATCH(L415,AccountCodes[NGAS CODE],0))))</f>
        <v>Bank Charges</v>
      </c>
      <c r="L415" s="955" t="s">
        <v>340</v>
      </c>
      <c r="M415" s="956">
        <v>600</v>
      </c>
      <c r="N415" s="956"/>
      <c r="O415" s="1017"/>
      <c r="P415" s="987">
        <f t="shared" ref="P415:P478" si="8">P414+M415-N415</f>
        <v>600</v>
      </c>
    </row>
    <row r="416" spans="1:16" hidden="1" x14ac:dyDescent="0.25">
      <c r="A416" s="541">
        <v>44865</v>
      </c>
      <c r="B416" s="720">
        <v>44862</v>
      </c>
      <c r="C416" s="960"/>
      <c r="D416" s="494" t="s">
        <v>1984</v>
      </c>
      <c r="E416" s="996" t="s">
        <v>762</v>
      </c>
      <c r="F416" s="495" t="s">
        <v>1526</v>
      </c>
      <c r="G416" s="960"/>
      <c r="H416" s="960"/>
      <c r="I416" s="963" t="s">
        <v>2019</v>
      </c>
      <c r="J416" s="986"/>
      <c r="K416" s="965" t="str">
        <f>IF(L416=0,"",(INDEX(AccountCodes[ACCOUNT NAME],MATCH(L416,AccountCodes[NGAS CODE],0))))</f>
        <v>Cash in Bank-Local Currency, Current Account - FO</v>
      </c>
      <c r="L416" s="966" t="s">
        <v>1566</v>
      </c>
      <c r="M416" s="967"/>
      <c r="N416" s="967">
        <v>600</v>
      </c>
      <c r="O416" s="1018"/>
      <c r="P416" s="987">
        <f t="shared" si="8"/>
        <v>0</v>
      </c>
    </row>
    <row r="417" spans="1:16" ht="47.25" hidden="1" x14ac:dyDescent="0.25">
      <c r="A417" s="541">
        <v>44895</v>
      </c>
      <c r="B417" s="720">
        <v>44869</v>
      </c>
      <c r="C417" s="494" t="s">
        <v>2023</v>
      </c>
      <c r="D417" s="145" t="s">
        <v>2095</v>
      </c>
      <c r="E417" s="996" t="s">
        <v>762</v>
      </c>
      <c r="F417" s="495" t="s">
        <v>1526</v>
      </c>
      <c r="G417" s="494"/>
      <c r="H417" s="494"/>
      <c r="I417" s="671" t="s">
        <v>2024</v>
      </c>
      <c r="J417" s="952" t="s">
        <v>2025</v>
      </c>
      <c r="K417" s="680" t="str">
        <f>IF(L417=0,"",(INDEX(AccountCodes[ACCOUNT NAME],MATCH(L417,AccountCodes[NGAS CODE],0))))</f>
        <v>Other Maintenance and Operating Expenses - Other Maintenance and Operating Expenses</v>
      </c>
      <c r="L417" s="955" t="s">
        <v>405</v>
      </c>
      <c r="M417" s="956">
        <v>57768.2</v>
      </c>
      <c r="N417" s="956"/>
      <c r="O417" s="1031" t="s">
        <v>2079</v>
      </c>
      <c r="P417" s="987">
        <f t="shared" si="8"/>
        <v>57768.2</v>
      </c>
    </row>
    <row r="418" spans="1:16" ht="47.25" hidden="1" x14ac:dyDescent="0.25">
      <c r="A418" s="541">
        <v>44895</v>
      </c>
      <c r="B418" s="720">
        <v>44869</v>
      </c>
      <c r="C418" s="494" t="s">
        <v>2023</v>
      </c>
      <c r="D418" s="145" t="s">
        <v>2095</v>
      </c>
      <c r="E418" s="995" t="s">
        <v>762</v>
      </c>
      <c r="F418" s="962" t="s">
        <v>1526</v>
      </c>
      <c r="G418" s="494"/>
      <c r="H418" s="494"/>
      <c r="I418" s="671" t="s">
        <v>2024</v>
      </c>
      <c r="J418" s="952" t="s">
        <v>2025</v>
      </c>
      <c r="K418" s="680" t="str">
        <f>IF(L418=0,"",(INDEX(AccountCodes[ACCOUNT NAME],MATCH(L418,AccountCodes[NGAS CODE],0))))</f>
        <v>Other Payables</v>
      </c>
      <c r="L418" s="955" t="s">
        <v>117</v>
      </c>
      <c r="M418" s="956"/>
      <c r="N418" s="956">
        <v>9165.7900000000009</v>
      </c>
      <c r="O418" s="1017"/>
      <c r="P418" s="987">
        <f t="shared" si="8"/>
        <v>48602.41</v>
      </c>
    </row>
    <row r="419" spans="1:16" ht="47.25" hidden="1" x14ac:dyDescent="0.25">
      <c r="A419" s="541">
        <v>44895</v>
      </c>
      <c r="B419" s="720">
        <v>44869</v>
      </c>
      <c r="C419" s="494" t="s">
        <v>2023</v>
      </c>
      <c r="D419" s="145" t="s">
        <v>2095</v>
      </c>
      <c r="E419" s="996" t="s">
        <v>762</v>
      </c>
      <c r="F419" s="495" t="s">
        <v>1526</v>
      </c>
      <c r="G419" s="494"/>
      <c r="H419" s="494"/>
      <c r="I419" s="671" t="s">
        <v>2024</v>
      </c>
      <c r="J419" s="952" t="s">
        <v>2025</v>
      </c>
      <c r="K419" s="680" t="str">
        <f>IF(L419=0,"",(INDEX(AccountCodes[ACCOUNT NAME],MATCH(L419,AccountCodes[NGAS CODE],0))))</f>
        <v>Cash in Bank-Local Currency, Current Account - FO</v>
      </c>
      <c r="L419" s="955" t="s">
        <v>1566</v>
      </c>
      <c r="M419" s="956"/>
      <c r="N419" s="956">
        <v>48602.41</v>
      </c>
      <c r="O419" s="1017"/>
      <c r="P419" s="987">
        <f t="shared" si="8"/>
        <v>0</v>
      </c>
    </row>
    <row r="420" spans="1:16" ht="47.25" hidden="1" x14ac:dyDescent="0.25">
      <c r="A420" s="541">
        <v>44895</v>
      </c>
      <c r="B420" s="720">
        <v>44869</v>
      </c>
      <c r="C420" s="494" t="s">
        <v>2026</v>
      </c>
      <c r="D420" s="145" t="s">
        <v>2095</v>
      </c>
      <c r="E420" s="995" t="s">
        <v>762</v>
      </c>
      <c r="F420" s="962" t="s">
        <v>1526</v>
      </c>
      <c r="G420" s="494"/>
      <c r="H420" s="494"/>
      <c r="I420" s="671" t="s">
        <v>2027</v>
      </c>
      <c r="J420" s="952" t="s">
        <v>2028</v>
      </c>
      <c r="K420" s="680" t="str">
        <f>IF(L420=0,"",(INDEX(AccountCodes[ACCOUNT NAME],MATCH(L420,AccountCodes[NGAS CODE],0))))</f>
        <v>Other Maintenance and Operating Expenses - Other Maintenance and Operating Expenses</v>
      </c>
      <c r="L420" s="955" t="s">
        <v>405</v>
      </c>
      <c r="M420" s="956">
        <v>5971.46</v>
      </c>
      <c r="N420" s="956"/>
      <c r="O420" s="1031" t="s">
        <v>2079</v>
      </c>
      <c r="P420" s="987">
        <f t="shared" si="8"/>
        <v>5971.46</v>
      </c>
    </row>
    <row r="421" spans="1:16" ht="47.25" hidden="1" x14ac:dyDescent="0.25">
      <c r="A421" s="541">
        <v>44895</v>
      </c>
      <c r="B421" s="720">
        <v>44869</v>
      </c>
      <c r="C421" s="494" t="s">
        <v>2026</v>
      </c>
      <c r="D421" s="145" t="s">
        <v>2095</v>
      </c>
      <c r="E421" s="996" t="s">
        <v>762</v>
      </c>
      <c r="F421" s="495" t="s">
        <v>1526</v>
      </c>
      <c r="G421" s="494"/>
      <c r="H421" s="494"/>
      <c r="I421" s="671" t="s">
        <v>2027</v>
      </c>
      <c r="J421" s="952" t="s">
        <v>2028</v>
      </c>
      <c r="K421" s="680" t="str">
        <f>IF(L421=0,"",(INDEX(AccountCodes[ACCOUNT NAME],MATCH(L421,AccountCodes[NGAS CODE],0))))</f>
        <v>Cash in Bank-Local Currency, Current Account - FO</v>
      </c>
      <c r="L421" s="955" t="s">
        <v>1566</v>
      </c>
      <c r="M421" s="956"/>
      <c r="N421" s="956">
        <v>5971.46</v>
      </c>
      <c r="O421" s="1017"/>
      <c r="P421" s="987">
        <f t="shared" si="8"/>
        <v>0</v>
      </c>
    </row>
    <row r="422" spans="1:16" ht="94.5" hidden="1" x14ac:dyDescent="0.25">
      <c r="A422" s="541">
        <v>44895</v>
      </c>
      <c r="B422" s="720">
        <v>44869</v>
      </c>
      <c r="C422" s="494" t="s">
        <v>2029</v>
      </c>
      <c r="D422" s="145" t="s">
        <v>2095</v>
      </c>
      <c r="E422" s="996" t="s">
        <v>762</v>
      </c>
      <c r="F422" s="495" t="s">
        <v>1526</v>
      </c>
      <c r="G422" s="494"/>
      <c r="H422" s="494"/>
      <c r="I422" s="671" t="s">
        <v>2030</v>
      </c>
      <c r="J422" s="985" t="s">
        <v>2031</v>
      </c>
      <c r="K422" s="680" t="str">
        <f>IF(L422=0,"",(INDEX(AccountCodes[ACCOUNT NAME],MATCH(L422,AccountCodes[NGAS CODE],0))))</f>
        <v>Advances to Contractors</v>
      </c>
      <c r="L422" s="955" t="s">
        <v>35</v>
      </c>
      <c r="M422" s="956">
        <v>998181.31</v>
      </c>
      <c r="N422" s="956"/>
      <c r="O422" s="1031" t="s">
        <v>2096</v>
      </c>
      <c r="P422" s="987">
        <f t="shared" si="8"/>
        <v>998181.31</v>
      </c>
    </row>
    <row r="423" spans="1:16" ht="94.5" hidden="1" x14ac:dyDescent="0.25">
      <c r="A423" s="541">
        <v>44895</v>
      </c>
      <c r="B423" s="720">
        <v>44869</v>
      </c>
      <c r="C423" s="494" t="s">
        <v>2029</v>
      </c>
      <c r="D423" s="145" t="s">
        <v>2095</v>
      </c>
      <c r="E423" s="995" t="s">
        <v>762</v>
      </c>
      <c r="F423" s="962" t="s">
        <v>1526</v>
      </c>
      <c r="G423" s="494"/>
      <c r="H423" s="494"/>
      <c r="I423" s="671" t="s">
        <v>2030</v>
      </c>
      <c r="J423" s="985" t="s">
        <v>2031</v>
      </c>
      <c r="K423" s="680" t="str">
        <f>IF(L423=0,"",(INDEX(AccountCodes[ACCOUNT NAME],MATCH(L423,AccountCodes[NGAS CODE],0))))</f>
        <v>Cash in Bank-Local Currency, Current Account - FO</v>
      </c>
      <c r="L423" s="955" t="s">
        <v>1566</v>
      </c>
      <c r="M423" s="956"/>
      <c r="N423" s="956">
        <v>998181.31</v>
      </c>
      <c r="O423" s="1017"/>
      <c r="P423" s="987">
        <f t="shared" si="8"/>
        <v>0</v>
      </c>
    </row>
    <row r="424" spans="1:16" ht="63" hidden="1" x14ac:dyDescent="0.25">
      <c r="A424" s="541">
        <v>44895</v>
      </c>
      <c r="B424" s="720">
        <v>44879</v>
      </c>
      <c r="C424" s="494" t="s">
        <v>2032</v>
      </c>
      <c r="D424" s="145" t="s">
        <v>2095</v>
      </c>
      <c r="E424" s="996" t="s">
        <v>762</v>
      </c>
      <c r="F424" s="495" t="s">
        <v>1526</v>
      </c>
      <c r="G424" s="494"/>
      <c r="H424" s="494"/>
      <c r="I424" s="671" t="s">
        <v>1999</v>
      </c>
      <c r="J424" s="985" t="s">
        <v>2033</v>
      </c>
      <c r="K424" s="680" t="str">
        <f>IF(L424=0,"",(INDEX(AccountCodes[ACCOUNT NAME],MATCH(L424,AccountCodes[NGAS CODE],0))))</f>
        <v>Salaries and Wages-Regular</v>
      </c>
      <c r="L424" s="955" t="s">
        <v>162</v>
      </c>
      <c r="M424" s="956">
        <v>79449</v>
      </c>
      <c r="N424" s="956"/>
      <c r="O424" s="1029" t="s">
        <v>2045</v>
      </c>
      <c r="P424" s="987">
        <f t="shared" si="8"/>
        <v>79449</v>
      </c>
    </row>
    <row r="425" spans="1:16" ht="63" hidden="1" x14ac:dyDescent="0.25">
      <c r="A425" s="958">
        <v>44895</v>
      </c>
      <c r="B425" s="959">
        <v>44879</v>
      </c>
      <c r="C425" s="960" t="s">
        <v>2032</v>
      </c>
      <c r="D425" s="145" t="s">
        <v>2095</v>
      </c>
      <c r="E425" s="995" t="s">
        <v>762</v>
      </c>
      <c r="F425" s="962" t="s">
        <v>1526</v>
      </c>
      <c r="G425" s="960"/>
      <c r="H425" s="960"/>
      <c r="I425" s="963" t="s">
        <v>1999</v>
      </c>
      <c r="J425" s="986" t="s">
        <v>2033</v>
      </c>
      <c r="K425" s="965" t="str">
        <f>IF(L425=0,"",(INDEX(AccountCodes[ACCOUNT NAME],MATCH(L425,AccountCodes[NGAS CODE],0))))</f>
        <v>Personal Economic Relief Allowance (PERA)</v>
      </c>
      <c r="L425" s="966" t="s">
        <v>164</v>
      </c>
      <c r="M425" s="967">
        <v>6000</v>
      </c>
      <c r="N425" s="967"/>
      <c r="O425" s="1018"/>
      <c r="P425" s="987">
        <f t="shared" si="8"/>
        <v>85449</v>
      </c>
    </row>
    <row r="426" spans="1:16" ht="63" hidden="1" x14ac:dyDescent="0.25">
      <c r="A426" s="958">
        <v>44895</v>
      </c>
      <c r="B426" s="959">
        <v>44879</v>
      </c>
      <c r="C426" s="960" t="s">
        <v>2032</v>
      </c>
      <c r="D426" s="145" t="s">
        <v>2095</v>
      </c>
      <c r="E426" s="996" t="s">
        <v>762</v>
      </c>
      <c r="F426" s="495" t="s">
        <v>1526</v>
      </c>
      <c r="G426" s="960"/>
      <c r="H426" s="960"/>
      <c r="I426" s="963" t="s">
        <v>1999</v>
      </c>
      <c r="J426" s="986" t="s">
        <v>2033</v>
      </c>
      <c r="K426" s="965" t="str">
        <f>IF(L426=0,"",(INDEX(AccountCodes[ACCOUNT NAME],MATCH(L426,AccountCodes[NGAS CODE],0))))</f>
        <v>Due to BIR</v>
      </c>
      <c r="L426" s="966" t="s">
        <v>109</v>
      </c>
      <c r="M426" s="967"/>
      <c r="N426" s="967">
        <v>4133.1099999999997</v>
      </c>
      <c r="O426" s="1018"/>
      <c r="P426" s="987">
        <f t="shared" si="8"/>
        <v>81315.89</v>
      </c>
    </row>
    <row r="427" spans="1:16" ht="63" hidden="1" x14ac:dyDescent="0.25">
      <c r="A427" s="541">
        <v>44895</v>
      </c>
      <c r="B427" s="720">
        <v>44879</v>
      </c>
      <c r="C427" s="494" t="s">
        <v>2032</v>
      </c>
      <c r="D427" s="145" t="s">
        <v>2095</v>
      </c>
      <c r="E427" s="996" t="s">
        <v>762</v>
      </c>
      <c r="F427" s="495" t="s">
        <v>1526</v>
      </c>
      <c r="G427" s="494"/>
      <c r="H427" s="494"/>
      <c r="I427" s="671" t="s">
        <v>1999</v>
      </c>
      <c r="J427" s="985" t="s">
        <v>2033</v>
      </c>
      <c r="K427" s="680" t="str">
        <f>IF(L427=0,"",(INDEX(AccountCodes[ACCOUNT NAME],MATCH(L427,AccountCodes[NGAS CODE],0))))</f>
        <v>Due to GSIS - Life and Retirement Premium</v>
      </c>
      <c r="L427" s="955" t="s">
        <v>1440</v>
      </c>
      <c r="M427" s="956"/>
      <c r="N427" s="956">
        <v>7150.41</v>
      </c>
      <c r="O427" s="1017"/>
      <c r="P427" s="987">
        <f t="shared" si="8"/>
        <v>74165.48</v>
      </c>
    </row>
    <row r="428" spans="1:16" ht="63" hidden="1" x14ac:dyDescent="0.25">
      <c r="A428" s="541">
        <v>44895</v>
      </c>
      <c r="B428" s="720">
        <v>44879</v>
      </c>
      <c r="C428" s="494" t="s">
        <v>2032</v>
      </c>
      <c r="D428" s="145" t="s">
        <v>2095</v>
      </c>
      <c r="E428" s="995" t="s">
        <v>762</v>
      </c>
      <c r="F428" s="962" t="s">
        <v>1526</v>
      </c>
      <c r="G428" s="494"/>
      <c r="H428" s="494"/>
      <c r="I428" s="671" t="s">
        <v>1999</v>
      </c>
      <c r="J428" s="985" t="s">
        <v>2033</v>
      </c>
      <c r="K428" s="680" t="str">
        <f>IF(L428=0,"",(INDEX(AccountCodes[ACCOUNT NAME],MATCH(L428,AccountCodes[NGAS CODE],0))))</f>
        <v>Due to Pag-IBIG - Pag-IBIG Premium</v>
      </c>
      <c r="L428" s="955" t="s">
        <v>1444</v>
      </c>
      <c r="M428" s="956"/>
      <c r="N428" s="956">
        <v>1588.98</v>
      </c>
      <c r="O428" s="1017"/>
      <c r="P428" s="987">
        <f t="shared" si="8"/>
        <v>72576.5</v>
      </c>
    </row>
    <row r="429" spans="1:16" ht="63" hidden="1" x14ac:dyDescent="0.25">
      <c r="A429" s="958">
        <v>44895</v>
      </c>
      <c r="B429" s="959">
        <v>44879</v>
      </c>
      <c r="C429" s="960" t="s">
        <v>2032</v>
      </c>
      <c r="D429" s="145" t="s">
        <v>2095</v>
      </c>
      <c r="E429" s="996" t="s">
        <v>762</v>
      </c>
      <c r="F429" s="495" t="s">
        <v>1526</v>
      </c>
      <c r="G429" s="960"/>
      <c r="H429" s="960"/>
      <c r="I429" s="963" t="s">
        <v>1999</v>
      </c>
      <c r="J429" s="986" t="s">
        <v>2033</v>
      </c>
      <c r="K429" s="965" t="str">
        <f>IF(L429=0,"",(INDEX(AccountCodes[ACCOUNT NAME],MATCH(L429,AccountCodes[NGAS CODE],0))))</f>
        <v>Due to Pag-IBIG - MP2</v>
      </c>
      <c r="L429" s="966" t="s">
        <v>1508</v>
      </c>
      <c r="M429" s="967"/>
      <c r="N429" s="967">
        <v>4000</v>
      </c>
      <c r="O429" s="1018"/>
      <c r="P429" s="987">
        <f t="shared" si="8"/>
        <v>68576.5</v>
      </c>
    </row>
    <row r="430" spans="1:16" ht="63" hidden="1" x14ac:dyDescent="0.25">
      <c r="A430" s="541">
        <v>44895</v>
      </c>
      <c r="B430" s="720">
        <v>44879</v>
      </c>
      <c r="C430" s="494" t="s">
        <v>2032</v>
      </c>
      <c r="D430" s="145" t="s">
        <v>2095</v>
      </c>
      <c r="E430" s="995" t="s">
        <v>762</v>
      </c>
      <c r="F430" s="962" t="s">
        <v>1526</v>
      </c>
      <c r="G430" s="494"/>
      <c r="H430" s="494"/>
      <c r="I430" s="671" t="s">
        <v>1999</v>
      </c>
      <c r="J430" s="985" t="s">
        <v>2033</v>
      </c>
      <c r="K430" s="680" t="str">
        <f>IF(L430=0,"",(INDEX(AccountCodes[ACCOUNT NAME],MATCH(L430,AccountCodes[NGAS CODE],0))))</f>
        <v>Due to PhilHealth</v>
      </c>
      <c r="L430" s="955" t="s">
        <v>112</v>
      </c>
      <c r="M430" s="956"/>
      <c r="N430" s="956">
        <v>3345.78</v>
      </c>
      <c r="O430" s="1017"/>
      <c r="P430" s="987">
        <f t="shared" si="8"/>
        <v>65230.720000000001</v>
      </c>
    </row>
    <row r="431" spans="1:16" ht="63" hidden="1" x14ac:dyDescent="0.25">
      <c r="A431" s="958">
        <v>44895</v>
      </c>
      <c r="B431" s="959">
        <v>44879</v>
      </c>
      <c r="C431" s="960" t="s">
        <v>2032</v>
      </c>
      <c r="D431" s="145" t="s">
        <v>2095</v>
      </c>
      <c r="E431" s="996" t="s">
        <v>762</v>
      </c>
      <c r="F431" s="495" t="s">
        <v>1526</v>
      </c>
      <c r="G431" s="960"/>
      <c r="H431" s="960"/>
      <c r="I431" s="963" t="s">
        <v>1999</v>
      </c>
      <c r="J431" s="986" t="s">
        <v>2033</v>
      </c>
      <c r="K431" s="965" t="str">
        <f>IF(L431=0,"",(INDEX(AccountCodes[ACCOUNT NAME],MATCH(L431,AccountCodes[NGAS CODE],0))))</f>
        <v>Cash in Bank-Local Currency, Current Account - FO</v>
      </c>
      <c r="L431" s="966" t="s">
        <v>1566</v>
      </c>
      <c r="M431" s="967"/>
      <c r="N431" s="967">
        <v>32615.37</v>
      </c>
      <c r="O431" s="1018"/>
      <c r="P431" s="987">
        <f t="shared" si="8"/>
        <v>32615.35</v>
      </c>
    </row>
    <row r="432" spans="1:16" ht="63" hidden="1" x14ac:dyDescent="0.25">
      <c r="A432" s="541">
        <v>44895</v>
      </c>
      <c r="B432" s="720">
        <v>44893</v>
      </c>
      <c r="C432" s="494" t="s">
        <v>2034</v>
      </c>
      <c r="D432" s="145" t="s">
        <v>2095</v>
      </c>
      <c r="E432" s="996" t="s">
        <v>762</v>
      </c>
      <c r="F432" s="495" t="s">
        <v>1526</v>
      </c>
      <c r="G432" s="494"/>
      <c r="H432" s="494"/>
      <c r="I432" s="671" t="s">
        <v>1999</v>
      </c>
      <c r="J432" s="985" t="s">
        <v>2033</v>
      </c>
      <c r="K432" s="680" t="str">
        <f>IF(L432=0,"",(INDEX(AccountCodes[ACCOUNT NAME],MATCH(L432,AccountCodes[NGAS CODE],0))))</f>
        <v>Cash in Bank-Local Currency, Current Account - FO</v>
      </c>
      <c r="L432" s="955" t="s">
        <v>1566</v>
      </c>
      <c r="M432" s="956"/>
      <c r="N432" s="956">
        <v>32615.35</v>
      </c>
      <c r="O432" s="1017"/>
      <c r="P432" s="987">
        <f t="shared" si="8"/>
        <v>0</v>
      </c>
    </row>
    <row r="433" spans="1:16" ht="47.25" x14ac:dyDescent="0.25">
      <c r="A433" s="541">
        <v>44895</v>
      </c>
      <c r="B433" s="720">
        <v>44880</v>
      </c>
      <c r="C433" s="494" t="s">
        <v>2035</v>
      </c>
      <c r="D433" s="145" t="s">
        <v>2095</v>
      </c>
      <c r="E433" s="996" t="s">
        <v>762</v>
      </c>
      <c r="F433" s="495" t="s">
        <v>1526</v>
      </c>
      <c r="G433" s="494"/>
      <c r="H433" s="494"/>
      <c r="I433" s="671" t="s">
        <v>1947</v>
      </c>
      <c r="J433" s="985" t="s">
        <v>2036</v>
      </c>
      <c r="K433" s="680" t="str">
        <f>IF(L433=0,"",(INDEX(AccountCodes[ACCOUNT NAME],MATCH(L433,AccountCodes[NGAS CODE],0))))</f>
        <v>Semi-Expendable Information and Communications Technology Equipment</v>
      </c>
      <c r="L433" s="955" t="s">
        <v>1246</v>
      </c>
      <c r="M433" s="956">
        <v>11980</v>
      </c>
      <c r="N433" s="956"/>
      <c r="O433" s="1029" t="s">
        <v>2082</v>
      </c>
      <c r="P433" s="987">
        <f t="shared" si="8"/>
        <v>11980</v>
      </c>
    </row>
    <row r="434" spans="1:16" ht="47.25" hidden="1" x14ac:dyDescent="0.25">
      <c r="A434" s="541">
        <v>44895</v>
      </c>
      <c r="B434" s="720">
        <v>44880</v>
      </c>
      <c r="C434" s="494" t="s">
        <v>2035</v>
      </c>
      <c r="D434" s="145" t="s">
        <v>2095</v>
      </c>
      <c r="E434" s="995" t="s">
        <v>762</v>
      </c>
      <c r="F434" s="962" t="s">
        <v>1526</v>
      </c>
      <c r="G434" s="494"/>
      <c r="H434" s="494"/>
      <c r="I434" s="671" t="s">
        <v>1947</v>
      </c>
      <c r="J434" s="985" t="s">
        <v>2036</v>
      </c>
      <c r="K434" s="680" t="str">
        <f>IF(L434=0,"",(INDEX(AccountCodes[ACCOUNT NAME],MATCH(L434,AccountCodes[NGAS CODE],0))))</f>
        <v>Due to BIR - 1%</v>
      </c>
      <c r="L434" s="955" t="s">
        <v>1554</v>
      </c>
      <c r="M434" s="956"/>
      <c r="N434" s="956">
        <v>106.96</v>
      </c>
      <c r="O434" s="1017">
        <v>220136</v>
      </c>
      <c r="P434" s="987">
        <f t="shared" si="8"/>
        <v>11873.04</v>
      </c>
    </row>
    <row r="435" spans="1:16" ht="47.25" hidden="1" x14ac:dyDescent="0.25">
      <c r="A435" s="958">
        <v>44895</v>
      </c>
      <c r="B435" s="959">
        <v>44880</v>
      </c>
      <c r="C435" s="960" t="s">
        <v>2035</v>
      </c>
      <c r="D435" s="145" t="s">
        <v>2095</v>
      </c>
      <c r="E435" s="996" t="s">
        <v>762</v>
      </c>
      <c r="F435" s="495" t="s">
        <v>1526</v>
      </c>
      <c r="G435" s="960"/>
      <c r="H435" s="960"/>
      <c r="I435" s="963" t="s">
        <v>1947</v>
      </c>
      <c r="J435" s="986" t="s">
        <v>2036</v>
      </c>
      <c r="K435" s="965" t="str">
        <f>IF(L435=0,"",(INDEX(AccountCodes[ACCOUNT NAME],MATCH(L435,AccountCodes[NGAS CODE],0))))</f>
        <v>Due to BIR - 5%</v>
      </c>
      <c r="L435" s="966" t="s">
        <v>1548</v>
      </c>
      <c r="M435" s="967"/>
      <c r="N435" s="967">
        <v>534.82000000000005</v>
      </c>
      <c r="O435" s="1017">
        <v>220136</v>
      </c>
      <c r="P435" s="987">
        <f t="shared" si="8"/>
        <v>11338.22</v>
      </c>
    </row>
    <row r="436" spans="1:16" ht="47.25" hidden="1" x14ac:dyDescent="0.25">
      <c r="A436" s="541">
        <v>44895</v>
      </c>
      <c r="B436" s="720">
        <v>44880</v>
      </c>
      <c r="C436" s="494" t="s">
        <v>2035</v>
      </c>
      <c r="D436" s="145" t="s">
        <v>2095</v>
      </c>
      <c r="E436" s="996" t="s">
        <v>762</v>
      </c>
      <c r="F436" s="495" t="s">
        <v>1526</v>
      </c>
      <c r="G436" s="494"/>
      <c r="H436" s="494"/>
      <c r="I436" s="671" t="s">
        <v>1947</v>
      </c>
      <c r="J436" s="985" t="s">
        <v>2036</v>
      </c>
      <c r="K436" s="680" t="str">
        <f>IF(L436=0,"",(INDEX(AccountCodes[ACCOUNT NAME],MATCH(L436,AccountCodes[NGAS CODE],0))))</f>
        <v>Cash in Bank-Local Currency, Current Account - FO</v>
      </c>
      <c r="L436" s="955" t="s">
        <v>1566</v>
      </c>
      <c r="M436" s="956"/>
      <c r="N436" s="956">
        <v>11338.22</v>
      </c>
      <c r="O436" s="1017"/>
      <c r="P436" s="987">
        <f t="shared" si="8"/>
        <v>0</v>
      </c>
    </row>
    <row r="437" spans="1:16" ht="63" x14ac:dyDescent="0.25">
      <c r="A437" s="541">
        <v>44895</v>
      </c>
      <c r="B437" s="720">
        <v>44880</v>
      </c>
      <c r="C437" s="494" t="s">
        <v>2037</v>
      </c>
      <c r="D437" s="145" t="s">
        <v>2095</v>
      </c>
      <c r="E437" s="996" t="s">
        <v>762</v>
      </c>
      <c r="F437" s="495" t="s">
        <v>1526</v>
      </c>
      <c r="G437" s="494"/>
      <c r="H437" s="494"/>
      <c r="I437" s="671" t="s">
        <v>1723</v>
      </c>
      <c r="J437" s="985" t="s">
        <v>2038</v>
      </c>
      <c r="K437" s="680" t="str">
        <f>IF(L437=0,"",(INDEX(AccountCodes[ACCOUNT NAME],MATCH(L437,AccountCodes[NGAS CODE],0))))</f>
        <v>Semi-Expendable Office Equipment</v>
      </c>
      <c r="L437" s="955" t="s">
        <v>1245</v>
      </c>
      <c r="M437" s="956">
        <v>34000</v>
      </c>
      <c r="N437" s="956"/>
      <c r="O437" s="1029" t="s">
        <v>2082</v>
      </c>
      <c r="P437" s="987">
        <f t="shared" si="8"/>
        <v>34000</v>
      </c>
    </row>
    <row r="438" spans="1:16" ht="63" hidden="1" x14ac:dyDescent="0.25">
      <c r="A438" s="541">
        <v>44895</v>
      </c>
      <c r="B438" s="720">
        <v>44880</v>
      </c>
      <c r="C438" s="494" t="s">
        <v>2037</v>
      </c>
      <c r="D438" s="145" t="s">
        <v>2095</v>
      </c>
      <c r="E438" s="995" t="s">
        <v>762</v>
      </c>
      <c r="F438" s="962" t="s">
        <v>1526</v>
      </c>
      <c r="G438" s="494"/>
      <c r="H438" s="494"/>
      <c r="I438" s="671" t="s">
        <v>1723</v>
      </c>
      <c r="J438" s="952" t="s">
        <v>2039</v>
      </c>
      <c r="K438" s="680" t="str">
        <f>IF(L438=0,"",(INDEX(AccountCodes[ACCOUNT NAME],MATCH(L438,AccountCodes[NGAS CODE],0))))</f>
        <v>Due to BIR - 1%</v>
      </c>
      <c r="L438" s="955" t="s">
        <v>1554</v>
      </c>
      <c r="M438" s="956"/>
      <c r="N438" s="956">
        <v>303.57</v>
      </c>
      <c r="O438" s="1017">
        <v>220136</v>
      </c>
      <c r="P438" s="987">
        <f t="shared" si="8"/>
        <v>33696.43</v>
      </c>
    </row>
    <row r="439" spans="1:16" ht="63" hidden="1" x14ac:dyDescent="0.25">
      <c r="A439" s="541">
        <v>44895</v>
      </c>
      <c r="B439" s="720">
        <v>44880</v>
      </c>
      <c r="C439" s="494" t="s">
        <v>2037</v>
      </c>
      <c r="D439" s="145" t="s">
        <v>2095</v>
      </c>
      <c r="E439" s="996" t="s">
        <v>762</v>
      </c>
      <c r="F439" s="495" t="s">
        <v>1526</v>
      </c>
      <c r="G439" s="494"/>
      <c r="H439" s="494"/>
      <c r="I439" s="671" t="s">
        <v>1723</v>
      </c>
      <c r="J439" s="952" t="s">
        <v>2039</v>
      </c>
      <c r="K439" s="680" t="str">
        <f>IF(L439=0,"",(INDEX(AccountCodes[ACCOUNT NAME],MATCH(L439,AccountCodes[NGAS CODE],0))))</f>
        <v>Due to BIR - 5%</v>
      </c>
      <c r="L439" s="955" t="s">
        <v>1548</v>
      </c>
      <c r="M439" s="956"/>
      <c r="N439" s="956">
        <v>1517.86</v>
      </c>
      <c r="O439" s="1017">
        <v>220136</v>
      </c>
      <c r="P439" s="987">
        <f t="shared" si="8"/>
        <v>32178.57</v>
      </c>
    </row>
    <row r="440" spans="1:16" ht="63" hidden="1" x14ac:dyDescent="0.25">
      <c r="A440" s="541">
        <v>44895</v>
      </c>
      <c r="B440" s="720">
        <v>44880</v>
      </c>
      <c r="C440" s="494" t="s">
        <v>2037</v>
      </c>
      <c r="D440" s="145" t="s">
        <v>2095</v>
      </c>
      <c r="E440" s="996" t="s">
        <v>762</v>
      </c>
      <c r="F440" s="495" t="s">
        <v>1526</v>
      </c>
      <c r="G440" s="494"/>
      <c r="H440" s="494"/>
      <c r="I440" s="671" t="s">
        <v>1723</v>
      </c>
      <c r="J440" s="952" t="s">
        <v>2039</v>
      </c>
      <c r="K440" s="680" t="str">
        <f>IF(L440=0,"",(INDEX(AccountCodes[ACCOUNT NAME],MATCH(L440,AccountCodes[NGAS CODE],0))))</f>
        <v>Cash in Bank-Local Currency, Current Account - FO</v>
      </c>
      <c r="L440" s="955" t="s">
        <v>1566</v>
      </c>
      <c r="M440" s="956"/>
      <c r="N440" s="956">
        <v>32178.57</v>
      </c>
      <c r="O440" s="1017"/>
      <c r="P440" s="987">
        <f t="shared" si="8"/>
        <v>0</v>
      </c>
    </row>
    <row r="441" spans="1:16" ht="63" hidden="1" x14ac:dyDescent="0.25">
      <c r="A441" s="958">
        <v>44895</v>
      </c>
      <c r="B441" s="959">
        <v>44880</v>
      </c>
      <c r="C441" s="960" t="s">
        <v>2040</v>
      </c>
      <c r="D441" s="145" t="s">
        <v>2095</v>
      </c>
      <c r="E441" s="996" t="s">
        <v>762</v>
      </c>
      <c r="F441" s="495" t="s">
        <v>1526</v>
      </c>
      <c r="G441" s="960"/>
      <c r="H441" s="960"/>
      <c r="I441" s="963" t="s">
        <v>2041</v>
      </c>
      <c r="J441" s="974" t="s">
        <v>2042</v>
      </c>
      <c r="K441" s="965" t="str">
        <f>IF(L441=0,"",(INDEX(AccountCodes[ACCOUNT NAME],MATCH(L441,AccountCodes[NGAS CODE],0))))</f>
        <v>Other Payables</v>
      </c>
      <c r="L441" s="966" t="s">
        <v>117</v>
      </c>
      <c r="M441" s="967">
        <v>9165.7900000000009</v>
      </c>
      <c r="N441" s="967"/>
      <c r="O441" s="1018" t="s">
        <v>2097</v>
      </c>
      <c r="P441" s="987">
        <f t="shared" si="8"/>
        <v>9165.7900000000009</v>
      </c>
    </row>
    <row r="442" spans="1:16" ht="63" hidden="1" x14ac:dyDescent="0.25">
      <c r="A442" s="541">
        <v>44895</v>
      </c>
      <c r="B442" s="720">
        <v>44880</v>
      </c>
      <c r="C442" s="494" t="s">
        <v>2040</v>
      </c>
      <c r="D442" s="145" t="s">
        <v>2095</v>
      </c>
      <c r="E442" s="995" t="s">
        <v>762</v>
      </c>
      <c r="F442" s="962" t="s">
        <v>1526</v>
      </c>
      <c r="G442" s="494"/>
      <c r="H442" s="494"/>
      <c r="I442" s="671" t="s">
        <v>2041</v>
      </c>
      <c r="J442" s="974" t="s">
        <v>2042</v>
      </c>
      <c r="K442" s="680" t="str">
        <f>IF(L442=0,"",(INDEX(AccountCodes[ACCOUNT NAME],MATCH(L442,AccountCodes[NGAS CODE],0))))</f>
        <v>Cash in Bank-Local Currency, Current Account - FO</v>
      </c>
      <c r="L442" s="955" t="s">
        <v>1566</v>
      </c>
      <c r="M442" s="956"/>
      <c r="N442" s="956">
        <v>9165.7900000000009</v>
      </c>
      <c r="O442" s="1017"/>
      <c r="P442" s="987">
        <f t="shared" si="8"/>
        <v>0</v>
      </c>
    </row>
    <row r="443" spans="1:16" ht="63" hidden="1" x14ac:dyDescent="0.25">
      <c r="A443" s="541">
        <v>44895</v>
      </c>
      <c r="B443" s="720">
        <v>44881</v>
      </c>
      <c r="C443" s="494" t="s">
        <v>2043</v>
      </c>
      <c r="D443" s="145" t="s">
        <v>2095</v>
      </c>
      <c r="E443" s="996" t="s">
        <v>762</v>
      </c>
      <c r="F443" s="495" t="s">
        <v>1526</v>
      </c>
      <c r="G443" s="494"/>
      <c r="H443" s="494"/>
      <c r="I443" s="671" t="s">
        <v>1999</v>
      </c>
      <c r="J443" s="985" t="s">
        <v>2044</v>
      </c>
      <c r="K443" s="680" t="str">
        <f>IF(L443=0,"",(INDEX(AccountCodes[ACCOUNT NAME],MATCH(L443,AccountCodes[NGAS CODE],0))))</f>
        <v>Mid-Year/Year End Bonus</v>
      </c>
      <c r="L443" s="955" t="s">
        <v>174</v>
      </c>
      <c r="M443" s="956">
        <v>79449</v>
      </c>
      <c r="N443" s="956"/>
      <c r="O443" s="1029" t="s">
        <v>2045</v>
      </c>
      <c r="P443" s="987">
        <f t="shared" si="8"/>
        <v>79449</v>
      </c>
    </row>
    <row r="444" spans="1:16" ht="63" hidden="1" x14ac:dyDescent="0.25">
      <c r="A444" s="541">
        <v>44895</v>
      </c>
      <c r="B444" s="720">
        <v>44881</v>
      </c>
      <c r="C444" s="494" t="s">
        <v>2043</v>
      </c>
      <c r="D444" s="145" t="s">
        <v>2095</v>
      </c>
      <c r="E444" s="996" t="s">
        <v>762</v>
      </c>
      <c r="F444" s="495" t="s">
        <v>1526</v>
      </c>
      <c r="G444" s="494"/>
      <c r="H444" s="494"/>
      <c r="I444" s="671" t="s">
        <v>1999</v>
      </c>
      <c r="J444" s="985" t="s">
        <v>2044</v>
      </c>
      <c r="K444" s="680" t="str">
        <f>IF(L444=0,"",(INDEX(AccountCodes[ACCOUNT NAME],MATCH(L444,AccountCodes[NGAS CODE],0))))</f>
        <v>Cash Gift</v>
      </c>
      <c r="L444" s="955" t="s">
        <v>172</v>
      </c>
      <c r="M444" s="956">
        <v>15000</v>
      </c>
      <c r="N444" s="956"/>
      <c r="O444" s="1017"/>
      <c r="P444" s="987">
        <f t="shared" si="8"/>
        <v>94449</v>
      </c>
    </row>
    <row r="445" spans="1:16" ht="63" hidden="1" x14ac:dyDescent="0.25">
      <c r="A445" s="958">
        <v>44895</v>
      </c>
      <c r="B445" s="959">
        <v>44881</v>
      </c>
      <c r="C445" s="960" t="s">
        <v>2043</v>
      </c>
      <c r="D445" s="145" t="s">
        <v>2095</v>
      </c>
      <c r="E445" s="996" t="s">
        <v>762</v>
      </c>
      <c r="F445" s="495" t="s">
        <v>1526</v>
      </c>
      <c r="G445" s="960"/>
      <c r="H445" s="960"/>
      <c r="I445" s="963" t="s">
        <v>1999</v>
      </c>
      <c r="J445" s="986" t="s">
        <v>2044</v>
      </c>
      <c r="K445" s="965" t="str">
        <f>IF(L445=0,"",(INDEX(AccountCodes[ACCOUNT NAME],MATCH(L445,AccountCodes[NGAS CODE],0))))</f>
        <v>Cash in Bank-Local Currency, Current Account - FO</v>
      </c>
      <c r="L445" s="966" t="s">
        <v>1566</v>
      </c>
      <c r="M445" s="967"/>
      <c r="N445" s="967">
        <v>94449</v>
      </c>
      <c r="O445" s="1018"/>
      <c r="P445" s="987">
        <f t="shared" si="8"/>
        <v>0</v>
      </c>
    </row>
    <row r="446" spans="1:16" ht="47.25" hidden="1" x14ac:dyDescent="0.25">
      <c r="A446" s="541">
        <v>44895</v>
      </c>
      <c r="B446" s="720">
        <v>44882</v>
      </c>
      <c r="C446" s="494" t="s">
        <v>2046</v>
      </c>
      <c r="D446" s="145" t="s">
        <v>2095</v>
      </c>
      <c r="E446" s="996" t="s">
        <v>762</v>
      </c>
      <c r="F446" s="495" t="s">
        <v>1526</v>
      </c>
      <c r="G446" s="494"/>
      <c r="H446" s="494"/>
      <c r="I446" s="671" t="s">
        <v>1639</v>
      </c>
      <c r="J446" s="985" t="s">
        <v>2047</v>
      </c>
      <c r="K446" s="680" t="str">
        <f>IF(L446=0,"",(INDEX(AccountCodes[ACCOUNT NAME],MATCH(L446,AccountCodes[NGAS CODE],0))))</f>
        <v>Due to Pag-IBIG - MP2</v>
      </c>
      <c r="L446" s="955" t="s">
        <v>1508</v>
      </c>
      <c r="M446" s="956">
        <v>4000</v>
      </c>
      <c r="N446" s="956"/>
      <c r="O446" s="1017"/>
      <c r="P446" s="987">
        <f t="shared" si="8"/>
        <v>4000</v>
      </c>
    </row>
    <row r="447" spans="1:16" ht="47.25" hidden="1" x14ac:dyDescent="0.25">
      <c r="A447" s="541">
        <v>44895</v>
      </c>
      <c r="B447" s="720">
        <v>44882</v>
      </c>
      <c r="C447" s="494" t="s">
        <v>2046</v>
      </c>
      <c r="D447" s="145" t="s">
        <v>2095</v>
      </c>
      <c r="E447" s="996" t="s">
        <v>762</v>
      </c>
      <c r="F447" s="495" t="s">
        <v>1526</v>
      </c>
      <c r="G447" s="494"/>
      <c r="H447" s="494"/>
      <c r="I447" s="671" t="s">
        <v>1639</v>
      </c>
      <c r="J447" s="985" t="s">
        <v>2047</v>
      </c>
      <c r="K447" s="680" t="str">
        <f>IF(L447=0,"",(INDEX(AccountCodes[ACCOUNT NAME],MATCH(L447,AccountCodes[NGAS CODE],0))))</f>
        <v>Cash in Bank-Local Currency, Current Account - FO</v>
      </c>
      <c r="L447" s="955" t="s">
        <v>1566</v>
      </c>
      <c r="M447" s="956"/>
      <c r="N447" s="956">
        <v>4000</v>
      </c>
      <c r="O447" s="1017"/>
      <c r="P447" s="987">
        <f t="shared" si="8"/>
        <v>0</v>
      </c>
    </row>
    <row r="448" spans="1:16" ht="63" hidden="1" x14ac:dyDescent="0.25">
      <c r="A448" s="958">
        <v>44895</v>
      </c>
      <c r="B448" s="959">
        <v>44882</v>
      </c>
      <c r="C448" s="960" t="s">
        <v>2048</v>
      </c>
      <c r="D448" s="145" t="s">
        <v>2095</v>
      </c>
      <c r="E448" s="996" t="s">
        <v>762</v>
      </c>
      <c r="F448" s="495" t="s">
        <v>1526</v>
      </c>
      <c r="G448" s="960"/>
      <c r="H448" s="960"/>
      <c r="I448" s="963" t="s">
        <v>1639</v>
      </c>
      <c r="J448" s="986" t="s">
        <v>2049</v>
      </c>
      <c r="K448" s="965" t="str">
        <f>IF(L448=0,"",(INDEX(AccountCodes[ACCOUNT NAME],MATCH(L448,AccountCodes[NGAS CODE],0))))</f>
        <v>Pag-IBIG Contributions</v>
      </c>
      <c r="L448" s="966" t="s">
        <v>176</v>
      </c>
      <c r="M448" s="967">
        <v>300</v>
      </c>
      <c r="N448" s="967"/>
      <c r="O448" s="1029" t="s">
        <v>2045</v>
      </c>
      <c r="P448" s="987">
        <f t="shared" si="8"/>
        <v>300</v>
      </c>
    </row>
    <row r="449" spans="1:16" ht="63" hidden="1" x14ac:dyDescent="0.25">
      <c r="A449" s="541">
        <v>44895</v>
      </c>
      <c r="B449" s="720">
        <v>44882</v>
      </c>
      <c r="C449" s="494" t="s">
        <v>2048</v>
      </c>
      <c r="D449" s="145" t="s">
        <v>2095</v>
      </c>
      <c r="E449" s="996" t="s">
        <v>762</v>
      </c>
      <c r="F449" s="495" t="s">
        <v>1526</v>
      </c>
      <c r="G449" s="494"/>
      <c r="H449" s="494"/>
      <c r="I449" s="671" t="s">
        <v>1639</v>
      </c>
      <c r="J449" s="985" t="s">
        <v>2049</v>
      </c>
      <c r="K449" s="680" t="str">
        <f>IF(L449=0,"",(INDEX(AccountCodes[ACCOUNT NAME],MATCH(L449,AccountCodes[NGAS CODE],0))))</f>
        <v>Due to Pag-IBIG - Pag-IBIG Premium</v>
      </c>
      <c r="L449" s="955" t="s">
        <v>1444</v>
      </c>
      <c r="M449" s="956">
        <v>1588.98</v>
      </c>
      <c r="N449" s="956"/>
      <c r="O449" s="1017"/>
      <c r="P449" s="987">
        <f t="shared" si="8"/>
        <v>1888.98</v>
      </c>
    </row>
    <row r="450" spans="1:16" ht="63" hidden="1" x14ac:dyDescent="0.25">
      <c r="A450" s="541">
        <v>44895</v>
      </c>
      <c r="B450" s="720">
        <v>44882</v>
      </c>
      <c r="C450" s="494" t="s">
        <v>2048</v>
      </c>
      <c r="D450" s="145" t="s">
        <v>2095</v>
      </c>
      <c r="E450" s="996" t="s">
        <v>762</v>
      </c>
      <c r="F450" s="495" t="s">
        <v>1526</v>
      </c>
      <c r="G450" s="494"/>
      <c r="H450" s="494"/>
      <c r="I450" s="671" t="s">
        <v>1639</v>
      </c>
      <c r="J450" s="985" t="s">
        <v>2049</v>
      </c>
      <c r="K450" s="680" t="str">
        <f>IF(L450=0,"",(INDEX(AccountCodes[ACCOUNT NAME],MATCH(L450,AccountCodes[NGAS CODE],0))))</f>
        <v>Cash in Bank-Local Currency, Current Account - FO</v>
      </c>
      <c r="L450" s="955" t="s">
        <v>1566</v>
      </c>
      <c r="M450" s="956"/>
      <c r="N450" s="956">
        <v>1888.98</v>
      </c>
      <c r="O450" s="1017"/>
      <c r="P450" s="987">
        <f t="shared" si="8"/>
        <v>0</v>
      </c>
    </row>
    <row r="451" spans="1:16" ht="63" hidden="1" x14ac:dyDescent="0.25">
      <c r="A451" s="958">
        <v>44895</v>
      </c>
      <c r="B451" s="959">
        <v>44882</v>
      </c>
      <c r="C451" s="960" t="s">
        <v>2050</v>
      </c>
      <c r="D451" s="145" t="s">
        <v>2095</v>
      </c>
      <c r="E451" s="996" t="s">
        <v>762</v>
      </c>
      <c r="F451" s="495" t="s">
        <v>1526</v>
      </c>
      <c r="G451" s="960"/>
      <c r="H451" s="960"/>
      <c r="I451" s="963" t="s">
        <v>1638</v>
      </c>
      <c r="J451" s="986" t="s">
        <v>2051</v>
      </c>
      <c r="K451" s="965" t="str">
        <f>IF(L451=0,"",(INDEX(AccountCodes[ACCOUNT NAME],MATCH(L451,AccountCodes[NGAS CODE],0))))</f>
        <v>Due to BIR</v>
      </c>
      <c r="L451" s="966" t="s">
        <v>109</v>
      </c>
      <c r="M451" s="967">
        <v>4133.1099999999997</v>
      </c>
      <c r="N451" s="967"/>
      <c r="O451" s="1018"/>
      <c r="P451" s="987">
        <f t="shared" si="8"/>
        <v>4133.1099999999997</v>
      </c>
    </row>
    <row r="452" spans="1:16" ht="63" hidden="1" x14ac:dyDescent="0.25">
      <c r="A452" s="541">
        <v>44895</v>
      </c>
      <c r="B452" s="720">
        <v>44882</v>
      </c>
      <c r="C452" s="494" t="s">
        <v>2050</v>
      </c>
      <c r="D452" s="145" t="s">
        <v>2095</v>
      </c>
      <c r="E452" s="996" t="s">
        <v>762</v>
      </c>
      <c r="F452" s="495" t="s">
        <v>1526</v>
      </c>
      <c r="G452" s="494"/>
      <c r="H452" s="494"/>
      <c r="I452" s="671" t="s">
        <v>1638</v>
      </c>
      <c r="J452" s="985" t="s">
        <v>2051</v>
      </c>
      <c r="K452" s="680" t="str">
        <f>IF(L452=0,"",(INDEX(AccountCodes[ACCOUNT NAME],MATCH(L452,AccountCodes[NGAS CODE],0))))</f>
        <v>Cash in Bank-Local Currency, Current Account - FO</v>
      </c>
      <c r="L452" s="955" t="s">
        <v>1566</v>
      </c>
      <c r="M452" s="956"/>
      <c r="N452" s="956">
        <v>4133.1099999999997</v>
      </c>
      <c r="O452" s="1017"/>
      <c r="P452" s="987">
        <f t="shared" si="8"/>
        <v>0</v>
      </c>
    </row>
    <row r="453" spans="1:16" ht="63" hidden="1" x14ac:dyDescent="0.25">
      <c r="A453" s="958">
        <v>44895</v>
      </c>
      <c r="B453" s="959">
        <v>44882</v>
      </c>
      <c r="C453" s="960" t="s">
        <v>2052</v>
      </c>
      <c r="D453" s="145" t="s">
        <v>2095</v>
      </c>
      <c r="E453" s="996" t="s">
        <v>762</v>
      </c>
      <c r="F453" s="495" t="s">
        <v>1526</v>
      </c>
      <c r="G453" s="960"/>
      <c r="H453" s="960"/>
      <c r="I453" s="963" t="s">
        <v>1636</v>
      </c>
      <c r="J453" s="986" t="s">
        <v>2053</v>
      </c>
      <c r="K453" s="965" t="str">
        <f>IF(L453=0,"",(INDEX(AccountCodes[ACCOUNT NAME],MATCH(L453,AccountCodes[NGAS CODE],0))))</f>
        <v>PhilHealth Contributions</v>
      </c>
      <c r="L453" s="966" t="s">
        <v>177</v>
      </c>
      <c r="M453" s="967">
        <v>1588.98</v>
      </c>
      <c r="N453" s="967"/>
      <c r="O453" s="1029" t="s">
        <v>2045</v>
      </c>
      <c r="P453" s="987">
        <f t="shared" si="8"/>
        <v>1588.98</v>
      </c>
    </row>
    <row r="454" spans="1:16" ht="63" hidden="1" x14ac:dyDescent="0.25">
      <c r="A454" s="541">
        <v>44895</v>
      </c>
      <c r="B454" s="720">
        <v>44882</v>
      </c>
      <c r="C454" s="494" t="s">
        <v>2052</v>
      </c>
      <c r="D454" s="145" t="s">
        <v>2095</v>
      </c>
      <c r="E454" s="996" t="s">
        <v>762</v>
      </c>
      <c r="F454" s="495" t="s">
        <v>1526</v>
      </c>
      <c r="G454" s="494"/>
      <c r="H454" s="494"/>
      <c r="I454" s="671" t="s">
        <v>1636</v>
      </c>
      <c r="J454" s="985" t="s">
        <v>2053</v>
      </c>
      <c r="K454" s="680" t="str">
        <f>IF(L454=0,"",(INDEX(AccountCodes[ACCOUNT NAME],MATCH(L454,AccountCodes[NGAS CODE],0))))</f>
        <v>Due to PhilHealth</v>
      </c>
      <c r="L454" s="955" t="s">
        <v>112</v>
      </c>
      <c r="M454" s="956">
        <v>1588.98</v>
      </c>
      <c r="N454" s="956"/>
      <c r="O454" s="1017"/>
      <c r="P454" s="987">
        <f t="shared" si="8"/>
        <v>3177.96</v>
      </c>
    </row>
    <row r="455" spans="1:16" ht="63" hidden="1" x14ac:dyDescent="0.25">
      <c r="A455" s="958">
        <v>44895</v>
      </c>
      <c r="B455" s="959">
        <v>44882</v>
      </c>
      <c r="C455" s="960" t="s">
        <v>2052</v>
      </c>
      <c r="D455" s="145" t="s">
        <v>2095</v>
      </c>
      <c r="E455" s="996" t="s">
        <v>762</v>
      </c>
      <c r="F455" s="495" t="s">
        <v>1526</v>
      </c>
      <c r="G455" s="960"/>
      <c r="H455" s="960"/>
      <c r="I455" s="963" t="s">
        <v>1636</v>
      </c>
      <c r="J455" s="986" t="s">
        <v>2053</v>
      </c>
      <c r="K455" s="965" t="str">
        <f>IF(L455=0,"",(INDEX(AccountCodes[ACCOUNT NAME],MATCH(L455,AccountCodes[NGAS CODE],0))))</f>
        <v>Cash in Bank-Local Currency, Current Account - FO</v>
      </c>
      <c r="L455" s="966" t="s">
        <v>1566</v>
      </c>
      <c r="M455" s="967"/>
      <c r="N455" s="967">
        <v>3177.96</v>
      </c>
      <c r="O455" s="1018"/>
      <c r="P455" s="987">
        <f t="shared" si="8"/>
        <v>0</v>
      </c>
    </row>
    <row r="456" spans="1:16" ht="63" hidden="1" x14ac:dyDescent="0.25">
      <c r="A456" s="541">
        <v>44895</v>
      </c>
      <c r="B456" s="720">
        <v>44882</v>
      </c>
      <c r="C456" s="494" t="s">
        <v>2054</v>
      </c>
      <c r="D456" s="145" t="s">
        <v>2095</v>
      </c>
      <c r="E456" s="996" t="s">
        <v>762</v>
      </c>
      <c r="F456" s="495" t="s">
        <v>1526</v>
      </c>
      <c r="G456" s="494"/>
      <c r="H456" s="494"/>
      <c r="I456" s="671" t="s">
        <v>1637</v>
      </c>
      <c r="J456" s="985" t="s">
        <v>2055</v>
      </c>
      <c r="K456" s="680" t="str">
        <f>IF(L456=0,"",(INDEX(AccountCodes[ACCOUNT NAME],MATCH(L456,AccountCodes[NGAS CODE],0))))</f>
        <v>Retirement and Life Insurance Premiums</v>
      </c>
      <c r="L456" s="955" t="s">
        <v>175</v>
      </c>
      <c r="M456" s="956">
        <v>9533.8799999999992</v>
      </c>
      <c r="N456" s="956"/>
      <c r="O456" s="1029" t="s">
        <v>2045</v>
      </c>
      <c r="P456" s="987">
        <f t="shared" si="8"/>
        <v>9533.8799999999992</v>
      </c>
    </row>
    <row r="457" spans="1:16" ht="63" hidden="1" x14ac:dyDescent="0.25">
      <c r="A457" s="958">
        <v>44895</v>
      </c>
      <c r="B457" s="959">
        <v>44882</v>
      </c>
      <c r="C457" s="960" t="s">
        <v>2054</v>
      </c>
      <c r="D457" s="145" t="s">
        <v>2095</v>
      </c>
      <c r="E457" s="996" t="s">
        <v>762</v>
      </c>
      <c r="F457" s="495" t="s">
        <v>1526</v>
      </c>
      <c r="G457" s="960"/>
      <c r="H457" s="960"/>
      <c r="I457" s="963" t="s">
        <v>1637</v>
      </c>
      <c r="J457" s="986" t="s">
        <v>2055</v>
      </c>
      <c r="K457" s="965" t="str">
        <f>IF(L457=0,"",(INDEX(AccountCodes[ACCOUNT NAME],MATCH(L457,AccountCodes[NGAS CODE],0))))</f>
        <v>Employees Compensation Insurance Premiums</v>
      </c>
      <c r="L457" s="966" t="s">
        <v>178</v>
      </c>
      <c r="M457" s="967">
        <v>300</v>
      </c>
      <c r="N457" s="967"/>
      <c r="O457" s="1018"/>
      <c r="P457" s="987">
        <f t="shared" si="8"/>
        <v>9833.8799999999992</v>
      </c>
    </row>
    <row r="458" spans="1:16" ht="63" hidden="1" x14ac:dyDescent="0.25">
      <c r="A458" s="720">
        <v>44895</v>
      </c>
      <c r="B458" s="720">
        <v>44882</v>
      </c>
      <c r="C458" s="494" t="s">
        <v>2054</v>
      </c>
      <c r="D458" s="145" t="s">
        <v>2095</v>
      </c>
      <c r="E458" s="996" t="s">
        <v>762</v>
      </c>
      <c r="F458" s="495" t="s">
        <v>1526</v>
      </c>
      <c r="G458" s="494"/>
      <c r="H458" s="494"/>
      <c r="I458" s="671" t="s">
        <v>1637</v>
      </c>
      <c r="J458" s="985" t="s">
        <v>2055</v>
      </c>
      <c r="K458" s="680" t="str">
        <f>IF(L458=0,"",(INDEX(AccountCodes[ACCOUNT NAME],MATCH(L458,AccountCodes[NGAS CODE],0))))</f>
        <v>Due to GSIS - Life and Retirement Premium</v>
      </c>
      <c r="L458" s="953" t="s">
        <v>1440</v>
      </c>
      <c r="M458" s="956">
        <v>7150.41</v>
      </c>
      <c r="N458" s="956"/>
      <c r="O458" s="1017"/>
      <c r="P458" s="987">
        <f t="shared" si="8"/>
        <v>16984.29</v>
      </c>
    </row>
    <row r="459" spans="1:16" ht="63" hidden="1" x14ac:dyDescent="0.25">
      <c r="A459" s="959">
        <v>44895</v>
      </c>
      <c r="B459" s="720">
        <v>44882</v>
      </c>
      <c r="C459" s="494" t="s">
        <v>2054</v>
      </c>
      <c r="D459" s="145" t="s">
        <v>2095</v>
      </c>
      <c r="E459" s="996" t="s">
        <v>762</v>
      </c>
      <c r="F459" s="495" t="s">
        <v>1526</v>
      </c>
      <c r="G459" s="960"/>
      <c r="H459" s="960"/>
      <c r="I459" s="963" t="s">
        <v>1637</v>
      </c>
      <c r="J459" s="986" t="s">
        <v>2055</v>
      </c>
      <c r="K459" s="965" t="str">
        <f>IF(L459=0,"",(INDEX(AccountCodes[ACCOUNT NAME],MATCH(L459,AccountCodes[NGAS CODE],0))))</f>
        <v>Cash in Bank-Local Currency, Current Account - FO</v>
      </c>
      <c r="L459" s="966" t="s">
        <v>1566</v>
      </c>
      <c r="M459" s="967"/>
      <c r="N459" s="967">
        <v>16984.29</v>
      </c>
      <c r="O459" s="1018"/>
      <c r="P459" s="987">
        <f t="shared" si="8"/>
        <v>0</v>
      </c>
    </row>
    <row r="460" spans="1:16" ht="63" hidden="1" x14ac:dyDescent="0.25">
      <c r="A460" s="720">
        <v>44895</v>
      </c>
      <c r="B460" s="720">
        <v>44882</v>
      </c>
      <c r="C460" s="494" t="s">
        <v>2056</v>
      </c>
      <c r="D460" s="145" t="s">
        <v>2095</v>
      </c>
      <c r="E460" s="996" t="s">
        <v>762</v>
      </c>
      <c r="F460" s="495" t="s">
        <v>1526</v>
      </c>
      <c r="G460" s="494"/>
      <c r="H460" s="494"/>
      <c r="I460" s="671" t="s">
        <v>2057</v>
      </c>
      <c r="J460" s="985" t="s">
        <v>2058</v>
      </c>
      <c r="K460" s="680" t="str">
        <f>IF(L460=0,"",(INDEX(AccountCodes[ACCOUNT NAME],MATCH(L460,AccountCodes[NGAS CODE],0))))</f>
        <v>Other Maintenance and Operating Expenses - Other Maintenance and Operating Expenses</v>
      </c>
      <c r="L460" s="955" t="s">
        <v>405</v>
      </c>
      <c r="M460" s="956">
        <v>32181.46</v>
      </c>
      <c r="N460" s="956"/>
      <c r="O460" s="1031" t="s">
        <v>2079</v>
      </c>
      <c r="P460" s="987">
        <f t="shared" si="8"/>
        <v>32181.46</v>
      </c>
    </row>
    <row r="461" spans="1:16" ht="63" hidden="1" x14ac:dyDescent="0.25">
      <c r="A461" s="959">
        <v>44895</v>
      </c>
      <c r="B461" s="720">
        <v>44882</v>
      </c>
      <c r="C461" s="494" t="s">
        <v>2056</v>
      </c>
      <c r="D461" s="145" t="s">
        <v>2095</v>
      </c>
      <c r="E461" s="996" t="s">
        <v>762</v>
      </c>
      <c r="F461" s="495" t="s">
        <v>1526</v>
      </c>
      <c r="G461" s="960"/>
      <c r="H461" s="960"/>
      <c r="I461" s="963" t="s">
        <v>2057</v>
      </c>
      <c r="J461" s="986" t="s">
        <v>2059</v>
      </c>
      <c r="K461" s="965" t="str">
        <f>IF(L461=0,"",(INDEX(AccountCodes[ACCOUNT NAME],MATCH(L461,AccountCodes[NGAS CODE],0))))</f>
        <v>Due to Pag-IBIG</v>
      </c>
      <c r="L461" s="966" t="s">
        <v>111</v>
      </c>
      <c r="M461" s="967"/>
      <c r="N461" s="967">
        <v>1300</v>
      </c>
      <c r="O461" s="1018"/>
      <c r="P461" s="987">
        <f t="shared" si="8"/>
        <v>30881.46</v>
      </c>
    </row>
    <row r="462" spans="1:16" ht="63" hidden="1" x14ac:dyDescent="0.25">
      <c r="A462" s="720">
        <v>44895</v>
      </c>
      <c r="B462" s="720">
        <v>44882</v>
      </c>
      <c r="C462" s="494" t="s">
        <v>2056</v>
      </c>
      <c r="D462" s="145" t="s">
        <v>2095</v>
      </c>
      <c r="E462" s="996" t="s">
        <v>762</v>
      </c>
      <c r="F462" s="495" t="s">
        <v>1526</v>
      </c>
      <c r="G462" s="494"/>
      <c r="H462" s="494"/>
      <c r="I462" s="671" t="s">
        <v>2057</v>
      </c>
      <c r="J462" s="985" t="s">
        <v>2060</v>
      </c>
      <c r="K462" s="680" t="str">
        <f>IF(L462=0,"",(INDEX(AccountCodes[ACCOUNT NAME],MATCH(L462,AccountCodes[NGAS CODE],0))))</f>
        <v>Due to Pag-IBIG - Pag-IBIG Multi-Purpose Loan</v>
      </c>
      <c r="L462" s="955" t="s">
        <v>1445</v>
      </c>
      <c r="M462" s="956"/>
      <c r="N462" s="956">
        <v>2132.0500000000002</v>
      </c>
      <c r="O462" s="1017"/>
      <c r="P462" s="987">
        <f t="shared" si="8"/>
        <v>28749.41</v>
      </c>
    </row>
    <row r="463" spans="1:16" ht="63" hidden="1" x14ac:dyDescent="0.25">
      <c r="A463" s="720">
        <v>44895</v>
      </c>
      <c r="B463" s="720">
        <v>44882</v>
      </c>
      <c r="C463" s="494" t="s">
        <v>2056</v>
      </c>
      <c r="D463" s="145" t="s">
        <v>2095</v>
      </c>
      <c r="E463" s="996" t="s">
        <v>762</v>
      </c>
      <c r="F463" s="495" t="s">
        <v>1526</v>
      </c>
      <c r="G463" s="494"/>
      <c r="H463" s="494"/>
      <c r="I463" s="671" t="s">
        <v>2057</v>
      </c>
      <c r="J463" s="985" t="s">
        <v>2061</v>
      </c>
      <c r="K463" s="680" t="str">
        <f>IF(L463=0,"",(INDEX(AccountCodes[ACCOUNT NAME],MATCH(L463,AccountCodes[NGAS CODE],0))))</f>
        <v>Due to PhilHealth</v>
      </c>
      <c r="L463" s="955" t="s">
        <v>112</v>
      </c>
      <c r="M463" s="956"/>
      <c r="N463" s="956">
        <v>2244.86</v>
      </c>
      <c r="O463" s="1017"/>
      <c r="P463" s="987">
        <f t="shared" si="8"/>
        <v>26504.55</v>
      </c>
    </row>
    <row r="464" spans="1:16" ht="63" hidden="1" x14ac:dyDescent="0.25">
      <c r="A464" s="720">
        <v>44895</v>
      </c>
      <c r="B464" s="720">
        <v>44882</v>
      </c>
      <c r="C464" s="494" t="s">
        <v>2056</v>
      </c>
      <c r="D464" s="145" t="s">
        <v>2095</v>
      </c>
      <c r="E464" s="996" t="s">
        <v>762</v>
      </c>
      <c r="F464" s="495" t="s">
        <v>1526</v>
      </c>
      <c r="G464" s="494"/>
      <c r="H464" s="494"/>
      <c r="I464" s="671" t="s">
        <v>2057</v>
      </c>
      <c r="J464" s="985" t="s">
        <v>2060</v>
      </c>
      <c r="K464" s="680" t="str">
        <f>IF(L464=0,"",(INDEX(AccountCodes[ACCOUNT NAME],MATCH(L464,AccountCodes[NGAS CODE],0))))</f>
        <v>Other Payables</v>
      </c>
      <c r="L464" s="955" t="s">
        <v>117</v>
      </c>
      <c r="M464" s="956"/>
      <c r="N464" s="956">
        <v>4322.91</v>
      </c>
      <c r="O464" s="1017"/>
      <c r="P464" s="987">
        <f t="shared" si="8"/>
        <v>22181.64</v>
      </c>
    </row>
    <row r="465" spans="1:16" ht="63" hidden="1" x14ac:dyDescent="0.25">
      <c r="A465" s="959">
        <v>44895</v>
      </c>
      <c r="B465" s="720">
        <v>44882</v>
      </c>
      <c r="C465" s="494" t="s">
        <v>2056</v>
      </c>
      <c r="D465" s="145" t="s">
        <v>2095</v>
      </c>
      <c r="E465" s="996" t="s">
        <v>762</v>
      </c>
      <c r="F465" s="495" t="s">
        <v>1526</v>
      </c>
      <c r="G465" s="960"/>
      <c r="H465" s="960"/>
      <c r="I465" s="671" t="s">
        <v>2057</v>
      </c>
      <c r="J465" s="985" t="s">
        <v>2061</v>
      </c>
      <c r="K465" s="965" t="str">
        <f>IF(L465=0,"",(INDEX(AccountCodes[ACCOUNT NAME],MATCH(L465,AccountCodes[NGAS CODE],0))))</f>
        <v>Cash in Bank-Local Currency, Current Account - FO</v>
      </c>
      <c r="L465" s="966" t="s">
        <v>1566</v>
      </c>
      <c r="M465" s="967"/>
      <c r="N465" s="967">
        <v>22181.64</v>
      </c>
      <c r="O465" s="1018"/>
      <c r="P465" s="987">
        <f t="shared" si="8"/>
        <v>0</v>
      </c>
    </row>
    <row r="466" spans="1:16" ht="78.75" hidden="1" x14ac:dyDescent="0.25">
      <c r="A466" s="720">
        <v>44895</v>
      </c>
      <c r="B466" s="720">
        <v>44883</v>
      </c>
      <c r="C466" s="494" t="s">
        <v>2062</v>
      </c>
      <c r="D466" s="145" t="s">
        <v>2095</v>
      </c>
      <c r="E466" s="996" t="s">
        <v>762</v>
      </c>
      <c r="F466" s="495" t="s">
        <v>1526</v>
      </c>
      <c r="G466" s="494"/>
      <c r="H466" s="494"/>
      <c r="I466" s="671" t="s">
        <v>2063</v>
      </c>
      <c r="J466" s="985" t="s">
        <v>2064</v>
      </c>
      <c r="K466" s="680" t="str">
        <f>IF(L466=0,"",(INDEX(AccountCodes[ACCOUNT NAME],MATCH(L466,AccountCodes[NGAS CODE],0))))</f>
        <v>Repairs and Maintenance-Infrastructure Assets - Other Infrastructure Assets (Irrigation Canal &amp; Laterals)</v>
      </c>
      <c r="L466" s="955" t="s">
        <v>267</v>
      </c>
      <c r="M466" s="956">
        <v>1364697.65</v>
      </c>
      <c r="N466" s="956"/>
      <c r="O466" s="1031" t="s">
        <v>2079</v>
      </c>
      <c r="P466" s="987">
        <f t="shared" si="8"/>
        <v>1364697.65</v>
      </c>
    </row>
    <row r="467" spans="1:16" ht="78.75" hidden="1" x14ac:dyDescent="0.25">
      <c r="A467" s="720">
        <v>44895</v>
      </c>
      <c r="B467" s="720">
        <v>44883</v>
      </c>
      <c r="C467" s="494" t="s">
        <v>2062</v>
      </c>
      <c r="D467" s="145" t="s">
        <v>2095</v>
      </c>
      <c r="E467" s="996" t="s">
        <v>762</v>
      </c>
      <c r="F467" s="495" t="s">
        <v>1526</v>
      </c>
      <c r="G467" s="494"/>
      <c r="H467" s="494"/>
      <c r="I467" s="671" t="s">
        <v>2063</v>
      </c>
      <c r="J467" s="985" t="s">
        <v>2064</v>
      </c>
      <c r="K467" s="680" t="str">
        <f>IF(L467=0,"",(INDEX(AccountCodes[ACCOUNT NAME],MATCH(L467,AccountCodes[NGAS CODE],0))))</f>
        <v>Due to BIR - 5%</v>
      </c>
      <c r="L467" s="955" t="s">
        <v>1548</v>
      </c>
      <c r="M467" s="956"/>
      <c r="N467" s="956">
        <v>60924</v>
      </c>
      <c r="O467" s="984" t="s">
        <v>2097</v>
      </c>
      <c r="P467" s="987">
        <f t="shared" si="8"/>
        <v>1303773.6499999999</v>
      </c>
    </row>
    <row r="468" spans="1:16" ht="78.75" hidden="1" x14ac:dyDescent="0.25">
      <c r="A468" s="720">
        <v>44895</v>
      </c>
      <c r="B468" s="720">
        <v>44883</v>
      </c>
      <c r="C468" s="494" t="s">
        <v>2062</v>
      </c>
      <c r="D468" s="145" t="s">
        <v>2095</v>
      </c>
      <c r="E468" s="996" t="s">
        <v>762</v>
      </c>
      <c r="F468" s="495" t="s">
        <v>1526</v>
      </c>
      <c r="G468" s="494"/>
      <c r="H468" s="494"/>
      <c r="I468" s="671" t="s">
        <v>2063</v>
      </c>
      <c r="J468" s="985" t="s">
        <v>2064</v>
      </c>
      <c r="K468" s="680" t="str">
        <f>IF(L468=0,"",(INDEX(AccountCodes[ACCOUNT NAME],MATCH(L468,AccountCodes[NGAS CODE],0))))</f>
        <v>Due to BIR - 2%</v>
      </c>
      <c r="L468" s="955" t="s">
        <v>1550</v>
      </c>
      <c r="M468" s="956"/>
      <c r="N468" s="956">
        <v>24369.599999999999</v>
      </c>
      <c r="O468" s="984" t="s">
        <v>2097</v>
      </c>
      <c r="P468" s="987">
        <f t="shared" si="8"/>
        <v>1279404.05</v>
      </c>
    </row>
    <row r="469" spans="1:16" ht="78.75" hidden="1" x14ac:dyDescent="0.25">
      <c r="A469" s="959">
        <v>44895</v>
      </c>
      <c r="B469" s="720">
        <v>44883</v>
      </c>
      <c r="C469" s="494" t="s">
        <v>2062</v>
      </c>
      <c r="D469" s="145" t="s">
        <v>2095</v>
      </c>
      <c r="E469" s="996" t="s">
        <v>762</v>
      </c>
      <c r="F469" s="495" t="s">
        <v>1526</v>
      </c>
      <c r="G469" s="960"/>
      <c r="H469" s="960"/>
      <c r="I469" s="963" t="s">
        <v>2063</v>
      </c>
      <c r="J469" s="986" t="s">
        <v>2064</v>
      </c>
      <c r="K469" s="965" t="str">
        <f>IF(L469=0,"",(INDEX(AccountCodes[ACCOUNT NAME],MATCH(L469,AccountCodes[NGAS CODE],0))))</f>
        <v>Cash in Bank-Local Currency, Current Account - FO</v>
      </c>
      <c r="L469" s="966" t="s">
        <v>1566</v>
      </c>
      <c r="M469" s="967"/>
      <c r="N469" s="967">
        <v>1279404.05</v>
      </c>
      <c r="O469" s="1018"/>
      <c r="P469" s="987">
        <f t="shared" si="8"/>
        <v>0</v>
      </c>
    </row>
    <row r="470" spans="1:16" ht="63" hidden="1" x14ac:dyDescent="0.25">
      <c r="A470" s="720">
        <v>44895</v>
      </c>
      <c r="B470" s="720">
        <v>44886</v>
      </c>
      <c r="C470" s="494" t="s">
        <v>2065</v>
      </c>
      <c r="D470" s="145" t="s">
        <v>2095</v>
      </c>
      <c r="E470" s="996" t="s">
        <v>762</v>
      </c>
      <c r="F470" s="495" t="s">
        <v>1526</v>
      </c>
      <c r="G470" s="494"/>
      <c r="H470" s="494"/>
      <c r="I470" s="671" t="s">
        <v>2066</v>
      </c>
      <c r="J470" s="985" t="s">
        <v>2067</v>
      </c>
      <c r="K470" s="680" t="str">
        <f>IF(L470=0,"",(INDEX(AccountCodes[ACCOUNT NAME],MATCH(L470,AccountCodes[NGAS CODE],0))))</f>
        <v>Other Maintenance and Operating Expenses - Other Maintenance and Operating Expenses</v>
      </c>
      <c r="L470" s="955" t="s">
        <v>405</v>
      </c>
      <c r="M470" s="956">
        <v>31516.1</v>
      </c>
      <c r="N470" s="956"/>
      <c r="O470" s="1031" t="s">
        <v>2079</v>
      </c>
      <c r="P470" s="987">
        <f t="shared" si="8"/>
        <v>31516.1</v>
      </c>
    </row>
    <row r="471" spans="1:16" ht="63" hidden="1" x14ac:dyDescent="0.25">
      <c r="A471" s="720">
        <v>44895</v>
      </c>
      <c r="B471" s="720">
        <v>44886</v>
      </c>
      <c r="C471" s="494" t="s">
        <v>2065</v>
      </c>
      <c r="D471" s="145" t="s">
        <v>2095</v>
      </c>
      <c r="E471" s="996" t="s">
        <v>762</v>
      </c>
      <c r="F471" s="495" t="s">
        <v>1526</v>
      </c>
      <c r="G471" s="494"/>
      <c r="H471" s="494"/>
      <c r="I471" s="671" t="s">
        <v>2066</v>
      </c>
      <c r="J471" s="985" t="s">
        <v>2067</v>
      </c>
      <c r="K471" s="680" t="str">
        <f>IF(L471=0,"",(INDEX(AccountCodes[ACCOUNT NAME],MATCH(L471,AccountCodes[NGAS CODE],0))))</f>
        <v>Due to Pag-IBIG</v>
      </c>
      <c r="L471" s="955" t="s">
        <v>111</v>
      </c>
      <c r="M471" s="956"/>
      <c r="N471" s="956">
        <v>1200</v>
      </c>
      <c r="O471" s="1017"/>
      <c r="P471" s="987">
        <f t="shared" si="8"/>
        <v>30316.1</v>
      </c>
    </row>
    <row r="472" spans="1:16" ht="63" hidden="1" x14ac:dyDescent="0.25">
      <c r="A472" s="959">
        <v>44895</v>
      </c>
      <c r="B472" s="720">
        <v>44886</v>
      </c>
      <c r="C472" s="494" t="s">
        <v>2065</v>
      </c>
      <c r="D472" s="145" t="s">
        <v>2095</v>
      </c>
      <c r="E472" s="996" t="s">
        <v>762</v>
      </c>
      <c r="F472" s="495" t="s">
        <v>1526</v>
      </c>
      <c r="G472" s="960"/>
      <c r="H472" s="960"/>
      <c r="I472" s="963" t="s">
        <v>2066</v>
      </c>
      <c r="J472" s="986" t="s">
        <v>2067</v>
      </c>
      <c r="K472" s="965" t="str">
        <f>IF(L472=0,"",(INDEX(AccountCodes[ACCOUNT NAME],MATCH(L472,AccountCodes[NGAS CODE],0))))</f>
        <v>Due to Pag-IBIG - Pag-IBIG Multi-Purpose Loan</v>
      </c>
      <c r="L472" s="966" t="s">
        <v>1445</v>
      </c>
      <c r="M472" s="967"/>
      <c r="N472" s="967">
        <v>692.97</v>
      </c>
      <c r="O472" s="1018"/>
      <c r="P472" s="987">
        <f t="shared" si="8"/>
        <v>29623.13</v>
      </c>
    </row>
    <row r="473" spans="1:16" ht="63" hidden="1" x14ac:dyDescent="0.25">
      <c r="A473" s="720">
        <v>44895</v>
      </c>
      <c r="B473" s="720">
        <v>44886</v>
      </c>
      <c r="C473" s="494" t="s">
        <v>2065</v>
      </c>
      <c r="D473" s="145" t="s">
        <v>2095</v>
      </c>
      <c r="E473" s="996" t="s">
        <v>762</v>
      </c>
      <c r="F473" s="495" t="s">
        <v>1526</v>
      </c>
      <c r="G473" s="494"/>
      <c r="H473" s="494"/>
      <c r="I473" s="671" t="s">
        <v>2066</v>
      </c>
      <c r="J473" s="985" t="s">
        <v>2067</v>
      </c>
      <c r="K473" s="680" t="str">
        <f>IF(L473=0,"",(INDEX(AccountCodes[ACCOUNT NAME],MATCH(L473,AccountCodes[NGAS CODE],0))))</f>
        <v>Due to PhilHealth</v>
      </c>
      <c r="L473" s="955" t="s">
        <v>112</v>
      </c>
      <c r="M473" s="956"/>
      <c r="N473" s="956">
        <v>2179.5300000000002</v>
      </c>
      <c r="O473" s="1017"/>
      <c r="P473" s="987">
        <f t="shared" si="8"/>
        <v>27443.599999999999</v>
      </c>
    </row>
    <row r="474" spans="1:16" ht="63" hidden="1" x14ac:dyDescent="0.25">
      <c r="A474" s="720">
        <v>44895</v>
      </c>
      <c r="B474" s="720">
        <v>44886</v>
      </c>
      <c r="C474" s="494" t="s">
        <v>2065</v>
      </c>
      <c r="D474" s="145" t="s">
        <v>2095</v>
      </c>
      <c r="E474" s="996" t="s">
        <v>762</v>
      </c>
      <c r="F474" s="495" t="s">
        <v>1526</v>
      </c>
      <c r="G474" s="494"/>
      <c r="H474" s="494"/>
      <c r="I474" s="671" t="s">
        <v>2066</v>
      </c>
      <c r="J474" s="985" t="s">
        <v>2067</v>
      </c>
      <c r="K474" s="680" t="str">
        <f>IF(L474=0,"",(INDEX(AccountCodes[ACCOUNT NAME],MATCH(L474,AccountCodes[NGAS CODE],0))))</f>
        <v>Other Payables</v>
      </c>
      <c r="L474" s="955" t="s">
        <v>117</v>
      </c>
      <c r="M474" s="956"/>
      <c r="N474" s="956">
        <v>2090</v>
      </c>
      <c r="O474" s="1017"/>
      <c r="P474" s="987">
        <f t="shared" si="8"/>
        <v>25353.599999999999</v>
      </c>
    </row>
    <row r="475" spans="1:16" ht="63" hidden="1" x14ac:dyDescent="0.25">
      <c r="A475" s="959">
        <v>44895</v>
      </c>
      <c r="B475" s="720">
        <v>44886</v>
      </c>
      <c r="C475" s="494" t="s">
        <v>2065</v>
      </c>
      <c r="D475" s="145" t="s">
        <v>2095</v>
      </c>
      <c r="E475" s="996" t="s">
        <v>762</v>
      </c>
      <c r="F475" s="495" t="s">
        <v>1526</v>
      </c>
      <c r="G475" s="960"/>
      <c r="H475" s="960"/>
      <c r="I475" s="963" t="s">
        <v>2066</v>
      </c>
      <c r="J475" s="986" t="s">
        <v>2067</v>
      </c>
      <c r="K475" s="965" t="str">
        <f>IF(L475=0,"",(INDEX(AccountCodes[ACCOUNT NAME],MATCH(L475,AccountCodes[NGAS CODE],0))))</f>
        <v>Cash in Bank-Local Currency, Current Account - FO</v>
      </c>
      <c r="L475" s="966" t="s">
        <v>1566</v>
      </c>
      <c r="M475" s="967"/>
      <c r="N475" s="967">
        <v>25353.599999999999</v>
      </c>
      <c r="O475" s="1018"/>
      <c r="P475" s="987">
        <f t="shared" si="8"/>
        <v>0</v>
      </c>
    </row>
    <row r="476" spans="1:16" ht="94.5" hidden="1" x14ac:dyDescent="0.25">
      <c r="A476" s="720">
        <v>44895</v>
      </c>
      <c r="B476" s="720">
        <v>44887</v>
      </c>
      <c r="C476" s="494" t="s">
        <v>2068</v>
      </c>
      <c r="D476" s="145" t="s">
        <v>2095</v>
      </c>
      <c r="E476" s="996" t="s">
        <v>762</v>
      </c>
      <c r="F476" s="495" t="s">
        <v>1526</v>
      </c>
      <c r="G476" s="494"/>
      <c r="H476" s="494"/>
      <c r="I476" s="671" t="s">
        <v>1636</v>
      </c>
      <c r="J476" s="985" t="s">
        <v>2069</v>
      </c>
      <c r="K476" s="680" t="str">
        <f>IF(L476=0,"",(INDEX(AccountCodes[ACCOUNT NAME],MATCH(L476,AccountCodes[NGAS CODE],0))))</f>
        <v>PhilHealth Contributions</v>
      </c>
      <c r="L476" s="955" t="s">
        <v>177</v>
      </c>
      <c r="M476" s="956">
        <v>351.34</v>
      </c>
      <c r="N476" s="956"/>
      <c r="O476" s="1029" t="s">
        <v>2098</v>
      </c>
      <c r="P476" s="987">
        <f t="shared" si="8"/>
        <v>351.34</v>
      </c>
    </row>
    <row r="477" spans="1:16" ht="94.5" hidden="1" x14ac:dyDescent="0.25">
      <c r="A477" s="720">
        <v>44895</v>
      </c>
      <c r="B477" s="720">
        <v>44887</v>
      </c>
      <c r="C477" s="494" t="s">
        <v>2068</v>
      </c>
      <c r="D477" s="145" t="s">
        <v>2095</v>
      </c>
      <c r="E477" s="996" t="s">
        <v>762</v>
      </c>
      <c r="F477" s="495" t="s">
        <v>1526</v>
      </c>
      <c r="G477" s="494"/>
      <c r="H477" s="494"/>
      <c r="I477" s="671" t="s">
        <v>1636</v>
      </c>
      <c r="J477" s="985" t="s">
        <v>2069</v>
      </c>
      <c r="K477" s="680" t="str">
        <f>IF(L477=0,"",(INDEX(AccountCodes[ACCOUNT NAME],MATCH(L477,AccountCodes[NGAS CODE],0))))</f>
        <v>Due to PhilHealth</v>
      </c>
      <c r="L477" s="955" t="s">
        <v>112</v>
      </c>
      <c r="M477" s="956">
        <v>351.36</v>
      </c>
      <c r="N477" s="956"/>
      <c r="O477" s="1017"/>
      <c r="P477" s="987">
        <f t="shared" si="8"/>
        <v>702.7</v>
      </c>
    </row>
    <row r="478" spans="1:16" ht="94.5" hidden="1" x14ac:dyDescent="0.25">
      <c r="A478" s="959">
        <v>44895</v>
      </c>
      <c r="B478" s="959">
        <v>44887</v>
      </c>
      <c r="C478" s="960" t="s">
        <v>2068</v>
      </c>
      <c r="D478" s="145" t="s">
        <v>2095</v>
      </c>
      <c r="E478" s="996" t="s">
        <v>762</v>
      </c>
      <c r="F478" s="495" t="s">
        <v>1526</v>
      </c>
      <c r="G478" s="960"/>
      <c r="H478" s="960"/>
      <c r="I478" s="963" t="s">
        <v>1636</v>
      </c>
      <c r="J478" s="986" t="s">
        <v>2069</v>
      </c>
      <c r="K478" s="965" t="str">
        <f>IF(L478=0,"",(INDEX(AccountCodes[ACCOUNT NAME],MATCH(L478,AccountCodes[NGAS CODE],0))))</f>
        <v>Cash in Bank-Local Currency, Current Account - FO</v>
      </c>
      <c r="L478" s="966" t="s">
        <v>1566</v>
      </c>
      <c r="M478" s="967"/>
      <c r="N478" s="967">
        <v>702.7</v>
      </c>
      <c r="O478" s="1018"/>
      <c r="P478" s="987">
        <f t="shared" si="8"/>
        <v>0</v>
      </c>
    </row>
    <row r="479" spans="1:16" ht="94.5" hidden="1" x14ac:dyDescent="0.25">
      <c r="A479" s="541">
        <v>44895</v>
      </c>
      <c r="B479" s="720">
        <v>44887</v>
      </c>
      <c r="C479" s="494" t="s">
        <v>2070</v>
      </c>
      <c r="D479" s="145" t="s">
        <v>2095</v>
      </c>
      <c r="E479" s="996" t="s">
        <v>762</v>
      </c>
      <c r="F479" s="495" t="s">
        <v>1526</v>
      </c>
      <c r="G479" s="494"/>
      <c r="H479" s="494"/>
      <c r="I479" s="671" t="s">
        <v>1636</v>
      </c>
      <c r="J479" s="985" t="s">
        <v>2071</v>
      </c>
      <c r="K479" s="680" t="str">
        <f>IF(L479=0,"",(INDEX(AccountCodes[ACCOUNT NAME],MATCH(L479,AccountCodes[NGAS CODE],0))))</f>
        <v>PhilHealth Contributions</v>
      </c>
      <c r="L479" s="955" t="s">
        <v>177</v>
      </c>
      <c r="M479" s="956">
        <v>351.34</v>
      </c>
      <c r="N479" s="956"/>
      <c r="O479" s="1029" t="s">
        <v>2098</v>
      </c>
      <c r="P479" s="987">
        <f t="shared" ref="P479:P544" si="9">P478+M479-N479</f>
        <v>351.34</v>
      </c>
    </row>
    <row r="480" spans="1:16" ht="94.5" hidden="1" x14ac:dyDescent="0.25">
      <c r="A480" s="541">
        <v>44895</v>
      </c>
      <c r="B480" s="720">
        <v>44887</v>
      </c>
      <c r="C480" s="494" t="s">
        <v>2070</v>
      </c>
      <c r="D480" s="145" t="s">
        <v>2095</v>
      </c>
      <c r="E480" s="996" t="s">
        <v>762</v>
      </c>
      <c r="F480" s="495" t="s">
        <v>1526</v>
      </c>
      <c r="G480" s="494"/>
      <c r="H480" s="494"/>
      <c r="I480" s="671" t="s">
        <v>1636</v>
      </c>
      <c r="J480" s="985" t="s">
        <v>2071</v>
      </c>
      <c r="K480" s="680" t="str">
        <f>IF(L480=0,"",(INDEX(AccountCodes[ACCOUNT NAME],MATCH(L480,AccountCodes[NGAS CODE],0))))</f>
        <v>Due to PhilHealth</v>
      </c>
      <c r="L480" s="955" t="s">
        <v>112</v>
      </c>
      <c r="M480" s="956">
        <v>351.36</v>
      </c>
      <c r="N480" s="956"/>
      <c r="O480" s="1017"/>
      <c r="P480" s="987">
        <f t="shared" si="9"/>
        <v>702.7</v>
      </c>
    </row>
    <row r="481" spans="1:16" ht="94.5" hidden="1" x14ac:dyDescent="0.25">
      <c r="A481" s="541">
        <v>44895</v>
      </c>
      <c r="B481" s="720">
        <v>44887</v>
      </c>
      <c r="C481" s="494" t="s">
        <v>2070</v>
      </c>
      <c r="D481" s="145" t="s">
        <v>2095</v>
      </c>
      <c r="E481" s="996" t="s">
        <v>762</v>
      </c>
      <c r="F481" s="495" t="s">
        <v>1526</v>
      </c>
      <c r="G481" s="494"/>
      <c r="H481" s="494"/>
      <c r="I481" s="671" t="s">
        <v>1636</v>
      </c>
      <c r="J481" s="985" t="s">
        <v>2071</v>
      </c>
      <c r="K481" s="680" t="str">
        <f>IF(L481=0,"",(INDEX(AccountCodes[ACCOUNT NAME],MATCH(L481,AccountCodes[NGAS CODE],0))))</f>
        <v>Cash in Bank-Local Currency, Current Account - FO</v>
      </c>
      <c r="L481" s="955" t="s">
        <v>1566</v>
      </c>
      <c r="M481" s="956"/>
      <c r="N481" s="956">
        <v>702.7</v>
      </c>
      <c r="O481" s="1017"/>
      <c r="P481" s="987">
        <f t="shared" si="9"/>
        <v>0</v>
      </c>
    </row>
    <row r="482" spans="1:16" ht="94.5" hidden="1" x14ac:dyDescent="0.25">
      <c r="A482" s="541">
        <v>44895</v>
      </c>
      <c r="B482" s="720">
        <v>44887</v>
      </c>
      <c r="C482" s="494" t="s">
        <v>2072</v>
      </c>
      <c r="D482" s="145" t="s">
        <v>2095</v>
      </c>
      <c r="E482" s="996" t="s">
        <v>762</v>
      </c>
      <c r="F482" s="495" t="s">
        <v>1526</v>
      </c>
      <c r="G482" s="494"/>
      <c r="H482" s="494"/>
      <c r="I482" s="671" t="s">
        <v>1636</v>
      </c>
      <c r="J482" s="985" t="s">
        <v>2073</v>
      </c>
      <c r="K482" s="680" t="str">
        <f>IF(L482=0,"",(INDEX(AccountCodes[ACCOUNT NAME],MATCH(L482,AccountCodes[NGAS CODE],0))))</f>
        <v>PhilHealth Contributions</v>
      </c>
      <c r="L482" s="955" t="s">
        <v>177</v>
      </c>
      <c r="M482" s="956">
        <v>351.34</v>
      </c>
      <c r="N482" s="956"/>
      <c r="O482" s="1029" t="s">
        <v>2098</v>
      </c>
      <c r="P482" s="987">
        <f t="shared" si="9"/>
        <v>351.34</v>
      </c>
    </row>
    <row r="483" spans="1:16" ht="94.5" hidden="1" x14ac:dyDescent="0.25">
      <c r="A483" s="541">
        <v>44895</v>
      </c>
      <c r="B483" s="720">
        <v>44887</v>
      </c>
      <c r="C483" s="494" t="s">
        <v>2072</v>
      </c>
      <c r="D483" s="145" t="s">
        <v>2095</v>
      </c>
      <c r="E483" s="996" t="s">
        <v>762</v>
      </c>
      <c r="F483" s="495" t="s">
        <v>1526</v>
      </c>
      <c r="G483" s="494"/>
      <c r="H483" s="494"/>
      <c r="I483" s="671" t="s">
        <v>1636</v>
      </c>
      <c r="J483" s="985" t="s">
        <v>2073</v>
      </c>
      <c r="K483" s="680" t="str">
        <f>IF(L483=0,"",(INDEX(AccountCodes[ACCOUNT NAME],MATCH(L483,AccountCodes[NGAS CODE],0))))</f>
        <v>Due to PhilHealth</v>
      </c>
      <c r="L483" s="955" t="s">
        <v>112</v>
      </c>
      <c r="M483" s="956">
        <v>351.36</v>
      </c>
      <c r="N483" s="956"/>
      <c r="O483" s="1017"/>
      <c r="P483" s="987">
        <f t="shared" si="9"/>
        <v>702.7</v>
      </c>
    </row>
    <row r="484" spans="1:16" ht="94.5" hidden="1" x14ac:dyDescent="0.25">
      <c r="A484" s="958">
        <v>44895</v>
      </c>
      <c r="B484" s="959">
        <v>44887</v>
      </c>
      <c r="C484" s="960" t="s">
        <v>2072</v>
      </c>
      <c r="D484" s="145" t="s">
        <v>2095</v>
      </c>
      <c r="E484" s="996" t="s">
        <v>762</v>
      </c>
      <c r="F484" s="495" t="s">
        <v>1526</v>
      </c>
      <c r="G484" s="960"/>
      <c r="H484" s="960"/>
      <c r="I484" s="963" t="s">
        <v>1636</v>
      </c>
      <c r="J484" s="986" t="s">
        <v>2073</v>
      </c>
      <c r="K484" s="965" t="str">
        <f>IF(L484=0,"",(INDEX(AccountCodes[ACCOUNT NAME],MATCH(L484,AccountCodes[NGAS CODE],0))))</f>
        <v>Cash in Bank-Local Currency, Current Account - FO</v>
      </c>
      <c r="L484" s="966" t="s">
        <v>1566</v>
      </c>
      <c r="M484" s="967"/>
      <c r="N484" s="967">
        <v>702.7</v>
      </c>
      <c r="O484" s="1018"/>
      <c r="P484" s="987">
        <f t="shared" si="9"/>
        <v>0</v>
      </c>
    </row>
    <row r="485" spans="1:16" ht="94.5" hidden="1" x14ac:dyDescent="0.25">
      <c r="A485" s="541">
        <v>44895</v>
      </c>
      <c r="B485" s="720">
        <v>44887</v>
      </c>
      <c r="C485" s="494" t="s">
        <v>2074</v>
      </c>
      <c r="D485" s="145" t="s">
        <v>2095</v>
      </c>
      <c r="E485" s="996" t="s">
        <v>762</v>
      </c>
      <c r="F485" s="495" t="s">
        <v>1526</v>
      </c>
      <c r="G485" s="494"/>
      <c r="H485" s="494"/>
      <c r="I485" s="671" t="s">
        <v>1636</v>
      </c>
      <c r="J485" s="985" t="s">
        <v>2075</v>
      </c>
      <c r="K485" s="680" t="str">
        <f>IF(L485=0,"",(INDEX(AccountCodes[ACCOUNT NAME],MATCH(L485,AccountCodes[NGAS CODE],0))))</f>
        <v>PhilHealth Contributions</v>
      </c>
      <c r="L485" s="955" t="s">
        <v>177</v>
      </c>
      <c r="M485" s="956">
        <v>351.34</v>
      </c>
      <c r="N485" s="956"/>
      <c r="O485" s="1029" t="s">
        <v>2098</v>
      </c>
      <c r="P485" s="987">
        <f t="shared" si="9"/>
        <v>351.34</v>
      </c>
    </row>
    <row r="486" spans="1:16" ht="94.5" hidden="1" x14ac:dyDescent="0.25">
      <c r="A486" s="541">
        <v>44895</v>
      </c>
      <c r="B486" s="720">
        <v>44887</v>
      </c>
      <c r="C486" s="494" t="s">
        <v>2074</v>
      </c>
      <c r="D486" s="145" t="s">
        <v>2095</v>
      </c>
      <c r="E486" s="996" t="s">
        <v>762</v>
      </c>
      <c r="F486" s="495" t="s">
        <v>1526</v>
      </c>
      <c r="G486" s="494"/>
      <c r="H486" s="494"/>
      <c r="I486" s="671" t="s">
        <v>1636</v>
      </c>
      <c r="J486" s="985" t="s">
        <v>2075</v>
      </c>
      <c r="K486" s="680" t="str">
        <f>IF(L486=0,"",(INDEX(AccountCodes[ACCOUNT NAME],MATCH(L486,AccountCodes[NGAS CODE],0))))</f>
        <v>Due to PhilHealth</v>
      </c>
      <c r="L486" s="955" t="s">
        <v>112</v>
      </c>
      <c r="M486" s="956">
        <v>351.36</v>
      </c>
      <c r="N486" s="956"/>
      <c r="O486" s="1017"/>
      <c r="P486" s="987">
        <f t="shared" si="9"/>
        <v>702.7</v>
      </c>
    </row>
    <row r="487" spans="1:16" ht="94.5" hidden="1" x14ac:dyDescent="0.25">
      <c r="A487" s="541">
        <v>44895</v>
      </c>
      <c r="B487" s="720">
        <v>44887</v>
      </c>
      <c r="C487" s="494" t="s">
        <v>2074</v>
      </c>
      <c r="D487" s="145" t="s">
        <v>2095</v>
      </c>
      <c r="E487" s="996" t="s">
        <v>762</v>
      </c>
      <c r="F487" s="495" t="s">
        <v>1526</v>
      </c>
      <c r="G487" s="494"/>
      <c r="H487" s="494"/>
      <c r="I487" s="671" t="s">
        <v>1636</v>
      </c>
      <c r="J487" s="985" t="s">
        <v>2075</v>
      </c>
      <c r="K487" s="680" t="str">
        <f>IF(L487=0,"",(INDEX(AccountCodes[ACCOUNT NAME],MATCH(L487,AccountCodes[NGAS CODE],0))))</f>
        <v>Cash in Bank-Local Currency, Current Account - FO</v>
      </c>
      <c r="L487" s="955" t="s">
        <v>1566</v>
      </c>
      <c r="M487" s="956"/>
      <c r="N487" s="956">
        <v>702.7</v>
      </c>
      <c r="O487" s="1017"/>
      <c r="P487" s="987">
        <f t="shared" si="9"/>
        <v>0</v>
      </c>
    </row>
    <row r="488" spans="1:16" ht="94.5" hidden="1" x14ac:dyDescent="0.25">
      <c r="A488" s="541">
        <v>44895</v>
      </c>
      <c r="B488" s="720">
        <v>44887</v>
      </c>
      <c r="C488" s="494" t="s">
        <v>2076</v>
      </c>
      <c r="D488" s="145" t="s">
        <v>2095</v>
      </c>
      <c r="E488" s="995" t="s">
        <v>762</v>
      </c>
      <c r="F488" s="962" t="s">
        <v>1526</v>
      </c>
      <c r="G488" s="494"/>
      <c r="H488" s="494"/>
      <c r="I488" s="671" t="s">
        <v>1636</v>
      </c>
      <c r="J488" s="985" t="s">
        <v>2075</v>
      </c>
      <c r="K488" s="680" t="str">
        <f>IF(L488=0,"",(INDEX(AccountCodes[ACCOUNT NAME],MATCH(L488,AccountCodes[NGAS CODE],0))))</f>
        <v>PhilHealth Contributions</v>
      </c>
      <c r="L488" s="955" t="s">
        <v>177</v>
      </c>
      <c r="M488" s="956">
        <v>351.34</v>
      </c>
      <c r="N488" s="956"/>
      <c r="O488" s="1029" t="s">
        <v>2098</v>
      </c>
      <c r="P488" s="987">
        <f t="shared" si="9"/>
        <v>351.34</v>
      </c>
    </row>
    <row r="489" spans="1:16" ht="94.5" hidden="1" x14ac:dyDescent="0.25">
      <c r="A489" s="541">
        <v>44895</v>
      </c>
      <c r="B489" s="720">
        <v>44887</v>
      </c>
      <c r="C489" s="494" t="s">
        <v>2076</v>
      </c>
      <c r="D489" s="145" t="s">
        <v>2095</v>
      </c>
      <c r="E489" s="995" t="s">
        <v>762</v>
      </c>
      <c r="F489" s="962" t="s">
        <v>1526</v>
      </c>
      <c r="G489" s="494"/>
      <c r="H489" s="494"/>
      <c r="I489" s="671" t="s">
        <v>1636</v>
      </c>
      <c r="J489" s="985" t="s">
        <v>2075</v>
      </c>
      <c r="K489" s="680" t="str">
        <f>IF(L489=0,"",(INDEX(AccountCodes[ACCOUNT NAME],MATCH(L489,AccountCodes[NGAS CODE],0))))</f>
        <v>Due to PhilHealth</v>
      </c>
      <c r="L489" s="955" t="s">
        <v>112</v>
      </c>
      <c r="M489" s="956">
        <v>351.36</v>
      </c>
      <c r="N489" s="956"/>
      <c r="O489" s="1017"/>
      <c r="P489" s="987">
        <f t="shared" si="9"/>
        <v>702.7</v>
      </c>
    </row>
    <row r="490" spans="1:16" ht="94.5" hidden="1" x14ac:dyDescent="0.25">
      <c r="A490" s="958">
        <v>44895</v>
      </c>
      <c r="B490" s="959">
        <v>44887</v>
      </c>
      <c r="C490" s="960" t="s">
        <v>2076</v>
      </c>
      <c r="D490" s="145" t="s">
        <v>2095</v>
      </c>
      <c r="E490" s="995" t="s">
        <v>762</v>
      </c>
      <c r="F490" s="962" t="s">
        <v>1526</v>
      </c>
      <c r="G490" s="960"/>
      <c r="H490" s="960"/>
      <c r="I490" s="963" t="s">
        <v>1636</v>
      </c>
      <c r="J490" s="986" t="s">
        <v>2075</v>
      </c>
      <c r="K490" s="965" t="str">
        <f>IF(L490=0,"",(INDEX(AccountCodes[ACCOUNT NAME],MATCH(L490,AccountCodes[NGAS CODE],0))))</f>
        <v>Cash in Bank-Local Currency, Current Account - FO</v>
      </c>
      <c r="L490" s="966" t="s">
        <v>1566</v>
      </c>
      <c r="M490" s="967"/>
      <c r="N490" s="967">
        <v>702.7</v>
      </c>
      <c r="O490" s="1018"/>
      <c r="P490" s="987">
        <f t="shared" si="9"/>
        <v>0</v>
      </c>
    </row>
    <row r="491" spans="1:16" ht="110.25" hidden="1" x14ac:dyDescent="0.25">
      <c r="A491" s="541">
        <v>44895</v>
      </c>
      <c r="B491" s="720">
        <v>44888</v>
      </c>
      <c r="C491" s="494" t="s">
        <v>2077</v>
      </c>
      <c r="D491" s="145" t="s">
        <v>2095</v>
      </c>
      <c r="E491" s="995" t="s">
        <v>762</v>
      </c>
      <c r="F491" s="962" t="s">
        <v>1526</v>
      </c>
      <c r="G491" s="494"/>
      <c r="H491" s="494"/>
      <c r="I491" s="671" t="s">
        <v>2063</v>
      </c>
      <c r="J491" s="985" t="s">
        <v>2078</v>
      </c>
      <c r="K491" s="680" t="str">
        <f>IF(L491=0,"",(INDEX(AccountCodes[ACCOUNT NAME],MATCH(L491,AccountCodes[NGAS CODE],0))))</f>
        <v>Guaranty/Security Deposits Payable</v>
      </c>
      <c r="L491" s="955" t="s">
        <v>115</v>
      </c>
      <c r="M491" s="956">
        <v>354316.63</v>
      </c>
      <c r="N491" s="956"/>
      <c r="O491" s="1031" t="s">
        <v>2079</v>
      </c>
      <c r="P491" s="987">
        <f t="shared" si="9"/>
        <v>354316.63</v>
      </c>
    </row>
    <row r="492" spans="1:16" ht="110.25" hidden="1" x14ac:dyDescent="0.25">
      <c r="A492" s="541">
        <v>44895</v>
      </c>
      <c r="B492" s="720">
        <v>44888</v>
      </c>
      <c r="C492" s="494" t="s">
        <v>2077</v>
      </c>
      <c r="D492" s="145" t="s">
        <v>2095</v>
      </c>
      <c r="E492" s="995" t="s">
        <v>762</v>
      </c>
      <c r="F492" s="962" t="s">
        <v>1526</v>
      </c>
      <c r="G492" s="494"/>
      <c r="H492" s="494"/>
      <c r="I492" s="671" t="s">
        <v>2063</v>
      </c>
      <c r="J492" s="985" t="s">
        <v>2078</v>
      </c>
      <c r="K492" s="680" t="str">
        <f>IF(L492=0,"",(INDEX(AccountCodes[ACCOUNT NAME],MATCH(L492,AccountCodes[NGAS CODE],0))))</f>
        <v>Cash in Bank-Local Currency, Current Account - FO</v>
      </c>
      <c r="L492" s="955" t="s">
        <v>1566</v>
      </c>
      <c r="M492" s="956"/>
      <c r="N492" s="956">
        <v>354316.63</v>
      </c>
      <c r="O492" s="1017"/>
      <c r="P492" s="987">
        <f t="shared" si="9"/>
        <v>0</v>
      </c>
    </row>
    <row r="493" spans="1:16" ht="47.25" x14ac:dyDescent="0.25">
      <c r="A493" s="541">
        <v>44895</v>
      </c>
      <c r="B493" s="720">
        <v>44888</v>
      </c>
      <c r="C493" s="494" t="s">
        <v>2080</v>
      </c>
      <c r="D493" s="145" t="s">
        <v>2095</v>
      </c>
      <c r="E493" s="995" t="s">
        <v>762</v>
      </c>
      <c r="F493" s="962" t="s">
        <v>1526</v>
      </c>
      <c r="G493" s="494"/>
      <c r="H493" s="494"/>
      <c r="I493" s="671" t="s">
        <v>1933</v>
      </c>
      <c r="J493" s="985" t="s">
        <v>2081</v>
      </c>
      <c r="K493" s="680" t="str">
        <f>IF(L493=0,"",(INDEX(AccountCodes[ACCOUNT NAME],MATCH(L493,AccountCodes[NGAS CODE],0))))</f>
        <v>Semi-Expendable Office Equipment</v>
      </c>
      <c r="L493" s="955" t="s">
        <v>1245</v>
      </c>
      <c r="M493" s="956">
        <v>12912</v>
      </c>
      <c r="N493" s="956"/>
      <c r="O493" s="1029" t="s">
        <v>2082</v>
      </c>
      <c r="P493" s="987">
        <f t="shared" si="9"/>
        <v>12912</v>
      </c>
    </row>
    <row r="494" spans="1:16" ht="47.25" hidden="1" x14ac:dyDescent="0.25">
      <c r="A494" s="958">
        <v>44895</v>
      </c>
      <c r="B494" s="959">
        <v>44888</v>
      </c>
      <c r="C494" s="960" t="s">
        <v>2080</v>
      </c>
      <c r="D494" s="145" t="s">
        <v>2095</v>
      </c>
      <c r="E494" s="995" t="s">
        <v>762</v>
      </c>
      <c r="F494" s="962" t="s">
        <v>1526</v>
      </c>
      <c r="G494" s="960"/>
      <c r="H494" s="960"/>
      <c r="I494" s="963" t="s">
        <v>1933</v>
      </c>
      <c r="J494" s="986" t="s">
        <v>2081</v>
      </c>
      <c r="K494" s="965" t="str">
        <f>IF(L494=0,"",(INDEX(AccountCodes[ACCOUNT NAME],MATCH(L494,AccountCodes[NGAS CODE],0))))</f>
        <v>Due to BIR - 1%</v>
      </c>
      <c r="L494" s="966" t="s">
        <v>1554</v>
      </c>
      <c r="M494" s="967"/>
      <c r="N494" s="967">
        <v>115.29</v>
      </c>
      <c r="O494" s="1019" t="s">
        <v>2099</v>
      </c>
      <c r="P494" s="987">
        <f t="shared" si="9"/>
        <v>12796.71</v>
      </c>
    </row>
    <row r="495" spans="1:16" ht="47.25" hidden="1" x14ac:dyDescent="0.25">
      <c r="A495" s="541">
        <v>44895</v>
      </c>
      <c r="B495" s="720">
        <v>44888</v>
      </c>
      <c r="C495" s="494" t="s">
        <v>2080</v>
      </c>
      <c r="D495" s="145" t="s">
        <v>2095</v>
      </c>
      <c r="E495" s="995" t="s">
        <v>762</v>
      </c>
      <c r="F495" s="962" t="s">
        <v>1526</v>
      </c>
      <c r="G495" s="494"/>
      <c r="H495" s="494"/>
      <c r="I495" s="671" t="s">
        <v>1933</v>
      </c>
      <c r="J495" s="988" t="s">
        <v>2081</v>
      </c>
      <c r="K495" s="680" t="str">
        <f>IF(L495=0,"",(INDEX(AccountCodes[ACCOUNT NAME],MATCH(L495,AccountCodes[NGAS CODE],0))))</f>
        <v>Due to BIR - 5%</v>
      </c>
      <c r="L495" s="955" t="s">
        <v>1548</v>
      </c>
      <c r="M495" s="956"/>
      <c r="N495" s="956">
        <v>576.42999999999995</v>
      </c>
      <c r="O495" s="1017" t="s">
        <v>2099</v>
      </c>
      <c r="P495" s="987">
        <f t="shared" si="9"/>
        <v>12220.28</v>
      </c>
    </row>
    <row r="496" spans="1:16" ht="47.25" hidden="1" x14ac:dyDescent="0.25">
      <c r="A496" s="541">
        <v>44895</v>
      </c>
      <c r="B496" s="720">
        <v>44888</v>
      </c>
      <c r="C496" s="494" t="s">
        <v>2080</v>
      </c>
      <c r="D496" s="145" t="s">
        <v>2095</v>
      </c>
      <c r="E496" s="995" t="s">
        <v>762</v>
      </c>
      <c r="F496" s="962" t="s">
        <v>1526</v>
      </c>
      <c r="G496" s="494"/>
      <c r="H496" s="494"/>
      <c r="I496" s="671" t="s">
        <v>1933</v>
      </c>
      <c r="J496" s="988" t="s">
        <v>2081</v>
      </c>
      <c r="K496" s="680" t="str">
        <f>IF(L496=0,"",(INDEX(AccountCodes[ACCOUNT NAME],MATCH(L496,AccountCodes[NGAS CODE],0))))</f>
        <v>Cash in Bank-Local Currency, Current Account - FO</v>
      </c>
      <c r="L496" s="955" t="s">
        <v>1566</v>
      </c>
      <c r="M496" s="956"/>
      <c r="N496" s="956">
        <v>12220.28</v>
      </c>
      <c r="O496" s="1017"/>
      <c r="P496" s="987">
        <f t="shared" si="9"/>
        <v>0</v>
      </c>
    </row>
    <row r="497" spans="1:16" ht="63" hidden="1" x14ac:dyDescent="0.25">
      <c r="A497" s="958">
        <v>44895</v>
      </c>
      <c r="B497" s="959">
        <v>44890</v>
      </c>
      <c r="C497" s="960" t="s">
        <v>2083</v>
      </c>
      <c r="D497" s="145" t="s">
        <v>2095</v>
      </c>
      <c r="E497" s="995" t="s">
        <v>762</v>
      </c>
      <c r="F497" s="962" t="s">
        <v>1526</v>
      </c>
      <c r="G497" s="960"/>
      <c r="H497" s="960"/>
      <c r="I497" s="963" t="s">
        <v>1639</v>
      </c>
      <c r="J497" s="990" t="s">
        <v>2085</v>
      </c>
      <c r="K497" s="965" t="str">
        <f>IF(L497=0,"",(INDEX(AccountCodes[ACCOUNT NAME],MATCH(L497,AccountCodes[NGAS CODE],0))))</f>
        <v>Due to Pag-IBIG - Pag-IBIG Multi-Purpose Loan</v>
      </c>
      <c r="L497" s="978" t="s">
        <v>1445</v>
      </c>
      <c r="M497" s="967">
        <v>2825.02</v>
      </c>
      <c r="N497" s="967"/>
      <c r="O497" s="1031" t="s">
        <v>2079</v>
      </c>
      <c r="P497" s="987">
        <f t="shared" si="9"/>
        <v>2825.02</v>
      </c>
    </row>
    <row r="498" spans="1:16" ht="63" hidden="1" x14ac:dyDescent="0.25">
      <c r="A498" s="541">
        <v>44895</v>
      </c>
      <c r="B498" s="720">
        <v>44890</v>
      </c>
      <c r="C498" s="494" t="s">
        <v>2083</v>
      </c>
      <c r="D498" s="145" t="s">
        <v>2095</v>
      </c>
      <c r="E498" s="995" t="s">
        <v>762</v>
      </c>
      <c r="F498" s="962" t="s">
        <v>1526</v>
      </c>
      <c r="G498" s="494"/>
      <c r="H498" s="494"/>
      <c r="I498" s="671" t="s">
        <v>1639</v>
      </c>
      <c r="J498" s="988" t="s">
        <v>2085</v>
      </c>
      <c r="K498" s="680" t="str">
        <f>IF(L498=0,"",(INDEX(AccountCodes[ACCOUNT NAME],MATCH(L498,AccountCodes[NGAS CODE],0))))</f>
        <v>Cash in Bank-Local Currency, Current Account - FO</v>
      </c>
      <c r="L498" s="955" t="s">
        <v>1566</v>
      </c>
      <c r="M498" s="956"/>
      <c r="N498" s="956">
        <v>2825.02</v>
      </c>
      <c r="O498" s="1017"/>
      <c r="P498" s="987">
        <f t="shared" si="9"/>
        <v>0</v>
      </c>
    </row>
    <row r="499" spans="1:16" ht="63" hidden="1" x14ac:dyDescent="0.25">
      <c r="A499" s="958">
        <v>44895</v>
      </c>
      <c r="B499" s="959">
        <v>44890</v>
      </c>
      <c r="C499" s="960" t="s">
        <v>2084</v>
      </c>
      <c r="D499" s="145" t="s">
        <v>2095</v>
      </c>
      <c r="E499" s="995" t="s">
        <v>762</v>
      </c>
      <c r="F499" s="962" t="s">
        <v>1526</v>
      </c>
      <c r="G499" s="960"/>
      <c r="H499" s="960"/>
      <c r="I499" s="963" t="s">
        <v>1639</v>
      </c>
      <c r="J499" s="990" t="s">
        <v>2086</v>
      </c>
      <c r="K499" s="965" t="str">
        <f>IF(L499=0,"",(INDEX(AccountCodes[ACCOUNT NAME],MATCH(L499,AccountCodes[NGAS CODE],0))))</f>
        <v>Due to Pag-IBIG</v>
      </c>
      <c r="L499" s="978" t="s">
        <v>111</v>
      </c>
      <c r="M499" s="967">
        <v>2500</v>
      </c>
      <c r="N499" s="967"/>
      <c r="O499" s="1031" t="s">
        <v>2079</v>
      </c>
      <c r="P499" s="987">
        <f t="shared" si="9"/>
        <v>2500</v>
      </c>
    </row>
    <row r="500" spans="1:16" ht="63" hidden="1" x14ac:dyDescent="0.25">
      <c r="A500" s="958">
        <v>44895</v>
      </c>
      <c r="B500" s="959">
        <v>44890</v>
      </c>
      <c r="C500" s="960" t="s">
        <v>2084</v>
      </c>
      <c r="D500" s="145" t="s">
        <v>2095</v>
      </c>
      <c r="E500" s="995" t="s">
        <v>762</v>
      </c>
      <c r="F500" s="962" t="s">
        <v>1526</v>
      </c>
      <c r="G500" s="960"/>
      <c r="H500" s="960"/>
      <c r="I500" s="963" t="s">
        <v>1639</v>
      </c>
      <c r="J500" s="990" t="s">
        <v>2086</v>
      </c>
      <c r="K500" s="965" t="str">
        <f>IF(L500=0,"",(INDEX(AccountCodes[ACCOUNT NAME],MATCH(L500,AccountCodes[NGAS CODE],0))))</f>
        <v>Cash in Bank-Local Currency, Current Account - FO</v>
      </c>
      <c r="L500" s="966" t="s">
        <v>1566</v>
      </c>
      <c r="M500" s="967"/>
      <c r="N500" s="967">
        <v>2500</v>
      </c>
      <c r="O500" s="1018"/>
      <c r="P500" s="987">
        <f t="shared" si="9"/>
        <v>0</v>
      </c>
    </row>
    <row r="501" spans="1:16" ht="63" hidden="1" x14ac:dyDescent="0.25">
      <c r="A501" s="958">
        <v>44895</v>
      </c>
      <c r="B501" s="959">
        <v>44890</v>
      </c>
      <c r="C501" s="960" t="s">
        <v>2087</v>
      </c>
      <c r="D501" s="145" t="s">
        <v>2095</v>
      </c>
      <c r="E501" s="995" t="s">
        <v>762</v>
      </c>
      <c r="F501" s="962" t="s">
        <v>1526</v>
      </c>
      <c r="G501" s="960"/>
      <c r="H501" s="960"/>
      <c r="I501" s="963" t="s">
        <v>2041</v>
      </c>
      <c r="J501" s="990" t="s">
        <v>2088</v>
      </c>
      <c r="K501" s="965" t="str">
        <f>IF(L501=0,"",(INDEX(AccountCodes[ACCOUNT NAME],MATCH(L501,AccountCodes[NGAS CODE],0))))</f>
        <v>Other Payables</v>
      </c>
      <c r="L501" s="978" t="s">
        <v>117</v>
      </c>
      <c r="M501" s="967">
        <v>6412.91</v>
      </c>
      <c r="N501" s="967"/>
      <c r="O501" s="1031" t="s">
        <v>2079</v>
      </c>
      <c r="P501" s="987">
        <f t="shared" si="9"/>
        <v>6412.91</v>
      </c>
    </row>
    <row r="502" spans="1:16" ht="63" hidden="1" x14ac:dyDescent="0.25">
      <c r="A502" s="541">
        <v>44895</v>
      </c>
      <c r="B502" s="720">
        <v>44890</v>
      </c>
      <c r="C502" s="494" t="s">
        <v>2087</v>
      </c>
      <c r="D502" s="145" t="s">
        <v>2095</v>
      </c>
      <c r="E502" s="995" t="s">
        <v>762</v>
      </c>
      <c r="F502" s="962" t="s">
        <v>1526</v>
      </c>
      <c r="G502" s="494"/>
      <c r="H502" s="494"/>
      <c r="I502" s="671" t="s">
        <v>2041</v>
      </c>
      <c r="J502" s="988" t="s">
        <v>2088</v>
      </c>
      <c r="K502" s="680" t="str">
        <f>IF(L502=0,"",(INDEX(AccountCodes[ACCOUNT NAME],MATCH(L502,AccountCodes[NGAS CODE],0))))</f>
        <v>Cash in Bank-Local Currency, Current Account - FO</v>
      </c>
      <c r="L502" s="955" t="s">
        <v>1566</v>
      </c>
      <c r="M502" s="956"/>
      <c r="N502" s="956">
        <v>6412.91</v>
      </c>
      <c r="O502" s="1017"/>
      <c r="P502" s="987">
        <f t="shared" si="9"/>
        <v>0</v>
      </c>
    </row>
    <row r="503" spans="1:16" ht="63" hidden="1" x14ac:dyDescent="0.25">
      <c r="A503" s="958">
        <v>44895</v>
      </c>
      <c r="B503" s="959">
        <v>44890</v>
      </c>
      <c r="C503" s="960" t="s">
        <v>2089</v>
      </c>
      <c r="D503" s="145" t="s">
        <v>2095</v>
      </c>
      <c r="E503" s="995" t="s">
        <v>762</v>
      </c>
      <c r="F503" s="962" t="s">
        <v>1526</v>
      </c>
      <c r="G503" s="960"/>
      <c r="H503" s="960"/>
      <c r="I503" s="963" t="s">
        <v>1636</v>
      </c>
      <c r="J503" s="990" t="s">
        <v>2090</v>
      </c>
      <c r="K503" s="965" t="str">
        <f>IF(L503=0,"",(INDEX(AccountCodes[ACCOUNT NAME],MATCH(L503,AccountCodes[NGAS CODE],0))))</f>
        <v>Due to PhilHealth</v>
      </c>
      <c r="L503" s="978" t="s">
        <v>112</v>
      </c>
      <c r="M503" s="967">
        <v>4424.3900000000003</v>
      </c>
      <c r="N503" s="967"/>
      <c r="O503" s="1031" t="s">
        <v>2079</v>
      </c>
      <c r="P503" s="987">
        <f t="shared" si="9"/>
        <v>4424.3900000000003</v>
      </c>
    </row>
    <row r="504" spans="1:16" ht="63" hidden="1" x14ac:dyDescent="0.25">
      <c r="A504" s="958">
        <v>44895</v>
      </c>
      <c r="B504" s="959">
        <v>44890</v>
      </c>
      <c r="C504" s="960" t="s">
        <v>2089</v>
      </c>
      <c r="D504" s="145" t="s">
        <v>2095</v>
      </c>
      <c r="E504" s="995" t="s">
        <v>762</v>
      </c>
      <c r="F504" s="962" t="s">
        <v>1526</v>
      </c>
      <c r="G504" s="960"/>
      <c r="H504" s="960"/>
      <c r="I504" s="963" t="s">
        <v>1636</v>
      </c>
      <c r="J504" s="990" t="s">
        <v>2090</v>
      </c>
      <c r="K504" s="965" t="str">
        <f>IF(L504=0,"",(INDEX(AccountCodes[ACCOUNT NAME],MATCH(L504,AccountCodes[NGAS CODE],0))))</f>
        <v>Cash in Bank-Local Currency, Current Account - FO</v>
      </c>
      <c r="L504" s="966" t="s">
        <v>1566</v>
      </c>
      <c r="M504" s="967"/>
      <c r="N504" s="967">
        <v>4424.3900000000003</v>
      </c>
      <c r="O504" s="1018"/>
      <c r="P504" s="987">
        <f t="shared" si="9"/>
        <v>0</v>
      </c>
    </row>
    <row r="505" spans="1:16" ht="63" hidden="1" x14ac:dyDescent="0.25">
      <c r="A505" s="958">
        <v>44895</v>
      </c>
      <c r="B505" s="959">
        <v>44894</v>
      </c>
      <c r="C505" s="960" t="s">
        <v>2091</v>
      </c>
      <c r="D505" s="145" t="s">
        <v>2095</v>
      </c>
      <c r="E505" s="995" t="s">
        <v>762</v>
      </c>
      <c r="F505" s="962" t="s">
        <v>1526</v>
      </c>
      <c r="G505" s="960"/>
      <c r="H505" s="960"/>
      <c r="I505" s="963" t="s">
        <v>1638</v>
      </c>
      <c r="J505" s="990" t="s">
        <v>2092</v>
      </c>
      <c r="K505" s="965" t="str">
        <f>IF(L505=0,"",(INDEX(AccountCodes[ACCOUNT NAME],MATCH(L505,AccountCodes[NGAS CODE],0))))</f>
        <v>Due to BIR - 5%</v>
      </c>
      <c r="L505" s="966" t="s">
        <v>1548</v>
      </c>
      <c r="M505" s="967">
        <v>63553.11</v>
      </c>
      <c r="N505" s="967"/>
      <c r="O505" s="1018"/>
      <c r="P505" s="987">
        <f t="shared" si="9"/>
        <v>63553.11</v>
      </c>
    </row>
    <row r="506" spans="1:16" ht="63" hidden="1" x14ac:dyDescent="0.25">
      <c r="A506" s="958">
        <v>44895</v>
      </c>
      <c r="B506" s="959">
        <v>44894</v>
      </c>
      <c r="C506" s="960" t="s">
        <v>2091</v>
      </c>
      <c r="D506" s="145" t="s">
        <v>2095</v>
      </c>
      <c r="E506" s="995" t="s">
        <v>762</v>
      </c>
      <c r="F506" s="962" t="s">
        <v>1526</v>
      </c>
      <c r="G506" s="960"/>
      <c r="H506" s="960"/>
      <c r="I506" s="963" t="s">
        <v>1638</v>
      </c>
      <c r="J506" s="990" t="s">
        <v>2092</v>
      </c>
      <c r="K506" s="965" t="str">
        <f>IF(L506=0,"",(INDEX(AccountCodes[ACCOUNT NAME],MATCH(L506,AccountCodes[NGAS CODE],0))))</f>
        <v>Cash in Bank-Local Currency, Current Account - FO</v>
      </c>
      <c r="L506" s="966" t="s">
        <v>1566</v>
      </c>
      <c r="M506" s="967"/>
      <c r="N506" s="967">
        <v>63553.11</v>
      </c>
      <c r="O506" s="1018"/>
      <c r="P506" s="987">
        <f t="shared" si="9"/>
        <v>0</v>
      </c>
    </row>
    <row r="507" spans="1:16" ht="63" hidden="1" x14ac:dyDescent="0.25">
      <c r="A507" s="958">
        <v>44895</v>
      </c>
      <c r="B507" s="959">
        <v>44894</v>
      </c>
      <c r="C507" s="960" t="s">
        <v>2093</v>
      </c>
      <c r="D507" s="145" t="s">
        <v>2095</v>
      </c>
      <c r="E507" s="995" t="s">
        <v>762</v>
      </c>
      <c r="F507" s="962" t="s">
        <v>1526</v>
      </c>
      <c r="G507" s="960"/>
      <c r="H507" s="960"/>
      <c r="I507" s="963" t="s">
        <v>1638</v>
      </c>
      <c r="J507" s="990" t="s">
        <v>2094</v>
      </c>
      <c r="K507" s="965" t="str">
        <f>IF(L507=0,"",(INDEX(AccountCodes[ACCOUNT NAME],MATCH(L507,AccountCodes[NGAS CODE],0))))</f>
        <v>Due to BIR - 2%</v>
      </c>
      <c r="L507" s="966" t="s">
        <v>1550</v>
      </c>
      <c r="M507" s="967">
        <v>24369.599999999999</v>
      </c>
      <c r="N507" s="967"/>
      <c r="O507" s="1018"/>
      <c r="P507" s="987">
        <f t="shared" si="9"/>
        <v>24369.599999999999</v>
      </c>
    </row>
    <row r="508" spans="1:16" ht="63" hidden="1" x14ac:dyDescent="0.25">
      <c r="A508" s="958">
        <v>44895</v>
      </c>
      <c r="B508" s="959">
        <v>44894</v>
      </c>
      <c r="C508" s="960" t="s">
        <v>2093</v>
      </c>
      <c r="D508" s="145" t="s">
        <v>2095</v>
      </c>
      <c r="E508" s="995" t="s">
        <v>762</v>
      </c>
      <c r="F508" s="962" t="s">
        <v>1526</v>
      </c>
      <c r="G508" s="960"/>
      <c r="H508" s="960"/>
      <c r="I508" s="963" t="s">
        <v>1638</v>
      </c>
      <c r="J508" s="990" t="s">
        <v>2094</v>
      </c>
      <c r="K508" s="965" t="str">
        <f>IF(L508=0,"",(INDEX(AccountCodes[ACCOUNT NAME],MATCH(L508,AccountCodes[NGAS CODE],0))))</f>
        <v>Due to BIR - 1%</v>
      </c>
      <c r="L508" s="966" t="s">
        <v>1554</v>
      </c>
      <c r="M508" s="967">
        <v>525.82000000000005</v>
      </c>
      <c r="N508" s="967"/>
      <c r="O508" s="1018"/>
      <c r="P508" s="987">
        <f t="shared" si="9"/>
        <v>24895.42</v>
      </c>
    </row>
    <row r="509" spans="1:16" ht="63" hidden="1" x14ac:dyDescent="0.25">
      <c r="A509" s="958">
        <v>44895</v>
      </c>
      <c r="B509" s="959">
        <v>44894</v>
      </c>
      <c r="C509" s="663" t="s">
        <v>2093</v>
      </c>
      <c r="D509" s="145" t="s">
        <v>2095</v>
      </c>
      <c r="E509" s="995" t="s">
        <v>762</v>
      </c>
      <c r="F509" s="962" t="s">
        <v>1526</v>
      </c>
      <c r="G509" s="960"/>
      <c r="H509" s="960"/>
      <c r="I509" s="963" t="s">
        <v>1638</v>
      </c>
      <c r="J509" s="990" t="s">
        <v>2094</v>
      </c>
      <c r="K509" s="965" t="str">
        <f>IF(L509=0,"",(INDEX(AccountCodes[ACCOUNT NAME],MATCH(L509,AccountCodes[NGAS CODE],0))))</f>
        <v>Cash in Bank-Local Currency, Current Account - FO</v>
      </c>
      <c r="L509" s="966" t="s">
        <v>1566</v>
      </c>
      <c r="M509" s="967"/>
      <c r="N509" s="967">
        <v>24895.42</v>
      </c>
      <c r="O509" s="1018"/>
      <c r="P509" s="987">
        <f t="shared" si="9"/>
        <v>0</v>
      </c>
    </row>
    <row r="510" spans="1:16" ht="78.75" hidden="1" x14ac:dyDescent="0.25">
      <c r="A510" s="958">
        <v>44926</v>
      </c>
      <c r="B510" s="959">
        <v>44897</v>
      </c>
      <c r="C510" s="960" t="s">
        <v>2105</v>
      </c>
      <c r="D510" s="145" t="s">
        <v>2103</v>
      </c>
      <c r="E510" s="961" t="s">
        <v>762</v>
      </c>
      <c r="F510" s="962" t="s">
        <v>1526</v>
      </c>
      <c r="G510" s="960"/>
      <c r="H510" s="960"/>
      <c r="I510" s="963" t="s">
        <v>1882</v>
      </c>
      <c r="J510" s="990" t="s">
        <v>2106</v>
      </c>
      <c r="K510" s="965" t="str">
        <f>IF(L510=0,"",(INDEX(AccountCodes[ACCOUNT NAME],MATCH(L510,AccountCodes[NGAS CODE],0))))</f>
        <v>Construction in Progress-Infrastructure Assets (Irrigation, Canals and Laterals)</v>
      </c>
      <c r="L510" s="966" t="s">
        <v>82</v>
      </c>
      <c r="M510" s="967">
        <v>3950004.55</v>
      </c>
      <c r="N510" s="967"/>
      <c r="O510" s="1018" t="s">
        <v>2107</v>
      </c>
      <c r="P510" s="987">
        <f t="shared" si="9"/>
        <v>3950004.55</v>
      </c>
    </row>
    <row r="511" spans="1:16" ht="78.75" hidden="1" x14ac:dyDescent="0.25">
      <c r="A511" s="958">
        <v>44926</v>
      </c>
      <c r="B511" s="959">
        <v>44897</v>
      </c>
      <c r="C511" s="960" t="s">
        <v>2105</v>
      </c>
      <c r="D511" s="145" t="s">
        <v>2103</v>
      </c>
      <c r="E511" s="961" t="s">
        <v>762</v>
      </c>
      <c r="F511" s="962" t="s">
        <v>1526</v>
      </c>
      <c r="G511" s="960"/>
      <c r="H511" s="960"/>
      <c r="I511" s="963" t="s">
        <v>1882</v>
      </c>
      <c r="J511" s="990" t="s">
        <v>2106</v>
      </c>
      <c r="K511" s="965" t="str">
        <f>IF(L511=0,"",(INDEX(AccountCodes[ACCOUNT NAME],MATCH(L511,AccountCodes[NGAS CODE],0))))</f>
        <v>Due to BIR - 5%</v>
      </c>
      <c r="L511" s="966" t="s">
        <v>1548</v>
      </c>
      <c r="M511" s="967"/>
      <c r="N511" s="967">
        <v>176339.49</v>
      </c>
      <c r="O511" s="1018"/>
      <c r="P511" s="987">
        <f t="shared" si="9"/>
        <v>3773665.06</v>
      </c>
    </row>
    <row r="512" spans="1:16" ht="78.75" hidden="1" x14ac:dyDescent="0.25">
      <c r="A512" s="958">
        <v>44926</v>
      </c>
      <c r="B512" s="959">
        <v>44897</v>
      </c>
      <c r="C512" s="960" t="s">
        <v>2105</v>
      </c>
      <c r="D512" s="145" t="s">
        <v>2103</v>
      </c>
      <c r="E512" s="961" t="s">
        <v>762</v>
      </c>
      <c r="F512" s="962" t="s">
        <v>1526</v>
      </c>
      <c r="G512" s="960"/>
      <c r="H512" s="960"/>
      <c r="I512" s="963" t="s">
        <v>1882</v>
      </c>
      <c r="J512" s="990" t="s">
        <v>2106</v>
      </c>
      <c r="K512" s="965" t="str">
        <f>IF(L512=0,"",(INDEX(AccountCodes[ACCOUNT NAME],MATCH(L512,AccountCodes[NGAS CODE],0))))</f>
        <v>Due to BIR - 2%</v>
      </c>
      <c r="L512" s="966" t="s">
        <v>1550</v>
      </c>
      <c r="M512" s="967"/>
      <c r="N512" s="967">
        <v>70535.8</v>
      </c>
      <c r="O512" s="1018"/>
      <c r="P512" s="987">
        <f t="shared" si="9"/>
        <v>3703129.26</v>
      </c>
    </row>
    <row r="513" spans="1:16" ht="78.75" hidden="1" x14ac:dyDescent="0.25">
      <c r="A513" s="958">
        <v>44926</v>
      </c>
      <c r="B513" s="959">
        <v>44897</v>
      </c>
      <c r="C513" s="960" t="s">
        <v>2105</v>
      </c>
      <c r="D513" s="145" t="s">
        <v>2103</v>
      </c>
      <c r="E513" s="961" t="s">
        <v>762</v>
      </c>
      <c r="F513" s="962" t="s">
        <v>1526</v>
      </c>
      <c r="G513" s="960"/>
      <c r="H513" s="960"/>
      <c r="I513" s="963" t="s">
        <v>1882</v>
      </c>
      <c r="J513" s="990" t="s">
        <v>2106</v>
      </c>
      <c r="K513" s="965" t="str">
        <f>IF(L513=0,"",(INDEX(AccountCodes[ACCOUNT NAME],MATCH(L513,AccountCodes[NGAS CODE],0))))</f>
        <v>Guaranty/Security Deposits Payable</v>
      </c>
      <c r="L513" s="966" t="s">
        <v>115</v>
      </c>
      <c r="M513" s="967"/>
      <c r="N513" s="967">
        <v>395000.46</v>
      </c>
      <c r="O513" s="1018"/>
      <c r="P513" s="987">
        <f t="shared" si="9"/>
        <v>3308128.8</v>
      </c>
    </row>
    <row r="514" spans="1:16" ht="78.75" hidden="1" x14ac:dyDescent="0.25">
      <c r="A514" s="958">
        <v>44926</v>
      </c>
      <c r="B514" s="959">
        <v>44897</v>
      </c>
      <c r="C514" s="960" t="s">
        <v>2105</v>
      </c>
      <c r="D514" s="145" t="s">
        <v>2103</v>
      </c>
      <c r="E514" s="961" t="s">
        <v>762</v>
      </c>
      <c r="F514" s="962" t="s">
        <v>1526</v>
      </c>
      <c r="G514" s="960"/>
      <c r="H514" s="960"/>
      <c r="I514" s="963" t="s">
        <v>1882</v>
      </c>
      <c r="J514" s="990" t="s">
        <v>2106</v>
      </c>
      <c r="K514" s="965" t="str">
        <f>IF(L514=0,"",(INDEX(AccountCodes[ACCOUNT NAME],MATCH(L514,AccountCodes[NGAS CODE],0))))</f>
        <v>Advances to Contractors</v>
      </c>
      <c r="L514" s="966" t="s">
        <v>35</v>
      </c>
      <c r="M514" s="967"/>
      <c r="N514" s="967">
        <v>592446.91</v>
      </c>
      <c r="O514" s="1018"/>
      <c r="P514" s="987">
        <f t="shared" si="9"/>
        <v>2715681.89</v>
      </c>
    </row>
    <row r="515" spans="1:16" ht="78.75" hidden="1" x14ac:dyDescent="0.25">
      <c r="A515" s="958">
        <v>44926</v>
      </c>
      <c r="B515" s="959">
        <v>44897</v>
      </c>
      <c r="C515" s="960" t="s">
        <v>2105</v>
      </c>
      <c r="D515" s="960" t="s">
        <v>2103</v>
      </c>
      <c r="E515" s="961" t="s">
        <v>762</v>
      </c>
      <c r="F515" s="962" t="s">
        <v>1526</v>
      </c>
      <c r="G515" s="960"/>
      <c r="H515" s="960"/>
      <c r="I515" s="963" t="s">
        <v>1882</v>
      </c>
      <c r="J515" s="990" t="s">
        <v>2106</v>
      </c>
      <c r="K515" s="965" t="str">
        <f>IF(L515=0,"",(INDEX(AccountCodes[ACCOUNT NAME],MATCH(L515,AccountCodes[NGAS CODE],0))))</f>
        <v>Cash in Bank-Local Currency, Current Account - FO</v>
      </c>
      <c r="L515" s="966" t="s">
        <v>1566</v>
      </c>
      <c r="M515" s="967"/>
      <c r="N515" s="967">
        <v>2715681.89</v>
      </c>
      <c r="O515" s="1018"/>
      <c r="P515" s="987">
        <f t="shared" si="9"/>
        <v>0</v>
      </c>
    </row>
    <row r="516" spans="1:16" ht="63" hidden="1" x14ac:dyDescent="0.25">
      <c r="A516" s="541">
        <v>44926</v>
      </c>
      <c r="B516" s="720">
        <v>44900</v>
      </c>
      <c r="C516" s="494" t="s">
        <v>2108</v>
      </c>
      <c r="D516" s="960" t="s">
        <v>2103</v>
      </c>
      <c r="E516" s="961" t="s">
        <v>762</v>
      </c>
      <c r="F516" s="962" t="s">
        <v>1526</v>
      </c>
      <c r="G516" s="494"/>
      <c r="H516" s="494"/>
      <c r="I516" s="671" t="s">
        <v>2109</v>
      </c>
      <c r="J516" s="988" t="s">
        <v>2112</v>
      </c>
      <c r="K516" s="680" t="str">
        <f>IF(L516=0,"",(INDEX(AccountCodes[ACCOUNT NAME],MATCH(L516,AccountCodes[NGAS CODE],0))))</f>
        <v>Other Maintenance and Operating Expenses - Other Maintenance and Operating Expenses</v>
      </c>
      <c r="L516" s="955" t="s">
        <v>405</v>
      </c>
      <c r="M516" s="956">
        <v>44337.09</v>
      </c>
      <c r="N516" s="956"/>
      <c r="O516" s="1017" t="s">
        <v>2114</v>
      </c>
      <c r="P516" s="987">
        <f t="shared" si="9"/>
        <v>44337.09</v>
      </c>
    </row>
    <row r="517" spans="1:16" ht="63" hidden="1" x14ac:dyDescent="0.25">
      <c r="A517" s="541">
        <v>44926</v>
      </c>
      <c r="B517" s="720">
        <v>44900</v>
      </c>
      <c r="C517" s="494" t="s">
        <v>2108</v>
      </c>
      <c r="D517" s="960" t="s">
        <v>2103</v>
      </c>
      <c r="E517" s="961" t="s">
        <v>762</v>
      </c>
      <c r="F517" s="962" t="s">
        <v>1526</v>
      </c>
      <c r="G517" s="494"/>
      <c r="H517" s="494"/>
      <c r="I517" s="671" t="s">
        <v>2109</v>
      </c>
      <c r="J517" s="988" t="s">
        <v>2112</v>
      </c>
      <c r="K517" s="680" t="str">
        <f>IF(L517=0,"",(INDEX(AccountCodes[ACCOUNT NAME],MATCH(L517,AccountCodes[NGAS CODE],0))))</f>
        <v>Other Payables</v>
      </c>
      <c r="L517" s="955" t="s">
        <v>117</v>
      </c>
      <c r="M517" s="956"/>
      <c r="N517" s="956">
        <v>4291.66</v>
      </c>
      <c r="O517" s="1017"/>
      <c r="P517" s="987">
        <f t="shared" si="9"/>
        <v>40045.43</v>
      </c>
    </row>
    <row r="518" spans="1:16" ht="63" hidden="1" x14ac:dyDescent="0.25">
      <c r="A518" s="541">
        <v>44926</v>
      </c>
      <c r="B518" s="720">
        <v>44900</v>
      </c>
      <c r="C518" s="494" t="s">
        <v>2108</v>
      </c>
      <c r="D518" s="960" t="s">
        <v>2103</v>
      </c>
      <c r="E518" s="961" t="s">
        <v>762</v>
      </c>
      <c r="F518" s="962" t="s">
        <v>1526</v>
      </c>
      <c r="G518" s="494"/>
      <c r="H518" s="494"/>
      <c r="I518" s="671" t="s">
        <v>2109</v>
      </c>
      <c r="J518" s="988" t="s">
        <v>2112</v>
      </c>
      <c r="K518" s="680" t="str">
        <f>IF(L518=0,"",(INDEX(AccountCodes[ACCOUNT NAME],MATCH(L518,AccountCodes[NGAS CODE],0))))</f>
        <v>Cash in Bank-Local Currency, Current Account - FO</v>
      </c>
      <c r="L518" s="955" t="s">
        <v>1566</v>
      </c>
      <c r="M518" s="956"/>
      <c r="N518" s="956">
        <v>40045.43</v>
      </c>
      <c r="O518" s="1017"/>
      <c r="P518" s="987">
        <f t="shared" si="9"/>
        <v>0</v>
      </c>
    </row>
    <row r="519" spans="1:16" ht="63" hidden="1" x14ac:dyDescent="0.25">
      <c r="A519" s="541">
        <v>44926</v>
      </c>
      <c r="B519" s="720">
        <v>44901</v>
      </c>
      <c r="C519" s="494" t="s">
        <v>2110</v>
      </c>
      <c r="D519" s="960" t="s">
        <v>2103</v>
      </c>
      <c r="E519" s="961" t="s">
        <v>762</v>
      </c>
      <c r="F519" s="962" t="s">
        <v>1526</v>
      </c>
      <c r="G519" s="494"/>
      <c r="H519" s="494"/>
      <c r="I519" s="671" t="s">
        <v>2111</v>
      </c>
      <c r="J519" s="988" t="s">
        <v>2113</v>
      </c>
      <c r="K519" s="680" t="str">
        <f>IF(L519=0,"",(INDEX(AccountCodes[ACCOUNT NAME],MATCH(L519,AccountCodes[NGAS CODE],0))))</f>
        <v>Other Maintenance and Operating Expenses - Other Maintenance and Operating Expenses</v>
      </c>
      <c r="L519" s="955" t="s">
        <v>405</v>
      </c>
      <c r="M519" s="956">
        <v>17558.59</v>
      </c>
      <c r="N519" s="956"/>
      <c r="O519" s="1017" t="s">
        <v>2115</v>
      </c>
      <c r="P519" s="987">
        <f t="shared" si="9"/>
        <v>17558.59</v>
      </c>
    </row>
    <row r="520" spans="1:16" ht="63" hidden="1" x14ac:dyDescent="0.25">
      <c r="A520" s="541">
        <v>44926</v>
      </c>
      <c r="B520" s="720">
        <v>44901</v>
      </c>
      <c r="C520" s="494" t="s">
        <v>2110</v>
      </c>
      <c r="D520" s="960" t="s">
        <v>2103</v>
      </c>
      <c r="E520" s="961" t="s">
        <v>762</v>
      </c>
      <c r="F520" s="962" t="s">
        <v>1526</v>
      </c>
      <c r="G520" s="494"/>
      <c r="H520" s="494"/>
      <c r="I520" s="671" t="s">
        <v>2111</v>
      </c>
      <c r="J520" s="988" t="s">
        <v>2113</v>
      </c>
      <c r="K520" s="680" t="str">
        <f>IF(L520=0,"",(INDEX(AccountCodes[ACCOUNT NAME],MATCH(L520,AccountCodes[NGAS CODE],0))))</f>
        <v>Other Payables</v>
      </c>
      <c r="L520" s="955" t="s">
        <v>117</v>
      </c>
      <c r="M520" s="956"/>
      <c r="N520" s="956">
        <v>2090</v>
      </c>
      <c r="O520" s="1017"/>
      <c r="P520" s="987">
        <f t="shared" si="9"/>
        <v>15468.59</v>
      </c>
    </row>
    <row r="521" spans="1:16" ht="63" hidden="1" x14ac:dyDescent="0.25">
      <c r="A521" s="541">
        <v>44926</v>
      </c>
      <c r="B521" s="720">
        <v>44901</v>
      </c>
      <c r="C521" s="494" t="s">
        <v>2110</v>
      </c>
      <c r="D521" s="960" t="s">
        <v>2103</v>
      </c>
      <c r="E521" s="961" t="s">
        <v>762</v>
      </c>
      <c r="F521" s="962" t="s">
        <v>1526</v>
      </c>
      <c r="G521" s="494"/>
      <c r="H521" s="494"/>
      <c r="I521" s="671" t="s">
        <v>2111</v>
      </c>
      <c r="J521" s="988" t="s">
        <v>2113</v>
      </c>
      <c r="K521" s="680" t="str">
        <f>IF(L521=0,"",(INDEX(AccountCodes[ACCOUNT NAME],MATCH(L521,AccountCodes[NGAS CODE],0))))</f>
        <v>Cash in Bank-Local Currency, Current Account - FO</v>
      </c>
      <c r="L521" s="955" t="s">
        <v>1566</v>
      </c>
      <c r="M521" s="956"/>
      <c r="N521" s="956">
        <v>15468.59</v>
      </c>
      <c r="O521" s="1017"/>
      <c r="P521" s="987">
        <f t="shared" si="9"/>
        <v>0</v>
      </c>
    </row>
    <row r="522" spans="1:16" ht="63" hidden="1" x14ac:dyDescent="0.25">
      <c r="A522" s="541">
        <v>44926</v>
      </c>
      <c r="B522" s="720">
        <v>44908</v>
      </c>
      <c r="C522" s="494" t="s">
        <v>2116</v>
      </c>
      <c r="D522" s="960" t="s">
        <v>2103</v>
      </c>
      <c r="E522" s="961" t="s">
        <v>762</v>
      </c>
      <c r="F522" s="962" t="s">
        <v>1526</v>
      </c>
      <c r="G522" s="494"/>
      <c r="H522" s="494"/>
      <c r="I522" s="671" t="s">
        <v>2117</v>
      </c>
      <c r="J522" s="988" t="s">
        <v>2119</v>
      </c>
      <c r="K522" s="680" t="str">
        <f>IF(L522=0,"",(INDEX(AccountCodes[ACCOUNT NAME],MATCH(L522,AccountCodes[NGAS CODE],0))))</f>
        <v>Salaries and Wages-Regular</v>
      </c>
      <c r="L522" s="955" t="s">
        <v>162</v>
      </c>
      <c r="M522" s="956">
        <v>79449</v>
      </c>
      <c r="N522" s="956"/>
      <c r="O522" s="1017" t="s">
        <v>2120</v>
      </c>
      <c r="P522" s="987">
        <f t="shared" si="9"/>
        <v>79449</v>
      </c>
    </row>
    <row r="523" spans="1:16" ht="63" hidden="1" x14ac:dyDescent="0.25">
      <c r="A523" s="541">
        <v>44926</v>
      </c>
      <c r="B523" s="720">
        <v>44908</v>
      </c>
      <c r="C523" s="494" t="s">
        <v>2116</v>
      </c>
      <c r="D523" s="960" t="s">
        <v>2103</v>
      </c>
      <c r="E523" s="961" t="s">
        <v>762</v>
      </c>
      <c r="F523" s="962" t="s">
        <v>1526</v>
      </c>
      <c r="G523" s="494"/>
      <c r="H523" s="494"/>
      <c r="I523" s="671" t="s">
        <v>2117</v>
      </c>
      <c r="J523" s="988" t="s">
        <v>2119</v>
      </c>
      <c r="K523" s="680" t="str">
        <f>IF(L523=0,"",(INDEX(AccountCodes[ACCOUNT NAME],MATCH(L523,AccountCodes[NGAS CODE],0))))</f>
        <v>Personal Economic Relief Allowance (PERA)</v>
      </c>
      <c r="L523" s="955" t="s">
        <v>164</v>
      </c>
      <c r="M523" s="956">
        <v>6000</v>
      </c>
      <c r="N523" s="956"/>
      <c r="O523" s="1017"/>
      <c r="P523" s="987">
        <f t="shared" si="9"/>
        <v>85449</v>
      </c>
    </row>
    <row r="524" spans="1:16" ht="63" hidden="1" x14ac:dyDescent="0.25">
      <c r="A524" s="958">
        <v>44926</v>
      </c>
      <c r="B524" s="959">
        <v>44908</v>
      </c>
      <c r="C524" s="960" t="s">
        <v>2116</v>
      </c>
      <c r="D524" s="960" t="s">
        <v>2103</v>
      </c>
      <c r="E524" s="961" t="s">
        <v>762</v>
      </c>
      <c r="F524" s="962" t="s">
        <v>1526</v>
      </c>
      <c r="G524" s="960"/>
      <c r="H524" s="960"/>
      <c r="I524" s="963" t="s">
        <v>2117</v>
      </c>
      <c r="J524" s="990" t="s">
        <v>2119</v>
      </c>
      <c r="K524" s="965" t="str">
        <f>IF(L524=0,"",(INDEX(AccountCodes[ACCOUNT NAME],MATCH(L524,AccountCodes[NGAS CODE],0))))</f>
        <v>Due to BIR - Compensation</v>
      </c>
      <c r="L524" s="966" t="s">
        <v>1546</v>
      </c>
      <c r="M524" s="967"/>
      <c r="N524" s="967">
        <v>4133.1000000000004</v>
      </c>
      <c r="O524" s="1018"/>
      <c r="P524" s="987">
        <f t="shared" si="9"/>
        <v>81315.899999999994</v>
      </c>
    </row>
    <row r="525" spans="1:16" ht="63" hidden="1" x14ac:dyDescent="0.25">
      <c r="A525" s="958">
        <v>44926</v>
      </c>
      <c r="B525" s="959">
        <v>44908</v>
      </c>
      <c r="C525" s="960" t="s">
        <v>2116</v>
      </c>
      <c r="D525" s="960" t="s">
        <v>2103</v>
      </c>
      <c r="E525" s="961" t="s">
        <v>762</v>
      </c>
      <c r="F525" s="962" t="s">
        <v>1526</v>
      </c>
      <c r="G525" s="960"/>
      <c r="H525" s="960"/>
      <c r="I525" s="963" t="s">
        <v>2117</v>
      </c>
      <c r="J525" s="990" t="s">
        <v>2119</v>
      </c>
      <c r="K525" s="965" t="str">
        <f>IF(L525=0,"",(INDEX(AccountCodes[ACCOUNT NAME],MATCH(L525,AccountCodes[NGAS CODE],0))))</f>
        <v>Due to GSIS - Life and Retirement Premium</v>
      </c>
      <c r="L525" s="966" t="s">
        <v>1440</v>
      </c>
      <c r="M525" s="967"/>
      <c r="N525" s="967">
        <v>7150.41</v>
      </c>
      <c r="O525" s="1018"/>
      <c r="P525" s="987">
        <f t="shared" si="9"/>
        <v>74165.490000000005</v>
      </c>
    </row>
    <row r="526" spans="1:16" ht="63" hidden="1" x14ac:dyDescent="0.25">
      <c r="A526" s="541">
        <v>44926</v>
      </c>
      <c r="B526" s="720">
        <v>44908</v>
      </c>
      <c r="C526" s="494" t="s">
        <v>2116</v>
      </c>
      <c r="D526" s="960" t="s">
        <v>2103</v>
      </c>
      <c r="E526" s="961" t="s">
        <v>762</v>
      </c>
      <c r="F526" s="962" t="s">
        <v>1526</v>
      </c>
      <c r="G526" s="494"/>
      <c r="H526" s="494"/>
      <c r="I526" s="671" t="s">
        <v>2117</v>
      </c>
      <c r="J526" s="988" t="s">
        <v>2119</v>
      </c>
      <c r="K526" s="680" t="str">
        <f>IF(L526=0,"",(INDEX(AccountCodes[ACCOUNT NAME],MATCH(L526,AccountCodes[NGAS CODE],0))))</f>
        <v>Due to Pag-IBIG - Pag-IBIG Premium</v>
      </c>
      <c r="L526" s="955" t="s">
        <v>1444</v>
      </c>
      <c r="M526" s="956"/>
      <c r="N526" s="956">
        <v>1588.98</v>
      </c>
      <c r="O526" s="1017"/>
      <c r="P526" s="987">
        <f t="shared" si="9"/>
        <v>72576.509999999995</v>
      </c>
    </row>
    <row r="527" spans="1:16" ht="63" hidden="1" x14ac:dyDescent="0.25">
      <c r="A527" s="541">
        <v>44926</v>
      </c>
      <c r="B527" s="720">
        <v>44908</v>
      </c>
      <c r="C527" s="494" t="s">
        <v>2116</v>
      </c>
      <c r="D527" s="960" t="s">
        <v>2103</v>
      </c>
      <c r="E527" s="961" t="s">
        <v>762</v>
      </c>
      <c r="F527" s="962" t="s">
        <v>1526</v>
      </c>
      <c r="G527" s="494"/>
      <c r="H527" s="494"/>
      <c r="I527" s="671" t="s">
        <v>2117</v>
      </c>
      <c r="J527" s="988" t="s">
        <v>2119</v>
      </c>
      <c r="K527" s="680" t="str">
        <f>IF(L527=0,"",(INDEX(AccountCodes[ACCOUNT NAME],MATCH(L527,AccountCodes[NGAS CODE],0))))</f>
        <v>Due to Pag-IBIG - MP2</v>
      </c>
      <c r="L527" s="955" t="s">
        <v>1508</v>
      </c>
      <c r="M527" s="956"/>
      <c r="N527" s="956">
        <v>4000</v>
      </c>
      <c r="O527" s="1017"/>
      <c r="P527" s="987">
        <f t="shared" si="9"/>
        <v>68576.509999999995</v>
      </c>
    </row>
    <row r="528" spans="1:16" ht="63" hidden="1" x14ac:dyDescent="0.25">
      <c r="A528" s="958">
        <v>44926</v>
      </c>
      <c r="B528" s="959">
        <v>44908</v>
      </c>
      <c r="C528" s="960" t="s">
        <v>2116</v>
      </c>
      <c r="D528" s="960" t="s">
        <v>2103</v>
      </c>
      <c r="E528" s="961" t="s">
        <v>762</v>
      </c>
      <c r="F528" s="962" t="s">
        <v>1526</v>
      </c>
      <c r="G528" s="960"/>
      <c r="H528" s="960"/>
      <c r="I528" s="963" t="s">
        <v>2117</v>
      </c>
      <c r="J528" s="990" t="s">
        <v>2119</v>
      </c>
      <c r="K528" s="965" t="str">
        <f>IF(L528=0,"",(INDEX(AccountCodes[ACCOUNT NAME],MATCH(L528,AccountCodes[NGAS CODE],0))))</f>
        <v>Due to PhilHealth</v>
      </c>
      <c r="L528" s="966" t="s">
        <v>112</v>
      </c>
      <c r="M528" s="967"/>
      <c r="N528" s="967">
        <v>1588.98</v>
      </c>
      <c r="O528" s="1018"/>
      <c r="P528" s="987">
        <f t="shared" si="9"/>
        <v>66987.53</v>
      </c>
    </row>
    <row r="529" spans="1:16" ht="63" hidden="1" x14ac:dyDescent="0.25">
      <c r="A529" s="958">
        <v>44926</v>
      </c>
      <c r="B529" s="959">
        <v>44908</v>
      </c>
      <c r="C529" s="960" t="s">
        <v>2116</v>
      </c>
      <c r="D529" s="960" t="s">
        <v>2103</v>
      </c>
      <c r="E529" s="961" t="s">
        <v>762</v>
      </c>
      <c r="F529" s="962" t="s">
        <v>1526</v>
      </c>
      <c r="G529" s="494"/>
      <c r="H529" s="494"/>
      <c r="I529" s="963" t="s">
        <v>2117</v>
      </c>
      <c r="J529" s="990" t="s">
        <v>2119</v>
      </c>
      <c r="K529" s="680" t="str">
        <f>IF(L529=0,"",(INDEX(AccountCodes[ACCOUNT NAME],MATCH(L529,AccountCodes[NGAS CODE],0))))</f>
        <v>Cash in Bank-Local Currency, Current Account - FO</v>
      </c>
      <c r="L529" s="955" t="s">
        <v>1566</v>
      </c>
      <c r="M529" s="956"/>
      <c r="N529" s="956">
        <v>33493.78</v>
      </c>
      <c r="O529" s="1017"/>
      <c r="P529" s="987">
        <f t="shared" si="9"/>
        <v>33493.75</v>
      </c>
    </row>
    <row r="530" spans="1:16" ht="63" hidden="1" x14ac:dyDescent="0.25">
      <c r="A530" s="541">
        <v>44926</v>
      </c>
      <c r="B530" s="720">
        <v>44922</v>
      </c>
      <c r="C530" s="494" t="s">
        <v>2118</v>
      </c>
      <c r="D530" s="960" t="s">
        <v>2103</v>
      </c>
      <c r="E530" s="961" t="s">
        <v>762</v>
      </c>
      <c r="F530" s="962" t="s">
        <v>1526</v>
      </c>
      <c r="G530" s="494"/>
      <c r="H530" s="494"/>
      <c r="I530" s="671" t="s">
        <v>2117</v>
      </c>
      <c r="J530" s="988" t="s">
        <v>2119</v>
      </c>
      <c r="K530" s="680" t="str">
        <f>IF(L530=0,"",(INDEX(AccountCodes[ACCOUNT NAME],MATCH(L530,AccountCodes[NGAS CODE],0))))</f>
        <v>Cash in Bank-Local Currency, Current Account - FO</v>
      </c>
      <c r="L530" s="955" t="s">
        <v>1566</v>
      </c>
      <c r="M530" s="956"/>
      <c r="N530" s="956">
        <v>33493.75</v>
      </c>
      <c r="O530" s="1017"/>
      <c r="P530" s="987">
        <f t="shared" si="9"/>
        <v>0</v>
      </c>
    </row>
    <row r="531" spans="1:16" ht="78.75" hidden="1" x14ac:dyDescent="0.25">
      <c r="A531" s="958">
        <v>44926</v>
      </c>
      <c r="B531" s="720">
        <v>44910</v>
      </c>
      <c r="C531" s="494" t="s">
        <v>2153</v>
      </c>
      <c r="D531" s="960" t="s">
        <v>2103</v>
      </c>
      <c r="E531" s="961" t="s">
        <v>762</v>
      </c>
      <c r="F531" s="962" t="s">
        <v>1526</v>
      </c>
      <c r="G531" s="494"/>
      <c r="H531" s="494"/>
      <c r="I531" s="671" t="s">
        <v>2154</v>
      </c>
      <c r="J531" s="1032" t="s">
        <v>2155</v>
      </c>
      <c r="K531" s="680" t="str">
        <f>IF(L531=0,"",(INDEX(AccountCodes[ACCOUNT NAME],MATCH(L531,AccountCodes[NGAS CODE],0))))</f>
        <v>Other Payables</v>
      </c>
      <c r="L531" s="955" t="s">
        <v>117</v>
      </c>
      <c r="M531" s="956">
        <v>6381.66</v>
      </c>
      <c r="N531" s="956"/>
      <c r="O531" s="1017"/>
      <c r="P531" s="987">
        <f t="shared" si="9"/>
        <v>6381.66</v>
      </c>
    </row>
    <row r="532" spans="1:16" ht="78.75" hidden="1" x14ac:dyDescent="0.25">
      <c r="A532" s="541">
        <v>44926</v>
      </c>
      <c r="B532" s="720">
        <v>44910</v>
      </c>
      <c r="C532" s="494" t="s">
        <v>2153</v>
      </c>
      <c r="D532" s="960" t="s">
        <v>2103</v>
      </c>
      <c r="E532" s="961" t="s">
        <v>762</v>
      </c>
      <c r="F532" s="962" t="s">
        <v>1526</v>
      </c>
      <c r="G532" s="494"/>
      <c r="H532" s="494"/>
      <c r="I532" s="671" t="s">
        <v>2154</v>
      </c>
      <c r="J532" s="1032" t="s">
        <v>2155</v>
      </c>
      <c r="K532" s="680" t="str">
        <f>IF(L532=0,"",(INDEX(AccountCodes[ACCOUNT NAME],MATCH(L532,AccountCodes[NGAS CODE],0))))</f>
        <v>Cash in Bank-Local Currency, Current Account - FO</v>
      </c>
      <c r="L532" s="955" t="s">
        <v>1566</v>
      </c>
      <c r="M532" s="956"/>
      <c r="N532" s="956">
        <v>6381.66</v>
      </c>
      <c r="O532" s="1017"/>
      <c r="P532" s="987">
        <f t="shared" si="9"/>
        <v>0</v>
      </c>
    </row>
    <row r="533" spans="1:16" ht="47.25" hidden="1" x14ac:dyDescent="0.25">
      <c r="A533" s="958">
        <v>44926</v>
      </c>
      <c r="B533" s="959">
        <v>44911</v>
      </c>
      <c r="C533" s="960" t="s">
        <v>2121</v>
      </c>
      <c r="D533" s="960" t="s">
        <v>2103</v>
      </c>
      <c r="E533" s="961" t="s">
        <v>762</v>
      </c>
      <c r="F533" s="962" t="s">
        <v>1526</v>
      </c>
      <c r="G533" s="960"/>
      <c r="H533" s="960"/>
      <c r="I533" s="963" t="s">
        <v>2117</v>
      </c>
      <c r="J533" s="990" t="s">
        <v>2156</v>
      </c>
      <c r="K533" s="965" t="str">
        <f>IF(L533=0,"",(INDEX(AccountCodes[ACCOUNT NAME],MATCH(L533,AccountCodes[NGAS CODE],0))))</f>
        <v>Productivity Incentive Allowance</v>
      </c>
      <c r="L533" s="966" t="s">
        <v>171</v>
      </c>
      <c r="M533" s="956">
        <v>15000</v>
      </c>
      <c r="N533" s="967"/>
      <c r="O533" s="1018" t="s">
        <v>2122</v>
      </c>
      <c r="P533" s="987">
        <f>P530+M533-N533</f>
        <v>15000</v>
      </c>
    </row>
    <row r="534" spans="1:16" ht="47.25" hidden="1" x14ac:dyDescent="0.25">
      <c r="A534" s="958">
        <v>44926</v>
      </c>
      <c r="B534" s="959">
        <v>44911</v>
      </c>
      <c r="C534" s="960" t="s">
        <v>2121</v>
      </c>
      <c r="D534" s="960" t="s">
        <v>2103</v>
      </c>
      <c r="E534" s="961" t="s">
        <v>762</v>
      </c>
      <c r="F534" s="962" t="s">
        <v>1526</v>
      </c>
      <c r="G534" s="960"/>
      <c r="H534" s="960"/>
      <c r="I534" s="963" t="s">
        <v>2117</v>
      </c>
      <c r="J534" s="990" t="s">
        <v>2156</v>
      </c>
      <c r="K534" s="965" t="str">
        <f>IF(L534=0,"",(INDEX(AccountCodes[ACCOUNT NAME],MATCH(L534,AccountCodes[NGAS CODE],0))))</f>
        <v>Cash in Bank-Local Currency, Current Account - FO</v>
      </c>
      <c r="L534" s="966" t="s">
        <v>1566</v>
      </c>
      <c r="M534" s="967"/>
      <c r="N534" s="967">
        <v>15000</v>
      </c>
      <c r="O534" s="1018"/>
      <c r="P534" s="987">
        <f t="shared" si="9"/>
        <v>0</v>
      </c>
    </row>
    <row r="535" spans="1:16" ht="78.75" hidden="1" x14ac:dyDescent="0.25">
      <c r="A535" s="541">
        <v>44926</v>
      </c>
      <c r="B535" s="720">
        <v>44922</v>
      </c>
      <c r="C535" s="494" t="s">
        <v>2123</v>
      </c>
      <c r="D535" s="960" t="s">
        <v>2103</v>
      </c>
      <c r="E535" s="961" t="s">
        <v>762</v>
      </c>
      <c r="F535" s="962" t="s">
        <v>1526</v>
      </c>
      <c r="G535" s="494"/>
      <c r="H535" s="494"/>
      <c r="I535" s="671" t="s">
        <v>1637</v>
      </c>
      <c r="J535" s="988" t="s">
        <v>2124</v>
      </c>
      <c r="K535" s="680" t="str">
        <f>IF(L535=0,"",(INDEX(AccountCodes[ACCOUNT NAME],MATCH(L535,AccountCodes[NGAS CODE],0))))</f>
        <v>Retirement and Life Insurance Premiums</v>
      </c>
      <c r="L535" s="955" t="s">
        <v>175</v>
      </c>
      <c r="M535" s="956">
        <v>9533.8799999999992</v>
      </c>
      <c r="N535" s="956"/>
      <c r="O535" s="1017" t="s">
        <v>2122</v>
      </c>
      <c r="P535" s="987">
        <f t="shared" si="9"/>
        <v>9533.8799999999992</v>
      </c>
    </row>
    <row r="536" spans="1:16" ht="78.75" hidden="1" x14ac:dyDescent="0.25">
      <c r="A536" s="958">
        <v>44926</v>
      </c>
      <c r="B536" s="959">
        <v>44922</v>
      </c>
      <c r="C536" s="960" t="s">
        <v>2123</v>
      </c>
      <c r="D536" s="960" t="s">
        <v>2103</v>
      </c>
      <c r="E536" s="961" t="s">
        <v>762</v>
      </c>
      <c r="F536" s="962" t="s">
        <v>1526</v>
      </c>
      <c r="G536" s="960"/>
      <c r="H536" s="960"/>
      <c r="I536" s="963" t="s">
        <v>1637</v>
      </c>
      <c r="J536" s="990" t="s">
        <v>2124</v>
      </c>
      <c r="K536" s="965" t="str">
        <f>IF(L536=0,"",(INDEX(AccountCodes[ACCOUNT NAME],MATCH(L536,AccountCodes[NGAS CODE],0))))</f>
        <v>Employees Compensation Insurance Premiums</v>
      </c>
      <c r="L536" s="966" t="s">
        <v>178</v>
      </c>
      <c r="M536" s="967">
        <v>300</v>
      </c>
      <c r="N536" s="967"/>
      <c r="O536" s="1018"/>
      <c r="P536" s="987">
        <f t="shared" si="9"/>
        <v>9833.8799999999992</v>
      </c>
    </row>
    <row r="537" spans="1:16" ht="78.75" hidden="1" x14ac:dyDescent="0.25">
      <c r="A537" s="541">
        <v>44926</v>
      </c>
      <c r="B537" s="720">
        <v>44922</v>
      </c>
      <c r="C537" s="494" t="s">
        <v>2123</v>
      </c>
      <c r="D537" s="960" t="s">
        <v>2103</v>
      </c>
      <c r="E537" s="961" t="s">
        <v>762</v>
      </c>
      <c r="F537" s="962" t="s">
        <v>1526</v>
      </c>
      <c r="G537" s="494"/>
      <c r="H537" s="494"/>
      <c r="I537" s="671" t="s">
        <v>1637</v>
      </c>
      <c r="J537" s="988" t="s">
        <v>2124</v>
      </c>
      <c r="K537" s="680" t="str">
        <f>IF(L537=0,"",(INDEX(AccountCodes[ACCOUNT NAME],MATCH(L537,AccountCodes[NGAS CODE],0))))</f>
        <v>Due to GSIS - Life and Retirement Premium</v>
      </c>
      <c r="L537" s="955" t="s">
        <v>1440</v>
      </c>
      <c r="M537" s="956">
        <v>7150.41</v>
      </c>
      <c r="N537" s="956"/>
      <c r="O537" s="1017"/>
      <c r="P537" s="987">
        <f t="shared" si="9"/>
        <v>16984.29</v>
      </c>
    </row>
    <row r="538" spans="1:16" ht="78.75" hidden="1" x14ac:dyDescent="0.25">
      <c r="A538" s="958">
        <v>44926</v>
      </c>
      <c r="B538" s="959">
        <v>44922</v>
      </c>
      <c r="C538" s="494" t="s">
        <v>2123</v>
      </c>
      <c r="D538" s="960" t="s">
        <v>2103</v>
      </c>
      <c r="E538" s="961" t="s">
        <v>762</v>
      </c>
      <c r="F538" s="962" t="s">
        <v>1526</v>
      </c>
      <c r="G538" s="494"/>
      <c r="H538" s="494"/>
      <c r="I538" s="671" t="s">
        <v>1637</v>
      </c>
      <c r="J538" s="988" t="s">
        <v>2124</v>
      </c>
      <c r="K538" s="680" t="str">
        <f>IF(L538=0,"",(INDEX(AccountCodes[ACCOUNT NAME],MATCH(L538,AccountCodes[NGAS CODE],0))))</f>
        <v>Cash in Bank-Local Currency, Current Account - FO</v>
      </c>
      <c r="L538" s="955" t="s">
        <v>1566</v>
      </c>
      <c r="M538" s="956"/>
      <c r="N538" s="956">
        <v>16984.29</v>
      </c>
      <c r="O538" s="1017"/>
      <c r="P538" s="987">
        <f t="shared" si="9"/>
        <v>0</v>
      </c>
    </row>
    <row r="539" spans="1:16" ht="78.75" hidden="1" x14ac:dyDescent="0.25">
      <c r="A539" s="958">
        <v>44926</v>
      </c>
      <c r="B539" s="959">
        <v>44922</v>
      </c>
      <c r="C539" s="494" t="s">
        <v>2125</v>
      </c>
      <c r="D539" s="960" t="s">
        <v>2103</v>
      </c>
      <c r="E539" s="961" t="s">
        <v>762</v>
      </c>
      <c r="F539" s="962" t="s">
        <v>1526</v>
      </c>
      <c r="G539" s="494"/>
      <c r="H539" s="494"/>
      <c r="I539" s="671" t="s">
        <v>1636</v>
      </c>
      <c r="J539" s="988" t="s">
        <v>2126</v>
      </c>
      <c r="K539" s="680" t="str">
        <f>IF(L539=0,"",(INDEX(AccountCodes[ACCOUNT NAME],MATCH(L539,AccountCodes[NGAS CODE],0))))</f>
        <v>Training Expenses</v>
      </c>
      <c r="L539" s="955" t="s">
        <v>224</v>
      </c>
      <c r="M539" s="956">
        <v>1588.98</v>
      </c>
      <c r="N539" s="956"/>
      <c r="O539" s="1017" t="s">
        <v>2122</v>
      </c>
      <c r="P539" s="987">
        <f t="shared" si="9"/>
        <v>1588.98</v>
      </c>
    </row>
    <row r="540" spans="1:16" ht="78.75" hidden="1" x14ac:dyDescent="0.25">
      <c r="A540" s="541">
        <v>44926</v>
      </c>
      <c r="B540" s="720">
        <v>44922</v>
      </c>
      <c r="C540" s="494" t="s">
        <v>2125</v>
      </c>
      <c r="D540" s="494" t="s">
        <v>2103</v>
      </c>
      <c r="E540" s="957" t="s">
        <v>762</v>
      </c>
      <c r="F540" s="495" t="s">
        <v>1526</v>
      </c>
      <c r="G540" s="494"/>
      <c r="H540" s="494"/>
      <c r="I540" s="671" t="s">
        <v>1636</v>
      </c>
      <c r="J540" s="988" t="s">
        <v>2126</v>
      </c>
      <c r="K540" s="680" t="str">
        <f>IF(L540=0,"",(INDEX(AccountCodes[ACCOUNT NAME],MATCH(L540,AccountCodes[NGAS CODE],0))))</f>
        <v>Due to PhilHealth</v>
      </c>
      <c r="L540" s="955" t="s">
        <v>112</v>
      </c>
      <c r="M540" s="956">
        <v>1588.98</v>
      </c>
      <c r="N540" s="956"/>
      <c r="O540" s="1017"/>
      <c r="P540" s="987">
        <f t="shared" si="9"/>
        <v>3177.96</v>
      </c>
    </row>
    <row r="541" spans="1:16" ht="78.75" hidden="1" x14ac:dyDescent="0.25">
      <c r="A541" s="541">
        <v>44926</v>
      </c>
      <c r="B541" s="720">
        <v>44922</v>
      </c>
      <c r="C541" s="494" t="s">
        <v>2125</v>
      </c>
      <c r="D541" s="494" t="s">
        <v>2103</v>
      </c>
      <c r="E541" s="957" t="s">
        <v>762</v>
      </c>
      <c r="F541" s="495" t="s">
        <v>1526</v>
      </c>
      <c r="G541" s="494"/>
      <c r="H541" s="494"/>
      <c r="I541" s="671" t="s">
        <v>1636</v>
      </c>
      <c r="J541" s="988" t="s">
        <v>2126</v>
      </c>
      <c r="K541" s="680" t="str">
        <f>IF(L541=0,"",(INDEX(AccountCodes[ACCOUNT NAME],MATCH(L541,AccountCodes[NGAS CODE],0))))</f>
        <v>Cash in Bank-Local Currency, Current Account - FO</v>
      </c>
      <c r="L541" s="955" t="s">
        <v>1566</v>
      </c>
      <c r="M541" s="956"/>
      <c r="N541" s="956">
        <v>3177.96</v>
      </c>
      <c r="O541" s="1017"/>
      <c r="P541" s="987">
        <f t="shared" si="9"/>
        <v>0</v>
      </c>
    </row>
    <row r="542" spans="1:16" ht="78.75" hidden="1" x14ac:dyDescent="0.25">
      <c r="A542" s="541">
        <v>44926</v>
      </c>
      <c r="B542" s="720">
        <v>44922</v>
      </c>
      <c r="C542" s="494" t="s">
        <v>2127</v>
      </c>
      <c r="D542" s="960" t="s">
        <v>2103</v>
      </c>
      <c r="E542" s="961" t="s">
        <v>762</v>
      </c>
      <c r="F542" s="962" t="s">
        <v>1526</v>
      </c>
      <c r="G542" s="494"/>
      <c r="H542" s="494"/>
      <c r="I542" s="671" t="s">
        <v>1639</v>
      </c>
      <c r="J542" s="988" t="s">
        <v>2128</v>
      </c>
      <c r="K542" s="680" t="str">
        <f>IF(L542=0,"",(INDEX(AccountCodes[ACCOUNT NAME],MATCH(L542,AccountCodes[NGAS CODE],0))))</f>
        <v>Pag-IBIG Contributions</v>
      </c>
      <c r="L542" s="955" t="s">
        <v>176</v>
      </c>
      <c r="M542" s="956">
        <v>300</v>
      </c>
      <c r="N542" s="956"/>
      <c r="O542" s="1017" t="s">
        <v>2122</v>
      </c>
      <c r="P542" s="987">
        <f t="shared" si="9"/>
        <v>300</v>
      </c>
    </row>
    <row r="543" spans="1:16" ht="78.75" hidden="1" x14ac:dyDescent="0.25">
      <c r="A543" s="958">
        <v>44926</v>
      </c>
      <c r="B543" s="959">
        <v>44922</v>
      </c>
      <c r="C543" s="960" t="s">
        <v>2127</v>
      </c>
      <c r="D543" s="960" t="s">
        <v>2103</v>
      </c>
      <c r="E543" s="961" t="s">
        <v>762</v>
      </c>
      <c r="F543" s="962" t="s">
        <v>1526</v>
      </c>
      <c r="G543" s="960"/>
      <c r="H543" s="960"/>
      <c r="I543" s="963" t="s">
        <v>1639</v>
      </c>
      <c r="J543" s="990" t="s">
        <v>2128</v>
      </c>
      <c r="K543" s="965" t="str">
        <f>IF(L543=0,"",(INDEX(AccountCodes[ACCOUNT NAME],MATCH(L543,AccountCodes[NGAS CODE],0))))</f>
        <v>Due to Pag-IBIG - Pag-IBIG Premium</v>
      </c>
      <c r="L543" s="966" t="s">
        <v>1444</v>
      </c>
      <c r="M543" s="967">
        <v>1588.98</v>
      </c>
      <c r="N543" s="967"/>
      <c r="O543" s="1018"/>
      <c r="P543" s="987">
        <f t="shared" si="9"/>
        <v>1888.98</v>
      </c>
    </row>
    <row r="544" spans="1:16" ht="78.75" hidden="1" x14ac:dyDescent="0.25">
      <c r="A544" s="958">
        <v>44926</v>
      </c>
      <c r="B544" s="959">
        <v>44922</v>
      </c>
      <c r="C544" s="960" t="s">
        <v>2127</v>
      </c>
      <c r="D544" s="960" t="s">
        <v>2103</v>
      </c>
      <c r="E544" s="961" t="s">
        <v>762</v>
      </c>
      <c r="F544" s="962" t="s">
        <v>1526</v>
      </c>
      <c r="G544" s="960"/>
      <c r="H544" s="960"/>
      <c r="I544" s="963" t="s">
        <v>1639</v>
      </c>
      <c r="J544" s="990" t="s">
        <v>2128</v>
      </c>
      <c r="K544" s="965" t="str">
        <f>IF(L544=0,"",(INDEX(AccountCodes[ACCOUNT NAME],MATCH(L544,AccountCodes[NGAS CODE],0))))</f>
        <v>Cash in Bank-Local Currency, Current Account - FO</v>
      </c>
      <c r="L544" s="966" t="s">
        <v>1566</v>
      </c>
      <c r="M544" s="967"/>
      <c r="N544" s="967">
        <v>1888.98</v>
      </c>
      <c r="O544" s="1018"/>
      <c r="P544" s="987">
        <f t="shared" si="9"/>
        <v>0</v>
      </c>
    </row>
    <row r="545" spans="1:16" ht="47.25" hidden="1" x14ac:dyDescent="0.25">
      <c r="A545" s="958">
        <v>44926</v>
      </c>
      <c r="B545" s="959">
        <v>44922</v>
      </c>
      <c r="C545" s="960" t="s">
        <v>2129</v>
      </c>
      <c r="D545" s="960" t="s">
        <v>2103</v>
      </c>
      <c r="E545" s="961" t="s">
        <v>762</v>
      </c>
      <c r="F545" s="962" t="s">
        <v>1526</v>
      </c>
      <c r="G545" s="960"/>
      <c r="H545" s="960"/>
      <c r="I545" s="963" t="s">
        <v>1639</v>
      </c>
      <c r="J545" s="988" t="s">
        <v>2130</v>
      </c>
      <c r="K545" s="680" t="str">
        <f>IF(L545=0,"",(INDEX(AccountCodes[ACCOUNT NAME],MATCH(L545,AccountCodes[NGAS CODE],0))))</f>
        <v>Due to Pag-IBIG - MP2</v>
      </c>
      <c r="L545" s="955" t="s">
        <v>1508</v>
      </c>
      <c r="M545" s="956">
        <v>4000</v>
      </c>
      <c r="N545" s="956"/>
      <c r="O545" s="1017"/>
      <c r="P545" s="987">
        <f t="shared" ref="P545:P591" si="10">P544+M545-N545</f>
        <v>4000</v>
      </c>
    </row>
    <row r="546" spans="1:16" ht="47.25" hidden="1" x14ac:dyDescent="0.25">
      <c r="A546" s="958">
        <v>44926</v>
      </c>
      <c r="B546" s="959">
        <v>44922</v>
      </c>
      <c r="C546" s="960" t="s">
        <v>2129</v>
      </c>
      <c r="D546" s="960" t="s">
        <v>2103</v>
      </c>
      <c r="E546" s="961" t="s">
        <v>762</v>
      </c>
      <c r="F546" s="962" t="s">
        <v>1526</v>
      </c>
      <c r="G546" s="960"/>
      <c r="H546" s="960"/>
      <c r="I546" s="963" t="s">
        <v>1639</v>
      </c>
      <c r="J546" s="990" t="s">
        <v>2130</v>
      </c>
      <c r="K546" s="965" t="str">
        <f>IF(L546=0,"",(INDEX(AccountCodes[ACCOUNT NAME],MATCH(L546,AccountCodes[NGAS CODE],0))))</f>
        <v>Cash in Bank-Local Currency, Current Account - FO</v>
      </c>
      <c r="L546" s="966" t="s">
        <v>1566</v>
      </c>
      <c r="M546" s="967"/>
      <c r="N546" s="967">
        <v>4000</v>
      </c>
      <c r="O546" s="1018"/>
      <c r="P546" s="987">
        <f t="shared" si="10"/>
        <v>0</v>
      </c>
    </row>
    <row r="547" spans="1:16" ht="47.25" hidden="1" x14ac:dyDescent="0.25">
      <c r="A547" s="958">
        <v>44926</v>
      </c>
      <c r="B547" s="959">
        <v>44923</v>
      </c>
      <c r="C547" s="960" t="s">
        <v>2131</v>
      </c>
      <c r="D547" s="960" t="s">
        <v>2103</v>
      </c>
      <c r="E547" s="961" t="s">
        <v>762</v>
      </c>
      <c r="F547" s="962" t="s">
        <v>1526</v>
      </c>
      <c r="G547" s="960"/>
      <c r="H547" s="960"/>
      <c r="I547" s="963" t="s">
        <v>2117</v>
      </c>
      <c r="J547" s="990" t="s">
        <v>2132</v>
      </c>
      <c r="K547" s="965" t="str">
        <f>IF(L547=0,"",(INDEX(AccountCodes[ACCOUNT NAME],MATCH(L547,AccountCodes[NGAS CODE],0))))</f>
        <v>Other Bonuses and Allowances - Productivity Enhancement Incentive-Civilian</v>
      </c>
      <c r="L547" s="966" t="s">
        <v>170</v>
      </c>
      <c r="M547" s="967">
        <v>60000</v>
      </c>
      <c r="N547" s="967"/>
      <c r="O547" s="1018" t="s">
        <v>2144</v>
      </c>
      <c r="P547" s="987">
        <f t="shared" si="10"/>
        <v>60000</v>
      </c>
    </row>
    <row r="548" spans="1:16" ht="47.25" hidden="1" x14ac:dyDescent="0.25">
      <c r="A548" s="958">
        <v>44926</v>
      </c>
      <c r="B548" s="959">
        <v>44924</v>
      </c>
      <c r="C548" s="960" t="s">
        <v>2131</v>
      </c>
      <c r="D548" s="960" t="s">
        <v>2103</v>
      </c>
      <c r="E548" s="961" t="s">
        <v>762</v>
      </c>
      <c r="F548" s="962" t="s">
        <v>1526</v>
      </c>
      <c r="G548" s="494"/>
      <c r="H548" s="494"/>
      <c r="I548" s="963" t="s">
        <v>2117</v>
      </c>
      <c r="J548" s="988" t="s">
        <v>2132</v>
      </c>
      <c r="K548" s="680" t="str">
        <f>IF(L548=0,"",(INDEX(AccountCodes[ACCOUNT NAME],MATCH(L548,AccountCodes[NGAS CODE],0))))</f>
        <v>Cash in Bank-Local Currency, Current Account - FO</v>
      </c>
      <c r="L548" s="955" t="s">
        <v>1566</v>
      </c>
      <c r="M548" s="956"/>
      <c r="N548" s="956">
        <v>60000</v>
      </c>
      <c r="O548" s="1017"/>
      <c r="P548" s="987">
        <f t="shared" si="10"/>
        <v>0</v>
      </c>
    </row>
    <row r="549" spans="1:16" ht="94.5" hidden="1" x14ac:dyDescent="0.25">
      <c r="A549" s="958">
        <v>44926</v>
      </c>
      <c r="B549" s="959">
        <v>44923</v>
      </c>
      <c r="C549" s="663" t="s">
        <v>2133</v>
      </c>
      <c r="D549" s="960" t="s">
        <v>2103</v>
      </c>
      <c r="E549" s="961" t="s">
        <v>762</v>
      </c>
      <c r="F549" s="962" t="s">
        <v>1526</v>
      </c>
      <c r="G549" s="960"/>
      <c r="H549" s="960"/>
      <c r="I549" s="963" t="s">
        <v>1782</v>
      </c>
      <c r="J549" s="990" t="s">
        <v>2134</v>
      </c>
      <c r="K549" s="965" t="str">
        <f>IF(L549=0,"",(INDEX(AccountCodes[ACCOUNT NAME],MATCH(L549,AccountCodes[NGAS CODE],0))))</f>
        <v>Traveling Expenses-Local</v>
      </c>
      <c r="L549" s="966" t="s">
        <v>223</v>
      </c>
      <c r="M549" s="967">
        <v>2100</v>
      </c>
      <c r="N549" s="967"/>
      <c r="O549" s="1018" t="s">
        <v>2099</v>
      </c>
      <c r="P549" s="987">
        <f t="shared" si="10"/>
        <v>2100</v>
      </c>
    </row>
    <row r="550" spans="1:16" ht="94.5" hidden="1" x14ac:dyDescent="0.25">
      <c r="A550" s="541">
        <v>44926</v>
      </c>
      <c r="B550" s="720">
        <v>44923</v>
      </c>
      <c r="C550" s="494" t="s">
        <v>2133</v>
      </c>
      <c r="D550" s="960" t="s">
        <v>2103</v>
      </c>
      <c r="E550" s="961" t="s">
        <v>762</v>
      </c>
      <c r="F550" s="962" t="s">
        <v>1526</v>
      </c>
      <c r="G550" s="494"/>
      <c r="H550" s="494"/>
      <c r="I550" s="671" t="s">
        <v>1782</v>
      </c>
      <c r="J550" s="988" t="s">
        <v>2134</v>
      </c>
      <c r="K550" s="680" t="str">
        <f>IF(L550=0,"",(INDEX(AccountCodes[ACCOUNT NAME],MATCH(L550,AccountCodes[NGAS CODE],0))))</f>
        <v>Cash in Bank-Local Currency, Current Account - FO</v>
      </c>
      <c r="L550" s="955" t="s">
        <v>1566</v>
      </c>
      <c r="M550" s="956"/>
      <c r="N550" s="956">
        <v>2100</v>
      </c>
      <c r="O550" s="1017"/>
      <c r="P550" s="987">
        <f t="shared" si="10"/>
        <v>0</v>
      </c>
    </row>
    <row r="551" spans="1:16" ht="94.5" hidden="1" x14ac:dyDescent="0.25">
      <c r="A551" s="958">
        <v>44926</v>
      </c>
      <c r="B551" s="959">
        <v>44923</v>
      </c>
      <c r="C551" s="663" t="s">
        <v>2135</v>
      </c>
      <c r="D551" s="960" t="s">
        <v>2103</v>
      </c>
      <c r="E551" s="961" t="s">
        <v>762</v>
      </c>
      <c r="F551" s="962" t="s">
        <v>1526</v>
      </c>
      <c r="G551" s="960"/>
      <c r="H551" s="960"/>
      <c r="I551" s="963" t="s">
        <v>1782</v>
      </c>
      <c r="J551" s="990" t="s">
        <v>2136</v>
      </c>
      <c r="K551" s="965" t="str">
        <f>IF(L551=0,"",(INDEX(AccountCodes[ACCOUNT NAME],MATCH(L551,AccountCodes[NGAS CODE],0))))</f>
        <v>Traveling Expenses-Local</v>
      </c>
      <c r="L551" s="966" t="s">
        <v>223</v>
      </c>
      <c r="M551" s="967">
        <v>3510</v>
      </c>
      <c r="N551" s="967"/>
      <c r="O551" s="1018" t="s">
        <v>2099</v>
      </c>
      <c r="P551" s="987">
        <f t="shared" si="10"/>
        <v>3510</v>
      </c>
    </row>
    <row r="552" spans="1:16" ht="94.5" hidden="1" x14ac:dyDescent="0.25">
      <c r="A552" s="541">
        <v>44926</v>
      </c>
      <c r="B552" s="720">
        <v>44923</v>
      </c>
      <c r="C552" s="494" t="s">
        <v>2135</v>
      </c>
      <c r="D552" s="960" t="s">
        <v>2103</v>
      </c>
      <c r="E552" s="961" t="s">
        <v>762</v>
      </c>
      <c r="F552" s="962" t="s">
        <v>1526</v>
      </c>
      <c r="G552" s="494"/>
      <c r="H552" s="494"/>
      <c r="I552" s="671" t="s">
        <v>1782</v>
      </c>
      <c r="J552" s="988" t="s">
        <v>2136</v>
      </c>
      <c r="K552" s="680" t="str">
        <f>IF(L552=0,"",(INDEX(AccountCodes[ACCOUNT NAME],MATCH(L552,AccountCodes[NGAS CODE],0))))</f>
        <v>Cash in Bank-Local Currency, Current Account - FO</v>
      </c>
      <c r="L552" s="955" t="s">
        <v>1566</v>
      </c>
      <c r="M552" s="956"/>
      <c r="N552" s="956">
        <v>3510</v>
      </c>
      <c r="O552" s="1017"/>
      <c r="P552" s="987">
        <f t="shared" si="10"/>
        <v>0</v>
      </c>
    </row>
    <row r="553" spans="1:16" ht="94.5" hidden="1" x14ac:dyDescent="0.25">
      <c r="A553" s="958">
        <v>44926</v>
      </c>
      <c r="B553" s="959">
        <v>44923</v>
      </c>
      <c r="C553" s="960" t="s">
        <v>2137</v>
      </c>
      <c r="D553" s="960" t="s">
        <v>2103</v>
      </c>
      <c r="E553" s="961" t="s">
        <v>762</v>
      </c>
      <c r="F553" s="962" t="s">
        <v>1526</v>
      </c>
      <c r="G553" s="960"/>
      <c r="H553" s="960"/>
      <c r="I553" s="963" t="s">
        <v>1902</v>
      </c>
      <c r="J553" s="990" t="s">
        <v>2138</v>
      </c>
      <c r="K553" s="965" t="str">
        <f>IF(L553=0,"",(INDEX(AccountCodes[ACCOUNT NAME],MATCH(L553,AccountCodes[NGAS CODE],0))))</f>
        <v>Construction in Progress-Infrastructure Assets (Irrigation, Canals and Laterals)</v>
      </c>
      <c r="L553" s="966" t="s">
        <v>82</v>
      </c>
      <c r="M553" s="967">
        <v>3117498.66</v>
      </c>
      <c r="N553" s="967"/>
      <c r="O553" s="1018" t="s">
        <v>2145</v>
      </c>
      <c r="P553" s="987">
        <f t="shared" si="10"/>
        <v>3117498.66</v>
      </c>
    </row>
    <row r="554" spans="1:16" ht="94.5" hidden="1" x14ac:dyDescent="0.25">
      <c r="A554" s="541">
        <v>44926</v>
      </c>
      <c r="B554" s="720">
        <v>44923</v>
      </c>
      <c r="C554" s="494" t="s">
        <v>2137</v>
      </c>
      <c r="D554" s="960" t="s">
        <v>2103</v>
      </c>
      <c r="E554" s="957" t="s">
        <v>762</v>
      </c>
      <c r="F554" s="495" t="s">
        <v>1526</v>
      </c>
      <c r="G554" s="494"/>
      <c r="H554" s="494"/>
      <c r="I554" s="671" t="s">
        <v>1902</v>
      </c>
      <c r="J554" s="988" t="s">
        <v>2138</v>
      </c>
      <c r="K554" s="680" t="str">
        <f>IF(L554=0,"",(INDEX(AccountCodes[ACCOUNT NAME],MATCH(L554,AccountCodes[NGAS CODE],0))))</f>
        <v>Due to BIR - 5%</v>
      </c>
      <c r="L554" s="955" t="s">
        <v>1548</v>
      </c>
      <c r="M554" s="956"/>
      <c r="N554" s="956">
        <v>139174.04999999999</v>
      </c>
      <c r="O554" s="1017"/>
      <c r="P554" s="987">
        <f t="shared" si="10"/>
        <v>2978324.61</v>
      </c>
    </row>
    <row r="555" spans="1:16" ht="94.5" hidden="1" x14ac:dyDescent="0.25">
      <c r="A555" s="541">
        <v>44926</v>
      </c>
      <c r="B555" s="720">
        <v>44923</v>
      </c>
      <c r="C555" s="494" t="s">
        <v>2137</v>
      </c>
      <c r="D555" s="960" t="s">
        <v>2103</v>
      </c>
      <c r="E555" s="957" t="s">
        <v>762</v>
      </c>
      <c r="F555" s="495" t="s">
        <v>1526</v>
      </c>
      <c r="G555" s="494"/>
      <c r="H555" s="494"/>
      <c r="I555" s="671" t="s">
        <v>1902</v>
      </c>
      <c r="J555" s="988" t="s">
        <v>2138</v>
      </c>
      <c r="K555" s="680" t="str">
        <f>IF(L555=0,"",(INDEX(AccountCodes[ACCOUNT NAME],MATCH(L555,AccountCodes[NGAS CODE],0))))</f>
        <v>Due to BIR - 2%</v>
      </c>
      <c r="L555" s="955" t="s">
        <v>1550</v>
      </c>
      <c r="M555" s="956"/>
      <c r="N555" s="956">
        <v>55669.62</v>
      </c>
      <c r="O555" s="1017"/>
      <c r="P555" s="987">
        <f t="shared" si="10"/>
        <v>2922654.99</v>
      </c>
    </row>
    <row r="556" spans="1:16" ht="94.5" hidden="1" x14ac:dyDescent="0.25">
      <c r="A556" s="541">
        <v>44926</v>
      </c>
      <c r="B556" s="720">
        <v>44923</v>
      </c>
      <c r="C556" s="494" t="s">
        <v>2137</v>
      </c>
      <c r="D556" s="960" t="s">
        <v>2103</v>
      </c>
      <c r="E556" s="957" t="s">
        <v>762</v>
      </c>
      <c r="F556" s="495" t="s">
        <v>1526</v>
      </c>
      <c r="G556" s="494"/>
      <c r="H556" s="494"/>
      <c r="I556" s="671" t="s">
        <v>1902</v>
      </c>
      <c r="J556" s="988" t="s">
        <v>2138</v>
      </c>
      <c r="K556" s="680" t="str">
        <f>IF(L556=0,"",(INDEX(AccountCodes[ACCOUNT NAME],MATCH(L556,AccountCodes[NGAS CODE],0))))</f>
        <v>Guaranty/Security Deposits Payable</v>
      </c>
      <c r="L556" s="955" t="s">
        <v>115</v>
      </c>
      <c r="M556" s="956"/>
      <c r="N556" s="956">
        <v>311749.87</v>
      </c>
      <c r="O556" s="1017"/>
      <c r="P556" s="987">
        <f t="shared" si="10"/>
        <v>2610905.12</v>
      </c>
    </row>
    <row r="557" spans="1:16" ht="94.5" hidden="1" x14ac:dyDescent="0.25">
      <c r="A557" s="958">
        <v>44926</v>
      </c>
      <c r="B557" s="959">
        <v>44923</v>
      </c>
      <c r="C557" s="960" t="s">
        <v>2137</v>
      </c>
      <c r="D557" s="960" t="s">
        <v>2103</v>
      </c>
      <c r="E557" s="961" t="s">
        <v>762</v>
      </c>
      <c r="F557" s="962" t="s">
        <v>1526</v>
      </c>
      <c r="G557" s="960"/>
      <c r="H557" s="960"/>
      <c r="I557" s="963" t="s">
        <v>1902</v>
      </c>
      <c r="J557" s="990" t="s">
        <v>2138</v>
      </c>
      <c r="K557" s="965" t="str">
        <f>IF(L557=0,"",(INDEX(AccountCodes[ACCOUNT NAME],MATCH(L557,AccountCodes[NGAS CODE],0))))</f>
        <v>Advances to Contractors</v>
      </c>
      <c r="L557" s="966" t="s">
        <v>35</v>
      </c>
      <c r="M557" s="967"/>
      <c r="N557" s="967">
        <v>467548.14</v>
      </c>
      <c r="O557" s="1018"/>
      <c r="P557" s="987">
        <f t="shared" si="10"/>
        <v>2143356.98</v>
      </c>
    </row>
    <row r="558" spans="1:16" ht="94.5" hidden="1" x14ac:dyDescent="0.25">
      <c r="A558" s="541">
        <v>44926</v>
      </c>
      <c r="B558" s="720">
        <v>44923</v>
      </c>
      <c r="C558" s="494" t="s">
        <v>2137</v>
      </c>
      <c r="D558" s="960" t="s">
        <v>2103</v>
      </c>
      <c r="E558" s="957" t="s">
        <v>762</v>
      </c>
      <c r="F558" s="495" t="s">
        <v>1526</v>
      </c>
      <c r="G558" s="494"/>
      <c r="H558" s="494"/>
      <c r="I558" s="671" t="s">
        <v>1902</v>
      </c>
      <c r="J558" s="988" t="s">
        <v>2138</v>
      </c>
      <c r="K558" s="680" t="str">
        <f>IF(L558=0,"",(INDEX(AccountCodes[ACCOUNT NAME],MATCH(L558,AccountCodes[NGAS CODE],0))))</f>
        <v>Cash in Bank-Local Currency, Current Account - FO</v>
      </c>
      <c r="L558" s="955" t="s">
        <v>1566</v>
      </c>
      <c r="M558" s="956"/>
      <c r="N558" s="956">
        <v>2143356.98</v>
      </c>
      <c r="O558" s="1017"/>
      <c r="P558" s="987">
        <f t="shared" si="10"/>
        <v>0</v>
      </c>
    </row>
    <row r="559" spans="1:16" ht="63" hidden="1" x14ac:dyDescent="0.25">
      <c r="A559" s="958">
        <v>44926</v>
      </c>
      <c r="B559" s="959">
        <v>44924</v>
      </c>
      <c r="C559" s="960" t="s">
        <v>2139</v>
      </c>
      <c r="D559" s="960" t="s">
        <v>2103</v>
      </c>
      <c r="E559" s="961" t="s">
        <v>762</v>
      </c>
      <c r="F559" s="962" t="s">
        <v>1526</v>
      </c>
      <c r="G559" s="960"/>
      <c r="H559" s="960"/>
      <c r="I559" s="963" t="s">
        <v>1638</v>
      </c>
      <c r="J559" s="990" t="s">
        <v>2140</v>
      </c>
      <c r="K559" s="965" t="str">
        <f>IF(L559=0,"",(INDEX(AccountCodes[ACCOUNT NAME],MATCH(L559,AccountCodes[NGAS CODE],0))))</f>
        <v>Due to BIR - Compensation</v>
      </c>
      <c r="L559" s="966" t="s">
        <v>1546</v>
      </c>
      <c r="M559" s="967">
        <v>4133.1000000000004</v>
      </c>
      <c r="N559" s="967"/>
      <c r="O559" s="1018"/>
      <c r="P559" s="987">
        <f t="shared" si="10"/>
        <v>4133.1000000000004</v>
      </c>
    </row>
    <row r="560" spans="1:16" ht="63" hidden="1" x14ac:dyDescent="0.25">
      <c r="A560" s="541">
        <v>44926</v>
      </c>
      <c r="B560" s="720">
        <v>44924</v>
      </c>
      <c r="C560" s="494" t="s">
        <v>2139</v>
      </c>
      <c r="D560" s="960" t="s">
        <v>2103</v>
      </c>
      <c r="E560" s="957" t="s">
        <v>762</v>
      </c>
      <c r="F560" s="495" t="s">
        <v>1526</v>
      </c>
      <c r="G560" s="494"/>
      <c r="H560" s="494"/>
      <c r="I560" s="671" t="s">
        <v>1638</v>
      </c>
      <c r="J560" s="988" t="s">
        <v>2140</v>
      </c>
      <c r="K560" s="680" t="str">
        <f>IF(L560=0,"",(INDEX(AccountCodes[ACCOUNT NAME],MATCH(L560,AccountCodes[NGAS CODE],0))))</f>
        <v>Cash in Bank-Local Currency, Current Account - FO</v>
      </c>
      <c r="L560" s="955" t="s">
        <v>1566</v>
      </c>
      <c r="M560" s="956"/>
      <c r="N560" s="956">
        <v>4133.1000000000004</v>
      </c>
      <c r="O560" s="1017"/>
      <c r="P560" s="987">
        <f t="shared" si="10"/>
        <v>0</v>
      </c>
    </row>
    <row r="561" spans="1:16" ht="126" hidden="1" x14ac:dyDescent="0.25">
      <c r="A561" s="958">
        <v>44926</v>
      </c>
      <c r="B561" s="959">
        <v>44924</v>
      </c>
      <c r="C561" s="960" t="s">
        <v>2141</v>
      </c>
      <c r="D561" s="960" t="s">
        <v>2103</v>
      </c>
      <c r="E561" s="961" t="s">
        <v>762</v>
      </c>
      <c r="F561" s="962" t="s">
        <v>1526</v>
      </c>
      <c r="G561" s="960"/>
      <c r="H561" s="960"/>
      <c r="I561" s="963" t="s">
        <v>2142</v>
      </c>
      <c r="J561" s="990" t="s">
        <v>2143</v>
      </c>
      <c r="K561" s="965" t="str">
        <f>IF(L561=0,"",(INDEX(AccountCodes[ACCOUNT NAME],MATCH(L561,AccountCodes[NGAS CODE],0))))</f>
        <v>Other Supplies and Materials Expenses</v>
      </c>
      <c r="L561" s="966" t="s">
        <v>231</v>
      </c>
      <c r="M561" s="967">
        <v>13480</v>
      </c>
      <c r="N561" s="967"/>
      <c r="O561" s="1018" t="s">
        <v>2107</v>
      </c>
      <c r="P561" s="987">
        <f t="shared" si="10"/>
        <v>13480</v>
      </c>
    </row>
    <row r="562" spans="1:16" ht="126" hidden="1" x14ac:dyDescent="0.25">
      <c r="A562" s="541">
        <v>44926</v>
      </c>
      <c r="B562" s="720">
        <v>44924</v>
      </c>
      <c r="C562" s="494" t="s">
        <v>2141</v>
      </c>
      <c r="D562" s="960" t="s">
        <v>2103</v>
      </c>
      <c r="E562" s="957" t="s">
        <v>762</v>
      </c>
      <c r="F562" s="495" t="s">
        <v>1526</v>
      </c>
      <c r="G562" s="494"/>
      <c r="H562" s="494"/>
      <c r="I562" s="671" t="s">
        <v>2142</v>
      </c>
      <c r="J562" s="988" t="s">
        <v>2143</v>
      </c>
      <c r="K562" s="680" t="str">
        <f>IF(L562=0,"",(INDEX(AccountCodes[ACCOUNT NAME],MATCH(L562,AccountCodes[NGAS CODE],0))))</f>
        <v>Cash in Bank-Local Currency, Current Account - FO</v>
      </c>
      <c r="L562" s="955" t="s">
        <v>1566</v>
      </c>
      <c r="M562" s="956"/>
      <c r="N562" s="956">
        <v>13480</v>
      </c>
      <c r="O562" s="1017"/>
      <c r="P562" s="987">
        <f t="shared" si="10"/>
        <v>0</v>
      </c>
    </row>
    <row r="563" spans="1:16" ht="78.75" hidden="1" x14ac:dyDescent="0.25">
      <c r="A563" s="958">
        <v>44926</v>
      </c>
      <c r="B563" s="959">
        <v>44924</v>
      </c>
      <c r="C563" s="960" t="s">
        <v>2146</v>
      </c>
      <c r="D563" s="960" t="s">
        <v>2103</v>
      </c>
      <c r="E563" s="961" t="s">
        <v>762</v>
      </c>
      <c r="F563" s="962" t="s">
        <v>1526</v>
      </c>
      <c r="G563" s="960"/>
      <c r="H563" s="960"/>
      <c r="I563" s="963" t="s">
        <v>2148</v>
      </c>
      <c r="J563" s="990" t="s">
        <v>2149</v>
      </c>
      <c r="K563" s="965" t="str">
        <f>IF(L563=0,"",(INDEX(AccountCodes[ACCOUNT NAME],MATCH(L563,AccountCodes[NGAS CODE],0))))</f>
        <v>Fuel, Oil and Lubricants Expenses</v>
      </c>
      <c r="L563" s="966" t="s">
        <v>229</v>
      </c>
      <c r="M563" s="967">
        <v>42921.19</v>
      </c>
      <c r="N563" s="967"/>
      <c r="O563" s="1018" t="s">
        <v>2107</v>
      </c>
      <c r="P563" s="987">
        <f t="shared" si="10"/>
        <v>42921.19</v>
      </c>
    </row>
    <row r="564" spans="1:16" ht="78.75" hidden="1" x14ac:dyDescent="0.25">
      <c r="A564" s="541">
        <v>44926</v>
      </c>
      <c r="B564" s="720">
        <v>44924</v>
      </c>
      <c r="C564" s="494" t="s">
        <v>2146</v>
      </c>
      <c r="D564" s="960" t="s">
        <v>2103</v>
      </c>
      <c r="E564" s="957" t="s">
        <v>762</v>
      </c>
      <c r="F564" s="495" t="s">
        <v>1526</v>
      </c>
      <c r="G564" s="494"/>
      <c r="H564" s="494"/>
      <c r="I564" s="671" t="s">
        <v>2148</v>
      </c>
      <c r="J564" s="988" t="s">
        <v>2149</v>
      </c>
      <c r="K564" s="680" t="str">
        <f>IF(L564=0,"",(INDEX(AccountCodes[ACCOUNT NAME],MATCH(L564,AccountCodes[NGAS CODE],0))))</f>
        <v>Due to BIR - 1%</v>
      </c>
      <c r="L564" s="955" t="s">
        <v>1554</v>
      </c>
      <c r="M564" s="956"/>
      <c r="N564" s="956">
        <v>383.22</v>
      </c>
      <c r="O564" s="1017"/>
      <c r="P564" s="987">
        <f t="shared" si="10"/>
        <v>42537.97</v>
      </c>
    </row>
    <row r="565" spans="1:16" ht="78.75" hidden="1" x14ac:dyDescent="0.25">
      <c r="A565" s="958">
        <v>44926</v>
      </c>
      <c r="B565" s="959">
        <v>44924</v>
      </c>
      <c r="C565" s="960" t="s">
        <v>2146</v>
      </c>
      <c r="D565" s="960" t="s">
        <v>2103</v>
      </c>
      <c r="E565" s="961" t="s">
        <v>762</v>
      </c>
      <c r="F565" s="962" t="s">
        <v>1526</v>
      </c>
      <c r="G565" s="960"/>
      <c r="H565" s="960"/>
      <c r="I565" s="963" t="s">
        <v>2148</v>
      </c>
      <c r="J565" s="990" t="s">
        <v>2149</v>
      </c>
      <c r="K565" s="965" t="str">
        <f>IF(L565=0,"",(INDEX(AccountCodes[ACCOUNT NAME],MATCH(L565,AccountCodes[NGAS CODE],0))))</f>
        <v>Due to BIR - 5%</v>
      </c>
      <c r="L565" s="966" t="s">
        <v>1548</v>
      </c>
      <c r="M565" s="967"/>
      <c r="N565" s="967">
        <v>1916.12</v>
      </c>
      <c r="O565" s="1018"/>
      <c r="P565" s="987">
        <f t="shared" si="10"/>
        <v>40621.85</v>
      </c>
    </row>
    <row r="566" spans="1:16" ht="78.75" hidden="1" x14ac:dyDescent="0.25">
      <c r="A566" s="541">
        <v>44926</v>
      </c>
      <c r="B566" s="720">
        <v>44924</v>
      </c>
      <c r="C566" s="494" t="s">
        <v>2146</v>
      </c>
      <c r="D566" s="960" t="s">
        <v>2103</v>
      </c>
      <c r="E566" s="957" t="s">
        <v>762</v>
      </c>
      <c r="F566" s="495" t="s">
        <v>1526</v>
      </c>
      <c r="G566" s="494"/>
      <c r="H566" s="494"/>
      <c r="I566" s="671" t="s">
        <v>2148</v>
      </c>
      <c r="J566" s="988" t="s">
        <v>2149</v>
      </c>
      <c r="K566" s="680" t="str">
        <f>IF(L566=0,"",(INDEX(AccountCodes[ACCOUNT NAME],MATCH(L566,AccountCodes[NGAS CODE],0))))</f>
        <v>Cash in Bank-Local Currency, Current Account - FO</v>
      </c>
      <c r="L566" s="955" t="s">
        <v>1566</v>
      </c>
      <c r="M566" s="956"/>
      <c r="N566" s="956">
        <v>40621.85</v>
      </c>
      <c r="O566" s="1017"/>
      <c r="P566" s="987">
        <f t="shared" si="10"/>
        <v>0</v>
      </c>
    </row>
    <row r="567" spans="1:16" ht="47.25" hidden="1" x14ac:dyDescent="0.25">
      <c r="A567" s="958">
        <v>44926</v>
      </c>
      <c r="B567" s="959">
        <v>44924</v>
      </c>
      <c r="C567" s="663" t="s">
        <v>2147</v>
      </c>
      <c r="D567" s="960" t="s">
        <v>2103</v>
      </c>
      <c r="E567" s="961" t="s">
        <v>762</v>
      </c>
      <c r="F567" s="962" t="s">
        <v>1526</v>
      </c>
      <c r="G567" s="960"/>
      <c r="H567" s="960"/>
      <c r="I567" s="963" t="s">
        <v>2150</v>
      </c>
      <c r="J567" s="990" t="s">
        <v>2151</v>
      </c>
      <c r="K567" s="965" t="str">
        <f>IF(L567=0,"",(INDEX(AccountCodes[ACCOUNT NAME],MATCH(L567,AccountCodes[NGAS CODE],0))))</f>
        <v>Office Supplies Inventory</v>
      </c>
      <c r="L567" s="966" t="s">
        <v>30</v>
      </c>
      <c r="M567" s="967">
        <v>43510</v>
      </c>
      <c r="N567" s="967"/>
      <c r="O567" s="1018" t="s">
        <v>2152</v>
      </c>
      <c r="P567" s="987">
        <f t="shared" si="10"/>
        <v>43510</v>
      </c>
    </row>
    <row r="568" spans="1:16" ht="47.25" hidden="1" x14ac:dyDescent="0.25">
      <c r="A568" s="958">
        <v>44926</v>
      </c>
      <c r="B568" s="959">
        <v>44924</v>
      </c>
      <c r="C568" s="960" t="s">
        <v>2147</v>
      </c>
      <c r="D568" s="960" t="s">
        <v>2103</v>
      </c>
      <c r="E568" s="961" t="s">
        <v>762</v>
      </c>
      <c r="F568" s="962" t="s">
        <v>1526</v>
      </c>
      <c r="G568" s="960"/>
      <c r="H568" s="960"/>
      <c r="I568" s="963" t="s">
        <v>2150</v>
      </c>
      <c r="J568" s="990" t="s">
        <v>2151</v>
      </c>
      <c r="K568" s="965" t="str">
        <f>IF(L568=0,"",(INDEX(AccountCodes[ACCOUNT NAME],MATCH(L568,AccountCodes[NGAS CODE],0))))</f>
        <v>Due to BIR - 1%</v>
      </c>
      <c r="L568" s="966" t="s">
        <v>1554</v>
      </c>
      <c r="M568" s="967"/>
      <c r="N568" s="967">
        <v>435.1</v>
      </c>
      <c r="O568" s="1018"/>
      <c r="P568" s="987">
        <f t="shared" si="10"/>
        <v>43074.9</v>
      </c>
    </row>
    <row r="569" spans="1:16" ht="47.25" hidden="1" x14ac:dyDescent="0.25">
      <c r="A569" s="541">
        <v>44926</v>
      </c>
      <c r="B569" s="720">
        <v>44924</v>
      </c>
      <c r="C569" s="494" t="s">
        <v>2147</v>
      </c>
      <c r="D569" s="960" t="s">
        <v>2103</v>
      </c>
      <c r="E569" s="957" t="s">
        <v>762</v>
      </c>
      <c r="F569" s="495" t="s">
        <v>1526</v>
      </c>
      <c r="G569" s="494"/>
      <c r="H569" s="494"/>
      <c r="I569" s="671" t="s">
        <v>2150</v>
      </c>
      <c r="J569" s="988" t="s">
        <v>2151</v>
      </c>
      <c r="K569" s="680" t="str">
        <f>IF(L569=0,"",(INDEX(AccountCodes[ACCOUNT NAME],MATCH(L569,AccountCodes[NGAS CODE],0))))</f>
        <v>Due to BIR - 1%</v>
      </c>
      <c r="L569" s="955" t="s">
        <v>1554</v>
      </c>
      <c r="M569" s="956"/>
      <c r="N569" s="956">
        <v>435.1</v>
      </c>
      <c r="O569" s="1017"/>
      <c r="P569" s="987">
        <f t="shared" si="10"/>
        <v>42639.8</v>
      </c>
    </row>
    <row r="570" spans="1:16" ht="47.25" hidden="1" x14ac:dyDescent="0.25">
      <c r="A570" s="958">
        <v>44926</v>
      </c>
      <c r="B570" s="959">
        <v>44924</v>
      </c>
      <c r="C570" s="960" t="s">
        <v>2147</v>
      </c>
      <c r="D570" s="960" t="s">
        <v>2103</v>
      </c>
      <c r="E570" s="961" t="s">
        <v>762</v>
      </c>
      <c r="F570" s="962" t="s">
        <v>1526</v>
      </c>
      <c r="G570" s="960"/>
      <c r="H570" s="960"/>
      <c r="I570" s="963" t="s">
        <v>2150</v>
      </c>
      <c r="J570" s="990" t="s">
        <v>2151</v>
      </c>
      <c r="K570" s="965" t="str">
        <f>IF(L570=0,"",(INDEX(AccountCodes[ACCOUNT NAME],MATCH(L570,AccountCodes[NGAS CODE],0))))</f>
        <v>Cash in Bank-Local Currency, Current Account - FO</v>
      </c>
      <c r="L570" s="966" t="s">
        <v>1566</v>
      </c>
      <c r="M570" s="967"/>
      <c r="N570" s="967">
        <v>42639.8</v>
      </c>
      <c r="O570" s="1018"/>
      <c r="P570" s="987">
        <f t="shared" si="10"/>
        <v>0</v>
      </c>
    </row>
    <row r="571" spans="1:16" ht="47.25" hidden="1" x14ac:dyDescent="0.25">
      <c r="A571" s="958">
        <v>44926</v>
      </c>
      <c r="B571" s="959">
        <v>44924</v>
      </c>
      <c r="C571" s="960" t="s">
        <v>2157</v>
      </c>
      <c r="D571" s="960" t="s">
        <v>2103</v>
      </c>
      <c r="E571" s="957" t="s">
        <v>762</v>
      </c>
      <c r="F571" s="495" t="s">
        <v>1526</v>
      </c>
      <c r="G571" s="960"/>
      <c r="H571" s="960"/>
      <c r="I571" s="963" t="s">
        <v>2158</v>
      </c>
      <c r="J571" s="974" t="s">
        <v>2159</v>
      </c>
      <c r="K571" s="965" t="str">
        <f>IF(L571=0,"",(INDEX(AccountCodes[ACCOUNT NAME],MATCH(L571,AccountCodes[NGAS CODE],0))))</f>
        <v>Due to the Treasurer of the Philippines</v>
      </c>
      <c r="L571" s="966" t="s">
        <v>1496</v>
      </c>
      <c r="M571" s="967">
        <v>394.1</v>
      </c>
      <c r="N571" s="967"/>
      <c r="O571" s="1018"/>
      <c r="P571" s="987">
        <f t="shared" si="10"/>
        <v>394.1</v>
      </c>
    </row>
    <row r="572" spans="1:16" ht="47.25" hidden="1" x14ac:dyDescent="0.25">
      <c r="A572" s="958">
        <v>44926</v>
      </c>
      <c r="B572" s="720">
        <v>44924</v>
      </c>
      <c r="C572" s="494" t="s">
        <v>2157</v>
      </c>
      <c r="D572" s="960" t="s">
        <v>2103</v>
      </c>
      <c r="E572" s="961" t="s">
        <v>762</v>
      </c>
      <c r="F572" s="962" t="s">
        <v>1526</v>
      </c>
      <c r="G572" s="494"/>
      <c r="H572" s="494"/>
      <c r="I572" s="671" t="s">
        <v>2158</v>
      </c>
      <c r="J572" s="974" t="s">
        <v>2159</v>
      </c>
      <c r="K572" s="680" t="str">
        <f>IF(L572=0,"",(INDEX(AccountCodes[ACCOUNT NAME],MATCH(L572,AccountCodes[NGAS CODE],0))))</f>
        <v>Cash in Bank-Local Currency, Current Account - FO</v>
      </c>
      <c r="L572" s="955" t="s">
        <v>1566</v>
      </c>
      <c r="M572" s="956"/>
      <c r="N572" s="956">
        <v>394.1</v>
      </c>
      <c r="O572" s="1017"/>
      <c r="P572" s="987">
        <f t="shared" si="10"/>
        <v>0</v>
      </c>
    </row>
    <row r="573" spans="1:16" ht="47.25" hidden="1" x14ac:dyDescent="0.25">
      <c r="A573" s="541">
        <v>44926</v>
      </c>
      <c r="B573" s="720">
        <v>44924</v>
      </c>
      <c r="C573" s="494" t="s">
        <v>2160</v>
      </c>
      <c r="D573" s="960" t="s">
        <v>2103</v>
      </c>
      <c r="E573" s="961" t="s">
        <v>762</v>
      </c>
      <c r="F573" s="962" t="s">
        <v>1526</v>
      </c>
      <c r="G573" s="494"/>
      <c r="H573" s="494"/>
      <c r="I573" s="963" t="s">
        <v>1638</v>
      </c>
      <c r="J573" s="974" t="s">
        <v>2161</v>
      </c>
      <c r="K573" s="680" t="str">
        <f>IF(L573=0,"",(INDEX(AccountCodes[ACCOUNT NAME],MATCH(L573,AccountCodes[NGAS CODE],0))))</f>
        <v>Due to BIR - 2%</v>
      </c>
      <c r="L573" s="955" t="s">
        <v>1550</v>
      </c>
      <c r="M573" s="956">
        <v>126205.42</v>
      </c>
      <c r="N573" s="956"/>
      <c r="O573" s="1017"/>
      <c r="P573" s="987">
        <f t="shared" si="10"/>
        <v>126205.42</v>
      </c>
    </row>
    <row r="574" spans="1:16" ht="47.25" hidden="1" x14ac:dyDescent="0.25">
      <c r="A574" s="958">
        <v>44926</v>
      </c>
      <c r="B574" s="720">
        <v>44924</v>
      </c>
      <c r="C574" s="494" t="s">
        <v>2160</v>
      </c>
      <c r="D574" s="960" t="s">
        <v>2103</v>
      </c>
      <c r="E574" s="957" t="s">
        <v>762</v>
      </c>
      <c r="F574" s="495" t="s">
        <v>1526</v>
      </c>
      <c r="G574" s="494"/>
      <c r="H574" s="494"/>
      <c r="I574" s="671" t="s">
        <v>1638</v>
      </c>
      <c r="J574" s="974" t="s">
        <v>2161</v>
      </c>
      <c r="K574" s="680" t="str">
        <f>IF(L574=0,"",(INDEX(AccountCodes[ACCOUNT NAME],MATCH(L574,AccountCodes[NGAS CODE],0))))</f>
        <v>Due to BIR - 1%</v>
      </c>
      <c r="L574" s="955" t="s">
        <v>1554</v>
      </c>
      <c r="M574" s="956">
        <v>818.32</v>
      </c>
      <c r="N574" s="956"/>
      <c r="O574" s="1017"/>
      <c r="P574" s="987">
        <f t="shared" si="10"/>
        <v>127023.74</v>
      </c>
    </row>
    <row r="575" spans="1:16" ht="47.25" hidden="1" x14ac:dyDescent="0.25">
      <c r="A575" s="541">
        <v>44926</v>
      </c>
      <c r="B575" s="959">
        <v>44924</v>
      </c>
      <c r="C575" s="960" t="s">
        <v>2160</v>
      </c>
      <c r="D575" s="960" t="s">
        <v>2103</v>
      </c>
      <c r="E575" s="961" t="s">
        <v>762</v>
      </c>
      <c r="F575" s="962" t="s">
        <v>1526</v>
      </c>
      <c r="G575" s="960"/>
      <c r="H575" s="960"/>
      <c r="I575" s="963" t="s">
        <v>1638</v>
      </c>
      <c r="J575" s="974" t="s">
        <v>2161</v>
      </c>
      <c r="K575" s="965" t="str">
        <f>IF(L575=0,"",(INDEX(AccountCodes[ACCOUNT NAME],MATCH(L575,AccountCodes[NGAS CODE],0))))</f>
        <v>Cash in Bank-Local Currency, Current Account - FO</v>
      </c>
      <c r="L575" s="966" t="s">
        <v>1566</v>
      </c>
      <c r="M575" s="967"/>
      <c r="N575" s="967">
        <v>127023.74</v>
      </c>
      <c r="O575" s="1018"/>
      <c r="P575" s="987">
        <f t="shared" si="10"/>
        <v>0</v>
      </c>
    </row>
    <row r="576" spans="1:16" ht="47.25" hidden="1" x14ac:dyDescent="0.25">
      <c r="A576" s="958">
        <v>44926</v>
      </c>
      <c r="B576" s="559">
        <v>44924</v>
      </c>
      <c r="C576" s="145" t="s">
        <v>2162</v>
      </c>
      <c r="D576" s="960" t="s">
        <v>2103</v>
      </c>
      <c r="E576" s="961" t="s">
        <v>762</v>
      </c>
      <c r="F576" s="962" t="s">
        <v>1526</v>
      </c>
      <c r="G576" s="145"/>
      <c r="H576" s="145"/>
      <c r="I576" s="671" t="s">
        <v>1638</v>
      </c>
      <c r="J576" s="952" t="s">
        <v>2163</v>
      </c>
      <c r="K576" s="704" t="str">
        <f>IF(L576=0,"",(INDEX(AccountCodes[ACCOUNT NAME],MATCH(L576,AccountCodes[NGAS CODE],0))))</f>
        <v>Due to BIR - 5%</v>
      </c>
      <c r="L576" s="953" t="s">
        <v>1548</v>
      </c>
      <c r="M576" s="982">
        <v>317429.65999999997</v>
      </c>
      <c r="N576" s="982"/>
      <c r="O576" s="984"/>
      <c r="P576" s="987">
        <f t="shared" si="10"/>
        <v>317429.65999999997</v>
      </c>
    </row>
    <row r="577" spans="1:16" ht="47.25" hidden="1" x14ac:dyDescent="0.25">
      <c r="A577" s="951">
        <v>44926</v>
      </c>
      <c r="B577" s="559">
        <v>44924</v>
      </c>
      <c r="C577" s="145" t="s">
        <v>2162</v>
      </c>
      <c r="D577" s="960" t="s">
        <v>2103</v>
      </c>
      <c r="E577" s="961" t="s">
        <v>762</v>
      </c>
      <c r="F577" s="962" t="s">
        <v>1526</v>
      </c>
      <c r="G577" s="145"/>
      <c r="H577" s="145"/>
      <c r="I577" s="560" t="s">
        <v>1638</v>
      </c>
      <c r="J577" s="952" t="s">
        <v>2163</v>
      </c>
      <c r="K577" s="704" t="str">
        <f>IF(L577=0,"",(INDEX(AccountCodes[ACCOUNT NAME],MATCH(L577,AccountCodes[NGAS CODE],0))))</f>
        <v>Due to BIR - 1%</v>
      </c>
      <c r="L577" s="953" t="s">
        <v>1554</v>
      </c>
      <c r="M577" s="982">
        <v>435.1</v>
      </c>
      <c r="N577" s="982"/>
      <c r="O577" s="984"/>
      <c r="P577" s="987">
        <f t="shared" si="10"/>
        <v>317864.76</v>
      </c>
    </row>
    <row r="578" spans="1:16" ht="47.25" hidden="1" x14ac:dyDescent="0.25">
      <c r="A578" s="951">
        <v>44926</v>
      </c>
      <c r="B578" s="559">
        <v>44924</v>
      </c>
      <c r="C578" s="145" t="s">
        <v>2162</v>
      </c>
      <c r="D578" s="960" t="s">
        <v>2103</v>
      </c>
      <c r="E578" s="957" t="s">
        <v>762</v>
      </c>
      <c r="F578" s="495" t="s">
        <v>1526</v>
      </c>
      <c r="G578" s="145"/>
      <c r="H578" s="145"/>
      <c r="I578" s="560" t="s">
        <v>1638</v>
      </c>
      <c r="J578" s="952" t="s">
        <v>2163</v>
      </c>
      <c r="K578" s="704" t="str">
        <f>IF(L578=0,"",(INDEX(AccountCodes[ACCOUNT NAME],MATCH(L578,AccountCodes[NGAS CODE],0))))</f>
        <v>Cash in Bank-Local Currency, Current Account - FO</v>
      </c>
      <c r="L578" s="953" t="s">
        <v>1566</v>
      </c>
      <c r="M578" s="982"/>
      <c r="N578" s="982">
        <v>317864.76</v>
      </c>
      <c r="O578" s="984"/>
      <c r="P578" s="987">
        <f t="shared" si="10"/>
        <v>0</v>
      </c>
    </row>
    <row r="579" spans="1:16" hidden="1" x14ac:dyDescent="0.25">
      <c r="A579" s="951"/>
      <c r="B579" s="559"/>
      <c r="C579" s="145"/>
      <c r="D579" s="960"/>
      <c r="E579" s="961"/>
      <c r="F579" s="962"/>
      <c r="G579" s="145"/>
      <c r="H579" s="145"/>
      <c r="I579" s="560"/>
      <c r="J579" s="952"/>
      <c r="K579" s="704" t="str">
        <f>IF(L579=0,"",(INDEX(AccountCodes[ACCOUNT NAME],MATCH(L579,AccountCodes[NGAS CODE],0))))</f>
        <v/>
      </c>
      <c r="L579" s="953"/>
      <c r="M579" s="982"/>
      <c r="N579" s="982"/>
      <c r="O579" s="984"/>
      <c r="P579" s="987">
        <f t="shared" si="10"/>
        <v>0</v>
      </c>
    </row>
    <row r="580" spans="1:16" hidden="1" x14ac:dyDescent="0.25">
      <c r="A580" s="951"/>
      <c r="B580" s="559"/>
      <c r="C580" s="145"/>
      <c r="D580" s="960"/>
      <c r="E580" s="961"/>
      <c r="F580" s="962"/>
      <c r="G580" s="145"/>
      <c r="H580" s="145"/>
      <c r="I580" s="560"/>
      <c r="J580" s="952"/>
      <c r="K580" s="704" t="str">
        <f>IF(L580=0,"",(INDEX(AccountCodes[ACCOUNT NAME],MATCH(L580,AccountCodes[NGAS CODE],0))))</f>
        <v/>
      </c>
      <c r="L580" s="953"/>
      <c r="M580" s="982"/>
      <c r="N580" s="982"/>
      <c r="O580" s="984"/>
      <c r="P580" s="987">
        <f t="shared" si="10"/>
        <v>0</v>
      </c>
    </row>
    <row r="581" spans="1:16" hidden="1" x14ac:dyDescent="0.25">
      <c r="A581" s="951"/>
      <c r="B581" s="559"/>
      <c r="C581" s="145"/>
      <c r="D581" s="960"/>
      <c r="E581" s="957"/>
      <c r="F581" s="495"/>
      <c r="G581" s="145"/>
      <c r="H581" s="145"/>
      <c r="I581" s="560"/>
      <c r="J581" s="952"/>
      <c r="K581" s="704" t="str">
        <f>IF(L581=0,"",(INDEX(AccountCodes[ACCOUNT NAME],MATCH(L581,AccountCodes[NGAS CODE],0))))</f>
        <v/>
      </c>
      <c r="L581" s="953"/>
      <c r="M581" s="982"/>
      <c r="N581" s="982"/>
      <c r="O581" s="984"/>
      <c r="P581" s="987">
        <f t="shared" si="10"/>
        <v>0</v>
      </c>
    </row>
    <row r="582" spans="1:16" hidden="1" x14ac:dyDescent="0.25">
      <c r="A582" s="951"/>
      <c r="B582" s="559"/>
      <c r="C582" s="145"/>
      <c r="D582" s="960"/>
      <c r="E582" s="957"/>
      <c r="F582" s="495"/>
      <c r="G582" s="145"/>
      <c r="H582" s="145"/>
      <c r="I582" s="560"/>
      <c r="J582" s="952"/>
      <c r="K582" s="704" t="str">
        <f>IF(L582=0,"",(INDEX(AccountCodes[ACCOUNT NAME],MATCH(L582,AccountCodes[NGAS CODE],0))))</f>
        <v/>
      </c>
      <c r="L582" s="953"/>
      <c r="M582" s="982"/>
      <c r="N582" s="982"/>
      <c r="O582" s="984"/>
      <c r="P582" s="987">
        <f t="shared" si="10"/>
        <v>0</v>
      </c>
    </row>
    <row r="583" spans="1:16" hidden="1" x14ac:dyDescent="0.25">
      <c r="A583" s="951"/>
      <c r="B583" s="559"/>
      <c r="C583" s="145"/>
      <c r="D583" s="960"/>
      <c r="E583" s="957"/>
      <c r="F583" s="495"/>
      <c r="G583" s="145"/>
      <c r="H583" s="145"/>
      <c r="I583" s="560"/>
      <c r="J583" s="952"/>
      <c r="K583" s="704" t="str">
        <f>IF(L583=0,"",(INDEX(AccountCodes[ACCOUNT NAME],MATCH(L583,AccountCodes[NGAS CODE],0))))</f>
        <v/>
      </c>
      <c r="L583" s="953"/>
      <c r="M583" s="982"/>
      <c r="N583" s="982"/>
      <c r="O583" s="984"/>
      <c r="P583" s="987">
        <f t="shared" si="10"/>
        <v>0</v>
      </c>
    </row>
    <row r="584" spans="1:16" hidden="1" x14ac:dyDescent="0.25">
      <c r="A584" s="714"/>
      <c r="B584" s="975"/>
      <c r="C584" s="663"/>
      <c r="D584" s="960"/>
      <c r="E584" s="961"/>
      <c r="F584" s="962"/>
      <c r="G584" s="663"/>
      <c r="H584" s="663"/>
      <c r="I584" s="976"/>
      <c r="J584" s="974"/>
      <c r="K584" s="977" t="str">
        <f>IF(L584=0,"",(INDEX(AccountCodes[ACCOUNT NAME],MATCH(L584,AccountCodes[NGAS CODE],0))))</f>
        <v/>
      </c>
      <c r="L584" s="978"/>
      <c r="M584" s="979"/>
      <c r="N584" s="979"/>
      <c r="O584" s="1019"/>
      <c r="P584" s="987">
        <f t="shared" si="10"/>
        <v>0</v>
      </c>
    </row>
    <row r="585" spans="1:16" hidden="1" x14ac:dyDescent="0.25">
      <c r="A585" s="714"/>
      <c r="B585" s="975"/>
      <c r="C585" s="663"/>
      <c r="D585" s="663"/>
      <c r="E585" s="666"/>
      <c r="F585" s="664"/>
      <c r="G585" s="663"/>
      <c r="H585" s="663"/>
      <c r="I585" s="976"/>
      <c r="J585" s="974"/>
      <c r="K585" s="977" t="str">
        <f>IF(L585=0,"",(INDEX(AccountCodes[ACCOUNT NAME],MATCH(L585,AccountCodes[NGAS CODE],0))))</f>
        <v/>
      </c>
      <c r="L585" s="978"/>
      <c r="M585" s="979"/>
      <c r="N585" s="979"/>
      <c r="O585" s="1019"/>
      <c r="P585" s="987">
        <f t="shared" si="10"/>
        <v>0</v>
      </c>
    </row>
    <row r="586" spans="1:16" hidden="1" x14ac:dyDescent="0.25">
      <c r="A586" s="951"/>
      <c r="B586" s="559"/>
      <c r="C586" s="145"/>
      <c r="D586" s="145"/>
      <c r="E586" s="185"/>
      <c r="F586" s="137"/>
      <c r="G586" s="145"/>
      <c r="H586" s="145"/>
      <c r="I586" s="560"/>
      <c r="J586" s="952"/>
      <c r="K586" s="704" t="str">
        <f>IF(L586=0,"",(INDEX(AccountCodes[ACCOUNT NAME],MATCH(L586,AccountCodes[NGAS CODE],0))))</f>
        <v/>
      </c>
      <c r="L586" s="953"/>
      <c r="M586" s="982"/>
      <c r="N586" s="982"/>
      <c r="O586" s="984"/>
      <c r="P586" s="987">
        <f t="shared" si="10"/>
        <v>0</v>
      </c>
    </row>
    <row r="587" spans="1:16" hidden="1" x14ac:dyDescent="0.25">
      <c r="A587" s="714"/>
      <c r="B587" s="975"/>
      <c r="C587" s="663"/>
      <c r="D587" s="663"/>
      <c r="E587" s="666"/>
      <c r="F587" s="664"/>
      <c r="G587" s="663"/>
      <c r="H587" s="663"/>
      <c r="I587" s="976"/>
      <c r="J587" s="974"/>
      <c r="K587" s="977" t="str">
        <f>IF(L587=0,"",(INDEX(AccountCodes[ACCOUNT NAME],MATCH(L587,AccountCodes[NGAS CODE],0))))</f>
        <v/>
      </c>
      <c r="L587" s="978"/>
      <c r="M587" s="979"/>
      <c r="N587" s="979"/>
      <c r="O587" s="1019"/>
      <c r="P587" s="987">
        <f t="shared" si="10"/>
        <v>0</v>
      </c>
    </row>
    <row r="588" spans="1:16" hidden="1" x14ac:dyDescent="0.25">
      <c r="A588" s="951"/>
      <c r="B588" s="559"/>
      <c r="C588" s="145"/>
      <c r="D588" s="145"/>
      <c r="E588" s="185"/>
      <c r="F588" s="137"/>
      <c r="G588" s="145"/>
      <c r="H588" s="145"/>
      <c r="I588" s="560"/>
      <c r="J588" s="952"/>
      <c r="K588" s="704" t="str">
        <f>IF(L588=0,"",(INDEX(AccountCodes[ACCOUNT NAME],MATCH(L588,AccountCodes[NGAS CODE],0))))</f>
        <v/>
      </c>
      <c r="L588" s="953"/>
      <c r="M588" s="982"/>
      <c r="N588" s="982"/>
      <c r="O588" s="984"/>
      <c r="P588" s="987">
        <f t="shared" si="10"/>
        <v>0</v>
      </c>
    </row>
    <row r="589" spans="1:16" hidden="1" x14ac:dyDescent="0.25">
      <c r="A589" s="714"/>
      <c r="B589" s="975"/>
      <c r="C589" s="663"/>
      <c r="D589" s="663"/>
      <c r="E589" s="666"/>
      <c r="F589" s="664"/>
      <c r="G589" s="663"/>
      <c r="H589" s="663"/>
      <c r="I589" s="976"/>
      <c r="J589" s="974"/>
      <c r="K589" s="977" t="str">
        <f>IF(L589=0,"",(INDEX(AccountCodes[ACCOUNT NAME],MATCH(L589,AccountCodes[NGAS CODE],0))))</f>
        <v/>
      </c>
      <c r="L589" s="978"/>
      <c r="M589" s="979"/>
      <c r="N589" s="979"/>
      <c r="O589" s="1019"/>
      <c r="P589" s="987">
        <f t="shared" si="10"/>
        <v>0</v>
      </c>
    </row>
    <row r="590" spans="1:16" hidden="1" x14ac:dyDescent="0.25">
      <c r="A590" s="951"/>
      <c r="B590" s="559"/>
      <c r="C590" s="145"/>
      <c r="D590" s="145"/>
      <c r="E590" s="185"/>
      <c r="F590" s="137"/>
      <c r="G590" s="145"/>
      <c r="H590" s="145"/>
      <c r="I590" s="560"/>
      <c r="J590" s="952"/>
      <c r="K590" s="704" t="str">
        <f>IF(L590=0,"",(INDEX(AccountCodes[ACCOUNT NAME],MATCH(L590,AccountCodes[NGAS CODE],0))))</f>
        <v/>
      </c>
      <c r="L590" s="953"/>
      <c r="M590" s="982"/>
      <c r="N590" s="982"/>
      <c r="O590" s="984"/>
      <c r="P590" s="987">
        <f t="shared" si="10"/>
        <v>0</v>
      </c>
    </row>
    <row r="591" spans="1:16" hidden="1" x14ac:dyDescent="0.25">
      <c r="A591" s="714"/>
      <c r="B591" s="975"/>
      <c r="C591" s="663"/>
      <c r="D591" s="663"/>
      <c r="E591" s="666"/>
      <c r="F591" s="664"/>
      <c r="G591" s="663"/>
      <c r="H591" s="663"/>
      <c r="I591" s="976"/>
      <c r="J591" s="974"/>
      <c r="K591" s="977" t="str">
        <f>IF(L591=0,"",(INDEX(AccountCodes[ACCOUNT NAME],MATCH(L591,AccountCodes[NGAS CODE],0))))</f>
        <v/>
      </c>
      <c r="L591" s="978"/>
      <c r="M591" s="979"/>
      <c r="N591" s="979"/>
      <c r="O591" s="1019"/>
      <c r="P591" s="987">
        <f t="shared" si="10"/>
        <v>0</v>
      </c>
    </row>
  </sheetData>
  <sheetProtection autoFilter="0" pivotTables="0"/>
  <mergeCells count="1">
    <mergeCell ref="A1:N1"/>
  </mergeCells>
  <phoneticPr fontId="106" type="noConversion"/>
  <dataValidations count="1">
    <dataValidation type="date" allowBlank="1" showErrorMessage="1" prompt="Input Date Only" sqref="A458:A478 B89:B198 A238 B203:B457" xr:uid="{00000000-0002-0000-0B00-000000000000}">
      <formula1>28299</formula1>
      <formula2>401942</formula2>
    </dataValidation>
  </dataValidations>
  <printOptions horizontalCentered="1"/>
  <pageMargins left="0.2" right="0.2" top="0.74803149606299202" bottom="0" header="0.31496062992126" footer="0.31496062992126"/>
  <pageSetup paperSize="14" scale="47" orientation="landscape" horizontalDpi="300" verticalDpi="300" r:id="rId1"/>
  <rowBreaks count="3" manualBreakCount="3">
    <brk id="332" max="15" man="1"/>
    <brk id="344" max="15" man="1"/>
    <brk id="368" max="15" man="1"/>
  </rowBreaks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/>
  </sheetPr>
  <dimension ref="A1:K32"/>
  <sheetViews>
    <sheetView zoomScale="93" zoomScaleNormal="93" workbookViewId="0">
      <selection activeCell="C10" sqref="C10"/>
    </sheetView>
  </sheetViews>
  <sheetFormatPr defaultRowHeight="15.75" x14ac:dyDescent="0.25"/>
  <cols>
    <col min="1" max="1" width="14.5" bestFit="1" customWidth="1"/>
    <col min="2" max="2" width="61.125" customWidth="1"/>
    <col min="3" max="3" width="18" customWidth="1"/>
    <col min="4" max="4" width="16.375" customWidth="1"/>
  </cols>
  <sheetData>
    <row r="1" spans="1:4" x14ac:dyDescent="0.25">
      <c r="A1" s="303" t="s">
        <v>1913</v>
      </c>
      <c r="B1" s="12" t="s">
        <v>2103</v>
      </c>
    </row>
    <row r="3" spans="1:4" x14ac:dyDescent="0.25">
      <c r="A3" s="12"/>
      <c r="B3" s="12"/>
      <c r="C3" s="303" t="s">
        <v>851</v>
      </c>
      <c r="D3" s="12"/>
    </row>
    <row r="4" spans="1:4" x14ac:dyDescent="0.25">
      <c r="A4" s="303" t="s">
        <v>370</v>
      </c>
      <c r="B4" s="303" t="s">
        <v>369</v>
      </c>
      <c r="C4" s="302" t="s">
        <v>852</v>
      </c>
      <c r="D4" s="302" t="s">
        <v>853</v>
      </c>
    </row>
    <row r="5" spans="1:4" x14ac:dyDescent="0.25">
      <c r="A5" s="12" t="s">
        <v>1566</v>
      </c>
      <c r="B5" s="12" t="s">
        <v>1481</v>
      </c>
      <c r="C5" s="302"/>
      <c r="D5" s="302">
        <v>5640740.6600000001</v>
      </c>
    </row>
    <row r="6" spans="1:4" x14ac:dyDescent="0.25">
      <c r="A6" s="12" t="s">
        <v>30</v>
      </c>
      <c r="B6" s="12" t="s">
        <v>1182</v>
      </c>
      <c r="C6" s="302">
        <v>43510</v>
      </c>
      <c r="D6" s="302"/>
    </row>
    <row r="7" spans="1:4" x14ac:dyDescent="0.25">
      <c r="A7" s="12" t="s">
        <v>35</v>
      </c>
      <c r="B7" s="12" t="s">
        <v>70</v>
      </c>
      <c r="C7" s="302"/>
      <c r="D7" s="302">
        <v>1059995.05</v>
      </c>
    </row>
    <row r="8" spans="1:4" x14ac:dyDescent="0.25">
      <c r="A8" s="12" t="s">
        <v>82</v>
      </c>
      <c r="B8" s="12" t="s">
        <v>1335</v>
      </c>
      <c r="C8" s="302">
        <v>7067503.21</v>
      </c>
      <c r="D8" s="302"/>
    </row>
    <row r="9" spans="1:4" x14ac:dyDescent="0.25">
      <c r="A9" s="12" t="s">
        <v>1496</v>
      </c>
      <c r="B9" s="12" t="s">
        <v>1497</v>
      </c>
      <c r="C9" s="302">
        <v>394.1</v>
      </c>
      <c r="D9" s="302"/>
    </row>
    <row r="10" spans="1:4" x14ac:dyDescent="0.25">
      <c r="A10" s="12" t="s">
        <v>1546</v>
      </c>
      <c r="B10" s="12" t="s">
        <v>1547</v>
      </c>
      <c r="C10" s="302">
        <v>4133.1000000000004</v>
      </c>
      <c r="D10" s="302">
        <v>4133.1000000000004</v>
      </c>
    </row>
    <row r="11" spans="1:4" x14ac:dyDescent="0.25">
      <c r="A11" s="12" t="s">
        <v>1548</v>
      </c>
      <c r="B11" s="12" t="s">
        <v>1551</v>
      </c>
      <c r="C11" s="302">
        <v>317429.65999999997</v>
      </c>
      <c r="D11" s="302">
        <v>317429.65999999997</v>
      </c>
    </row>
    <row r="12" spans="1:4" x14ac:dyDescent="0.25">
      <c r="A12" s="12" t="s">
        <v>1550</v>
      </c>
      <c r="B12" s="12" t="s">
        <v>1553</v>
      </c>
      <c r="C12" s="302">
        <v>126205.42</v>
      </c>
      <c r="D12" s="302">
        <v>126205.42</v>
      </c>
    </row>
    <row r="13" spans="1:4" x14ac:dyDescent="0.25">
      <c r="A13" s="12" t="s">
        <v>1554</v>
      </c>
      <c r="B13" s="12" t="s">
        <v>1555</v>
      </c>
      <c r="C13" s="302">
        <v>1253.42</v>
      </c>
      <c r="D13" s="302">
        <v>1253.42</v>
      </c>
    </row>
    <row r="14" spans="1:4" x14ac:dyDescent="0.25">
      <c r="A14" s="12" t="s">
        <v>1440</v>
      </c>
      <c r="B14" s="12" t="s">
        <v>1340</v>
      </c>
      <c r="C14" s="302">
        <v>7150.41</v>
      </c>
      <c r="D14" s="302">
        <v>7150.41</v>
      </c>
    </row>
    <row r="15" spans="1:4" x14ac:dyDescent="0.25">
      <c r="A15" s="12" t="s">
        <v>1444</v>
      </c>
      <c r="B15" s="12" t="s">
        <v>1345</v>
      </c>
      <c r="C15" s="302">
        <v>1588.98</v>
      </c>
      <c r="D15" s="302">
        <v>1588.98</v>
      </c>
    </row>
    <row r="16" spans="1:4" x14ac:dyDescent="0.25">
      <c r="A16" s="12" t="s">
        <v>1508</v>
      </c>
      <c r="B16" s="12" t="s">
        <v>1509</v>
      </c>
      <c r="C16" s="302">
        <v>4000</v>
      </c>
      <c r="D16" s="302">
        <v>4000</v>
      </c>
    </row>
    <row r="17" spans="1:11" x14ac:dyDescent="0.25">
      <c r="A17" s="12" t="s">
        <v>112</v>
      </c>
      <c r="B17" s="12" t="s">
        <v>1348</v>
      </c>
      <c r="C17" s="302">
        <v>1588.98</v>
      </c>
      <c r="D17" s="302">
        <v>1588.98</v>
      </c>
      <c r="K17" s="826"/>
    </row>
    <row r="18" spans="1:11" x14ac:dyDescent="0.25">
      <c r="A18" s="12" t="s">
        <v>115</v>
      </c>
      <c r="B18" s="12" t="s">
        <v>1350</v>
      </c>
      <c r="C18" s="302"/>
      <c r="D18" s="302">
        <v>706750.33</v>
      </c>
    </row>
    <row r="19" spans="1:11" x14ac:dyDescent="0.25">
      <c r="A19" s="12" t="s">
        <v>117</v>
      </c>
      <c r="B19" s="12" t="s">
        <v>138</v>
      </c>
      <c r="C19" s="302">
        <v>6381.66</v>
      </c>
      <c r="D19" s="302">
        <v>6381.66</v>
      </c>
    </row>
    <row r="20" spans="1:11" x14ac:dyDescent="0.25">
      <c r="A20" s="12" t="s">
        <v>162</v>
      </c>
      <c r="B20" s="12" t="s">
        <v>1374</v>
      </c>
      <c r="C20" s="302">
        <v>79449</v>
      </c>
      <c r="D20" s="302"/>
    </row>
    <row r="21" spans="1:11" x14ac:dyDescent="0.25">
      <c r="A21" s="12" t="s">
        <v>164</v>
      </c>
      <c r="B21" s="12" t="s">
        <v>1578</v>
      </c>
      <c r="C21" s="302">
        <v>6000</v>
      </c>
      <c r="D21" s="302"/>
    </row>
    <row r="22" spans="1:11" x14ac:dyDescent="0.25">
      <c r="A22" s="12" t="s">
        <v>171</v>
      </c>
      <c r="B22" s="12" t="s">
        <v>204</v>
      </c>
      <c r="C22" s="302">
        <v>15000</v>
      </c>
      <c r="D22" s="302"/>
    </row>
    <row r="23" spans="1:11" x14ac:dyDescent="0.25">
      <c r="A23" s="12" t="s">
        <v>170</v>
      </c>
      <c r="B23" s="12" t="s">
        <v>1377</v>
      </c>
      <c r="C23" s="302">
        <v>60000</v>
      </c>
      <c r="D23" s="302"/>
    </row>
    <row r="24" spans="1:11" x14ac:dyDescent="0.25">
      <c r="A24" s="12" t="s">
        <v>175</v>
      </c>
      <c r="B24" s="12" t="s">
        <v>1206</v>
      </c>
      <c r="C24" s="302">
        <v>9533.8799999999992</v>
      </c>
      <c r="D24" s="302"/>
    </row>
    <row r="25" spans="1:11" x14ac:dyDescent="0.25">
      <c r="A25" s="12" t="s">
        <v>176</v>
      </c>
      <c r="B25" s="12" t="s">
        <v>1379</v>
      </c>
      <c r="C25" s="302">
        <v>300</v>
      </c>
      <c r="D25" s="302"/>
    </row>
    <row r="26" spans="1:11" x14ac:dyDescent="0.25">
      <c r="A26" s="12" t="s">
        <v>178</v>
      </c>
      <c r="B26" s="12" t="s">
        <v>1207</v>
      </c>
      <c r="C26" s="302">
        <v>300</v>
      </c>
      <c r="D26" s="302"/>
    </row>
    <row r="27" spans="1:11" x14ac:dyDescent="0.25">
      <c r="A27" s="12" t="s">
        <v>223</v>
      </c>
      <c r="B27" s="12" t="s">
        <v>1381</v>
      </c>
      <c r="C27" s="302">
        <v>5610</v>
      </c>
      <c r="D27" s="302"/>
    </row>
    <row r="28" spans="1:11" x14ac:dyDescent="0.25">
      <c r="A28" s="12" t="s">
        <v>224</v>
      </c>
      <c r="B28" s="12" t="s">
        <v>285</v>
      </c>
      <c r="C28" s="302">
        <v>1588.98</v>
      </c>
      <c r="D28" s="302"/>
    </row>
    <row r="29" spans="1:11" x14ac:dyDescent="0.25">
      <c r="A29" s="12" t="s">
        <v>229</v>
      </c>
      <c r="B29" s="12" t="s">
        <v>1209</v>
      </c>
      <c r="C29" s="302">
        <v>42921.19</v>
      </c>
      <c r="D29" s="302"/>
    </row>
    <row r="30" spans="1:11" x14ac:dyDescent="0.25">
      <c r="A30" s="12" t="s">
        <v>231</v>
      </c>
      <c r="B30" s="12" t="s">
        <v>1211</v>
      </c>
      <c r="C30" s="302">
        <v>13480</v>
      </c>
      <c r="D30" s="302"/>
    </row>
    <row r="31" spans="1:11" x14ac:dyDescent="0.25">
      <c r="A31" s="12" t="s">
        <v>405</v>
      </c>
      <c r="B31" s="12" t="s">
        <v>1412</v>
      </c>
      <c r="C31" s="302">
        <v>61895.68</v>
      </c>
      <c r="D31" s="302"/>
    </row>
    <row r="32" spans="1:11" x14ac:dyDescent="0.25">
      <c r="A32" s="12" t="s">
        <v>717</v>
      </c>
      <c r="B32" s="12"/>
      <c r="C32" s="302">
        <v>7877217.6699999999</v>
      </c>
      <c r="D32" s="302">
        <v>7877217.6699999999</v>
      </c>
    </row>
  </sheetData>
  <pageMargins left="0.11811023622047245" right="0.11811023622047245" top="0.74803149606299213" bottom="0.74803149606299213" header="0.31496062992125984" footer="0.31496062992125984"/>
  <pageSetup paperSize="256" scale="85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>
    <tabColor theme="9"/>
  </sheetPr>
  <dimension ref="A1:V67"/>
  <sheetViews>
    <sheetView showZeros="0" zoomScale="70" zoomScaleNormal="70" workbookViewId="0">
      <selection activeCell="S13" sqref="S13:V13"/>
    </sheetView>
  </sheetViews>
  <sheetFormatPr defaultColWidth="9" defaultRowHeight="15.75" x14ac:dyDescent="0.25"/>
  <cols>
    <col min="1" max="1" width="6" style="25" customWidth="1"/>
    <col min="2" max="3" width="2.125" style="25" customWidth="1"/>
    <col min="4" max="4" width="4.875" style="25" customWidth="1"/>
    <col min="5" max="5" width="8.125" style="25" customWidth="1"/>
    <col min="6" max="6" width="5.5" style="25" customWidth="1"/>
    <col min="7" max="7" width="0.875" style="25" customWidth="1"/>
    <col min="8" max="8" width="4.125" style="25" customWidth="1"/>
    <col min="9" max="9" width="26" style="25" customWidth="1"/>
    <col min="10" max="10" width="4.125" style="25" customWidth="1"/>
    <col min="11" max="11" width="9.5" style="25" customWidth="1"/>
    <col min="12" max="12" width="14.125" style="86" customWidth="1"/>
    <col min="13" max="13" width="4.875" style="25" customWidth="1"/>
    <col min="14" max="14" width="14.125" style="25" hidden="1" customWidth="1"/>
    <col min="15" max="15" width="13.875" style="25" hidden="1" customWidth="1"/>
    <col min="16" max="16" width="10.625" style="25" customWidth="1"/>
    <col min="17" max="17" width="2.125" style="25" customWidth="1"/>
    <col min="18" max="18" width="2.625" style="25" customWidth="1"/>
    <col min="19" max="20" width="2.125" style="25" customWidth="1"/>
    <col min="21" max="22" width="5.625" style="25" customWidth="1"/>
    <col min="23" max="16384" width="9" style="25"/>
  </cols>
  <sheetData>
    <row r="1" spans="1:22" ht="22.5" x14ac:dyDescent="0.25">
      <c r="A1" s="31" t="s">
        <v>441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3"/>
      <c r="R1" s="1053">
        <f>+P61-S61</f>
        <v>0</v>
      </c>
      <c r="S1" s="1054"/>
      <c r="T1" s="1054"/>
      <c r="U1" s="1054"/>
      <c r="V1" s="1055"/>
    </row>
    <row r="2" spans="1:22" x14ac:dyDescent="0.25">
      <c r="A2" s="34" t="s">
        <v>1642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6"/>
      <c r="R2" s="37" t="s">
        <v>443</v>
      </c>
      <c r="S2"/>
      <c r="T2" s="1056" t="s">
        <v>2103</v>
      </c>
      <c r="U2" s="1056"/>
      <c r="V2" s="1057"/>
    </row>
    <row r="3" spans="1:22" x14ac:dyDescent="0.25">
      <c r="A3" s="38" t="s">
        <v>444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6"/>
      <c r="R3" s="37" t="s">
        <v>0</v>
      </c>
      <c r="S3"/>
      <c r="T3" s="1058">
        <f>IF(T2=0,0,(LOOKUP(T2,CkDJ[JEV Number],CkDJ[Date])))</f>
        <v>44926</v>
      </c>
      <c r="U3" s="1058"/>
      <c r="V3" s="1059"/>
    </row>
    <row r="4" spans="1:22" ht="16.5" thickBot="1" x14ac:dyDescent="0.3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1"/>
      <c r="R4" s="42"/>
      <c r="S4" s="43"/>
      <c r="T4" s="43"/>
      <c r="U4" s="43"/>
      <c r="V4" s="44"/>
    </row>
    <row r="5" spans="1:22" x14ac:dyDescent="0.25">
      <c r="A5" s="45"/>
      <c r="B5" s="46"/>
      <c r="C5" s="46"/>
      <c r="D5" s="46"/>
      <c r="E5" s="46"/>
      <c r="F5" s="46"/>
      <c r="G5" s="46"/>
      <c r="H5" s="46"/>
      <c r="I5" s="46"/>
      <c r="J5" s="46"/>
      <c r="K5" s="46"/>
      <c r="L5" s="47"/>
      <c r="M5" s="46"/>
      <c r="N5" s="46"/>
      <c r="O5" s="46"/>
      <c r="P5" s="46"/>
      <c r="Q5" s="46"/>
      <c r="R5" s="46"/>
      <c r="S5" s="46"/>
      <c r="T5" s="46"/>
      <c r="U5" s="46"/>
      <c r="V5" s="48"/>
    </row>
    <row r="6" spans="1:22" x14ac:dyDescent="0.25">
      <c r="A6" s="49"/>
      <c r="B6" s="1060"/>
      <c r="C6" s="1060"/>
      <c r="D6" s="50" t="s">
        <v>445</v>
      </c>
      <c r="H6" s="132" t="s">
        <v>446</v>
      </c>
      <c r="I6" s="25" t="s">
        <v>447</v>
      </c>
      <c r="J6" s="132"/>
      <c r="K6" s="52" t="s">
        <v>448</v>
      </c>
      <c r="L6" s="52"/>
      <c r="Q6" s="1060"/>
      <c r="R6" s="1060"/>
      <c r="S6" s="50" t="s">
        <v>449</v>
      </c>
      <c r="T6" s="50"/>
      <c r="U6" s="50"/>
      <c r="V6" s="53"/>
    </row>
    <row r="7" spans="1:22" ht="16.5" thickBot="1" x14ac:dyDescent="0.3">
      <c r="A7" s="54"/>
      <c r="B7" s="55"/>
      <c r="C7" s="55"/>
      <c r="D7" s="55"/>
      <c r="E7" s="55"/>
      <c r="F7" s="55"/>
      <c r="G7" s="55"/>
      <c r="H7" s="55"/>
      <c r="I7" s="55"/>
      <c r="J7" s="55"/>
      <c r="K7" s="55"/>
      <c r="L7" s="56"/>
      <c r="M7" s="55"/>
      <c r="N7" s="55"/>
      <c r="O7" s="55"/>
      <c r="P7" s="55"/>
      <c r="Q7" s="55"/>
      <c r="R7" s="55"/>
      <c r="S7" s="55"/>
      <c r="T7" s="55"/>
      <c r="U7" s="55"/>
      <c r="V7" s="57"/>
    </row>
    <row r="8" spans="1:22" x14ac:dyDescent="0.25">
      <c r="A8" s="1061" t="s">
        <v>397</v>
      </c>
      <c r="B8" s="1062"/>
      <c r="C8" s="1062"/>
      <c r="D8" s="1063"/>
      <c r="E8" s="1070" t="s">
        <v>450</v>
      </c>
      <c r="F8" s="1070"/>
      <c r="G8" s="1070"/>
      <c r="H8" s="1070"/>
      <c r="I8" s="1070"/>
      <c r="J8" s="1070"/>
      <c r="K8" s="1070"/>
      <c r="L8" s="1070"/>
      <c r="M8" s="1070"/>
      <c r="N8" s="1070"/>
      <c r="O8" s="1070"/>
      <c r="P8" s="1070"/>
      <c r="Q8" s="1070"/>
      <c r="R8" s="1070"/>
      <c r="S8" s="1070"/>
      <c r="T8" s="1070"/>
      <c r="U8" s="1070"/>
      <c r="V8" s="1071"/>
    </row>
    <row r="9" spans="1:22" x14ac:dyDescent="0.25">
      <c r="A9" s="1064"/>
      <c r="B9" s="1065"/>
      <c r="C9" s="1065"/>
      <c r="D9" s="1066"/>
      <c r="E9" s="1072" t="s">
        <v>451</v>
      </c>
      <c r="F9" s="1072"/>
      <c r="G9" s="1072"/>
      <c r="H9" s="1072"/>
      <c r="I9" s="1072"/>
      <c r="J9" s="1072"/>
      <c r="K9" s="1074" t="s">
        <v>378</v>
      </c>
      <c r="L9" s="1074"/>
      <c r="M9" s="1072" t="s">
        <v>452</v>
      </c>
      <c r="N9" s="1075" t="s">
        <v>453</v>
      </c>
      <c r="O9" s="1076"/>
      <c r="P9" s="1076"/>
      <c r="Q9" s="1076"/>
      <c r="R9" s="1076"/>
      <c r="S9" s="1076"/>
      <c r="T9" s="1076"/>
      <c r="U9" s="1076"/>
      <c r="V9" s="1077"/>
    </row>
    <row r="10" spans="1:22" ht="16.5" customHeight="1" thickBot="1" x14ac:dyDescent="0.3">
      <c r="A10" s="1067"/>
      <c r="B10" s="1068"/>
      <c r="C10" s="1068"/>
      <c r="D10" s="1069"/>
      <c r="E10" s="1073"/>
      <c r="F10" s="1073"/>
      <c r="G10" s="1073"/>
      <c r="H10" s="1073"/>
      <c r="I10" s="1073"/>
      <c r="J10" s="1073"/>
      <c r="K10" s="58" t="s">
        <v>454</v>
      </c>
      <c r="L10" s="58" t="s">
        <v>455</v>
      </c>
      <c r="M10" s="1073"/>
      <c r="N10" s="87" t="s">
        <v>466</v>
      </c>
      <c r="O10" s="87" t="s">
        <v>467</v>
      </c>
      <c r="P10" s="1078" t="s">
        <v>1</v>
      </c>
      <c r="Q10" s="1079"/>
      <c r="R10" s="1080"/>
      <c r="S10" s="1078" t="s">
        <v>2</v>
      </c>
      <c r="T10" s="1079"/>
      <c r="U10" s="1079"/>
      <c r="V10" s="1081"/>
    </row>
    <row r="11" spans="1:22" ht="19.5" x14ac:dyDescent="0.3">
      <c r="A11" s="1082">
        <f>P61-S61</f>
        <v>0</v>
      </c>
      <c r="B11" s="1083"/>
      <c r="C11" s="1083"/>
      <c r="D11" s="1083"/>
      <c r="E11" s="1084" t="str">
        <f>Account!$G$1</f>
        <v>FUND 501 CARP</v>
      </c>
      <c r="F11" s="1085"/>
      <c r="G11" s="1085"/>
      <c r="H11" s="1085"/>
      <c r="I11" s="1085"/>
      <c r="J11" s="1086"/>
      <c r="K11" s="59"/>
      <c r="L11" s="59"/>
      <c r="M11" s="60"/>
      <c r="N11" s="60"/>
      <c r="O11" s="60"/>
      <c r="P11" s="1087"/>
      <c r="Q11" s="1087"/>
      <c r="R11" s="1087"/>
      <c r="S11" s="1087"/>
      <c r="T11" s="1087"/>
      <c r="U11" s="1087"/>
      <c r="V11" s="1088"/>
    </row>
    <row r="12" spans="1:22" x14ac:dyDescent="0.25">
      <c r="A12" s="1038"/>
      <c r="B12" s="1039"/>
      <c r="C12" s="1039"/>
      <c r="D12" s="1039"/>
      <c r="E12" s="1039"/>
      <c r="F12" s="1039"/>
      <c r="G12" s="1039"/>
      <c r="H12" s="1039"/>
      <c r="I12" s="1039"/>
      <c r="J12" s="1039"/>
      <c r="K12" s="61"/>
      <c r="L12" s="61"/>
      <c r="M12" s="14"/>
      <c r="N12" s="14"/>
      <c r="O12" s="14"/>
      <c r="P12" s="1039"/>
      <c r="Q12" s="1039"/>
      <c r="R12" s="1039"/>
      <c r="S12" s="1039"/>
      <c r="T12" s="1039"/>
      <c r="U12" s="1039"/>
      <c r="V12" s="1089"/>
    </row>
    <row r="13" spans="1:22" x14ac:dyDescent="0.25">
      <c r="A13" s="1038"/>
      <c r="B13" s="1039"/>
      <c r="C13" s="1039"/>
      <c r="D13" s="1039"/>
      <c r="E13" s="1045" t="str">
        <f>IF(K13=0,0,(INDEX(AccountCodes[ACCOUNT NAME],MATCH(K13,AccountCodes[NGAS CODE],0))))</f>
        <v>Cash in Bank-Local Currency, Current Account - FO</v>
      </c>
      <c r="F13" s="1046"/>
      <c r="G13" s="1046"/>
      <c r="H13" s="1046"/>
      <c r="I13" s="1046"/>
      <c r="J13" s="1047"/>
      <c r="K13" s="983" t="s">
        <v>1566</v>
      </c>
      <c r="L13" s="62" t="str">
        <f t="array" ref="L13">IF(K13=0,0,(INDEX(AccountCodes[PPSAS CODE],MATCH(K13,AccountCodes[NGAS CODE],0))))</f>
        <v>1010202000FO</v>
      </c>
      <c r="M13" s="14"/>
      <c r="N13" s="89">
        <f t="array" ref="N13">SUM(IF((CkDJ[JEV Number]=TRIM($T$2))*(CkDJ[Account Code]=TRIM(K13)),CkDJ[Debit]))</f>
        <v>0</v>
      </c>
      <c r="O13" s="89">
        <f t="array" ref="O13">SUM(IF((CkDJ[JEV Number]=TRIM($T$2))*(CkDJ[Account Code]=TRIM(K13)),CkDJ[Credit]))</f>
        <v>5640740.6600000001</v>
      </c>
      <c r="P13" s="1111">
        <f>N13</f>
        <v>0</v>
      </c>
      <c r="Q13" s="1112"/>
      <c r="R13" s="1113"/>
      <c r="S13" s="1111">
        <f>O13</f>
        <v>5640740.6600000001</v>
      </c>
      <c r="T13" s="1112"/>
      <c r="U13" s="1112"/>
      <c r="V13" s="1114"/>
    </row>
    <row r="14" spans="1:22" x14ac:dyDescent="0.25">
      <c r="A14" s="1038"/>
      <c r="B14" s="1039"/>
      <c r="C14" s="1039"/>
      <c r="D14" s="1039"/>
      <c r="E14" s="1045" t="str">
        <f>IF(K14=0,0,(INDEX(AccountCodes[ACCOUNT NAME],MATCH(K14,AccountCodes[NGAS CODE],0))))</f>
        <v>Office Supplies Inventory</v>
      </c>
      <c r="F14" s="1046"/>
      <c r="G14" s="1046"/>
      <c r="H14" s="1046"/>
      <c r="I14" s="1046"/>
      <c r="J14" s="1047"/>
      <c r="K14" s="983" t="s">
        <v>30</v>
      </c>
      <c r="L14" s="62">
        <f t="array" ref="L14">IF(K14=0,0,(INDEX(AccountCodes[PPSAS CODE],MATCH(K14,AccountCodes[NGAS CODE],0))))</f>
        <v>1040401000</v>
      </c>
      <c r="M14" s="14"/>
      <c r="N14" s="89">
        <f t="array" ref="N14">SUM(IF((CkDJ[JEV Number]=TRIM($T$2))*(CkDJ[Account Code]=TRIM(K14)),CkDJ[Debit]))</f>
        <v>43510</v>
      </c>
      <c r="O14" s="89">
        <f t="array" ref="O14">SUM(IF((CkDJ[JEV Number]=TRIM($T$2))*(CkDJ[Account Code]=TRIM(K14)),CkDJ[Credit]))</f>
        <v>0</v>
      </c>
      <c r="P14" s="1111">
        <f t="shared" ref="P14:P28" si="0">N14</f>
        <v>43510</v>
      </c>
      <c r="Q14" s="1112"/>
      <c r="R14" s="1113"/>
      <c r="S14" s="1111">
        <f t="shared" ref="S14:S28" si="1">O14</f>
        <v>0</v>
      </c>
      <c r="T14" s="1112"/>
      <c r="U14" s="1112"/>
      <c r="V14" s="1114"/>
    </row>
    <row r="15" spans="1:22" x14ac:dyDescent="0.25">
      <c r="A15" s="1038"/>
      <c r="B15" s="1039"/>
      <c r="C15" s="1039"/>
      <c r="D15" s="1039"/>
      <c r="E15" s="1045" t="str">
        <f>IF(K15=0,0,(INDEX(AccountCodes[ACCOUNT NAME],MATCH(K15,AccountCodes[NGAS CODE],0))))</f>
        <v>Advances to Contractors</v>
      </c>
      <c r="F15" s="1046"/>
      <c r="G15" s="1046"/>
      <c r="H15" s="1046"/>
      <c r="I15" s="1046"/>
      <c r="J15" s="1047"/>
      <c r="K15" s="983" t="s">
        <v>35</v>
      </c>
      <c r="L15" s="62">
        <f t="array" ref="L15">IF(K15=0,0,(INDEX(AccountCodes[PPSAS CODE],MATCH(K15,AccountCodes[NGAS CODE],0))))</f>
        <v>1990201000</v>
      </c>
      <c r="M15" s="14"/>
      <c r="N15" s="89">
        <f t="array" ref="N15">SUM(IF((CkDJ[JEV Number]=TRIM($T$2))*(CkDJ[Account Code]=TRIM(K15)),CkDJ[Debit]))</f>
        <v>0</v>
      </c>
      <c r="O15" s="89">
        <f t="array" ref="O15">SUM(IF((CkDJ[JEV Number]=TRIM($T$2))*(CkDJ[Account Code]=TRIM(K15)),CkDJ[Credit]))</f>
        <v>1059995.05</v>
      </c>
      <c r="P15" s="1111">
        <f t="shared" si="0"/>
        <v>0</v>
      </c>
      <c r="Q15" s="1112"/>
      <c r="R15" s="1113"/>
      <c r="S15" s="1111">
        <f t="shared" si="1"/>
        <v>1059995.05</v>
      </c>
      <c r="T15" s="1112"/>
      <c r="U15" s="1112"/>
      <c r="V15" s="1114"/>
    </row>
    <row r="16" spans="1:22" x14ac:dyDescent="0.25">
      <c r="A16" s="1038"/>
      <c r="B16" s="1039"/>
      <c r="C16" s="1039"/>
      <c r="D16" s="1039"/>
      <c r="E16" s="1045" t="str">
        <f>IF(K16=0,0,(INDEX(AccountCodes[ACCOUNT NAME],MATCH(K16,AccountCodes[NGAS CODE],0))))</f>
        <v>Construction in Progress-Infrastructure Assets (Irrigation, Canals and Laterals)</v>
      </c>
      <c r="F16" s="1046"/>
      <c r="G16" s="1046"/>
      <c r="H16" s="1046"/>
      <c r="I16" s="1046"/>
      <c r="J16" s="1047"/>
      <c r="K16" s="983" t="s">
        <v>82</v>
      </c>
      <c r="L16" s="62">
        <f t="array" ref="L16">IF(K16=0,0,(INDEX(AccountCodes[PPSAS CODE],MATCH(K16,AccountCodes[NGAS CODE],0))))</f>
        <v>1069902099</v>
      </c>
      <c r="M16" s="14"/>
      <c r="N16" s="89">
        <f t="array" ref="N16">SUM(IF((CkDJ[JEV Number]=TRIM($T$2))*(CkDJ[Account Code]=TRIM(K16)),CkDJ[Debit]))</f>
        <v>7067503.21</v>
      </c>
      <c r="O16" s="89">
        <f t="array" ref="O16">SUM(IF((CkDJ[JEV Number]=TRIM($T$2))*(CkDJ[Account Code]=TRIM(K16)),CkDJ[Credit]))</f>
        <v>0</v>
      </c>
      <c r="P16" s="1111">
        <f t="shared" si="0"/>
        <v>7067503.21</v>
      </c>
      <c r="Q16" s="1112"/>
      <c r="R16" s="1113"/>
      <c r="S16" s="1111">
        <f t="shared" si="1"/>
        <v>0</v>
      </c>
      <c r="T16" s="1112"/>
      <c r="U16" s="1112"/>
      <c r="V16" s="1114"/>
    </row>
    <row r="17" spans="1:22" x14ac:dyDescent="0.25">
      <c r="A17" s="1038"/>
      <c r="B17" s="1039"/>
      <c r="C17" s="1039"/>
      <c r="D17" s="1039"/>
      <c r="E17" s="1045" t="str">
        <f>IF(K17=0,0,(INDEX(AccountCodes[ACCOUNT NAME],MATCH(K17,AccountCodes[NGAS CODE],0))))</f>
        <v>Due to the Treasurer of the Philippines</v>
      </c>
      <c r="F17" s="1046"/>
      <c r="G17" s="1046"/>
      <c r="H17" s="1046"/>
      <c r="I17" s="1046"/>
      <c r="J17" s="1047"/>
      <c r="K17" s="983" t="s">
        <v>1496</v>
      </c>
      <c r="L17" s="62">
        <f t="array" ref="L17">IF(K17=0,0,(INDEX(AccountCodes[PPSAS CODE],MATCH(K17,AccountCodes[NGAS CODE],0))))</f>
        <v>2020109000</v>
      </c>
      <c r="M17" s="14"/>
      <c r="N17" s="89">
        <f t="array" ref="N17">SUM(IF((CkDJ[JEV Number]=TRIM($T$2))*(CkDJ[Account Code]=TRIM(K17)),CkDJ[Debit]))</f>
        <v>394.1</v>
      </c>
      <c r="O17" s="89">
        <f t="array" ref="O17">SUM(IF((CkDJ[JEV Number]=TRIM($T$2))*(CkDJ[Account Code]=TRIM(K17)),CkDJ[Credit]))</f>
        <v>0</v>
      </c>
      <c r="P17" s="1111">
        <f t="shared" si="0"/>
        <v>394.1</v>
      </c>
      <c r="Q17" s="1112"/>
      <c r="R17" s="1113"/>
      <c r="S17" s="1111">
        <f t="shared" si="1"/>
        <v>0</v>
      </c>
      <c r="T17" s="1112"/>
      <c r="U17" s="1112"/>
      <c r="V17" s="1114"/>
    </row>
    <row r="18" spans="1:22" x14ac:dyDescent="0.25">
      <c r="A18" s="1038"/>
      <c r="B18" s="1039"/>
      <c r="C18" s="1039"/>
      <c r="D18" s="1039"/>
      <c r="E18" s="1045" t="str">
        <f>IF(K18=0,0,(INDEX(AccountCodes[ACCOUNT NAME],MATCH(K18,AccountCodes[NGAS CODE],0))))</f>
        <v>Due to BIR - Compensation</v>
      </c>
      <c r="F18" s="1046"/>
      <c r="G18" s="1046"/>
      <c r="H18" s="1046"/>
      <c r="I18" s="1046"/>
      <c r="J18" s="1047"/>
      <c r="K18" s="983" t="s">
        <v>1546</v>
      </c>
      <c r="L18" s="62">
        <f t="array" ref="L18">IF(K18=0,0,(INDEX(AccountCodes[PPSAS CODE],MATCH(K18,AccountCodes[NGAS CODE],0))))</f>
        <v>2020101001</v>
      </c>
      <c r="M18" s="14"/>
      <c r="N18" s="89">
        <f t="array" ref="N18">SUM(IF((CkDJ[JEV Number]=TRIM($T$2))*(CkDJ[Account Code]=TRIM(K18)),CkDJ[Debit]))</f>
        <v>4133.1000000000004</v>
      </c>
      <c r="O18" s="89">
        <f t="array" ref="O18">SUM(IF((CkDJ[JEV Number]=TRIM($T$2))*(CkDJ[Account Code]=TRIM(K18)),CkDJ[Credit]))</f>
        <v>4133.1000000000004</v>
      </c>
      <c r="P18" s="1111">
        <f t="shared" si="0"/>
        <v>4133.1000000000004</v>
      </c>
      <c r="Q18" s="1112"/>
      <c r="R18" s="1113"/>
      <c r="S18" s="1111">
        <f t="shared" si="1"/>
        <v>4133.1000000000004</v>
      </c>
      <c r="T18" s="1112"/>
      <c r="U18" s="1112"/>
      <c r="V18" s="1114"/>
    </row>
    <row r="19" spans="1:22" x14ac:dyDescent="0.25">
      <c r="A19" s="1038"/>
      <c r="B19" s="1039"/>
      <c r="C19" s="1039"/>
      <c r="D19" s="1039"/>
      <c r="E19" s="1045" t="str">
        <f>IF(K19=0,0,(INDEX(AccountCodes[ACCOUNT NAME],MATCH(K19,AccountCodes[NGAS CODE],0))))</f>
        <v>Due to BIR - 5%</v>
      </c>
      <c r="F19" s="1046"/>
      <c r="G19" s="1046"/>
      <c r="H19" s="1046"/>
      <c r="I19" s="1046"/>
      <c r="J19" s="1047"/>
      <c r="K19" s="983" t="s">
        <v>1548</v>
      </c>
      <c r="L19" s="62">
        <f t="array" ref="L19">IF(K19=0,0,(INDEX(AccountCodes[PPSAS CODE],MATCH(K19,AccountCodes[NGAS CODE],0))))</f>
        <v>2020101002</v>
      </c>
      <c r="M19" s="14"/>
      <c r="N19" s="89">
        <f t="array" ref="N19">SUM(IF((CkDJ[JEV Number]=TRIM($T$2))*(CkDJ[Account Code]=TRIM(K19)),CkDJ[Debit]))</f>
        <v>317429.65999999997</v>
      </c>
      <c r="O19" s="89">
        <f t="array" ref="O19">SUM(IF((CkDJ[JEV Number]=TRIM($T$2))*(CkDJ[Account Code]=TRIM(K19)),CkDJ[Credit]))</f>
        <v>317429.65999999997</v>
      </c>
      <c r="P19" s="1111">
        <f t="shared" si="0"/>
        <v>317429.65999999997</v>
      </c>
      <c r="Q19" s="1112"/>
      <c r="R19" s="1113"/>
      <c r="S19" s="1111">
        <f t="shared" si="1"/>
        <v>317429.65999999997</v>
      </c>
      <c r="T19" s="1112"/>
      <c r="U19" s="1112"/>
      <c r="V19" s="1114"/>
    </row>
    <row r="20" spans="1:22" x14ac:dyDescent="0.25">
      <c r="A20" s="1038"/>
      <c r="B20" s="1039"/>
      <c r="C20" s="1039"/>
      <c r="D20" s="1039"/>
      <c r="E20" s="1045" t="str">
        <f>IF(K20=0,0,(INDEX(AccountCodes[ACCOUNT NAME],MATCH(K20,AccountCodes[NGAS CODE],0))))</f>
        <v>Due to BIR - 2%</v>
      </c>
      <c r="F20" s="1046"/>
      <c r="G20" s="1046"/>
      <c r="H20" s="1046"/>
      <c r="I20" s="1046"/>
      <c r="J20" s="1047"/>
      <c r="K20" s="983" t="s">
        <v>1550</v>
      </c>
      <c r="L20" s="62">
        <f t="array" ref="L20">IF(K20=0,0,(INDEX(AccountCodes[PPSAS CODE],MATCH(K20,AccountCodes[NGAS CODE],0))))</f>
        <v>2020101004</v>
      </c>
      <c r="M20" s="14"/>
      <c r="N20" s="89">
        <f t="array" ref="N20">SUM(IF((CkDJ[JEV Number]=TRIM($T$2))*(CkDJ[Account Code]=TRIM(K20)),CkDJ[Debit]))</f>
        <v>126205.42</v>
      </c>
      <c r="O20" s="89">
        <f t="array" ref="O20">SUM(IF((CkDJ[JEV Number]=TRIM($T$2))*(CkDJ[Account Code]=TRIM(K20)),CkDJ[Credit]))</f>
        <v>126205.42</v>
      </c>
      <c r="P20" s="1111">
        <f t="shared" si="0"/>
        <v>126205.42</v>
      </c>
      <c r="Q20" s="1112"/>
      <c r="R20" s="1113"/>
      <c r="S20" s="1111">
        <f t="shared" si="1"/>
        <v>126205.42</v>
      </c>
      <c r="T20" s="1112"/>
      <c r="U20" s="1112"/>
      <c r="V20" s="1114"/>
    </row>
    <row r="21" spans="1:22" x14ac:dyDescent="0.25">
      <c r="A21" s="1038"/>
      <c r="B21" s="1039"/>
      <c r="C21" s="1039"/>
      <c r="D21" s="1039"/>
      <c r="E21" s="1045" t="str">
        <f>IF(K21=0,0,(INDEX(AccountCodes[ACCOUNT NAME],MATCH(K21,AccountCodes[NGAS CODE],0))))</f>
        <v>Due to BIR - 1%</v>
      </c>
      <c r="F21" s="1046"/>
      <c r="G21" s="1046"/>
      <c r="H21" s="1046"/>
      <c r="I21" s="1046"/>
      <c r="J21" s="1047"/>
      <c r="K21" s="983" t="s">
        <v>1554</v>
      </c>
      <c r="L21" s="62">
        <f t="array" ref="L21">IF(K21=0,0,(INDEX(AccountCodes[PPSAS CODE],MATCH(K21,AccountCodes[NGAS CODE],0))))</f>
        <v>2020101005</v>
      </c>
      <c r="M21" s="14"/>
      <c r="N21" s="89">
        <f t="array" ref="N21">SUM(IF((CkDJ[JEV Number]=TRIM($T$2))*(CkDJ[Account Code]=TRIM(K21)),CkDJ[Debit]))</f>
        <v>1253.42</v>
      </c>
      <c r="O21" s="89">
        <f t="array" ref="O21">SUM(IF((CkDJ[JEV Number]=TRIM($T$2))*(CkDJ[Account Code]=TRIM(K21)),CkDJ[Credit]))</f>
        <v>1253.42</v>
      </c>
      <c r="P21" s="1111">
        <f t="shared" si="0"/>
        <v>1253.42</v>
      </c>
      <c r="Q21" s="1112"/>
      <c r="R21" s="1113"/>
      <c r="S21" s="1111">
        <f t="shared" si="1"/>
        <v>1253.42</v>
      </c>
      <c r="T21" s="1112"/>
      <c r="U21" s="1112"/>
      <c r="V21" s="1114"/>
    </row>
    <row r="22" spans="1:22" x14ac:dyDescent="0.25">
      <c r="A22" s="1038"/>
      <c r="B22" s="1039"/>
      <c r="C22" s="1039"/>
      <c r="D22" s="1039"/>
      <c r="E22" s="1045" t="str">
        <f>IF(K22=0,0,(INDEX(AccountCodes[ACCOUNT NAME],MATCH(K22,AccountCodes[NGAS CODE],0))))</f>
        <v>Due to GSIS - Life and Retirement Premium</v>
      </c>
      <c r="F22" s="1046"/>
      <c r="G22" s="1046"/>
      <c r="H22" s="1046"/>
      <c r="I22" s="1046"/>
      <c r="J22" s="1047"/>
      <c r="K22" s="983" t="s">
        <v>1440</v>
      </c>
      <c r="L22" s="62">
        <f t="array" ref="L22">IF(K22=0,0,(INDEX(AccountCodes[PPSAS CODE],MATCH(K22,AccountCodes[NGAS CODE],0))))</f>
        <v>2020102001</v>
      </c>
      <c r="M22" s="14"/>
      <c r="N22" s="89">
        <f t="array" ref="N22">SUM(IF((CkDJ[JEV Number]=TRIM($T$2))*(CkDJ[Account Code]=TRIM(K22)),CkDJ[Debit]))</f>
        <v>7150.41</v>
      </c>
      <c r="O22" s="89">
        <f t="array" ref="O22">SUM(IF((CkDJ[JEV Number]=TRIM($T$2))*(CkDJ[Account Code]=TRIM(K22)),CkDJ[Credit]))</f>
        <v>7150.41</v>
      </c>
      <c r="P22" s="1111">
        <f t="shared" si="0"/>
        <v>7150.41</v>
      </c>
      <c r="Q22" s="1112"/>
      <c r="R22" s="1113"/>
      <c r="S22" s="1111">
        <f t="shared" si="1"/>
        <v>7150.41</v>
      </c>
      <c r="T22" s="1112"/>
      <c r="U22" s="1112"/>
      <c r="V22" s="1114"/>
    </row>
    <row r="23" spans="1:22" x14ac:dyDescent="0.25">
      <c r="A23" s="1038"/>
      <c r="B23" s="1039"/>
      <c r="C23" s="1039"/>
      <c r="D23" s="1039"/>
      <c r="E23" s="1045" t="str">
        <f>IF(K23=0,0,(INDEX(AccountCodes[ACCOUNT NAME],MATCH(K23,AccountCodes[NGAS CODE],0))))</f>
        <v>Due to Pag-IBIG - Pag-IBIG Premium</v>
      </c>
      <c r="F23" s="1046"/>
      <c r="G23" s="1046"/>
      <c r="H23" s="1046"/>
      <c r="I23" s="1046"/>
      <c r="J23" s="1047"/>
      <c r="K23" s="983" t="s">
        <v>1444</v>
      </c>
      <c r="L23" s="62">
        <f t="array" ref="L23">IF(K23=0,0,(INDEX(AccountCodes[PPSAS CODE],MATCH(K23,AccountCodes[NGAS CODE],0))))</f>
        <v>2020103001</v>
      </c>
      <c r="M23" s="14"/>
      <c r="N23" s="89">
        <f t="array" ref="N23">SUM(IF((CkDJ[JEV Number]=TRIM($T$2))*(CkDJ[Account Code]=TRIM(K23)),CkDJ[Debit]))</f>
        <v>1588.98</v>
      </c>
      <c r="O23" s="89">
        <f t="array" ref="O23">SUM(IF((CkDJ[JEV Number]=TRIM($T$2))*(CkDJ[Account Code]=TRIM(K23)),CkDJ[Credit]))</f>
        <v>1588.98</v>
      </c>
      <c r="P23" s="1111">
        <f t="shared" si="0"/>
        <v>1588.98</v>
      </c>
      <c r="Q23" s="1112"/>
      <c r="R23" s="1113"/>
      <c r="S23" s="1111">
        <f t="shared" si="1"/>
        <v>1588.98</v>
      </c>
      <c r="T23" s="1112"/>
      <c r="U23" s="1112"/>
      <c r="V23" s="1114"/>
    </row>
    <row r="24" spans="1:22" x14ac:dyDescent="0.25">
      <c r="A24" s="1038"/>
      <c r="B24" s="1039"/>
      <c r="C24" s="1039"/>
      <c r="D24" s="1039"/>
      <c r="E24" s="1045" t="str">
        <f>IF(K24=0,0,(INDEX(AccountCodes[ACCOUNT NAME],MATCH(K24,AccountCodes[NGAS CODE],0))))</f>
        <v>Due to Pag-IBIG - MP2</v>
      </c>
      <c r="F24" s="1046"/>
      <c r="G24" s="1046"/>
      <c r="H24" s="1046"/>
      <c r="I24" s="1046"/>
      <c r="J24" s="1047"/>
      <c r="K24" s="983" t="s">
        <v>1508</v>
      </c>
      <c r="L24" s="62">
        <f t="array" ref="L24">IF(K24=0,0,(INDEX(AccountCodes[PPSAS CODE],MATCH(K24,AccountCodes[NGAS CODE],0))))</f>
        <v>2020103005</v>
      </c>
      <c r="M24" s="14"/>
      <c r="N24" s="89">
        <f t="array" ref="N24">SUM(IF((CkDJ[JEV Number]=TRIM($T$2))*(CkDJ[Account Code]=TRIM(K24)),CkDJ[Debit]))</f>
        <v>4000</v>
      </c>
      <c r="O24" s="89">
        <f t="array" ref="O24">SUM(IF((CkDJ[JEV Number]=TRIM($T$2))*(CkDJ[Account Code]=TRIM(K24)),CkDJ[Credit]))</f>
        <v>4000</v>
      </c>
      <c r="P24" s="1111">
        <f t="shared" si="0"/>
        <v>4000</v>
      </c>
      <c r="Q24" s="1112"/>
      <c r="R24" s="1113"/>
      <c r="S24" s="1111">
        <f t="shared" si="1"/>
        <v>4000</v>
      </c>
      <c r="T24" s="1112"/>
      <c r="U24" s="1112"/>
      <c r="V24" s="1114"/>
    </row>
    <row r="25" spans="1:22" x14ac:dyDescent="0.25">
      <c r="A25" s="1038"/>
      <c r="B25" s="1039"/>
      <c r="C25" s="1039"/>
      <c r="D25" s="1039"/>
      <c r="E25" s="1045" t="str">
        <f>IF(K25=0,0,(INDEX(AccountCodes[ACCOUNT NAME],MATCH(K25,AccountCodes[NGAS CODE],0))))</f>
        <v>Due to PhilHealth</v>
      </c>
      <c r="F25" s="1046"/>
      <c r="G25" s="1046"/>
      <c r="H25" s="1046"/>
      <c r="I25" s="1046"/>
      <c r="J25" s="1047"/>
      <c r="K25" s="983" t="s">
        <v>112</v>
      </c>
      <c r="L25" s="62">
        <f t="array" ref="L25">IF(K25=0,0,(INDEX(AccountCodes[PPSAS CODE],MATCH(K25,AccountCodes[NGAS CODE],0))))</f>
        <v>2020104000</v>
      </c>
      <c r="M25" s="14"/>
      <c r="N25" s="89">
        <f t="array" ref="N25">SUM(IF((CkDJ[JEV Number]=TRIM($T$2))*(CkDJ[Account Code]=TRIM(K25)),CkDJ[Debit]))</f>
        <v>1588.98</v>
      </c>
      <c r="O25" s="89">
        <f t="array" ref="O25">SUM(IF((CkDJ[JEV Number]=TRIM($T$2))*(CkDJ[Account Code]=TRIM(K25)),CkDJ[Credit]))</f>
        <v>1588.98</v>
      </c>
      <c r="P25" s="1111">
        <f t="shared" si="0"/>
        <v>1588.98</v>
      </c>
      <c r="Q25" s="1112"/>
      <c r="R25" s="1113"/>
      <c r="S25" s="1111">
        <f t="shared" si="1"/>
        <v>1588.98</v>
      </c>
      <c r="T25" s="1112"/>
      <c r="U25" s="1112"/>
      <c r="V25" s="1114"/>
    </row>
    <row r="26" spans="1:22" x14ac:dyDescent="0.25">
      <c r="A26" s="1038"/>
      <c r="B26" s="1039"/>
      <c r="C26" s="1039"/>
      <c r="D26" s="1039"/>
      <c r="E26" s="1045" t="str">
        <f>IF(K26=0,0,(INDEX(AccountCodes[ACCOUNT NAME],MATCH(K26,AccountCodes[NGAS CODE],0))))</f>
        <v>Guaranty/Security Deposits Payable</v>
      </c>
      <c r="F26" s="1046"/>
      <c r="G26" s="1046"/>
      <c r="H26" s="1046"/>
      <c r="I26" s="1046"/>
      <c r="J26" s="1047"/>
      <c r="K26" s="983" t="s">
        <v>115</v>
      </c>
      <c r="L26" s="62">
        <f t="array" ref="L26">IF(K26=0,0,(INDEX(AccountCodes[PPSAS CODE],MATCH(K26,AccountCodes[NGAS CODE],0))))</f>
        <v>2040104000</v>
      </c>
      <c r="M26" s="14"/>
      <c r="N26" s="89">
        <f t="array" ref="N26">SUM(IF((CkDJ[JEV Number]=TRIM($T$2))*(CkDJ[Account Code]=TRIM(K26)),CkDJ[Debit]))</f>
        <v>0</v>
      </c>
      <c r="O26" s="89">
        <f t="array" ref="O26">SUM(IF((CkDJ[JEV Number]=TRIM($T$2))*(CkDJ[Account Code]=TRIM(K26)),CkDJ[Credit]))</f>
        <v>706750.33</v>
      </c>
      <c r="P26" s="1111">
        <f t="shared" si="0"/>
        <v>0</v>
      </c>
      <c r="Q26" s="1112"/>
      <c r="R26" s="1113"/>
      <c r="S26" s="1111">
        <f t="shared" si="1"/>
        <v>706750.33</v>
      </c>
      <c r="T26" s="1112"/>
      <c r="U26" s="1112"/>
      <c r="V26" s="1114"/>
    </row>
    <row r="27" spans="1:22" x14ac:dyDescent="0.25">
      <c r="A27" s="1038"/>
      <c r="B27" s="1039"/>
      <c r="C27" s="1039"/>
      <c r="D27" s="1039"/>
      <c r="E27" s="1045" t="str">
        <f>IF(K27=0,0,(INDEX(AccountCodes[ACCOUNT NAME],MATCH(K27,AccountCodes[NGAS CODE],0))))</f>
        <v>Other Payables</v>
      </c>
      <c r="F27" s="1046"/>
      <c r="G27" s="1046"/>
      <c r="H27" s="1046"/>
      <c r="I27" s="1046"/>
      <c r="J27" s="1047"/>
      <c r="K27" s="983" t="s">
        <v>117</v>
      </c>
      <c r="L27" s="62">
        <f t="array" ref="L27">IF(K27=0,0,(INDEX(AccountCodes[PPSAS CODE],MATCH(K27,AccountCodes[NGAS CODE],0))))</f>
        <v>2999999000</v>
      </c>
      <c r="M27" s="14"/>
      <c r="N27" s="89">
        <f t="array" ref="N27">SUM(IF((CkDJ[JEV Number]=TRIM($T$2))*(CkDJ[Account Code]=TRIM(K27)),CkDJ[Debit]))</f>
        <v>6381.66</v>
      </c>
      <c r="O27" s="89">
        <f t="array" ref="O27">SUM(IF((CkDJ[JEV Number]=TRIM($T$2))*(CkDJ[Account Code]=TRIM(K27)),CkDJ[Credit]))</f>
        <v>6381.66</v>
      </c>
      <c r="P27" s="1111">
        <f t="shared" si="0"/>
        <v>6381.66</v>
      </c>
      <c r="Q27" s="1112"/>
      <c r="R27" s="1113"/>
      <c r="S27" s="1111">
        <f t="shared" si="1"/>
        <v>6381.66</v>
      </c>
      <c r="T27" s="1112"/>
      <c r="U27" s="1112"/>
      <c r="V27" s="1114"/>
    </row>
    <row r="28" spans="1:22" x14ac:dyDescent="0.25">
      <c r="A28" s="1038"/>
      <c r="B28" s="1039"/>
      <c r="C28" s="1039"/>
      <c r="D28" s="1039"/>
      <c r="E28" s="1045" t="str">
        <f>IF(K28=0,0,(INDEX(AccountCodes[ACCOUNT NAME],MATCH(K28,AccountCodes[NGAS CODE],0))))</f>
        <v>Salaries and Wages-Regular</v>
      </c>
      <c r="F28" s="1046"/>
      <c r="G28" s="1046"/>
      <c r="H28" s="1046"/>
      <c r="I28" s="1046"/>
      <c r="J28" s="1047"/>
      <c r="K28" s="968" t="s">
        <v>162</v>
      </c>
      <c r="L28" s="62">
        <f t="array" ref="L28">IF(K28=0,0,(INDEX(AccountCodes[PPSAS CODE],MATCH(K28,AccountCodes[NGAS CODE],0))))</f>
        <v>5010101000</v>
      </c>
      <c r="M28" s="14"/>
      <c r="N28" s="89">
        <f t="array" ref="N28">SUM(IF((CkDJ[JEV Number]=TRIM($T$2))*(CkDJ[Account Code]=TRIM(K28)),CkDJ[Debit]))</f>
        <v>79449</v>
      </c>
      <c r="O28" s="89">
        <f t="array" ref="O28">SUM(IF((CkDJ[JEV Number]=TRIM($T$2))*(CkDJ[Account Code]=TRIM(K28)),CkDJ[Credit]))</f>
        <v>0</v>
      </c>
      <c r="P28" s="1111">
        <f t="shared" si="0"/>
        <v>79449</v>
      </c>
      <c r="Q28" s="1112"/>
      <c r="R28" s="1113"/>
      <c r="S28" s="1111">
        <f t="shared" si="1"/>
        <v>0</v>
      </c>
      <c r="T28" s="1112"/>
      <c r="U28" s="1112"/>
      <c r="V28" s="1114"/>
    </row>
    <row r="29" spans="1:22" x14ac:dyDescent="0.25">
      <c r="A29" s="1038"/>
      <c r="B29" s="1039"/>
      <c r="C29" s="1039"/>
      <c r="D29" s="1039"/>
      <c r="E29" s="1045" t="str">
        <f>IF(K29=0,0,(INDEX(AccountCodes[ACCOUNT NAME],MATCH(K29,AccountCodes[NGAS CODE],0))))</f>
        <v>Personal Economic Relief Allowance (PERA)</v>
      </c>
      <c r="F29" s="1046"/>
      <c r="G29" s="1046"/>
      <c r="H29" s="1046"/>
      <c r="I29" s="1046"/>
      <c r="J29" s="1047"/>
      <c r="K29" s="871" t="s">
        <v>164</v>
      </c>
      <c r="L29" s="62">
        <f t="array" ref="L29">IF(K29=0,0,(INDEX(AccountCodes[PPSAS CODE],MATCH(K29,AccountCodes[NGAS CODE],0))))</f>
        <v>5010201000</v>
      </c>
      <c r="M29" s="14"/>
      <c r="N29" s="89">
        <f t="array" ref="N29">SUM(IF((CkDJ[JEV Number]=TRIM($T$2))*(CkDJ[Account Code]=TRIM(K29)),CkDJ[Debit]))</f>
        <v>6000</v>
      </c>
      <c r="O29" s="89">
        <f t="array" ref="O29">SUM(IF((CkDJ[JEV Number]=TRIM($T$2))*(CkDJ[Account Code]=TRIM(K29)),CkDJ[Credit]))</f>
        <v>0</v>
      </c>
      <c r="P29" s="1040">
        <f t="shared" ref="P29:P33" si="2">N29</f>
        <v>6000</v>
      </c>
      <c r="Q29" s="1040"/>
      <c r="R29" s="1040"/>
      <c r="S29" s="1040">
        <f t="shared" ref="S29:S32" si="3">O29</f>
        <v>0</v>
      </c>
      <c r="T29" s="1040"/>
      <c r="U29" s="1040"/>
      <c r="V29" s="1041"/>
    </row>
    <row r="30" spans="1:22" x14ac:dyDescent="0.25">
      <c r="A30" s="1038"/>
      <c r="B30" s="1039"/>
      <c r="C30" s="1039"/>
      <c r="D30" s="1039"/>
      <c r="E30" s="1045" t="str">
        <f>IF(K30=0,0,(INDEX(AccountCodes[ACCOUNT NAME],MATCH(K30,AccountCodes[NGAS CODE],0))))</f>
        <v>Productivity Incentive Allowance</v>
      </c>
      <c r="F30" s="1046"/>
      <c r="G30" s="1046"/>
      <c r="H30" s="1046"/>
      <c r="I30" s="1046"/>
      <c r="J30" s="1047"/>
      <c r="K30" s="871" t="s">
        <v>171</v>
      </c>
      <c r="L30" s="62">
        <f t="array" ref="L30">IF(K30=0,0,(INDEX(AccountCodes[PPSAS CODE],MATCH(K30,AccountCodes[NGAS CODE],0))))</f>
        <v>5010208000</v>
      </c>
      <c r="M30" s="14"/>
      <c r="N30" s="89">
        <f t="array" ref="N30">SUM(IF((CkDJ[JEV Number]=TRIM($T$2))*(CkDJ[Account Code]=TRIM(K30)),CkDJ[Debit]))</f>
        <v>15000</v>
      </c>
      <c r="O30" s="89">
        <f t="array" ref="O30">SUM(IF((CkDJ[JEV Number]=TRIM($T$2))*(CkDJ[Account Code]=TRIM(K30)),CkDJ[Credit]))</f>
        <v>0</v>
      </c>
      <c r="P30" s="1040">
        <f>N30</f>
        <v>15000</v>
      </c>
      <c r="Q30" s="1040"/>
      <c r="R30" s="1040"/>
      <c r="S30" s="1040">
        <f t="shared" si="3"/>
        <v>0</v>
      </c>
      <c r="T30" s="1040"/>
      <c r="U30" s="1040"/>
      <c r="V30" s="1041"/>
    </row>
    <row r="31" spans="1:22" x14ac:dyDescent="0.25">
      <c r="A31" s="1038"/>
      <c r="B31" s="1039"/>
      <c r="C31" s="1039"/>
      <c r="D31" s="1039"/>
      <c r="E31" s="1045" t="str">
        <f>IF(K31=0,0,(INDEX(AccountCodes[ACCOUNT NAME],MATCH(K31,AccountCodes[NGAS CODE],0))))</f>
        <v>Other Bonuses and Allowances - Productivity Enhancement Incentive-Civilian</v>
      </c>
      <c r="F31" s="1046"/>
      <c r="G31" s="1046"/>
      <c r="H31" s="1046"/>
      <c r="I31" s="1046"/>
      <c r="J31" s="1047"/>
      <c r="K31" s="871" t="s">
        <v>170</v>
      </c>
      <c r="L31" s="62">
        <f t="array" ref="L31">IF(K31=0,0,(INDEX(AccountCodes[PPSAS CODE],MATCH(K31,AccountCodes[NGAS CODE],0))))</f>
        <v>5010299012</v>
      </c>
      <c r="M31" s="14"/>
      <c r="N31" s="89">
        <f t="array" ref="N31">SUM(IF((CkDJ[JEV Number]=TRIM($T$2))*(CkDJ[Account Code]=TRIM(K31)),CkDJ[Debit]))</f>
        <v>60000</v>
      </c>
      <c r="O31" s="89">
        <f t="array" ref="O31">SUM(IF((CkDJ[JEV Number]=TRIM($T$2))*(CkDJ[Account Code]=TRIM(K31)),CkDJ[Credit]))</f>
        <v>0</v>
      </c>
      <c r="P31" s="1040">
        <f t="shared" si="2"/>
        <v>60000</v>
      </c>
      <c r="Q31" s="1040"/>
      <c r="R31" s="1040"/>
      <c r="S31" s="1040">
        <f t="shared" si="3"/>
        <v>0</v>
      </c>
      <c r="T31" s="1040"/>
      <c r="U31" s="1040"/>
      <c r="V31" s="1041"/>
    </row>
    <row r="32" spans="1:22" x14ac:dyDescent="0.25">
      <c r="A32" s="1038"/>
      <c r="B32" s="1039"/>
      <c r="C32" s="1039"/>
      <c r="D32" s="1039"/>
      <c r="E32" s="1045" t="str">
        <f>IF(K32=0,0,(INDEX(AccountCodes[ACCOUNT NAME],MATCH(K32,AccountCodes[NGAS CODE],0))))</f>
        <v>Retirement and Life Insurance Premiums</v>
      </c>
      <c r="F32" s="1046"/>
      <c r="G32" s="1046"/>
      <c r="H32" s="1046"/>
      <c r="I32" s="1046"/>
      <c r="J32" s="1047"/>
      <c r="K32" s="871" t="s">
        <v>175</v>
      </c>
      <c r="L32" s="62">
        <f t="array" ref="L32">IF(K32=0,0,(INDEX(AccountCodes[PPSAS CODE],MATCH(K32,AccountCodes[NGAS CODE],0))))</f>
        <v>5010301000</v>
      </c>
      <c r="M32" s="14"/>
      <c r="N32" s="89">
        <f t="array" ref="N32">SUM(IF((CkDJ[JEV Number]=TRIM($T$2))*(CkDJ[Account Code]=TRIM(K32)),CkDJ[Debit]))</f>
        <v>9533.8799999999992</v>
      </c>
      <c r="O32" s="89">
        <f t="array" ref="O32">SUM(IF((CkDJ[JEV Number]=TRIM($T$2))*(CkDJ[Account Code]=TRIM(K32)),CkDJ[Credit]))</f>
        <v>0</v>
      </c>
      <c r="P32" s="1040">
        <f t="shared" si="2"/>
        <v>9533.8799999999992</v>
      </c>
      <c r="Q32" s="1040"/>
      <c r="R32" s="1040"/>
      <c r="S32" s="1040">
        <f t="shared" si="3"/>
        <v>0</v>
      </c>
      <c r="T32" s="1040"/>
      <c r="U32" s="1040"/>
      <c r="V32" s="1041"/>
    </row>
    <row r="33" spans="1:22" x14ac:dyDescent="0.25">
      <c r="A33" s="1038"/>
      <c r="B33" s="1039"/>
      <c r="C33" s="1039"/>
      <c r="D33" s="1039"/>
      <c r="E33" s="1045" t="str">
        <f>IF(K33=0,0,(INDEX(AccountCodes[ACCOUNT NAME],MATCH(K33,AccountCodes[NGAS CODE],0))))</f>
        <v>Pag-IBIG Contributions</v>
      </c>
      <c r="F33" s="1046"/>
      <c r="G33" s="1046"/>
      <c r="H33" s="1046"/>
      <c r="I33" s="1046"/>
      <c r="J33" s="1047"/>
      <c r="K33" s="877" t="s">
        <v>176</v>
      </c>
      <c r="L33" s="62">
        <f t="array" ref="L33">IF(K33=0,0,(INDEX(AccountCodes[PPSAS CODE],MATCH(K33,AccountCodes[NGAS CODE],0))))</f>
        <v>5010302000</v>
      </c>
      <c r="M33" s="14"/>
      <c r="N33" s="89">
        <f t="array" ref="N33">SUM(IF((CkDJ[JEV Number]=TRIM($T$2))*(CkDJ[Account Code]=TRIM(K33)),CkDJ[Debit]))</f>
        <v>300</v>
      </c>
      <c r="O33" s="89">
        <f t="array" ref="O33">SUM(IF((CkDJ[JEV Number]=TRIM($T$2))*(CkDJ[Account Code]=TRIM(K33)),CkDJ[Credit]))</f>
        <v>0</v>
      </c>
      <c r="P33" s="1040">
        <f t="shared" si="2"/>
        <v>300</v>
      </c>
      <c r="Q33" s="1040"/>
      <c r="R33" s="1040"/>
      <c r="S33" s="1040">
        <f>O33</f>
        <v>0</v>
      </c>
      <c r="T33" s="1040"/>
      <c r="U33" s="1040"/>
      <c r="V33" s="1041"/>
    </row>
    <row r="34" spans="1:22" x14ac:dyDescent="0.25">
      <c r="A34" s="1038"/>
      <c r="B34" s="1039"/>
      <c r="C34" s="1039"/>
      <c r="D34" s="1039"/>
      <c r="E34" s="1045" t="str">
        <f>IF(K34=0,0,(INDEX(AccountCodes[ACCOUNT NAME],MATCH(K34,AccountCodes[NGAS CODE],0))))</f>
        <v>Employees Compensation Insurance Premiums</v>
      </c>
      <c r="F34" s="1046"/>
      <c r="G34" s="1046"/>
      <c r="H34" s="1046"/>
      <c r="I34" s="1046"/>
      <c r="J34" s="1047"/>
      <c r="K34" s="875" t="s">
        <v>178</v>
      </c>
      <c r="L34" s="62">
        <f t="array" ref="L34">IF(K34=0,0,(INDEX(AccountCodes[PPSAS CODE],MATCH(K34,AccountCodes[NGAS CODE],0))))</f>
        <v>5010304000</v>
      </c>
      <c r="M34" s="14"/>
      <c r="N34" s="89">
        <f t="array" ref="N34">SUM(IF((CkDJ[JEV Number]=TRIM($T$2))*(CkDJ[Account Code]=TRIM(K34)),CkDJ[Debit]))</f>
        <v>300</v>
      </c>
      <c r="O34" s="89">
        <f t="array" ref="O34">SUM(IF((CkDJ[JEV Number]=TRIM($T$2))*(CkDJ[Account Code]=TRIM(K34)),CkDJ[Credit]))</f>
        <v>0</v>
      </c>
      <c r="P34" s="1040">
        <f t="shared" ref="P34:P55" si="4">N34</f>
        <v>300</v>
      </c>
      <c r="Q34" s="1040"/>
      <c r="R34" s="1040"/>
      <c r="S34" s="1040">
        <f t="shared" ref="S34:S55" si="5">O34</f>
        <v>0</v>
      </c>
      <c r="T34" s="1040"/>
      <c r="U34" s="1040"/>
      <c r="V34" s="1041"/>
    </row>
    <row r="35" spans="1:22" x14ac:dyDescent="0.25">
      <c r="A35" s="1038"/>
      <c r="B35" s="1039"/>
      <c r="C35" s="1039"/>
      <c r="D35" s="1039"/>
      <c r="E35" s="1045" t="str">
        <f>IF(K35=0,0,(INDEX(AccountCodes[ACCOUNT NAME],MATCH(K35,AccountCodes[NGAS CODE],0))))</f>
        <v>Traveling Expenses-Local</v>
      </c>
      <c r="F35" s="1046"/>
      <c r="G35" s="1046"/>
      <c r="H35" s="1046"/>
      <c r="I35" s="1046"/>
      <c r="J35" s="1047"/>
      <c r="K35" s="875" t="s">
        <v>223</v>
      </c>
      <c r="L35" s="62">
        <f t="array" ref="L35">IF(K35=0,0,(INDEX(AccountCodes[PPSAS CODE],MATCH(K35,AccountCodes[NGAS CODE],0))))</f>
        <v>5020101000</v>
      </c>
      <c r="M35" s="14"/>
      <c r="N35" s="89">
        <f t="array" ref="N35">SUM(IF((CkDJ[JEV Number]=TRIM($T$2))*(CkDJ[Account Code]=TRIM(K35)),CkDJ[Debit]))</f>
        <v>5610</v>
      </c>
      <c r="O35" s="89">
        <f t="array" ref="O35">SUM(IF((CkDJ[JEV Number]=TRIM($T$2))*(CkDJ[Account Code]=TRIM(K35)),CkDJ[Credit]))</f>
        <v>0</v>
      </c>
      <c r="P35" s="1040">
        <f t="shared" si="4"/>
        <v>5610</v>
      </c>
      <c r="Q35" s="1040"/>
      <c r="R35" s="1040"/>
      <c r="S35" s="1040">
        <f t="shared" si="5"/>
        <v>0</v>
      </c>
      <c r="T35" s="1040"/>
      <c r="U35" s="1040"/>
      <c r="V35" s="1041"/>
    </row>
    <row r="36" spans="1:22" x14ac:dyDescent="0.25">
      <c r="A36" s="1038"/>
      <c r="B36" s="1039"/>
      <c r="C36" s="1039"/>
      <c r="D36" s="1039"/>
      <c r="E36" s="1045" t="str">
        <f>IF(K36=0,0,(INDEX(AccountCodes[ACCOUNT NAME],MATCH(K36,AccountCodes[NGAS CODE],0))))</f>
        <v>Training Expenses</v>
      </c>
      <c r="F36" s="1046"/>
      <c r="G36" s="1046"/>
      <c r="H36" s="1046"/>
      <c r="I36" s="1046"/>
      <c r="J36" s="1047"/>
      <c r="K36" s="871" t="s">
        <v>224</v>
      </c>
      <c r="L36" s="62">
        <f t="array" ref="L36">IF(K36=0,0,(INDEX(AccountCodes[PPSAS CODE],MATCH(K36,AccountCodes[NGAS CODE],0))))</f>
        <v>5020201000</v>
      </c>
      <c r="M36" s="14"/>
      <c r="N36" s="89">
        <f t="array" ref="N36">SUM(IF((CkDJ[JEV Number]=TRIM($T$2))*(CkDJ[Account Code]=TRIM(K36)),CkDJ[Debit]))</f>
        <v>1588.98</v>
      </c>
      <c r="O36" s="89">
        <f t="array" ref="O36">SUM(IF((CkDJ[JEV Number]=TRIM($T$2))*(CkDJ[Account Code]=TRIM(K36)),CkDJ[Credit]))</f>
        <v>0</v>
      </c>
      <c r="P36" s="1040">
        <f t="shared" si="4"/>
        <v>1588.98</v>
      </c>
      <c r="Q36" s="1040"/>
      <c r="R36" s="1040"/>
      <c r="S36" s="1040">
        <f t="shared" si="5"/>
        <v>0</v>
      </c>
      <c r="T36" s="1040"/>
      <c r="U36" s="1040"/>
      <c r="V36" s="1041"/>
    </row>
    <row r="37" spans="1:22" x14ac:dyDescent="0.25">
      <c r="A37" s="1038"/>
      <c r="B37" s="1039"/>
      <c r="C37" s="1039"/>
      <c r="D37" s="1039"/>
      <c r="E37" s="1045" t="str">
        <f>IF(K37=0,0,(INDEX(AccountCodes[ACCOUNT NAME],MATCH(K37,AccountCodes[NGAS CODE],0))))</f>
        <v>Fuel, Oil and Lubricants Expenses</v>
      </c>
      <c r="F37" s="1046"/>
      <c r="G37" s="1046"/>
      <c r="H37" s="1046"/>
      <c r="I37" s="1046"/>
      <c r="J37" s="1047"/>
      <c r="K37" s="871" t="s">
        <v>229</v>
      </c>
      <c r="L37" s="62">
        <f t="array" ref="L37">IF(K37=0,0,(INDEX(AccountCodes[PPSAS CODE],MATCH(K37,AccountCodes[NGAS CODE],0))))</f>
        <v>5020309000</v>
      </c>
      <c r="M37" s="14"/>
      <c r="N37" s="89">
        <f t="array" ref="N37">SUM(IF((CkDJ[JEV Number]=TRIM($T$2))*(CkDJ[Account Code]=TRIM(K37)),CkDJ[Debit]))</f>
        <v>42921.19</v>
      </c>
      <c r="O37" s="89">
        <f t="array" ref="O37">SUM(IF((CkDJ[JEV Number]=TRIM($T$2))*(CkDJ[Account Code]=TRIM(K37)),CkDJ[Credit]))</f>
        <v>0</v>
      </c>
      <c r="P37" s="1040">
        <f t="shared" si="4"/>
        <v>42921.19</v>
      </c>
      <c r="Q37" s="1040"/>
      <c r="R37" s="1040"/>
      <c r="S37" s="1040">
        <f t="shared" si="5"/>
        <v>0</v>
      </c>
      <c r="T37" s="1040"/>
      <c r="U37" s="1040"/>
      <c r="V37" s="1041"/>
    </row>
    <row r="38" spans="1:22" x14ac:dyDescent="0.25">
      <c r="A38" s="1038"/>
      <c r="B38" s="1039"/>
      <c r="C38" s="1039"/>
      <c r="D38" s="1039"/>
      <c r="E38" s="1045" t="str">
        <f>IF(K38=0,0,(INDEX(AccountCodes[ACCOUNT NAME],MATCH(K38,AccountCodes[NGAS CODE],0))))</f>
        <v>Other Supplies and Materials Expenses</v>
      </c>
      <c r="F38" s="1046"/>
      <c r="G38" s="1046"/>
      <c r="H38" s="1046"/>
      <c r="I38" s="1046"/>
      <c r="J38" s="1047"/>
      <c r="K38" s="871" t="s">
        <v>231</v>
      </c>
      <c r="L38" s="62">
        <f t="array" ref="L38">IF(K38=0,0,(INDEX(AccountCodes[PPSAS CODE],MATCH(K38,AccountCodes[NGAS CODE],0))))</f>
        <v>5020399000</v>
      </c>
      <c r="M38" s="14"/>
      <c r="N38" s="89">
        <f t="array" ref="N38">SUM(IF((CkDJ[JEV Number]=TRIM($T$2))*(CkDJ[Account Code]=TRIM(K38)),CkDJ[Debit]))</f>
        <v>13480</v>
      </c>
      <c r="O38" s="89">
        <f t="array" ref="O38">SUM(IF((CkDJ[JEV Number]=TRIM($T$2))*(CkDJ[Account Code]=TRIM(K38)),CkDJ[Credit]))</f>
        <v>0</v>
      </c>
      <c r="P38" s="1040">
        <f t="shared" si="4"/>
        <v>13480</v>
      </c>
      <c r="Q38" s="1040"/>
      <c r="R38" s="1040"/>
      <c r="S38" s="1040">
        <f t="shared" si="5"/>
        <v>0</v>
      </c>
      <c r="T38" s="1040"/>
      <c r="U38" s="1040"/>
      <c r="V38" s="1041"/>
    </row>
    <row r="39" spans="1:22" x14ac:dyDescent="0.25">
      <c r="A39" s="1038"/>
      <c r="B39" s="1039"/>
      <c r="C39" s="1039"/>
      <c r="D39" s="1039"/>
      <c r="E39" s="1045" t="str">
        <f>IF(K39=0,0,(INDEX(AccountCodes[ACCOUNT NAME],MATCH(K39,AccountCodes[NGAS CODE],0))))</f>
        <v>Other Maintenance and Operating Expenses - Other Maintenance and Operating Expenses</v>
      </c>
      <c r="F39" s="1046"/>
      <c r="G39" s="1046"/>
      <c r="H39" s="1046"/>
      <c r="I39" s="1046"/>
      <c r="J39" s="1047"/>
      <c r="K39" s="871" t="s">
        <v>405</v>
      </c>
      <c r="L39" s="62">
        <f t="array" ref="L39">IF(K39=0,0,(INDEX(AccountCodes[PPSAS CODE],MATCH(K39,AccountCodes[NGAS CODE],0))))</f>
        <v>5029999002</v>
      </c>
      <c r="M39" s="14"/>
      <c r="N39" s="89">
        <f t="array" ref="N39">SUM(IF((CkDJ[JEV Number]=TRIM($T$2))*(CkDJ[Account Code]=TRIM(K39)),CkDJ[Debit]))</f>
        <v>61895.68</v>
      </c>
      <c r="O39" s="89">
        <f t="array" ref="O39">SUM(IF((CkDJ[JEV Number]=TRIM($T$2))*(CkDJ[Account Code]=TRIM(K39)),CkDJ[Credit]))</f>
        <v>0</v>
      </c>
      <c r="P39" s="1040">
        <f t="shared" si="4"/>
        <v>61895.68</v>
      </c>
      <c r="Q39" s="1040"/>
      <c r="R39" s="1040"/>
      <c r="S39" s="1040">
        <f t="shared" si="5"/>
        <v>0</v>
      </c>
      <c r="T39" s="1040"/>
      <c r="U39" s="1040"/>
      <c r="V39" s="1041"/>
    </row>
    <row r="40" spans="1:22" hidden="1" x14ac:dyDescent="0.25">
      <c r="A40" s="1038"/>
      <c r="B40" s="1039"/>
      <c r="C40" s="1039"/>
      <c r="D40" s="1039"/>
      <c r="E40" s="1045">
        <f>IF(K40=0,0,(INDEX(AccountCodes[ACCOUNT NAME],MATCH(K40,AccountCodes[NGAS CODE],0))))</f>
        <v>0</v>
      </c>
      <c r="F40" s="1046"/>
      <c r="G40" s="1046"/>
      <c r="H40" s="1046"/>
      <c r="I40" s="1046"/>
      <c r="J40" s="1047"/>
      <c r="K40" s="871"/>
      <c r="L40" s="62">
        <f t="array" ref="L40">IF(K40=0,0,(INDEX(AccountCodes[PPSAS CODE],MATCH(K40,AccountCodes[NGAS CODE],0))))</f>
        <v>0</v>
      </c>
      <c r="M40" s="14"/>
      <c r="N40" s="89">
        <f t="array" ref="N40">SUM(IF((CkDJ[JEV Number]=TRIM($T$2))*(CkDJ[Account Code]=TRIM(K40)),CkDJ[Debit]))</f>
        <v>0</v>
      </c>
      <c r="O40" s="89">
        <f t="array" ref="O40">SUM(IF((CkDJ[JEV Number]=TRIM($T$2))*(CkDJ[Account Code]=TRIM(K40)),CkDJ[Credit]))</f>
        <v>0</v>
      </c>
      <c r="P40" s="1040">
        <f t="shared" si="4"/>
        <v>0</v>
      </c>
      <c r="Q40" s="1040"/>
      <c r="R40" s="1040"/>
      <c r="S40" s="1040">
        <f t="shared" si="5"/>
        <v>0</v>
      </c>
      <c r="T40" s="1040"/>
      <c r="U40" s="1040"/>
      <c r="V40" s="1041"/>
    </row>
    <row r="41" spans="1:22" hidden="1" x14ac:dyDescent="0.25">
      <c r="A41" s="1038"/>
      <c r="B41" s="1039"/>
      <c r="C41" s="1039"/>
      <c r="D41" s="1039"/>
      <c r="E41" s="1045">
        <f>IF(K41=0,0,(INDEX(AccountCodes[ACCOUNT NAME],MATCH(K41,AccountCodes[NGAS CODE],0))))</f>
        <v>0</v>
      </c>
      <c r="F41" s="1046"/>
      <c r="G41" s="1046"/>
      <c r="H41" s="1046"/>
      <c r="I41" s="1046"/>
      <c r="J41" s="1047"/>
      <c r="K41" s="871"/>
      <c r="L41" s="62">
        <f t="array" ref="L41">IF(K41=0,0,(INDEX(AccountCodes[PPSAS CODE],MATCH(K41,AccountCodes[NGAS CODE],0))))</f>
        <v>0</v>
      </c>
      <c r="M41" s="14"/>
      <c r="N41" s="89">
        <f t="array" ref="N41">SUM(IF((CkDJ[JEV Number]=TRIM($T$2))*(CkDJ[Account Code]=TRIM(K41)),CkDJ[Debit]))</f>
        <v>0</v>
      </c>
      <c r="O41" s="89">
        <f t="array" ref="O41">SUM(IF((CkDJ[JEV Number]=TRIM($T$2))*(CkDJ[Account Code]=TRIM(K41)),CkDJ[Credit]))</f>
        <v>0</v>
      </c>
      <c r="P41" s="1040">
        <f t="shared" si="4"/>
        <v>0</v>
      </c>
      <c r="Q41" s="1040"/>
      <c r="R41" s="1040"/>
      <c r="S41" s="1040">
        <f t="shared" si="5"/>
        <v>0</v>
      </c>
      <c r="T41" s="1040"/>
      <c r="U41" s="1040"/>
      <c r="V41" s="1041"/>
    </row>
    <row r="42" spans="1:22" hidden="1" x14ac:dyDescent="0.25">
      <c r="A42" s="1038"/>
      <c r="B42" s="1039"/>
      <c r="C42" s="1039"/>
      <c r="D42" s="1039"/>
      <c r="E42" s="1045">
        <f>IF(K42=0,0,(INDEX(AccountCodes[ACCOUNT NAME],MATCH(K42,AccountCodes[NGAS CODE],0))))</f>
        <v>0</v>
      </c>
      <c r="F42" s="1046"/>
      <c r="G42" s="1046"/>
      <c r="H42" s="1046"/>
      <c r="I42" s="1046"/>
      <c r="J42" s="1047"/>
      <c r="K42" s="871"/>
      <c r="L42" s="62">
        <f t="array" ref="L42">IF(K42=0,0,(INDEX(AccountCodes[PPSAS CODE],MATCH(K42,AccountCodes[NGAS CODE],0))))</f>
        <v>0</v>
      </c>
      <c r="M42" s="14"/>
      <c r="N42" s="89">
        <f t="array" ref="N42">SUM(IF((CkDJ[JEV Number]=TRIM($T$2))*(CkDJ[Account Code]=TRIM(K42)),CkDJ[Debit]))</f>
        <v>0</v>
      </c>
      <c r="O42" s="89">
        <f t="array" ref="O42">SUM(IF((CkDJ[JEV Number]=TRIM($T$2))*(CkDJ[Account Code]=TRIM(K42)),CkDJ[Credit]))</f>
        <v>0</v>
      </c>
      <c r="P42" s="1040">
        <f t="shared" si="4"/>
        <v>0</v>
      </c>
      <c r="Q42" s="1040"/>
      <c r="R42" s="1040"/>
      <c r="S42" s="1040">
        <f t="shared" si="5"/>
        <v>0</v>
      </c>
      <c r="T42" s="1040"/>
      <c r="U42" s="1040"/>
      <c r="V42" s="1041"/>
    </row>
    <row r="43" spans="1:22" hidden="1" x14ac:dyDescent="0.25">
      <c r="A43" s="1038"/>
      <c r="B43" s="1039"/>
      <c r="C43" s="1039"/>
      <c r="D43" s="1039"/>
      <c r="E43" s="1045">
        <f>IF(K43=0,0,(INDEX(AccountCodes[ACCOUNT NAME],MATCH(K43,AccountCodes[NGAS CODE],0))))</f>
        <v>0</v>
      </c>
      <c r="F43" s="1046"/>
      <c r="G43" s="1046"/>
      <c r="H43" s="1046"/>
      <c r="I43" s="1046"/>
      <c r="J43" s="1047"/>
      <c r="K43" s="871"/>
      <c r="L43" s="62">
        <f t="array" ref="L43">IF(K43=0,0,(INDEX(AccountCodes[PPSAS CODE],MATCH(K43,AccountCodes[NGAS CODE],0))))</f>
        <v>0</v>
      </c>
      <c r="M43" s="14"/>
      <c r="N43" s="89">
        <f t="array" ref="N43">SUM(IF((CkDJ[JEV Number]=TRIM($T$2))*(CkDJ[Account Code]=TRIM(K43)),CkDJ[Debit]))</f>
        <v>0</v>
      </c>
      <c r="O43" s="89">
        <f t="array" ref="O43">SUM(IF((CkDJ[JEV Number]=TRIM($T$2))*(CkDJ[Account Code]=TRIM(K43)),CkDJ[Credit]))</f>
        <v>0</v>
      </c>
      <c r="P43" s="1040">
        <f t="shared" si="4"/>
        <v>0</v>
      </c>
      <c r="Q43" s="1040"/>
      <c r="R43" s="1040"/>
      <c r="S43" s="1040">
        <f t="shared" si="5"/>
        <v>0</v>
      </c>
      <c r="T43" s="1040"/>
      <c r="U43" s="1040"/>
      <c r="V43" s="1041"/>
    </row>
    <row r="44" spans="1:22" hidden="1" x14ac:dyDescent="0.25">
      <c r="A44" s="1038"/>
      <c r="B44" s="1039"/>
      <c r="C44" s="1039"/>
      <c r="D44" s="1039"/>
      <c r="E44" s="1045">
        <f>IF(K44=0,0,(INDEX(AccountCodes[ACCOUNT NAME],MATCH(K44,AccountCodes[NGAS CODE],0))))</f>
        <v>0</v>
      </c>
      <c r="F44" s="1046"/>
      <c r="G44" s="1046"/>
      <c r="H44" s="1046"/>
      <c r="I44" s="1046"/>
      <c r="J44" s="1047"/>
      <c r="K44" s="871"/>
      <c r="L44" s="62">
        <f t="array" ref="L44">IF(K44=0,0,(INDEX(AccountCodes[PPSAS CODE],MATCH(K44,AccountCodes[NGAS CODE],0))))</f>
        <v>0</v>
      </c>
      <c r="M44" s="14"/>
      <c r="N44" s="89">
        <f t="array" ref="N44">SUM(IF((CkDJ[JEV Number]=TRIM($T$2))*(CkDJ[Account Code]=TRIM(K44)),CkDJ[Debit]))</f>
        <v>0</v>
      </c>
      <c r="O44" s="89">
        <f t="array" ref="O44">SUM(IF((CkDJ[JEV Number]=TRIM($T$2))*(CkDJ[Account Code]=TRIM(K44)),CkDJ[Credit]))</f>
        <v>0</v>
      </c>
      <c r="P44" s="1040">
        <f t="shared" si="4"/>
        <v>0</v>
      </c>
      <c r="Q44" s="1040"/>
      <c r="R44" s="1040"/>
      <c r="S44" s="1040">
        <f t="shared" si="5"/>
        <v>0</v>
      </c>
      <c r="T44" s="1040"/>
      <c r="U44" s="1040"/>
      <c r="V44" s="1041"/>
    </row>
    <row r="45" spans="1:22" hidden="1" x14ac:dyDescent="0.25">
      <c r="A45" s="1038"/>
      <c r="B45" s="1039"/>
      <c r="C45" s="1039"/>
      <c r="D45" s="1039"/>
      <c r="E45" s="1045">
        <f>IF(K45=0,0,(INDEX(AccountCodes[ACCOUNT NAME],MATCH(K45,AccountCodes[NGAS CODE],0))))</f>
        <v>0</v>
      </c>
      <c r="F45" s="1046"/>
      <c r="G45" s="1046"/>
      <c r="H45" s="1046"/>
      <c r="I45" s="1046"/>
      <c r="J45" s="1047"/>
      <c r="K45" s="871"/>
      <c r="L45" s="62">
        <f t="array" ref="L45">IF(K45=0,0,(INDEX(AccountCodes[PPSAS CODE],MATCH(K45,AccountCodes[NGAS CODE],0))))</f>
        <v>0</v>
      </c>
      <c r="M45" s="14"/>
      <c r="N45" s="89">
        <f t="array" ref="N45">SUM(IF((CkDJ[JEV Number]=TRIM($T$2))*(CkDJ[Account Code]=TRIM(K45)),CkDJ[Debit]))</f>
        <v>0</v>
      </c>
      <c r="O45" s="89">
        <f t="array" ref="O45">SUM(IF((CkDJ[JEV Number]=TRIM($T$2))*(CkDJ[Account Code]=TRIM(K45)),CkDJ[Credit]))</f>
        <v>0</v>
      </c>
      <c r="P45" s="1040">
        <f t="shared" si="4"/>
        <v>0</v>
      </c>
      <c r="Q45" s="1040"/>
      <c r="R45" s="1040"/>
      <c r="S45" s="1040">
        <f t="shared" si="5"/>
        <v>0</v>
      </c>
      <c r="T45" s="1040"/>
      <c r="U45" s="1040"/>
      <c r="V45" s="1041"/>
    </row>
    <row r="46" spans="1:22" hidden="1" x14ac:dyDescent="0.25">
      <c r="A46" s="1038"/>
      <c r="B46" s="1039"/>
      <c r="C46" s="1039"/>
      <c r="D46" s="1039"/>
      <c r="E46" s="1045">
        <f>IF(K46=0,0,(INDEX(AccountCodes[ACCOUNT NAME],MATCH(K46,AccountCodes[NGAS CODE],0))))</f>
        <v>0</v>
      </c>
      <c r="F46" s="1046"/>
      <c r="G46" s="1046"/>
      <c r="H46" s="1046"/>
      <c r="I46" s="1046"/>
      <c r="J46" s="1047"/>
      <c r="K46" s="871"/>
      <c r="L46" s="62">
        <f t="array" ref="L46">IF(K46=0,0,(INDEX(AccountCodes[PPSAS CODE],MATCH(K46,AccountCodes[NGAS CODE],0))))</f>
        <v>0</v>
      </c>
      <c r="M46" s="14"/>
      <c r="N46" s="89">
        <f t="array" ref="N46">SUM(IF((CkDJ[JEV Number]=TRIM($T$2))*(CkDJ[Account Code]=TRIM(K46)),CkDJ[Debit]))</f>
        <v>0</v>
      </c>
      <c r="O46" s="89">
        <f t="array" ref="O46">SUM(IF((CkDJ[JEV Number]=TRIM($T$2))*(CkDJ[Account Code]=TRIM(K46)),CkDJ[Credit]))</f>
        <v>0</v>
      </c>
      <c r="P46" s="1040">
        <f t="shared" si="4"/>
        <v>0</v>
      </c>
      <c r="Q46" s="1040"/>
      <c r="R46" s="1040"/>
      <c r="S46" s="1040">
        <f t="shared" si="5"/>
        <v>0</v>
      </c>
      <c r="T46" s="1040"/>
      <c r="U46" s="1040"/>
      <c r="V46" s="1041"/>
    </row>
    <row r="47" spans="1:22" hidden="1" x14ac:dyDescent="0.25">
      <c r="A47" s="1038"/>
      <c r="B47" s="1039"/>
      <c r="C47" s="1039"/>
      <c r="D47" s="1039"/>
      <c r="E47" s="1045">
        <f>IF(K47=0,0,(INDEX(AccountCodes[ACCOUNT NAME],MATCH(K47,AccountCodes[NGAS CODE],0))))</f>
        <v>0</v>
      </c>
      <c r="F47" s="1046"/>
      <c r="G47" s="1046"/>
      <c r="H47" s="1046"/>
      <c r="I47" s="1046"/>
      <c r="J47" s="1047"/>
      <c r="K47" s="871"/>
      <c r="L47" s="62">
        <f t="array" ref="L47">IF(K47=0,0,(INDEX(AccountCodes[PPSAS CODE],MATCH(K47,AccountCodes[NGAS CODE],0))))</f>
        <v>0</v>
      </c>
      <c r="M47" s="14"/>
      <c r="N47" s="89">
        <f t="array" ref="N47">SUM(IF((CkDJ[JEV Number]=TRIM($T$2))*(CkDJ[Account Code]=TRIM(K47)),CkDJ[Debit]))</f>
        <v>0</v>
      </c>
      <c r="O47" s="89">
        <f t="array" ref="O47">SUM(IF((CkDJ[JEV Number]=TRIM($T$2))*(CkDJ[Account Code]=TRIM(K47)),CkDJ[Credit]))</f>
        <v>0</v>
      </c>
      <c r="P47" s="1040">
        <f t="shared" si="4"/>
        <v>0</v>
      </c>
      <c r="Q47" s="1040"/>
      <c r="R47" s="1040"/>
      <c r="S47" s="1040">
        <f t="shared" si="5"/>
        <v>0</v>
      </c>
      <c r="T47" s="1040"/>
      <c r="U47" s="1040"/>
      <c r="V47" s="1041"/>
    </row>
    <row r="48" spans="1:22" hidden="1" x14ac:dyDescent="0.25">
      <c r="A48" s="1038"/>
      <c r="B48" s="1039"/>
      <c r="C48" s="1039"/>
      <c r="D48" s="1039"/>
      <c r="E48" s="1045">
        <f>IF(K48=0,0,(INDEX(AccountCodes[ACCOUNT NAME],MATCH(K48,AccountCodes[NGAS CODE],0))))</f>
        <v>0</v>
      </c>
      <c r="F48" s="1046"/>
      <c r="G48" s="1046"/>
      <c r="H48" s="1046"/>
      <c r="I48" s="1046"/>
      <c r="J48" s="1047"/>
      <c r="K48" s="871"/>
      <c r="L48" s="62">
        <f t="array" ref="L48">IF(K48=0,0,(INDEX(AccountCodes[PPSAS CODE],MATCH(K48,AccountCodes[NGAS CODE],0))))</f>
        <v>0</v>
      </c>
      <c r="M48" s="14"/>
      <c r="N48" s="89">
        <f t="array" ref="N48">SUM(IF((CkDJ[JEV Number]=TRIM($T$2))*(CkDJ[Account Code]=TRIM(K48)),CkDJ[Debit]))</f>
        <v>0</v>
      </c>
      <c r="O48" s="89">
        <f t="array" ref="O48">SUM(IF((CkDJ[JEV Number]=TRIM($T$2))*(CkDJ[Account Code]=TRIM(K48)),CkDJ[Credit]))</f>
        <v>0</v>
      </c>
      <c r="P48" s="1040">
        <f t="shared" si="4"/>
        <v>0</v>
      </c>
      <c r="Q48" s="1040"/>
      <c r="R48" s="1040"/>
      <c r="S48" s="1040">
        <f t="shared" si="5"/>
        <v>0</v>
      </c>
      <c r="T48" s="1040"/>
      <c r="U48" s="1040"/>
      <c r="V48" s="1041"/>
    </row>
    <row r="49" spans="1:22" hidden="1" x14ac:dyDescent="0.25">
      <c r="A49" s="1038"/>
      <c r="B49" s="1039"/>
      <c r="C49" s="1039"/>
      <c r="D49" s="1039"/>
      <c r="E49" s="1045">
        <f>IF(K49=0,0,(INDEX(AccountCodes[ACCOUNT NAME],MATCH(K49,AccountCodes[NGAS CODE],0))))</f>
        <v>0</v>
      </c>
      <c r="F49" s="1046"/>
      <c r="G49" s="1046"/>
      <c r="H49" s="1046"/>
      <c r="I49" s="1046"/>
      <c r="J49" s="1047"/>
      <c r="K49" s="871"/>
      <c r="L49" s="62">
        <f t="array" ref="L49">IF(K49=0,0,(INDEX(AccountCodes[PPSAS CODE],MATCH(K49,AccountCodes[NGAS CODE],0))))</f>
        <v>0</v>
      </c>
      <c r="M49" s="14"/>
      <c r="N49" s="89">
        <f t="array" ref="N49">SUM(IF((CkDJ[JEV Number]=TRIM($T$2))*(CkDJ[Account Code]=TRIM(K49)),CkDJ[Debit]))</f>
        <v>0</v>
      </c>
      <c r="O49" s="89">
        <f t="array" ref="O49">SUM(IF((CkDJ[JEV Number]=TRIM($T$2))*(CkDJ[Account Code]=TRIM(K49)),CkDJ[Credit]))</f>
        <v>0</v>
      </c>
      <c r="P49" s="1040">
        <f t="shared" si="4"/>
        <v>0</v>
      </c>
      <c r="Q49" s="1040"/>
      <c r="R49" s="1040"/>
      <c r="S49" s="1040">
        <f t="shared" si="5"/>
        <v>0</v>
      </c>
      <c r="T49" s="1040"/>
      <c r="U49" s="1040"/>
      <c r="V49" s="1041"/>
    </row>
    <row r="50" spans="1:22" hidden="1" x14ac:dyDescent="0.25">
      <c r="A50" s="1038"/>
      <c r="B50" s="1039"/>
      <c r="C50" s="1039"/>
      <c r="D50" s="1039"/>
      <c r="E50" s="1045">
        <f>IF(K50=0,0,(INDEX(AccountCodes[ACCOUNT NAME],MATCH(K50,AccountCodes[NGAS CODE],0))))</f>
        <v>0</v>
      </c>
      <c r="F50" s="1046"/>
      <c r="G50" s="1046"/>
      <c r="H50" s="1046"/>
      <c r="I50" s="1046"/>
      <c r="J50" s="1047"/>
      <c r="K50" s="871"/>
      <c r="L50" s="62">
        <f t="array" ref="L50">IF(K50=0,0,(INDEX(AccountCodes[PPSAS CODE],MATCH(K50,AccountCodes[NGAS CODE],0))))</f>
        <v>0</v>
      </c>
      <c r="M50" s="14"/>
      <c r="N50" s="89">
        <f t="array" ref="N50">SUM(IF((CkDJ[JEV Number]=TRIM($T$2))*(CkDJ[Account Code]=TRIM(K50)),CkDJ[Debit]))</f>
        <v>0</v>
      </c>
      <c r="O50" s="89">
        <f t="array" ref="O50">SUM(IF((CkDJ[JEV Number]=TRIM($T$2))*(CkDJ[Account Code]=TRIM(K50)),CkDJ[Credit]))</f>
        <v>0</v>
      </c>
      <c r="P50" s="1040">
        <f t="shared" si="4"/>
        <v>0</v>
      </c>
      <c r="Q50" s="1040"/>
      <c r="R50" s="1040"/>
      <c r="S50" s="1040">
        <f t="shared" si="5"/>
        <v>0</v>
      </c>
      <c r="T50" s="1040"/>
      <c r="U50" s="1040"/>
      <c r="V50" s="1041"/>
    </row>
    <row r="51" spans="1:22" x14ac:dyDescent="0.25">
      <c r="A51" s="1038"/>
      <c r="B51" s="1039"/>
      <c r="C51" s="1039"/>
      <c r="D51" s="1039"/>
      <c r="E51" s="1045">
        <f>IF(K51=0,0,(INDEX(AccountCodes[ACCOUNT NAME],MATCH(K51,AccountCodes[NGAS CODE],0))))</f>
        <v>0</v>
      </c>
      <c r="F51" s="1046"/>
      <c r="G51" s="1046"/>
      <c r="H51" s="1046"/>
      <c r="I51" s="1046"/>
      <c r="J51" s="1047"/>
      <c r="K51" s="871"/>
      <c r="L51" s="62">
        <f t="array" ref="L51">IF(K51=0,0,(INDEX(AccountCodes[PPSAS CODE],MATCH(K51,AccountCodes[NGAS CODE],0))))</f>
        <v>0</v>
      </c>
      <c r="M51" s="14"/>
      <c r="N51" s="89">
        <f t="array" ref="N51">SUM(IF((CkDJ[JEV Number]=TRIM($T$2))*(CkDJ[Account Code]=TRIM(K51)),CkDJ[Debit]))</f>
        <v>0</v>
      </c>
      <c r="O51" s="89">
        <f t="array" ref="O51">SUM(IF((CkDJ[JEV Number]=TRIM($T$2))*(CkDJ[Account Code]=TRIM(K51)),CkDJ[Credit]))</f>
        <v>0</v>
      </c>
      <c r="P51" s="1040">
        <f t="shared" si="4"/>
        <v>0</v>
      </c>
      <c r="Q51" s="1040"/>
      <c r="R51" s="1040"/>
      <c r="S51" s="1040">
        <f t="shared" si="5"/>
        <v>0</v>
      </c>
      <c r="T51" s="1040"/>
      <c r="U51" s="1040"/>
      <c r="V51" s="1041"/>
    </row>
    <row r="52" spans="1:22" x14ac:dyDescent="0.25">
      <c r="A52" s="1038"/>
      <c r="B52" s="1039"/>
      <c r="C52" s="1039"/>
      <c r="D52" s="1039"/>
      <c r="E52" s="1045">
        <f>IF(K52=0,0,(INDEX(AccountCodes[ACCOUNT NAME],MATCH(K52,AccountCodes[NGAS CODE],0))))</f>
        <v>0</v>
      </c>
      <c r="F52" s="1046"/>
      <c r="G52" s="1046"/>
      <c r="H52" s="1046"/>
      <c r="I52" s="1046"/>
      <c r="J52" s="1047"/>
      <c r="K52" s="871"/>
      <c r="L52" s="62">
        <f t="array" ref="L52">IF(K52=0,0,(INDEX(AccountCodes[PPSAS CODE],MATCH(K52,AccountCodes[NGAS CODE],0))))</f>
        <v>0</v>
      </c>
      <c r="M52" s="14"/>
      <c r="N52" s="89">
        <f t="array" ref="N52">SUM(IF((CkDJ[JEV Number]=TRIM($T$2))*(CkDJ[Account Code]=TRIM(K52)),CkDJ[Debit]))</f>
        <v>0</v>
      </c>
      <c r="O52" s="89">
        <f t="array" ref="O52">SUM(IF((CkDJ[JEV Number]=TRIM($T$2))*(CkDJ[Account Code]=TRIM(K52)),CkDJ[Credit]))</f>
        <v>0</v>
      </c>
      <c r="P52" s="1040">
        <f t="shared" si="4"/>
        <v>0</v>
      </c>
      <c r="Q52" s="1040"/>
      <c r="R52" s="1040"/>
      <c r="S52" s="1040">
        <f t="shared" si="5"/>
        <v>0</v>
      </c>
      <c r="T52" s="1040"/>
      <c r="U52" s="1040"/>
      <c r="V52" s="1041"/>
    </row>
    <row r="53" spans="1:22" x14ac:dyDescent="0.25">
      <c r="A53" s="1038"/>
      <c r="B53" s="1039"/>
      <c r="C53" s="1039"/>
      <c r="D53" s="1039"/>
      <c r="E53" s="1045">
        <f>IF(K53=0,0,(INDEX(AccountCodes[ACCOUNT NAME],MATCH(K53,AccountCodes[NGAS CODE],0))))</f>
        <v>0</v>
      </c>
      <c r="F53" s="1046"/>
      <c r="G53" s="1046"/>
      <c r="H53" s="1046"/>
      <c r="I53" s="1046"/>
      <c r="J53" s="1047"/>
      <c r="K53" s="871"/>
      <c r="L53" s="62">
        <f t="array" ref="L53">IF(K53=0,0,(INDEX(AccountCodes[PPSAS CODE],MATCH(K53,AccountCodes[NGAS CODE],0))))</f>
        <v>0</v>
      </c>
      <c r="M53" s="14"/>
      <c r="N53" s="89">
        <f t="array" ref="N53">SUM(IF((CkDJ[JEV Number]=TRIM($T$2))*(CkDJ[Account Code]=TRIM(K53)),CkDJ[Debit]))</f>
        <v>0</v>
      </c>
      <c r="O53" s="89">
        <f t="array" ref="O53">SUM(IF((CkDJ[JEV Number]=TRIM($T$2))*(CkDJ[Account Code]=TRIM(K53)),CkDJ[Credit]))</f>
        <v>0</v>
      </c>
      <c r="P53" s="1040">
        <f t="shared" si="4"/>
        <v>0</v>
      </c>
      <c r="Q53" s="1040"/>
      <c r="R53" s="1040"/>
      <c r="S53" s="1040">
        <f t="shared" si="5"/>
        <v>0</v>
      </c>
      <c r="T53" s="1040"/>
      <c r="U53" s="1040"/>
      <c r="V53" s="1041"/>
    </row>
    <row r="54" spans="1:22" x14ac:dyDescent="0.25">
      <c r="A54" s="1038"/>
      <c r="B54" s="1039"/>
      <c r="C54" s="1039"/>
      <c r="D54" s="1039"/>
      <c r="E54" s="1045">
        <f>IF(K54=0,0,(INDEX(AccountCodes[ACCOUNT NAME],MATCH(K54,AccountCodes[NGAS CODE],0))))</f>
        <v>0</v>
      </c>
      <c r="F54" s="1046"/>
      <c r="G54" s="1046"/>
      <c r="H54" s="1046"/>
      <c r="I54" s="1046"/>
      <c r="J54" s="1047"/>
      <c r="K54" s="871"/>
      <c r="L54" s="62">
        <f t="array" ref="L54">IF(K54=0,0,(INDEX(AccountCodes[PPSAS CODE],MATCH(K54,AccountCodes[NGAS CODE],0))))</f>
        <v>0</v>
      </c>
      <c r="M54" s="14"/>
      <c r="N54" s="89">
        <f t="array" ref="N54">SUM(IF((CkDJ[JEV Number]=TRIM($T$2))*(CkDJ[Account Code]=TRIM(K54)),CkDJ[Debit]))</f>
        <v>0</v>
      </c>
      <c r="O54" s="89">
        <f t="array" ref="O54">SUM(IF((CkDJ[JEV Number]=TRIM($T$2))*(CkDJ[Account Code]=TRIM(K54)),CkDJ[Credit]))</f>
        <v>0</v>
      </c>
      <c r="P54" s="1040">
        <f t="shared" si="4"/>
        <v>0</v>
      </c>
      <c r="Q54" s="1040"/>
      <c r="R54" s="1040"/>
      <c r="S54" s="1040">
        <f t="shared" si="5"/>
        <v>0</v>
      </c>
      <c r="T54" s="1040"/>
      <c r="U54" s="1040"/>
      <c r="V54" s="1041"/>
    </row>
    <row r="55" spans="1:22" x14ac:dyDescent="0.25">
      <c r="A55" s="1038"/>
      <c r="B55" s="1039"/>
      <c r="C55" s="1039"/>
      <c r="D55" s="1039"/>
      <c r="E55" s="1045">
        <f>IF(K55=0,0,(INDEX(AccountCodes[ACCOUNT NAME],MATCH(K55,AccountCodes[NGAS CODE],0))))</f>
        <v>0</v>
      </c>
      <c r="F55" s="1046"/>
      <c r="G55" s="1046"/>
      <c r="H55" s="1046"/>
      <c r="I55" s="1046"/>
      <c r="J55" s="1047"/>
      <c r="K55" s="871"/>
      <c r="L55" s="62">
        <f t="array" ref="L55">IF(K55=0,0,(INDEX(AccountCodes[PPSAS CODE],MATCH(K55,AccountCodes[NGAS CODE],0))))</f>
        <v>0</v>
      </c>
      <c r="M55" s="14"/>
      <c r="N55" s="89">
        <f t="array" ref="N55">SUM(IF((CkDJ[JEV Number]=TRIM($T$2))*(CkDJ[Account Code]=TRIM(K55)),CkDJ[Debit]))</f>
        <v>0</v>
      </c>
      <c r="O55" s="89">
        <f t="array" ref="O55">SUM(IF((CkDJ[JEV Number]=TRIM($T$2))*(CkDJ[Account Code]=TRIM(K55)),CkDJ[Credit]))</f>
        <v>0</v>
      </c>
      <c r="P55" s="1040">
        <f t="shared" si="4"/>
        <v>0</v>
      </c>
      <c r="Q55" s="1040"/>
      <c r="R55" s="1040"/>
      <c r="S55" s="1040">
        <f t="shared" si="5"/>
        <v>0</v>
      </c>
      <c r="T55" s="1040"/>
      <c r="U55" s="1040"/>
      <c r="V55" s="1041"/>
    </row>
    <row r="56" spans="1:22" x14ac:dyDescent="0.25">
      <c r="A56" s="1038"/>
      <c r="B56" s="1039"/>
      <c r="C56" s="1039"/>
      <c r="D56" s="1039"/>
      <c r="E56" s="1108" t="s">
        <v>456</v>
      </c>
      <c r="F56" s="1109"/>
      <c r="G56" s="1109"/>
      <c r="H56" s="1109"/>
      <c r="I56" s="1109"/>
      <c r="J56" s="1110"/>
      <c r="K56" s="133"/>
      <c r="L56" s="62"/>
      <c r="M56" s="14"/>
      <c r="N56" s="89"/>
      <c r="O56" s="89"/>
      <c r="P56" s="1040"/>
      <c r="Q56" s="1040"/>
      <c r="R56" s="1040"/>
      <c r="S56" s="1040" t="s">
        <v>1594</v>
      </c>
      <c r="T56" s="1040"/>
      <c r="U56" s="1040"/>
      <c r="V56" s="1041"/>
    </row>
    <row r="57" spans="1:22" x14ac:dyDescent="0.25">
      <c r="A57" s="1038"/>
      <c r="B57" s="1039"/>
      <c r="C57" s="1039"/>
      <c r="D57" s="1039"/>
      <c r="E57" s="1048" t="s">
        <v>457</v>
      </c>
      <c r="F57" s="1049"/>
      <c r="G57" s="1049"/>
      <c r="H57" s="1049"/>
      <c r="I57" s="1051">
        <f>T3</f>
        <v>44926</v>
      </c>
      <c r="J57" s="1052"/>
      <c r="K57" s="133"/>
      <c r="L57" s="62"/>
      <c r="M57" s="14"/>
      <c r="N57" s="89"/>
      <c r="O57" s="89"/>
      <c r="P57" s="1040"/>
      <c r="Q57" s="1040"/>
      <c r="R57" s="1040"/>
      <c r="S57" s="1040"/>
      <c r="T57" s="1040"/>
      <c r="U57" s="1040"/>
      <c r="V57" s="1041"/>
    </row>
    <row r="58" spans="1:22" x14ac:dyDescent="0.25">
      <c r="A58" s="1038"/>
      <c r="B58" s="1039"/>
      <c r="C58" s="1039"/>
      <c r="D58" s="1039"/>
      <c r="E58" s="1048" t="s">
        <v>458</v>
      </c>
      <c r="F58" s="1049"/>
      <c r="G58" s="1049"/>
      <c r="H58" s="1049"/>
      <c r="I58" s="1106" t="str">
        <f>Account!F10</f>
        <v>Francis Carlo L. Zacarias</v>
      </c>
      <c r="J58" s="1107"/>
      <c r="K58" s="133"/>
      <c r="L58" s="62"/>
      <c r="M58" s="14"/>
      <c r="N58" s="89"/>
      <c r="O58" s="89"/>
      <c r="P58" s="1040"/>
      <c r="Q58" s="1040"/>
      <c r="R58" s="1040"/>
      <c r="S58" s="1040"/>
      <c r="T58" s="1040"/>
      <c r="U58" s="1040"/>
      <c r="V58" s="1041"/>
    </row>
    <row r="59" spans="1:22" x14ac:dyDescent="0.25">
      <c r="A59" s="1038"/>
      <c r="B59" s="1039"/>
      <c r="C59" s="1039"/>
      <c r="D59" s="1039"/>
      <c r="E59" s="1048" t="s">
        <v>459</v>
      </c>
      <c r="F59" s="1049"/>
      <c r="G59" s="1049"/>
      <c r="H59" s="1049"/>
      <c r="I59" s="1043" t="str">
        <f>Account!G10</f>
        <v>Pangasinan IMO</v>
      </c>
      <c r="J59" s="1044"/>
      <c r="K59" s="133"/>
      <c r="L59" s="62"/>
      <c r="M59" s="14"/>
      <c r="N59" s="89"/>
      <c r="O59" s="89"/>
      <c r="P59" s="1040"/>
      <c r="Q59" s="1040"/>
      <c r="R59" s="1040"/>
      <c r="S59" s="1040"/>
      <c r="T59" s="1040"/>
      <c r="U59" s="1040"/>
      <c r="V59" s="1041"/>
    </row>
    <row r="60" spans="1:22" x14ac:dyDescent="0.25">
      <c r="A60" s="1038"/>
      <c r="B60" s="1039"/>
      <c r="C60" s="1039"/>
      <c r="D60" s="1039"/>
      <c r="E60" s="1048"/>
      <c r="F60" s="1049"/>
      <c r="G60" s="1049"/>
      <c r="H60" s="1049"/>
      <c r="I60" s="1049"/>
      <c r="J60" s="1050"/>
      <c r="K60" s="133"/>
      <c r="L60" s="62"/>
      <c r="M60" s="14"/>
      <c r="N60" s="89"/>
      <c r="O60" s="89"/>
      <c r="P60" s="1040"/>
      <c r="Q60" s="1040"/>
      <c r="R60" s="1040"/>
      <c r="S60" s="1040"/>
      <c r="T60" s="1040"/>
      <c r="U60" s="1040"/>
      <c r="V60" s="1041"/>
    </row>
    <row r="61" spans="1:22" ht="16.5" thickBot="1" x14ac:dyDescent="0.3">
      <c r="A61" s="1091"/>
      <c r="B61" s="1092"/>
      <c r="C61" s="1092"/>
      <c r="D61" s="1092"/>
      <c r="E61" s="1092"/>
      <c r="F61" s="1092"/>
      <c r="G61" s="1092"/>
      <c r="H61" s="1092"/>
      <c r="I61" s="1092"/>
      <c r="J61" s="1092"/>
      <c r="K61" s="1092"/>
      <c r="L61" s="1092"/>
      <c r="M61" s="1093"/>
      <c r="N61" s="88"/>
      <c r="O61" s="88"/>
      <c r="P61" s="1094">
        <f>SUM(P11:R60)</f>
        <v>7877217.6699999999</v>
      </c>
      <c r="Q61" s="1094"/>
      <c r="R61" s="1094"/>
      <c r="S61" s="1094">
        <f>SUM(S11:V60)</f>
        <v>7877217.6699999999</v>
      </c>
      <c r="T61" s="1094"/>
      <c r="U61" s="1094"/>
      <c r="V61" s="1095"/>
    </row>
    <row r="62" spans="1:22" x14ac:dyDescent="0.25">
      <c r="A62" s="63"/>
      <c r="B62" s="64"/>
      <c r="C62" s="64"/>
      <c r="D62" s="64"/>
      <c r="E62" s="64"/>
      <c r="F62" s="64"/>
      <c r="G62" s="64"/>
      <c r="H62" s="64"/>
      <c r="I62" s="65"/>
      <c r="J62" s="64"/>
      <c r="K62" s="66"/>
      <c r="L62" s="64"/>
      <c r="M62" s="65"/>
      <c r="N62" s="64"/>
      <c r="O62" s="64"/>
      <c r="P62" s="1090"/>
      <c r="Q62" s="1090"/>
      <c r="R62" s="1090"/>
      <c r="S62" s="1090"/>
      <c r="T62" s="1090"/>
      <c r="U62" s="1090"/>
      <c r="V62" s="1096"/>
    </row>
    <row r="63" spans="1:22" x14ac:dyDescent="0.25">
      <c r="A63" s="67" t="s">
        <v>460</v>
      </c>
      <c r="B63"/>
      <c r="C63"/>
      <c r="D63"/>
      <c r="E63"/>
      <c r="F63"/>
      <c r="G63"/>
      <c r="H63"/>
      <c r="I63" s="947" t="s">
        <v>353</v>
      </c>
      <c r="J63" s="50"/>
      <c r="K63" s="50"/>
      <c r="L63" s="25"/>
      <c r="M63" s="68" t="s">
        <v>461</v>
      </c>
      <c r="N63" s="69"/>
      <c r="O63" s="69"/>
      <c r="P63" s="70"/>
      <c r="Q63" s="70"/>
      <c r="R63" s="70"/>
      <c r="S63" s="70"/>
      <c r="T63" s="70"/>
      <c r="U63" s="70"/>
      <c r="V63" s="71"/>
    </row>
    <row r="64" spans="1:22" x14ac:dyDescent="0.25">
      <c r="A64" s="37"/>
      <c r="B64"/>
      <c r="C64"/>
      <c r="D64"/>
      <c r="E64"/>
      <c r="F64"/>
      <c r="G64"/>
      <c r="H64"/>
      <c r="I64" s="948"/>
      <c r="L64" s="25"/>
      <c r="M64" s="72"/>
      <c r="N64"/>
      <c r="O64"/>
      <c r="P64"/>
      <c r="Q64"/>
      <c r="R64"/>
      <c r="S64"/>
      <c r="T64"/>
      <c r="U64"/>
      <c r="V64" s="73"/>
    </row>
    <row r="65" spans="1:22" x14ac:dyDescent="0.25">
      <c r="A65" s="1103" t="s">
        <v>1644</v>
      </c>
      <c r="B65" s="1104"/>
      <c r="C65" s="1104"/>
      <c r="D65" s="1104"/>
      <c r="E65" s="1104"/>
      <c r="F65" s="1104"/>
      <c r="G65" s="1104"/>
      <c r="H65" s="1105"/>
      <c r="I65" s="77" t="s">
        <v>1652</v>
      </c>
      <c r="J65" s="75"/>
      <c r="K65" s="75"/>
      <c r="L65" s="949"/>
      <c r="M65" s="77" t="s">
        <v>1591</v>
      </c>
      <c r="N65" s="75"/>
      <c r="O65" s="75"/>
      <c r="P65" s="75"/>
      <c r="Q65" s="75"/>
      <c r="R65" s="75"/>
      <c r="S65" s="75"/>
      <c r="T65" s="75"/>
      <c r="U65" s="75"/>
      <c r="V65" s="78"/>
    </row>
    <row r="66" spans="1:22" x14ac:dyDescent="0.25">
      <c r="A66" s="79" t="s">
        <v>1645</v>
      </c>
      <c r="B66" s="80"/>
      <c r="C66" s="80"/>
      <c r="D66" s="80"/>
      <c r="E66" s="80"/>
      <c r="F66" s="80"/>
      <c r="G66" s="80"/>
      <c r="H66" s="80"/>
      <c r="I66" s="81" t="s">
        <v>381</v>
      </c>
      <c r="J66" s="80"/>
      <c r="K66" s="80"/>
      <c r="L66" s="80"/>
      <c r="M66" s="81" t="s">
        <v>464</v>
      </c>
      <c r="N66" s="80"/>
      <c r="O66" s="80"/>
      <c r="P66" s="82"/>
      <c r="Q66" s="82"/>
      <c r="R66" s="82"/>
      <c r="S66" s="82"/>
      <c r="T66" s="82"/>
      <c r="U66" s="82"/>
      <c r="V66" s="83"/>
    </row>
    <row r="67" spans="1:22" ht="16.5" thickBot="1" x14ac:dyDescent="0.3">
      <c r="A67" s="84"/>
      <c r="B67" s="43"/>
      <c r="C67" s="43"/>
      <c r="D67" s="43"/>
      <c r="E67" s="43"/>
      <c r="F67" s="43"/>
      <c r="G67" s="43"/>
      <c r="H67" s="43"/>
      <c r="I67" s="85"/>
      <c r="J67" s="43"/>
      <c r="K67" s="43"/>
      <c r="L67" s="43"/>
      <c r="M67" s="85"/>
      <c r="N67" s="43"/>
      <c r="O67" s="43"/>
      <c r="P67" s="43"/>
      <c r="Q67" s="43"/>
      <c r="R67" s="43"/>
      <c r="S67" s="43"/>
      <c r="T67" s="43"/>
      <c r="U67" s="43"/>
      <c r="V67" s="44"/>
    </row>
  </sheetData>
  <mergeCells count="222">
    <mergeCell ref="A11:D11"/>
    <mergeCell ref="E11:J11"/>
    <mergeCell ref="P11:R11"/>
    <mergeCell ref="A14:D14"/>
    <mergeCell ref="E14:J14"/>
    <mergeCell ref="P14:R14"/>
    <mergeCell ref="S14:V14"/>
    <mergeCell ref="A15:D15"/>
    <mergeCell ref="E15:J15"/>
    <mergeCell ref="P15:R15"/>
    <mergeCell ref="S15:V15"/>
    <mergeCell ref="A12:D12"/>
    <mergeCell ref="E12:J12"/>
    <mergeCell ref="P12:R12"/>
    <mergeCell ref="S12:V12"/>
    <mergeCell ref="A13:D13"/>
    <mergeCell ref="E13:J13"/>
    <mergeCell ref="P13:R13"/>
    <mergeCell ref="S13:V13"/>
    <mergeCell ref="R1:V1"/>
    <mergeCell ref="T2:V2"/>
    <mergeCell ref="T3:V3"/>
    <mergeCell ref="B6:C6"/>
    <mergeCell ref="Q6:R6"/>
    <mergeCell ref="A8:D10"/>
    <mergeCell ref="E8:V8"/>
    <mergeCell ref="E9:J10"/>
    <mergeCell ref="K9:L9"/>
    <mergeCell ref="M9:M10"/>
    <mergeCell ref="N9:V9"/>
    <mergeCell ref="P10:R10"/>
    <mergeCell ref="S10:V10"/>
    <mergeCell ref="S19:V19"/>
    <mergeCell ref="A16:D16"/>
    <mergeCell ref="E16:J16"/>
    <mergeCell ref="P16:R16"/>
    <mergeCell ref="S16:V16"/>
    <mergeCell ref="A17:D17"/>
    <mergeCell ref="E17:J17"/>
    <mergeCell ref="P17:R17"/>
    <mergeCell ref="S17:V17"/>
    <mergeCell ref="A22:D22"/>
    <mergeCell ref="E22:J22"/>
    <mergeCell ref="P22:R22"/>
    <mergeCell ref="S22:V22"/>
    <mergeCell ref="A23:D23"/>
    <mergeCell ref="E23:J23"/>
    <mergeCell ref="P23:R23"/>
    <mergeCell ref="S23:V23"/>
    <mergeCell ref="S11:V11"/>
    <mergeCell ref="A20:D20"/>
    <mergeCell ref="E20:J20"/>
    <mergeCell ref="P20:R20"/>
    <mergeCell ref="S20:V20"/>
    <mergeCell ref="A21:D21"/>
    <mergeCell ref="E21:J21"/>
    <mergeCell ref="P21:R21"/>
    <mergeCell ref="S21:V21"/>
    <mergeCell ref="A18:D18"/>
    <mergeCell ref="E18:J18"/>
    <mergeCell ref="P18:R18"/>
    <mergeCell ref="S18:V18"/>
    <mergeCell ref="A19:D19"/>
    <mergeCell ref="E19:J19"/>
    <mergeCell ref="P19:R19"/>
    <mergeCell ref="A26:D26"/>
    <mergeCell ref="E26:J26"/>
    <mergeCell ref="P26:R26"/>
    <mergeCell ref="S26:V26"/>
    <mergeCell ref="A27:D27"/>
    <mergeCell ref="E27:J27"/>
    <mergeCell ref="P27:R27"/>
    <mergeCell ref="S27:V27"/>
    <mergeCell ref="A24:D24"/>
    <mergeCell ref="E24:J24"/>
    <mergeCell ref="P24:R24"/>
    <mergeCell ref="S24:V24"/>
    <mergeCell ref="A25:D25"/>
    <mergeCell ref="E25:J25"/>
    <mergeCell ref="P25:R25"/>
    <mergeCell ref="S25:V25"/>
    <mergeCell ref="A30:D30"/>
    <mergeCell ref="E30:J30"/>
    <mergeCell ref="P30:R30"/>
    <mergeCell ref="S30:V30"/>
    <mergeCell ref="A31:D31"/>
    <mergeCell ref="E31:J31"/>
    <mergeCell ref="P31:R31"/>
    <mergeCell ref="S31:V31"/>
    <mergeCell ref="A28:D28"/>
    <mergeCell ref="E28:J28"/>
    <mergeCell ref="P28:R28"/>
    <mergeCell ref="S28:V28"/>
    <mergeCell ref="A29:D29"/>
    <mergeCell ref="E29:J29"/>
    <mergeCell ref="P29:R29"/>
    <mergeCell ref="S29:V29"/>
    <mergeCell ref="A34:D34"/>
    <mergeCell ref="E34:J34"/>
    <mergeCell ref="P34:R34"/>
    <mergeCell ref="S34:V34"/>
    <mergeCell ref="A35:D35"/>
    <mergeCell ref="E35:J35"/>
    <mergeCell ref="P35:R35"/>
    <mergeCell ref="S35:V35"/>
    <mergeCell ref="A32:D32"/>
    <mergeCell ref="E32:J32"/>
    <mergeCell ref="P32:R32"/>
    <mergeCell ref="S32:V32"/>
    <mergeCell ref="A33:D33"/>
    <mergeCell ref="E33:J33"/>
    <mergeCell ref="P33:R33"/>
    <mergeCell ref="S33:V33"/>
    <mergeCell ref="E59:H59"/>
    <mergeCell ref="I59:J59"/>
    <mergeCell ref="P59:R59"/>
    <mergeCell ref="S59:V59"/>
    <mergeCell ref="A56:D56"/>
    <mergeCell ref="E56:J56"/>
    <mergeCell ref="P56:R56"/>
    <mergeCell ref="S56:V56"/>
    <mergeCell ref="A57:D57"/>
    <mergeCell ref="E57:H57"/>
    <mergeCell ref="I57:J57"/>
    <mergeCell ref="P57:R57"/>
    <mergeCell ref="S57:V57"/>
    <mergeCell ref="A36:D36"/>
    <mergeCell ref="E36:J36"/>
    <mergeCell ref="P36:R36"/>
    <mergeCell ref="S36:V36"/>
    <mergeCell ref="A37:D37"/>
    <mergeCell ref="E37:J37"/>
    <mergeCell ref="P37:R37"/>
    <mergeCell ref="S37:V37"/>
    <mergeCell ref="A38:D38"/>
    <mergeCell ref="E38:J38"/>
    <mergeCell ref="P38:R38"/>
    <mergeCell ref="S38:V38"/>
    <mergeCell ref="A39:D39"/>
    <mergeCell ref="E39:J39"/>
    <mergeCell ref="P39:R39"/>
    <mergeCell ref="S39:V39"/>
    <mergeCell ref="A40:D40"/>
    <mergeCell ref="E40:J40"/>
    <mergeCell ref="P40:R40"/>
    <mergeCell ref="S40:V40"/>
    <mergeCell ref="A41:D41"/>
    <mergeCell ref="E41:J41"/>
    <mergeCell ref="P41:R41"/>
    <mergeCell ref="S41:V41"/>
    <mergeCell ref="A42:D42"/>
    <mergeCell ref="E42:J42"/>
    <mergeCell ref="P42:R42"/>
    <mergeCell ref="S42:V42"/>
    <mergeCell ref="A43:D43"/>
    <mergeCell ref="E43:J43"/>
    <mergeCell ref="P43:R43"/>
    <mergeCell ref="S43:V43"/>
    <mergeCell ref="A44:D44"/>
    <mergeCell ref="E44:J44"/>
    <mergeCell ref="P44:R44"/>
    <mergeCell ref="S44:V44"/>
    <mergeCell ref="A45:D45"/>
    <mergeCell ref="E45:J45"/>
    <mergeCell ref="P45:R45"/>
    <mergeCell ref="S45:V45"/>
    <mergeCell ref="A46:D46"/>
    <mergeCell ref="E46:J46"/>
    <mergeCell ref="P46:R46"/>
    <mergeCell ref="S46:V46"/>
    <mergeCell ref="A47:D47"/>
    <mergeCell ref="E47:J47"/>
    <mergeCell ref="P47:R47"/>
    <mergeCell ref="S47:V47"/>
    <mergeCell ref="A48:D48"/>
    <mergeCell ref="E48:J48"/>
    <mergeCell ref="P48:R48"/>
    <mergeCell ref="S48:V48"/>
    <mergeCell ref="A49:D49"/>
    <mergeCell ref="E49:J49"/>
    <mergeCell ref="P49:R49"/>
    <mergeCell ref="S49:V49"/>
    <mergeCell ref="A50:D50"/>
    <mergeCell ref="E50:J50"/>
    <mergeCell ref="P50:R50"/>
    <mergeCell ref="S50:V50"/>
    <mergeCell ref="A51:D51"/>
    <mergeCell ref="E51:J51"/>
    <mergeCell ref="P51:R51"/>
    <mergeCell ref="S51:V51"/>
    <mergeCell ref="A52:D52"/>
    <mergeCell ref="E52:J52"/>
    <mergeCell ref="P52:R52"/>
    <mergeCell ref="S52:V52"/>
    <mergeCell ref="A53:D53"/>
    <mergeCell ref="E53:J53"/>
    <mergeCell ref="P53:R53"/>
    <mergeCell ref="S53:V53"/>
    <mergeCell ref="A65:H65"/>
    <mergeCell ref="A54:D54"/>
    <mergeCell ref="E54:J54"/>
    <mergeCell ref="P54:R54"/>
    <mergeCell ref="S54:V54"/>
    <mergeCell ref="A55:D55"/>
    <mergeCell ref="E55:J55"/>
    <mergeCell ref="P55:R55"/>
    <mergeCell ref="S55:V55"/>
    <mergeCell ref="P62:R62"/>
    <mergeCell ref="S62:V62"/>
    <mergeCell ref="A60:D60"/>
    <mergeCell ref="E60:J60"/>
    <mergeCell ref="P60:R60"/>
    <mergeCell ref="S60:V60"/>
    <mergeCell ref="A61:M61"/>
    <mergeCell ref="P61:R61"/>
    <mergeCell ref="S61:V61"/>
    <mergeCell ref="A58:D58"/>
    <mergeCell ref="E58:H58"/>
    <mergeCell ref="I58:J58"/>
    <mergeCell ref="P58:R58"/>
    <mergeCell ref="S58:V58"/>
    <mergeCell ref="A59:D59"/>
  </mergeCells>
  <printOptions horizontalCentered="1"/>
  <pageMargins left="0.23622047244094491" right="0.23622047244094491" top="0.74803149606299213" bottom="1.4960629921259843" header="0.31496062992125984" footer="0.31496062992125984"/>
  <pageSetup paperSize="5" scale="75" orientation="portrait" horizontalDpi="360" verticalDpi="360" r:id="rId1"/>
  <headerFooter>
    <oddFooter>&amp;L&amp;"Arial,Italic"&amp;10NIA-RO1-AFD-FS-INT-Form21Rev00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/>
  </sheetPr>
  <dimension ref="A1:R243"/>
  <sheetViews>
    <sheetView topLeftCell="A225" zoomScale="70" zoomScaleNormal="70" workbookViewId="0">
      <selection activeCell="N245" sqref="N245"/>
    </sheetView>
  </sheetViews>
  <sheetFormatPr defaultColWidth="9" defaultRowHeight="15.75" x14ac:dyDescent="0.25"/>
  <cols>
    <col min="1" max="1" width="11.875" style="526" customWidth="1"/>
    <col min="2" max="2" width="10.625" style="527" bestFit="1" customWidth="1"/>
    <col min="3" max="3" width="10.625" style="526" hidden="1" customWidth="1"/>
    <col min="4" max="6" width="9" style="526"/>
    <col min="7" max="7" width="22" style="90" customWidth="1"/>
    <col min="8" max="8" width="13.5" style="90" customWidth="1"/>
    <col min="9" max="9" width="14.875" style="90" customWidth="1"/>
    <col min="10" max="10" width="12.875" style="529" customWidth="1"/>
    <col min="11" max="11" width="14.625" style="90" customWidth="1"/>
    <col min="12" max="12" width="15.125" style="90" customWidth="1"/>
    <col min="13" max="15" width="12.625" style="90" customWidth="1"/>
    <col min="16" max="16" width="12.875" style="527" bestFit="1" customWidth="1"/>
    <col min="17" max="17" width="14.625" style="90" customWidth="1"/>
    <col min="18" max="18" width="20.125" style="90" bestFit="1" customWidth="1"/>
    <col min="19" max="20" width="9" style="90"/>
    <col min="21" max="21" width="12.25" style="90" bestFit="1" customWidth="1"/>
    <col min="22" max="16384" width="9" style="90"/>
  </cols>
  <sheetData>
    <row r="1" spans="1:18" ht="32.25" x14ac:dyDescent="0.25">
      <c r="A1" s="740" t="s">
        <v>470</v>
      </c>
      <c r="G1" s="1116" t="s">
        <v>355</v>
      </c>
      <c r="H1" s="1116"/>
      <c r="I1" s="1116"/>
      <c r="J1" s="1116"/>
      <c r="K1" s="1116"/>
      <c r="L1" s="1116"/>
      <c r="M1" s="1116"/>
      <c r="N1" s="1116"/>
      <c r="O1" s="1116"/>
      <c r="Q1" s="90" t="s">
        <v>495</v>
      </c>
    </row>
    <row r="2" spans="1:18" ht="17.25" x14ac:dyDescent="0.25">
      <c r="A2" s="740" t="s">
        <v>472</v>
      </c>
      <c r="G2" s="1117" t="s">
        <v>1538</v>
      </c>
      <c r="H2" s="1117"/>
      <c r="I2" s="1117"/>
      <c r="J2" s="1117"/>
      <c r="K2" s="1117"/>
      <c r="L2" s="1117"/>
      <c r="M2" s="1117"/>
      <c r="N2" s="1117"/>
      <c r="O2" s="1117"/>
    </row>
    <row r="3" spans="1:18" x14ac:dyDescent="0.25">
      <c r="A3" s="740"/>
      <c r="G3" s="1118" t="s">
        <v>471</v>
      </c>
      <c r="H3" s="1118"/>
      <c r="I3" s="1118"/>
      <c r="J3" s="1118"/>
      <c r="K3" s="1118"/>
      <c r="L3" s="1118"/>
      <c r="M3" s="1118"/>
      <c r="N3" s="1118"/>
      <c r="O3" s="1118"/>
    </row>
    <row r="4" spans="1:18" x14ac:dyDescent="0.25">
      <c r="A4" s="740"/>
      <c r="G4" s="1118"/>
      <c r="H4" s="1118"/>
      <c r="I4" s="1118"/>
      <c r="J4" s="1118"/>
      <c r="K4" s="1118"/>
      <c r="L4" s="1118"/>
      <c r="M4" s="1118"/>
      <c r="N4" s="1118"/>
      <c r="O4" s="1118"/>
    </row>
    <row r="5" spans="1:18" ht="17.25" x14ac:dyDescent="0.25">
      <c r="G5" s="746" t="str">
        <f>Account!$G$1</f>
        <v>FUND 501 CARP</v>
      </c>
      <c r="H5" s="747"/>
      <c r="I5" s="747"/>
      <c r="J5" s="752"/>
      <c r="K5" s="747"/>
      <c r="L5" s="747"/>
      <c r="M5" s="747"/>
      <c r="N5" s="747"/>
      <c r="O5" s="747"/>
    </row>
    <row r="6" spans="1:18" ht="17.25" x14ac:dyDescent="0.25">
      <c r="G6" s="750">
        <f>Account!$G$2</f>
        <v>44500</v>
      </c>
      <c r="H6" s="747"/>
      <c r="I6" s="747"/>
      <c r="J6" s="752"/>
      <c r="K6" s="747"/>
      <c r="L6" s="747"/>
      <c r="M6" s="747"/>
      <c r="N6" s="747"/>
      <c r="O6" s="747"/>
    </row>
    <row r="8" spans="1:18" ht="16.5" customHeight="1" x14ac:dyDescent="0.25">
      <c r="A8" s="1097" t="s">
        <v>473</v>
      </c>
      <c r="B8" s="1119" t="s">
        <v>474</v>
      </c>
      <c r="C8" s="1120" t="s">
        <v>474</v>
      </c>
      <c r="D8" s="1120" t="s">
        <v>475</v>
      </c>
      <c r="E8" s="1120" t="s">
        <v>476</v>
      </c>
      <c r="F8" s="1097"/>
      <c r="G8" s="1120" t="s">
        <v>477</v>
      </c>
      <c r="H8" s="1097" t="s">
        <v>356</v>
      </c>
      <c r="I8" s="1097"/>
      <c r="J8" s="1097"/>
      <c r="K8" s="1097"/>
      <c r="L8" s="1097" t="s">
        <v>357</v>
      </c>
      <c r="M8" s="1097"/>
      <c r="N8" s="1097"/>
      <c r="O8" s="1097"/>
      <c r="P8" s="1097"/>
      <c r="Q8" s="1097"/>
      <c r="R8" s="1115" t="s">
        <v>724</v>
      </c>
    </row>
    <row r="9" spans="1:18" x14ac:dyDescent="0.25">
      <c r="A9" s="1097"/>
      <c r="B9" s="1115"/>
      <c r="C9" s="1097"/>
      <c r="D9" s="1097"/>
      <c r="E9" s="1097"/>
      <c r="F9" s="1097"/>
      <c r="G9" s="1120"/>
      <c r="H9" s="1097" t="s">
        <v>1556</v>
      </c>
      <c r="I9" s="1097" t="s">
        <v>1566</v>
      </c>
      <c r="J9" s="1097" t="s">
        <v>478</v>
      </c>
      <c r="K9" s="1097"/>
      <c r="L9" s="1097" t="s">
        <v>1566</v>
      </c>
      <c r="M9" s="1097" t="s">
        <v>1440</v>
      </c>
      <c r="N9" s="1097" t="s">
        <v>1444</v>
      </c>
      <c r="O9" s="1097" t="s">
        <v>112</v>
      </c>
      <c r="P9" s="1097" t="s">
        <v>478</v>
      </c>
      <c r="Q9" s="1097"/>
      <c r="R9" s="1115"/>
    </row>
    <row r="10" spans="1:18" x14ac:dyDescent="0.25">
      <c r="A10" s="1097"/>
      <c r="B10" s="1115"/>
      <c r="C10" s="1097"/>
      <c r="D10" s="1097"/>
      <c r="E10" s="530" t="s">
        <v>479</v>
      </c>
      <c r="F10" s="530" t="s">
        <v>480</v>
      </c>
      <c r="G10" s="1120"/>
      <c r="H10" s="1097"/>
      <c r="I10" s="1097"/>
      <c r="J10" s="530" t="s">
        <v>481</v>
      </c>
      <c r="K10" s="530" t="s">
        <v>453</v>
      </c>
      <c r="L10" s="1097"/>
      <c r="M10" s="1097"/>
      <c r="N10" s="1097"/>
      <c r="O10" s="1097"/>
      <c r="P10" s="530" t="s">
        <v>481</v>
      </c>
      <c r="Q10" s="530" t="s">
        <v>453</v>
      </c>
      <c r="R10" s="1115"/>
    </row>
    <row r="11" spans="1:18" ht="31.5" hidden="1" x14ac:dyDescent="0.25">
      <c r="A11" s="520" t="s">
        <v>0</v>
      </c>
      <c r="B11" s="544" t="s">
        <v>474</v>
      </c>
      <c r="C11" s="515" t="s">
        <v>1466</v>
      </c>
      <c r="D11" s="521" t="s">
        <v>475</v>
      </c>
      <c r="E11" s="520" t="s">
        <v>479</v>
      </c>
      <c r="F11" s="520" t="s">
        <v>1467</v>
      </c>
      <c r="G11" s="520" t="s">
        <v>477</v>
      </c>
      <c r="H11" s="93" t="s">
        <v>13</v>
      </c>
      <c r="I11" s="93" t="s">
        <v>109</v>
      </c>
      <c r="J11" s="138" t="s">
        <v>1462</v>
      </c>
      <c r="K11" s="522" t="s">
        <v>453</v>
      </c>
      <c r="L11" s="93" t="s">
        <v>12</v>
      </c>
      <c r="M11" s="93" t="s">
        <v>164</v>
      </c>
      <c r="N11" s="93" t="s">
        <v>223</v>
      </c>
      <c r="O11" s="93" t="s">
        <v>271</v>
      </c>
      <c r="P11" s="138" t="s">
        <v>1473</v>
      </c>
      <c r="Q11" s="522" t="s">
        <v>1472</v>
      </c>
      <c r="R11" s="532" t="s">
        <v>724</v>
      </c>
    </row>
    <row r="12" spans="1:18" x14ac:dyDescent="0.25">
      <c r="A12" s="92" t="e">
        <f t="array" ref="A12">IF(OR(C12=C11,C12=0),"",INDEX(CkDJ[Date],MATCH(C12,CkDJ[JEV Number],0)))</f>
        <v>#N/A</v>
      </c>
      <c r="B12" s="545" t="s">
        <v>1608</v>
      </c>
      <c r="C12" s="93" t="str">
        <f t="shared" ref="C12:C21" si="0">IF(B12=0,C11,B12)</f>
        <v>20-01-001</v>
      </c>
      <c r="D12" s="524"/>
      <c r="E12" s="524"/>
      <c r="F12" s="524"/>
      <c r="G12" s="94" t="e">
        <f t="array" ref="G12">IF(OR(C12=C11,C12=0),"",INDEX(CasheirCode[Name],MATCH((INDEX(CkDJ[Sort Code],MATCH(C12,CkDJ[JEV Number],0))),CasheirCode[Sort Code])))</f>
        <v>#N/A</v>
      </c>
      <c r="H12" s="95">
        <f t="array" ref="H12">IF(OR($C12=$C11,$C12=0),0,(SUM(IF((CkDJ[JEV Number]=$C12)*(CkDJ[Account Code]=(H$9)),CkDJ[Credit]))))</f>
        <v>0</v>
      </c>
      <c r="I12" s="95">
        <f t="array" ref="I12">IF(OR($C12=$C11,$C12=0),0,(SUM(IF((CkDJ[JEV Number]=$C12)*(CkDJ[Account Code]=(I$9)),CkDJ[Credit]))))</f>
        <v>0</v>
      </c>
      <c r="J12" s="138"/>
      <c r="K12" s="95">
        <f t="array" ref="K12">IF($C12=0,0,(SUM(IF((CkDJ[JEV Number]=$C12)*(CkDJ[Account Code]=(J12)),CkDJ[Credit]))))</f>
        <v>0</v>
      </c>
      <c r="L12" s="95">
        <f t="array" ref="L12">IF(OR($C12=$C11,$C12=0),0,(SUM(IF((CkDJ[JEV Number]=$C12)*(CkDJ[Account Code]=(L$9)),CkDJ[Debit]))))</f>
        <v>0</v>
      </c>
      <c r="M12" s="95">
        <f t="array" ref="M12">IF(OR($C12=$C11,$C12=0),0,(SUM(IF((CkDJ[JEV Number]=$C12)*(CkDJ[Account Code]=(M$9)),CkDJ[Debit]))))</f>
        <v>0</v>
      </c>
      <c r="N12" s="95">
        <f t="array" ref="N12">IF(OR($C12=$C11,$C12=0),0,(SUM(IF((CkDJ[JEV Number]=$C12)*(CkDJ[Account Code]=(N$9)),CkDJ[Debit]))))</f>
        <v>0</v>
      </c>
      <c r="O12" s="95">
        <f t="array" ref="O12">IF(OR($C12=$C11,$C12=0),0,(SUM(IF((CkDJ[JEV Number]=$C12)*(CkDJ[Account Code]=(O$9)),CkDJ[Debit]))))</f>
        <v>0</v>
      </c>
      <c r="P12" s="138"/>
      <c r="Q12" s="95">
        <f t="array" ref="Q12">IF($C12=0,0,(SUM(IF((CkDJ[JEV Number]=$C12)*(CkDJ[Account Code]=(P12)),CkDJ[Debit]))))</f>
        <v>0</v>
      </c>
      <c r="R12" s="514">
        <f>(SUM(L12:O12)+Q12)-(SUM(H12:I12)+K12)</f>
        <v>0</v>
      </c>
    </row>
    <row r="13" spans="1:18" x14ac:dyDescent="0.25">
      <c r="A13" s="92" t="str">
        <f t="array" ref="A13">IF(OR(C13=C12,C13=0),"",INDEX(CkDJ[Date],MATCH(C13,CkDJ[JEV Number],0)))</f>
        <v/>
      </c>
      <c r="B13" s="545"/>
      <c r="C13" s="518" t="str">
        <f t="shared" si="0"/>
        <v>20-01-001</v>
      </c>
      <c r="D13" s="524"/>
      <c r="E13" s="524"/>
      <c r="F13" s="524"/>
      <c r="G13" s="94" t="str">
        <f t="array" ref="G13">IF(OR(C13=C12,C13=0),"",INDEX(CasheirCode[Name],MATCH((INDEX(CkDJ[Sort Code],MATCH(C13,CkDJ[JEV Number],0))),CasheirCode[Sort Code])))</f>
        <v/>
      </c>
      <c r="H13" s="95">
        <f t="array" ref="H13">IF(OR($C13=$C12,$C13=0),0,(SUM(IF((CkDJ[JEV Number]=$C13)*(CkDJ[Account Code]=(H$9)),CkDJ[Credit]))))</f>
        <v>0</v>
      </c>
      <c r="I13" s="95">
        <f t="array" ref="I13">IF(OR($C13=$C12,$C13=0),0,(SUM(IF((CkDJ[JEV Number]=$C13)*(CkDJ[Account Code]=(I$9)),CkDJ[Credit]))))</f>
        <v>0</v>
      </c>
      <c r="J13" s="138"/>
      <c r="K13" s="517">
        <f t="array" ref="K13">IF($C13=0,0,(SUM(IF((CkDJ[JEV Number]=$C13)*(CkDJ[Account Code]=(J13)),CkDJ[Credit]))))</f>
        <v>0</v>
      </c>
      <c r="L13" s="95">
        <f t="array" ref="L13">IF(OR($C13=$C12,$C13=0),0,(SUM(IF((CkDJ[JEV Number]=$C13)*(CkDJ[Account Code]=(L$9)),CkDJ[Debit]))))</f>
        <v>0</v>
      </c>
      <c r="M13" s="95">
        <f t="array" ref="M13">IF(OR($C13=$C12,$C13=0),0,(SUM(IF((CkDJ[JEV Number]=$C13)*(CkDJ[Account Code]=(M$9)),CkDJ[Debit]))))</f>
        <v>0</v>
      </c>
      <c r="N13" s="95">
        <f t="array" ref="N13">IF(OR($C13=$C12,$C13=0),0,(SUM(IF((CkDJ[JEV Number]=$C13)*(CkDJ[Account Code]=(N$9)),CkDJ[Debit]))))</f>
        <v>0</v>
      </c>
      <c r="O13" s="95">
        <f t="array" ref="O13">IF(OR($C13=$C12,$C13=0),0,(SUM(IF((CkDJ[JEV Number]=$C13)*(CkDJ[Account Code]=(O$9)),CkDJ[Debit]))))</f>
        <v>0</v>
      </c>
      <c r="P13" s="699"/>
      <c r="Q13" s="144">
        <f t="array" ref="Q13">IF($C13=0,0,(SUM(IF((CkDJ[JEV Number]=$C13)*(CkDJ[Account Code]=(P13)),CkDJ[Debit]))))</f>
        <v>0</v>
      </c>
      <c r="R13" s="514">
        <f t="shared" ref="R13:R21" si="1">R12+(SUM(L13:O13)+Q13)-(SUM(H13:I13)+K13)</f>
        <v>0</v>
      </c>
    </row>
    <row r="14" spans="1:18" x14ac:dyDescent="0.25">
      <c r="A14" s="92" t="str">
        <f t="array" ref="A14">IF(OR(C14=C13,C14=0),"",INDEX(CkDJ[Date],MATCH(C14,CkDJ[JEV Number],0)))</f>
        <v/>
      </c>
      <c r="B14" s="545"/>
      <c r="C14" s="518" t="str">
        <f t="shared" si="0"/>
        <v>20-01-001</v>
      </c>
      <c r="D14" s="524"/>
      <c r="E14" s="524"/>
      <c r="F14" s="524"/>
      <c r="G14" s="94" t="str">
        <f t="array" ref="G14">IF(OR(C14=C13,C14=0),"",INDEX(CasheirCode[Name],MATCH((INDEX(CkDJ[Sort Code],MATCH(C14,CkDJ[JEV Number],0))),CasheirCode[Sort Code])))</f>
        <v/>
      </c>
      <c r="H14" s="95">
        <f t="array" ref="H14">IF(OR($C14=$C13,$C14=0),0,(SUM(IF((CkDJ[JEV Number]=$C14)*(CkDJ[Account Code]=(H$9)),CkDJ[Credit]))))</f>
        <v>0</v>
      </c>
      <c r="I14" s="95">
        <f t="array" ref="I14">IF(OR($C14=$C13,$C14=0),0,(SUM(IF((CkDJ[JEV Number]=$C14)*(CkDJ[Account Code]=(I$9)),CkDJ[Credit]))))</f>
        <v>0</v>
      </c>
      <c r="J14" s="138"/>
      <c r="K14" s="517">
        <f t="array" ref="K14">IF($C14=0,0,(SUM(IF((CkDJ[JEV Number]=$C14)*(CkDJ[Account Code]=(J14)),CkDJ[Credit]))))</f>
        <v>0</v>
      </c>
      <c r="L14" s="95">
        <f t="array" ref="L14">IF(OR($C14=$C13,$C14=0),0,(SUM(IF((CkDJ[JEV Number]=$C14)*(CkDJ[Account Code]=(L$9)),CkDJ[Debit]))))</f>
        <v>0</v>
      </c>
      <c r="M14" s="95">
        <f t="array" ref="M14">IF(OR($C14=$C13,$C14=0),0,(SUM(IF((CkDJ[JEV Number]=$C14)*(CkDJ[Account Code]=(M$9)),CkDJ[Debit]))))</f>
        <v>0</v>
      </c>
      <c r="N14" s="95">
        <f t="array" ref="N14">IF(OR($C14=$C13,$C14=0),0,(SUM(IF((CkDJ[JEV Number]=$C14)*(CkDJ[Account Code]=(N$9)),CkDJ[Debit]))))</f>
        <v>0</v>
      </c>
      <c r="O14" s="95">
        <f t="array" ref="O14">IF(OR($C14=$C13,$C14=0),0,(SUM(IF((CkDJ[JEV Number]=$C14)*(CkDJ[Account Code]=(O$9)),CkDJ[Debit]))))</f>
        <v>0</v>
      </c>
      <c r="P14" s="138"/>
      <c r="Q14" s="517">
        <f t="array" ref="Q14">IF($C14=0,0,(SUM(IF((CkDJ[JEV Number]=$C14)*(CkDJ[Account Code]=(P14)),CkDJ[Debit]))))</f>
        <v>0</v>
      </c>
      <c r="R14" s="514">
        <f t="shared" si="1"/>
        <v>0</v>
      </c>
    </row>
    <row r="15" spans="1:18" x14ac:dyDescent="0.25">
      <c r="A15" s="525" t="str">
        <f t="array" ref="A15">IF(OR(C15=C14,C15=0),"",INDEX(CkDJ[Date],MATCH(C15,CkDJ[JEV Number],0)))</f>
        <v/>
      </c>
      <c r="B15" s="543"/>
      <c r="C15" s="523" t="str">
        <f t="shared" si="0"/>
        <v>20-01-001</v>
      </c>
      <c r="D15" s="523"/>
      <c r="E15" s="523"/>
      <c r="F15" s="523"/>
      <c r="G15" s="280" t="str">
        <f t="array" ref="G15">IF(OR(C15=C14,C15=0),"",INDEX(CasheirCode[Name],MATCH((INDEX(CkDJ[Sort Code],MATCH(C15,CkDJ[JEV Number],0))),CasheirCode[Sort Code])))</f>
        <v/>
      </c>
      <c r="H15" s="519">
        <f t="array" ref="H15">IF(OR($C15=$C14,$C15=0),0,(SUM(IF((CkDJ[JEV Number]=$C15)*(CkDJ[Account Code]=(H$9)),CkDJ[Credit]))))</f>
        <v>0</v>
      </c>
      <c r="I15" s="519">
        <f t="array" ref="I15">IF(OR($C15=$C14,$C15=0),0,(SUM(IF((CkDJ[JEV Number]=$C15)*(CkDJ[Account Code]=(I$9)),CkDJ[Credit]))))</f>
        <v>0</v>
      </c>
      <c r="J15" s="445"/>
      <c r="K15" s="519">
        <f t="array" ref="K15">IF($C15=0,0,(SUM(IF((CkDJ[JEV Number]=$C15)*(CkDJ[Account Code]=(J15)),CkDJ[Credit]))))</f>
        <v>0</v>
      </c>
      <c r="L15" s="519">
        <f t="array" ref="L15">IF(OR($C15=$C14,$C15=0),0,(SUM(IF((CkDJ[JEV Number]=$C15)*(CkDJ[Account Code]=(L$9)),CkDJ[Debit]))))</f>
        <v>0</v>
      </c>
      <c r="M15" s="519">
        <f t="array" ref="M15">IF(OR($C15=$C14,$C15=0),0,(SUM(IF((CkDJ[JEV Number]=$C15)*(CkDJ[Account Code]=(M$9)),CkDJ[Debit]))))</f>
        <v>0</v>
      </c>
      <c r="N15" s="519">
        <f t="array" ref="N15">IF(OR($C15=$C14,$C15=0),0,(SUM(IF((CkDJ[JEV Number]=$C15)*(CkDJ[Account Code]=(N$9)),CkDJ[Debit]))))</f>
        <v>0</v>
      </c>
      <c r="O15" s="519">
        <f t="array" ref="O15">IF(OR($C15=$C14,$C15=0),0,(SUM(IF((CkDJ[JEV Number]=$C15)*(CkDJ[Account Code]=(O$9)),CkDJ[Debit]))))</f>
        <v>0</v>
      </c>
      <c r="P15" s="138"/>
      <c r="Q15" s="519">
        <f t="array" ref="Q15">IF($C15=0,0,(SUM(IF((CkDJ[JEV Number]=$C15)*(CkDJ[Account Code]=(P15)),CkDJ[Debit]))))</f>
        <v>0</v>
      </c>
      <c r="R15" s="533">
        <f t="shared" si="1"/>
        <v>0</v>
      </c>
    </row>
    <row r="16" spans="1:18" x14ac:dyDescent="0.25">
      <c r="A16" s="673" t="str">
        <f t="array" ref="A16">IF(OR(C16=C15,C16=0),"",INDEX(CkDJ[Date],MATCH(C16,CkDJ[JEV Number],0)))</f>
        <v/>
      </c>
      <c r="B16" s="674"/>
      <c r="C16" s="675" t="str">
        <f t="shared" si="0"/>
        <v>20-01-001</v>
      </c>
      <c r="D16" s="675"/>
      <c r="E16" s="675"/>
      <c r="F16" s="675"/>
      <c r="G16" s="676" t="str">
        <f t="array" ref="G16">IF(OR(C16=C15,C16=0),"",INDEX(CasheirCode[Name],MATCH((INDEX(CkDJ[Sort Code],MATCH(C16,CkDJ[JEV Number],0))),CasheirCode[Sort Code])))</f>
        <v/>
      </c>
      <c r="H16" s="677">
        <f t="array" ref="H16">IF(OR($C16=$C15,$C16=0),0,(SUM(IF((CkDJ[JEV Number]=$C16)*(CkDJ[Account Code]=(H$9)),CkDJ[Credit]))))</f>
        <v>0</v>
      </c>
      <c r="I16" s="677">
        <f t="array" ref="I16">IF(OR($C16=$C15,$C16=0),0,(SUM(IF((CkDJ[JEV Number]=$C16)*(CkDJ[Account Code]=(I$9)),CkDJ[Credit]))))</f>
        <v>0</v>
      </c>
      <c r="J16" s="678"/>
      <c r="K16" s="677">
        <f t="array" ref="K16">IF($C16=0,0,(SUM(IF((CkDJ[JEV Number]=$C16)*(CkDJ[Account Code]=(J16)),CkDJ[Credit]))))</f>
        <v>0</v>
      </c>
      <c r="L16" s="677">
        <f t="array" ref="L16">IF(OR($C16=$C15,$C16=0),0,(SUM(IF((CkDJ[JEV Number]=$C16)*(CkDJ[Account Code]=(L$9)),CkDJ[Debit]))))</f>
        <v>0</v>
      </c>
      <c r="M16" s="677">
        <f t="array" ref="M16">IF(OR($C16=$C15,$C16=0),0,(SUM(IF((CkDJ[JEV Number]=$C16)*(CkDJ[Account Code]=(M$9)),CkDJ[Debit]))))</f>
        <v>0</v>
      </c>
      <c r="N16" s="677">
        <f t="array" ref="N16">IF(OR($C16=$C15,$C16=0),0,(SUM(IF((CkDJ[JEV Number]=$C16)*(CkDJ[Account Code]=(N$9)),CkDJ[Debit]))))</f>
        <v>0</v>
      </c>
      <c r="O16" s="677">
        <f t="array" ref="O16">IF(OR($C16=$C15,$C16=0),0,(SUM(IF((CkDJ[JEV Number]=$C16)*(CkDJ[Account Code]=(O$9)),CkDJ[Debit]))))</f>
        <v>0</v>
      </c>
      <c r="P16" s="138"/>
      <c r="Q16" s="519">
        <f t="array" ref="Q16">IF($C16=0,0,(SUM(IF((CkDJ[JEV Number]=$C16)*(CkDJ[Account Code]=(P16)),CkDJ[Debit]))))</f>
        <v>0</v>
      </c>
      <c r="R16" s="679">
        <f t="shared" si="1"/>
        <v>0</v>
      </c>
    </row>
    <row r="17" spans="1:18" x14ac:dyDescent="0.25">
      <c r="A17" s="673" t="str">
        <f t="array" ref="A17">IF(OR(C17=C16,C17=0),"",INDEX(CkDJ[Date],MATCH(C17,CkDJ[JEV Number],0)))</f>
        <v/>
      </c>
      <c r="B17" s="833"/>
      <c r="C17" s="690" t="str">
        <f t="shared" si="0"/>
        <v>20-01-001</v>
      </c>
      <c r="D17" s="690"/>
      <c r="E17" s="690"/>
      <c r="F17" s="690"/>
      <c r="G17" s="691" t="str">
        <f t="array" ref="G17">IF(OR(C17=C16,C17=0),"",INDEX(CasheirCode[Name],MATCH((INDEX(CkDJ[Sort Code],MATCH(C17,CkDJ[JEV Number],0))),CasheirCode[Sort Code])))</f>
        <v/>
      </c>
      <c r="H17" s="692">
        <f t="array" ref="H17">IF(OR($C17=$C16,$C17=0),0,(SUM(IF((CkDJ[JEV Number]=$C17)*(CkDJ[Account Code]=(H$9)),CkDJ[Credit]))))</f>
        <v>0</v>
      </c>
      <c r="I17" s="692">
        <f t="array" ref="I17">IF(OR($C17=$C16,$C17=0),0,(SUM(IF((CkDJ[JEV Number]=$C17)*(CkDJ[Account Code]=(I$9)),CkDJ[Credit]))))</f>
        <v>0</v>
      </c>
      <c r="J17" s="678"/>
      <c r="K17" s="692">
        <f t="array" ref="K17">IF($C17=0,0,(SUM(IF((CkDJ[JEV Number]=$C17)*(CkDJ[Account Code]=(J17)),CkDJ[Credit]))))</f>
        <v>0</v>
      </c>
      <c r="L17" s="692">
        <f t="array" ref="L17">IF(OR($C17=$C16,$C17=0),0,(SUM(IF((CkDJ[JEV Number]=$C17)*(CkDJ[Account Code]=(L$9)),CkDJ[Debit]))))</f>
        <v>0</v>
      </c>
      <c r="M17" s="692">
        <f t="array" ref="M17">IF(OR($C17=$C16,$C17=0),0,(SUM(IF((CkDJ[JEV Number]=$C17)*(CkDJ[Account Code]=(M$9)),CkDJ[Debit]))))</f>
        <v>0</v>
      </c>
      <c r="N17" s="692">
        <f t="array" ref="N17">IF(OR($C17=$C16,$C17=0),0,(SUM(IF((CkDJ[JEV Number]=$C17)*(CkDJ[Account Code]=(N$9)),CkDJ[Debit]))))</f>
        <v>0</v>
      </c>
      <c r="O17" s="692">
        <f t="array" ref="O17">IF(OR($C17=$C16,$C17=0),0,(SUM(IF((CkDJ[JEV Number]=$C17)*(CkDJ[Account Code]=(O$9)),CkDJ[Debit]))))</f>
        <v>0</v>
      </c>
      <c r="P17" s="726"/>
      <c r="Q17" s="692">
        <f t="array" ref="Q17">IF($C17=0,0,(SUM(IF((CkDJ[JEV Number]=$C17)*(CkDJ[Account Code]=(P17)),CkDJ[Debit]))))</f>
        <v>0</v>
      </c>
      <c r="R17" s="694">
        <f t="shared" si="1"/>
        <v>0</v>
      </c>
    </row>
    <row r="18" spans="1:18" x14ac:dyDescent="0.25">
      <c r="A18" s="673" t="str">
        <f t="array" ref="A18">IF(OR(C18=C17,C18=0),"",INDEX(CkDJ[Date],MATCH(C18,CkDJ[JEV Number],0)))</f>
        <v/>
      </c>
      <c r="B18" s="695"/>
      <c r="C18" s="690" t="str">
        <f t="shared" si="0"/>
        <v>20-01-001</v>
      </c>
      <c r="D18" s="690"/>
      <c r="E18" s="690"/>
      <c r="F18" s="690"/>
      <c r="G18" s="691" t="str">
        <f t="array" ref="G18">IF(OR(C18=C17,C18=0),"",INDEX(CasheirCode[Name],MATCH((INDEX(CkDJ[Sort Code],MATCH(C18,CkDJ[JEV Number],0))),CasheirCode[Sort Code])))</f>
        <v/>
      </c>
      <c r="H18" s="692">
        <f t="array" ref="H18">IF(OR($C18=$C17,$C18=0),0,(SUM(IF((CkDJ[JEV Number]=$C18)*(CkDJ[Account Code]=(H$9)),CkDJ[Credit]))))</f>
        <v>0</v>
      </c>
      <c r="I18" s="692">
        <f t="array" ref="I18">IF(OR($C18=$C17,$C18=0),0,(SUM(IF((CkDJ[JEV Number]=$C18)*(CkDJ[Account Code]=(I$9)),CkDJ[Credit]))))</f>
        <v>0</v>
      </c>
      <c r="J18" s="678"/>
      <c r="K18" s="692">
        <f t="array" ref="K18">IF($C18=0,0,(SUM(IF((CkDJ[JEV Number]=$C18)*(CkDJ[Account Code]=(J18)),CkDJ[Credit]))))</f>
        <v>0</v>
      </c>
      <c r="L18" s="692">
        <f t="array" ref="L18">IF(OR($C18=$C17,$C18=0),0,(SUM(IF((CkDJ[JEV Number]=$C18)*(CkDJ[Account Code]=(L$9)),CkDJ[Debit]))))</f>
        <v>0</v>
      </c>
      <c r="M18" s="692">
        <f t="array" ref="M18">IF(OR($C18=$C17,$C18=0),0,(SUM(IF((CkDJ[JEV Number]=$C18)*(CkDJ[Account Code]=(M$9)),CkDJ[Debit]))))</f>
        <v>0</v>
      </c>
      <c r="N18" s="692">
        <f t="array" ref="N18">IF(OR($C18=$C17,$C18=0),0,(SUM(IF((CkDJ[JEV Number]=$C18)*(CkDJ[Account Code]=(N$9)),CkDJ[Debit]))))</f>
        <v>0</v>
      </c>
      <c r="O18" s="692">
        <f t="array" ref="O18">IF(OR($C18=$C17,$C18=0),0,(SUM(IF((CkDJ[JEV Number]=$C18)*(CkDJ[Account Code]=(O$9)),CkDJ[Debit]))))</f>
        <v>0</v>
      </c>
      <c r="P18" s="726"/>
      <c r="Q18" s="692">
        <f t="array" ref="Q18">IF($C18=0,0,(SUM(IF((CkDJ[JEV Number]=$C18)*(CkDJ[Account Code]=(P18)),CkDJ[Debit]))))</f>
        <v>0</v>
      </c>
      <c r="R18" s="694">
        <f t="shared" si="1"/>
        <v>0</v>
      </c>
    </row>
    <row r="19" spans="1:18" x14ac:dyDescent="0.25">
      <c r="A19" s="673" t="str">
        <f t="array" ref="A19">IF(OR(C19=C18,C19=0),"",INDEX(CkDJ[Date],MATCH(C19,CkDJ[JEV Number],0)))</f>
        <v/>
      </c>
      <c r="B19" s="689"/>
      <c r="C19" s="690" t="str">
        <f>IF(B19=0,C18,B19)</f>
        <v>20-01-001</v>
      </c>
      <c r="D19" s="690"/>
      <c r="E19" s="690"/>
      <c r="F19" s="690"/>
      <c r="G19" s="691" t="str">
        <f t="array" ref="G19">IF(OR(C19=C18,C19=0),"",INDEX(CasheirCode[Name],MATCH((INDEX(CkDJ[Sort Code],MATCH(C19,CkDJ[JEV Number],0))),CasheirCode[Sort Code])))</f>
        <v/>
      </c>
      <c r="H19" s="692">
        <f t="array" ref="H19">IF(OR($C19=$C18,$C19=0),0,(SUM(IF((CkDJ[JEV Number]=$C19)*(CkDJ[Account Code]=(H$9)),CkDJ[Credit]))))</f>
        <v>0</v>
      </c>
      <c r="I19" s="692">
        <f t="array" ref="I19">IF(OR($C19=$C18,$C19=0),0,(SUM(IF((CkDJ[JEV Number]=$C19)*(CkDJ[Account Code]=(I$9)),CkDJ[Credit]))))</f>
        <v>0</v>
      </c>
      <c r="J19" s="728"/>
      <c r="K19" s="692">
        <f t="array" ref="K19">IF($C19=0,0,(SUM(IF((CkDJ[JEV Number]=$C19)*(CkDJ[Account Code]=(J19)),CkDJ[Credit]))))</f>
        <v>0</v>
      </c>
      <c r="L19" s="692">
        <f t="array" ref="L19">IF(OR($C19=$C18,$C19=0),0,(SUM(IF((CkDJ[JEV Number]=$C19)*(CkDJ[Account Code]=(L$9)),CkDJ[Debit]))))</f>
        <v>0</v>
      </c>
      <c r="M19" s="692">
        <f t="array" ref="M19">IF(OR($C19=$C18,$C19=0),0,(SUM(IF((CkDJ[JEV Number]=$C19)*(CkDJ[Account Code]=(M$9)),CkDJ[Debit]))))</f>
        <v>0</v>
      </c>
      <c r="N19" s="692">
        <f t="array" ref="N19">IF(OR($C19=$C18,$C19=0),0,(SUM(IF((CkDJ[JEV Number]=$C19)*(CkDJ[Account Code]=(N$9)),CkDJ[Debit]))))</f>
        <v>0</v>
      </c>
      <c r="O19" s="692">
        <f t="array" ref="O19">IF(OR($C19=$C18,$C19=0),0,(SUM(IF((CkDJ[JEV Number]=$C19)*(CkDJ[Account Code]=(O$9)),CkDJ[Debit]))))</f>
        <v>0</v>
      </c>
      <c r="P19" s="726"/>
      <c r="Q19" s="692">
        <f t="array" ref="Q19">IF($C19=0,0,(SUM(IF((CkDJ[JEV Number]=$C19)*(CkDJ[Account Code]=(P19)),CkDJ[Debit]))))</f>
        <v>0</v>
      </c>
      <c r="R19" s="694">
        <f>R18+(SUM(L19:O19)+Q19)-(SUM(H19:I19)+K19)</f>
        <v>0</v>
      </c>
    </row>
    <row r="20" spans="1:18" x14ac:dyDescent="0.25">
      <c r="A20" s="673" t="str">
        <f t="array" ref="A20">IF(OR(C20=C19,C20=0),"",INDEX(CkDJ[Date],MATCH(C20,CkDJ[JEV Number],0)))</f>
        <v/>
      </c>
      <c r="B20" s="695"/>
      <c r="C20" s="690" t="str">
        <f t="shared" si="0"/>
        <v>20-01-001</v>
      </c>
      <c r="D20" s="690"/>
      <c r="E20" s="690"/>
      <c r="F20" s="690"/>
      <c r="G20" s="691" t="str">
        <f t="array" ref="G20">IF(OR(C20=C19,C20=0),"",INDEX(CasheirCode[Name],MATCH((INDEX(CkDJ[Sort Code],MATCH(C20,CkDJ[JEV Number],0))),CasheirCode[Sort Code])))</f>
        <v/>
      </c>
      <c r="H20" s="692">
        <f t="array" ref="H20">IF(OR($C20=$C19,$C20=0),0,(SUM(IF((CkDJ[JEV Number]=$C20)*(CkDJ[Account Code]=(H$9)),CkDJ[Credit]))))</f>
        <v>0</v>
      </c>
      <c r="I20" s="692">
        <f t="array" ref="I20">IF(OR($C20=$C19,$C20=0),0,(SUM(IF((CkDJ[JEV Number]=$C20)*(CkDJ[Account Code]=(I$9)),CkDJ[Credit]))))</f>
        <v>0</v>
      </c>
      <c r="J20" s="728"/>
      <c r="K20" s="692">
        <f t="array" ref="K20">IF($C20=0,0,(SUM(IF((CkDJ[JEV Number]=$C20)*(CkDJ[Account Code]=(J20)),CkDJ[Credit]))))</f>
        <v>0</v>
      </c>
      <c r="L20" s="692">
        <f t="array" ref="L20">IF(OR($C20=$C19,$C20=0),0,(SUM(IF((CkDJ[JEV Number]=$C20)*(CkDJ[Account Code]=(L$9)),CkDJ[Debit]))))</f>
        <v>0</v>
      </c>
      <c r="M20" s="692">
        <f t="array" ref="M20">IF(OR($C20=$C19,$C20=0),0,(SUM(IF((CkDJ[JEV Number]=$C20)*(CkDJ[Account Code]=(M$9)),CkDJ[Debit]))))</f>
        <v>0</v>
      </c>
      <c r="N20" s="692">
        <f t="array" ref="N20">IF(OR($C20=$C19,$C20=0),0,(SUM(IF((CkDJ[JEV Number]=$C20)*(CkDJ[Account Code]=(N$9)),CkDJ[Debit]))))</f>
        <v>0</v>
      </c>
      <c r="O20" s="692">
        <f t="array" ref="O20">IF(OR($C20=$C19,$C20=0),0,(SUM(IF((CkDJ[JEV Number]=$C20)*(CkDJ[Account Code]=(O$9)),CkDJ[Debit]))))</f>
        <v>0</v>
      </c>
      <c r="P20" s="726"/>
      <c r="Q20" s="692">
        <f t="array" ref="Q20">IF($C20=0,0,(SUM(IF((CkDJ[JEV Number]=$C20)*(CkDJ[Account Code]=(P20)),CkDJ[Debit]))))</f>
        <v>0</v>
      </c>
      <c r="R20" s="694">
        <f t="shared" si="1"/>
        <v>0</v>
      </c>
    </row>
    <row r="21" spans="1:18" x14ac:dyDescent="0.25">
      <c r="A21" s="673" t="str">
        <f t="array" ref="A21">IF(OR(C21=C20,C21=0),"",INDEX(CkDJ[Date],MATCH(C21,CkDJ[JEV Number],0)))</f>
        <v/>
      </c>
      <c r="B21" s="695"/>
      <c r="C21" s="690" t="str">
        <f t="shared" si="0"/>
        <v>20-01-001</v>
      </c>
      <c r="D21" s="690"/>
      <c r="E21" s="690"/>
      <c r="F21" s="690"/>
      <c r="G21" s="691" t="str">
        <f t="array" ref="G21">IF(OR(C21=C20,C21=0),"",INDEX(CasheirCode[Name],MATCH((INDEX(CkDJ[Sort Code],MATCH(C21,CkDJ[JEV Number],0))),CasheirCode[Sort Code])))</f>
        <v/>
      </c>
      <c r="H21" s="692">
        <f t="array" ref="H21">IF(OR($C21=$C20,$C21=0),0,(SUM(IF((CkDJ[JEV Number]=$C21)*(CkDJ[Account Code]=(H$9)),CkDJ[Credit]))))</f>
        <v>0</v>
      </c>
      <c r="I21" s="692">
        <f t="array" ref="I21">IF(OR($C21=$C20,$C21=0),0,(SUM(IF((CkDJ[JEV Number]=$C21)*(CkDJ[Account Code]=(I$9)),CkDJ[Credit]))))</f>
        <v>0</v>
      </c>
      <c r="J21" s="728"/>
      <c r="K21" s="692">
        <f t="array" ref="K21">IF($C21=0,0,(SUM(IF((CkDJ[JEV Number]=$C21)*(CkDJ[Account Code]=(J21)),CkDJ[Credit]))))</f>
        <v>0</v>
      </c>
      <c r="L21" s="692">
        <f t="array" ref="L21">IF(OR($C21=$C20,$C21=0),0,(SUM(IF((CkDJ[JEV Number]=$C21)*(CkDJ[Account Code]=(L$9)),CkDJ[Debit]))))</f>
        <v>0</v>
      </c>
      <c r="M21" s="692">
        <f t="array" ref="M21">IF(OR($C21=$C20,$C21=0),0,(SUM(IF((CkDJ[JEV Number]=$C21)*(CkDJ[Account Code]=(M$9)),CkDJ[Debit]))))</f>
        <v>0</v>
      </c>
      <c r="N21" s="692">
        <f t="array" ref="N21">IF(OR($C21=$C20,$C21=0),0,(SUM(IF((CkDJ[JEV Number]=$C21)*(CkDJ[Account Code]=(N$9)),CkDJ[Debit]))))</f>
        <v>0</v>
      </c>
      <c r="O21" s="692">
        <f t="array" ref="O21">IF(OR($C21=$C20,$C21=0),0,(SUM(IF((CkDJ[JEV Number]=$C21)*(CkDJ[Account Code]=(O$9)),CkDJ[Debit]))))</f>
        <v>0</v>
      </c>
      <c r="P21" s="726"/>
      <c r="Q21" s="692">
        <f t="array" ref="Q21">IF($C21=0,0,(SUM(IF((CkDJ[JEV Number]=$C21)*(CkDJ[Account Code]=(P21)),CkDJ[Debit]))))</f>
        <v>0</v>
      </c>
      <c r="R21" s="694">
        <f t="shared" si="1"/>
        <v>0</v>
      </c>
    </row>
    <row r="22" spans="1:18" x14ac:dyDescent="0.25">
      <c r="A22" s="673" t="str">
        <f t="array" ref="A22">IF(OR(C22=C21,C22=0),"",INDEX(CkDJ[Date],MATCH(C22,CkDJ[JEV Number],0)))</f>
        <v/>
      </c>
      <c r="B22" s="695"/>
      <c r="C22" s="690" t="str">
        <f t="shared" ref="C22:C34" si="2">IF(B22=0,C21,B22)</f>
        <v>20-01-001</v>
      </c>
      <c r="D22" s="690"/>
      <c r="E22" s="690"/>
      <c r="F22" s="690"/>
      <c r="G22" s="691" t="str">
        <f t="array" ref="G22">IF(OR(C22=C21,C22=0),"",INDEX(CasheirCode[Name],MATCH((INDEX(CkDJ[Sort Code],MATCH(C22,CkDJ[JEV Number],0))),CasheirCode[Sort Code])))</f>
        <v/>
      </c>
      <c r="H22" s="692">
        <f t="array" ref="H22">IF(OR($C22=$C21,$C22=0),0,(SUM(IF((CkDJ[JEV Number]=$C22)*(CkDJ[Account Code]=(H$9)),CkDJ[Credit]))))</f>
        <v>0</v>
      </c>
      <c r="I22" s="692">
        <f t="array" ref="I22">IF(OR($C22=$C21,$C22=0),0,(SUM(IF((CkDJ[JEV Number]=$C22)*(CkDJ[Account Code]=(I$9)),CkDJ[Credit]))))</f>
        <v>0</v>
      </c>
      <c r="J22" s="678"/>
      <c r="K22" s="692">
        <f t="array" ref="K22">IF($C22=0,0,(SUM(IF((CkDJ[JEV Number]=$C22)*(CkDJ[Account Code]=(J22)),CkDJ[Credit]))))</f>
        <v>0</v>
      </c>
      <c r="L22" s="692">
        <f t="array" ref="L22">IF(OR($C22=$C21,$C22=0),0,(SUM(IF((CkDJ[JEV Number]=$C22)*(CkDJ[Account Code]=(L$9)),CkDJ[Debit]))))</f>
        <v>0</v>
      </c>
      <c r="M22" s="692">
        <f t="array" ref="M22">IF(OR($C22=$C21,$C22=0),0,(SUM(IF((CkDJ[JEV Number]=$C22)*(CkDJ[Account Code]=(M$9)),CkDJ[Debit]))))</f>
        <v>0</v>
      </c>
      <c r="N22" s="692">
        <f t="array" ref="N22">IF(OR($C22=$C21,$C22=0),0,(SUM(IF((CkDJ[JEV Number]=$C22)*(CkDJ[Account Code]=(N$9)),CkDJ[Debit]))))</f>
        <v>0</v>
      </c>
      <c r="O22" s="692">
        <f t="array" ref="O22">IF(OR($C22=$C21,$C22=0),0,(SUM(IF((CkDJ[JEV Number]=$C22)*(CkDJ[Account Code]=(O$9)),CkDJ[Debit]))))</f>
        <v>0</v>
      </c>
      <c r="P22" s="726"/>
      <c r="Q22" s="692">
        <f t="array" ref="Q22">IF($C22=0,0,(SUM(IF((CkDJ[JEV Number]=$C22)*(CkDJ[Account Code]=(P22)),CkDJ[Debit]))))</f>
        <v>0</v>
      </c>
      <c r="R22" s="694">
        <f t="shared" ref="R22:R34" si="3">R21+(SUM(L22:O22)+Q22)-(SUM(H22:I22)+K22)</f>
        <v>0</v>
      </c>
    </row>
    <row r="23" spans="1:18" x14ac:dyDescent="0.25">
      <c r="A23" s="673" t="str">
        <f t="array" ref="A23">IF(OR(C23=C22,C23=0),"",INDEX(CkDJ[Date],MATCH(C23,CkDJ[JEV Number],0)))</f>
        <v/>
      </c>
      <c r="B23" s="695"/>
      <c r="C23" s="690" t="str">
        <f t="shared" si="2"/>
        <v>20-01-001</v>
      </c>
      <c r="D23" s="690"/>
      <c r="E23" s="690"/>
      <c r="F23" s="690"/>
      <c r="G23" s="691" t="str">
        <f t="array" ref="G23">IF(OR(C23=C22,C23=0),"",INDEX(CasheirCode[Name],MATCH((INDEX(CkDJ[Sort Code],MATCH(C23,CkDJ[JEV Number],0))),CasheirCode[Sort Code])))</f>
        <v/>
      </c>
      <c r="H23" s="692">
        <f t="array" ref="H23">IF(OR($C23=$C22,$C23=0),0,(SUM(IF((CkDJ[JEV Number]=$C23)*(CkDJ[Account Code]=(H$9)),CkDJ[Credit]))))</f>
        <v>0</v>
      </c>
      <c r="I23" s="692">
        <f t="array" ref="I23">IF(OR($C23=$C22,$C23=0),0,(SUM(IF((CkDJ[JEV Number]=$C23)*(CkDJ[Account Code]=(I$9)),CkDJ[Credit]))))</f>
        <v>0</v>
      </c>
      <c r="J23" s="678"/>
      <c r="K23" s="692">
        <f t="array" ref="K23">IF($C23=0,0,(SUM(IF((CkDJ[JEV Number]=$C23)*(CkDJ[Account Code]=(J23)),CkDJ[Credit]))))</f>
        <v>0</v>
      </c>
      <c r="L23" s="692">
        <f t="array" ref="L23">IF(OR($C23=$C22,$C23=0),0,(SUM(IF((CkDJ[JEV Number]=$C23)*(CkDJ[Account Code]=(L$9)),CkDJ[Debit]))))</f>
        <v>0</v>
      </c>
      <c r="M23" s="692">
        <f t="array" ref="M23">IF(OR($C23=$C22,$C23=0),0,(SUM(IF((CkDJ[JEV Number]=$C23)*(CkDJ[Account Code]=(M$9)),CkDJ[Debit]))))</f>
        <v>0</v>
      </c>
      <c r="N23" s="692">
        <f t="array" ref="N23">IF(OR($C23=$C22,$C23=0),0,(SUM(IF((CkDJ[JEV Number]=$C23)*(CkDJ[Account Code]=(N$9)),CkDJ[Debit]))))</f>
        <v>0</v>
      </c>
      <c r="O23" s="692">
        <f t="array" ref="O23">IF(OR($C23=$C22,$C23=0),0,(SUM(IF((CkDJ[JEV Number]=$C23)*(CkDJ[Account Code]=(O$9)),CkDJ[Debit]))))</f>
        <v>0</v>
      </c>
      <c r="P23" s="726"/>
      <c r="Q23" s="692">
        <f t="array" ref="Q23">IF($C23=0,0,(SUM(IF((CkDJ[JEV Number]=$C23)*(CkDJ[Account Code]=(P23)),CkDJ[Debit]))))</f>
        <v>0</v>
      </c>
      <c r="R23" s="694">
        <f t="shared" si="3"/>
        <v>0</v>
      </c>
    </row>
    <row r="24" spans="1:18" x14ac:dyDescent="0.25">
      <c r="A24" s="673" t="str">
        <f t="array" ref="A24">IF(OR(C24=C23,C24=0),"",INDEX(CkDJ[Date],MATCH(C24,CkDJ[JEV Number],0)))</f>
        <v/>
      </c>
      <c r="B24" s="689"/>
      <c r="C24" s="690" t="str">
        <f t="shared" si="2"/>
        <v>20-01-001</v>
      </c>
      <c r="D24" s="690"/>
      <c r="E24" s="690"/>
      <c r="F24" s="690"/>
      <c r="G24" s="691" t="str">
        <f t="array" ref="G24">IF(OR(C24=C23,C24=0),"",INDEX(CasheirCode[Name],MATCH((INDEX(CkDJ[Sort Code],MATCH(C24,CkDJ[JEV Number],0))),CasheirCode[Sort Code])))</f>
        <v/>
      </c>
      <c r="H24" s="692">
        <f t="array" ref="H24">IF(OR($C24=$C23,$C24=0),0,(SUM(IF((CkDJ[JEV Number]=$C24)*(CkDJ[Account Code]=(H$9)),CkDJ[Credit]))))</f>
        <v>0</v>
      </c>
      <c r="I24" s="692">
        <f t="array" ref="I24">IF(OR($C24=$C23,$C24=0),0,(SUM(IF((CkDJ[JEV Number]=$C24)*(CkDJ[Account Code]=(I$9)),CkDJ[Credit]))))</f>
        <v>0</v>
      </c>
      <c r="J24" s="728"/>
      <c r="K24" s="692">
        <f t="array" ref="K24">IF($C24=0,0,(SUM(IF((CkDJ[JEV Number]=$C24)*(CkDJ[Account Code]=(J24)),CkDJ[Credit]))))</f>
        <v>0</v>
      </c>
      <c r="L24" s="692">
        <f t="array" ref="L24">IF(OR($C24=$C23,$C24=0),0,(SUM(IF((CkDJ[JEV Number]=$C24)*(CkDJ[Account Code]=(L$9)),CkDJ[Debit]))))</f>
        <v>0</v>
      </c>
      <c r="M24" s="692">
        <f t="array" ref="M24">IF(OR($C24=$C23,$C24=0),0,(SUM(IF((CkDJ[JEV Number]=$C24)*(CkDJ[Account Code]=(M$9)),CkDJ[Debit]))))</f>
        <v>0</v>
      </c>
      <c r="N24" s="692">
        <f t="array" ref="N24">IF(OR($C24=$C23,$C24=0),0,(SUM(IF((CkDJ[JEV Number]=$C24)*(CkDJ[Account Code]=(N$9)),CkDJ[Debit]))))</f>
        <v>0</v>
      </c>
      <c r="O24" s="692">
        <f t="array" ref="O24">IF(OR($C24=$C23,$C24=0),0,(SUM(IF((CkDJ[JEV Number]=$C24)*(CkDJ[Account Code]=(O$9)),CkDJ[Debit]))))</f>
        <v>0</v>
      </c>
      <c r="P24" s="726"/>
      <c r="Q24" s="692">
        <f t="array" ref="Q24">IF($C24=0,0,(SUM(IF((CkDJ[JEV Number]=$C24)*(CkDJ[Account Code]=(P24)),CkDJ[Debit]))))</f>
        <v>0</v>
      </c>
      <c r="R24" s="694">
        <f t="shared" si="3"/>
        <v>0</v>
      </c>
    </row>
    <row r="25" spans="1:18" x14ac:dyDescent="0.25">
      <c r="A25" s="673" t="str">
        <f t="array" ref="A25">IF(OR(C25=C24,C25=0),"",INDEX(CkDJ[Date],MATCH(C25,CkDJ[JEV Number],0)))</f>
        <v/>
      </c>
      <c r="B25" s="695"/>
      <c r="C25" s="690" t="str">
        <f t="shared" si="2"/>
        <v>20-01-001</v>
      </c>
      <c r="D25" s="690"/>
      <c r="E25" s="690"/>
      <c r="F25" s="690"/>
      <c r="G25" s="691" t="str">
        <f t="array" ref="G25">IF(OR(C25=C24,C25=0),"",INDEX(CasheirCode[Name],MATCH((INDEX(CkDJ[Sort Code],MATCH(C25,CkDJ[JEV Number],0))),CasheirCode[Sort Code])))</f>
        <v/>
      </c>
      <c r="H25" s="692">
        <f t="array" ref="H25">IF(OR($C25=$C24,$C25=0),0,(SUM(IF((CkDJ[JEV Number]=$C25)*(CkDJ[Account Code]=(H$9)),CkDJ[Credit]))))</f>
        <v>0</v>
      </c>
      <c r="I25" s="692">
        <f t="array" ref="I25">IF(OR($C25=$C24,$C25=0),0,(SUM(IF((CkDJ[JEV Number]=$C25)*(CkDJ[Account Code]=(I$9)),CkDJ[Credit]))))</f>
        <v>0</v>
      </c>
      <c r="J25" s="728"/>
      <c r="K25" s="692">
        <f t="array" ref="K25">IF($C25=0,0,(SUM(IF((CkDJ[JEV Number]=$C25)*(CkDJ[Account Code]=(J25)),CkDJ[Credit]))))</f>
        <v>0</v>
      </c>
      <c r="L25" s="692">
        <f t="array" ref="L25">IF(OR($C25=$C24,$C25=0),0,(SUM(IF((CkDJ[JEV Number]=$C25)*(CkDJ[Account Code]=(L$9)),CkDJ[Debit]))))</f>
        <v>0</v>
      </c>
      <c r="M25" s="692">
        <f t="array" ref="M25">IF(OR($C25=$C24,$C25=0),0,(SUM(IF((CkDJ[JEV Number]=$C25)*(CkDJ[Account Code]=(M$9)),CkDJ[Debit]))))</f>
        <v>0</v>
      </c>
      <c r="N25" s="692">
        <f t="array" ref="N25">IF(OR($C25=$C24,$C25=0),0,(SUM(IF((CkDJ[JEV Number]=$C25)*(CkDJ[Account Code]=(N$9)),CkDJ[Debit]))))</f>
        <v>0</v>
      </c>
      <c r="O25" s="692">
        <f t="array" ref="O25">IF(OR($C25=$C24,$C25=0),0,(SUM(IF((CkDJ[JEV Number]=$C25)*(CkDJ[Account Code]=(O$9)),CkDJ[Debit]))))</f>
        <v>0</v>
      </c>
      <c r="P25" s="726"/>
      <c r="Q25" s="692">
        <f t="array" ref="Q25">IF($C25=0,0,(SUM(IF((CkDJ[JEV Number]=$C25)*(CkDJ[Account Code]=(P25)),CkDJ[Debit]))))</f>
        <v>0</v>
      </c>
      <c r="R25" s="694">
        <f t="shared" si="3"/>
        <v>0</v>
      </c>
    </row>
    <row r="26" spans="1:18" x14ac:dyDescent="0.25">
      <c r="A26" s="673" t="str">
        <f t="array" ref="A26">IF(OR(C26=C25,C26=0),"",INDEX(CkDJ[Date],MATCH(C26,CkDJ[JEV Number],0)))</f>
        <v/>
      </c>
      <c r="B26" s="695"/>
      <c r="C26" s="690" t="str">
        <f t="shared" si="2"/>
        <v>20-01-001</v>
      </c>
      <c r="D26" s="690"/>
      <c r="E26" s="690"/>
      <c r="F26" s="690"/>
      <c r="G26" s="691" t="str">
        <f t="array" ref="G26">IF(OR(C26=C25,C26=0),"",INDEX(CasheirCode[Name],MATCH((INDEX(CkDJ[Sort Code],MATCH(C26,CkDJ[JEV Number],0))),CasheirCode[Sort Code])))</f>
        <v/>
      </c>
      <c r="H26" s="692">
        <f t="array" ref="H26">IF(OR($C26=$C25,$C26=0),0,(SUM(IF((CkDJ[JEV Number]=$C26)*(CkDJ[Account Code]=(H$9)),CkDJ[Credit]))))</f>
        <v>0</v>
      </c>
      <c r="I26" s="692">
        <f t="array" ref="I26">IF(OR($C26=$C25,$C26=0),0,(SUM(IF((CkDJ[JEV Number]=$C26)*(CkDJ[Account Code]=(I$9)),CkDJ[Credit]))))</f>
        <v>0</v>
      </c>
      <c r="J26" s="678"/>
      <c r="K26" s="692">
        <f t="array" ref="K26">IF($C26=0,0,(SUM(IF((CkDJ[JEV Number]=$C26)*(CkDJ[Account Code]=(J26)),CkDJ[Credit]))))</f>
        <v>0</v>
      </c>
      <c r="L26" s="692">
        <f t="array" ref="L26">IF(OR($C26=$C25,$C26=0),0,(SUM(IF((CkDJ[JEV Number]=$C26)*(CkDJ[Account Code]=(L$9)),CkDJ[Debit]))))</f>
        <v>0</v>
      </c>
      <c r="M26" s="692">
        <f t="array" ref="M26">IF(OR($C26=$C25,$C26=0),0,(SUM(IF((CkDJ[JEV Number]=$C26)*(CkDJ[Account Code]=(M$9)),CkDJ[Debit]))))</f>
        <v>0</v>
      </c>
      <c r="N26" s="692">
        <f t="array" ref="N26">IF(OR($C26=$C25,$C26=0),0,(SUM(IF((CkDJ[JEV Number]=$C26)*(CkDJ[Account Code]=(N$9)),CkDJ[Debit]))))</f>
        <v>0</v>
      </c>
      <c r="O26" s="692">
        <f t="array" ref="O26">IF(OR($C26=$C25,$C26=0),0,(SUM(IF((CkDJ[JEV Number]=$C26)*(CkDJ[Account Code]=(O$9)),CkDJ[Debit]))))</f>
        <v>0</v>
      </c>
      <c r="P26" s="726"/>
      <c r="Q26" s="692">
        <f t="array" ref="Q26">IF($C26=0,0,(SUM(IF((CkDJ[JEV Number]=$C26)*(CkDJ[Account Code]=(P26)),CkDJ[Debit]))))</f>
        <v>0</v>
      </c>
      <c r="R26" s="694">
        <f t="shared" si="3"/>
        <v>0</v>
      </c>
    </row>
    <row r="27" spans="1:18" x14ac:dyDescent="0.25">
      <c r="A27" s="673" t="str">
        <f t="array" ref="A27">IF(OR(C27=C26,C27=0),"",INDEX(CkDJ[Date],MATCH(C27,CkDJ[JEV Number],0)))</f>
        <v/>
      </c>
      <c r="B27" s="695"/>
      <c r="C27" s="690" t="str">
        <f t="shared" si="2"/>
        <v>20-01-001</v>
      </c>
      <c r="D27" s="690"/>
      <c r="E27" s="690"/>
      <c r="F27" s="690"/>
      <c r="G27" s="691" t="str">
        <f t="array" ref="G27">IF(OR(C27=C26,C27=0),"",INDEX(CasheirCode[Name],MATCH((INDEX(CkDJ[Sort Code],MATCH(C27,CkDJ[JEV Number],0))),CasheirCode[Sort Code])))</f>
        <v/>
      </c>
      <c r="H27" s="692">
        <f t="array" ref="H27">IF(OR($C27=$C26,$C27=0),0,(SUM(IF((CkDJ[JEV Number]=$C27)*(CkDJ[Account Code]=(H$9)),CkDJ[Credit]))))</f>
        <v>0</v>
      </c>
      <c r="I27" s="692">
        <f t="array" ref="I27">IF(OR($C27=$C26,$C27=0),0,(SUM(IF((CkDJ[JEV Number]=$C27)*(CkDJ[Account Code]=(I$9)),CkDJ[Credit]))))</f>
        <v>0</v>
      </c>
      <c r="J27" s="678"/>
      <c r="K27" s="692">
        <f t="array" ref="K27">IF($C27=0,0,(SUM(IF((CkDJ[JEV Number]=$C27)*(CkDJ[Account Code]=(J27)),CkDJ[Credit]))))</f>
        <v>0</v>
      </c>
      <c r="L27" s="692">
        <f t="array" ref="L27">IF(OR($C27=$C26,$C27=0),0,(SUM(IF((CkDJ[JEV Number]=$C27)*(CkDJ[Account Code]=(L$9)),CkDJ[Debit]))))</f>
        <v>0</v>
      </c>
      <c r="M27" s="692">
        <f t="array" ref="M27">IF(OR($C27=$C26,$C27=0),0,(SUM(IF((CkDJ[JEV Number]=$C27)*(CkDJ[Account Code]=(M$9)),CkDJ[Debit]))))</f>
        <v>0</v>
      </c>
      <c r="N27" s="692">
        <f t="array" ref="N27">IF(OR($C27=$C26,$C27=0),0,(SUM(IF((CkDJ[JEV Number]=$C27)*(CkDJ[Account Code]=(N$9)),CkDJ[Debit]))))</f>
        <v>0</v>
      </c>
      <c r="O27" s="692">
        <f t="array" ref="O27">IF(OR($C27=$C26,$C27=0),0,(SUM(IF((CkDJ[JEV Number]=$C27)*(CkDJ[Account Code]=(O$9)),CkDJ[Debit]))))</f>
        <v>0</v>
      </c>
      <c r="P27" s="726"/>
      <c r="Q27" s="692">
        <f t="array" ref="Q27">IF($C27=0,0,(SUM(IF((CkDJ[JEV Number]=$C27)*(CkDJ[Account Code]=(P27)),CkDJ[Debit]))))</f>
        <v>0</v>
      </c>
      <c r="R27" s="694">
        <f t="shared" si="3"/>
        <v>0</v>
      </c>
    </row>
    <row r="28" spans="1:18" x14ac:dyDescent="0.25">
      <c r="A28" s="673" t="str">
        <f t="array" ref="A28">IF(OR(C28=C27,C28=0),"",INDEX(CkDJ[Date],MATCH(C28,CkDJ[JEV Number],0)))</f>
        <v/>
      </c>
      <c r="B28" s="695"/>
      <c r="C28" s="690" t="str">
        <f t="shared" si="2"/>
        <v>20-01-001</v>
      </c>
      <c r="D28" s="690"/>
      <c r="E28" s="690"/>
      <c r="F28" s="690"/>
      <c r="G28" s="691" t="str">
        <f t="array" ref="G28">IF(OR(C28=C27,C28=0),"",INDEX(CasheirCode[Name],MATCH((INDEX(CkDJ[Sort Code],MATCH(C28,CkDJ[JEV Number],0))),CasheirCode[Sort Code])))</f>
        <v/>
      </c>
      <c r="H28" s="692">
        <f t="array" ref="H28">IF(OR($C28=$C27,$C28=0),0,(SUM(IF((CkDJ[JEV Number]=$C28)*(CkDJ[Account Code]=(H$9)),CkDJ[Credit]))))</f>
        <v>0</v>
      </c>
      <c r="I28" s="692">
        <f t="array" ref="I28">IF(OR($C28=$C27,$C28=0),0,(SUM(IF((CkDJ[JEV Number]=$C28)*(CkDJ[Account Code]=(I$9)),CkDJ[Credit]))))</f>
        <v>0</v>
      </c>
      <c r="J28" s="693"/>
      <c r="K28" s="692">
        <f t="array" ref="K28">IF($C28=0,0,(SUM(IF((CkDJ[JEV Number]=$C28)*(CkDJ[Account Code]=(J28)),CkDJ[Credit]))))</f>
        <v>0</v>
      </c>
      <c r="L28" s="692">
        <f t="array" ref="L28">IF(OR($C28=$C27,$C28=0),0,(SUM(IF((CkDJ[JEV Number]=$C28)*(CkDJ[Account Code]=(L$9)),CkDJ[Debit]))))</f>
        <v>0</v>
      </c>
      <c r="M28" s="692">
        <f t="array" ref="M28">IF(OR($C28=$C27,$C28=0),0,(SUM(IF((CkDJ[JEV Number]=$C28)*(CkDJ[Account Code]=(M$9)),CkDJ[Debit]))))</f>
        <v>0</v>
      </c>
      <c r="N28" s="692">
        <f t="array" ref="N28">IF(OR($C28=$C27,$C28=0),0,(SUM(IF((CkDJ[JEV Number]=$C28)*(CkDJ[Account Code]=(N$9)),CkDJ[Debit]))))</f>
        <v>0</v>
      </c>
      <c r="O28" s="692">
        <f t="array" ref="O28">IF(OR($C28=$C27,$C28=0),0,(SUM(IF((CkDJ[JEV Number]=$C28)*(CkDJ[Account Code]=(O$9)),CkDJ[Debit]))))</f>
        <v>0</v>
      </c>
      <c r="P28" s="726"/>
      <c r="Q28" s="692">
        <f t="array" ref="Q28">IF($C28=0,0,(SUM(IF((CkDJ[JEV Number]=$C28)*(CkDJ[Account Code]=(P28)),CkDJ[Debit]))))</f>
        <v>0</v>
      </c>
      <c r="R28" s="694">
        <f t="shared" si="3"/>
        <v>0</v>
      </c>
    </row>
    <row r="29" spans="1:18" x14ac:dyDescent="0.25">
      <c r="A29" s="673" t="str">
        <f t="array" ref="A29">IF(OR(C29=C28,C29=0),"",INDEX(CkDJ[Date],MATCH(C29,CkDJ[JEV Number],0)))</f>
        <v/>
      </c>
      <c r="B29" s="695"/>
      <c r="C29" s="690" t="str">
        <f t="shared" si="2"/>
        <v>20-01-001</v>
      </c>
      <c r="D29" s="690"/>
      <c r="E29" s="690"/>
      <c r="F29" s="690"/>
      <c r="G29" s="691" t="str">
        <f t="array" ref="G29">IF(OR(C29=C28,C29=0),"",INDEX(CasheirCode[Name],MATCH((INDEX(CkDJ[Sort Code],MATCH(C29,CkDJ[JEV Number],0))),CasheirCode[Sort Code])))</f>
        <v/>
      </c>
      <c r="H29" s="692">
        <f t="array" ref="H29">IF(OR($C29=$C28,$C29=0),0,(SUM(IF((CkDJ[JEV Number]=$C29)*(CkDJ[Account Code]=(H$9)),CkDJ[Credit]))))</f>
        <v>0</v>
      </c>
      <c r="I29" s="692">
        <f t="array" ref="I29">IF(OR($C29=$C28,$C29=0),0,(SUM(IF((CkDJ[JEV Number]=$C29)*(CkDJ[Account Code]=(I$9)),CkDJ[Credit]))))</f>
        <v>0</v>
      </c>
      <c r="J29" s="693"/>
      <c r="K29" s="692">
        <f t="array" ref="K29">IF($C29=0,0,(SUM(IF((CkDJ[JEV Number]=$C29)*(CkDJ[Account Code]=(J29)),CkDJ[Credit]))))</f>
        <v>0</v>
      </c>
      <c r="L29" s="692">
        <f t="array" ref="L29">IF(OR($C29=$C28,$C29=0),0,(SUM(IF((CkDJ[JEV Number]=$C29)*(CkDJ[Account Code]=(L$9)),CkDJ[Debit]))))</f>
        <v>0</v>
      </c>
      <c r="M29" s="692">
        <f t="array" ref="M29">IF(OR($C29=$C28,$C29=0),0,(SUM(IF((CkDJ[JEV Number]=$C29)*(CkDJ[Account Code]=(M$9)),CkDJ[Debit]))))</f>
        <v>0</v>
      </c>
      <c r="N29" s="692">
        <f t="array" ref="N29">IF(OR($C29=$C28,$C29=0),0,(SUM(IF((CkDJ[JEV Number]=$C29)*(CkDJ[Account Code]=(N$9)),CkDJ[Debit]))))</f>
        <v>0</v>
      </c>
      <c r="O29" s="692">
        <f t="array" ref="O29">IF(OR($C29=$C28,$C29=0),0,(SUM(IF((CkDJ[JEV Number]=$C29)*(CkDJ[Account Code]=(O$9)),CkDJ[Debit]))))</f>
        <v>0</v>
      </c>
      <c r="P29" s="726"/>
      <c r="Q29" s="692">
        <f t="array" ref="Q29">IF($C29=0,0,(SUM(IF((CkDJ[JEV Number]=$C29)*(CkDJ[Account Code]=(P29)),CkDJ[Debit]))))</f>
        <v>0</v>
      </c>
      <c r="R29" s="694">
        <f t="shared" si="3"/>
        <v>0</v>
      </c>
    </row>
    <row r="30" spans="1:18" x14ac:dyDescent="0.25">
      <c r="A30" s="673" t="str">
        <f t="array" ref="A30">IF(OR(C30=C29,C30=0),"",INDEX(CkDJ[Date],MATCH(C30,CkDJ[JEV Number],0)))</f>
        <v/>
      </c>
      <c r="B30" s="695"/>
      <c r="C30" s="690" t="str">
        <f t="shared" si="2"/>
        <v>20-01-001</v>
      </c>
      <c r="D30" s="690"/>
      <c r="E30" s="690"/>
      <c r="F30" s="690"/>
      <c r="G30" s="691" t="str">
        <f t="array" ref="G30">IF(OR(C30=C29,C30=0),"",INDEX(CasheirCode[Name],MATCH((INDEX(CkDJ[Sort Code],MATCH(C30,CkDJ[JEV Number],0))),CasheirCode[Sort Code])))</f>
        <v/>
      </c>
      <c r="H30" s="692">
        <f t="array" ref="H30">IF(OR($C30=$C29,$C30=0),0,(SUM(IF((CkDJ[JEV Number]=$C30)*(CkDJ[Account Code]=(H$9)),CkDJ[Credit]))))</f>
        <v>0</v>
      </c>
      <c r="I30" s="692">
        <f t="array" ref="I30">IF(OR($C30=$C29,$C30=0),0,(SUM(IF((CkDJ[JEV Number]=$C30)*(CkDJ[Account Code]=(I$9)),CkDJ[Credit]))))</f>
        <v>0</v>
      </c>
      <c r="J30" s="693"/>
      <c r="K30" s="692">
        <f t="array" ref="K30">IF($C30=0,0,(SUM(IF((CkDJ[JEV Number]=$C30)*(CkDJ[Account Code]=(J30)),CkDJ[Credit]))))</f>
        <v>0</v>
      </c>
      <c r="L30" s="692">
        <f t="array" ref="L30">IF(OR($C30=$C29,$C30=0),0,(SUM(IF((CkDJ[JEV Number]=$C30)*(CkDJ[Account Code]=(L$9)),CkDJ[Debit]))))</f>
        <v>0</v>
      </c>
      <c r="M30" s="692">
        <f t="array" ref="M30">IF(OR($C30=$C29,$C30=0),0,(SUM(IF((CkDJ[JEV Number]=$C30)*(CkDJ[Account Code]=(M$9)),CkDJ[Debit]))))</f>
        <v>0</v>
      </c>
      <c r="N30" s="692">
        <f t="array" ref="N30">IF(OR($C30=$C29,$C30=0),0,(SUM(IF((CkDJ[JEV Number]=$C30)*(CkDJ[Account Code]=(N$9)),CkDJ[Debit]))))</f>
        <v>0</v>
      </c>
      <c r="O30" s="692">
        <f t="array" ref="O30">IF(OR($C30=$C29,$C30=0),0,(SUM(IF((CkDJ[JEV Number]=$C30)*(CkDJ[Account Code]=(O$9)),CkDJ[Debit]))))</f>
        <v>0</v>
      </c>
      <c r="P30" s="726"/>
      <c r="Q30" s="692">
        <f t="array" ref="Q30">IF($C30=0,0,(SUM(IF((CkDJ[JEV Number]=$C30)*(CkDJ[Account Code]=(P30)),CkDJ[Debit]))))</f>
        <v>0</v>
      </c>
      <c r="R30" s="694">
        <f t="shared" si="3"/>
        <v>0</v>
      </c>
    </row>
    <row r="31" spans="1:18" x14ac:dyDescent="0.25">
      <c r="A31" s="673" t="str">
        <f t="array" ref="A31">IF(OR(C31=C30,C31=0),"",INDEX(CkDJ[Date],MATCH(C31,CkDJ[JEV Number],0)))</f>
        <v/>
      </c>
      <c r="B31" s="695"/>
      <c r="C31" s="690" t="str">
        <f>IF(B31=0,C30,B31)</f>
        <v>20-01-001</v>
      </c>
      <c r="D31" s="690"/>
      <c r="E31" s="690"/>
      <c r="F31" s="690"/>
      <c r="G31" s="691" t="str">
        <f t="array" ref="G31">IF(OR(C31=C30,C31=0),"",INDEX(CasheirCode[Name],MATCH((INDEX(CkDJ[Sort Code],MATCH(C31,CkDJ[JEV Number],0))),CasheirCode[Sort Code])))</f>
        <v/>
      </c>
      <c r="H31" s="692">
        <f t="array" ref="H31">IF(OR($C31=$C30,$C31=0),0,(SUM(IF((CkDJ[JEV Number]=$C31)*(CkDJ[Account Code]=(H$9)),CkDJ[Credit]))))</f>
        <v>0</v>
      </c>
      <c r="I31" s="692">
        <f t="array" ref="I31">IF(OR($C31=$C30,$C31=0),0,(SUM(IF((CkDJ[JEV Number]=$C31)*(CkDJ[Account Code]=(I$9)),CkDJ[Credit]))))</f>
        <v>0</v>
      </c>
      <c r="J31" s="693"/>
      <c r="K31" s="692">
        <f t="array" ref="K31">IF($C31=0,0,(SUM(IF((CkDJ[JEV Number]=$C31)*(CkDJ[Account Code]=(J31)),CkDJ[Credit]))))</f>
        <v>0</v>
      </c>
      <c r="L31" s="692">
        <f t="array" ref="L31">IF(OR($C31=$C30,$C31=0),0,(SUM(IF((CkDJ[JEV Number]=$C31)*(CkDJ[Account Code]=(L$9)),CkDJ[Debit]))))</f>
        <v>0</v>
      </c>
      <c r="M31" s="692">
        <f t="array" ref="M31">IF(OR($C31=$C30,$C31=0),0,(SUM(IF((CkDJ[JEV Number]=$C31)*(CkDJ[Account Code]=(M$9)),CkDJ[Debit]))))</f>
        <v>0</v>
      </c>
      <c r="N31" s="692">
        <f t="array" ref="N31">IF(OR($C31=$C30,$C31=0),0,(SUM(IF((CkDJ[JEV Number]=$C31)*(CkDJ[Account Code]=(N$9)),CkDJ[Debit]))))</f>
        <v>0</v>
      </c>
      <c r="O31" s="692">
        <f t="array" ref="O31">IF(OR($C31=$C30,$C31=0),0,(SUM(IF((CkDJ[JEV Number]=$C31)*(CkDJ[Account Code]=(O$9)),CkDJ[Debit]))))</f>
        <v>0</v>
      </c>
      <c r="P31" s="726"/>
      <c r="Q31" s="692">
        <f t="array" ref="Q31">IF($C31=0,0,(SUM(IF((CkDJ[JEV Number]=$C31)*(CkDJ[Account Code]=(P31)),CkDJ[Debit]))))</f>
        <v>0</v>
      </c>
      <c r="R31" s="694">
        <f>R30+(SUM(L31:O31)+Q31)-(SUM(H31:I31)+K31)</f>
        <v>0</v>
      </c>
    </row>
    <row r="32" spans="1:18" x14ac:dyDescent="0.25">
      <c r="A32" s="673" t="str">
        <f t="array" ref="A32">IF(OR(C32=C31,C32=0),"",INDEX(CkDJ[Date],MATCH(C32,CkDJ[JEV Number],0)))</f>
        <v/>
      </c>
      <c r="B32" s="674"/>
      <c r="C32" s="690" t="str">
        <f t="shared" si="2"/>
        <v>20-01-001</v>
      </c>
      <c r="D32" s="690"/>
      <c r="E32" s="690"/>
      <c r="F32" s="690"/>
      <c r="G32" s="691" t="str">
        <f t="array" ref="G32">IF(OR(C32=C31,C32=0),"",INDEX(CasheirCode[Name],MATCH((INDEX(CkDJ[Sort Code],MATCH(C32,CkDJ[JEV Number],0))),CasheirCode[Sort Code])))</f>
        <v/>
      </c>
      <c r="H32" s="692">
        <f t="array" ref="H32">IF(OR($C32=$C31,$C32=0),0,(SUM(IF((CkDJ[JEV Number]=$C32)*(CkDJ[Account Code]=(H$9)),CkDJ[Credit]))))</f>
        <v>0</v>
      </c>
      <c r="I32" s="692">
        <f t="array" ref="I32">IF(OR($C32=$C31,$C32=0),0,(SUM(IF((CkDJ[JEV Number]=$C32)*(CkDJ[Account Code]=(I$9)),CkDJ[Credit]))))</f>
        <v>0</v>
      </c>
      <c r="J32" s="678"/>
      <c r="K32" s="692">
        <f t="array" ref="K32">IF($C32=0,0,(SUM(IF((CkDJ[JEV Number]=$C32)*(CkDJ[Account Code]=(J32)),CkDJ[Credit]))))</f>
        <v>0</v>
      </c>
      <c r="L32" s="692">
        <f t="array" ref="L32">IF(OR($C32=$C31,$C32=0),0,(SUM(IF((CkDJ[JEV Number]=$C32)*(CkDJ[Account Code]=(L$9)),CkDJ[Debit]))))</f>
        <v>0</v>
      </c>
      <c r="M32" s="692">
        <f t="array" ref="M32">IF(OR($C32=$C31,$C32=0),0,(SUM(IF((CkDJ[JEV Number]=$C32)*(CkDJ[Account Code]=(M$9)),CkDJ[Debit]))))</f>
        <v>0</v>
      </c>
      <c r="N32" s="692">
        <f t="array" ref="N32">IF(OR($C32=$C31,$C32=0),0,(SUM(IF((CkDJ[JEV Number]=$C32)*(CkDJ[Account Code]=(N$9)),CkDJ[Debit]))))</f>
        <v>0</v>
      </c>
      <c r="O32" s="692">
        <f t="array" ref="O32">IF(OR($C32=$C31,$C32=0),0,(SUM(IF((CkDJ[JEV Number]=$C32)*(CkDJ[Account Code]=(O$9)),CkDJ[Debit]))))</f>
        <v>0</v>
      </c>
      <c r="P32" s="726"/>
      <c r="Q32" s="692">
        <f t="array" ref="Q32">IF($C32=0,0,(SUM(IF((CkDJ[JEV Number]=$C32)*(CkDJ[Account Code]=(P32)),CkDJ[Debit]))))</f>
        <v>0</v>
      </c>
      <c r="R32" s="694">
        <f t="shared" si="3"/>
        <v>0</v>
      </c>
    </row>
    <row r="33" spans="1:18" x14ac:dyDescent="0.25">
      <c r="A33" s="673" t="str">
        <f t="array" ref="A33">IF(OR(C33=C32,C33=0),"",INDEX(CkDJ[Date],MATCH(C33,CkDJ[JEV Number],0)))</f>
        <v/>
      </c>
      <c r="B33" s="695"/>
      <c r="C33" s="690" t="str">
        <f t="shared" si="2"/>
        <v>20-01-001</v>
      </c>
      <c r="D33" s="690"/>
      <c r="E33" s="690"/>
      <c r="F33" s="690"/>
      <c r="G33" s="691" t="str">
        <f t="array" ref="G33">IF(OR(C33=C32,C33=0),"",INDEX(CasheirCode[Name],MATCH((INDEX(CkDJ[Sort Code],MATCH(C33,CkDJ[JEV Number],0))),CasheirCode[Sort Code])))</f>
        <v/>
      </c>
      <c r="H33" s="692">
        <f t="array" ref="H33">IF(OR($C33=$C32,$C33=0),0,(SUM(IF((CkDJ[JEV Number]=$C33)*(CkDJ[Account Code]=(H$9)),CkDJ[Credit]))))</f>
        <v>0</v>
      </c>
      <c r="I33" s="692">
        <f t="array" ref="I33">IF(OR($C33=$C32,$C33=0),0,(SUM(IF((CkDJ[JEV Number]=$C33)*(CkDJ[Account Code]=(I$9)),CkDJ[Credit]))))</f>
        <v>0</v>
      </c>
      <c r="J33" s="678"/>
      <c r="K33" s="692">
        <f t="array" ref="K33">IF($C33=0,0,(SUM(IF((CkDJ[JEV Number]=$C33)*(CkDJ[Account Code]=(J33)),CkDJ[Credit]))))</f>
        <v>0</v>
      </c>
      <c r="L33" s="692">
        <f t="array" ref="L33">IF(OR($C33=$C32,$C33=0),0,(SUM(IF((CkDJ[JEV Number]=$C33)*(CkDJ[Account Code]=(L$9)),CkDJ[Debit]))))</f>
        <v>0</v>
      </c>
      <c r="M33" s="692">
        <f t="array" ref="M33">IF(OR($C33=$C32,$C33=0),0,(SUM(IF((CkDJ[JEV Number]=$C33)*(CkDJ[Account Code]=(M$9)),CkDJ[Debit]))))</f>
        <v>0</v>
      </c>
      <c r="N33" s="692">
        <f t="array" ref="N33">IF(OR($C33=$C32,$C33=0),0,(SUM(IF((CkDJ[JEV Number]=$C33)*(CkDJ[Account Code]=(N$9)),CkDJ[Debit]))))</f>
        <v>0</v>
      </c>
      <c r="O33" s="692">
        <f t="array" ref="O33">IF(OR($C33=$C32,$C33=0),0,(SUM(IF((CkDJ[JEV Number]=$C33)*(CkDJ[Account Code]=(O$9)),CkDJ[Debit]))))</f>
        <v>0</v>
      </c>
      <c r="P33" s="726"/>
      <c r="Q33" s="692">
        <f t="array" ref="Q33">IF($C33=0,0,(SUM(IF((CkDJ[JEV Number]=$C33)*(CkDJ[Account Code]=(P33)),CkDJ[Debit]))))</f>
        <v>0</v>
      </c>
      <c r="R33" s="694">
        <f t="shared" si="3"/>
        <v>0</v>
      </c>
    </row>
    <row r="34" spans="1:18" x14ac:dyDescent="0.25">
      <c r="A34" s="673" t="str">
        <f t="array" ref="A34">IF(OR(C34=C33,C34=0),"",INDEX(CkDJ[Date],MATCH(C34,CkDJ[JEV Number],0)))</f>
        <v/>
      </c>
      <c r="B34" s="674"/>
      <c r="C34" s="690" t="str">
        <f t="shared" si="2"/>
        <v>20-01-001</v>
      </c>
      <c r="D34" s="690"/>
      <c r="E34" s="690"/>
      <c r="F34" s="690"/>
      <c r="G34" s="691" t="str">
        <f t="array" ref="G34">IF(OR(C34=C33,C34=0),"",INDEX(CasheirCode[Name],MATCH((INDEX(CkDJ[Sort Code],MATCH(C34,CkDJ[JEV Number],0))),CasheirCode[Sort Code])))</f>
        <v/>
      </c>
      <c r="H34" s="692">
        <f t="array" ref="H34">IF(OR($C34=$C33,$C34=0),0,(SUM(IF((CkDJ[JEV Number]=$C34)*(CkDJ[Account Code]=(H$9)),CkDJ[Credit]))))</f>
        <v>0</v>
      </c>
      <c r="I34" s="692">
        <f t="array" ref="I34">IF(OR($C34=$C33,$C34=0),0,(SUM(IF((CkDJ[JEV Number]=$C34)*(CkDJ[Account Code]=(I$9)),CkDJ[Credit]))))</f>
        <v>0</v>
      </c>
      <c r="J34" s="678"/>
      <c r="K34" s="692">
        <f t="array" ref="K34">IF($C34=0,0,(SUM(IF((CkDJ[JEV Number]=$C34)*(CkDJ[Account Code]=(J34)),CkDJ[Credit]))))</f>
        <v>0</v>
      </c>
      <c r="L34" s="692">
        <f t="array" ref="L34">IF(OR($C34=$C33,$C34=0),0,(SUM(IF((CkDJ[JEV Number]=$C34)*(CkDJ[Account Code]=(L$9)),CkDJ[Debit]))))</f>
        <v>0</v>
      </c>
      <c r="M34" s="692">
        <f t="array" ref="M34">IF(OR($C34=$C33,$C34=0),0,(SUM(IF((CkDJ[JEV Number]=$C34)*(CkDJ[Account Code]=(M$9)),CkDJ[Debit]))))</f>
        <v>0</v>
      </c>
      <c r="N34" s="692">
        <f t="array" ref="N34">IF(OR($C34=$C33,$C34=0),0,(SUM(IF((CkDJ[JEV Number]=$C34)*(CkDJ[Account Code]=(N$9)),CkDJ[Debit]))))</f>
        <v>0</v>
      </c>
      <c r="O34" s="692">
        <f t="array" ref="O34">IF(OR($C34=$C33,$C34=0),0,(SUM(IF((CkDJ[JEV Number]=$C34)*(CkDJ[Account Code]=(O$9)),CkDJ[Debit]))))</f>
        <v>0</v>
      </c>
      <c r="P34" s="726"/>
      <c r="Q34" s="692">
        <f t="array" ref="Q34">IF($C34=0,0,(SUM(IF((CkDJ[JEV Number]=$C34)*(CkDJ[Account Code]=(P34)),CkDJ[Debit]))))</f>
        <v>0</v>
      </c>
      <c r="R34" s="694">
        <f t="shared" si="3"/>
        <v>0</v>
      </c>
    </row>
    <row r="35" spans="1:18" x14ac:dyDescent="0.25">
      <c r="A35" s="673" t="str">
        <f t="array" ref="A35">IF(OR(C35=C34,C35=0),"",INDEX(CkDJ[Date],MATCH(C35,CkDJ[JEV Number],0)))</f>
        <v/>
      </c>
      <c r="B35" s="674"/>
      <c r="C35" s="675" t="str">
        <f t="shared" ref="C35:C74" si="4">IF(B35=0,C34,B35)</f>
        <v>20-01-001</v>
      </c>
      <c r="D35" s="675"/>
      <c r="E35" s="675"/>
      <c r="F35" s="675"/>
      <c r="G35" s="676" t="str">
        <f t="array" ref="G35">IF(OR(C35=C34,C35=0),"",INDEX(CasheirCode[Name],MATCH((INDEX(CkDJ[Sort Code],MATCH(C35,CkDJ[JEV Number],0))),CasheirCode[Sort Code])))</f>
        <v/>
      </c>
      <c r="H35" s="677">
        <f t="array" ref="H35">IF(OR($C35=$C34,$C35=0),0,(SUM(IF((CkDJ[JEV Number]=$C35)*(CkDJ[Account Code]=(H$9)),CkDJ[Credit]))))</f>
        <v>0</v>
      </c>
      <c r="I35" s="677">
        <f t="array" ref="I35">IF(OR($C35=$C34,$C35=0),0,(SUM(IF((CkDJ[JEV Number]=$C35)*(CkDJ[Account Code]=(I$9)),CkDJ[Credit]))))</f>
        <v>0</v>
      </c>
      <c r="J35" s="678"/>
      <c r="K35" s="677">
        <f t="array" ref="K35">IF($C35=0,0,(SUM(IF((CkDJ[JEV Number]=$C35)*(CkDJ[Account Code]=(J35)),CkDJ[Credit]))))</f>
        <v>0</v>
      </c>
      <c r="L35" s="677">
        <f t="array" ref="L35">IF(OR($C35=$C34,$C35=0),0,(SUM(IF((CkDJ[JEV Number]=$C35)*(CkDJ[Account Code]=(L$9)),CkDJ[Debit]))))</f>
        <v>0</v>
      </c>
      <c r="M35" s="677">
        <f t="array" ref="M35">IF(OR($C35=$C34,$C35=0),0,(SUM(IF((CkDJ[JEV Number]=$C35)*(CkDJ[Account Code]=(M$9)),CkDJ[Debit]))))</f>
        <v>0</v>
      </c>
      <c r="N35" s="677">
        <f t="array" ref="N35">IF(OR($C35=$C34,$C35=0),0,(SUM(IF((CkDJ[JEV Number]=$C35)*(CkDJ[Account Code]=(N$9)),CkDJ[Debit]))))</f>
        <v>0</v>
      </c>
      <c r="O35" s="677">
        <f t="array" ref="O35">IF(OR($C35=$C34,$C35=0),0,(SUM(IF((CkDJ[JEV Number]=$C35)*(CkDJ[Account Code]=(O$9)),CkDJ[Debit]))))</f>
        <v>0</v>
      </c>
      <c r="P35" s="726"/>
      <c r="Q35" s="692">
        <f t="array" ref="Q35">IF($C35=0,0,(SUM(IF((CkDJ[JEV Number]=$C35)*(CkDJ[Account Code]=(P35)),CkDJ[Debit]))))</f>
        <v>0</v>
      </c>
      <c r="R35" s="679">
        <f t="shared" ref="R35:R74" si="5">R34+(SUM(L35:O35)+Q35)-(SUM(H35:I35)+K35)</f>
        <v>0</v>
      </c>
    </row>
    <row r="36" spans="1:18" x14ac:dyDescent="0.25">
      <c r="A36" s="673" t="str">
        <f t="array" ref="A36">IF(OR(C36=C35,C36=0),"",INDEX(CkDJ[Date],MATCH(C36,CkDJ[JEV Number],0)))</f>
        <v/>
      </c>
      <c r="B36" s="674"/>
      <c r="C36" s="675" t="str">
        <f t="shared" si="4"/>
        <v>20-01-001</v>
      </c>
      <c r="D36" s="675"/>
      <c r="E36" s="675"/>
      <c r="F36" s="675"/>
      <c r="G36" s="676" t="str">
        <f t="array" ref="G36">IF(OR(C36=C35,C36=0),"",INDEX(CasheirCode[Name],MATCH((INDEX(CkDJ[Sort Code],MATCH(C36,CkDJ[JEV Number],0))),CasheirCode[Sort Code])))</f>
        <v/>
      </c>
      <c r="H36" s="677">
        <f t="array" ref="H36">IF(OR($C36=$C35,$C36=0),0,(SUM(IF((CkDJ[JEV Number]=$C36)*(CkDJ[Account Code]=(H$9)),CkDJ[Credit]))))</f>
        <v>0</v>
      </c>
      <c r="I36" s="677">
        <f t="array" ref="I36">IF(OR($C36=$C35,$C36=0),0,(SUM(IF((CkDJ[JEV Number]=$C36)*(CkDJ[Account Code]=(I$9)),CkDJ[Credit]))))</f>
        <v>0</v>
      </c>
      <c r="J36" s="678"/>
      <c r="K36" s="677">
        <f t="array" ref="K36">IF($C36=0,0,(SUM(IF((CkDJ[JEV Number]=$C36)*(CkDJ[Account Code]=(J36)),CkDJ[Credit]))))</f>
        <v>0</v>
      </c>
      <c r="L36" s="677">
        <f t="array" ref="L36">IF(OR($C36=$C35,$C36=0),0,(SUM(IF((CkDJ[JEV Number]=$C36)*(CkDJ[Account Code]=(L$9)),CkDJ[Debit]))))</f>
        <v>0</v>
      </c>
      <c r="M36" s="677">
        <f t="array" ref="M36">IF(OR($C36=$C35,$C36=0),0,(SUM(IF((CkDJ[JEV Number]=$C36)*(CkDJ[Account Code]=(M$9)),CkDJ[Debit]))))</f>
        <v>0</v>
      </c>
      <c r="N36" s="677">
        <f t="array" ref="N36">IF(OR($C36=$C35,$C36=0),0,(SUM(IF((CkDJ[JEV Number]=$C36)*(CkDJ[Account Code]=(N$9)),CkDJ[Debit]))))</f>
        <v>0</v>
      </c>
      <c r="O36" s="677">
        <f t="array" ref="O36">IF(OR($C36=$C35,$C36=0),0,(SUM(IF((CkDJ[JEV Number]=$C36)*(CkDJ[Account Code]=(O$9)),CkDJ[Debit]))))</f>
        <v>0</v>
      </c>
      <c r="P36" s="726"/>
      <c r="Q36" s="692">
        <f t="array" ref="Q36">IF($C36=0,0,(SUM(IF((CkDJ[JEV Number]=$C36)*(CkDJ[Account Code]=(P36)),CkDJ[Debit]))))</f>
        <v>0</v>
      </c>
      <c r="R36" s="679">
        <f t="shared" si="5"/>
        <v>0</v>
      </c>
    </row>
    <row r="37" spans="1:18" x14ac:dyDescent="0.25">
      <c r="A37" s="673" t="str">
        <f t="array" ref="A37">IF(OR(C37=C36,C37=0),"",INDEX(CkDJ[Date],MATCH(C37,CkDJ[JEV Number],0)))</f>
        <v/>
      </c>
      <c r="B37" s="674"/>
      <c r="C37" s="675" t="str">
        <f t="shared" si="4"/>
        <v>20-01-001</v>
      </c>
      <c r="D37" s="675"/>
      <c r="E37" s="675"/>
      <c r="F37" s="675"/>
      <c r="G37" s="676" t="str">
        <f t="array" ref="G37">IF(OR(C37=C36,C37=0),"",INDEX(CasheirCode[Name],MATCH((INDEX(CkDJ[Sort Code],MATCH(C37,CkDJ[JEV Number],0))),CasheirCode[Sort Code])))</f>
        <v/>
      </c>
      <c r="H37" s="677">
        <f t="array" ref="H37">IF(OR($C37=$C36,$C37=0),0,(SUM(IF((CkDJ[JEV Number]=$C37)*(CkDJ[Account Code]=(H$9)),CkDJ[Credit]))))</f>
        <v>0</v>
      </c>
      <c r="I37" s="677">
        <f t="array" ref="I37">IF(OR($C37=$C36,$C37=0),0,(SUM(IF((CkDJ[JEV Number]=$C37)*(CkDJ[Account Code]=(I$9)),CkDJ[Credit]))))</f>
        <v>0</v>
      </c>
      <c r="J37" s="678"/>
      <c r="K37" s="677">
        <f t="array" ref="K37">IF($C37=0,0,(SUM(IF((CkDJ[JEV Number]=$C37)*(CkDJ[Account Code]=(J37)),CkDJ[Credit]))))</f>
        <v>0</v>
      </c>
      <c r="L37" s="677">
        <f t="array" ref="L37">IF(OR($C37=$C36,$C37=0),0,(SUM(IF((CkDJ[JEV Number]=$C37)*(CkDJ[Account Code]=(L$9)),CkDJ[Debit]))))</f>
        <v>0</v>
      </c>
      <c r="M37" s="677">
        <f t="array" ref="M37">IF(OR($C37=$C36,$C37=0),0,(SUM(IF((CkDJ[JEV Number]=$C37)*(CkDJ[Account Code]=(M$9)),CkDJ[Debit]))))</f>
        <v>0</v>
      </c>
      <c r="N37" s="677">
        <f t="array" ref="N37">IF(OR($C37=$C36,$C37=0),0,(SUM(IF((CkDJ[JEV Number]=$C37)*(CkDJ[Account Code]=(N$9)),CkDJ[Debit]))))</f>
        <v>0</v>
      </c>
      <c r="O37" s="677">
        <f t="array" ref="O37">IF(OR($C37=$C36,$C37=0),0,(SUM(IF((CkDJ[JEV Number]=$C37)*(CkDJ[Account Code]=(O$9)),CkDJ[Debit]))))</f>
        <v>0</v>
      </c>
      <c r="P37" s="726"/>
      <c r="Q37" s="692">
        <f t="array" ref="Q37">IF($C37=0,0,(SUM(IF((CkDJ[JEV Number]=$C37)*(CkDJ[Account Code]=(P37)),CkDJ[Debit]))))</f>
        <v>0</v>
      </c>
      <c r="R37" s="679">
        <f t="shared" si="5"/>
        <v>0</v>
      </c>
    </row>
    <row r="38" spans="1:18" x14ac:dyDescent="0.25">
      <c r="A38" s="673" t="str">
        <f t="array" ref="A38">IF(OR(C38=C37,C38=0),"",INDEX(CkDJ[Date],MATCH(C38,CkDJ[JEV Number],0)))</f>
        <v/>
      </c>
      <c r="B38" s="674"/>
      <c r="C38" s="675" t="str">
        <f t="shared" si="4"/>
        <v>20-01-001</v>
      </c>
      <c r="D38" s="675"/>
      <c r="E38" s="675"/>
      <c r="F38" s="675"/>
      <c r="G38" s="676" t="str">
        <f t="array" ref="G38">IF(OR(C38=C37,C38=0),"",INDEX(CasheirCode[Name],MATCH((INDEX(CkDJ[Sort Code],MATCH(C38,CkDJ[JEV Number],0))),CasheirCode[Sort Code])))</f>
        <v/>
      </c>
      <c r="H38" s="677">
        <f t="array" ref="H38">IF(OR($C38=$C37,$C38=0),0,(SUM(IF((CkDJ[JEV Number]=$C38)*(CkDJ[Account Code]=(H$9)),CkDJ[Credit]))))</f>
        <v>0</v>
      </c>
      <c r="I38" s="677">
        <f t="array" ref="I38">IF(OR($C38=$C37,$C38=0),0,(SUM(IF((CkDJ[JEV Number]=$C38)*(CkDJ[Account Code]=(I$9)),CkDJ[Credit]))))</f>
        <v>0</v>
      </c>
      <c r="J38" s="678"/>
      <c r="K38" s="677">
        <f t="array" ref="K38">IF($C38=0,0,(SUM(IF((CkDJ[JEV Number]=$C38)*(CkDJ[Account Code]=(J38)),CkDJ[Credit]))))</f>
        <v>0</v>
      </c>
      <c r="L38" s="677">
        <f t="array" ref="L38">IF(OR($C38=$C37,$C38=0),0,(SUM(IF((CkDJ[JEV Number]=$C38)*(CkDJ[Account Code]=(L$9)),CkDJ[Debit]))))</f>
        <v>0</v>
      </c>
      <c r="M38" s="677">
        <f t="array" ref="M38">IF(OR($C38=$C37,$C38=0),0,(SUM(IF((CkDJ[JEV Number]=$C38)*(CkDJ[Account Code]=(M$9)),CkDJ[Debit]))))</f>
        <v>0</v>
      </c>
      <c r="N38" s="677">
        <f t="array" ref="N38">IF(OR($C38=$C37,$C38=0),0,(SUM(IF((CkDJ[JEV Number]=$C38)*(CkDJ[Account Code]=(N$9)),CkDJ[Debit]))))</f>
        <v>0</v>
      </c>
      <c r="O38" s="677">
        <f t="array" ref="O38">IF(OR($C38=$C37,$C38=0),0,(SUM(IF((CkDJ[JEV Number]=$C38)*(CkDJ[Account Code]=(O$9)),CkDJ[Debit]))))</f>
        <v>0</v>
      </c>
      <c r="P38" s="726"/>
      <c r="Q38" s="692">
        <f t="array" ref="Q38">IF($C38=0,0,(SUM(IF((CkDJ[JEV Number]=$C38)*(CkDJ[Account Code]=(P38)),CkDJ[Debit]))))</f>
        <v>0</v>
      </c>
      <c r="R38" s="679">
        <f t="shared" si="5"/>
        <v>0</v>
      </c>
    </row>
    <row r="39" spans="1:18" x14ac:dyDescent="0.25">
      <c r="A39" s="673" t="str">
        <f t="array" ref="A39">IF(OR(C39=C38,C39=0),"",INDEX(CkDJ[Date],MATCH(C39,CkDJ[JEV Number],0)))</f>
        <v/>
      </c>
      <c r="B39" s="674"/>
      <c r="C39" s="675" t="str">
        <f t="shared" si="4"/>
        <v>20-01-001</v>
      </c>
      <c r="D39" s="675"/>
      <c r="E39" s="675"/>
      <c r="F39" s="675"/>
      <c r="G39" s="676" t="str">
        <f t="array" ref="G39">IF(OR(C39=C38,C39=0),"",INDEX(CasheirCode[Name],MATCH((INDEX(CkDJ[Sort Code],MATCH(C39,CkDJ[JEV Number],0))),CasheirCode[Sort Code])))</f>
        <v/>
      </c>
      <c r="H39" s="677">
        <f t="array" ref="H39">IF(OR($C39=$C38,$C39=0),0,(SUM(IF((CkDJ[JEV Number]=$C39)*(CkDJ[Account Code]=(H$9)),CkDJ[Credit]))))</f>
        <v>0</v>
      </c>
      <c r="I39" s="677">
        <f t="array" ref="I39">IF(OR($C39=$C38,$C39=0),0,(SUM(IF((CkDJ[JEV Number]=$C39)*(CkDJ[Account Code]=(I$9)),CkDJ[Credit]))))</f>
        <v>0</v>
      </c>
      <c r="J39" s="678"/>
      <c r="K39" s="677">
        <f t="array" ref="K39">IF($C39=0,0,(SUM(IF((CkDJ[JEV Number]=$C39)*(CkDJ[Account Code]=(J39)),CkDJ[Credit]))))</f>
        <v>0</v>
      </c>
      <c r="L39" s="677">
        <f t="array" ref="L39">IF(OR($C39=$C38,$C39=0),0,(SUM(IF((CkDJ[JEV Number]=$C39)*(CkDJ[Account Code]=(L$9)),CkDJ[Debit]))))</f>
        <v>0</v>
      </c>
      <c r="M39" s="677">
        <f t="array" ref="M39">IF(OR($C39=$C38,$C39=0),0,(SUM(IF((CkDJ[JEV Number]=$C39)*(CkDJ[Account Code]=(M$9)),CkDJ[Debit]))))</f>
        <v>0</v>
      </c>
      <c r="N39" s="677">
        <f t="array" ref="N39">IF(OR($C39=$C38,$C39=0),0,(SUM(IF((CkDJ[JEV Number]=$C39)*(CkDJ[Account Code]=(N$9)),CkDJ[Debit]))))</f>
        <v>0</v>
      </c>
      <c r="O39" s="677">
        <f t="array" ref="O39">IF(OR($C39=$C38,$C39=0),0,(SUM(IF((CkDJ[JEV Number]=$C39)*(CkDJ[Account Code]=(O$9)),CkDJ[Debit]))))</f>
        <v>0</v>
      </c>
      <c r="P39" s="726"/>
      <c r="Q39" s="692">
        <f t="array" ref="Q39">IF($C39=0,0,(SUM(IF((CkDJ[JEV Number]=$C39)*(CkDJ[Account Code]=(P39)),CkDJ[Debit]))))</f>
        <v>0</v>
      </c>
      <c r="R39" s="679">
        <f t="shared" si="5"/>
        <v>0</v>
      </c>
    </row>
    <row r="40" spans="1:18" x14ac:dyDescent="0.25">
      <c r="A40" s="673" t="str">
        <f t="array" ref="A40">IF(OR(C40=C39,C40=0),"",INDEX(CkDJ[Date],MATCH(C40,CkDJ[JEV Number],0)))</f>
        <v/>
      </c>
      <c r="B40" s="674"/>
      <c r="C40" s="675" t="str">
        <f t="shared" si="4"/>
        <v>20-01-001</v>
      </c>
      <c r="D40" s="675"/>
      <c r="E40" s="675"/>
      <c r="F40" s="675"/>
      <c r="G40" s="676" t="str">
        <f t="array" ref="G40">IF(OR(C40=C39,C40=0),"",INDEX(CasheirCode[Name],MATCH((INDEX(CkDJ[Sort Code],MATCH(C40,CkDJ[JEV Number],0))),CasheirCode[Sort Code])))</f>
        <v/>
      </c>
      <c r="H40" s="677">
        <f t="array" ref="H40">IF(OR($C40=$C39,$C40=0),0,(SUM(IF((CkDJ[JEV Number]=$C40)*(CkDJ[Account Code]=(H$9)),CkDJ[Credit]))))</f>
        <v>0</v>
      </c>
      <c r="I40" s="677">
        <f t="array" ref="I40">IF(OR($C40=$C39,$C40=0),0,(SUM(IF((CkDJ[JEV Number]=$C40)*(CkDJ[Account Code]=(I$9)),CkDJ[Credit]))))</f>
        <v>0</v>
      </c>
      <c r="J40" s="678"/>
      <c r="K40" s="677">
        <f t="array" ref="K40">IF($C40=0,0,(SUM(IF((CkDJ[JEV Number]=$C40)*(CkDJ[Account Code]=(J40)),CkDJ[Credit]))))</f>
        <v>0</v>
      </c>
      <c r="L40" s="677">
        <f t="array" ref="L40">IF(OR($C40=$C39,$C40=0),0,(SUM(IF((CkDJ[JEV Number]=$C40)*(CkDJ[Account Code]=(L$9)),CkDJ[Debit]))))</f>
        <v>0</v>
      </c>
      <c r="M40" s="677">
        <f t="array" ref="M40">IF(OR($C40=$C39,$C40=0),0,(SUM(IF((CkDJ[JEV Number]=$C40)*(CkDJ[Account Code]=(M$9)),CkDJ[Debit]))))</f>
        <v>0</v>
      </c>
      <c r="N40" s="677">
        <f t="array" ref="N40">IF(OR($C40=$C39,$C40=0),0,(SUM(IF((CkDJ[JEV Number]=$C40)*(CkDJ[Account Code]=(N$9)),CkDJ[Debit]))))</f>
        <v>0</v>
      </c>
      <c r="O40" s="677">
        <f t="array" ref="O40">IF(OR($C40=$C39,$C40=0),0,(SUM(IF((CkDJ[JEV Number]=$C40)*(CkDJ[Account Code]=(O$9)),CkDJ[Debit]))))</f>
        <v>0</v>
      </c>
      <c r="P40" s="726"/>
      <c r="Q40" s="692">
        <f t="array" ref="Q40">IF($C40=0,0,(SUM(IF((CkDJ[JEV Number]=$C40)*(CkDJ[Account Code]=(P40)),CkDJ[Debit]))))</f>
        <v>0</v>
      </c>
      <c r="R40" s="679">
        <f t="shared" si="5"/>
        <v>0</v>
      </c>
    </row>
    <row r="41" spans="1:18" x14ac:dyDescent="0.25">
      <c r="A41" s="673" t="str">
        <f t="array" ref="A41">IF(OR(C41=C40,C41=0),"",INDEX(CkDJ[Date],MATCH(C41,CkDJ[JEV Number],0)))</f>
        <v/>
      </c>
      <c r="B41" s="674"/>
      <c r="C41" s="675" t="str">
        <f t="shared" si="4"/>
        <v>20-01-001</v>
      </c>
      <c r="D41" s="675"/>
      <c r="E41" s="675"/>
      <c r="F41" s="675"/>
      <c r="G41" s="676" t="str">
        <f t="array" ref="G41">IF(OR(C41=C40,C41=0),"",INDEX(CasheirCode[Name],MATCH((INDEX(CkDJ[Sort Code],MATCH(C41,CkDJ[JEV Number],0))),CasheirCode[Sort Code])))</f>
        <v/>
      </c>
      <c r="H41" s="677">
        <f t="array" ref="H41">IF(OR($C41=$C40,$C41=0),0,(SUM(IF((CkDJ[JEV Number]=$C41)*(CkDJ[Account Code]=(H$9)),CkDJ[Credit]))))</f>
        <v>0</v>
      </c>
      <c r="I41" s="677">
        <f t="array" ref="I41">IF(OR($C41=$C40,$C41=0),0,(SUM(IF((CkDJ[JEV Number]=$C41)*(CkDJ[Account Code]=(I$9)),CkDJ[Credit]))))</f>
        <v>0</v>
      </c>
      <c r="J41" s="678"/>
      <c r="K41" s="677">
        <f t="array" ref="K41">IF($C41=0,0,(SUM(IF((CkDJ[JEV Number]=$C41)*(CkDJ[Account Code]=(J41)),CkDJ[Credit]))))</f>
        <v>0</v>
      </c>
      <c r="L41" s="677">
        <f t="array" ref="L41">IF(OR($C41=$C40,$C41=0),0,(SUM(IF((CkDJ[JEV Number]=$C41)*(CkDJ[Account Code]=(L$9)),CkDJ[Debit]))))</f>
        <v>0</v>
      </c>
      <c r="M41" s="677">
        <f t="array" ref="M41">IF(OR($C41=$C40,$C41=0),0,(SUM(IF((CkDJ[JEV Number]=$C41)*(CkDJ[Account Code]=(M$9)),CkDJ[Debit]))))</f>
        <v>0</v>
      </c>
      <c r="N41" s="677">
        <f t="array" ref="N41">IF(OR($C41=$C40,$C41=0),0,(SUM(IF((CkDJ[JEV Number]=$C41)*(CkDJ[Account Code]=(N$9)),CkDJ[Debit]))))</f>
        <v>0</v>
      </c>
      <c r="O41" s="677">
        <f t="array" ref="O41">IF(OR($C41=$C40,$C41=0),0,(SUM(IF((CkDJ[JEV Number]=$C41)*(CkDJ[Account Code]=(O$9)),CkDJ[Debit]))))</f>
        <v>0</v>
      </c>
      <c r="P41" s="726"/>
      <c r="Q41" s="692">
        <f t="array" ref="Q41">IF($C41=0,0,(SUM(IF((CkDJ[JEV Number]=$C41)*(CkDJ[Account Code]=(P41)),CkDJ[Debit]))))</f>
        <v>0</v>
      </c>
      <c r="R41" s="679">
        <f t="shared" si="5"/>
        <v>0</v>
      </c>
    </row>
    <row r="42" spans="1:18" x14ac:dyDescent="0.25">
      <c r="A42" s="673" t="str">
        <f t="array" ref="A42">IF(OR(C42=C41,C42=0),"",INDEX(CkDJ[Date],MATCH(C42,CkDJ[JEV Number],0)))</f>
        <v/>
      </c>
      <c r="B42" s="674"/>
      <c r="C42" s="675" t="str">
        <f t="shared" si="4"/>
        <v>20-01-001</v>
      </c>
      <c r="D42" s="675"/>
      <c r="E42" s="675"/>
      <c r="F42" s="675"/>
      <c r="G42" s="676" t="str">
        <f t="array" ref="G42">IF(OR(C42=C41,C42=0),"",INDEX(CasheirCode[Name],MATCH((INDEX(CkDJ[Sort Code],MATCH(C42,CkDJ[JEV Number],0))),CasheirCode[Sort Code])))</f>
        <v/>
      </c>
      <c r="H42" s="677">
        <f t="array" ref="H42">IF(OR($C42=$C41,$C42=0),0,(SUM(IF((CkDJ[JEV Number]=$C42)*(CkDJ[Account Code]=(H$9)),CkDJ[Credit]))))</f>
        <v>0</v>
      </c>
      <c r="I42" s="677">
        <f t="array" ref="I42">IF(OR($C42=$C41,$C42=0),0,(SUM(IF((CkDJ[JEV Number]=$C42)*(CkDJ[Account Code]=(I$9)),CkDJ[Credit]))))</f>
        <v>0</v>
      </c>
      <c r="J42" s="678"/>
      <c r="K42" s="677">
        <f t="array" ref="K42">IF($C42=0,0,(SUM(IF((CkDJ[JEV Number]=$C42)*(CkDJ[Account Code]=(J42)),CkDJ[Credit]))))</f>
        <v>0</v>
      </c>
      <c r="L42" s="677">
        <f t="array" ref="L42">IF(OR($C42=$C41,$C42=0),0,(SUM(IF((CkDJ[JEV Number]=$C42)*(CkDJ[Account Code]=(L$9)),CkDJ[Debit]))))</f>
        <v>0</v>
      </c>
      <c r="M42" s="677">
        <f t="array" ref="M42">IF(OR($C42=$C41,$C42=0),0,(SUM(IF((CkDJ[JEV Number]=$C42)*(CkDJ[Account Code]=(M$9)),CkDJ[Debit]))))</f>
        <v>0</v>
      </c>
      <c r="N42" s="677">
        <f t="array" ref="N42">IF(OR($C42=$C41,$C42=0),0,(SUM(IF((CkDJ[JEV Number]=$C42)*(CkDJ[Account Code]=(N$9)),CkDJ[Debit]))))</f>
        <v>0</v>
      </c>
      <c r="O42" s="677">
        <f t="array" ref="O42">IF(OR($C42=$C41,$C42=0),0,(SUM(IF((CkDJ[JEV Number]=$C42)*(CkDJ[Account Code]=(O$9)),CkDJ[Debit]))))</f>
        <v>0</v>
      </c>
      <c r="P42" s="725"/>
      <c r="Q42" s="692">
        <f t="array" ref="Q42">IF($C42=0,0,(SUM(IF((CkDJ[JEV Number]=$C42)*(CkDJ[Account Code]=(P42)),CkDJ[Debit]))))</f>
        <v>0</v>
      </c>
      <c r="R42" s="679">
        <f t="shared" si="5"/>
        <v>0</v>
      </c>
    </row>
    <row r="43" spans="1:18" x14ac:dyDescent="0.25">
      <c r="A43" s="673" t="str">
        <f t="array" ref="A43">IF(OR(C43=C42,C43=0),"",INDEX(CkDJ[Date],MATCH(C43,CkDJ[JEV Number],0)))</f>
        <v/>
      </c>
      <c r="B43" s="674"/>
      <c r="C43" s="675" t="str">
        <f t="shared" si="4"/>
        <v>20-01-001</v>
      </c>
      <c r="D43" s="675"/>
      <c r="E43" s="675"/>
      <c r="F43" s="675"/>
      <c r="G43" s="676" t="str">
        <f t="array" ref="G43">IF(OR(C43=C42,C43=0),"",INDEX(CasheirCode[Name],MATCH((INDEX(CkDJ[Sort Code],MATCH(C43,CkDJ[JEV Number],0))),CasheirCode[Sort Code])))</f>
        <v/>
      </c>
      <c r="H43" s="677">
        <f t="array" ref="H43">IF(OR($C43=$C42,$C43=0),0,(SUM(IF((CkDJ[JEV Number]=$C43)*(CkDJ[Account Code]=(H$9)),CkDJ[Credit]))))</f>
        <v>0</v>
      </c>
      <c r="I43" s="677">
        <f t="array" ref="I43">IF(OR($C43=$C42,$C43=0),0,(SUM(IF((CkDJ[JEV Number]=$C43)*(CkDJ[Account Code]=(I$9)),CkDJ[Credit]))))</f>
        <v>0</v>
      </c>
      <c r="J43" s="678"/>
      <c r="K43" s="677">
        <f t="array" ref="K43">IF($C43=0,0,(SUM(IF((CkDJ[JEV Number]=$C43)*(CkDJ[Account Code]=(J43)),CkDJ[Credit]))))</f>
        <v>0</v>
      </c>
      <c r="L43" s="677">
        <f t="array" ref="L43">IF(OR($C43=$C42,$C43=0),0,(SUM(IF((CkDJ[JEV Number]=$C43)*(CkDJ[Account Code]=(L$9)),CkDJ[Debit]))))</f>
        <v>0</v>
      </c>
      <c r="M43" s="677">
        <f t="array" ref="M43">IF(OR($C43=$C42,$C43=0),0,(SUM(IF((CkDJ[JEV Number]=$C43)*(CkDJ[Account Code]=(M$9)),CkDJ[Debit]))))</f>
        <v>0</v>
      </c>
      <c r="N43" s="677">
        <f t="array" ref="N43">IF(OR($C43=$C42,$C43=0),0,(SUM(IF((CkDJ[JEV Number]=$C43)*(CkDJ[Account Code]=(N$9)),CkDJ[Debit]))))</f>
        <v>0</v>
      </c>
      <c r="O43" s="677">
        <f t="array" ref="O43">IF(OR($C43=$C42,$C43=0),0,(SUM(IF((CkDJ[JEV Number]=$C43)*(CkDJ[Account Code]=(O$9)),CkDJ[Debit]))))</f>
        <v>0</v>
      </c>
      <c r="P43" s="726"/>
      <c r="Q43" s="692">
        <f t="array" ref="Q43">IF($C43=0,0,(SUM(IF((CkDJ[JEV Number]=$C43)*(CkDJ[Account Code]=(P43)),CkDJ[Debit]))))</f>
        <v>0</v>
      </c>
      <c r="R43" s="679">
        <f t="shared" si="5"/>
        <v>0</v>
      </c>
    </row>
    <row r="44" spans="1:18" x14ac:dyDescent="0.25">
      <c r="A44" s="673" t="str">
        <f t="array" ref="A44">IF(OR(C44=C43,C44=0),"",INDEX(CkDJ[Date],MATCH(C44,CkDJ[JEV Number],0)))</f>
        <v/>
      </c>
      <c r="B44" s="674"/>
      <c r="C44" s="675" t="str">
        <f t="shared" si="4"/>
        <v>20-01-001</v>
      </c>
      <c r="D44" s="675"/>
      <c r="E44" s="675"/>
      <c r="F44" s="675"/>
      <c r="G44" s="676" t="str">
        <f t="array" ref="G44">IF(OR(C44=C43,C44=0),"",INDEX(CasheirCode[Name],MATCH((INDEX(CkDJ[Sort Code],MATCH(C44,CkDJ[JEV Number],0))),CasheirCode[Sort Code])))</f>
        <v/>
      </c>
      <c r="H44" s="677">
        <f t="array" ref="H44">IF(OR($C44=$C43,$C44=0),0,(SUM(IF((CkDJ[JEV Number]=$C44)*(CkDJ[Account Code]=(H$9)),CkDJ[Credit]))))</f>
        <v>0</v>
      </c>
      <c r="I44" s="677">
        <f t="array" ref="I44">IF(OR($C44=$C43,$C44=0),0,(SUM(IF((CkDJ[JEV Number]=$C44)*(CkDJ[Account Code]=(I$9)),CkDJ[Credit]))))</f>
        <v>0</v>
      </c>
      <c r="J44" s="678"/>
      <c r="K44" s="677">
        <f t="array" ref="K44">IF($C44=0,0,(SUM(IF((CkDJ[JEV Number]=$C44)*(CkDJ[Account Code]=(J44)),CkDJ[Credit]))))</f>
        <v>0</v>
      </c>
      <c r="L44" s="677">
        <f t="array" ref="L44">IF(OR($C44=$C43,$C44=0),0,(SUM(IF((CkDJ[JEV Number]=$C44)*(CkDJ[Account Code]=(L$9)),CkDJ[Debit]))))</f>
        <v>0</v>
      </c>
      <c r="M44" s="677">
        <f t="array" ref="M44">IF(OR($C44=$C43,$C44=0),0,(SUM(IF((CkDJ[JEV Number]=$C44)*(CkDJ[Account Code]=(M$9)),CkDJ[Debit]))))</f>
        <v>0</v>
      </c>
      <c r="N44" s="677">
        <f t="array" ref="N44">IF(OR($C44=$C43,$C44=0),0,(SUM(IF((CkDJ[JEV Number]=$C44)*(CkDJ[Account Code]=(N$9)),CkDJ[Debit]))))</f>
        <v>0</v>
      </c>
      <c r="O44" s="677">
        <f t="array" ref="O44">IF(OR($C44=$C43,$C44=0),0,(SUM(IF((CkDJ[JEV Number]=$C44)*(CkDJ[Account Code]=(O$9)),CkDJ[Debit]))))</f>
        <v>0</v>
      </c>
      <c r="P44" s="726"/>
      <c r="Q44" s="692">
        <f t="array" ref="Q44">IF($C44=0,0,(SUM(IF((CkDJ[JEV Number]=$C44)*(CkDJ[Account Code]=(P44)),CkDJ[Debit]))))</f>
        <v>0</v>
      </c>
      <c r="R44" s="679">
        <f t="shared" si="5"/>
        <v>0</v>
      </c>
    </row>
    <row r="45" spans="1:18" x14ac:dyDescent="0.25">
      <c r="A45" s="673" t="str">
        <f t="array" ref="A45">IF(OR(C45=C44,C45=0),"",INDEX(CkDJ[Date],MATCH(C45,CkDJ[JEV Number],0)))</f>
        <v/>
      </c>
      <c r="B45" s="674"/>
      <c r="C45" s="675" t="str">
        <f t="shared" si="4"/>
        <v>20-01-001</v>
      </c>
      <c r="D45" s="675"/>
      <c r="E45" s="675"/>
      <c r="F45" s="675"/>
      <c r="G45" s="676" t="str">
        <f t="array" ref="G45">IF(OR(C45=C44,C45=0),"",INDEX(CasheirCode[Name],MATCH((INDEX(CkDJ[Sort Code],MATCH(C45,CkDJ[JEV Number],0))),CasheirCode[Sort Code])))</f>
        <v/>
      </c>
      <c r="H45" s="677">
        <f t="array" ref="H45">IF(OR($C45=$C44,$C45=0),0,(SUM(IF((CkDJ[JEV Number]=$C45)*(CkDJ[Account Code]=(H$9)),CkDJ[Credit]))))</f>
        <v>0</v>
      </c>
      <c r="I45" s="677">
        <f t="array" ref="I45">IF(OR($C45=$C44,$C45=0),0,(SUM(IF((CkDJ[JEV Number]=$C45)*(CkDJ[Account Code]=(I$9)),CkDJ[Credit]))))</f>
        <v>0</v>
      </c>
      <c r="J45" s="678"/>
      <c r="K45" s="677">
        <f t="array" ref="K45">IF($C45=0,0,(SUM(IF((CkDJ[JEV Number]=$C45)*(CkDJ[Account Code]=(J45)),CkDJ[Credit]))))</f>
        <v>0</v>
      </c>
      <c r="L45" s="677">
        <f t="array" ref="L45">IF(OR($C45=$C44,$C45=0),0,(SUM(IF((CkDJ[JEV Number]=$C45)*(CkDJ[Account Code]=(L$9)),CkDJ[Debit]))))</f>
        <v>0</v>
      </c>
      <c r="M45" s="677">
        <f t="array" ref="M45">IF(OR($C45=$C44,$C45=0),0,(SUM(IF((CkDJ[JEV Number]=$C45)*(CkDJ[Account Code]=(M$9)),CkDJ[Debit]))))</f>
        <v>0</v>
      </c>
      <c r="N45" s="677">
        <f t="array" ref="N45">IF(OR($C45=$C44,$C45=0),0,(SUM(IF((CkDJ[JEV Number]=$C45)*(CkDJ[Account Code]=(N$9)),CkDJ[Debit]))))</f>
        <v>0</v>
      </c>
      <c r="O45" s="677">
        <f t="array" ref="O45">IF(OR($C45=$C44,$C45=0),0,(SUM(IF((CkDJ[JEV Number]=$C45)*(CkDJ[Account Code]=(O$9)),CkDJ[Debit]))))</f>
        <v>0</v>
      </c>
      <c r="P45" s="726"/>
      <c r="Q45" s="692">
        <f t="array" ref="Q45">IF($C45=0,0,(SUM(IF((CkDJ[JEV Number]=$C45)*(CkDJ[Account Code]=(P45)),CkDJ[Debit]))))</f>
        <v>0</v>
      </c>
      <c r="R45" s="679">
        <f t="shared" si="5"/>
        <v>0</v>
      </c>
    </row>
    <row r="46" spans="1:18" x14ac:dyDescent="0.25">
      <c r="A46" s="721" t="str">
        <f t="array" ref="A46">IF(OR(C46=C45,C46=0),"",INDEX(CkDJ[Date],MATCH(C46,CkDJ[JEV Number],0)))</f>
        <v/>
      </c>
      <c r="B46" s="543"/>
      <c r="C46" s="524" t="str">
        <f t="shared" si="4"/>
        <v>20-01-001</v>
      </c>
      <c r="D46" s="524"/>
      <c r="E46" s="524"/>
      <c r="F46" s="524"/>
      <c r="G46" s="94" t="str">
        <f t="array" ref="G46">IF(OR(C46=C45,C46=0),"",INDEX(CasheirCode[Name],MATCH((INDEX(CkDJ[Sort Code],MATCH(C46,CkDJ[JEV Number],0))),CasheirCode[Sort Code])))</f>
        <v/>
      </c>
      <c r="H46" s="722">
        <f t="array" ref="H46">IF(OR($C46=$C45,$C46=0),0,(SUM(IF((CkDJ[JEV Number]=$C46)*(CkDJ[Account Code]=(H$9)),CkDJ[Credit]))))</f>
        <v>0</v>
      </c>
      <c r="I46" s="722">
        <f t="array" ref="I46">IF(OR($C46=$C45,$C46=0),0,(SUM(IF((CkDJ[JEV Number]=$C46)*(CkDJ[Account Code]=(I$9)),CkDJ[Credit]))))</f>
        <v>0</v>
      </c>
      <c r="J46" s="445"/>
      <c r="K46" s="722">
        <f t="array" ref="K46">IF($C46=0,0,(SUM(IF((CkDJ[JEV Number]=$C46)*(CkDJ[Account Code]=(J46)),CkDJ[Credit]))))</f>
        <v>0</v>
      </c>
      <c r="L46" s="722">
        <f t="array" ref="L46">IF(OR($C46=$C45,$C46=0),0,(SUM(IF((CkDJ[JEV Number]=$C46)*(CkDJ[Account Code]=(L$9)),CkDJ[Debit]))))</f>
        <v>0</v>
      </c>
      <c r="M46" s="722">
        <f t="array" ref="M46">IF(OR($C46=$C45,$C46=0),0,(SUM(IF((CkDJ[JEV Number]=$C46)*(CkDJ[Account Code]=(M$9)),CkDJ[Debit]))))</f>
        <v>0</v>
      </c>
      <c r="N46" s="722">
        <f t="array" ref="N46">IF(OR($C46=$C45,$C46=0),0,(SUM(IF((CkDJ[JEV Number]=$C46)*(CkDJ[Account Code]=(N$9)),CkDJ[Debit]))))</f>
        <v>0</v>
      </c>
      <c r="O46" s="722">
        <f t="array" ref="O46">IF(OR($C46=$C45,$C46=0),0,(SUM(IF((CkDJ[JEV Number]=$C46)*(CkDJ[Account Code]=(O$9)),CkDJ[Debit]))))</f>
        <v>0</v>
      </c>
      <c r="P46" s="725"/>
      <c r="Q46" s="692">
        <f t="array" ref="Q46">IF($C46=0,0,(SUM(IF((CkDJ[JEV Number]=$C46)*(CkDJ[Account Code]=(P46)),CkDJ[Debit]))))</f>
        <v>0</v>
      </c>
      <c r="R46" s="723">
        <f t="shared" si="5"/>
        <v>0</v>
      </c>
    </row>
    <row r="47" spans="1:18" x14ac:dyDescent="0.25">
      <c r="A47" s="673" t="str">
        <f t="array" ref="A47">IF(OR(C47=C46,C47=0),"",INDEX(CkDJ[Date],MATCH(C47,CkDJ[JEV Number],0)))</f>
        <v/>
      </c>
      <c r="B47" s="674"/>
      <c r="C47" s="675" t="str">
        <f t="shared" si="4"/>
        <v>20-01-001</v>
      </c>
      <c r="D47" s="675"/>
      <c r="E47" s="675"/>
      <c r="F47" s="675"/>
      <c r="G47" s="676" t="str">
        <f t="array" ref="G47">IF(OR(C47=C46,C47=0),"",INDEX(CasheirCode[Name],MATCH((INDEX(CkDJ[Sort Code],MATCH(C47,CkDJ[JEV Number],0))),CasheirCode[Sort Code])))</f>
        <v/>
      </c>
      <c r="H47" s="677">
        <f t="array" ref="H47">IF(OR($C47=$C46,$C47=0),0,(SUM(IF((CkDJ[JEV Number]=$C47)*(CkDJ[Account Code]=(H$9)),CkDJ[Credit]))))</f>
        <v>0</v>
      </c>
      <c r="I47" s="677">
        <f t="array" ref="I47">IF(OR($C47=$C46,$C47=0),0,(SUM(IF((CkDJ[JEV Number]=$C47)*(CkDJ[Account Code]=(I$9)),CkDJ[Credit]))))</f>
        <v>0</v>
      </c>
      <c r="J47" s="678"/>
      <c r="K47" s="677">
        <f t="array" ref="K47">IF($C47=0,0,(SUM(IF((CkDJ[JEV Number]=$C47)*(CkDJ[Account Code]=(J47)),CkDJ[Credit]))))</f>
        <v>0</v>
      </c>
      <c r="L47" s="677">
        <f t="array" ref="L47">IF(OR($C47=$C46,$C47=0),0,(SUM(IF((CkDJ[JEV Number]=$C47)*(CkDJ[Account Code]=(L$9)),CkDJ[Debit]))))</f>
        <v>0</v>
      </c>
      <c r="M47" s="677">
        <f t="array" ref="M47">IF(OR($C47=$C46,$C47=0),0,(SUM(IF((CkDJ[JEV Number]=$C47)*(CkDJ[Account Code]=(M$9)),CkDJ[Debit]))))</f>
        <v>0</v>
      </c>
      <c r="N47" s="677">
        <f t="array" ref="N47">IF(OR($C47=$C46,$C47=0),0,(SUM(IF((CkDJ[JEV Number]=$C47)*(CkDJ[Account Code]=(N$9)),CkDJ[Debit]))))</f>
        <v>0</v>
      </c>
      <c r="O47" s="677">
        <f t="array" ref="O47">IF(OR($C47=$C46,$C47=0),0,(SUM(IF((CkDJ[JEV Number]=$C47)*(CkDJ[Account Code]=(O$9)),CkDJ[Debit]))))</f>
        <v>0</v>
      </c>
      <c r="P47" s="726"/>
      <c r="Q47" s="692">
        <f t="array" ref="Q47">IF($C47=0,0,(SUM(IF((CkDJ[JEV Number]=$C47)*(CkDJ[Account Code]=(P47)),CkDJ[Debit]))))</f>
        <v>0</v>
      </c>
      <c r="R47" s="679">
        <f t="shared" si="5"/>
        <v>0</v>
      </c>
    </row>
    <row r="48" spans="1:18" x14ac:dyDescent="0.25">
      <c r="A48" s="673" t="str">
        <f t="array" ref="A48">IF(OR(C48=C47,C48=0),"",INDEX(CkDJ[Date],MATCH(C48,CkDJ[JEV Number],0)))</f>
        <v/>
      </c>
      <c r="B48" s="674"/>
      <c r="C48" s="675" t="str">
        <f t="shared" si="4"/>
        <v>20-01-001</v>
      </c>
      <c r="D48" s="675"/>
      <c r="E48" s="675"/>
      <c r="F48" s="675"/>
      <c r="G48" s="676" t="str">
        <f t="array" ref="G48">IF(OR(C48=C47,C48=0),"",INDEX(CasheirCode[Name],MATCH((INDEX(CkDJ[Sort Code],MATCH(C48,CkDJ[JEV Number],0))),CasheirCode[Sort Code])))</f>
        <v/>
      </c>
      <c r="H48" s="677">
        <f t="array" ref="H48">IF(OR($C48=$C47,$C48=0),0,(SUM(IF((CkDJ[JEV Number]=$C48)*(CkDJ[Account Code]=(H$9)),CkDJ[Credit]))))</f>
        <v>0</v>
      </c>
      <c r="I48" s="677">
        <f t="array" ref="I48">IF(OR($C48=$C47,$C48=0),0,(SUM(IF((CkDJ[JEV Number]=$C48)*(CkDJ[Account Code]=(I$9)),CkDJ[Credit]))))</f>
        <v>0</v>
      </c>
      <c r="J48" s="678"/>
      <c r="K48" s="677">
        <f t="array" ref="K48">IF($C48=0,0,(SUM(IF((CkDJ[JEV Number]=$C48)*(CkDJ[Account Code]=(J48)),CkDJ[Credit]))))</f>
        <v>0</v>
      </c>
      <c r="L48" s="677">
        <f t="array" ref="L48">IF(OR($C48=$C47,$C48=0),0,(SUM(IF((CkDJ[JEV Number]=$C48)*(CkDJ[Account Code]=(L$9)),CkDJ[Debit]))))</f>
        <v>0</v>
      </c>
      <c r="M48" s="677">
        <f t="array" ref="M48">IF(OR($C48=$C47,$C48=0),0,(SUM(IF((CkDJ[JEV Number]=$C48)*(CkDJ[Account Code]=(M$9)),CkDJ[Debit]))))</f>
        <v>0</v>
      </c>
      <c r="N48" s="677">
        <f t="array" ref="N48">IF(OR($C48=$C47,$C48=0),0,(SUM(IF((CkDJ[JEV Number]=$C48)*(CkDJ[Account Code]=(N$9)),CkDJ[Debit]))))</f>
        <v>0</v>
      </c>
      <c r="O48" s="677">
        <f t="array" ref="O48">IF(OR($C48=$C47,$C48=0),0,(SUM(IF((CkDJ[JEV Number]=$C48)*(CkDJ[Account Code]=(O$9)),CkDJ[Debit]))))</f>
        <v>0</v>
      </c>
      <c r="P48" s="726"/>
      <c r="Q48" s="692">
        <f t="array" ref="Q48">IF($C48=0,0,(SUM(IF((CkDJ[JEV Number]=$C48)*(CkDJ[Account Code]=(P48)),CkDJ[Debit]))))</f>
        <v>0</v>
      </c>
      <c r="R48" s="679">
        <f t="shared" si="5"/>
        <v>0</v>
      </c>
    </row>
    <row r="49" spans="1:18" x14ac:dyDescent="0.25">
      <c r="A49" s="673" t="str">
        <f t="array" ref="A49">IF(OR(C49=C48,C49=0),"",INDEX(CkDJ[Date],MATCH(C49,CkDJ[JEV Number],0)))</f>
        <v/>
      </c>
      <c r="B49" s="674"/>
      <c r="C49" s="675" t="str">
        <f t="shared" si="4"/>
        <v>20-01-001</v>
      </c>
      <c r="D49" s="675"/>
      <c r="E49" s="675"/>
      <c r="F49" s="675"/>
      <c r="G49" s="676" t="str">
        <f t="array" ref="G49">IF(OR(C49=C48,C49=0),"",INDEX(CasheirCode[Name],MATCH((INDEX(CkDJ[Sort Code],MATCH(C49,CkDJ[JEV Number],0))),CasheirCode[Sort Code])))</f>
        <v/>
      </c>
      <c r="H49" s="677">
        <f t="array" ref="H49">IF(OR($C49=$C48,$C49=0),0,(SUM(IF((CkDJ[JEV Number]=$C49)*(CkDJ[Account Code]=(H$9)),CkDJ[Credit]))))</f>
        <v>0</v>
      </c>
      <c r="I49" s="677">
        <f t="array" ref="I49">IF(OR($C49=$C48,$C49=0),0,(SUM(IF((CkDJ[JEV Number]=$C49)*(CkDJ[Account Code]=(I$9)),CkDJ[Credit]))))</f>
        <v>0</v>
      </c>
      <c r="J49" s="678"/>
      <c r="K49" s="677">
        <f t="array" ref="K49">IF($C49=0,0,(SUM(IF((CkDJ[JEV Number]=$C49)*(CkDJ[Account Code]=(J49)),CkDJ[Credit]))))</f>
        <v>0</v>
      </c>
      <c r="L49" s="677">
        <f t="array" ref="L49">IF(OR($C49=$C48,$C49=0),0,(SUM(IF((CkDJ[JEV Number]=$C49)*(CkDJ[Account Code]=(L$9)),CkDJ[Debit]))))</f>
        <v>0</v>
      </c>
      <c r="M49" s="677">
        <f t="array" ref="M49">IF(OR($C49=$C48,$C49=0),0,(SUM(IF((CkDJ[JEV Number]=$C49)*(CkDJ[Account Code]=(M$9)),CkDJ[Debit]))))</f>
        <v>0</v>
      </c>
      <c r="N49" s="677">
        <f t="array" ref="N49">IF(OR($C49=$C48,$C49=0),0,(SUM(IF((CkDJ[JEV Number]=$C49)*(CkDJ[Account Code]=(N$9)),CkDJ[Debit]))))</f>
        <v>0</v>
      </c>
      <c r="O49" s="677">
        <f t="array" ref="O49">IF(OR($C49=$C48,$C49=0),0,(SUM(IF((CkDJ[JEV Number]=$C49)*(CkDJ[Account Code]=(O$9)),CkDJ[Debit]))))</f>
        <v>0</v>
      </c>
      <c r="P49" s="726"/>
      <c r="Q49" s="692">
        <f t="array" ref="Q49">IF($C49=0,0,(SUM(IF((CkDJ[JEV Number]=$C49)*(CkDJ[Account Code]=(P49)),CkDJ[Debit]))))</f>
        <v>0</v>
      </c>
      <c r="R49" s="679">
        <f t="shared" si="5"/>
        <v>0</v>
      </c>
    </row>
    <row r="50" spans="1:18" x14ac:dyDescent="0.25">
      <c r="A50" s="673" t="str">
        <f t="array" ref="A50">IF(OR(C50=C49,C50=0),"",INDEX(CkDJ[Date],MATCH(C50,CkDJ[JEV Number],0)))</f>
        <v/>
      </c>
      <c r="B50" s="674"/>
      <c r="C50" s="675" t="str">
        <f t="shared" si="4"/>
        <v>20-01-001</v>
      </c>
      <c r="D50" s="675"/>
      <c r="E50" s="675"/>
      <c r="F50" s="675"/>
      <c r="G50" s="676" t="str">
        <f t="array" ref="G50">IF(OR(C50=C49,C50=0),"",INDEX(CasheirCode[Name],MATCH((INDEX(CkDJ[Sort Code],MATCH(C50,CkDJ[JEV Number],0))),CasheirCode[Sort Code])))</f>
        <v/>
      </c>
      <c r="H50" s="677">
        <f t="array" ref="H50">IF(OR($C50=$C49,$C50=0),0,(SUM(IF((CkDJ[JEV Number]=$C50)*(CkDJ[Account Code]=(H$9)),CkDJ[Credit]))))</f>
        <v>0</v>
      </c>
      <c r="I50" s="677">
        <f t="array" ref="I50">IF(OR($C50=$C49,$C50=0),0,(SUM(IF((CkDJ[JEV Number]=$C50)*(CkDJ[Account Code]=(I$9)),CkDJ[Credit]))))</f>
        <v>0</v>
      </c>
      <c r="J50" s="678"/>
      <c r="K50" s="677">
        <f t="array" ref="K50">IF($C50=0,0,(SUM(IF((CkDJ[JEV Number]=$C50)*(CkDJ[Account Code]=(J50)),CkDJ[Credit]))))</f>
        <v>0</v>
      </c>
      <c r="L50" s="677">
        <f t="array" ref="L50">IF(OR($C50=$C49,$C50=0),0,(SUM(IF((CkDJ[JEV Number]=$C50)*(CkDJ[Account Code]=(L$9)),CkDJ[Debit]))))</f>
        <v>0</v>
      </c>
      <c r="M50" s="677">
        <f t="array" ref="M50">IF(OR($C50=$C49,$C50=0),0,(SUM(IF((CkDJ[JEV Number]=$C50)*(CkDJ[Account Code]=(M$9)),CkDJ[Debit]))))</f>
        <v>0</v>
      </c>
      <c r="N50" s="677">
        <f t="array" ref="N50">IF(OR($C50=$C49,$C50=0),0,(SUM(IF((CkDJ[JEV Number]=$C50)*(CkDJ[Account Code]=(N$9)),CkDJ[Debit]))))</f>
        <v>0</v>
      </c>
      <c r="O50" s="677">
        <f t="array" ref="O50">IF(OR($C50=$C49,$C50=0),0,(SUM(IF((CkDJ[JEV Number]=$C50)*(CkDJ[Account Code]=(O$9)),CkDJ[Debit]))))</f>
        <v>0</v>
      </c>
      <c r="P50" s="726"/>
      <c r="Q50" s="692">
        <f t="array" ref="Q50">IF($C50=0,0,(SUM(IF((CkDJ[JEV Number]=$C50)*(CkDJ[Account Code]=(P50)),CkDJ[Debit]))))</f>
        <v>0</v>
      </c>
      <c r="R50" s="679">
        <f t="shared" si="5"/>
        <v>0</v>
      </c>
    </row>
    <row r="51" spans="1:18" x14ac:dyDescent="0.25">
      <c r="A51" s="673" t="str">
        <f t="array" ref="A51">IF(OR(C51=C50,C51=0),"",INDEX(CkDJ[Date],MATCH(C51,CkDJ[JEV Number],0)))</f>
        <v/>
      </c>
      <c r="B51" s="674"/>
      <c r="C51" s="675" t="str">
        <f t="shared" si="4"/>
        <v>20-01-001</v>
      </c>
      <c r="D51" s="675"/>
      <c r="E51" s="675"/>
      <c r="F51" s="675"/>
      <c r="G51" s="676" t="str">
        <f t="array" ref="G51">IF(OR(C51=C50,C51=0),"",INDEX(CasheirCode[Name],MATCH((INDEX(CkDJ[Sort Code],MATCH(C51,CkDJ[JEV Number],0))),CasheirCode[Sort Code])))</f>
        <v/>
      </c>
      <c r="H51" s="677">
        <f t="array" ref="H51">IF(OR($C51=$C50,$C51=0),0,(SUM(IF((CkDJ[JEV Number]=$C51)*(CkDJ[Account Code]=(H$9)),CkDJ[Credit]))))</f>
        <v>0</v>
      </c>
      <c r="I51" s="677">
        <f t="array" ref="I51">IF(OR($C51=$C50,$C51=0),0,(SUM(IF((CkDJ[JEV Number]=$C51)*(CkDJ[Account Code]=(I$9)),CkDJ[Credit]))))</f>
        <v>0</v>
      </c>
      <c r="J51" s="678"/>
      <c r="K51" s="677">
        <f t="array" ref="K51">IF($C51=0,0,(SUM(IF((CkDJ[JEV Number]=$C51)*(CkDJ[Account Code]=(J51)),CkDJ[Credit]))))</f>
        <v>0</v>
      </c>
      <c r="L51" s="677">
        <f t="array" ref="L51">IF(OR($C51=$C50,$C51=0),0,(SUM(IF((CkDJ[JEV Number]=$C51)*(CkDJ[Account Code]=(L$9)),CkDJ[Debit]))))</f>
        <v>0</v>
      </c>
      <c r="M51" s="677">
        <f t="array" ref="M51">IF(OR($C51=$C50,$C51=0),0,(SUM(IF((CkDJ[JEV Number]=$C51)*(CkDJ[Account Code]=(M$9)),CkDJ[Debit]))))</f>
        <v>0</v>
      </c>
      <c r="N51" s="677">
        <f t="array" ref="N51">IF(OR($C51=$C50,$C51=0),0,(SUM(IF((CkDJ[JEV Number]=$C51)*(CkDJ[Account Code]=(N$9)),CkDJ[Debit]))))</f>
        <v>0</v>
      </c>
      <c r="O51" s="677">
        <f t="array" ref="O51">IF(OR($C51=$C50,$C51=0),0,(SUM(IF((CkDJ[JEV Number]=$C51)*(CkDJ[Account Code]=(O$9)),CkDJ[Debit]))))</f>
        <v>0</v>
      </c>
      <c r="P51" s="726"/>
      <c r="Q51" s="692">
        <f t="array" ref="Q51">IF($C51=0,0,(SUM(IF((CkDJ[JEV Number]=$C51)*(CkDJ[Account Code]=(P51)),CkDJ[Debit]))))</f>
        <v>0</v>
      </c>
      <c r="R51" s="679">
        <f t="shared" si="5"/>
        <v>0</v>
      </c>
    </row>
    <row r="52" spans="1:18" x14ac:dyDescent="0.25">
      <c r="A52" s="673" t="str">
        <f t="array" ref="A52">IF(OR(C52=C51,C52=0),"",INDEX(CkDJ[Date],MATCH(C52,CkDJ[JEV Number],0)))</f>
        <v/>
      </c>
      <c r="B52" s="674"/>
      <c r="C52" s="675" t="str">
        <f t="shared" si="4"/>
        <v>20-01-001</v>
      </c>
      <c r="D52" s="675"/>
      <c r="E52" s="675"/>
      <c r="F52" s="675"/>
      <c r="G52" s="676" t="str">
        <f t="array" ref="G52">IF(OR(C52=C51,C52=0),"",INDEX(CasheirCode[Name],MATCH((INDEX(CkDJ[Sort Code],MATCH(C52,CkDJ[JEV Number],0))),CasheirCode[Sort Code])))</f>
        <v/>
      </c>
      <c r="H52" s="677">
        <f t="array" ref="H52">IF(OR($C52=$C51,$C52=0),0,(SUM(IF((CkDJ[JEV Number]=$C52)*(CkDJ[Account Code]=(H$9)),CkDJ[Credit]))))</f>
        <v>0</v>
      </c>
      <c r="I52" s="677">
        <f t="array" ref="I52">IF(OR($C52=$C51,$C52=0),0,(SUM(IF((CkDJ[JEV Number]=$C52)*(CkDJ[Account Code]=(I$9)),CkDJ[Credit]))))</f>
        <v>0</v>
      </c>
      <c r="J52" s="678"/>
      <c r="K52" s="677">
        <f t="array" ref="K52">IF($C52=0,0,(SUM(IF((CkDJ[JEV Number]=$C52)*(CkDJ[Account Code]=(J52)),CkDJ[Credit]))))</f>
        <v>0</v>
      </c>
      <c r="L52" s="677">
        <f t="array" ref="L52">IF(OR($C52=$C51,$C52=0),0,(SUM(IF((CkDJ[JEV Number]=$C52)*(CkDJ[Account Code]=(L$9)),CkDJ[Debit]))))</f>
        <v>0</v>
      </c>
      <c r="M52" s="677">
        <f t="array" ref="M52">IF(OR($C52=$C51,$C52=0),0,(SUM(IF((CkDJ[JEV Number]=$C52)*(CkDJ[Account Code]=(M$9)),CkDJ[Debit]))))</f>
        <v>0</v>
      </c>
      <c r="N52" s="677">
        <f t="array" ref="N52">IF(OR($C52=$C51,$C52=0),0,(SUM(IF((CkDJ[JEV Number]=$C52)*(CkDJ[Account Code]=(N$9)),CkDJ[Debit]))))</f>
        <v>0</v>
      </c>
      <c r="O52" s="677">
        <f t="array" ref="O52">IF(OR($C52=$C51,$C52=0),0,(SUM(IF((CkDJ[JEV Number]=$C52)*(CkDJ[Account Code]=(O$9)),CkDJ[Debit]))))</f>
        <v>0</v>
      </c>
      <c r="P52" s="726"/>
      <c r="Q52" s="692">
        <f t="array" ref="Q52">IF($C52=0,0,(SUM(IF((CkDJ[JEV Number]=$C52)*(CkDJ[Account Code]=(P52)),CkDJ[Debit]))))</f>
        <v>0</v>
      </c>
      <c r="R52" s="679">
        <f t="shared" si="5"/>
        <v>0</v>
      </c>
    </row>
    <row r="53" spans="1:18" x14ac:dyDescent="0.25">
      <c r="A53" s="673" t="str">
        <f t="array" ref="A53">IF(OR(C53=C52,C53=0),"",INDEX(CkDJ[Date],MATCH(C53,CkDJ[JEV Number],0)))</f>
        <v/>
      </c>
      <c r="B53" s="674"/>
      <c r="C53" s="675" t="str">
        <f t="shared" si="4"/>
        <v>20-01-001</v>
      </c>
      <c r="D53" s="675"/>
      <c r="E53" s="675"/>
      <c r="F53" s="675"/>
      <c r="G53" s="676" t="str">
        <f t="array" ref="G53">IF(OR(C53=C52,C53=0),"",INDEX(CasheirCode[Name],MATCH((INDEX(CkDJ[Sort Code],MATCH(C53,CkDJ[JEV Number],0))),CasheirCode[Sort Code])))</f>
        <v/>
      </c>
      <c r="H53" s="677">
        <f t="array" ref="H53">IF(OR($C53=$C52,$C53=0),0,(SUM(IF((CkDJ[JEV Number]=$C53)*(CkDJ[Account Code]=(H$9)),CkDJ[Credit]))))</f>
        <v>0</v>
      </c>
      <c r="I53" s="677">
        <f t="array" ref="I53">IF(OR($C53=$C52,$C53=0),0,(SUM(IF((CkDJ[JEV Number]=$C53)*(CkDJ[Account Code]=(I$9)),CkDJ[Credit]))))</f>
        <v>0</v>
      </c>
      <c r="J53" s="678"/>
      <c r="K53" s="677">
        <f t="array" ref="K53">IF($C53=0,0,(SUM(IF((CkDJ[JEV Number]=$C53)*(CkDJ[Account Code]=(J53)),CkDJ[Credit]))))</f>
        <v>0</v>
      </c>
      <c r="L53" s="677">
        <f t="array" ref="L53">IF(OR($C53=$C52,$C53=0),0,(SUM(IF((CkDJ[JEV Number]=$C53)*(CkDJ[Account Code]=(L$9)),CkDJ[Debit]))))</f>
        <v>0</v>
      </c>
      <c r="M53" s="677">
        <f t="array" ref="M53">IF(OR($C53=$C52,$C53=0),0,(SUM(IF((CkDJ[JEV Number]=$C53)*(CkDJ[Account Code]=(M$9)),CkDJ[Debit]))))</f>
        <v>0</v>
      </c>
      <c r="N53" s="677">
        <f t="array" ref="N53">IF(OR($C53=$C52,$C53=0),0,(SUM(IF((CkDJ[JEV Number]=$C53)*(CkDJ[Account Code]=(N$9)),CkDJ[Debit]))))</f>
        <v>0</v>
      </c>
      <c r="O53" s="677">
        <f t="array" ref="O53">IF(OR($C53=$C52,$C53=0),0,(SUM(IF((CkDJ[JEV Number]=$C53)*(CkDJ[Account Code]=(O$9)),CkDJ[Debit]))))</f>
        <v>0</v>
      </c>
      <c r="P53" s="726"/>
      <c r="Q53" s="692">
        <f t="array" ref="Q53">IF($C53=0,0,(SUM(IF((CkDJ[JEV Number]=$C53)*(CkDJ[Account Code]=(P53)),CkDJ[Debit]))))</f>
        <v>0</v>
      </c>
      <c r="R53" s="679">
        <f t="shared" si="5"/>
        <v>0</v>
      </c>
    </row>
    <row r="54" spans="1:18" x14ac:dyDescent="0.25">
      <c r="A54" s="673" t="str">
        <f t="array" ref="A54">IF(OR(C54=C53,C54=0),"",INDEX(CkDJ[Date],MATCH(C54,CkDJ[JEV Number],0)))</f>
        <v/>
      </c>
      <c r="B54" s="674"/>
      <c r="C54" s="675" t="str">
        <f t="shared" si="4"/>
        <v>20-01-001</v>
      </c>
      <c r="D54" s="675"/>
      <c r="E54" s="675"/>
      <c r="F54" s="675"/>
      <c r="G54" s="676" t="str">
        <f t="array" ref="G54">IF(OR(C54=C53,C54=0),"",INDEX(CasheirCode[Name],MATCH((INDEX(CkDJ[Sort Code],MATCH(C54,CkDJ[JEV Number],0))),CasheirCode[Sort Code])))</f>
        <v/>
      </c>
      <c r="H54" s="677">
        <f t="array" ref="H54">IF(OR($C54=$C53,$C54=0),0,(SUM(IF((CkDJ[JEV Number]=$C54)*(CkDJ[Account Code]=(H$9)),CkDJ[Credit]))))</f>
        <v>0</v>
      </c>
      <c r="I54" s="677">
        <f t="array" ref="I54">IF(OR($C54=$C53,$C54=0),0,(SUM(IF((CkDJ[JEV Number]=$C54)*(CkDJ[Account Code]=(I$9)),CkDJ[Credit]))))</f>
        <v>0</v>
      </c>
      <c r="J54" s="678"/>
      <c r="K54" s="677">
        <f t="array" ref="K54">IF($C54=0,0,(SUM(IF((CkDJ[JEV Number]=$C54)*(CkDJ[Account Code]=(J54)),CkDJ[Credit]))))</f>
        <v>0</v>
      </c>
      <c r="L54" s="677">
        <f t="array" ref="L54">IF(OR($C54=$C53,$C54=0),0,(SUM(IF((CkDJ[JEV Number]=$C54)*(CkDJ[Account Code]=(L$9)),CkDJ[Debit]))))</f>
        <v>0</v>
      </c>
      <c r="M54" s="677">
        <f t="array" ref="M54">IF(OR($C54=$C53,$C54=0),0,(SUM(IF((CkDJ[JEV Number]=$C54)*(CkDJ[Account Code]=(M$9)),CkDJ[Debit]))))</f>
        <v>0</v>
      </c>
      <c r="N54" s="677">
        <f t="array" ref="N54">IF(OR($C54=$C53,$C54=0),0,(SUM(IF((CkDJ[JEV Number]=$C54)*(CkDJ[Account Code]=(N$9)),CkDJ[Debit]))))</f>
        <v>0</v>
      </c>
      <c r="O54" s="677">
        <f t="array" ref="O54">IF(OR($C54=$C53,$C54=0),0,(SUM(IF((CkDJ[JEV Number]=$C54)*(CkDJ[Account Code]=(O$9)),CkDJ[Debit]))))</f>
        <v>0</v>
      </c>
      <c r="P54" s="726"/>
      <c r="Q54" s="692">
        <f t="array" ref="Q54">IF($C54=0,0,(SUM(IF((CkDJ[JEV Number]=$C54)*(CkDJ[Account Code]=(P54)),CkDJ[Debit]))))</f>
        <v>0</v>
      </c>
      <c r="R54" s="679">
        <f t="shared" si="5"/>
        <v>0</v>
      </c>
    </row>
    <row r="55" spans="1:18" x14ac:dyDescent="0.25">
      <c r="A55" s="673" t="str">
        <f t="array" ref="A55">IF(OR(C55=C54,C55=0),"",INDEX(CkDJ[Date],MATCH(C55,CkDJ[JEV Number],0)))</f>
        <v/>
      </c>
      <c r="B55" s="674"/>
      <c r="C55" s="675" t="str">
        <f t="shared" si="4"/>
        <v>20-01-001</v>
      </c>
      <c r="D55" s="675"/>
      <c r="E55" s="675"/>
      <c r="F55" s="675"/>
      <c r="G55" s="676" t="str">
        <f t="array" ref="G55">IF(OR(C55=C54,C55=0),"",INDEX(CasheirCode[Name],MATCH((INDEX(CkDJ[Sort Code],MATCH(C55,CkDJ[JEV Number],0))),CasheirCode[Sort Code])))</f>
        <v/>
      </c>
      <c r="H55" s="677">
        <f t="array" ref="H55">IF(OR($C55=$C54,$C55=0),0,(SUM(IF((CkDJ[JEV Number]=$C55)*(CkDJ[Account Code]=(H$9)),CkDJ[Credit]))))</f>
        <v>0</v>
      </c>
      <c r="I55" s="677">
        <f t="array" ref="I55">IF(OR($C55=$C54,$C55=0),0,(SUM(IF((CkDJ[JEV Number]=$C55)*(CkDJ[Account Code]=(I$9)),CkDJ[Credit]))))</f>
        <v>0</v>
      </c>
      <c r="J55" s="678"/>
      <c r="K55" s="677">
        <f t="array" ref="K55">IF($C55=0,0,(SUM(IF((CkDJ[JEV Number]=$C55)*(CkDJ[Account Code]=(J55)),CkDJ[Credit]))))</f>
        <v>0</v>
      </c>
      <c r="L55" s="677">
        <f t="array" ref="L55">IF(OR($C55=$C54,$C55=0),0,(SUM(IF((CkDJ[JEV Number]=$C55)*(CkDJ[Account Code]=(L$9)),CkDJ[Debit]))))</f>
        <v>0</v>
      </c>
      <c r="M55" s="677">
        <f t="array" ref="M55">IF(OR($C55=$C54,$C55=0),0,(SUM(IF((CkDJ[JEV Number]=$C55)*(CkDJ[Account Code]=(M$9)),CkDJ[Debit]))))</f>
        <v>0</v>
      </c>
      <c r="N55" s="677">
        <f t="array" ref="N55">IF(OR($C55=$C54,$C55=0),0,(SUM(IF((CkDJ[JEV Number]=$C55)*(CkDJ[Account Code]=(N$9)),CkDJ[Debit]))))</f>
        <v>0</v>
      </c>
      <c r="O55" s="677">
        <f t="array" ref="O55">IF(OR($C55=$C54,$C55=0),0,(SUM(IF((CkDJ[JEV Number]=$C55)*(CkDJ[Account Code]=(O$9)),CkDJ[Debit]))))</f>
        <v>0</v>
      </c>
      <c r="P55" s="726"/>
      <c r="Q55" s="692">
        <f t="array" ref="Q55">IF($C55=0,0,(SUM(IF((CkDJ[JEV Number]=$C55)*(CkDJ[Account Code]=(P55)),CkDJ[Debit]))))</f>
        <v>0</v>
      </c>
      <c r="R55" s="679">
        <f t="shared" si="5"/>
        <v>0</v>
      </c>
    </row>
    <row r="56" spans="1:18" x14ac:dyDescent="0.25">
      <c r="A56" s="673" t="str">
        <f t="array" ref="A56">IF(OR(C56=C55,C56=0),"",INDEX(CkDJ[Date],MATCH(C56,CkDJ[JEV Number],0)))</f>
        <v/>
      </c>
      <c r="B56" s="674"/>
      <c r="C56" s="675" t="str">
        <f t="shared" si="4"/>
        <v>20-01-001</v>
      </c>
      <c r="D56" s="675"/>
      <c r="E56" s="675"/>
      <c r="F56" s="675"/>
      <c r="G56" s="676" t="str">
        <f t="array" ref="G56">IF(OR(C56=C55,C56=0),"",INDEX(CasheirCode[Name],MATCH((INDEX(CkDJ[Sort Code],MATCH(C56,CkDJ[JEV Number],0))),CasheirCode[Sort Code])))</f>
        <v/>
      </c>
      <c r="H56" s="677">
        <f t="array" ref="H56">IF(OR($C56=$C55,$C56=0),0,(SUM(IF((CkDJ[JEV Number]=$C56)*(CkDJ[Account Code]=(H$9)),CkDJ[Credit]))))</f>
        <v>0</v>
      </c>
      <c r="I56" s="677">
        <f t="array" ref="I56">IF(OR($C56=$C55,$C56=0),0,(SUM(IF((CkDJ[JEV Number]=$C56)*(CkDJ[Account Code]=(I$9)),CkDJ[Credit]))))</f>
        <v>0</v>
      </c>
      <c r="J56" s="678"/>
      <c r="K56" s="677">
        <f t="array" ref="K56">IF($C56=0,0,(SUM(IF((CkDJ[JEV Number]=$C56)*(CkDJ[Account Code]=(J56)),CkDJ[Credit]))))</f>
        <v>0</v>
      </c>
      <c r="L56" s="677">
        <f t="array" ref="L56">IF(OR($C56=$C55,$C56=0),0,(SUM(IF((CkDJ[JEV Number]=$C56)*(CkDJ[Account Code]=(L$9)),CkDJ[Debit]))))</f>
        <v>0</v>
      </c>
      <c r="M56" s="677">
        <f t="array" ref="M56">IF(OR($C56=$C55,$C56=0),0,(SUM(IF((CkDJ[JEV Number]=$C56)*(CkDJ[Account Code]=(M$9)),CkDJ[Debit]))))</f>
        <v>0</v>
      </c>
      <c r="N56" s="677">
        <f t="array" ref="N56">IF(OR($C56=$C55,$C56=0),0,(SUM(IF((CkDJ[JEV Number]=$C56)*(CkDJ[Account Code]=(N$9)),CkDJ[Debit]))))</f>
        <v>0</v>
      </c>
      <c r="O56" s="677">
        <f t="array" ref="O56">IF(OR($C56=$C55,$C56=0),0,(SUM(IF((CkDJ[JEV Number]=$C56)*(CkDJ[Account Code]=(O$9)),CkDJ[Debit]))))</f>
        <v>0</v>
      </c>
      <c r="P56" s="726"/>
      <c r="Q56" s="692">
        <f t="array" ref="Q56">IF($C56=0,0,(SUM(IF((CkDJ[JEV Number]=$C56)*(CkDJ[Account Code]=(P56)),CkDJ[Debit]))))</f>
        <v>0</v>
      </c>
      <c r="R56" s="679">
        <f t="shared" si="5"/>
        <v>0</v>
      </c>
    </row>
    <row r="57" spans="1:18" x14ac:dyDescent="0.25">
      <c r="A57" s="673" t="str">
        <f t="array" ref="A57">IF(OR(C57=C56,C57=0),"",INDEX(CkDJ[Date],MATCH(C57,CkDJ[JEV Number],0)))</f>
        <v/>
      </c>
      <c r="B57" s="674"/>
      <c r="C57" s="675" t="str">
        <f t="shared" si="4"/>
        <v>20-01-001</v>
      </c>
      <c r="D57" s="675"/>
      <c r="E57" s="675"/>
      <c r="F57" s="675"/>
      <c r="G57" s="676" t="str">
        <f t="array" ref="G57">IF(OR(C57=C56,C57=0),"",INDEX(CasheirCode[Name],MATCH((INDEX(CkDJ[Sort Code],MATCH(C57,CkDJ[JEV Number],0))),CasheirCode[Sort Code])))</f>
        <v/>
      </c>
      <c r="H57" s="677">
        <f t="array" ref="H57">IF(OR($C57=$C56,$C57=0),0,(SUM(IF((CkDJ[JEV Number]=$C57)*(CkDJ[Account Code]=(H$9)),CkDJ[Credit]))))</f>
        <v>0</v>
      </c>
      <c r="I57" s="677">
        <f t="array" ref="I57">IF(OR($C57=$C56,$C57=0),0,(SUM(IF((CkDJ[JEV Number]=$C57)*(CkDJ[Account Code]=(I$9)),CkDJ[Credit]))))</f>
        <v>0</v>
      </c>
      <c r="J57" s="678"/>
      <c r="K57" s="677">
        <f t="array" ref="K57">IF($C57=0,0,(SUM(IF((CkDJ[JEV Number]=$C57)*(CkDJ[Account Code]=(J57)),CkDJ[Credit]))))</f>
        <v>0</v>
      </c>
      <c r="L57" s="677">
        <f t="array" ref="L57">IF(OR($C57=$C56,$C57=0),0,(SUM(IF((CkDJ[JEV Number]=$C57)*(CkDJ[Account Code]=(L$9)),CkDJ[Debit]))))</f>
        <v>0</v>
      </c>
      <c r="M57" s="677">
        <f t="array" ref="M57">IF(OR($C57=$C56,$C57=0),0,(SUM(IF((CkDJ[JEV Number]=$C57)*(CkDJ[Account Code]=(M$9)),CkDJ[Debit]))))</f>
        <v>0</v>
      </c>
      <c r="N57" s="677">
        <f t="array" ref="N57">IF(OR($C57=$C56,$C57=0),0,(SUM(IF((CkDJ[JEV Number]=$C57)*(CkDJ[Account Code]=(N$9)),CkDJ[Debit]))))</f>
        <v>0</v>
      </c>
      <c r="O57" s="677">
        <f t="array" ref="O57">IF(OR($C57=$C56,$C57=0),0,(SUM(IF((CkDJ[JEV Number]=$C57)*(CkDJ[Account Code]=(O$9)),CkDJ[Debit]))))</f>
        <v>0</v>
      </c>
      <c r="P57" s="726"/>
      <c r="Q57" s="692">
        <f t="array" ref="Q57">IF($C57=0,0,(SUM(IF((CkDJ[JEV Number]=$C57)*(CkDJ[Account Code]=(P57)),CkDJ[Debit]))))</f>
        <v>0</v>
      </c>
      <c r="R57" s="679">
        <f t="shared" si="5"/>
        <v>0</v>
      </c>
    </row>
    <row r="58" spans="1:18" x14ac:dyDescent="0.25">
      <c r="A58" s="673" t="str">
        <f t="array" ref="A58">IF(OR(C58=C57,C58=0),"",INDEX(CkDJ[Date],MATCH(C58,CkDJ[JEV Number],0)))</f>
        <v/>
      </c>
      <c r="B58" s="674"/>
      <c r="C58" s="675" t="str">
        <f t="shared" si="4"/>
        <v>20-01-001</v>
      </c>
      <c r="D58" s="675"/>
      <c r="E58" s="675"/>
      <c r="F58" s="675"/>
      <c r="G58" s="676" t="str">
        <f t="array" ref="G58">IF(OR(C58=C57,C58=0),"",INDEX(CasheirCode[Name],MATCH((INDEX(CkDJ[Sort Code],MATCH(C58,CkDJ[JEV Number],0))),CasheirCode[Sort Code])))</f>
        <v/>
      </c>
      <c r="H58" s="677">
        <f t="array" ref="H58">IF(OR($C58=$C57,$C58=0),0,(SUM(IF((CkDJ[JEV Number]=$C58)*(CkDJ[Account Code]=(H$9)),CkDJ[Credit]))))</f>
        <v>0</v>
      </c>
      <c r="I58" s="677">
        <f t="array" ref="I58">IF(OR($C58=$C57,$C58=0),0,(SUM(IF((CkDJ[JEV Number]=$C58)*(CkDJ[Account Code]=(I$9)),CkDJ[Credit]))))</f>
        <v>0</v>
      </c>
      <c r="J58" s="678"/>
      <c r="K58" s="677">
        <f t="array" ref="K58">IF($C58=0,0,(SUM(IF((CkDJ[JEV Number]=$C58)*(CkDJ[Account Code]=(J58)),CkDJ[Credit]))))</f>
        <v>0</v>
      </c>
      <c r="L58" s="677">
        <f t="array" ref="L58">IF(OR($C58=$C57,$C58=0),0,(SUM(IF((CkDJ[JEV Number]=$C58)*(CkDJ[Account Code]=(L$9)),CkDJ[Debit]))))</f>
        <v>0</v>
      </c>
      <c r="M58" s="677">
        <f t="array" ref="M58">IF(OR($C58=$C57,$C58=0),0,(SUM(IF((CkDJ[JEV Number]=$C58)*(CkDJ[Account Code]=(M$9)),CkDJ[Debit]))))</f>
        <v>0</v>
      </c>
      <c r="N58" s="677">
        <f t="array" ref="N58">IF(OR($C58=$C57,$C58=0),0,(SUM(IF((CkDJ[JEV Number]=$C58)*(CkDJ[Account Code]=(N$9)),CkDJ[Debit]))))</f>
        <v>0</v>
      </c>
      <c r="O58" s="677">
        <f t="array" ref="O58">IF(OR($C58=$C57,$C58=0),0,(SUM(IF((CkDJ[JEV Number]=$C58)*(CkDJ[Account Code]=(O$9)),CkDJ[Debit]))))</f>
        <v>0</v>
      </c>
      <c r="P58" s="726"/>
      <c r="Q58" s="692">
        <f t="array" ref="Q58">IF($C58=0,0,(SUM(IF((CkDJ[JEV Number]=$C58)*(CkDJ[Account Code]=(P58)),CkDJ[Debit]))))</f>
        <v>0</v>
      </c>
      <c r="R58" s="679">
        <f t="shared" si="5"/>
        <v>0</v>
      </c>
    </row>
    <row r="59" spans="1:18" x14ac:dyDescent="0.25">
      <c r="A59" s="673" t="str">
        <f t="array" ref="A59">IF(OR(C59=C58,C59=0),"",INDEX(CkDJ[Date],MATCH(C59,CkDJ[JEV Number],0)))</f>
        <v/>
      </c>
      <c r="B59" s="674"/>
      <c r="C59" s="675" t="str">
        <f t="shared" si="4"/>
        <v>20-01-001</v>
      </c>
      <c r="D59" s="675"/>
      <c r="E59" s="675"/>
      <c r="F59" s="675"/>
      <c r="G59" s="676" t="str">
        <f t="array" ref="G59">IF(OR(C59=C58,C59=0),"",INDEX(CasheirCode[Name],MATCH((INDEX(CkDJ[Sort Code],MATCH(C59,CkDJ[JEV Number],0))),CasheirCode[Sort Code])))</f>
        <v/>
      </c>
      <c r="H59" s="677">
        <f t="array" ref="H59">IF(OR($C59=$C58,$C59=0),0,(SUM(IF((CkDJ[JEV Number]=$C59)*(CkDJ[Account Code]=(H$9)),CkDJ[Credit]))))</f>
        <v>0</v>
      </c>
      <c r="I59" s="677">
        <f t="array" ref="I59">IF(OR($C59=$C58,$C59=0),0,(SUM(IF((CkDJ[JEV Number]=$C59)*(CkDJ[Account Code]=(I$9)),CkDJ[Credit]))))</f>
        <v>0</v>
      </c>
      <c r="J59" s="678"/>
      <c r="K59" s="677">
        <f t="array" ref="K59">IF($C59=0,0,(SUM(IF((CkDJ[JEV Number]=$C59)*(CkDJ[Account Code]=(J59)),CkDJ[Credit]))))</f>
        <v>0</v>
      </c>
      <c r="L59" s="677">
        <f t="array" ref="L59">IF(OR($C59=$C58,$C59=0),0,(SUM(IF((CkDJ[JEV Number]=$C59)*(CkDJ[Account Code]=(L$9)),CkDJ[Debit]))))</f>
        <v>0</v>
      </c>
      <c r="M59" s="677">
        <f t="array" ref="M59">IF(OR($C59=$C58,$C59=0),0,(SUM(IF((CkDJ[JEV Number]=$C59)*(CkDJ[Account Code]=(M$9)),CkDJ[Debit]))))</f>
        <v>0</v>
      </c>
      <c r="N59" s="677">
        <f t="array" ref="N59">IF(OR($C59=$C58,$C59=0),0,(SUM(IF((CkDJ[JEV Number]=$C59)*(CkDJ[Account Code]=(N$9)),CkDJ[Debit]))))</f>
        <v>0</v>
      </c>
      <c r="O59" s="677">
        <f t="array" ref="O59">IF(OR($C59=$C58,$C59=0),0,(SUM(IF((CkDJ[JEV Number]=$C59)*(CkDJ[Account Code]=(O$9)),CkDJ[Debit]))))</f>
        <v>0</v>
      </c>
      <c r="P59" s="726"/>
      <c r="Q59" s="692">
        <f t="array" ref="Q59">IF($C59=0,0,(SUM(IF((CkDJ[JEV Number]=$C59)*(CkDJ[Account Code]=(P59)),CkDJ[Debit]))))</f>
        <v>0</v>
      </c>
      <c r="R59" s="679">
        <f t="shared" si="5"/>
        <v>0</v>
      </c>
    </row>
    <row r="60" spans="1:18" x14ac:dyDescent="0.25">
      <c r="A60" s="673" t="str">
        <f t="array" ref="A60">IF(OR(C60=C59,C60=0),"",INDEX(CkDJ[Date],MATCH(C60,CkDJ[JEV Number],0)))</f>
        <v/>
      </c>
      <c r="B60" s="674"/>
      <c r="C60" s="675" t="str">
        <f t="shared" si="4"/>
        <v>20-01-001</v>
      </c>
      <c r="D60" s="675"/>
      <c r="E60" s="675"/>
      <c r="F60" s="675"/>
      <c r="G60" s="676" t="str">
        <f t="array" ref="G60">IF(OR(C60=C59,C60=0),"",INDEX(CasheirCode[Name],MATCH((INDEX(CkDJ[Sort Code],MATCH(C60,CkDJ[JEV Number],0))),CasheirCode[Sort Code])))</f>
        <v/>
      </c>
      <c r="H60" s="677">
        <f t="array" ref="H60">IF(OR($C60=$C59,$C60=0),0,(SUM(IF((CkDJ[JEV Number]=$C60)*(CkDJ[Account Code]=(H$9)),CkDJ[Credit]))))</f>
        <v>0</v>
      </c>
      <c r="I60" s="677">
        <f t="array" ref="I60">IF(OR($C60=$C59,$C60=0),0,(SUM(IF((CkDJ[JEV Number]=$C60)*(CkDJ[Account Code]=(I$9)),CkDJ[Credit]))))</f>
        <v>0</v>
      </c>
      <c r="J60" s="678"/>
      <c r="K60" s="677">
        <f t="array" ref="K60">IF($C60=0,0,(SUM(IF((CkDJ[JEV Number]=$C60)*(CkDJ[Account Code]=(J60)),CkDJ[Credit]))))</f>
        <v>0</v>
      </c>
      <c r="L60" s="677">
        <f t="array" ref="L60">IF(OR($C60=$C59,$C60=0),0,(SUM(IF((CkDJ[JEV Number]=$C60)*(CkDJ[Account Code]=(L$9)),CkDJ[Debit]))))</f>
        <v>0</v>
      </c>
      <c r="M60" s="677">
        <f t="array" ref="M60">IF(OR($C60=$C59,$C60=0),0,(SUM(IF((CkDJ[JEV Number]=$C60)*(CkDJ[Account Code]=(M$9)),CkDJ[Debit]))))</f>
        <v>0</v>
      </c>
      <c r="N60" s="677">
        <f t="array" ref="N60">IF(OR($C60=$C59,$C60=0),0,(SUM(IF((CkDJ[JEV Number]=$C60)*(CkDJ[Account Code]=(N$9)),CkDJ[Debit]))))</f>
        <v>0</v>
      </c>
      <c r="O60" s="677">
        <f t="array" ref="O60">IF(OR($C60=$C59,$C60=0),0,(SUM(IF((CkDJ[JEV Number]=$C60)*(CkDJ[Account Code]=(O$9)),CkDJ[Debit]))))</f>
        <v>0</v>
      </c>
      <c r="P60" s="726"/>
      <c r="Q60" s="692">
        <f t="array" ref="Q60">IF($C60=0,0,(SUM(IF((CkDJ[JEV Number]=$C60)*(CkDJ[Account Code]=(P60)),CkDJ[Debit]))))</f>
        <v>0</v>
      </c>
      <c r="R60" s="679">
        <f t="shared" si="5"/>
        <v>0</v>
      </c>
    </row>
    <row r="61" spans="1:18" x14ac:dyDescent="0.25">
      <c r="A61" s="673" t="str">
        <f t="array" ref="A61">IF(OR(C61=C60,C61=0),"",INDEX(CkDJ[Date],MATCH(C61,CkDJ[JEV Number],0)))</f>
        <v/>
      </c>
      <c r="B61" s="674"/>
      <c r="C61" s="675" t="str">
        <f t="shared" si="4"/>
        <v>20-01-001</v>
      </c>
      <c r="D61" s="675"/>
      <c r="E61" s="675"/>
      <c r="F61" s="675"/>
      <c r="G61" s="676" t="str">
        <f t="array" ref="G61">IF(OR(C61=C60,C61=0),"",INDEX(CasheirCode[Name],MATCH((INDEX(CkDJ[Sort Code],MATCH(C61,CkDJ[JEV Number],0))),CasheirCode[Sort Code])))</f>
        <v/>
      </c>
      <c r="H61" s="677">
        <f t="array" ref="H61">IF(OR($C61=$C60,$C61=0),0,(SUM(IF((CkDJ[JEV Number]=$C61)*(CkDJ[Account Code]=(H$9)),CkDJ[Credit]))))</f>
        <v>0</v>
      </c>
      <c r="I61" s="677">
        <f t="array" ref="I61">IF(OR($C61=$C60,$C61=0),0,(SUM(IF((CkDJ[JEV Number]=$C61)*(CkDJ[Account Code]=(I$9)),CkDJ[Credit]))))</f>
        <v>0</v>
      </c>
      <c r="J61" s="678"/>
      <c r="K61" s="677">
        <f t="array" ref="K61">IF($C61=0,0,(SUM(IF((CkDJ[JEV Number]=$C61)*(CkDJ[Account Code]=(J61)),CkDJ[Credit]))))</f>
        <v>0</v>
      </c>
      <c r="L61" s="677">
        <f t="array" ref="L61">IF(OR($C61=$C60,$C61=0),0,(SUM(IF((CkDJ[JEV Number]=$C61)*(CkDJ[Account Code]=(L$9)),CkDJ[Debit]))))</f>
        <v>0</v>
      </c>
      <c r="M61" s="677">
        <f t="array" ref="M61">IF(OR($C61=$C60,$C61=0),0,(SUM(IF((CkDJ[JEV Number]=$C61)*(CkDJ[Account Code]=(M$9)),CkDJ[Debit]))))</f>
        <v>0</v>
      </c>
      <c r="N61" s="677">
        <f t="array" ref="N61">IF(OR($C61=$C60,$C61=0),0,(SUM(IF((CkDJ[JEV Number]=$C61)*(CkDJ[Account Code]=(N$9)),CkDJ[Debit]))))</f>
        <v>0</v>
      </c>
      <c r="O61" s="677">
        <f t="array" ref="O61">IF(OR($C61=$C60,$C61=0),0,(SUM(IF((CkDJ[JEV Number]=$C61)*(CkDJ[Account Code]=(O$9)),CkDJ[Debit]))))</f>
        <v>0</v>
      </c>
      <c r="P61" s="726"/>
      <c r="Q61" s="692">
        <f t="array" ref="Q61">IF($C61=0,0,(SUM(IF((CkDJ[JEV Number]=$C61)*(CkDJ[Account Code]=(P61)),CkDJ[Debit]))))</f>
        <v>0</v>
      </c>
      <c r="R61" s="679">
        <f t="shared" si="5"/>
        <v>0</v>
      </c>
    </row>
    <row r="62" spans="1:18" x14ac:dyDescent="0.25">
      <c r="A62" s="673" t="str">
        <f t="array" ref="A62">IF(OR(C62=C61,C62=0),"",INDEX(CkDJ[Date],MATCH(C62,CkDJ[JEV Number],0)))</f>
        <v/>
      </c>
      <c r="B62" s="674"/>
      <c r="C62" s="675" t="str">
        <f t="shared" si="4"/>
        <v>20-01-001</v>
      </c>
      <c r="D62" s="675"/>
      <c r="E62" s="675"/>
      <c r="F62" s="675"/>
      <c r="G62" s="676" t="str">
        <f t="array" ref="G62">IF(OR(C62=C61,C62=0),"",INDEX(CasheirCode[Name],MATCH((INDEX(CkDJ[Sort Code],MATCH(C62,CkDJ[JEV Number],0))),CasheirCode[Sort Code])))</f>
        <v/>
      </c>
      <c r="H62" s="677">
        <f t="array" ref="H62">IF(OR($C62=$C61,$C62=0),0,(SUM(IF((CkDJ[JEV Number]=$C62)*(CkDJ[Account Code]=(H$9)),CkDJ[Credit]))))</f>
        <v>0</v>
      </c>
      <c r="I62" s="677">
        <f t="array" ref="I62">IF(OR($C62=$C61,$C62=0),0,(SUM(IF((CkDJ[JEV Number]=$C62)*(CkDJ[Account Code]=(I$9)),CkDJ[Credit]))))</f>
        <v>0</v>
      </c>
      <c r="J62" s="678"/>
      <c r="K62" s="677">
        <f t="array" ref="K62">IF($C62=0,0,(SUM(IF((CkDJ[JEV Number]=$C62)*(CkDJ[Account Code]=(J62)),CkDJ[Credit]))))</f>
        <v>0</v>
      </c>
      <c r="L62" s="677">
        <f t="array" ref="L62">IF(OR($C62=$C61,$C62=0),0,(SUM(IF((CkDJ[JEV Number]=$C62)*(CkDJ[Account Code]=(L$9)),CkDJ[Debit]))))</f>
        <v>0</v>
      </c>
      <c r="M62" s="677">
        <f t="array" ref="M62">IF(OR($C62=$C61,$C62=0),0,(SUM(IF((CkDJ[JEV Number]=$C62)*(CkDJ[Account Code]=(M$9)),CkDJ[Debit]))))</f>
        <v>0</v>
      </c>
      <c r="N62" s="677">
        <f t="array" ref="N62">IF(OR($C62=$C61,$C62=0),0,(SUM(IF((CkDJ[JEV Number]=$C62)*(CkDJ[Account Code]=(N$9)),CkDJ[Debit]))))</f>
        <v>0</v>
      </c>
      <c r="O62" s="677">
        <f t="array" ref="O62">IF(OR($C62=$C61,$C62=0),0,(SUM(IF((CkDJ[JEV Number]=$C62)*(CkDJ[Account Code]=(O$9)),CkDJ[Debit]))))</f>
        <v>0</v>
      </c>
      <c r="P62" s="726"/>
      <c r="Q62" s="692">
        <f t="array" ref="Q62">IF($C62=0,0,(SUM(IF((CkDJ[JEV Number]=$C62)*(CkDJ[Account Code]=(P62)),CkDJ[Debit]))))</f>
        <v>0</v>
      </c>
      <c r="R62" s="679">
        <f t="shared" si="5"/>
        <v>0</v>
      </c>
    </row>
    <row r="63" spans="1:18" x14ac:dyDescent="0.25">
      <c r="A63" s="673" t="str">
        <f t="array" ref="A63">IF(OR(C63=C62,C63=0),"",INDEX(CkDJ[Date],MATCH(C63,CkDJ[JEV Number],0)))</f>
        <v/>
      </c>
      <c r="B63" s="674"/>
      <c r="C63" s="675" t="str">
        <f t="shared" si="4"/>
        <v>20-01-001</v>
      </c>
      <c r="D63" s="675"/>
      <c r="E63" s="675"/>
      <c r="F63" s="675"/>
      <c r="G63" s="676" t="str">
        <f t="array" ref="G63">IF(OR(C63=C62,C63=0),"",INDEX(CasheirCode[Name],MATCH((INDEX(CkDJ[Sort Code],MATCH(C63,CkDJ[JEV Number],0))),CasheirCode[Sort Code])))</f>
        <v/>
      </c>
      <c r="H63" s="677">
        <f t="array" ref="H63">IF(OR($C63=$C62,$C63=0),0,(SUM(IF((CkDJ[JEV Number]=$C63)*(CkDJ[Account Code]=(H$9)),CkDJ[Credit]))))</f>
        <v>0</v>
      </c>
      <c r="I63" s="677">
        <f t="array" ref="I63">IF(OR($C63=$C62,$C63=0),0,(SUM(IF((CkDJ[JEV Number]=$C63)*(CkDJ[Account Code]=(I$9)),CkDJ[Credit]))))</f>
        <v>0</v>
      </c>
      <c r="J63" s="678"/>
      <c r="K63" s="677">
        <f t="array" ref="K63">IF($C63=0,0,(SUM(IF((CkDJ[JEV Number]=$C63)*(CkDJ[Account Code]=(J63)),CkDJ[Credit]))))</f>
        <v>0</v>
      </c>
      <c r="L63" s="677">
        <f t="array" ref="L63">IF(OR($C63=$C62,$C63=0),0,(SUM(IF((CkDJ[JEV Number]=$C63)*(CkDJ[Account Code]=(L$9)),CkDJ[Debit]))))</f>
        <v>0</v>
      </c>
      <c r="M63" s="677">
        <f t="array" ref="M63">IF(OR($C63=$C62,$C63=0),0,(SUM(IF((CkDJ[JEV Number]=$C63)*(CkDJ[Account Code]=(M$9)),CkDJ[Debit]))))</f>
        <v>0</v>
      </c>
      <c r="N63" s="677">
        <f t="array" ref="N63">IF(OR($C63=$C62,$C63=0),0,(SUM(IF((CkDJ[JEV Number]=$C63)*(CkDJ[Account Code]=(N$9)),CkDJ[Debit]))))</f>
        <v>0</v>
      </c>
      <c r="O63" s="677">
        <f t="array" ref="O63">IF(OR($C63=$C62,$C63=0),0,(SUM(IF((CkDJ[JEV Number]=$C63)*(CkDJ[Account Code]=(O$9)),CkDJ[Debit]))))</f>
        <v>0</v>
      </c>
      <c r="P63" s="726"/>
      <c r="Q63" s="692">
        <f t="array" ref="Q63">IF($C63=0,0,(SUM(IF((CkDJ[JEV Number]=$C63)*(CkDJ[Account Code]=(P63)),CkDJ[Debit]))))</f>
        <v>0</v>
      </c>
      <c r="R63" s="679">
        <f t="shared" si="5"/>
        <v>0</v>
      </c>
    </row>
    <row r="64" spans="1:18" x14ac:dyDescent="0.25">
      <c r="A64" s="673" t="str">
        <f t="array" ref="A64">IF(OR(C64=C63,C64=0),"",INDEX(CkDJ[Date],MATCH(C64,CkDJ[JEV Number],0)))</f>
        <v/>
      </c>
      <c r="B64" s="674"/>
      <c r="C64" s="675" t="str">
        <f t="shared" si="4"/>
        <v>20-01-001</v>
      </c>
      <c r="D64" s="675"/>
      <c r="E64" s="675"/>
      <c r="F64" s="675"/>
      <c r="G64" s="676" t="str">
        <f t="array" ref="G64">IF(OR(C64=C63,C64=0),"",INDEX(CasheirCode[Name],MATCH((INDEX(CkDJ[Sort Code],MATCH(C64,CkDJ[JEV Number],0))),CasheirCode[Sort Code])))</f>
        <v/>
      </c>
      <c r="H64" s="677">
        <f t="array" ref="H64">IF(OR($C64=$C63,$C64=0),0,(SUM(IF((CkDJ[JEV Number]=$C64)*(CkDJ[Account Code]=(H$9)),CkDJ[Credit]))))</f>
        <v>0</v>
      </c>
      <c r="I64" s="677">
        <f t="array" ref="I64">IF(OR($C64=$C63,$C64=0),0,(SUM(IF((CkDJ[JEV Number]=$C64)*(CkDJ[Account Code]=(I$9)),CkDJ[Credit]))))</f>
        <v>0</v>
      </c>
      <c r="J64" s="728"/>
      <c r="K64" s="677">
        <f t="array" ref="K64">IF($C64=0,0,(SUM(IF((CkDJ[JEV Number]=$C64)*(CkDJ[Account Code]=(J64)),CkDJ[Credit]))))</f>
        <v>0</v>
      </c>
      <c r="L64" s="677">
        <f t="array" ref="L64">IF(OR($C64=$C63,$C64=0),0,(SUM(IF((CkDJ[JEV Number]=$C64)*(CkDJ[Account Code]=(L$9)),CkDJ[Debit]))))</f>
        <v>0</v>
      </c>
      <c r="M64" s="677">
        <f t="array" ref="M64">IF(OR($C64=$C63,$C64=0),0,(SUM(IF((CkDJ[JEV Number]=$C64)*(CkDJ[Account Code]=(M$9)),CkDJ[Debit]))))</f>
        <v>0</v>
      </c>
      <c r="N64" s="677">
        <f t="array" ref="N64">IF(OR($C64=$C63,$C64=0),0,(SUM(IF((CkDJ[JEV Number]=$C64)*(CkDJ[Account Code]=(N$9)),CkDJ[Debit]))))</f>
        <v>0</v>
      </c>
      <c r="O64" s="677">
        <f t="array" ref="O64">IF(OR($C64=$C63,$C64=0),0,(SUM(IF((CkDJ[JEV Number]=$C64)*(CkDJ[Account Code]=(O$9)),CkDJ[Debit]))))</f>
        <v>0</v>
      </c>
      <c r="P64" s="726"/>
      <c r="Q64" s="692">
        <f t="array" ref="Q64">IF($C64=0,0,(SUM(IF((CkDJ[JEV Number]=$C64)*(CkDJ[Account Code]=(P64)),CkDJ[Debit]))))</f>
        <v>0</v>
      </c>
      <c r="R64" s="679">
        <f t="shared" si="5"/>
        <v>0</v>
      </c>
    </row>
    <row r="65" spans="1:18" x14ac:dyDescent="0.25">
      <c r="A65" s="673" t="str">
        <f t="array" ref="A65">IF(OR(C65=C64,C65=0),"",INDEX(CkDJ[Date],MATCH(C65,CkDJ[JEV Number],0)))</f>
        <v/>
      </c>
      <c r="B65" s="674"/>
      <c r="C65" s="675" t="str">
        <f t="shared" si="4"/>
        <v>20-01-001</v>
      </c>
      <c r="D65" s="675"/>
      <c r="E65" s="675"/>
      <c r="F65" s="675"/>
      <c r="G65" s="676" t="str">
        <f t="array" ref="G65">IF(OR(C65=C64,C65=0),"",INDEX(CasheirCode[Name],MATCH((INDEX(CkDJ[Sort Code],MATCH(C65,CkDJ[JEV Number],0))),CasheirCode[Sort Code])))</f>
        <v/>
      </c>
      <c r="H65" s="677">
        <f t="array" ref="H65">IF(OR($C65=$C64,$C65=0),0,(SUM(IF((CkDJ[JEV Number]=$C65)*(CkDJ[Account Code]=(H$9)),CkDJ[Credit]))))</f>
        <v>0</v>
      </c>
      <c r="I65" s="677">
        <f t="array" ref="I65">IF(OR($C65=$C64,$C65=0),0,(SUM(IF((CkDJ[JEV Number]=$C65)*(CkDJ[Account Code]=(I$9)),CkDJ[Credit]))))</f>
        <v>0</v>
      </c>
      <c r="J65" s="678"/>
      <c r="K65" s="677">
        <f t="array" ref="K65">IF($C65=0,0,(SUM(IF((CkDJ[JEV Number]=$C65)*(CkDJ[Account Code]=(J65)),CkDJ[Credit]))))</f>
        <v>0</v>
      </c>
      <c r="L65" s="677">
        <f t="array" ref="L65">IF(OR($C65=$C64,$C65=0),0,(SUM(IF((CkDJ[JEV Number]=$C65)*(CkDJ[Account Code]=(L$9)),CkDJ[Debit]))))</f>
        <v>0</v>
      </c>
      <c r="M65" s="677">
        <f t="array" ref="M65">IF(OR($C65=$C64,$C65=0),0,(SUM(IF((CkDJ[JEV Number]=$C65)*(CkDJ[Account Code]=(M$9)),CkDJ[Debit]))))</f>
        <v>0</v>
      </c>
      <c r="N65" s="677">
        <f t="array" ref="N65">IF(OR($C65=$C64,$C65=0),0,(SUM(IF((CkDJ[JEV Number]=$C65)*(CkDJ[Account Code]=(N$9)),CkDJ[Debit]))))</f>
        <v>0</v>
      </c>
      <c r="O65" s="677">
        <f t="array" ref="O65">IF(OR($C65=$C64,$C65=0),0,(SUM(IF((CkDJ[JEV Number]=$C65)*(CkDJ[Account Code]=(O$9)),CkDJ[Debit]))))</f>
        <v>0</v>
      </c>
      <c r="P65" s="726"/>
      <c r="Q65" s="692">
        <f t="array" ref="Q65">IF($C65=0,0,(SUM(IF((CkDJ[JEV Number]=$C65)*(CkDJ[Account Code]=(P65)),CkDJ[Debit]))))</f>
        <v>0</v>
      </c>
      <c r="R65" s="679">
        <f t="shared" si="5"/>
        <v>0</v>
      </c>
    </row>
    <row r="66" spans="1:18" x14ac:dyDescent="0.25">
      <c r="A66" s="673" t="str">
        <f t="array" ref="A66">IF(OR(C66=C65,C66=0),"",INDEX(CkDJ[Date],MATCH(C66,CkDJ[JEV Number],0)))</f>
        <v/>
      </c>
      <c r="B66" s="674"/>
      <c r="C66" s="675" t="str">
        <f t="shared" si="4"/>
        <v>20-01-001</v>
      </c>
      <c r="D66" s="675"/>
      <c r="E66" s="675"/>
      <c r="F66" s="675"/>
      <c r="G66" s="676" t="str">
        <f t="array" ref="G66">IF(OR(C66=C65,C66=0),"",INDEX(CasheirCode[Name],MATCH((INDEX(CkDJ[Sort Code],MATCH(C66,CkDJ[JEV Number],0))),CasheirCode[Sort Code])))</f>
        <v/>
      </c>
      <c r="H66" s="677">
        <f t="array" ref="H66">IF(OR($C66=$C65,$C66=0),0,(SUM(IF((CkDJ[JEV Number]=$C66)*(CkDJ[Account Code]=(H$9)),CkDJ[Credit]))))</f>
        <v>0</v>
      </c>
      <c r="I66" s="677">
        <f t="array" ref="I66">IF(OR($C66=$C65,$C66=0),0,(SUM(IF((CkDJ[JEV Number]=$C66)*(CkDJ[Account Code]=(I$9)),CkDJ[Credit]))))</f>
        <v>0</v>
      </c>
      <c r="J66" s="678"/>
      <c r="K66" s="677">
        <f t="array" ref="K66">IF($C66=0,0,(SUM(IF((CkDJ[JEV Number]=$C66)*(CkDJ[Account Code]=(J66)),CkDJ[Credit]))))</f>
        <v>0</v>
      </c>
      <c r="L66" s="677">
        <f t="array" ref="L66">IF(OR($C66=$C65,$C66=0),0,(SUM(IF((CkDJ[JEV Number]=$C66)*(CkDJ[Account Code]=(L$9)),CkDJ[Debit]))))</f>
        <v>0</v>
      </c>
      <c r="M66" s="677">
        <f t="array" ref="M66">IF(OR($C66=$C65,$C66=0),0,(SUM(IF((CkDJ[JEV Number]=$C66)*(CkDJ[Account Code]=(M$9)),CkDJ[Debit]))))</f>
        <v>0</v>
      </c>
      <c r="N66" s="677">
        <f t="array" ref="N66">IF(OR($C66=$C65,$C66=0),0,(SUM(IF((CkDJ[JEV Number]=$C66)*(CkDJ[Account Code]=(N$9)),CkDJ[Debit]))))</f>
        <v>0</v>
      </c>
      <c r="O66" s="677">
        <f t="array" ref="O66">IF(OR($C66=$C65,$C66=0),0,(SUM(IF((CkDJ[JEV Number]=$C66)*(CkDJ[Account Code]=(O$9)),CkDJ[Debit]))))</f>
        <v>0</v>
      </c>
      <c r="P66" s="726"/>
      <c r="Q66" s="692">
        <f t="array" ref="Q66">IF($C66=0,0,(SUM(IF((CkDJ[JEV Number]=$C66)*(CkDJ[Account Code]=(P66)),CkDJ[Debit]))))</f>
        <v>0</v>
      </c>
      <c r="R66" s="679">
        <f t="shared" si="5"/>
        <v>0</v>
      </c>
    </row>
    <row r="67" spans="1:18" x14ac:dyDescent="0.25">
      <c r="A67" s="673" t="str">
        <f t="array" ref="A67">IF(OR(C67=C66,C67=0),"",INDEX(CkDJ[Date],MATCH(C67,CkDJ[JEV Number],0)))</f>
        <v/>
      </c>
      <c r="B67" s="674"/>
      <c r="C67" s="675" t="str">
        <f t="shared" si="4"/>
        <v>20-01-001</v>
      </c>
      <c r="D67" s="675"/>
      <c r="E67" s="675"/>
      <c r="F67" s="675"/>
      <c r="G67" s="676" t="str">
        <f t="array" ref="G67">IF(OR(C67=C66,C67=0),"",INDEX(CasheirCode[Name],MATCH((INDEX(CkDJ[Sort Code],MATCH(C67,CkDJ[JEV Number],0))),CasheirCode[Sort Code])))</f>
        <v/>
      </c>
      <c r="H67" s="677">
        <f t="array" ref="H67">IF(OR($C67=$C66,$C67=0),0,(SUM(IF((CkDJ[JEV Number]=$C67)*(CkDJ[Account Code]=(H$9)),CkDJ[Credit]))))</f>
        <v>0</v>
      </c>
      <c r="I67" s="677">
        <f t="array" ref="I67">IF(OR($C67=$C66,$C67=0),0,(SUM(IF((CkDJ[JEV Number]=$C67)*(CkDJ[Account Code]=(I$9)),CkDJ[Credit]))))</f>
        <v>0</v>
      </c>
      <c r="J67" s="678"/>
      <c r="K67" s="677">
        <f t="array" ref="K67">IF($C67=0,0,(SUM(IF((CkDJ[JEV Number]=$C67)*(CkDJ[Account Code]=(J67)),CkDJ[Credit]))))</f>
        <v>0</v>
      </c>
      <c r="L67" s="677">
        <f t="array" ref="L67">IF(OR($C67=$C66,$C67=0),0,(SUM(IF((CkDJ[JEV Number]=$C67)*(CkDJ[Account Code]=(L$9)),CkDJ[Debit]))))</f>
        <v>0</v>
      </c>
      <c r="M67" s="677">
        <f t="array" ref="M67">IF(OR($C67=$C66,$C67=0),0,(SUM(IF((CkDJ[JEV Number]=$C67)*(CkDJ[Account Code]=(M$9)),CkDJ[Debit]))))</f>
        <v>0</v>
      </c>
      <c r="N67" s="677">
        <f t="array" ref="N67">IF(OR($C67=$C66,$C67=0),0,(SUM(IF((CkDJ[JEV Number]=$C67)*(CkDJ[Account Code]=(N$9)),CkDJ[Debit]))))</f>
        <v>0</v>
      </c>
      <c r="O67" s="677">
        <f t="array" ref="O67">IF(OR($C67=$C66,$C67=0),0,(SUM(IF((CkDJ[JEV Number]=$C67)*(CkDJ[Account Code]=(O$9)),CkDJ[Debit]))))</f>
        <v>0</v>
      </c>
      <c r="P67" s="726"/>
      <c r="Q67" s="692">
        <f t="array" ref="Q67">IF($C67=0,0,(SUM(IF((CkDJ[JEV Number]=$C67)*(CkDJ[Account Code]=(P67)),CkDJ[Debit]))))</f>
        <v>0</v>
      </c>
      <c r="R67" s="679">
        <f t="shared" si="5"/>
        <v>0</v>
      </c>
    </row>
    <row r="68" spans="1:18" x14ac:dyDescent="0.25">
      <c r="A68" s="673" t="str">
        <f t="array" ref="A68">IF(OR(C68=C67,C68=0),"",INDEX(CkDJ[Date],MATCH(C68,CkDJ[JEV Number],0)))</f>
        <v/>
      </c>
      <c r="B68" s="674"/>
      <c r="C68" s="675" t="str">
        <f t="shared" si="4"/>
        <v>20-01-001</v>
      </c>
      <c r="D68" s="675"/>
      <c r="E68" s="675"/>
      <c r="F68" s="675"/>
      <c r="G68" s="676" t="str">
        <f t="array" ref="G68">IF(OR(C68=C67,C68=0),"",INDEX(CasheirCode[Name],MATCH((INDEX(CkDJ[Sort Code],MATCH(C68,CkDJ[JEV Number],0))),CasheirCode[Sort Code])))</f>
        <v/>
      </c>
      <c r="H68" s="677">
        <f t="array" ref="H68">IF(OR($C68=$C67,$C68=0),0,(SUM(IF((CkDJ[JEV Number]=$C68)*(CkDJ[Account Code]=(H$9)),CkDJ[Credit]))))</f>
        <v>0</v>
      </c>
      <c r="I68" s="677">
        <f t="array" ref="I68">IF(OR($C68=$C67,$C68=0),0,(SUM(IF((CkDJ[JEV Number]=$C68)*(CkDJ[Account Code]=(I$9)),CkDJ[Credit]))))</f>
        <v>0</v>
      </c>
      <c r="J68" s="678"/>
      <c r="K68" s="677">
        <f t="array" ref="K68">IF($C68=0,0,(SUM(IF((CkDJ[JEV Number]=$C68)*(CkDJ[Account Code]=(J68)),CkDJ[Credit]))))</f>
        <v>0</v>
      </c>
      <c r="L68" s="677">
        <f t="array" ref="L68">IF(OR($C68=$C67,$C68=0),0,(SUM(IF((CkDJ[JEV Number]=$C68)*(CkDJ[Account Code]=(L$9)),CkDJ[Debit]))))</f>
        <v>0</v>
      </c>
      <c r="M68" s="677">
        <f t="array" ref="M68">IF(OR($C68=$C67,$C68=0),0,(SUM(IF((CkDJ[JEV Number]=$C68)*(CkDJ[Account Code]=(M$9)),CkDJ[Debit]))))</f>
        <v>0</v>
      </c>
      <c r="N68" s="677">
        <f t="array" ref="N68">IF(OR($C68=$C67,$C68=0),0,(SUM(IF((CkDJ[JEV Number]=$C68)*(CkDJ[Account Code]=(N$9)),CkDJ[Debit]))))</f>
        <v>0</v>
      </c>
      <c r="O68" s="677">
        <f t="array" ref="O68">IF(OR($C68=$C67,$C68=0),0,(SUM(IF((CkDJ[JEV Number]=$C68)*(CkDJ[Account Code]=(O$9)),CkDJ[Debit]))))</f>
        <v>0</v>
      </c>
      <c r="P68" s="726"/>
      <c r="Q68" s="692">
        <f t="array" ref="Q68">IF($C68=0,0,(SUM(IF((CkDJ[JEV Number]=$C68)*(CkDJ[Account Code]=(P68)),CkDJ[Debit]))))</f>
        <v>0</v>
      </c>
      <c r="R68" s="679">
        <f t="shared" si="5"/>
        <v>0</v>
      </c>
    </row>
    <row r="69" spans="1:18" x14ac:dyDescent="0.25">
      <c r="A69" s="673" t="str">
        <f t="array" ref="A69">IF(OR(C69=C68,C69=0),"",INDEX(CkDJ[Date],MATCH(C69,CkDJ[JEV Number],0)))</f>
        <v/>
      </c>
      <c r="B69" s="674"/>
      <c r="C69" s="675" t="str">
        <f t="shared" si="4"/>
        <v>20-01-001</v>
      </c>
      <c r="D69" s="675"/>
      <c r="E69" s="675"/>
      <c r="F69" s="675"/>
      <c r="G69" s="676" t="str">
        <f t="array" ref="G69">IF(OR(C69=C68,C69=0),"",INDEX(CasheirCode[Name],MATCH((INDEX(CkDJ[Sort Code],MATCH(C69,CkDJ[JEV Number],0))),CasheirCode[Sort Code])))</f>
        <v/>
      </c>
      <c r="H69" s="677">
        <f t="array" ref="H69">IF(OR($C69=$C68,$C69=0),0,(SUM(IF((CkDJ[JEV Number]=$C69)*(CkDJ[Account Code]=(H$9)),CkDJ[Credit]))))</f>
        <v>0</v>
      </c>
      <c r="I69" s="677">
        <f t="array" ref="I69">IF(OR($C69=$C68,$C69=0),0,(SUM(IF((CkDJ[JEV Number]=$C69)*(CkDJ[Account Code]=(I$9)),CkDJ[Credit]))))</f>
        <v>0</v>
      </c>
      <c r="J69" s="678"/>
      <c r="K69" s="677">
        <f t="array" ref="K69">IF($C69=0,0,(SUM(IF((CkDJ[JEV Number]=$C69)*(CkDJ[Account Code]=(J69)),CkDJ[Credit]))))</f>
        <v>0</v>
      </c>
      <c r="L69" s="677">
        <f t="array" ref="L69">IF(OR($C69=$C68,$C69=0),0,(SUM(IF((CkDJ[JEV Number]=$C69)*(CkDJ[Account Code]=(L$9)),CkDJ[Debit]))))</f>
        <v>0</v>
      </c>
      <c r="M69" s="677">
        <f t="array" ref="M69">IF(OR($C69=$C68,$C69=0),0,(SUM(IF((CkDJ[JEV Number]=$C69)*(CkDJ[Account Code]=(M$9)),CkDJ[Debit]))))</f>
        <v>0</v>
      </c>
      <c r="N69" s="677">
        <f t="array" ref="N69">IF(OR($C69=$C68,$C69=0),0,(SUM(IF((CkDJ[JEV Number]=$C69)*(CkDJ[Account Code]=(N$9)),CkDJ[Debit]))))</f>
        <v>0</v>
      </c>
      <c r="O69" s="677">
        <f t="array" ref="O69">IF(OR($C69=$C68,$C69=0),0,(SUM(IF((CkDJ[JEV Number]=$C69)*(CkDJ[Account Code]=(O$9)),CkDJ[Debit]))))</f>
        <v>0</v>
      </c>
      <c r="P69" s="726"/>
      <c r="Q69" s="692">
        <f t="array" ref="Q69">IF($C69=0,0,(SUM(IF((CkDJ[JEV Number]=$C69)*(CkDJ[Account Code]=(P69)),CkDJ[Debit]))))</f>
        <v>0</v>
      </c>
      <c r="R69" s="679">
        <f t="shared" si="5"/>
        <v>0</v>
      </c>
    </row>
    <row r="70" spans="1:18" x14ac:dyDescent="0.25">
      <c r="A70" s="673" t="str">
        <f t="array" ref="A70">IF(OR(C70=C69,C70=0),"",INDEX(CkDJ[Date],MATCH(C70,CkDJ[JEV Number],0)))</f>
        <v/>
      </c>
      <c r="B70" s="674"/>
      <c r="C70" s="675" t="str">
        <f t="shared" si="4"/>
        <v>20-01-001</v>
      </c>
      <c r="D70" s="675"/>
      <c r="E70" s="675"/>
      <c r="F70" s="675"/>
      <c r="G70" s="676" t="str">
        <f t="array" ref="G70">IF(OR(C70=C69,C70=0),"",INDEX(CasheirCode[Name],MATCH((INDEX(CkDJ[Sort Code],MATCH(C70,CkDJ[JEV Number],0))),CasheirCode[Sort Code])))</f>
        <v/>
      </c>
      <c r="H70" s="677">
        <f t="array" ref="H70">IF(OR($C70=$C69,$C70=0),0,(SUM(IF((CkDJ[JEV Number]=$C70)*(CkDJ[Account Code]=(H$9)),CkDJ[Credit]))))</f>
        <v>0</v>
      </c>
      <c r="I70" s="677">
        <f t="array" ref="I70">IF(OR($C70=$C69,$C70=0),0,(SUM(IF((CkDJ[JEV Number]=$C70)*(CkDJ[Account Code]=(I$9)),CkDJ[Credit]))))</f>
        <v>0</v>
      </c>
      <c r="J70" s="728"/>
      <c r="K70" s="677">
        <f t="array" ref="K70">IF($C70=0,0,(SUM(IF((CkDJ[JEV Number]=$C70)*(CkDJ[Account Code]=(J70)),CkDJ[Credit]))))</f>
        <v>0</v>
      </c>
      <c r="L70" s="677">
        <f t="array" ref="L70">IF(OR($C70=$C69,$C70=0),0,(SUM(IF((CkDJ[JEV Number]=$C70)*(CkDJ[Account Code]=(L$9)),CkDJ[Debit]))))</f>
        <v>0</v>
      </c>
      <c r="M70" s="677">
        <f t="array" ref="M70">IF(OR($C70=$C69,$C70=0),0,(SUM(IF((CkDJ[JEV Number]=$C70)*(CkDJ[Account Code]=(M$9)),CkDJ[Debit]))))</f>
        <v>0</v>
      </c>
      <c r="N70" s="677">
        <f t="array" ref="N70">IF(OR($C70=$C69,$C70=0),0,(SUM(IF((CkDJ[JEV Number]=$C70)*(CkDJ[Account Code]=(N$9)),CkDJ[Debit]))))</f>
        <v>0</v>
      </c>
      <c r="O70" s="677">
        <f t="array" ref="O70">IF(OR($C70=$C69,$C70=0),0,(SUM(IF((CkDJ[JEV Number]=$C70)*(CkDJ[Account Code]=(O$9)),CkDJ[Debit]))))</f>
        <v>0</v>
      </c>
      <c r="P70" s="726"/>
      <c r="Q70" s="692">
        <f t="array" ref="Q70">IF($C70=0,0,(SUM(IF((CkDJ[JEV Number]=$C70)*(CkDJ[Account Code]=(P70)),CkDJ[Debit]))))</f>
        <v>0</v>
      </c>
      <c r="R70" s="679">
        <f t="shared" si="5"/>
        <v>0</v>
      </c>
    </row>
    <row r="71" spans="1:18" x14ac:dyDescent="0.25">
      <c r="A71" s="673" t="str">
        <f t="array" ref="A71">IF(OR(C71=C70,C71=0),"",INDEX(CkDJ[Date],MATCH(C71,CkDJ[JEV Number],0)))</f>
        <v/>
      </c>
      <c r="B71" s="674"/>
      <c r="C71" s="675" t="str">
        <f t="shared" si="4"/>
        <v>20-01-001</v>
      </c>
      <c r="D71" s="675"/>
      <c r="E71" s="675"/>
      <c r="F71" s="675"/>
      <c r="G71" s="676" t="str">
        <f t="array" ref="G71">IF(OR(C71=C70,C71=0),"",INDEX(CasheirCode[Name],MATCH((INDEX(CkDJ[Sort Code],MATCH(C71,CkDJ[JEV Number],0))),CasheirCode[Sort Code])))</f>
        <v/>
      </c>
      <c r="H71" s="677">
        <f t="array" ref="H71">IF(OR($C71=$C70,$C71=0),0,(SUM(IF((CkDJ[JEV Number]=$C71)*(CkDJ[Account Code]=(H$9)),CkDJ[Credit]))))</f>
        <v>0</v>
      </c>
      <c r="I71" s="677">
        <f t="array" ref="I71">IF(OR($C71=$C70,$C71=0),0,(SUM(IF((CkDJ[JEV Number]=$C71)*(CkDJ[Account Code]=(I$9)),CkDJ[Credit]))))</f>
        <v>0</v>
      </c>
      <c r="J71" s="728"/>
      <c r="K71" s="677">
        <f t="array" ref="K71">IF($C71=0,0,(SUM(IF((CkDJ[JEV Number]=$C71)*(CkDJ[Account Code]=(J71)),CkDJ[Credit]))))</f>
        <v>0</v>
      </c>
      <c r="L71" s="677">
        <f t="array" ref="L71">IF(OR($C71=$C70,$C71=0),0,(SUM(IF((CkDJ[JEV Number]=$C71)*(CkDJ[Account Code]=(L$9)),CkDJ[Debit]))))</f>
        <v>0</v>
      </c>
      <c r="M71" s="677">
        <f t="array" ref="M71">IF(OR($C71=$C70,$C71=0),0,(SUM(IF((CkDJ[JEV Number]=$C71)*(CkDJ[Account Code]=(M$9)),CkDJ[Debit]))))</f>
        <v>0</v>
      </c>
      <c r="N71" s="677">
        <f t="array" ref="N71">IF(OR($C71=$C70,$C71=0),0,(SUM(IF((CkDJ[JEV Number]=$C71)*(CkDJ[Account Code]=(N$9)),CkDJ[Debit]))))</f>
        <v>0</v>
      </c>
      <c r="O71" s="677">
        <f t="array" ref="O71">IF(OR($C71=$C70,$C71=0),0,(SUM(IF((CkDJ[JEV Number]=$C71)*(CkDJ[Account Code]=(O$9)),CkDJ[Debit]))))</f>
        <v>0</v>
      </c>
      <c r="P71" s="726"/>
      <c r="Q71" s="692">
        <f t="array" ref="Q71">IF($C71=0,0,(SUM(IF((CkDJ[JEV Number]=$C71)*(CkDJ[Account Code]=(P71)),CkDJ[Debit]))))</f>
        <v>0</v>
      </c>
      <c r="R71" s="679">
        <f t="shared" si="5"/>
        <v>0</v>
      </c>
    </row>
    <row r="72" spans="1:18" x14ac:dyDescent="0.25">
      <c r="A72" s="673" t="str">
        <f t="array" ref="A72">IF(OR(C72=C71,C72=0),"",INDEX(CkDJ[Date],MATCH(C72,CkDJ[JEV Number],0)))</f>
        <v/>
      </c>
      <c r="B72" s="674"/>
      <c r="C72" s="675" t="str">
        <f t="shared" si="4"/>
        <v>20-01-001</v>
      </c>
      <c r="D72" s="675"/>
      <c r="E72" s="675"/>
      <c r="F72" s="675"/>
      <c r="G72" s="676" t="str">
        <f t="array" ref="G72">IF(OR(C72=C71,C72=0),"",INDEX(CasheirCode[Name],MATCH((INDEX(CkDJ[Sort Code],MATCH(C72,CkDJ[JEV Number],0))),CasheirCode[Sort Code])))</f>
        <v/>
      </c>
      <c r="H72" s="677">
        <f t="array" ref="H72">IF(OR($C72=$C71,$C72=0),0,(SUM(IF((CkDJ[JEV Number]=$C72)*(CkDJ[Account Code]=(H$9)),CkDJ[Credit]))))</f>
        <v>0</v>
      </c>
      <c r="I72" s="677">
        <f t="array" ref="I72">IF(OR($C72=$C71,$C72=0),0,(SUM(IF((CkDJ[JEV Number]=$C72)*(CkDJ[Account Code]=(I$9)),CkDJ[Credit]))))</f>
        <v>0</v>
      </c>
      <c r="J72" s="678"/>
      <c r="K72" s="677">
        <f t="array" ref="K72">IF($C72=0,0,(SUM(IF((CkDJ[JEV Number]=$C72)*(CkDJ[Account Code]=(J72)),CkDJ[Credit]))))</f>
        <v>0</v>
      </c>
      <c r="L72" s="677">
        <f t="array" ref="L72">IF(OR($C72=$C71,$C72=0),0,(SUM(IF((CkDJ[JEV Number]=$C72)*(CkDJ[Account Code]=(L$9)),CkDJ[Debit]))))</f>
        <v>0</v>
      </c>
      <c r="M72" s="677">
        <f t="array" ref="M72">IF(OR($C72=$C71,$C72=0),0,(SUM(IF((CkDJ[JEV Number]=$C72)*(CkDJ[Account Code]=(M$9)),CkDJ[Debit]))))</f>
        <v>0</v>
      </c>
      <c r="N72" s="677">
        <f t="array" ref="N72">IF(OR($C72=$C71,$C72=0),0,(SUM(IF((CkDJ[JEV Number]=$C72)*(CkDJ[Account Code]=(N$9)),CkDJ[Debit]))))</f>
        <v>0</v>
      </c>
      <c r="O72" s="677">
        <f t="array" ref="O72">IF(OR($C72=$C71,$C72=0),0,(SUM(IF((CkDJ[JEV Number]=$C72)*(CkDJ[Account Code]=(O$9)),CkDJ[Debit]))))</f>
        <v>0</v>
      </c>
      <c r="P72" s="726"/>
      <c r="Q72" s="692">
        <f t="array" ref="Q72">IF($C72=0,0,(SUM(IF((CkDJ[JEV Number]=$C72)*(CkDJ[Account Code]=(P72)),CkDJ[Debit]))))</f>
        <v>0</v>
      </c>
      <c r="R72" s="679">
        <f t="shared" si="5"/>
        <v>0</v>
      </c>
    </row>
    <row r="73" spans="1:18" x14ac:dyDescent="0.25">
      <c r="A73" s="673" t="str">
        <f t="array" ref="A73">IF(OR(C73=C72,C73=0),"",INDEX(CkDJ[Date],MATCH(C73,CkDJ[JEV Number],0)))</f>
        <v/>
      </c>
      <c r="B73" s="674"/>
      <c r="C73" s="675" t="str">
        <f t="shared" si="4"/>
        <v>20-01-001</v>
      </c>
      <c r="D73" s="675"/>
      <c r="E73" s="675"/>
      <c r="F73" s="675"/>
      <c r="G73" s="676" t="str">
        <f t="array" ref="G73">IF(OR(C73=C72,C73=0),"",INDEX(CasheirCode[Name],MATCH((INDEX(CkDJ[Sort Code],MATCH(C73,CkDJ[JEV Number],0))),CasheirCode[Sort Code])))</f>
        <v/>
      </c>
      <c r="H73" s="677">
        <f t="array" ref="H73">IF(OR($C73=$C72,$C73=0),0,(SUM(IF((CkDJ[JEV Number]=$C73)*(CkDJ[Account Code]=(H$9)),CkDJ[Credit]))))</f>
        <v>0</v>
      </c>
      <c r="I73" s="677">
        <f t="array" ref="I73">IF(OR($C73=$C72,$C73=0),0,(SUM(IF((CkDJ[JEV Number]=$C73)*(CkDJ[Account Code]=(I$9)),CkDJ[Credit]))))</f>
        <v>0</v>
      </c>
      <c r="J73" s="678"/>
      <c r="K73" s="677">
        <f t="array" ref="K73">IF($C73=0,0,(SUM(IF((CkDJ[JEV Number]=$C73)*(CkDJ[Account Code]=(J73)),CkDJ[Credit]))))</f>
        <v>0</v>
      </c>
      <c r="L73" s="677">
        <f t="array" ref="L73">IF(OR($C73=$C72,$C73=0),0,(SUM(IF((CkDJ[JEV Number]=$C73)*(CkDJ[Account Code]=(L$9)),CkDJ[Debit]))))</f>
        <v>0</v>
      </c>
      <c r="M73" s="677">
        <f t="array" ref="M73">IF(OR($C73=$C72,$C73=0),0,(SUM(IF((CkDJ[JEV Number]=$C73)*(CkDJ[Account Code]=(M$9)),CkDJ[Debit]))))</f>
        <v>0</v>
      </c>
      <c r="N73" s="677">
        <f t="array" ref="N73">IF(OR($C73=$C72,$C73=0),0,(SUM(IF((CkDJ[JEV Number]=$C73)*(CkDJ[Account Code]=(N$9)),CkDJ[Debit]))))</f>
        <v>0</v>
      </c>
      <c r="O73" s="677">
        <f t="array" ref="O73">IF(OR($C73=$C72,$C73=0),0,(SUM(IF((CkDJ[JEV Number]=$C73)*(CkDJ[Account Code]=(O$9)),CkDJ[Debit]))))</f>
        <v>0</v>
      </c>
      <c r="P73" s="726"/>
      <c r="Q73" s="692">
        <f t="array" ref="Q73">IF($C73=0,0,(SUM(IF((CkDJ[JEV Number]=$C73)*(CkDJ[Account Code]=(P73)),CkDJ[Debit]))))</f>
        <v>0</v>
      </c>
      <c r="R73" s="679">
        <f t="shared" si="5"/>
        <v>0</v>
      </c>
    </row>
    <row r="74" spans="1:18" x14ac:dyDescent="0.25">
      <c r="A74" s="673" t="str">
        <f t="array" ref="A74">IF(OR(C74=C73,C74=0),"",INDEX(CkDJ[Date],MATCH(C74,CkDJ[JEV Number],0)))</f>
        <v/>
      </c>
      <c r="B74" s="674"/>
      <c r="C74" s="675" t="str">
        <f t="shared" si="4"/>
        <v>20-01-001</v>
      </c>
      <c r="D74" s="675"/>
      <c r="E74" s="675"/>
      <c r="F74" s="675"/>
      <c r="G74" s="676" t="str">
        <f t="array" ref="G74">IF(OR(C74=C73,C74=0),"",INDEX(CasheirCode[Name],MATCH((INDEX(CkDJ[Sort Code],MATCH(C74,CkDJ[JEV Number],0))),CasheirCode[Sort Code])))</f>
        <v/>
      </c>
      <c r="H74" s="677">
        <f t="array" ref="H74">IF(OR($C74=$C73,$C74=0),0,(SUM(IF((CkDJ[JEV Number]=$C74)*(CkDJ[Account Code]=(H$9)),CkDJ[Credit]))))</f>
        <v>0</v>
      </c>
      <c r="I74" s="677">
        <f t="array" ref="I74">IF(OR($C74=$C73,$C74=0),0,(SUM(IF((CkDJ[JEV Number]=$C74)*(CkDJ[Account Code]=(I$9)),CkDJ[Credit]))))</f>
        <v>0</v>
      </c>
      <c r="J74" s="678"/>
      <c r="K74" s="677">
        <f t="array" ref="K74">IF($C74=0,0,(SUM(IF((CkDJ[JEV Number]=$C74)*(CkDJ[Account Code]=(J74)),CkDJ[Credit]))))</f>
        <v>0</v>
      </c>
      <c r="L74" s="677">
        <f t="array" ref="L74">IF(OR($C74=$C73,$C74=0),0,(SUM(IF((CkDJ[JEV Number]=$C74)*(CkDJ[Account Code]=(L$9)),CkDJ[Debit]))))</f>
        <v>0</v>
      </c>
      <c r="M74" s="677">
        <f t="array" ref="M74">IF(OR($C74=$C73,$C74=0),0,(SUM(IF((CkDJ[JEV Number]=$C74)*(CkDJ[Account Code]=(M$9)),CkDJ[Debit]))))</f>
        <v>0</v>
      </c>
      <c r="N74" s="677">
        <f t="array" ref="N74">IF(OR($C74=$C73,$C74=0),0,(SUM(IF((CkDJ[JEV Number]=$C74)*(CkDJ[Account Code]=(N$9)),CkDJ[Debit]))))</f>
        <v>0</v>
      </c>
      <c r="O74" s="677">
        <f t="array" ref="O74">IF(OR($C74=$C73,$C74=0),0,(SUM(IF((CkDJ[JEV Number]=$C74)*(CkDJ[Account Code]=(O$9)),CkDJ[Debit]))))</f>
        <v>0</v>
      </c>
      <c r="P74" s="726"/>
      <c r="Q74" s="692">
        <f t="array" ref="Q74">IF($C74=0,0,(SUM(IF((CkDJ[JEV Number]=$C74)*(CkDJ[Account Code]=(P74)),CkDJ[Debit]))))</f>
        <v>0</v>
      </c>
      <c r="R74" s="679">
        <f t="shared" si="5"/>
        <v>0</v>
      </c>
    </row>
    <row r="75" spans="1:18" x14ac:dyDescent="0.25">
      <c r="A75" s="673" t="str">
        <f t="array" ref="A75">IF(OR(C75=C74,C75=0),"",INDEX(CkDJ[Date],MATCH(C75,CkDJ[JEV Number],0)))</f>
        <v/>
      </c>
      <c r="B75" s="763"/>
      <c r="C75" s="690" t="str">
        <f>IF(B75=0,C74,B75)</f>
        <v>20-01-001</v>
      </c>
      <c r="D75" s="690"/>
      <c r="E75" s="690"/>
      <c r="F75" s="690"/>
      <c r="G75" s="691" t="str">
        <f t="array" ref="G75">IF(OR(C75=C74,C75=0),"",INDEX(CasheirCode[Name],MATCH((INDEX(CkDJ[Sort Code],MATCH(C75,CkDJ[JEV Number],0))),CasheirCode[Sort Code])))</f>
        <v/>
      </c>
      <c r="H75" s="692">
        <f t="array" ref="H75">IF(OR($C75=$C74,$C75=0),0,(SUM(IF((CkDJ[JEV Number]=$C75)*(CkDJ[Account Code]=(H$9)),CkDJ[Credit]))))</f>
        <v>0</v>
      </c>
      <c r="I75" s="692">
        <f t="array" ref="I75">IF(OR($C75=$C74,$C75=0),0,(SUM(IF((CkDJ[JEV Number]=$C75)*(CkDJ[Account Code]=(I$9)),CkDJ[Credit]))))</f>
        <v>0</v>
      </c>
      <c r="J75" s="678"/>
      <c r="K75" s="692">
        <f t="array" ref="K75">IF($C75=0,0,(SUM(IF((CkDJ[JEV Number]=$C75)*(CkDJ[Account Code]=(J75)),CkDJ[Credit]))))</f>
        <v>0</v>
      </c>
      <c r="L75" s="692">
        <f t="array" ref="L75">IF(OR($C75=$C74,$C75=0),0,(SUM(IF((CkDJ[JEV Number]=$C75)*(CkDJ[Account Code]=(L$9)),CkDJ[Debit]))))</f>
        <v>0</v>
      </c>
      <c r="M75" s="692">
        <f t="array" ref="M75">IF(OR($C75=$C74,$C75=0),0,(SUM(IF((CkDJ[JEV Number]=$C75)*(CkDJ[Account Code]=(M$9)),CkDJ[Debit]))))</f>
        <v>0</v>
      </c>
      <c r="N75" s="692">
        <f t="array" ref="N75">IF(OR($C75=$C74,$C75=0),0,(SUM(IF((CkDJ[JEV Number]=$C75)*(CkDJ[Account Code]=(N$9)),CkDJ[Debit]))))</f>
        <v>0</v>
      </c>
      <c r="O75" s="692">
        <f t="array" ref="O75">IF(OR($C75=$C74,$C75=0),0,(SUM(IF((CkDJ[JEV Number]=$C75)*(CkDJ[Account Code]=(O$9)),CkDJ[Debit]))))</f>
        <v>0</v>
      </c>
      <c r="P75" s="726"/>
      <c r="Q75" s="692">
        <f t="array" ref="Q75">IF($C75=0,0,(SUM(IF((CkDJ[JEV Number]=$C75)*(CkDJ[Account Code]=(P75)),CkDJ[Debit]))))</f>
        <v>0</v>
      </c>
      <c r="R75" s="694">
        <f>R74+(SUM(L75:O75)+Q75)-(SUM(H75:I75)+K75)</f>
        <v>0</v>
      </c>
    </row>
    <row r="76" spans="1:18" x14ac:dyDescent="0.25">
      <c r="A76" s="721" t="str">
        <f t="array" ref="A76">IF(OR(C76=C75,C76=0),"",INDEX(CkDJ[Date],MATCH(C76,CkDJ[JEV Number],0)))</f>
        <v/>
      </c>
      <c r="B76" s="761"/>
      <c r="C76" s="523" t="str">
        <f t="shared" ref="C76:C107" si="6">IF(B76=0,C75,B76)</f>
        <v>20-01-001</v>
      </c>
      <c r="D76" s="523"/>
      <c r="E76" s="523"/>
      <c r="F76" s="523"/>
      <c r="G76" s="280" t="str">
        <f t="array" ref="G76">IF(OR(C76=C75,C76=0),"",INDEX(CasheirCode[Name],MATCH((INDEX(CkDJ[Sort Code],MATCH(C76,CkDJ[JEV Number],0))),CasheirCode[Sort Code])))</f>
        <v/>
      </c>
      <c r="H76" s="519">
        <f t="array" ref="H76">IF(OR($C76=$C75,$C76=0),0,(SUM(IF((CkDJ[JEV Number]=$C76)*(CkDJ[Account Code]=(H$9)),CkDJ[Credit]))))</f>
        <v>0</v>
      </c>
      <c r="I76" s="519">
        <f t="array" ref="I76">IF(OR($C76=$C75,$C76=0),0,(SUM(IF((CkDJ[JEV Number]=$C76)*(CkDJ[Account Code]=(I$9)),CkDJ[Credit]))))</f>
        <v>0</v>
      </c>
      <c r="J76" s="728"/>
      <c r="K76" s="519">
        <f t="array" ref="K76">IF($C76=0,0,(SUM(IF((CkDJ[JEV Number]=$C76)*(CkDJ[Account Code]=(J76)),CkDJ[Credit]))))</f>
        <v>0</v>
      </c>
      <c r="L76" s="519">
        <f t="array" ref="L76">IF(OR($C76=$C75,$C76=0),0,(SUM(IF((CkDJ[JEV Number]=$C76)*(CkDJ[Account Code]=(L$9)),CkDJ[Debit]))))</f>
        <v>0</v>
      </c>
      <c r="M76" s="519">
        <f t="array" ref="M76">IF(OR($C76=$C75,$C76=0),0,(SUM(IF((CkDJ[JEV Number]=$C76)*(CkDJ[Account Code]=(M$9)),CkDJ[Debit]))))</f>
        <v>0</v>
      </c>
      <c r="N76" s="519">
        <f t="array" ref="N76">IF(OR($C76=$C75,$C76=0),0,(SUM(IF((CkDJ[JEV Number]=$C76)*(CkDJ[Account Code]=(N$9)),CkDJ[Debit]))))</f>
        <v>0</v>
      </c>
      <c r="O76" s="519">
        <f t="array" ref="O76">IF(OR($C76=$C75,$C76=0),0,(SUM(IF((CkDJ[JEV Number]=$C76)*(CkDJ[Account Code]=(O$9)),CkDJ[Debit]))))</f>
        <v>0</v>
      </c>
      <c r="P76" s="726"/>
      <c r="Q76" s="519">
        <f t="array" ref="Q76">IF($C76=0,0,(SUM(IF((CkDJ[JEV Number]=$C76)*(CkDJ[Account Code]=(P76)),CkDJ[Debit]))))</f>
        <v>0</v>
      </c>
      <c r="R76" s="762">
        <f t="shared" ref="R76:R107" si="7">R75+(SUM(L76:O76)+Q76)-(SUM(H76:I76)+K76)</f>
        <v>0</v>
      </c>
    </row>
    <row r="77" spans="1:18" x14ac:dyDescent="0.25">
      <c r="A77" s="721" t="str">
        <f t="array" ref="A77">IF(OR(C77=C76,C77=0),"",INDEX(CkDJ[Date],MATCH(C77,CkDJ[JEV Number],0)))</f>
        <v/>
      </c>
      <c r="B77" s="761"/>
      <c r="C77" s="523" t="str">
        <f t="shared" si="6"/>
        <v>20-01-001</v>
      </c>
      <c r="D77" s="523"/>
      <c r="E77" s="523"/>
      <c r="F77" s="523"/>
      <c r="G77" s="280" t="str">
        <f t="array" ref="G77">IF(OR(C77=C76,C77=0),"",INDEX(CasheirCode[Name],MATCH((INDEX(CkDJ[Sort Code],MATCH(C77,CkDJ[JEV Number],0))),CasheirCode[Sort Code])))</f>
        <v/>
      </c>
      <c r="H77" s="519">
        <f t="array" ref="H77">IF(OR($C77=$C76,$C77=0),0,(SUM(IF((CkDJ[JEV Number]=$C77)*(CkDJ[Account Code]=(H$9)),CkDJ[Credit]))))</f>
        <v>0</v>
      </c>
      <c r="I77" s="519">
        <f t="array" ref="I77">IF(OR($C77=$C76,$C77=0),0,(SUM(IF((CkDJ[JEV Number]=$C77)*(CkDJ[Account Code]=(I$9)),CkDJ[Credit]))))</f>
        <v>0</v>
      </c>
      <c r="J77" s="728"/>
      <c r="K77" s="519">
        <f t="array" ref="K77">IF($C77=0,0,(SUM(IF((CkDJ[JEV Number]=$C77)*(CkDJ[Account Code]=(J77)),CkDJ[Credit]))))</f>
        <v>0</v>
      </c>
      <c r="L77" s="519">
        <f t="array" ref="L77">IF(OR($C77=$C76,$C77=0),0,(SUM(IF((CkDJ[JEV Number]=$C77)*(CkDJ[Account Code]=(L$9)),CkDJ[Debit]))))</f>
        <v>0</v>
      </c>
      <c r="M77" s="519">
        <f t="array" ref="M77">IF(OR($C77=$C76,$C77=0),0,(SUM(IF((CkDJ[JEV Number]=$C77)*(CkDJ[Account Code]=(M$9)),CkDJ[Debit]))))</f>
        <v>0</v>
      </c>
      <c r="N77" s="519">
        <f t="array" ref="N77">IF(OR($C77=$C76,$C77=0),0,(SUM(IF((CkDJ[JEV Number]=$C77)*(CkDJ[Account Code]=(N$9)),CkDJ[Debit]))))</f>
        <v>0</v>
      </c>
      <c r="O77" s="519">
        <f t="array" ref="O77">IF(OR($C77=$C76,$C77=0),0,(SUM(IF((CkDJ[JEV Number]=$C77)*(CkDJ[Account Code]=(O$9)),CkDJ[Debit]))))</f>
        <v>0</v>
      </c>
      <c r="P77" s="726"/>
      <c r="Q77" s="519">
        <f t="array" ref="Q77">IF($C77=0,0,(SUM(IF((CkDJ[JEV Number]=$C77)*(CkDJ[Account Code]=(P77)),CkDJ[Debit]))))</f>
        <v>0</v>
      </c>
      <c r="R77" s="762">
        <f t="shared" si="7"/>
        <v>0</v>
      </c>
    </row>
    <row r="78" spans="1:18" x14ac:dyDescent="0.25">
      <c r="A78" s="721" t="str">
        <f t="array" ref="A78">IF(OR(C78=C77,C78=0),"",INDEX(CkDJ[Date],MATCH(C78,CkDJ[JEV Number],0)))</f>
        <v/>
      </c>
      <c r="B78" s="761"/>
      <c r="C78" s="523" t="str">
        <f t="shared" si="6"/>
        <v>20-01-001</v>
      </c>
      <c r="D78" s="523"/>
      <c r="E78" s="523"/>
      <c r="F78" s="523"/>
      <c r="G78" s="280" t="str">
        <f t="array" ref="G78">IF(OR(C78=C77,C78=0),"",INDEX(CasheirCode[Name],MATCH((INDEX(CkDJ[Sort Code],MATCH(C78,CkDJ[JEV Number],0))),CasheirCode[Sort Code])))</f>
        <v/>
      </c>
      <c r="H78" s="519">
        <f t="array" ref="H78">IF(OR($C78=$C77,$C78=0),0,(SUM(IF((CkDJ[JEV Number]=$C78)*(CkDJ[Account Code]=(H$9)),CkDJ[Credit]))))</f>
        <v>0</v>
      </c>
      <c r="I78" s="519">
        <f t="array" ref="I78">IF(OR($C78=$C77,$C78=0),0,(SUM(IF((CkDJ[JEV Number]=$C78)*(CkDJ[Account Code]=(I$9)),CkDJ[Credit]))))</f>
        <v>0</v>
      </c>
      <c r="J78" s="728"/>
      <c r="K78" s="519">
        <f t="array" ref="K78">IF($C78=0,0,(SUM(IF((CkDJ[JEV Number]=$C78)*(CkDJ[Account Code]=(J78)),CkDJ[Credit]))))</f>
        <v>0</v>
      </c>
      <c r="L78" s="519">
        <f t="array" ref="L78">IF(OR($C78=$C77,$C78=0),0,(SUM(IF((CkDJ[JEV Number]=$C78)*(CkDJ[Account Code]=(L$9)),CkDJ[Debit]))))</f>
        <v>0</v>
      </c>
      <c r="M78" s="519">
        <f t="array" ref="M78">IF(OR($C78=$C77,$C78=0),0,(SUM(IF((CkDJ[JEV Number]=$C78)*(CkDJ[Account Code]=(M$9)),CkDJ[Debit]))))</f>
        <v>0</v>
      </c>
      <c r="N78" s="519">
        <f t="array" ref="N78">IF(OR($C78=$C77,$C78=0),0,(SUM(IF((CkDJ[JEV Number]=$C78)*(CkDJ[Account Code]=(N$9)),CkDJ[Debit]))))</f>
        <v>0</v>
      </c>
      <c r="O78" s="519">
        <f t="array" ref="O78">IF(OR($C78=$C77,$C78=0),0,(SUM(IF((CkDJ[JEV Number]=$C78)*(CkDJ[Account Code]=(O$9)),CkDJ[Debit]))))</f>
        <v>0</v>
      </c>
      <c r="P78" s="726"/>
      <c r="Q78" s="519">
        <f t="array" ref="Q78">IF($C78=0,0,(SUM(IF((CkDJ[JEV Number]=$C78)*(CkDJ[Account Code]=(P78)),CkDJ[Debit]))))</f>
        <v>0</v>
      </c>
      <c r="R78" s="762">
        <f t="shared" si="7"/>
        <v>0</v>
      </c>
    </row>
    <row r="79" spans="1:18" x14ac:dyDescent="0.25">
      <c r="A79" s="721" t="str">
        <f t="array" ref="A79">IF(OR(C79=C78,C79=0),"",INDEX(CkDJ[Date],MATCH(C79,CkDJ[JEV Number],0)))</f>
        <v/>
      </c>
      <c r="B79" s="543"/>
      <c r="C79" s="523" t="str">
        <f t="shared" si="6"/>
        <v>20-01-001</v>
      </c>
      <c r="D79" s="523"/>
      <c r="E79" s="523"/>
      <c r="F79" s="523"/>
      <c r="G79" s="280" t="str">
        <f t="array" ref="G79">IF(OR(C79=C78,C79=0),"",INDEX(CasheirCode[Name],MATCH((INDEX(CkDJ[Sort Code],MATCH(C79,CkDJ[JEV Number],0))),CasheirCode[Sort Code])))</f>
        <v/>
      </c>
      <c r="H79" s="519">
        <f t="array" ref="H79">IF(OR($C79=$C78,$C79=0),0,(SUM(IF((CkDJ[JEV Number]=$C79)*(CkDJ[Account Code]=(H$9)),CkDJ[Credit]))))</f>
        <v>0</v>
      </c>
      <c r="I79" s="519">
        <f t="array" ref="I79">IF(OR($C79=$C78,$C79=0),0,(SUM(IF((CkDJ[JEV Number]=$C79)*(CkDJ[Account Code]=(I$9)),CkDJ[Credit]))))</f>
        <v>0</v>
      </c>
      <c r="J79" s="728"/>
      <c r="K79" s="519">
        <f t="array" ref="K79">IF($C79=0,0,(SUM(IF((CkDJ[JEV Number]=$C79)*(CkDJ[Account Code]=(J79)),CkDJ[Credit]))))</f>
        <v>0</v>
      </c>
      <c r="L79" s="519">
        <f t="array" ref="L79">IF(OR($C79=$C78,$C79=0),0,(SUM(IF((CkDJ[JEV Number]=$C79)*(CkDJ[Account Code]=(L$9)),CkDJ[Debit]))))</f>
        <v>0</v>
      </c>
      <c r="M79" s="519">
        <f t="array" ref="M79">IF(OR($C79=$C78,$C79=0),0,(SUM(IF((CkDJ[JEV Number]=$C79)*(CkDJ[Account Code]=(M$9)),CkDJ[Debit]))))</f>
        <v>0</v>
      </c>
      <c r="N79" s="519">
        <f t="array" ref="N79">IF(OR($C79=$C78,$C79=0),0,(SUM(IF((CkDJ[JEV Number]=$C79)*(CkDJ[Account Code]=(N$9)),CkDJ[Debit]))))</f>
        <v>0</v>
      </c>
      <c r="O79" s="519">
        <f t="array" ref="O79">IF(OR($C79=$C78,$C79=0),0,(SUM(IF((CkDJ[JEV Number]=$C79)*(CkDJ[Account Code]=(O$9)),CkDJ[Debit]))))</f>
        <v>0</v>
      </c>
      <c r="P79" s="726"/>
      <c r="Q79" s="519">
        <f t="array" ref="Q79">IF($C79=0,0,(SUM(IF((CkDJ[JEV Number]=$C79)*(CkDJ[Account Code]=(P79)),CkDJ[Debit]))))</f>
        <v>0</v>
      </c>
      <c r="R79" s="762">
        <f t="shared" si="7"/>
        <v>0</v>
      </c>
    </row>
    <row r="80" spans="1:18" x14ac:dyDescent="0.25">
      <c r="A80" s="721" t="str">
        <f t="array" ref="A80">IF(OR(C80=C79,C80=0),"",INDEX(CkDJ[Date],MATCH(C80,CkDJ[JEV Number],0)))</f>
        <v/>
      </c>
      <c r="B80" s="761"/>
      <c r="C80" s="523" t="str">
        <f t="shared" si="6"/>
        <v>20-01-001</v>
      </c>
      <c r="D80" s="523"/>
      <c r="E80" s="523"/>
      <c r="F80" s="523"/>
      <c r="G80" s="280" t="str">
        <f t="array" ref="G80">IF(OR(C80=C79,C80=0),"",INDEX(CasheirCode[Name],MATCH((INDEX(CkDJ[Sort Code],MATCH(C80,CkDJ[JEV Number],0))),CasheirCode[Sort Code])))</f>
        <v/>
      </c>
      <c r="H80" s="519">
        <f t="array" ref="H80">IF(OR($C80=$C79,$C80=0),0,(SUM(IF((CkDJ[JEV Number]=$C80)*(CkDJ[Account Code]=(H$9)),CkDJ[Credit]))))</f>
        <v>0</v>
      </c>
      <c r="I80" s="519">
        <f t="array" ref="I80">IF(OR($C80=$C79,$C80=0),0,(SUM(IF((CkDJ[JEV Number]=$C80)*(CkDJ[Account Code]=(I$9)),CkDJ[Credit]))))</f>
        <v>0</v>
      </c>
      <c r="J80" s="728"/>
      <c r="K80" s="519">
        <f t="array" ref="K80">IF($C80=0,0,(SUM(IF((CkDJ[JEV Number]=$C80)*(CkDJ[Account Code]=(J80)),CkDJ[Credit]))))</f>
        <v>0</v>
      </c>
      <c r="L80" s="519">
        <f t="array" ref="L80">IF(OR($C80=$C79,$C80=0),0,(SUM(IF((CkDJ[JEV Number]=$C80)*(CkDJ[Account Code]=(L$9)),CkDJ[Debit]))))</f>
        <v>0</v>
      </c>
      <c r="M80" s="519">
        <f t="array" ref="M80">IF(OR($C80=$C79,$C80=0),0,(SUM(IF((CkDJ[JEV Number]=$C80)*(CkDJ[Account Code]=(M$9)),CkDJ[Debit]))))</f>
        <v>0</v>
      </c>
      <c r="N80" s="519">
        <f t="array" ref="N80">IF(OR($C80=$C79,$C80=0),0,(SUM(IF((CkDJ[JEV Number]=$C80)*(CkDJ[Account Code]=(N$9)),CkDJ[Debit]))))</f>
        <v>0</v>
      </c>
      <c r="O80" s="519">
        <f t="array" ref="O80">IF(OR($C80=$C79,$C80=0),0,(SUM(IF((CkDJ[JEV Number]=$C80)*(CkDJ[Account Code]=(O$9)),CkDJ[Debit]))))</f>
        <v>0</v>
      </c>
      <c r="P80" s="726"/>
      <c r="Q80" s="519">
        <f t="array" ref="Q80">IF($C80=0,0,(SUM(IF((CkDJ[JEV Number]=$C80)*(CkDJ[Account Code]=(P80)),CkDJ[Debit]))))</f>
        <v>0</v>
      </c>
      <c r="R80" s="762">
        <f t="shared" si="7"/>
        <v>0</v>
      </c>
    </row>
    <row r="81" spans="1:18" x14ac:dyDescent="0.25">
      <c r="A81" s="721" t="str">
        <f t="array" ref="A81">IF(OR(C81=C80,C81=0),"",INDEX(CkDJ[Date],MATCH(C81,CkDJ[JEV Number],0)))</f>
        <v/>
      </c>
      <c r="B81" s="761"/>
      <c r="C81" s="523" t="str">
        <f t="shared" si="6"/>
        <v>20-01-001</v>
      </c>
      <c r="D81" s="523"/>
      <c r="E81" s="523"/>
      <c r="F81" s="523"/>
      <c r="G81" s="280" t="str">
        <f t="array" ref="G81">IF(OR(C81=C80,C81=0),"",INDEX(CasheirCode[Name],MATCH((INDEX(CkDJ[Sort Code],MATCH(C81,CkDJ[JEV Number],0))),CasheirCode[Sort Code])))</f>
        <v/>
      </c>
      <c r="H81" s="519">
        <f t="array" ref="H81">IF(OR($C81=$C80,$C81=0),0,(SUM(IF((CkDJ[JEV Number]=$C81)*(CkDJ[Account Code]=(H$9)),CkDJ[Credit]))))</f>
        <v>0</v>
      </c>
      <c r="I81" s="519">
        <f t="array" ref="I81">IF(OR($C81=$C80,$C81=0),0,(SUM(IF((CkDJ[JEV Number]=$C81)*(CkDJ[Account Code]=(I$9)),CkDJ[Credit]))))</f>
        <v>0</v>
      </c>
      <c r="J81" s="678"/>
      <c r="K81" s="519">
        <f t="array" ref="K81">IF($C81=0,0,(SUM(IF((CkDJ[JEV Number]=$C81)*(CkDJ[Account Code]=(J81)),CkDJ[Credit]))))</f>
        <v>0</v>
      </c>
      <c r="L81" s="519">
        <f t="array" ref="L81">IF(OR($C81=$C80,$C81=0),0,(SUM(IF((CkDJ[JEV Number]=$C81)*(CkDJ[Account Code]=(L$9)),CkDJ[Debit]))))</f>
        <v>0</v>
      </c>
      <c r="M81" s="519">
        <f t="array" ref="M81">IF(OR($C81=$C80,$C81=0),0,(SUM(IF((CkDJ[JEV Number]=$C81)*(CkDJ[Account Code]=(M$9)),CkDJ[Debit]))))</f>
        <v>0</v>
      </c>
      <c r="N81" s="519">
        <f t="array" ref="N81">IF(OR($C81=$C80,$C81=0),0,(SUM(IF((CkDJ[JEV Number]=$C81)*(CkDJ[Account Code]=(N$9)),CkDJ[Debit]))))</f>
        <v>0</v>
      </c>
      <c r="O81" s="519">
        <f t="array" ref="O81">IF(OR($C81=$C80,$C81=0),0,(SUM(IF((CkDJ[JEV Number]=$C81)*(CkDJ[Account Code]=(O$9)),CkDJ[Debit]))))</f>
        <v>0</v>
      </c>
      <c r="P81" s="726"/>
      <c r="Q81" s="519">
        <f t="array" ref="Q81">IF($C81=0,0,(SUM(IF((CkDJ[JEV Number]=$C81)*(CkDJ[Account Code]=(P81)),CkDJ[Debit]))))</f>
        <v>0</v>
      </c>
      <c r="R81" s="762">
        <f t="shared" si="7"/>
        <v>0</v>
      </c>
    </row>
    <row r="82" spans="1:18" x14ac:dyDescent="0.25">
      <c r="A82" s="721" t="str">
        <f t="array" ref="A82">IF(OR(C82=C81,C82=0),"",INDEX(CkDJ[Date],MATCH(C82,CkDJ[JEV Number],0)))</f>
        <v/>
      </c>
      <c r="B82" s="761"/>
      <c r="C82" s="523" t="str">
        <f t="shared" si="6"/>
        <v>20-01-001</v>
      </c>
      <c r="D82" s="523"/>
      <c r="E82" s="523"/>
      <c r="F82" s="523"/>
      <c r="G82" s="280" t="str">
        <f t="array" ref="G82">IF(OR(C82=C81,C82=0),"",INDEX(CasheirCode[Name],MATCH((INDEX(CkDJ[Sort Code],MATCH(C82,CkDJ[JEV Number],0))),CasheirCode[Sort Code])))</f>
        <v/>
      </c>
      <c r="H82" s="519">
        <f t="array" ref="H82">IF(OR($C82=$C81,$C82=0),0,(SUM(IF((CkDJ[JEV Number]=$C82)*(CkDJ[Account Code]=(H$9)),CkDJ[Credit]))))</f>
        <v>0</v>
      </c>
      <c r="I82" s="519">
        <f t="array" ref="I82">IF(OR($C82=$C81,$C82=0),0,(SUM(IF((CkDJ[JEV Number]=$C82)*(CkDJ[Account Code]=(I$9)),CkDJ[Credit]))))</f>
        <v>0</v>
      </c>
      <c r="J82" s="678"/>
      <c r="K82" s="519">
        <f t="array" ref="K82">IF($C82=0,0,(SUM(IF((CkDJ[JEV Number]=$C82)*(CkDJ[Account Code]=(J82)),CkDJ[Credit]))))</f>
        <v>0</v>
      </c>
      <c r="L82" s="519">
        <f t="array" ref="L82">IF(OR($C82=$C81,$C82=0),0,(SUM(IF((CkDJ[JEV Number]=$C82)*(CkDJ[Account Code]=(L$9)),CkDJ[Debit]))))</f>
        <v>0</v>
      </c>
      <c r="M82" s="519">
        <f t="array" ref="M82">IF(OR($C82=$C81,$C82=0),0,(SUM(IF((CkDJ[JEV Number]=$C82)*(CkDJ[Account Code]=(M$9)),CkDJ[Debit]))))</f>
        <v>0</v>
      </c>
      <c r="N82" s="519">
        <f t="array" ref="N82">IF(OR($C82=$C81,$C82=0),0,(SUM(IF((CkDJ[JEV Number]=$C82)*(CkDJ[Account Code]=(N$9)),CkDJ[Debit]))))</f>
        <v>0</v>
      </c>
      <c r="O82" s="519">
        <f t="array" ref="O82">IF(OR($C82=$C81,$C82=0),0,(SUM(IF((CkDJ[JEV Number]=$C82)*(CkDJ[Account Code]=(O$9)),CkDJ[Debit]))))</f>
        <v>0</v>
      </c>
      <c r="P82" s="726"/>
      <c r="Q82" s="519">
        <f t="array" ref="Q82">IF($C82=0,0,(SUM(IF((CkDJ[JEV Number]=$C82)*(CkDJ[Account Code]=(P82)),CkDJ[Debit]))))</f>
        <v>0</v>
      </c>
      <c r="R82" s="762">
        <f t="shared" si="7"/>
        <v>0</v>
      </c>
    </row>
    <row r="83" spans="1:18" x14ac:dyDescent="0.25">
      <c r="A83" s="721" t="str">
        <f t="array" ref="A83">IF(OR(C83=C82,C83=0),"",INDEX(CkDJ[Date],MATCH(C83,CkDJ[JEV Number],0)))</f>
        <v/>
      </c>
      <c r="B83" s="761"/>
      <c r="C83" s="523" t="str">
        <f t="shared" si="6"/>
        <v>20-01-001</v>
      </c>
      <c r="D83" s="523"/>
      <c r="E83" s="523"/>
      <c r="F83" s="523"/>
      <c r="G83" s="280" t="str">
        <f t="array" ref="G83">IF(OR(C83=C82,C83=0),"",INDEX(CasheirCode[Name],MATCH((INDEX(CkDJ[Sort Code],MATCH(C83,CkDJ[JEV Number],0))),CasheirCode[Sort Code])))</f>
        <v/>
      </c>
      <c r="H83" s="519">
        <f t="array" ref="H83">IF(OR($C83=$C82,$C83=0),0,(SUM(IF((CkDJ[JEV Number]=$C83)*(CkDJ[Account Code]=(H$9)),CkDJ[Credit]))))</f>
        <v>0</v>
      </c>
      <c r="I83" s="519">
        <f t="array" ref="I83">IF(OR($C83=$C82,$C83=0),0,(SUM(IF((CkDJ[JEV Number]=$C83)*(CkDJ[Account Code]=(I$9)),CkDJ[Credit]))))</f>
        <v>0</v>
      </c>
      <c r="J83" s="678"/>
      <c r="K83" s="519">
        <f t="array" ref="K83">IF($C83=0,0,(SUM(IF((CkDJ[JEV Number]=$C83)*(CkDJ[Account Code]=(J83)),CkDJ[Credit]))))</f>
        <v>0</v>
      </c>
      <c r="L83" s="519">
        <f t="array" ref="L83">IF(OR($C83=$C82,$C83=0),0,(SUM(IF((CkDJ[JEV Number]=$C83)*(CkDJ[Account Code]=(L$9)),CkDJ[Debit]))))</f>
        <v>0</v>
      </c>
      <c r="M83" s="519">
        <f t="array" ref="M83">IF(OR($C83=$C82,$C83=0),0,(SUM(IF((CkDJ[JEV Number]=$C83)*(CkDJ[Account Code]=(M$9)),CkDJ[Debit]))))</f>
        <v>0</v>
      </c>
      <c r="N83" s="519">
        <f t="array" ref="N83">IF(OR($C83=$C82,$C83=0),0,(SUM(IF((CkDJ[JEV Number]=$C83)*(CkDJ[Account Code]=(N$9)),CkDJ[Debit]))))</f>
        <v>0</v>
      </c>
      <c r="O83" s="519">
        <f t="array" ref="O83">IF(OR($C83=$C82,$C83=0),0,(SUM(IF((CkDJ[JEV Number]=$C83)*(CkDJ[Account Code]=(O$9)),CkDJ[Debit]))))</f>
        <v>0</v>
      </c>
      <c r="P83" s="726"/>
      <c r="Q83" s="519">
        <f t="array" ref="Q83">IF($C83=0,0,(SUM(IF((CkDJ[JEV Number]=$C83)*(CkDJ[Account Code]=(P83)),CkDJ[Debit]))))</f>
        <v>0</v>
      </c>
      <c r="R83" s="762">
        <f t="shared" si="7"/>
        <v>0</v>
      </c>
    </row>
    <row r="84" spans="1:18" x14ac:dyDescent="0.25">
      <c r="A84" s="721" t="str">
        <f t="array" ref="A84">IF(OR(C84=C83,C84=0),"",INDEX(CkDJ[Date],MATCH(C84,CkDJ[JEV Number],0)))</f>
        <v/>
      </c>
      <c r="B84" s="761"/>
      <c r="C84" s="523" t="str">
        <f t="shared" si="6"/>
        <v>20-01-001</v>
      </c>
      <c r="D84" s="523"/>
      <c r="E84" s="523"/>
      <c r="F84" s="523"/>
      <c r="G84" s="280" t="str">
        <f t="array" ref="G84">IF(OR(C84=C83,C84=0),"",INDEX(CasheirCode[Name],MATCH((INDEX(CkDJ[Sort Code],MATCH(C84,CkDJ[JEV Number],0))),CasheirCode[Sort Code])))</f>
        <v/>
      </c>
      <c r="H84" s="519">
        <f t="array" ref="H84">IF(OR($C84=$C83,$C84=0),0,(SUM(IF((CkDJ[JEV Number]=$C84)*(CkDJ[Account Code]=(H$9)),CkDJ[Credit]))))</f>
        <v>0</v>
      </c>
      <c r="I84" s="519">
        <f t="array" ref="I84">IF(OR($C84=$C83,$C84=0),0,(SUM(IF((CkDJ[JEV Number]=$C84)*(CkDJ[Account Code]=(I$9)),CkDJ[Credit]))))</f>
        <v>0</v>
      </c>
      <c r="J84" s="678"/>
      <c r="K84" s="519">
        <f t="array" ref="K84">IF($C84=0,0,(SUM(IF((CkDJ[JEV Number]=$C84)*(CkDJ[Account Code]=(J84)),CkDJ[Credit]))))</f>
        <v>0</v>
      </c>
      <c r="L84" s="519">
        <f t="array" ref="L84">IF(OR($C84=$C83,$C84=0),0,(SUM(IF((CkDJ[JEV Number]=$C84)*(CkDJ[Account Code]=(L$9)),CkDJ[Debit]))))</f>
        <v>0</v>
      </c>
      <c r="M84" s="519">
        <f t="array" ref="M84">IF(OR($C84=$C83,$C84=0),0,(SUM(IF((CkDJ[JEV Number]=$C84)*(CkDJ[Account Code]=(M$9)),CkDJ[Debit]))))</f>
        <v>0</v>
      </c>
      <c r="N84" s="519">
        <f t="array" ref="N84">IF(OR($C84=$C83,$C84=0),0,(SUM(IF((CkDJ[JEV Number]=$C84)*(CkDJ[Account Code]=(N$9)),CkDJ[Debit]))))</f>
        <v>0</v>
      </c>
      <c r="O84" s="519">
        <f t="array" ref="O84">IF(OR($C84=$C83,$C84=0),0,(SUM(IF((CkDJ[JEV Number]=$C84)*(CkDJ[Account Code]=(O$9)),CkDJ[Debit]))))</f>
        <v>0</v>
      </c>
      <c r="P84" s="726"/>
      <c r="Q84" s="519">
        <f t="array" ref="Q84">IF($C84=0,0,(SUM(IF((CkDJ[JEV Number]=$C84)*(CkDJ[Account Code]=(P84)),CkDJ[Debit]))))</f>
        <v>0</v>
      </c>
      <c r="R84" s="762">
        <f t="shared" si="7"/>
        <v>0</v>
      </c>
    </row>
    <row r="85" spans="1:18" x14ac:dyDescent="0.25">
      <c r="A85" s="721" t="str">
        <f t="array" ref="A85">IF(OR(C85=C84,C85=0),"",INDEX(CkDJ[Date],MATCH(C85,CkDJ[JEV Number],0)))</f>
        <v/>
      </c>
      <c r="B85" s="761"/>
      <c r="C85" s="523" t="str">
        <f t="shared" si="6"/>
        <v>20-01-001</v>
      </c>
      <c r="D85" s="523"/>
      <c r="E85" s="523"/>
      <c r="F85" s="523"/>
      <c r="G85" s="280" t="str">
        <f t="array" ref="G85">IF(OR(C85=C84,C85=0),"",INDEX(CasheirCode[Name],MATCH((INDEX(CkDJ[Sort Code],MATCH(C85,CkDJ[JEV Number],0))),CasheirCode[Sort Code])))</f>
        <v/>
      </c>
      <c r="H85" s="519">
        <f t="array" ref="H85">IF(OR($C85=$C84,$C85=0),0,(SUM(IF((CkDJ[JEV Number]=$C85)*(CkDJ[Account Code]=(H$9)),CkDJ[Credit]))))</f>
        <v>0</v>
      </c>
      <c r="I85" s="519">
        <f t="array" ref="I85">IF(OR($C85=$C84,$C85=0),0,(SUM(IF((CkDJ[JEV Number]=$C85)*(CkDJ[Account Code]=(I$9)),CkDJ[Credit]))))</f>
        <v>0</v>
      </c>
      <c r="J85" s="678"/>
      <c r="K85" s="519">
        <f t="array" ref="K85">IF($C85=0,0,(SUM(IF((CkDJ[JEV Number]=$C85)*(CkDJ[Account Code]=(J85)),CkDJ[Credit]))))</f>
        <v>0</v>
      </c>
      <c r="L85" s="519">
        <f t="array" ref="L85">IF(OR($C85=$C84,$C85=0),0,(SUM(IF((CkDJ[JEV Number]=$C85)*(CkDJ[Account Code]=(L$9)),CkDJ[Debit]))))</f>
        <v>0</v>
      </c>
      <c r="M85" s="519">
        <f t="array" ref="M85">IF(OR($C85=$C84,$C85=0),0,(SUM(IF((CkDJ[JEV Number]=$C85)*(CkDJ[Account Code]=(M$9)),CkDJ[Debit]))))</f>
        <v>0</v>
      </c>
      <c r="N85" s="519">
        <f t="array" ref="N85">IF(OR($C85=$C84,$C85=0),0,(SUM(IF((CkDJ[JEV Number]=$C85)*(CkDJ[Account Code]=(N$9)),CkDJ[Debit]))))</f>
        <v>0</v>
      </c>
      <c r="O85" s="519">
        <f t="array" ref="O85">IF(OR($C85=$C84,$C85=0),0,(SUM(IF((CkDJ[JEV Number]=$C85)*(CkDJ[Account Code]=(O$9)),CkDJ[Debit]))))</f>
        <v>0</v>
      </c>
      <c r="P85" s="726"/>
      <c r="Q85" s="519">
        <f t="array" ref="Q85">IF($C85=0,0,(SUM(IF((CkDJ[JEV Number]=$C85)*(CkDJ[Account Code]=(P85)),CkDJ[Debit]))))</f>
        <v>0</v>
      </c>
      <c r="R85" s="762">
        <f t="shared" si="7"/>
        <v>0</v>
      </c>
    </row>
    <row r="86" spans="1:18" x14ac:dyDescent="0.25">
      <c r="A86" s="721" t="str">
        <f t="array" ref="A86">IF(OR(C86=C85,C86=0),"",INDEX(CkDJ[Date],MATCH(C86,CkDJ[JEV Number],0)))</f>
        <v/>
      </c>
      <c r="B86" s="543"/>
      <c r="C86" s="523" t="str">
        <f t="shared" si="6"/>
        <v>20-01-001</v>
      </c>
      <c r="D86" s="523"/>
      <c r="E86" s="523"/>
      <c r="F86" s="523"/>
      <c r="G86" s="280" t="str">
        <f t="array" ref="G86">IF(OR(C86=C85,C86=0),"",INDEX(CasheirCode[Name],MATCH((INDEX(CkDJ[Sort Code],MATCH(C86,CkDJ[JEV Number],0))),CasheirCode[Sort Code])))</f>
        <v/>
      </c>
      <c r="H86" s="519">
        <f t="array" ref="H86">IF(OR($C86=$C85,$C86=0),0,(SUM(IF((CkDJ[JEV Number]=$C86)*(CkDJ[Account Code]=(H$9)),CkDJ[Credit]))))</f>
        <v>0</v>
      </c>
      <c r="I86" s="519">
        <f t="array" ref="I86">IF(OR($C86=$C85,$C86=0),0,(SUM(IF((CkDJ[JEV Number]=$C86)*(CkDJ[Account Code]=(I$9)),CkDJ[Credit]))))</f>
        <v>0</v>
      </c>
      <c r="J86" s="678"/>
      <c r="K86" s="519">
        <f t="array" ref="K86">IF($C86=0,0,(SUM(IF((CkDJ[JEV Number]=$C86)*(CkDJ[Account Code]=(J86)),CkDJ[Credit]))))</f>
        <v>0</v>
      </c>
      <c r="L86" s="519">
        <f t="array" ref="L86">IF(OR($C86=$C85,$C86=0),0,(SUM(IF((CkDJ[JEV Number]=$C86)*(CkDJ[Account Code]=(L$9)),CkDJ[Debit]))))</f>
        <v>0</v>
      </c>
      <c r="M86" s="519">
        <f t="array" ref="M86">IF(OR($C86=$C85,$C86=0),0,(SUM(IF((CkDJ[JEV Number]=$C86)*(CkDJ[Account Code]=(M$9)),CkDJ[Debit]))))</f>
        <v>0</v>
      </c>
      <c r="N86" s="519">
        <f t="array" ref="N86">IF(OR($C86=$C85,$C86=0),0,(SUM(IF((CkDJ[JEV Number]=$C86)*(CkDJ[Account Code]=(N$9)),CkDJ[Debit]))))</f>
        <v>0</v>
      </c>
      <c r="O86" s="519">
        <f t="array" ref="O86">IF(OR($C86=$C85,$C86=0),0,(SUM(IF((CkDJ[JEV Number]=$C86)*(CkDJ[Account Code]=(O$9)),CkDJ[Debit]))))</f>
        <v>0</v>
      </c>
      <c r="P86" s="726"/>
      <c r="Q86" s="519">
        <f t="array" ref="Q86">IF($C86=0,0,(SUM(IF((CkDJ[JEV Number]=$C86)*(CkDJ[Account Code]=(P86)),CkDJ[Debit]))))</f>
        <v>0</v>
      </c>
      <c r="R86" s="762">
        <f t="shared" si="7"/>
        <v>0</v>
      </c>
    </row>
    <row r="87" spans="1:18" x14ac:dyDescent="0.25">
      <c r="A87" s="721" t="str">
        <f t="array" ref="A87">IF(OR(C87=C86,C87=0),"",INDEX(CkDJ[Date],MATCH(C87,CkDJ[JEV Number],0)))</f>
        <v/>
      </c>
      <c r="B87" s="761"/>
      <c r="C87" s="523" t="str">
        <f t="shared" si="6"/>
        <v>20-01-001</v>
      </c>
      <c r="D87" s="523"/>
      <c r="E87" s="523"/>
      <c r="F87" s="523"/>
      <c r="G87" s="280" t="str">
        <f t="array" ref="G87">IF(OR(C87=C86,C87=0),"",INDEX(CasheirCode[Name],MATCH((INDEX(CkDJ[Sort Code],MATCH(C87,CkDJ[JEV Number],0))),CasheirCode[Sort Code])))</f>
        <v/>
      </c>
      <c r="H87" s="519">
        <f t="array" ref="H87">IF(OR($C87=$C86,$C87=0),0,(SUM(IF((CkDJ[JEV Number]=$C87)*(CkDJ[Account Code]=(H$9)),CkDJ[Credit]))))</f>
        <v>0</v>
      </c>
      <c r="I87" s="519">
        <f t="array" ref="I87">IF(OR($C87=$C86,$C87=0),0,(SUM(IF((CkDJ[JEV Number]=$C87)*(CkDJ[Account Code]=(I$9)),CkDJ[Credit]))))</f>
        <v>0</v>
      </c>
      <c r="J87" s="678"/>
      <c r="K87" s="519">
        <f t="array" ref="K87">IF($C87=0,0,(SUM(IF((CkDJ[JEV Number]=$C87)*(CkDJ[Account Code]=(J87)),CkDJ[Credit]))))</f>
        <v>0</v>
      </c>
      <c r="L87" s="519">
        <f t="array" ref="L87">IF(OR($C87=$C86,$C87=0),0,(SUM(IF((CkDJ[JEV Number]=$C87)*(CkDJ[Account Code]=(L$9)),CkDJ[Debit]))))</f>
        <v>0</v>
      </c>
      <c r="M87" s="519">
        <f t="array" ref="M87">IF(OR($C87=$C86,$C87=0),0,(SUM(IF((CkDJ[JEV Number]=$C87)*(CkDJ[Account Code]=(M$9)),CkDJ[Debit]))))</f>
        <v>0</v>
      </c>
      <c r="N87" s="519">
        <f t="array" ref="N87">IF(OR($C87=$C86,$C87=0),0,(SUM(IF((CkDJ[JEV Number]=$C87)*(CkDJ[Account Code]=(N$9)),CkDJ[Debit]))))</f>
        <v>0</v>
      </c>
      <c r="O87" s="519">
        <f t="array" ref="O87">IF(OR($C87=$C86,$C87=0),0,(SUM(IF((CkDJ[JEV Number]=$C87)*(CkDJ[Account Code]=(O$9)),CkDJ[Debit]))))</f>
        <v>0</v>
      </c>
      <c r="P87" s="726"/>
      <c r="Q87" s="519">
        <f t="array" ref="Q87">IF($C87=0,0,(SUM(IF((CkDJ[JEV Number]=$C87)*(CkDJ[Account Code]=(P87)),CkDJ[Debit]))))</f>
        <v>0</v>
      </c>
      <c r="R87" s="762">
        <f t="shared" si="7"/>
        <v>0</v>
      </c>
    </row>
    <row r="88" spans="1:18" x14ac:dyDescent="0.25">
      <c r="A88" s="721" t="str">
        <f t="array" ref="A88">IF(OR(C88=C87,C88=0),"",INDEX(CkDJ[Date],MATCH(C88,CkDJ[JEV Number],0)))</f>
        <v/>
      </c>
      <c r="B88" s="761"/>
      <c r="C88" s="523" t="str">
        <f t="shared" si="6"/>
        <v>20-01-001</v>
      </c>
      <c r="D88" s="523"/>
      <c r="E88" s="523"/>
      <c r="F88" s="523"/>
      <c r="G88" s="280" t="str">
        <f t="array" ref="G88">IF(OR(C88=C87,C88=0),"",INDEX(CasheirCode[Name],MATCH((INDEX(CkDJ[Sort Code],MATCH(C88,CkDJ[JEV Number],0))),CasheirCode[Sort Code])))</f>
        <v/>
      </c>
      <c r="H88" s="519">
        <f t="array" ref="H88">IF(OR($C88=$C87,$C88=0),0,(SUM(IF((CkDJ[JEV Number]=$C88)*(CkDJ[Account Code]=(H$9)),CkDJ[Credit]))))</f>
        <v>0</v>
      </c>
      <c r="I88" s="519">
        <f t="array" ref="I88">IF(OR($C88=$C87,$C88=0),0,(SUM(IF((CkDJ[JEV Number]=$C88)*(CkDJ[Account Code]=(I$9)),CkDJ[Credit]))))</f>
        <v>0</v>
      </c>
      <c r="J88" s="445"/>
      <c r="K88" s="519">
        <f t="array" ref="K88">IF($C88=0,0,(SUM(IF((CkDJ[JEV Number]=$C88)*(CkDJ[Account Code]=(J88)),CkDJ[Credit]))))</f>
        <v>0</v>
      </c>
      <c r="L88" s="519">
        <f t="array" ref="L88">IF(OR($C88=$C87,$C88=0),0,(SUM(IF((CkDJ[JEV Number]=$C88)*(CkDJ[Account Code]=(L$9)),CkDJ[Debit]))))</f>
        <v>0</v>
      </c>
      <c r="M88" s="519">
        <f t="array" ref="M88">IF(OR($C88=$C87,$C88=0),0,(SUM(IF((CkDJ[JEV Number]=$C88)*(CkDJ[Account Code]=(M$9)),CkDJ[Debit]))))</f>
        <v>0</v>
      </c>
      <c r="N88" s="519">
        <f t="array" ref="N88">IF(OR($C88=$C87,$C88=0),0,(SUM(IF((CkDJ[JEV Number]=$C88)*(CkDJ[Account Code]=(N$9)),CkDJ[Debit]))))</f>
        <v>0</v>
      </c>
      <c r="O88" s="519">
        <f t="array" ref="O88">IF(OR($C88=$C87,$C88=0),0,(SUM(IF((CkDJ[JEV Number]=$C88)*(CkDJ[Account Code]=(O$9)),CkDJ[Debit]))))</f>
        <v>0</v>
      </c>
      <c r="P88" s="726"/>
      <c r="Q88" s="519">
        <f t="array" ref="Q88">IF($C88=0,0,(SUM(IF((CkDJ[JEV Number]=$C88)*(CkDJ[Account Code]=(P88)),CkDJ[Debit]))))</f>
        <v>0</v>
      </c>
      <c r="R88" s="762">
        <f t="shared" si="7"/>
        <v>0</v>
      </c>
    </row>
    <row r="89" spans="1:18" x14ac:dyDescent="0.25">
      <c r="A89" s="673" t="str">
        <f t="array" ref="A89">IF(OR(C89=C88,C89=0),"",INDEX(CkDJ[Date],MATCH(C89,CkDJ[JEV Number],0)))</f>
        <v/>
      </c>
      <c r="B89" s="674"/>
      <c r="C89" s="523" t="str">
        <f t="shared" si="6"/>
        <v>20-01-001</v>
      </c>
      <c r="D89" s="523"/>
      <c r="E89" s="523"/>
      <c r="F89" s="523"/>
      <c r="G89" s="280" t="str">
        <f t="array" ref="G89">IF(OR(C89=C88,C89=0),"",INDEX(CasheirCode[Name],MATCH((INDEX(CkDJ[Sort Code],MATCH(C89,CkDJ[JEV Number],0))),CasheirCode[Sort Code])))</f>
        <v/>
      </c>
      <c r="H89" s="519">
        <f t="array" ref="H89">IF(OR($C89=$C88,$C89=0),0,(SUM(IF((CkDJ[JEV Number]=$C89)*(CkDJ[Account Code]=(H$9)),CkDJ[Credit]))))</f>
        <v>0</v>
      </c>
      <c r="I89" s="519">
        <f t="array" ref="I89">IF(OR($C89=$C88,$C89=0),0,(SUM(IF((CkDJ[JEV Number]=$C89)*(CkDJ[Account Code]=(I$9)),CkDJ[Credit]))))</f>
        <v>0</v>
      </c>
      <c r="J89" s="678"/>
      <c r="K89" s="519">
        <f t="array" ref="K89">IF($C89=0,0,(SUM(IF((CkDJ[JEV Number]=$C89)*(CkDJ[Account Code]=(J89)),CkDJ[Credit]))))</f>
        <v>0</v>
      </c>
      <c r="L89" s="519">
        <f t="array" ref="L89">IF(OR($C89=$C88,$C89=0),0,(SUM(IF((CkDJ[JEV Number]=$C89)*(CkDJ[Account Code]=(L$9)),CkDJ[Debit]))))</f>
        <v>0</v>
      </c>
      <c r="M89" s="519">
        <f t="array" ref="M89">IF(OR($C89=$C88,$C89=0),0,(SUM(IF((CkDJ[JEV Number]=$C89)*(CkDJ[Account Code]=(M$9)),CkDJ[Debit]))))</f>
        <v>0</v>
      </c>
      <c r="N89" s="519">
        <f t="array" ref="N89">IF(OR($C89=$C88,$C89=0),0,(SUM(IF((CkDJ[JEV Number]=$C89)*(CkDJ[Account Code]=(N$9)),CkDJ[Debit]))))</f>
        <v>0</v>
      </c>
      <c r="O89" s="519">
        <f t="array" ref="O89">IF(OR($C89=$C88,$C89=0),0,(SUM(IF((CkDJ[JEV Number]=$C89)*(CkDJ[Account Code]=(O$9)),CkDJ[Debit]))))</f>
        <v>0</v>
      </c>
      <c r="P89" s="726"/>
      <c r="Q89" s="519">
        <f t="array" ref="Q89">IF($C89=0,0,(SUM(IF((CkDJ[JEV Number]=$C89)*(CkDJ[Account Code]=(P89)),CkDJ[Debit]))))</f>
        <v>0</v>
      </c>
      <c r="R89" s="762">
        <f t="shared" ref="R89:R101" si="8">R88+(SUM(L89:O89)+Q89)-(SUM(H89:I89)+K89)</f>
        <v>0</v>
      </c>
    </row>
    <row r="90" spans="1:18" x14ac:dyDescent="0.25">
      <c r="A90" s="721" t="str">
        <f t="array" ref="A90">IF(OR(C90=C89,C90=0),"",INDEX(CkDJ[Date],MATCH(C90,CkDJ[JEV Number],0)))</f>
        <v/>
      </c>
      <c r="B90" s="761"/>
      <c r="C90" s="523" t="str">
        <f t="shared" si="6"/>
        <v>20-01-001</v>
      </c>
      <c r="D90" s="523"/>
      <c r="E90" s="523"/>
      <c r="F90" s="523"/>
      <c r="G90" s="280" t="str">
        <f t="array" ref="G90">IF(OR(C90=C89,C90=0),"",INDEX(CasheirCode[Name],MATCH((INDEX(CkDJ[Sort Code],MATCH(C90,CkDJ[JEV Number],0))),CasheirCode[Sort Code])))</f>
        <v/>
      </c>
      <c r="H90" s="519">
        <f t="array" ref="H90">IF(OR($C90=$C89,$C90=0),0,(SUM(IF((CkDJ[JEV Number]=$C90)*(CkDJ[Account Code]=(H$9)),CkDJ[Credit]))))</f>
        <v>0</v>
      </c>
      <c r="I90" s="519">
        <f t="array" ref="I90">IF(OR($C90=$C89,$C90=0),0,(SUM(IF((CkDJ[JEV Number]=$C90)*(CkDJ[Account Code]=(I$9)),CkDJ[Credit]))))</f>
        <v>0</v>
      </c>
      <c r="J90" s="728"/>
      <c r="K90" s="519">
        <f t="array" ref="K90">IF($C90=0,0,(SUM(IF((CkDJ[JEV Number]=$C90)*(CkDJ[Account Code]=(J90)),CkDJ[Credit]))))</f>
        <v>0</v>
      </c>
      <c r="L90" s="519">
        <f t="array" ref="L90">IF(OR($C90=$C89,$C90=0),0,(SUM(IF((CkDJ[JEV Number]=$C90)*(CkDJ[Account Code]=(L$9)),CkDJ[Debit]))))</f>
        <v>0</v>
      </c>
      <c r="M90" s="519">
        <f t="array" ref="M90">IF(OR($C90=$C89,$C90=0),0,(SUM(IF((CkDJ[JEV Number]=$C90)*(CkDJ[Account Code]=(M$9)),CkDJ[Debit]))))</f>
        <v>0</v>
      </c>
      <c r="N90" s="519">
        <f t="array" ref="N90">IF(OR($C90=$C89,$C90=0),0,(SUM(IF((CkDJ[JEV Number]=$C90)*(CkDJ[Account Code]=(N$9)),CkDJ[Debit]))))</f>
        <v>0</v>
      </c>
      <c r="O90" s="519">
        <f t="array" ref="O90">IF(OR($C90=$C89,$C90=0),0,(SUM(IF((CkDJ[JEV Number]=$C90)*(CkDJ[Account Code]=(O$9)),CkDJ[Debit]))))</f>
        <v>0</v>
      </c>
      <c r="P90" s="726"/>
      <c r="Q90" s="519">
        <f t="array" ref="Q90">IF($C90=0,0,(SUM(IF((CkDJ[JEV Number]=$C90)*(CkDJ[Account Code]=(P90)),CkDJ[Debit]))))</f>
        <v>0</v>
      </c>
      <c r="R90" s="762">
        <f t="shared" si="8"/>
        <v>0</v>
      </c>
    </row>
    <row r="91" spans="1:18" x14ac:dyDescent="0.25">
      <c r="A91" s="721" t="str">
        <f t="array" ref="A91">IF(OR(C91=C90,C91=0),"",INDEX(CkDJ[Date],MATCH(C91,CkDJ[JEV Number],0)))</f>
        <v/>
      </c>
      <c r="B91" s="761"/>
      <c r="C91" s="523" t="str">
        <f t="shared" si="6"/>
        <v>20-01-001</v>
      </c>
      <c r="D91" s="523"/>
      <c r="E91" s="523"/>
      <c r="F91" s="523"/>
      <c r="G91" s="280" t="str">
        <f t="array" ref="G91">IF(OR(C91=C90,C91=0),"",INDEX(CasheirCode[Name],MATCH((INDEX(CkDJ[Sort Code],MATCH(C91,CkDJ[JEV Number],0))),CasheirCode[Sort Code])))</f>
        <v/>
      </c>
      <c r="H91" s="519">
        <f t="array" ref="H91">IF(OR($C91=$C90,$C91=0),0,(SUM(IF((CkDJ[JEV Number]=$C91)*(CkDJ[Account Code]=(H$9)),CkDJ[Credit]))))</f>
        <v>0</v>
      </c>
      <c r="I91" s="519">
        <f t="array" ref="I91">IF(OR($C91=$C90,$C91=0),0,(SUM(IF((CkDJ[JEV Number]=$C91)*(CkDJ[Account Code]=(I$9)),CkDJ[Credit]))))</f>
        <v>0</v>
      </c>
      <c r="J91" s="728"/>
      <c r="K91" s="519">
        <f t="array" ref="K91">IF($C91=0,0,(SUM(IF((CkDJ[JEV Number]=$C91)*(CkDJ[Account Code]=(J91)),CkDJ[Credit]))))</f>
        <v>0</v>
      </c>
      <c r="L91" s="519">
        <f t="array" ref="L91">IF(OR($C91=$C90,$C91=0),0,(SUM(IF((CkDJ[JEV Number]=$C91)*(CkDJ[Account Code]=(L$9)),CkDJ[Debit]))))</f>
        <v>0</v>
      </c>
      <c r="M91" s="519">
        <f t="array" ref="M91">IF(OR($C91=$C90,$C91=0),0,(SUM(IF((CkDJ[JEV Number]=$C91)*(CkDJ[Account Code]=(M$9)),CkDJ[Debit]))))</f>
        <v>0</v>
      </c>
      <c r="N91" s="519">
        <f t="array" ref="N91">IF(OR($C91=$C90,$C91=0),0,(SUM(IF((CkDJ[JEV Number]=$C91)*(CkDJ[Account Code]=(N$9)),CkDJ[Debit]))))</f>
        <v>0</v>
      </c>
      <c r="O91" s="519">
        <f t="array" ref="O91">IF(OR($C91=$C90,$C91=0),0,(SUM(IF((CkDJ[JEV Number]=$C91)*(CkDJ[Account Code]=(O$9)),CkDJ[Debit]))))</f>
        <v>0</v>
      </c>
      <c r="P91" s="726"/>
      <c r="Q91" s="519">
        <f t="array" ref="Q91">IF($C91=0,0,(SUM(IF((CkDJ[JEV Number]=$C91)*(CkDJ[Account Code]=(P91)),CkDJ[Debit]))))</f>
        <v>0</v>
      </c>
      <c r="R91" s="762">
        <f t="shared" si="8"/>
        <v>0</v>
      </c>
    </row>
    <row r="92" spans="1:18" x14ac:dyDescent="0.25">
      <c r="A92" s="721" t="str">
        <f t="array" ref="A92">IF(OR(C92=C91,C92=0),"",INDEX(CkDJ[Date],MATCH(C92,CkDJ[JEV Number],0)))</f>
        <v/>
      </c>
      <c r="B92" s="761"/>
      <c r="C92" s="523" t="str">
        <f t="shared" si="6"/>
        <v>20-01-001</v>
      </c>
      <c r="D92" s="523"/>
      <c r="E92" s="523"/>
      <c r="F92" s="523"/>
      <c r="G92" s="280" t="str">
        <f t="array" ref="G92">IF(OR(C92=C91,C92=0),"",INDEX(CasheirCode[Name],MATCH((INDEX(CkDJ[Sort Code],MATCH(C92,CkDJ[JEV Number],0))),CasheirCode[Sort Code])))</f>
        <v/>
      </c>
      <c r="H92" s="519">
        <f t="array" ref="H92">IF(OR($C92=$C91,$C92=0),0,(SUM(IF((CkDJ[JEV Number]=$C92)*(CkDJ[Account Code]=(H$9)),CkDJ[Credit]))))</f>
        <v>0</v>
      </c>
      <c r="I92" s="519">
        <f t="array" ref="I92">IF(OR($C92=$C91,$C92=0),0,(SUM(IF((CkDJ[JEV Number]=$C92)*(CkDJ[Account Code]=(I$9)),CkDJ[Credit]))))</f>
        <v>0</v>
      </c>
      <c r="J92" s="728"/>
      <c r="K92" s="519">
        <f t="array" ref="K92">IF($C92=0,0,(SUM(IF((CkDJ[JEV Number]=$C92)*(CkDJ[Account Code]=(J92)),CkDJ[Credit]))))</f>
        <v>0</v>
      </c>
      <c r="L92" s="519">
        <f t="array" ref="L92">IF(OR($C92=$C91,$C92=0),0,(SUM(IF((CkDJ[JEV Number]=$C92)*(CkDJ[Account Code]=(L$9)),CkDJ[Debit]))))</f>
        <v>0</v>
      </c>
      <c r="M92" s="519">
        <f t="array" ref="M92">IF(OR($C92=$C91,$C92=0),0,(SUM(IF((CkDJ[JEV Number]=$C92)*(CkDJ[Account Code]=(M$9)),CkDJ[Debit]))))</f>
        <v>0</v>
      </c>
      <c r="N92" s="519">
        <f t="array" ref="N92">IF(OR($C92=$C91,$C92=0),0,(SUM(IF((CkDJ[JEV Number]=$C92)*(CkDJ[Account Code]=(N$9)),CkDJ[Debit]))))</f>
        <v>0</v>
      </c>
      <c r="O92" s="519">
        <f t="array" ref="O92">IF(OR($C92=$C91,$C92=0),0,(SUM(IF((CkDJ[JEV Number]=$C92)*(CkDJ[Account Code]=(O$9)),CkDJ[Debit]))))</f>
        <v>0</v>
      </c>
      <c r="P92" s="726"/>
      <c r="Q92" s="519">
        <f t="array" ref="Q92">IF($C92=0,0,(SUM(IF((CkDJ[JEV Number]=$C92)*(CkDJ[Account Code]=(P92)),CkDJ[Debit]))))</f>
        <v>0</v>
      </c>
      <c r="R92" s="762">
        <f t="shared" si="8"/>
        <v>0</v>
      </c>
    </row>
    <row r="93" spans="1:18" x14ac:dyDescent="0.25">
      <c r="A93" s="721" t="str">
        <f t="array" ref="A93">IF(OR(C93=C92,C93=0),"",INDEX(CkDJ[Date],MATCH(C93,CkDJ[JEV Number],0)))</f>
        <v/>
      </c>
      <c r="B93" s="761"/>
      <c r="C93" s="523" t="str">
        <f t="shared" si="6"/>
        <v>20-01-001</v>
      </c>
      <c r="D93" s="523"/>
      <c r="E93" s="523"/>
      <c r="F93" s="523"/>
      <c r="G93" s="280" t="str">
        <f t="array" ref="G93">IF(OR(C93=C92,C93=0),"",INDEX(CasheirCode[Name],MATCH((INDEX(CkDJ[Sort Code],MATCH(C93,CkDJ[JEV Number],0))),CasheirCode[Sort Code])))</f>
        <v/>
      </c>
      <c r="H93" s="519">
        <f t="array" ref="H93">IF(OR($C93=$C92,$C93=0),0,(SUM(IF((CkDJ[JEV Number]=$C93)*(CkDJ[Account Code]=(H$9)),CkDJ[Credit]))))</f>
        <v>0</v>
      </c>
      <c r="I93" s="519">
        <f t="array" ref="I93">IF(OR($C93=$C92,$C93=0),0,(SUM(IF((CkDJ[JEV Number]=$C93)*(CkDJ[Account Code]=(I$9)),CkDJ[Credit]))))</f>
        <v>0</v>
      </c>
      <c r="J93" s="728"/>
      <c r="K93" s="519">
        <f t="array" ref="K93">IF($C93=0,0,(SUM(IF((CkDJ[JEV Number]=$C93)*(CkDJ[Account Code]=(J93)),CkDJ[Credit]))))</f>
        <v>0</v>
      </c>
      <c r="L93" s="519">
        <f t="array" ref="L93">IF(OR($C93=$C92,$C93=0),0,(SUM(IF((CkDJ[JEV Number]=$C93)*(CkDJ[Account Code]=(L$9)),CkDJ[Debit]))))</f>
        <v>0</v>
      </c>
      <c r="M93" s="519">
        <f t="array" ref="M93">IF(OR($C93=$C92,$C93=0),0,(SUM(IF((CkDJ[JEV Number]=$C93)*(CkDJ[Account Code]=(M$9)),CkDJ[Debit]))))</f>
        <v>0</v>
      </c>
      <c r="N93" s="519">
        <f t="array" ref="N93">IF(OR($C93=$C92,$C93=0),0,(SUM(IF((CkDJ[JEV Number]=$C93)*(CkDJ[Account Code]=(N$9)),CkDJ[Debit]))))</f>
        <v>0</v>
      </c>
      <c r="O93" s="519">
        <f t="array" ref="O93">IF(OR($C93=$C92,$C93=0),0,(SUM(IF((CkDJ[JEV Number]=$C93)*(CkDJ[Account Code]=(O$9)),CkDJ[Debit]))))</f>
        <v>0</v>
      </c>
      <c r="P93" s="726"/>
      <c r="Q93" s="519">
        <f t="array" ref="Q93">IF($C93=0,0,(SUM(IF((CkDJ[JEV Number]=$C93)*(CkDJ[Account Code]=(P93)),CkDJ[Debit]))))</f>
        <v>0</v>
      </c>
      <c r="R93" s="762">
        <f t="shared" si="8"/>
        <v>0</v>
      </c>
    </row>
    <row r="94" spans="1:18" x14ac:dyDescent="0.25">
      <c r="A94" s="721" t="str">
        <f t="array" ref="A94">IF(OR(C94=C93,C94=0),"",INDEX(CkDJ[Date],MATCH(C94,CkDJ[JEV Number],0)))</f>
        <v/>
      </c>
      <c r="B94" s="761"/>
      <c r="C94" s="523" t="str">
        <f t="shared" si="6"/>
        <v>20-01-001</v>
      </c>
      <c r="D94" s="523"/>
      <c r="E94" s="523"/>
      <c r="F94" s="523"/>
      <c r="G94" s="280" t="str">
        <f t="array" ref="G94">IF(OR(C94=C93,C94=0),"",INDEX(CasheirCode[Name],MATCH((INDEX(CkDJ[Sort Code],MATCH(C94,CkDJ[JEV Number],0))),CasheirCode[Sort Code])))</f>
        <v/>
      </c>
      <c r="H94" s="519">
        <f t="array" ref="H94">IF(OR($C94=$C93,$C94=0),0,(SUM(IF((CkDJ[JEV Number]=$C94)*(CkDJ[Account Code]=(H$9)),CkDJ[Credit]))))</f>
        <v>0</v>
      </c>
      <c r="I94" s="519">
        <f t="array" ref="I94">IF(OR($C94=$C93,$C94=0),0,(SUM(IF((CkDJ[JEV Number]=$C94)*(CkDJ[Account Code]=(I$9)),CkDJ[Credit]))))</f>
        <v>0</v>
      </c>
      <c r="J94" s="728"/>
      <c r="K94" s="519">
        <f t="array" ref="K94">IF($C94=0,0,(SUM(IF((CkDJ[JEV Number]=$C94)*(CkDJ[Account Code]=(J94)),CkDJ[Credit]))))</f>
        <v>0</v>
      </c>
      <c r="L94" s="519">
        <f t="array" ref="L94">IF(OR($C94=$C93,$C94=0),0,(SUM(IF((CkDJ[JEV Number]=$C94)*(CkDJ[Account Code]=(L$9)),CkDJ[Debit]))))</f>
        <v>0</v>
      </c>
      <c r="M94" s="519">
        <f t="array" ref="M94">IF(OR($C94=$C93,$C94=0),0,(SUM(IF((CkDJ[JEV Number]=$C94)*(CkDJ[Account Code]=(M$9)),CkDJ[Debit]))))</f>
        <v>0</v>
      </c>
      <c r="N94" s="519">
        <f t="array" ref="N94">IF(OR($C94=$C93,$C94=0),0,(SUM(IF((CkDJ[JEV Number]=$C94)*(CkDJ[Account Code]=(N$9)),CkDJ[Debit]))))</f>
        <v>0</v>
      </c>
      <c r="O94" s="519">
        <f t="array" ref="O94">IF(OR($C94=$C93,$C94=0),0,(SUM(IF((CkDJ[JEV Number]=$C94)*(CkDJ[Account Code]=(O$9)),CkDJ[Debit]))))</f>
        <v>0</v>
      </c>
      <c r="P94" s="726"/>
      <c r="Q94" s="519">
        <f t="array" ref="Q94">IF($C94=0,0,(SUM(IF((CkDJ[JEV Number]=$C94)*(CkDJ[Account Code]=(P94)),CkDJ[Debit]))))</f>
        <v>0</v>
      </c>
      <c r="R94" s="762">
        <f t="shared" si="8"/>
        <v>0</v>
      </c>
    </row>
    <row r="95" spans="1:18" x14ac:dyDescent="0.25">
      <c r="A95" s="721" t="str">
        <f t="array" ref="A95">IF(OR(C95=C94,C95=0),"",INDEX(CkDJ[Date],MATCH(C95,CkDJ[JEV Number],0)))</f>
        <v/>
      </c>
      <c r="B95" s="543"/>
      <c r="C95" s="523" t="str">
        <f t="shared" si="6"/>
        <v>20-01-001</v>
      </c>
      <c r="D95" s="523"/>
      <c r="E95" s="523"/>
      <c r="F95" s="523"/>
      <c r="G95" s="280" t="str">
        <f t="array" ref="G95">IF(OR(C95=C94,C95=0),"",INDEX(CasheirCode[Name],MATCH((INDEX(CkDJ[Sort Code],MATCH(C95,CkDJ[JEV Number],0))),CasheirCode[Sort Code])))</f>
        <v/>
      </c>
      <c r="H95" s="519">
        <f t="array" ref="H95">IF(OR($C95=$C94,$C95=0),0,(SUM(IF((CkDJ[JEV Number]=$C95)*(CkDJ[Account Code]=(H$9)),CkDJ[Credit]))))</f>
        <v>0</v>
      </c>
      <c r="I95" s="519">
        <f t="array" ref="I95">IF(OR($C95=$C94,$C95=0),0,(SUM(IF((CkDJ[JEV Number]=$C95)*(CkDJ[Account Code]=(I$9)),CkDJ[Credit]))))</f>
        <v>0</v>
      </c>
      <c r="J95" s="678"/>
      <c r="K95" s="519">
        <f t="array" ref="K95">IF($C95=0,0,(SUM(IF((CkDJ[JEV Number]=$C95)*(CkDJ[Account Code]=(J95)),CkDJ[Credit]))))</f>
        <v>0</v>
      </c>
      <c r="L95" s="519">
        <f t="array" ref="L95">IF(OR($C95=$C94,$C95=0),0,(SUM(IF((CkDJ[JEV Number]=$C95)*(CkDJ[Account Code]=(L$9)),CkDJ[Debit]))))</f>
        <v>0</v>
      </c>
      <c r="M95" s="519">
        <f t="array" ref="M95">IF(OR($C95=$C94,$C95=0),0,(SUM(IF((CkDJ[JEV Number]=$C95)*(CkDJ[Account Code]=(M$9)),CkDJ[Debit]))))</f>
        <v>0</v>
      </c>
      <c r="N95" s="519">
        <f t="array" ref="N95">IF(OR($C95=$C94,$C95=0),0,(SUM(IF((CkDJ[JEV Number]=$C95)*(CkDJ[Account Code]=(N$9)),CkDJ[Debit]))))</f>
        <v>0</v>
      </c>
      <c r="O95" s="519">
        <f t="array" ref="O95">IF(OR($C95=$C94,$C95=0),0,(SUM(IF((CkDJ[JEV Number]=$C95)*(CkDJ[Account Code]=(O$9)),CkDJ[Debit]))))</f>
        <v>0</v>
      </c>
      <c r="P95" s="726"/>
      <c r="Q95" s="519">
        <f t="array" ref="Q95">IF($C95=0,0,(SUM(IF((CkDJ[JEV Number]=$C95)*(CkDJ[Account Code]=(P95)),CkDJ[Debit]))))</f>
        <v>0</v>
      </c>
      <c r="R95" s="762">
        <f t="shared" si="8"/>
        <v>0</v>
      </c>
    </row>
    <row r="96" spans="1:18" x14ac:dyDescent="0.25">
      <c r="A96" s="721" t="str">
        <f t="array" ref="A96">IF(OR(C96=C95,C96=0),"",INDEX(CkDJ[Date],MATCH(C96,CkDJ[JEV Number],0)))</f>
        <v/>
      </c>
      <c r="B96" s="761"/>
      <c r="C96" s="523" t="str">
        <f t="shared" si="6"/>
        <v>20-01-001</v>
      </c>
      <c r="D96" s="523"/>
      <c r="E96" s="523"/>
      <c r="F96" s="523"/>
      <c r="G96" s="280" t="str">
        <f t="array" ref="G96">IF(OR(C96=C95,C96=0),"",INDEX(CasheirCode[Name],MATCH((INDEX(CkDJ[Sort Code],MATCH(C96,CkDJ[JEV Number],0))),CasheirCode[Sort Code])))</f>
        <v/>
      </c>
      <c r="H96" s="519">
        <f t="array" ref="H96">IF(OR($C96=$C95,$C96=0),0,(SUM(IF((CkDJ[JEV Number]=$C96)*(CkDJ[Account Code]=(H$9)),CkDJ[Credit]))))</f>
        <v>0</v>
      </c>
      <c r="I96" s="519">
        <f t="array" ref="I96">IF(OR($C96=$C95,$C96=0),0,(SUM(IF((CkDJ[JEV Number]=$C96)*(CkDJ[Account Code]=(I$9)),CkDJ[Credit]))))</f>
        <v>0</v>
      </c>
      <c r="J96" s="678"/>
      <c r="K96" s="519">
        <f t="array" ref="K96">IF($C96=0,0,(SUM(IF((CkDJ[JEV Number]=$C96)*(CkDJ[Account Code]=(J96)),CkDJ[Credit]))))</f>
        <v>0</v>
      </c>
      <c r="L96" s="519">
        <f t="array" ref="L96">IF(OR($C96=$C95,$C96=0),0,(SUM(IF((CkDJ[JEV Number]=$C96)*(CkDJ[Account Code]=(L$9)),CkDJ[Debit]))))</f>
        <v>0</v>
      </c>
      <c r="M96" s="519">
        <f t="array" ref="M96">IF(OR($C96=$C95,$C96=0),0,(SUM(IF((CkDJ[JEV Number]=$C96)*(CkDJ[Account Code]=(M$9)),CkDJ[Debit]))))</f>
        <v>0</v>
      </c>
      <c r="N96" s="519">
        <f t="array" ref="N96">IF(OR($C96=$C95,$C96=0),0,(SUM(IF((CkDJ[JEV Number]=$C96)*(CkDJ[Account Code]=(N$9)),CkDJ[Debit]))))</f>
        <v>0</v>
      </c>
      <c r="O96" s="519">
        <f t="array" ref="O96">IF(OR($C96=$C95,$C96=0),0,(SUM(IF((CkDJ[JEV Number]=$C96)*(CkDJ[Account Code]=(O$9)),CkDJ[Debit]))))</f>
        <v>0</v>
      </c>
      <c r="P96" s="726"/>
      <c r="Q96" s="519">
        <f t="array" ref="Q96">IF($C96=0,0,(SUM(IF((CkDJ[JEV Number]=$C96)*(CkDJ[Account Code]=(P96)),CkDJ[Debit]))))</f>
        <v>0</v>
      </c>
      <c r="R96" s="762">
        <f t="shared" si="8"/>
        <v>0</v>
      </c>
    </row>
    <row r="97" spans="1:18" x14ac:dyDescent="0.25">
      <c r="A97" s="721" t="str">
        <f t="array" ref="A97">IF(OR(C97=C96,C97=0),"",INDEX(CkDJ[Date],MATCH(C97,CkDJ[JEV Number],0)))</f>
        <v/>
      </c>
      <c r="B97" s="761"/>
      <c r="C97" s="523" t="str">
        <f t="shared" si="6"/>
        <v>20-01-001</v>
      </c>
      <c r="D97" s="523"/>
      <c r="E97" s="523"/>
      <c r="F97" s="523"/>
      <c r="G97" s="280" t="str">
        <f t="array" ref="G97">IF(OR(C97=C96,C97=0),"",INDEX(CasheirCode[Name],MATCH((INDEX(CkDJ[Sort Code],MATCH(C97,CkDJ[JEV Number],0))),CasheirCode[Sort Code])))</f>
        <v/>
      </c>
      <c r="H97" s="519">
        <f t="array" ref="H97">IF(OR($C97=$C96,$C97=0),0,(SUM(IF((CkDJ[JEV Number]=$C97)*(CkDJ[Account Code]=(H$9)),CkDJ[Credit]))))</f>
        <v>0</v>
      </c>
      <c r="I97" s="519">
        <f t="array" ref="I97">IF(OR($C97=$C96,$C97=0),0,(SUM(IF((CkDJ[JEV Number]=$C97)*(CkDJ[Account Code]=(I$9)),CkDJ[Credit]))))</f>
        <v>0</v>
      </c>
      <c r="J97" s="678"/>
      <c r="K97" s="519">
        <f t="array" ref="K97">IF($C97=0,0,(SUM(IF((CkDJ[JEV Number]=$C97)*(CkDJ[Account Code]=(J97)),CkDJ[Credit]))))</f>
        <v>0</v>
      </c>
      <c r="L97" s="519">
        <f t="array" ref="L97">IF(OR($C97=$C96,$C97=0),0,(SUM(IF((CkDJ[JEV Number]=$C97)*(CkDJ[Account Code]=(L$9)),CkDJ[Debit]))))</f>
        <v>0</v>
      </c>
      <c r="M97" s="519">
        <f t="array" ref="M97">IF(OR($C97=$C96,$C97=0),0,(SUM(IF((CkDJ[JEV Number]=$C97)*(CkDJ[Account Code]=(M$9)),CkDJ[Debit]))))</f>
        <v>0</v>
      </c>
      <c r="N97" s="519">
        <f t="array" ref="N97">IF(OR($C97=$C96,$C97=0),0,(SUM(IF((CkDJ[JEV Number]=$C97)*(CkDJ[Account Code]=(N$9)),CkDJ[Debit]))))</f>
        <v>0</v>
      </c>
      <c r="O97" s="519">
        <f t="array" ref="O97">IF(OR($C97=$C96,$C97=0),0,(SUM(IF((CkDJ[JEV Number]=$C97)*(CkDJ[Account Code]=(O$9)),CkDJ[Debit]))))</f>
        <v>0</v>
      </c>
      <c r="P97" s="726"/>
      <c r="Q97" s="519">
        <f t="array" ref="Q97">IF($C97=0,0,(SUM(IF((CkDJ[JEV Number]=$C97)*(CkDJ[Account Code]=(P97)),CkDJ[Debit]))))</f>
        <v>0</v>
      </c>
      <c r="R97" s="762">
        <f t="shared" si="8"/>
        <v>0</v>
      </c>
    </row>
    <row r="98" spans="1:18" x14ac:dyDescent="0.25">
      <c r="A98" s="721" t="str">
        <f t="array" ref="A98">IF(OR(C98=C97,C98=0),"",INDEX(CkDJ[Date],MATCH(C98,CkDJ[JEV Number],0)))</f>
        <v/>
      </c>
      <c r="B98" s="761"/>
      <c r="C98" s="523" t="str">
        <f t="shared" si="6"/>
        <v>20-01-001</v>
      </c>
      <c r="D98" s="523"/>
      <c r="E98" s="523"/>
      <c r="F98" s="523"/>
      <c r="G98" s="280" t="str">
        <f t="array" ref="G98">IF(OR(C98=C97,C98=0),"",INDEX(CasheirCode[Name],MATCH((INDEX(CkDJ[Sort Code],MATCH(C98,CkDJ[JEV Number],0))),CasheirCode[Sort Code])))</f>
        <v/>
      </c>
      <c r="H98" s="519">
        <f t="array" ref="H98">IF(OR($C98=$C97,$C98=0),0,(SUM(IF((CkDJ[JEV Number]=$C98)*(CkDJ[Account Code]=(H$9)),CkDJ[Credit]))))</f>
        <v>0</v>
      </c>
      <c r="I98" s="519">
        <f t="array" ref="I98">IF(OR($C98=$C97,$C98=0),0,(SUM(IF((CkDJ[JEV Number]=$C98)*(CkDJ[Account Code]=(I$9)),CkDJ[Credit]))))</f>
        <v>0</v>
      </c>
      <c r="J98" s="678"/>
      <c r="K98" s="519">
        <f t="array" ref="K98">IF($C98=0,0,(SUM(IF((CkDJ[JEV Number]=$C98)*(CkDJ[Account Code]=(J98)),CkDJ[Credit]))))</f>
        <v>0</v>
      </c>
      <c r="L98" s="519">
        <f t="array" ref="L98">IF(OR($C98=$C97,$C98=0),0,(SUM(IF((CkDJ[JEV Number]=$C98)*(CkDJ[Account Code]=(L$9)),CkDJ[Debit]))))</f>
        <v>0</v>
      </c>
      <c r="M98" s="519">
        <f t="array" ref="M98">IF(OR($C98=$C97,$C98=0),0,(SUM(IF((CkDJ[JEV Number]=$C98)*(CkDJ[Account Code]=(M$9)),CkDJ[Debit]))))</f>
        <v>0</v>
      </c>
      <c r="N98" s="519">
        <f t="array" ref="N98">IF(OR($C98=$C97,$C98=0),0,(SUM(IF((CkDJ[JEV Number]=$C98)*(CkDJ[Account Code]=(N$9)),CkDJ[Debit]))))</f>
        <v>0</v>
      </c>
      <c r="O98" s="519">
        <f t="array" ref="O98">IF(OR($C98=$C97,$C98=0),0,(SUM(IF((CkDJ[JEV Number]=$C98)*(CkDJ[Account Code]=(O$9)),CkDJ[Debit]))))</f>
        <v>0</v>
      </c>
      <c r="P98" s="726"/>
      <c r="Q98" s="519">
        <f t="array" ref="Q98">IF($C98=0,0,(SUM(IF((CkDJ[JEV Number]=$C98)*(CkDJ[Account Code]=(P98)),CkDJ[Debit]))))</f>
        <v>0</v>
      </c>
      <c r="R98" s="762">
        <f t="shared" si="8"/>
        <v>0</v>
      </c>
    </row>
    <row r="99" spans="1:18" x14ac:dyDescent="0.25">
      <c r="A99" s="721" t="str">
        <f t="array" ref="A99">IF(OR(C99=C98,C99=0),"",INDEX(CkDJ[Date],MATCH(C99,CkDJ[JEV Number],0)))</f>
        <v/>
      </c>
      <c r="B99" s="761"/>
      <c r="C99" s="523" t="str">
        <f t="shared" si="6"/>
        <v>20-01-001</v>
      </c>
      <c r="D99" s="523"/>
      <c r="E99" s="523"/>
      <c r="F99" s="523"/>
      <c r="G99" s="280" t="str">
        <f t="array" ref="G99">IF(OR(C99=C98,C99=0),"",INDEX(CasheirCode[Name],MATCH((INDEX(CkDJ[Sort Code],MATCH(C99,CkDJ[JEV Number],0))),CasheirCode[Sort Code])))</f>
        <v/>
      </c>
      <c r="H99" s="519">
        <f t="array" ref="H99">IF(OR($C99=$C98,$C99=0),0,(SUM(IF((CkDJ[JEV Number]=$C99)*(CkDJ[Account Code]=(H$9)),CkDJ[Credit]))))</f>
        <v>0</v>
      </c>
      <c r="I99" s="519">
        <f t="array" ref="I99">IF(OR($C99=$C98,$C99=0),0,(SUM(IF((CkDJ[JEV Number]=$C99)*(CkDJ[Account Code]=(I$9)),CkDJ[Credit]))))</f>
        <v>0</v>
      </c>
      <c r="J99" s="678"/>
      <c r="K99" s="519">
        <f t="array" ref="K99">IF($C99=0,0,(SUM(IF((CkDJ[JEV Number]=$C99)*(CkDJ[Account Code]=(J99)),CkDJ[Credit]))))</f>
        <v>0</v>
      </c>
      <c r="L99" s="519">
        <f t="array" ref="L99">IF(OR($C99=$C98,$C99=0),0,(SUM(IF((CkDJ[JEV Number]=$C99)*(CkDJ[Account Code]=(L$9)),CkDJ[Debit]))))</f>
        <v>0</v>
      </c>
      <c r="M99" s="519">
        <f t="array" ref="M99">IF(OR($C99=$C98,$C99=0),0,(SUM(IF((CkDJ[JEV Number]=$C99)*(CkDJ[Account Code]=(M$9)),CkDJ[Debit]))))</f>
        <v>0</v>
      </c>
      <c r="N99" s="519">
        <f t="array" ref="N99">IF(OR($C99=$C98,$C99=0),0,(SUM(IF((CkDJ[JEV Number]=$C99)*(CkDJ[Account Code]=(N$9)),CkDJ[Debit]))))</f>
        <v>0</v>
      </c>
      <c r="O99" s="519">
        <f t="array" ref="O99">IF(OR($C99=$C98,$C99=0),0,(SUM(IF((CkDJ[JEV Number]=$C99)*(CkDJ[Account Code]=(O$9)),CkDJ[Debit]))))</f>
        <v>0</v>
      </c>
      <c r="P99" s="726"/>
      <c r="Q99" s="519">
        <f t="array" ref="Q99">IF($C99=0,0,(SUM(IF((CkDJ[JEV Number]=$C99)*(CkDJ[Account Code]=(P99)),CkDJ[Debit]))))</f>
        <v>0</v>
      </c>
      <c r="R99" s="762">
        <f t="shared" si="8"/>
        <v>0</v>
      </c>
    </row>
    <row r="100" spans="1:18" x14ac:dyDescent="0.25">
      <c r="A100" s="721" t="str">
        <f t="array" ref="A100">IF(OR(C100=C99,C100=0),"",INDEX(CkDJ[Date],MATCH(C100,CkDJ[JEV Number],0)))</f>
        <v/>
      </c>
      <c r="B100" s="761"/>
      <c r="C100" s="523" t="str">
        <f t="shared" si="6"/>
        <v>20-01-001</v>
      </c>
      <c r="D100" s="523"/>
      <c r="E100" s="523"/>
      <c r="F100" s="523"/>
      <c r="G100" s="280" t="str">
        <f t="array" ref="G100">IF(OR(C100=C99,C100=0),"",INDEX(CasheirCode[Name],MATCH((INDEX(CkDJ[Sort Code],MATCH(C100,CkDJ[JEV Number],0))),CasheirCode[Sort Code])))</f>
        <v/>
      </c>
      <c r="H100" s="519">
        <f t="array" ref="H100">IF(OR($C100=$C99,$C100=0),0,(SUM(IF((CkDJ[JEV Number]=$C100)*(CkDJ[Account Code]=(H$9)),CkDJ[Credit]))))</f>
        <v>0</v>
      </c>
      <c r="I100" s="519">
        <f t="array" ref="I100">IF(OR($C100=$C99,$C100=0),0,(SUM(IF((CkDJ[JEV Number]=$C100)*(CkDJ[Account Code]=(I$9)),CkDJ[Credit]))))</f>
        <v>0</v>
      </c>
      <c r="J100" s="678"/>
      <c r="K100" s="519">
        <f t="array" ref="K100">IF($C100=0,0,(SUM(IF((CkDJ[JEV Number]=$C100)*(CkDJ[Account Code]=(J100)),CkDJ[Credit]))))</f>
        <v>0</v>
      </c>
      <c r="L100" s="519">
        <f t="array" ref="L100">IF(OR($C100=$C99,$C100=0),0,(SUM(IF((CkDJ[JEV Number]=$C100)*(CkDJ[Account Code]=(L$9)),CkDJ[Debit]))))</f>
        <v>0</v>
      </c>
      <c r="M100" s="519">
        <f t="array" ref="M100">IF(OR($C100=$C99,$C100=0),0,(SUM(IF((CkDJ[JEV Number]=$C100)*(CkDJ[Account Code]=(M$9)),CkDJ[Debit]))))</f>
        <v>0</v>
      </c>
      <c r="N100" s="519">
        <f t="array" ref="N100">IF(OR($C100=$C99,$C100=0),0,(SUM(IF((CkDJ[JEV Number]=$C100)*(CkDJ[Account Code]=(N$9)),CkDJ[Debit]))))</f>
        <v>0</v>
      </c>
      <c r="O100" s="519">
        <f t="array" ref="O100">IF(OR($C100=$C99,$C100=0),0,(SUM(IF((CkDJ[JEV Number]=$C100)*(CkDJ[Account Code]=(O$9)),CkDJ[Debit]))))</f>
        <v>0</v>
      </c>
      <c r="P100" s="726"/>
      <c r="Q100" s="519">
        <f t="array" ref="Q100">IF($C100=0,0,(SUM(IF((CkDJ[JEV Number]=$C100)*(CkDJ[Account Code]=(P100)),CkDJ[Debit]))))</f>
        <v>0</v>
      </c>
      <c r="R100" s="762">
        <f t="shared" si="8"/>
        <v>0</v>
      </c>
    </row>
    <row r="101" spans="1:18" x14ac:dyDescent="0.25">
      <c r="A101" s="673" t="str">
        <f t="array" ref="A101">IF(OR(C101=C100,C101=0),"",INDEX(CkDJ[Date],MATCH(C101,CkDJ[JEV Number],0)))</f>
        <v/>
      </c>
      <c r="B101" s="674"/>
      <c r="C101" s="523" t="str">
        <f>IF(B101=0,C100,B101)</f>
        <v>20-01-001</v>
      </c>
      <c r="D101" s="523"/>
      <c r="E101" s="523"/>
      <c r="F101" s="523"/>
      <c r="G101" s="280" t="str">
        <f t="array" ref="G101">IF(OR(C101=C100,C101=0),"",INDEX(CasheirCode[Name],MATCH((INDEX(CkDJ[Sort Code],MATCH(C101,CkDJ[JEV Number],0))),CasheirCode[Sort Code])))</f>
        <v/>
      </c>
      <c r="H101" s="519">
        <f t="array" ref="H101">IF(OR($C101=$C100,$C101=0),0,(SUM(IF((CkDJ[JEV Number]=$C101)*(CkDJ[Account Code]=(H$9)),CkDJ[Credit]))))</f>
        <v>0</v>
      </c>
      <c r="I101" s="519">
        <f t="array" ref="I101">IF(OR($C101=$C100,$C101=0),0,(SUM(IF((CkDJ[JEV Number]=$C101)*(CkDJ[Account Code]=(I$9)),CkDJ[Credit]))))</f>
        <v>0</v>
      </c>
      <c r="J101" s="728"/>
      <c r="K101" s="519">
        <f t="array" ref="K101">IF($C101=0,0,(SUM(IF((CkDJ[JEV Number]=$C101)*(CkDJ[Account Code]=(J101)),CkDJ[Credit]))))</f>
        <v>0</v>
      </c>
      <c r="L101" s="519">
        <f t="array" ref="L101">IF(OR($C101=$C100,$C101=0),0,(SUM(IF((CkDJ[JEV Number]=$C101)*(CkDJ[Account Code]=(L$9)),CkDJ[Debit]))))</f>
        <v>0</v>
      </c>
      <c r="M101" s="519">
        <f t="array" ref="M101">IF(OR($C101=$C100,$C101=0),0,(SUM(IF((CkDJ[JEV Number]=$C101)*(CkDJ[Account Code]=(M$9)),CkDJ[Debit]))))</f>
        <v>0</v>
      </c>
      <c r="N101" s="519">
        <f t="array" ref="N101">IF(OR($C101=$C100,$C101=0),0,(SUM(IF((CkDJ[JEV Number]=$C101)*(CkDJ[Account Code]=(N$9)),CkDJ[Debit]))))</f>
        <v>0</v>
      </c>
      <c r="O101" s="519">
        <f t="array" ref="O101">IF(OR($C101=$C100,$C101=0),0,(SUM(IF((CkDJ[JEV Number]=$C101)*(CkDJ[Account Code]=(O$9)),CkDJ[Debit]))))</f>
        <v>0</v>
      </c>
      <c r="P101" s="726"/>
      <c r="Q101" s="519">
        <f t="array" ref="Q101">IF($C101=0,0,(SUM(IF((CkDJ[JEV Number]=$C101)*(CkDJ[Account Code]=(P101)),CkDJ[Debit]))))</f>
        <v>0</v>
      </c>
      <c r="R101" s="762">
        <f t="shared" si="8"/>
        <v>0</v>
      </c>
    </row>
    <row r="102" spans="1:18" x14ac:dyDescent="0.25">
      <c r="A102" s="721" t="str">
        <f t="array" ref="A102">IF(OR(C102=C101,C102=0),"",INDEX(CkDJ[Date],MATCH(C102,CkDJ[JEV Number],0)))</f>
        <v/>
      </c>
      <c r="B102" s="761"/>
      <c r="C102" s="523" t="str">
        <f t="shared" si="6"/>
        <v>20-01-001</v>
      </c>
      <c r="D102" s="523"/>
      <c r="E102" s="523"/>
      <c r="F102" s="523"/>
      <c r="G102" s="280" t="str">
        <f t="array" ref="G102">IF(OR(C102=C101,C102=0),"",INDEX(CasheirCode[Name],MATCH((INDEX(CkDJ[Sort Code],MATCH(C102,CkDJ[JEV Number],0))),CasheirCode[Sort Code])))</f>
        <v/>
      </c>
      <c r="H102" s="519">
        <f t="array" ref="H102">IF(OR($C102=$C101,$C102=0),0,(SUM(IF((CkDJ[JEV Number]=$C102)*(CkDJ[Account Code]=(H$9)),CkDJ[Credit]))))</f>
        <v>0</v>
      </c>
      <c r="I102" s="519">
        <f t="array" ref="I102">IF(OR($C102=$C101,$C102=0),0,(SUM(IF((CkDJ[JEV Number]=$C102)*(CkDJ[Account Code]=(I$9)),CkDJ[Credit]))))</f>
        <v>0</v>
      </c>
      <c r="J102" s="728"/>
      <c r="K102" s="519">
        <f t="array" ref="K102">IF($C102=0,0,(SUM(IF((CkDJ[JEV Number]=$C102)*(CkDJ[Account Code]=(J102)),CkDJ[Credit]))))</f>
        <v>0</v>
      </c>
      <c r="L102" s="519">
        <f t="array" ref="L102">IF(OR($C102=$C101,$C102=0),0,(SUM(IF((CkDJ[JEV Number]=$C102)*(CkDJ[Account Code]=(L$9)),CkDJ[Debit]))))</f>
        <v>0</v>
      </c>
      <c r="M102" s="519">
        <f t="array" ref="M102">IF(OR($C102=$C101,$C102=0),0,(SUM(IF((CkDJ[JEV Number]=$C102)*(CkDJ[Account Code]=(M$9)),CkDJ[Debit]))))</f>
        <v>0</v>
      </c>
      <c r="N102" s="519">
        <f t="array" ref="N102">IF(OR($C102=$C101,$C102=0),0,(SUM(IF((CkDJ[JEV Number]=$C102)*(CkDJ[Account Code]=(N$9)),CkDJ[Debit]))))</f>
        <v>0</v>
      </c>
      <c r="O102" s="519">
        <f t="array" ref="O102">IF(OR($C102=$C101,$C102=0),0,(SUM(IF((CkDJ[JEV Number]=$C102)*(CkDJ[Account Code]=(O$9)),CkDJ[Debit]))))</f>
        <v>0</v>
      </c>
      <c r="P102" s="726"/>
      <c r="Q102" s="519">
        <f t="array" ref="Q102">IF($C102=0,0,(SUM(IF((CkDJ[JEV Number]=$C102)*(CkDJ[Account Code]=(P102)),CkDJ[Debit]))))</f>
        <v>0</v>
      </c>
      <c r="R102" s="762">
        <f t="shared" si="7"/>
        <v>0</v>
      </c>
    </row>
    <row r="103" spans="1:18" x14ac:dyDescent="0.25">
      <c r="A103" s="721" t="str">
        <f t="array" ref="A103">IF(OR(C103=C102,C103=0),"",INDEX(CkDJ[Date],MATCH(C103,CkDJ[JEV Number],0)))</f>
        <v/>
      </c>
      <c r="B103" s="761"/>
      <c r="C103" s="523" t="str">
        <f t="shared" si="6"/>
        <v>20-01-001</v>
      </c>
      <c r="D103" s="523"/>
      <c r="E103" s="523"/>
      <c r="F103" s="523"/>
      <c r="G103" s="280" t="str">
        <f t="array" ref="G103">IF(OR(C103=C102,C103=0),"",INDEX(CasheirCode[Name],MATCH((INDEX(CkDJ[Sort Code],MATCH(C103,CkDJ[JEV Number],0))),CasheirCode[Sort Code])))</f>
        <v/>
      </c>
      <c r="H103" s="519">
        <f t="array" ref="H103">IF(OR($C103=$C102,$C103=0),0,(SUM(IF((CkDJ[JEV Number]=$C103)*(CkDJ[Account Code]=(H$9)),CkDJ[Credit]))))</f>
        <v>0</v>
      </c>
      <c r="I103" s="519">
        <f t="array" ref="I103">IF(OR($C103=$C102,$C103=0),0,(SUM(IF((CkDJ[JEV Number]=$C103)*(CkDJ[Account Code]=(I$9)),CkDJ[Credit]))))</f>
        <v>0</v>
      </c>
      <c r="J103" s="728"/>
      <c r="K103" s="519">
        <f t="array" ref="K103">IF($C103=0,0,(SUM(IF((CkDJ[JEV Number]=$C103)*(CkDJ[Account Code]=(J103)),CkDJ[Credit]))))</f>
        <v>0</v>
      </c>
      <c r="L103" s="519">
        <f t="array" ref="L103">IF(OR($C103=$C102,$C103=0),0,(SUM(IF((CkDJ[JEV Number]=$C103)*(CkDJ[Account Code]=(L$9)),CkDJ[Debit]))))</f>
        <v>0</v>
      </c>
      <c r="M103" s="519">
        <f t="array" ref="M103">IF(OR($C103=$C102,$C103=0),0,(SUM(IF((CkDJ[JEV Number]=$C103)*(CkDJ[Account Code]=(M$9)),CkDJ[Debit]))))</f>
        <v>0</v>
      </c>
      <c r="N103" s="519">
        <f t="array" ref="N103">IF(OR($C103=$C102,$C103=0),0,(SUM(IF((CkDJ[JEV Number]=$C103)*(CkDJ[Account Code]=(N$9)),CkDJ[Debit]))))</f>
        <v>0</v>
      </c>
      <c r="O103" s="519">
        <f t="array" ref="O103">IF(OR($C103=$C102,$C103=0),0,(SUM(IF((CkDJ[JEV Number]=$C103)*(CkDJ[Account Code]=(O$9)),CkDJ[Debit]))))</f>
        <v>0</v>
      </c>
      <c r="P103" s="726"/>
      <c r="Q103" s="519">
        <f t="array" ref="Q103">IF($C103=0,0,(SUM(IF((CkDJ[JEV Number]=$C103)*(CkDJ[Account Code]=(P103)),CkDJ[Debit]))))</f>
        <v>0</v>
      </c>
      <c r="R103" s="762">
        <f t="shared" si="7"/>
        <v>0</v>
      </c>
    </row>
    <row r="104" spans="1:18" x14ac:dyDescent="0.25">
      <c r="A104" s="721" t="str">
        <f t="array" ref="A104">IF(OR(C104=C103,C104=0),"",INDEX(CkDJ[Date],MATCH(C104,CkDJ[JEV Number],0)))</f>
        <v/>
      </c>
      <c r="B104" s="761"/>
      <c r="C104" s="523" t="str">
        <f t="shared" si="6"/>
        <v>20-01-001</v>
      </c>
      <c r="D104" s="523"/>
      <c r="E104" s="523"/>
      <c r="F104" s="523"/>
      <c r="G104" s="280" t="str">
        <f t="array" ref="G104">IF(OR(C104=C103,C104=0),"",INDEX(CasheirCode[Name],MATCH((INDEX(CkDJ[Sort Code],MATCH(C104,CkDJ[JEV Number],0))),CasheirCode[Sort Code])))</f>
        <v/>
      </c>
      <c r="H104" s="519">
        <f t="array" ref="H104">IF(OR($C104=$C103,$C104=0),0,(SUM(IF((CkDJ[JEV Number]=$C104)*(CkDJ[Account Code]=(H$9)),CkDJ[Credit]))))</f>
        <v>0</v>
      </c>
      <c r="I104" s="519">
        <f t="array" ref="I104">IF(OR($C104=$C103,$C104=0),0,(SUM(IF((CkDJ[JEV Number]=$C104)*(CkDJ[Account Code]=(I$9)),CkDJ[Credit]))))</f>
        <v>0</v>
      </c>
      <c r="J104" s="728"/>
      <c r="K104" s="519">
        <f t="array" ref="K104">IF($C104=0,0,(SUM(IF((CkDJ[JEV Number]=$C104)*(CkDJ[Account Code]=(J104)),CkDJ[Credit]))))</f>
        <v>0</v>
      </c>
      <c r="L104" s="519">
        <f t="array" ref="L104">IF(OR($C104=$C103,$C104=0),0,(SUM(IF((CkDJ[JEV Number]=$C104)*(CkDJ[Account Code]=(L$9)),CkDJ[Debit]))))</f>
        <v>0</v>
      </c>
      <c r="M104" s="519">
        <f t="array" ref="M104">IF(OR($C104=$C103,$C104=0),0,(SUM(IF((CkDJ[JEV Number]=$C104)*(CkDJ[Account Code]=(M$9)),CkDJ[Debit]))))</f>
        <v>0</v>
      </c>
      <c r="N104" s="519">
        <f t="array" ref="N104">IF(OR($C104=$C103,$C104=0),0,(SUM(IF((CkDJ[JEV Number]=$C104)*(CkDJ[Account Code]=(N$9)),CkDJ[Debit]))))</f>
        <v>0</v>
      </c>
      <c r="O104" s="519">
        <f t="array" ref="O104">IF(OR($C104=$C103,$C104=0),0,(SUM(IF((CkDJ[JEV Number]=$C104)*(CkDJ[Account Code]=(O$9)),CkDJ[Debit]))))</f>
        <v>0</v>
      </c>
      <c r="P104" s="726"/>
      <c r="Q104" s="519">
        <f t="array" ref="Q104">IF($C104=0,0,(SUM(IF((CkDJ[JEV Number]=$C104)*(CkDJ[Account Code]=(P104)),CkDJ[Debit]))))</f>
        <v>0</v>
      </c>
      <c r="R104" s="762">
        <f t="shared" si="7"/>
        <v>0</v>
      </c>
    </row>
    <row r="105" spans="1:18" x14ac:dyDescent="0.25">
      <c r="A105" s="721" t="str">
        <f t="array" ref="A105">IF(OR(C105=C104,C105=0),"",INDEX(CkDJ[Date],MATCH(C105,CkDJ[JEV Number],0)))</f>
        <v/>
      </c>
      <c r="B105" s="761"/>
      <c r="C105" s="523" t="str">
        <f t="shared" si="6"/>
        <v>20-01-001</v>
      </c>
      <c r="D105" s="523"/>
      <c r="E105" s="523"/>
      <c r="F105" s="523"/>
      <c r="G105" s="280" t="str">
        <f t="array" ref="G105">IF(OR(C105=C104,C105=0),"",INDEX(CasheirCode[Name],MATCH((INDEX(CkDJ[Sort Code],MATCH(C105,CkDJ[JEV Number],0))),CasheirCode[Sort Code])))</f>
        <v/>
      </c>
      <c r="H105" s="519">
        <f t="array" ref="H105">IF(OR($C105=$C104,$C105=0),0,(SUM(IF((CkDJ[JEV Number]=$C105)*(CkDJ[Account Code]=(H$9)),CkDJ[Credit]))))</f>
        <v>0</v>
      </c>
      <c r="I105" s="519">
        <f t="array" ref="I105">IF(OR($C105=$C104,$C105=0),0,(SUM(IF((CkDJ[JEV Number]=$C105)*(CkDJ[Account Code]=(I$9)),CkDJ[Credit]))))</f>
        <v>0</v>
      </c>
      <c r="J105" s="728"/>
      <c r="K105" s="519">
        <f t="array" ref="K105">IF($C105=0,0,(SUM(IF((CkDJ[JEV Number]=$C105)*(CkDJ[Account Code]=(J105)),CkDJ[Credit]))))</f>
        <v>0</v>
      </c>
      <c r="L105" s="519">
        <f t="array" ref="L105">IF(OR($C105=$C104,$C105=0),0,(SUM(IF((CkDJ[JEV Number]=$C105)*(CkDJ[Account Code]=(L$9)),CkDJ[Debit]))))</f>
        <v>0</v>
      </c>
      <c r="M105" s="519">
        <f t="array" ref="M105">IF(OR($C105=$C104,$C105=0),0,(SUM(IF((CkDJ[JEV Number]=$C105)*(CkDJ[Account Code]=(M$9)),CkDJ[Debit]))))</f>
        <v>0</v>
      </c>
      <c r="N105" s="519">
        <f t="array" ref="N105">IF(OR($C105=$C104,$C105=0),0,(SUM(IF((CkDJ[JEV Number]=$C105)*(CkDJ[Account Code]=(N$9)),CkDJ[Debit]))))</f>
        <v>0</v>
      </c>
      <c r="O105" s="519">
        <f t="array" ref="O105">IF(OR($C105=$C104,$C105=0),0,(SUM(IF((CkDJ[JEV Number]=$C105)*(CkDJ[Account Code]=(O$9)),CkDJ[Debit]))))</f>
        <v>0</v>
      </c>
      <c r="P105" s="726"/>
      <c r="Q105" s="519">
        <f t="array" ref="Q105">IF($C105=0,0,(SUM(IF((CkDJ[JEV Number]=$C105)*(CkDJ[Account Code]=(P105)),CkDJ[Debit]))))</f>
        <v>0</v>
      </c>
      <c r="R105" s="762">
        <f t="shared" si="7"/>
        <v>0</v>
      </c>
    </row>
    <row r="106" spans="1:18" x14ac:dyDescent="0.25">
      <c r="A106" s="721" t="str">
        <f t="array" ref="A106">IF(OR(C106=C105,C106=0),"",INDEX(CkDJ[Date],MATCH(C106,CkDJ[JEV Number],0)))</f>
        <v/>
      </c>
      <c r="B106" s="761"/>
      <c r="C106" s="523" t="str">
        <f t="shared" si="6"/>
        <v>20-01-001</v>
      </c>
      <c r="D106" s="523"/>
      <c r="E106" s="523"/>
      <c r="F106" s="523"/>
      <c r="G106" s="280" t="str">
        <f t="array" ref="G106">IF(OR(C106=C105,C106=0),"",INDEX(CasheirCode[Name],MATCH((INDEX(CkDJ[Sort Code],MATCH(C106,CkDJ[JEV Number],0))),CasheirCode[Sort Code])))</f>
        <v/>
      </c>
      <c r="H106" s="519">
        <f t="array" ref="H106">IF(OR($C106=$C105,$C106=0),0,(SUM(IF((CkDJ[JEV Number]=$C106)*(CkDJ[Account Code]=(H$9)),CkDJ[Credit]))))</f>
        <v>0</v>
      </c>
      <c r="I106" s="519">
        <f t="array" ref="I106">IF(OR($C106=$C105,$C106=0),0,(SUM(IF((CkDJ[JEV Number]=$C106)*(CkDJ[Account Code]=(I$9)),CkDJ[Credit]))))</f>
        <v>0</v>
      </c>
      <c r="J106" s="678"/>
      <c r="K106" s="519">
        <f t="array" ref="K106">IF($C106=0,0,(SUM(IF((CkDJ[JEV Number]=$C106)*(CkDJ[Account Code]=(J106)),CkDJ[Credit]))))</f>
        <v>0</v>
      </c>
      <c r="L106" s="519">
        <f t="array" ref="L106">IF(OR($C106=$C105,$C106=0),0,(SUM(IF((CkDJ[JEV Number]=$C106)*(CkDJ[Account Code]=(L$9)),CkDJ[Debit]))))</f>
        <v>0</v>
      </c>
      <c r="M106" s="519">
        <f t="array" ref="M106">IF(OR($C106=$C105,$C106=0),0,(SUM(IF((CkDJ[JEV Number]=$C106)*(CkDJ[Account Code]=(M$9)),CkDJ[Debit]))))</f>
        <v>0</v>
      </c>
      <c r="N106" s="519">
        <f t="array" ref="N106">IF(OR($C106=$C105,$C106=0),0,(SUM(IF((CkDJ[JEV Number]=$C106)*(CkDJ[Account Code]=(N$9)),CkDJ[Debit]))))</f>
        <v>0</v>
      </c>
      <c r="O106" s="519">
        <f t="array" ref="O106">IF(OR($C106=$C105,$C106=0),0,(SUM(IF((CkDJ[JEV Number]=$C106)*(CkDJ[Account Code]=(O$9)),CkDJ[Debit]))))</f>
        <v>0</v>
      </c>
      <c r="P106" s="726"/>
      <c r="Q106" s="519">
        <f t="array" ref="Q106">IF($C106=0,0,(SUM(IF((CkDJ[JEV Number]=$C106)*(CkDJ[Account Code]=(P106)),CkDJ[Debit]))))</f>
        <v>0</v>
      </c>
      <c r="R106" s="762">
        <f t="shared" si="7"/>
        <v>0</v>
      </c>
    </row>
    <row r="107" spans="1:18" x14ac:dyDescent="0.25">
      <c r="A107" s="721" t="str">
        <f t="array" ref="A107">IF(OR(C107=C106,C107=0),"",INDEX(CkDJ[Date],MATCH(C107,CkDJ[JEV Number],0)))</f>
        <v/>
      </c>
      <c r="B107" s="761"/>
      <c r="C107" s="523" t="str">
        <f t="shared" si="6"/>
        <v>20-01-001</v>
      </c>
      <c r="D107" s="523"/>
      <c r="E107" s="523"/>
      <c r="F107" s="523"/>
      <c r="G107" s="280" t="str">
        <f t="array" ref="G107">IF(OR(C107=C106,C107=0),"",INDEX(CasheirCode[Name],MATCH((INDEX(CkDJ[Sort Code],MATCH(C107,CkDJ[JEV Number],0))),CasheirCode[Sort Code])))</f>
        <v/>
      </c>
      <c r="H107" s="519">
        <f t="array" ref="H107">IF(OR($C107=$C106,$C107=0),0,(SUM(IF((CkDJ[JEV Number]=$C107)*(CkDJ[Account Code]=(H$9)),CkDJ[Credit]))))</f>
        <v>0</v>
      </c>
      <c r="I107" s="519">
        <f t="array" ref="I107">IF(OR($C107=$C106,$C107=0),0,(SUM(IF((CkDJ[JEV Number]=$C107)*(CkDJ[Account Code]=(I$9)),CkDJ[Credit]))))</f>
        <v>0</v>
      </c>
      <c r="J107" s="678"/>
      <c r="K107" s="519">
        <f t="array" ref="K107">IF($C107=0,0,(SUM(IF((CkDJ[JEV Number]=$C107)*(CkDJ[Account Code]=(J107)),CkDJ[Credit]))))</f>
        <v>0</v>
      </c>
      <c r="L107" s="519">
        <f t="array" ref="L107">IF(OR($C107=$C106,$C107=0),0,(SUM(IF((CkDJ[JEV Number]=$C107)*(CkDJ[Account Code]=(L$9)),CkDJ[Debit]))))</f>
        <v>0</v>
      </c>
      <c r="M107" s="519">
        <f t="array" ref="M107">IF(OR($C107=$C106,$C107=0),0,(SUM(IF((CkDJ[JEV Number]=$C107)*(CkDJ[Account Code]=(M$9)),CkDJ[Debit]))))</f>
        <v>0</v>
      </c>
      <c r="N107" s="519">
        <f t="array" ref="N107">IF(OR($C107=$C106,$C107=0),0,(SUM(IF((CkDJ[JEV Number]=$C107)*(CkDJ[Account Code]=(N$9)),CkDJ[Debit]))))</f>
        <v>0</v>
      </c>
      <c r="O107" s="519">
        <f t="array" ref="O107">IF(OR($C107=$C106,$C107=0),0,(SUM(IF((CkDJ[JEV Number]=$C107)*(CkDJ[Account Code]=(O$9)),CkDJ[Debit]))))</f>
        <v>0</v>
      </c>
      <c r="P107" s="726"/>
      <c r="Q107" s="519">
        <f t="array" ref="Q107">IF($C107=0,0,(SUM(IF((CkDJ[JEV Number]=$C107)*(CkDJ[Account Code]=(P107)),CkDJ[Debit]))))</f>
        <v>0</v>
      </c>
      <c r="R107" s="762">
        <f t="shared" si="7"/>
        <v>0</v>
      </c>
    </row>
    <row r="108" spans="1:18" x14ac:dyDescent="0.25">
      <c r="A108" s="721" t="str">
        <f t="array" ref="A108">IF(OR(C108=C107,C108=0),"",INDEX(CkDJ[Date],MATCH(C108,CkDJ[JEV Number],0)))</f>
        <v/>
      </c>
      <c r="B108" s="543"/>
      <c r="C108" s="523" t="str">
        <f t="shared" ref="C108:C129" si="9">IF(B108=0,C107,B108)</f>
        <v>20-01-001</v>
      </c>
      <c r="D108" s="523"/>
      <c r="E108" s="523"/>
      <c r="F108" s="523"/>
      <c r="G108" s="280" t="str">
        <f t="array" ref="G108">IF(OR(C108=C107,C108=0),"",INDEX(CasheirCode[Name],MATCH((INDEX(CkDJ[Sort Code],MATCH(C108,CkDJ[JEV Number],0))),CasheirCode[Sort Code])))</f>
        <v/>
      </c>
      <c r="H108" s="519">
        <f t="array" ref="H108">IF(OR($C108=$C107,$C108=0),0,(SUM(IF((CkDJ[JEV Number]=$C108)*(CkDJ[Account Code]=(H$9)),CkDJ[Credit]))))</f>
        <v>0</v>
      </c>
      <c r="I108" s="519">
        <f t="array" ref="I108">IF(OR($C108=$C107,$C108=0),0,(SUM(IF((CkDJ[JEV Number]=$C108)*(CkDJ[Account Code]=(I$9)),CkDJ[Credit]))))</f>
        <v>0</v>
      </c>
      <c r="J108" s="678"/>
      <c r="K108" s="519">
        <f t="array" ref="K108">IF($C108=0,0,(SUM(IF((CkDJ[JEV Number]=$C108)*(CkDJ[Account Code]=(J108)),CkDJ[Credit]))))</f>
        <v>0</v>
      </c>
      <c r="L108" s="519">
        <f t="array" ref="L108">IF(OR($C108=$C107,$C108=0),0,(SUM(IF((CkDJ[JEV Number]=$C108)*(CkDJ[Account Code]=(L$9)),CkDJ[Debit]))))</f>
        <v>0</v>
      </c>
      <c r="M108" s="519">
        <f t="array" ref="M108">IF(OR($C108=$C107,$C108=0),0,(SUM(IF((CkDJ[JEV Number]=$C108)*(CkDJ[Account Code]=(M$9)),CkDJ[Debit]))))</f>
        <v>0</v>
      </c>
      <c r="N108" s="519">
        <f t="array" ref="N108">IF(OR($C108=$C107,$C108=0),0,(SUM(IF((CkDJ[JEV Number]=$C108)*(CkDJ[Account Code]=(N$9)),CkDJ[Debit]))))</f>
        <v>0</v>
      </c>
      <c r="O108" s="519">
        <f t="array" ref="O108">IF(OR($C108=$C107,$C108=0),0,(SUM(IF((CkDJ[JEV Number]=$C108)*(CkDJ[Account Code]=(O$9)),CkDJ[Debit]))))</f>
        <v>0</v>
      </c>
      <c r="P108" s="726"/>
      <c r="Q108" s="519">
        <f t="array" ref="Q108">IF($C108=0,0,(SUM(IF((CkDJ[JEV Number]=$C108)*(CkDJ[Account Code]=(P108)),CkDJ[Debit]))))</f>
        <v>0</v>
      </c>
      <c r="R108" s="762">
        <f t="shared" ref="R108:R129" si="10">R107+(SUM(L108:O108)+Q108)-(SUM(H108:I108)+K108)</f>
        <v>0</v>
      </c>
    </row>
    <row r="109" spans="1:18" x14ac:dyDescent="0.25">
      <c r="A109" s="721" t="str">
        <f t="array" ref="A109">IF(OR(C109=C108,C109=0),"",INDEX(CkDJ[Date],MATCH(C109,CkDJ[JEV Number],0)))</f>
        <v/>
      </c>
      <c r="B109" s="761"/>
      <c r="C109" s="523" t="str">
        <f t="shared" si="9"/>
        <v>20-01-001</v>
      </c>
      <c r="D109" s="523"/>
      <c r="E109" s="523"/>
      <c r="F109" s="523"/>
      <c r="G109" s="280" t="str">
        <f t="array" ref="G109">IF(OR(C109=C108,C109=0),"",INDEX(CasheirCode[Name],MATCH((INDEX(CkDJ[Sort Code],MATCH(C109,CkDJ[JEV Number],0))),CasheirCode[Sort Code])))</f>
        <v/>
      </c>
      <c r="H109" s="519">
        <f t="array" ref="H109">IF(OR($C109=$C108,$C109=0),0,(SUM(IF((CkDJ[JEV Number]=$C109)*(CkDJ[Account Code]=(H$9)),CkDJ[Credit]))))</f>
        <v>0</v>
      </c>
      <c r="I109" s="519">
        <f t="array" ref="I109">IF(OR($C109=$C108,$C109=0),0,(SUM(IF((CkDJ[JEV Number]=$C109)*(CkDJ[Account Code]=(I$9)),CkDJ[Credit]))))</f>
        <v>0</v>
      </c>
      <c r="J109" s="678"/>
      <c r="K109" s="519">
        <f t="array" ref="K109">IF($C109=0,0,(SUM(IF((CkDJ[JEV Number]=$C109)*(CkDJ[Account Code]=(J109)),CkDJ[Credit]))))</f>
        <v>0</v>
      </c>
      <c r="L109" s="519">
        <f t="array" ref="L109">IF(OR($C109=$C108,$C109=0),0,(SUM(IF((CkDJ[JEV Number]=$C109)*(CkDJ[Account Code]=(L$9)),CkDJ[Debit]))))</f>
        <v>0</v>
      </c>
      <c r="M109" s="519">
        <f t="array" ref="M109">IF(OR($C109=$C108,$C109=0),0,(SUM(IF((CkDJ[JEV Number]=$C109)*(CkDJ[Account Code]=(M$9)),CkDJ[Debit]))))</f>
        <v>0</v>
      </c>
      <c r="N109" s="519">
        <f t="array" ref="N109">IF(OR($C109=$C108,$C109=0),0,(SUM(IF((CkDJ[JEV Number]=$C109)*(CkDJ[Account Code]=(N$9)),CkDJ[Debit]))))</f>
        <v>0</v>
      </c>
      <c r="O109" s="519">
        <f t="array" ref="O109">IF(OR($C109=$C108,$C109=0),0,(SUM(IF((CkDJ[JEV Number]=$C109)*(CkDJ[Account Code]=(O$9)),CkDJ[Debit]))))</f>
        <v>0</v>
      </c>
      <c r="P109" s="726"/>
      <c r="Q109" s="519">
        <f t="array" ref="Q109">IF($C109=0,0,(SUM(IF((CkDJ[JEV Number]=$C109)*(CkDJ[Account Code]=(P109)),CkDJ[Debit]))))</f>
        <v>0</v>
      </c>
      <c r="R109" s="762">
        <f t="shared" si="10"/>
        <v>0</v>
      </c>
    </row>
    <row r="110" spans="1:18" x14ac:dyDescent="0.25">
      <c r="A110" s="673" t="str">
        <f t="array" ref="A110">IF(OR(C110=C109,C110=0),"",INDEX(CkDJ[Date],MATCH(C110,CkDJ[JEV Number],0)))</f>
        <v/>
      </c>
      <c r="B110" s="674"/>
      <c r="C110" s="523" t="str">
        <f t="shared" si="9"/>
        <v>20-01-001</v>
      </c>
      <c r="D110" s="523"/>
      <c r="E110" s="523"/>
      <c r="F110" s="523"/>
      <c r="G110" s="280" t="str">
        <f t="array" ref="G110">IF(OR(C110=C109,C110=0),"",INDEX(CasheirCode[Name],MATCH((INDEX(CkDJ[Sort Code],MATCH(C110,CkDJ[JEV Number],0))),CasheirCode[Sort Code])))</f>
        <v/>
      </c>
      <c r="H110" s="519">
        <f t="array" ref="H110">IF(OR($C110=$C109,$C110=0),0,(SUM(IF((CkDJ[JEV Number]=$C110)*(CkDJ[Account Code]=(H$9)),CkDJ[Credit]))))</f>
        <v>0</v>
      </c>
      <c r="I110" s="774">
        <f t="array" ref="I110">IF(OR($C110=$C109,$C110=0),0,(SUM(IF((CkDJ[JEV Number]=$C110)*(CkDJ[Account Code]=(I$9)),CkDJ[Credit]))))</f>
        <v>0</v>
      </c>
      <c r="J110" s="728"/>
      <c r="K110" s="519">
        <f t="array" ref="K110">IF($C110=0,0,(SUM(IF((CkDJ[JEV Number]=$C110)*(CkDJ[Account Code]=(J110)),CkDJ[Credit]))))</f>
        <v>0</v>
      </c>
      <c r="L110" s="519">
        <f t="array" ref="L110">IF(OR($C110=$C109,$C110=0),0,(SUM(IF((CkDJ[JEV Number]=$C110)*(CkDJ[Account Code]=(L$9)),CkDJ[Debit]))))</f>
        <v>0</v>
      </c>
      <c r="M110" s="519">
        <f t="array" ref="M110">IF(OR($C110=$C109,$C110=0),0,(SUM(IF((CkDJ[JEV Number]=$C110)*(CkDJ[Account Code]=(M$9)),CkDJ[Debit]))))</f>
        <v>0</v>
      </c>
      <c r="N110" s="519">
        <f t="array" ref="N110">IF(OR($C110=$C109,$C110=0),0,(SUM(IF((CkDJ[JEV Number]=$C110)*(CkDJ[Account Code]=(N$9)),CkDJ[Debit]))))</f>
        <v>0</v>
      </c>
      <c r="O110" s="519">
        <f t="array" ref="O110">IF(OR($C110=$C109,$C110=0),0,(SUM(IF((CkDJ[JEV Number]=$C110)*(CkDJ[Account Code]=(O$9)),CkDJ[Debit]))))</f>
        <v>0</v>
      </c>
      <c r="P110" s="726"/>
      <c r="Q110" s="519">
        <f t="array" ref="Q110">IF($C110=0,0,(SUM(IF((CkDJ[JEV Number]=$C110)*(CkDJ[Account Code]=(P110)),CkDJ[Debit]))))</f>
        <v>0</v>
      </c>
      <c r="R110" s="762">
        <f t="shared" si="10"/>
        <v>0</v>
      </c>
    </row>
    <row r="111" spans="1:18" x14ac:dyDescent="0.25">
      <c r="A111" s="721" t="str">
        <f t="array" ref="A111">IF(OR(C111=C110,C111=0),"",INDEX(CkDJ[Date],MATCH(C111,CkDJ[JEV Number],0)))</f>
        <v/>
      </c>
      <c r="B111" s="761"/>
      <c r="C111" s="523" t="str">
        <f t="shared" si="9"/>
        <v>20-01-001</v>
      </c>
      <c r="D111" s="523"/>
      <c r="E111" s="523"/>
      <c r="F111" s="523"/>
      <c r="G111" s="280" t="str">
        <f t="array" ref="G111">IF(OR(C111=C110,C111=0),"",INDEX(CasheirCode[Name],MATCH((INDEX(CkDJ[Sort Code],MATCH(C111,CkDJ[JEV Number],0))),CasheirCode[Sort Code])))</f>
        <v/>
      </c>
      <c r="H111" s="519">
        <f t="array" ref="H111">IF(OR($C111=$C110,$C111=0),0,(SUM(IF((CkDJ[JEV Number]=$C111)*(CkDJ[Account Code]=(H$9)),CkDJ[Credit]))))</f>
        <v>0</v>
      </c>
      <c r="I111" s="519">
        <f t="array" ref="I111">IF(OR($C111=$C110,$C111=0),0,(SUM(IF((CkDJ[JEV Number]=$C111)*(CkDJ[Account Code]=(I$9)),CkDJ[Credit]))))</f>
        <v>0</v>
      </c>
      <c r="J111" s="728"/>
      <c r="K111" s="519">
        <f t="array" ref="K111">IF($C111=0,0,(SUM(IF((CkDJ[JEV Number]=$C111)*(CkDJ[Account Code]=(J111)),CkDJ[Credit]))))</f>
        <v>0</v>
      </c>
      <c r="L111" s="519">
        <f t="array" ref="L111">IF(OR($C111=$C110,$C111=0),0,(SUM(IF((CkDJ[JEV Number]=$C111)*(CkDJ[Account Code]=(L$9)),CkDJ[Debit]))))</f>
        <v>0</v>
      </c>
      <c r="M111" s="519">
        <f t="array" ref="M111">IF(OR($C111=$C110,$C111=0),0,(SUM(IF((CkDJ[JEV Number]=$C111)*(CkDJ[Account Code]=(M$9)),CkDJ[Debit]))))</f>
        <v>0</v>
      </c>
      <c r="N111" s="519">
        <f t="array" ref="N111">IF(OR($C111=$C110,$C111=0),0,(SUM(IF((CkDJ[JEV Number]=$C111)*(CkDJ[Account Code]=(N$9)),CkDJ[Debit]))))</f>
        <v>0</v>
      </c>
      <c r="O111" s="519">
        <f t="array" ref="O111">IF(OR($C111=$C110,$C111=0),0,(SUM(IF((CkDJ[JEV Number]=$C111)*(CkDJ[Account Code]=(O$9)),CkDJ[Debit]))))</f>
        <v>0</v>
      </c>
      <c r="P111" s="726"/>
      <c r="Q111" s="519">
        <f t="array" ref="Q111">IF($C111=0,0,(SUM(IF((CkDJ[JEV Number]=$C111)*(CkDJ[Account Code]=(P111)),CkDJ[Debit]))))</f>
        <v>0</v>
      </c>
      <c r="R111" s="762">
        <f t="shared" si="10"/>
        <v>0</v>
      </c>
    </row>
    <row r="112" spans="1:18" x14ac:dyDescent="0.25">
      <c r="A112" s="721" t="str">
        <f t="array" ref="A112">IF(OR(C112=C111,C112=0),"",INDEX(CkDJ[Date],MATCH(C112,CkDJ[JEV Number],0)))</f>
        <v/>
      </c>
      <c r="B112" s="761"/>
      <c r="C112" s="523" t="str">
        <f t="shared" si="9"/>
        <v>20-01-001</v>
      </c>
      <c r="D112" s="523"/>
      <c r="E112" s="523"/>
      <c r="F112" s="523"/>
      <c r="G112" s="280" t="str">
        <f t="array" ref="G112">IF(OR(C112=C111,C112=0),"",INDEX(CasheirCode[Name],MATCH((INDEX(CkDJ[Sort Code],MATCH(C112,CkDJ[JEV Number],0))),CasheirCode[Sort Code])))</f>
        <v/>
      </c>
      <c r="H112" s="519">
        <f t="array" ref="H112">IF(OR($C112=$C111,$C112=0),0,(SUM(IF((CkDJ[JEV Number]=$C112)*(CkDJ[Account Code]=(H$9)),CkDJ[Credit]))))</f>
        <v>0</v>
      </c>
      <c r="I112" s="519">
        <f t="array" ref="I112">IF(OR($C112=$C111,$C112=0),0,(SUM(IF((CkDJ[JEV Number]=$C112)*(CkDJ[Account Code]=(I$9)),CkDJ[Credit]))))</f>
        <v>0</v>
      </c>
      <c r="J112" s="728"/>
      <c r="K112" s="519">
        <f t="array" ref="K112">IF($C112=0,0,(SUM(IF((CkDJ[JEV Number]=$C112)*(CkDJ[Account Code]=(J112)),CkDJ[Credit]))))</f>
        <v>0</v>
      </c>
      <c r="L112" s="519">
        <f t="array" ref="L112">IF(OR($C112=$C111,$C112=0),0,(SUM(IF((CkDJ[JEV Number]=$C112)*(CkDJ[Account Code]=(L$9)),CkDJ[Debit]))))</f>
        <v>0</v>
      </c>
      <c r="M112" s="519">
        <f t="array" ref="M112">IF(OR($C112=$C111,$C112=0),0,(SUM(IF((CkDJ[JEV Number]=$C112)*(CkDJ[Account Code]=(M$9)),CkDJ[Debit]))))</f>
        <v>0</v>
      </c>
      <c r="N112" s="519">
        <f t="array" ref="N112">IF(OR($C112=$C111,$C112=0),0,(SUM(IF((CkDJ[JEV Number]=$C112)*(CkDJ[Account Code]=(N$9)),CkDJ[Debit]))))</f>
        <v>0</v>
      </c>
      <c r="O112" s="519">
        <f t="array" ref="O112">IF(OR($C112=$C111,$C112=0),0,(SUM(IF((CkDJ[JEV Number]=$C112)*(CkDJ[Account Code]=(O$9)),CkDJ[Debit]))))</f>
        <v>0</v>
      </c>
      <c r="P112" s="726"/>
      <c r="Q112" s="519">
        <f t="array" ref="Q112">IF($C112=0,0,(SUM(IF((CkDJ[JEV Number]=$C112)*(CkDJ[Account Code]=(P112)),CkDJ[Debit]))))</f>
        <v>0</v>
      </c>
      <c r="R112" s="762">
        <f t="shared" si="10"/>
        <v>0</v>
      </c>
    </row>
    <row r="113" spans="1:18" x14ac:dyDescent="0.25">
      <c r="A113" s="721" t="str">
        <f t="array" ref="A113">IF(OR(C113=C112,C113=0),"",INDEX(CkDJ[Date],MATCH(C113,CkDJ[JEV Number],0)))</f>
        <v/>
      </c>
      <c r="B113" s="761"/>
      <c r="C113" s="523" t="str">
        <f t="shared" si="9"/>
        <v>20-01-001</v>
      </c>
      <c r="D113" s="523"/>
      <c r="E113" s="523"/>
      <c r="F113" s="523"/>
      <c r="G113" s="280" t="str">
        <f t="array" ref="G113">IF(OR(C113=C112,C113=0),"",INDEX(CasheirCode[Name],MATCH((INDEX(CkDJ[Sort Code],MATCH(C113,CkDJ[JEV Number],0))),CasheirCode[Sort Code])))</f>
        <v/>
      </c>
      <c r="H113" s="519">
        <f t="array" ref="H113">IF(OR($C113=$C112,$C113=0),0,(SUM(IF((CkDJ[JEV Number]=$C113)*(CkDJ[Account Code]=(H$9)),CkDJ[Credit]))))</f>
        <v>0</v>
      </c>
      <c r="I113" s="519">
        <f t="array" ref="I113">IF(OR($C113=$C112,$C113=0),0,(SUM(IF((CkDJ[JEV Number]=$C113)*(CkDJ[Account Code]=(I$9)),CkDJ[Credit]))))</f>
        <v>0</v>
      </c>
      <c r="J113" s="728"/>
      <c r="K113" s="519">
        <f t="array" ref="K113">IF($C113=0,0,(SUM(IF((CkDJ[JEV Number]=$C113)*(CkDJ[Account Code]=(J113)),CkDJ[Credit]))))</f>
        <v>0</v>
      </c>
      <c r="L113" s="519">
        <f t="array" ref="L113">IF(OR($C113=$C112,$C113=0),0,(SUM(IF((CkDJ[JEV Number]=$C113)*(CkDJ[Account Code]=(L$9)),CkDJ[Debit]))))</f>
        <v>0</v>
      </c>
      <c r="M113" s="519">
        <f t="array" ref="M113">IF(OR($C113=$C112,$C113=0),0,(SUM(IF((CkDJ[JEV Number]=$C113)*(CkDJ[Account Code]=(M$9)),CkDJ[Debit]))))</f>
        <v>0</v>
      </c>
      <c r="N113" s="519">
        <f t="array" ref="N113">IF(OR($C113=$C112,$C113=0),0,(SUM(IF((CkDJ[JEV Number]=$C113)*(CkDJ[Account Code]=(N$9)),CkDJ[Debit]))))</f>
        <v>0</v>
      </c>
      <c r="O113" s="519">
        <f t="array" ref="O113">IF(OR($C113=$C112,$C113=0),0,(SUM(IF((CkDJ[JEV Number]=$C113)*(CkDJ[Account Code]=(O$9)),CkDJ[Debit]))))</f>
        <v>0</v>
      </c>
      <c r="P113" s="726"/>
      <c r="Q113" s="519">
        <f t="array" ref="Q113">IF($C113=0,0,(SUM(IF((CkDJ[JEV Number]=$C113)*(CkDJ[Account Code]=(P113)),CkDJ[Debit]))))</f>
        <v>0</v>
      </c>
      <c r="R113" s="762">
        <f t="shared" si="10"/>
        <v>0</v>
      </c>
    </row>
    <row r="114" spans="1:18" x14ac:dyDescent="0.25">
      <c r="A114" s="721" t="str">
        <f t="array" ref="A114">IF(OR(C114=C113,C114=0),"",INDEX(CkDJ[Date],MATCH(C114,CkDJ[JEV Number],0)))</f>
        <v/>
      </c>
      <c r="B114" s="761"/>
      <c r="C114" s="523" t="str">
        <f t="shared" si="9"/>
        <v>20-01-001</v>
      </c>
      <c r="D114" s="523"/>
      <c r="E114" s="523"/>
      <c r="F114" s="523"/>
      <c r="G114" s="280" t="str">
        <f t="array" ref="G114">IF(OR(C114=C113,C114=0),"",INDEX(CasheirCode[Name],MATCH((INDEX(CkDJ[Sort Code],MATCH(C114,CkDJ[JEV Number],0))),CasheirCode[Sort Code])))</f>
        <v/>
      </c>
      <c r="H114" s="519">
        <f t="array" ref="H114">IF(OR($C114=$C113,$C114=0),0,(SUM(IF((CkDJ[JEV Number]=$C114)*(CkDJ[Account Code]=(H$9)),CkDJ[Credit]))))</f>
        <v>0</v>
      </c>
      <c r="I114" s="519">
        <f t="array" ref="I114">IF(OR($C114=$C113,$C114=0),0,(SUM(IF((CkDJ[JEV Number]=$C114)*(CkDJ[Account Code]=(I$9)),CkDJ[Credit]))))</f>
        <v>0</v>
      </c>
      <c r="J114" s="678"/>
      <c r="K114" s="519">
        <f t="array" ref="K114">IF($C114=0,0,(SUM(IF((CkDJ[JEV Number]=$C114)*(CkDJ[Account Code]=(J114)),CkDJ[Credit]))))</f>
        <v>0</v>
      </c>
      <c r="L114" s="519">
        <f t="array" ref="L114">IF(OR($C114=$C113,$C114=0),0,(SUM(IF((CkDJ[JEV Number]=$C114)*(CkDJ[Account Code]=(L$9)),CkDJ[Debit]))))</f>
        <v>0</v>
      </c>
      <c r="M114" s="519">
        <f t="array" ref="M114">IF(OR($C114=$C113,$C114=0),0,(SUM(IF((CkDJ[JEV Number]=$C114)*(CkDJ[Account Code]=(M$9)),CkDJ[Debit]))))</f>
        <v>0</v>
      </c>
      <c r="N114" s="519">
        <f t="array" ref="N114">IF(OR($C114=$C113,$C114=0),0,(SUM(IF((CkDJ[JEV Number]=$C114)*(CkDJ[Account Code]=(N$9)),CkDJ[Debit]))))</f>
        <v>0</v>
      </c>
      <c r="O114" s="519">
        <f t="array" ref="O114">IF(OR($C114=$C113,$C114=0),0,(SUM(IF((CkDJ[JEV Number]=$C114)*(CkDJ[Account Code]=(O$9)),CkDJ[Debit]))))</f>
        <v>0</v>
      </c>
      <c r="P114" s="726"/>
      <c r="Q114" s="519">
        <f t="array" ref="Q114">IF($C114=0,0,(SUM(IF((CkDJ[JEV Number]=$C114)*(CkDJ[Account Code]=(P114)),CkDJ[Debit]))))</f>
        <v>0</v>
      </c>
      <c r="R114" s="762">
        <f t="shared" si="10"/>
        <v>0</v>
      </c>
    </row>
    <row r="115" spans="1:18" x14ac:dyDescent="0.25">
      <c r="A115" s="721" t="str">
        <f t="array" ref="A115">IF(OR(C115=C114,C115=0),"",INDEX(CkDJ[Date],MATCH(C115,CkDJ[JEV Number],0)))</f>
        <v/>
      </c>
      <c r="B115" s="761"/>
      <c r="C115" s="523" t="str">
        <f t="shared" si="9"/>
        <v>20-01-001</v>
      </c>
      <c r="D115" s="523"/>
      <c r="E115" s="523"/>
      <c r="F115" s="523"/>
      <c r="G115" s="280" t="str">
        <f t="array" ref="G115">IF(OR(C115=C114,C115=0),"",INDEX(CasheirCode[Name],MATCH((INDEX(CkDJ[Sort Code],MATCH(C115,CkDJ[JEV Number],0))),CasheirCode[Sort Code])))</f>
        <v/>
      </c>
      <c r="H115" s="519">
        <f t="array" ref="H115">IF(OR($C115=$C114,$C115=0),0,(SUM(IF((CkDJ[JEV Number]=$C115)*(CkDJ[Account Code]=(H$9)),CkDJ[Credit]))))</f>
        <v>0</v>
      </c>
      <c r="I115" s="519">
        <f t="array" ref="I115">IF(OR($C115=$C114,$C115=0),0,(SUM(IF((CkDJ[JEV Number]=$C115)*(CkDJ[Account Code]=(I$9)),CkDJ[Credit]))))</f>
        <v>0</v>
      </c>
      <c r="J115" s="728"/>
      <c r="K115" s="519">
        <f t="array" ref="K115">IF($C115=0,0,(SUM(IF((CkDJ[JEV Number]=$C115)*(CkDJ[Account Code]=(J115)),CkDJ[Credit]))))</f>
        <v>0</v>
      </c>
      <c r="L115" s="519">
        <f t="array" ref="L115">IF(OR($C115=$C114,$C115=0),0,(SUM(IF((CkDJ[JEV Number]=$C115)*(CkDJ[Account Code]=(L$9)),CkDJ[Debit]))))</f>
        <v>0</v>
      </c>
      <c r="M115" s="519">
        <f t="array" ref="M115">IF(OR($C115=$C114,$C115=0),0,(SUM(IF((CkDJ[JEV Number]=$C115)*(CkDJ[Account Code]=(M$9)),CkDJ[Debit]))))</f>
        <v>0</v>
      </c>
      <c r="N115" s="519">
        <f t="array" ref="N115">IF(OR($C115=$C114,$C115=0),0,(SUM(IF((CkDJ[JEV Number]=$C115)*(CkDJ[Account Code]=(N$9)),CkDJ[Debit]))))</f>
        <v>0</v>
      </c>
      <c r="O115" s="519">
        <f t="array" ref="O115">IF(OR($C115=$C114,$C115=0),0,(SUM(IF((CkDJ[JEV Number]=$C115)*(CkDJ[Account Code]=(O$9)),CkDJ[Debit]))))</f>
        <v>0</v>
      </c>
      <c r="P115" s="726"/>
      <c r="Q115" s="519">
        <f t="array" ref="Q115">IF($C115=0,0,(SUM(IF((CkDJ[JEV Number]=$C115)*(CkDJ[Account Code]=(P115)),CkDJ[Debit]))))</f>
        <v>0</v>
      </c>
      <c r="R115" s="762">
        <f t="shared" si="10"/>
        <v>0</v>
      </c>
    </row>
    <row r="116" spans="1:18" x14ac:dyDescent="0.25">
      <c r="A116" s="721" t="str">
        <f t="array" ref="A116">IF(OR(C116=C115,C116=0),"",INDEX(CkDJ[Date],MATCH(C116,CkDJ[JEV Number],0)))</f>
        <v/>
      </c>
      <c r="B116" s="543"/>
      <c r="C116" s="523" t="str">
        <f t="shared" si="9"/>
        <v>20-01-001</v>
      </c>
      <c r="D116" s="523"/>
      <c r="E116" s="523"/>
      <c r="F116" s="523"/>
      <c r="G116" s="280" t="str">
        <f t="array" ref="G116">IF(OR(C116=C115,C116=0),"",INDEX(CasheirCode[Name],MATCH((INDEX(CkDJ[Sort Code],MATCH(C116,CkDJ[JEV Number],0))),CasheirCode[Sort Code])))</f>
        <v/>
      </c>
      <c r="H116" s="519">
        <f t="array" ref="H116">IF(OR($C116=$C115,$C116=0),0,(SUM(IF((CkDJ[JEV Number]=$C116)*(CkDJ[Account Code]=(H$9)),CkDJ[Credit]))))</f>
        <v>0</v>
      </c>
      <c r="I116" s="519">
        <f t="array" ref="I116">IF(OR($C116=$C115,$C116=0),0,(SUM(IF((CkDJ[JEV Number]=$C116)*(CkDJ[Account Code]=(I$9)),CkDJ[Credit]))))</f>
        <v>0</v>
      </c>
      <c r="J116" s="728"/>
      <c r="K116" s="519">
        <f t="array" ref="K116">IF($C116=0,0,(SUM(IF((CkDJ[JEV Number]=$C116)*(CkDJ[Account Code]=(J116)),CkDJ[Credit]))))</f>
        <v>0</v>
      </c>
      <c r="L116" s="519">
        <f t="array" ref="L116">IF(OR($C116=$C115,$C116=0),0,(SUM(IF((CkDJ[JEV Number]=$C116)*(CkDJ[Account Code]=(L$9)),CkDJ[Debit]))))</f>
        <v>0</v>
      </c>
      <c r="M116" s="519">
        <f t="array" ref="M116">IF(OR($C116=$C115,$C116=0),0,(SUM(IF((CkDJ[JEV Number]=$C116)*(CkDJ[Account Code]=(M$9)),CkDJ[Debit]))))</f>
        <v>0</v>
      </c>
      <c r="N116" s="519">
        <f t="array" ref="N116">IF(OR($C116=$C115,$C116=0),0,(SUM(IF((CkDJ[JEV Number]=$C116)*(CkDJ[Account Code]=(N$9)),CkDJ[Debit]))))</f>
        <v>0</v>
      </c>
      <c r="O116" s="519">
        <f t="array" ref="O116">IF(OR($C116=$C115,$C116=0),0,(SUM(IF((CkDJ[JEV Number]=$C116)*(CkDJ[Account Code]=(O$9)),CkDJ[Debit]))))</f>
        <v>0</v>
      </c>
      <c r="P116" s="726"/>
      <c r="Q116" s="519">
        <f t="array" ref="Q116">IF($C116=0,0,(SUM(IF((CkDJ[JEV Number]=$C116)*(CkDJ[Account Code]=(P116)),CkDJ[Debit]))))</f>
        <v>0</v>
      </c>
      <c r="R116" s="762">
        <f t="shared" si="10"/>
        <v>0</v>
      </c>
    </row>
    <row r="117" spans="1:18" x14ac:dyDescent="0.25">
      <c r="A117" s="721" t="str">
        <f t="array" ref="A117">IF(OR(C117=C116,C117=0),"",INDEX(CkDJ[Date],MATCH(C117,CkDJ[JEV Number],0)))</f>
        <v/>
      </c>
      <c r="B117" s="543"/>
      <c r="C117" s="523" t="str">
        <f t="shared" si="9"/>
        <v>20-01-001</v>
      </c>
      <c r="D117" s="523"/>
      <c r="E117" s="523"/>
      <c r="F117" s="523"/>
      <c r="G117" s="280" t="str">
        <f t="array" ref="G117">IF(OR(C117=C116,C117=0),"",INDEX(CasheirCode[Name],MATCH((INDEX(CkDJ[Sort Code],MATCH(C117,CkDJ[JEV Number],0))),CasheirCode[Sort Code])))</f>
        <v/>
      </c>
      <c r="H117" s="519">
        <f t="array" ref="H117">IF(OR($C117=$C116,$C117=0),0,(SUM(IF((CkDJ[JEV Number]=$C117)*(CkDJ[Account Code]=(H$9)),CkDJ[Credit]))))</f>
        <v>0</v>
      </c>
      <c r="I117" s="519">
        <f t="array" ref="I117">IF(OR($C117=$C116,$C117=0),0,(SUM(IF((CkDJ[JEV Number]=$C117)*(CkDJ[Account Code]=(I$9)),CkDJ[Credit]))))</f>
        <v>0</v>
      </c>
      <c r="J117" s="728"/>
      <c r="K117" s="519">
        <f t="array" ref="K117">IF($C117=0,0,(SUM(IF((CkDJ[JEV Number]=$C117)*(CkDJ[Account Code]=(J117)),CkDJ[Credit]))))</f>
        <v>0</v>
      </c>
      <c r="L117" s="519">
        <f t="array" ref="L117">IF(OR($C117=$C116,$C117=0),0,(SUM(IF((CkDJ[JEV Number]=$C117)*(CkDJ[Account Code]=(L$9)),CkDJ[Debit]))))</f>
        <v>0</v>
      </c>
      <c r="M117" s="519">
        <f t="array" ref="M117">IF(OR($C117=$C116,$C117=0),0,(SUM(IF((CkDJ[JEV Number]=$C117)*(CkDJ[Account Code]=(M$9)),CkDJ[Debit]))))</f>
        <v>0</v>
      </c>
      <c r="N117" s="519">
        <f t="array" ref="N117">IF(OR($C117=$C116,$C117=0),0,(SUM(IF((CkDJ[JEV Number]=$C117)*(CkDJ[Account Code]=(N$9)),CkDJ[Debit]))))</f>
        <v>0</v>
      </c>
      <c r="O117" s="519">
        <f t="array" ref="O117">IF(OR($C117=$C116,$C117=0),0,(SUM(IF((CkDJ[JEV Number]=$C117)*(CkDJ[Account Code]=(O$9)),CkDJ[Debit]))))</f>
        <v>0</v>
      </c>
      <c r="P117" s="726"/>
      <c r="Q117" s="519">
        <f t="array" ref="Q117">IF($C117=0,0,(SUM(IF((CkDJ[JEV Number]=$C117)*(CkDJ[Account Code]=(P117)),CkDJ[Debit]))))</f>
        <v>0</v>
      </c>
      <c r="R117" s="762">
        <f t="shared" si="10"/>
        <v>0</v>
      </c>
    </row>
    <row r="118" spans="1:18" x14ac:dyDescent="0.25">
      <c r="A118" s="721" t="str">
        <f t="array" ref="A118">IF(OR(C118=C117,C118=0),"",INDEX(CkDJ[Date],MATCH(C118,CkDJ[JEV Number],0)))</f>
        <v/>
      </c>
      <c r="B118" s="543"/>
      <c r="C118" s="523" t="str">
        <f t="shared" si="9"/>
        <v>20-01-001</v>
      </c>
      <c r="D118" s="523"/>
      <c r="E118" s="523"/>
      <c r="F118" s="523"/>
      <c r="G118" s="280" t="str">
        <f t="array" ref="G118">IF(OR(C118=C117,C118=0),"",INDEX(CasheirCode[Name],MATCH((INDEX(CkDJ[Sort Code],MATCH(C118,CkDJ[JEV Number],0))),CasheirCode[Sort Code])))</f>
        <v/>
      </c>
      <c r="H118" s="519">
        <f t="array" ref="H118">IF(OR($C118=$C117,$C118=0),0,(SUM(IF((CkDJ[JEV Number]=$C118)*(CkDJ[Account Code]=(H$9)),CkDJ[Credit]))))</f>
        <v>0</v>
      </c>
      <c r="I118" s="519">
        <f t="array" ref="I118">IF(OR($C118=$C117,$C118=0),0,(SUM(IF((CkDJ[JEV Number]=$C118)*(CkDJ[Account Code]=(I$9)),CkDJ[Credit]))))</f>
        <v>0</v>
      </c>
      <c r="J118" s="678"/>
      <c r="K118" s="519">
        <f t="array" ref="K118">IF($C118=0,0,(SUM(IF((CkDJ[JEV Number]=$C118)*(CkDJ[Account Code]=(J118)),CkDJ[Credit]))))</f>
        <v>0</v>
      </c>
      <c r="L118" s="519">
        <f t="array" ref="L118">IF(OR($C118=$C117,$C118=0),0,(SUM(IF((CkDJ[JEV Number]=$C118)*(CkDJ[Account Code]=(L$9)),CkDJ[Debit]))))</f>
        <v>0</v>
      </c>
      <c r="M118" s="519">
        <f t="array" ref="M118">IF(OR($C118=$C117,$C118=0),0,(SUM(IF((CkDJ[JEV Number]=$C118)*(CkDJ[Account Code]=(M$9)),CkDJ[Debit]))))</f>
        <v>0</v>
      </c>
      <c r="N118" s="519">
        <f t="array" ref="N118">IF(OR($C118=$C117,$C118=0),0,(SUM(IF((CkDJ[JEV Number]=$C118)*(CkDJ[Account Code]=(N$9)),CkDJ[Debit]))))</f>
        <v>0</v>
      </c>
      <c r="O118" s="519">
        <f t="array" ref="O118">IF(OR($C118=$C117,$C118=0),0,(SUM(IF((CkDJ[JEV Number]=$C118)*(CkDJ[Account Code]=(O$9)),CkDJ[Debit]))))</f>
        <v>0</v>
      </c>
      <c r="P118" s="726"/>
      <c r="Q118" s="519">
        <f t="array" ref="Q118">IF($C118=0,0,(SUM(IF((CkDJ[JEV Number]=$C118)*(CkDJ[Account Code]=(P118)),CkDJ[Debit]))))</f>
        <v>0</v>
      </c>
      <c r="R118" s="762">
        <f t="shared" si="10"/>
        <v>0</v>
      </c>
    </row>
    <row r="119" spans="1:18" x14ac:dyDescent="0.25">
      <c r="A119" s="721" t="str">
        <f t="array" ref="A119">IF(OR(C119=C118,C119=0),"",INDEX(CkDJ[Date],MATCH(C119,CkDJ[JEV Number],0)))</f>
        <v/>
      </c>
      <c r="B119" s="543"/>
      <c r="C119" s="523" t="str">
        <f t="shared" si="9"/>
        <v>20-01-001</v>
      </c>
      <c r="D119" s="523"/>
      <c r="E119" s="523"/>
      <c r="F119" s="523"/>
      <c r="G119" s="280" t="str">
        <f t="array" ref="G119">IF(OR(C119=C118,C119=0),"",INDEX(CasheirCode[Name],MATCH((INDEX(CkDJ[Sort Code],MATCH(C119,CkDJ[JEV Number],0))),CasheirCode[Sort Code])))</f>
        <v/>
      </c>
      <c r="H119" s="519">
        <f t="array" ref="H119">IF(OR($C119=$C118,$C119=0),0,(SUM(IF((CkDJ[JEV Number]=$C119)*(CkDJ[Account Code]=(H$9)),CkDJ[Credit]))))</f>
        <v>0</v>
      </c>
      <c r="I119" s="519">
        <f t="array" ref="I119">IF(OR($C119=$C118,$C119=0),0,(SUM(IF((CkDJ[JEV Number]=$C119)*(CkDJ[Account Code]=(I$9)),CkDJ[Credit]))))</f>
        <v>0</v>
      </c>
      <c r="J119" s="678"/>
      <c r="K119" s="519">
        <f t="array" ref="K119">IF($C119=0,0,(SUM(IF((CkDJ[JEV Number]=$C119)*(CkDJ[Account Code]=(J119)),CkDJ[Credit]))))</f>
        <v>0</v>
      </c>
      <c r="L119" s="519">
        <f t="array" ref="L119">IF(OR($C119=$C118,$C119=0),0,(SUM(IF((CkDJ[JEV Number]=$C119)*(CkDJ[Account Code]=(L$9)),CkDJ[Debit]))))</f>
        <v>0</v>
      </c>
      <c r="M119" s="519">
        <f t="array" ref="M119">IF(OR($C119=$C118,$C119=0),0,(SUM(IF((CkDJ[JEV Number]=$C119)*(CkDJ[Account Code]=(M$9)),CkDJ[Debit]))))</f>
        <v>0</v>
      </c>
      <c r="N119" s="519">
        <f t="array" ref="N119">IF(OR($C119=$C118,$C119=0),0,(SUM(IF((CkDJ[JEV Number]=$C119)*(CkDJ[Account Code]=(N$9)),CkDJ[Debit]))))</f>
        <v>0</v>
      </c>
      <c r="O119" s="519">
        <f t="array" ref="O119">IF(OR($C119=$C118,$C119=0),0,(SUM(IF((CkDJ[JEV Number]=$C119)*(CkDJ[Account Code]=(O$9)),CkDJ[Debit]))))</f>
        <v>0</v>
      </c>
      <c r="P119" s="726"/>
      <c r="Q119" s="519">
        <f t="array" ref="Q119">IF($C119=0,0,(SUM(IF((CkDJ[JEV Number]=$C119)*(CkDJ[Account Code]=(P119)),CkDJ[Debit]))))</f>
        <v>0</v>
      </c>
      <c r="R119" s="762">
        <f t="shared" si="10"/>
        <v>0</v>
      </c>
    </row>
    <row r="120" spans="1:18" x14ac:dyDescent="0.25">
      <c r="A120" s="721" t="str">
        <f t="array" ref="A120">IF(OR(C120=C119,C120=0),"",INDEX(CkDJ[Date],MATCH(C120,CkDJ[JEV Number],0)))</f>
        <v/>
      </c>
      <c r="B120" s="543"/>
      <c r="C120" s="523" t="str">
        <f t="shared" si="9"/>
        <v>20-01-001</v>
      </c>
      <c r="D120" s="523"/>
      <c r="E120" s="523"/>
      <c r="F120" s="523"/>
      <c r="G120" s="280" t="str">
        <f t="array" ref="G120">IF(OR(C120=C119,C120=0),"",INDEX(CasheirCode[Name],MATCH((INDEX(CkDJ[Sort Code],MATCH(C120,CkDJ[JEV Number],0))),CasheirCode[Sort Code])))</f>
        <v/>
      </c>
      <c r="H120" s="519">
        <f t="array" ref="H120">IF(OR($C120=$C119,$C120=0),0,(SUM(IF((CkDJ[JEV Number]=$C120)*(CkDJ[Account Code]=(H$9)),CkDJ[Credit]))))</f>
        <v>0</v>
      </c>
      <c r="I120" s="519">
        <f t="array" ref="I120">IF(OR($C120=$C119,$C120=0),0,(SUM(IF((CkDJ[JEV Number]=$C120)*(CkDJ[Account Code]=(I$9)),CkDJ[Credit]))))</f>
        <v>0</v>
      </c>
      <c r="J120" s="678"/>
      <c r="K120" s="519">
        <f t="array" ref="K120">IF($C120=0,0,(SUM(IF((CkDJ[JEV Number]=$C120)*(CkDJ[Account Code]=(J120)),CkDJ[Credit]))))</f>
        <v>0</v>
      </c>
      <c r="L120" s="519">
        <f t="array" ref="L120">IF(OR($C120=$C119,$C120=0),0,(SUM(IF((CkDJ[JEV Number]=$C120)*(CkDJ[Account Code]=(L$9)),CkDJ[Debit]))))</f>
        <v>0</v>
      </c>
      <c r="M120" s="519">
        <f t="array" ref="M120">IF(OR($C120=$C119,$C120=0),0,(SUM(IF((CkDJ[JEV Number]=$C120)*(CkDJ[Account Code]=(M$9)),CkDJ[Debit]))))</f>
        <v>0</v>
      </c>
      <c r="N120" s="519">
        <f t="array" ref="N120">IF(OR($C120=$C119,$C120=0),0,(SUM(IF((CkDJ[JEV Number]=$C120)*(CkDJ[Account Code]=(N$9)),CkDJ[Debit]))))</f>
        <v>0</v>
      </c>
      <c r="O120" s="519">
        <f t="array" ref="O120">IF(OR($C120=$C119,$C120=0),0,(SUM(IF((CkDJ[JEV Number]=$C120)*(CkDJ[Account Code]=(O$9)),CkDJ[Debit]))))</f>
        <v>0</v>
      </c>
      <c r="P120" s="726"/>
      <c r="Q120" s="519">
        <f t="array" ref="Q120">IF($C120=0,0,(SUM(IF((CkDJ[JEV Number]=$C120)*(CkDJ[Account Code]=(P120)),CkDJ[Debit]))))</f>
        <v>0</v>
      </c>
      <c r="R120" s="762">
        <f t="shared" si="10"/>
        <v>0</v>
      </c>
    </row>
    <row r="121" spans="1:18" x14ac:dyDescent="0.25">
      <c r="A121" s="721" t="str">
        <f t="array" ref="A121">IF(OR(C121=C120,C121=0),"",INDEX(CkDJ[Date],MATCH(C121,CkDJ[JEV Number],0)))</f>
        <v/>
      </c>
      <c r="B121" s="543"/>
      <c r="C121" s="523" t="str">
        <f t="shared" si="9"/>
        <v>20-01-001</v>
      </c>
      <c r="D121" s="523"/>
      <c r="E121" s="523"/>
      <c r="F121" s="523"/>
      <c r="G121" s="280" t="str">
        <f t="array" ref="G121">IF(OR(C121=C120,C121=0),"",INDEX(CasheirCode[Name],MATCH((INDEX(CkDJ[Sort Code],MATCH(C121,CkDJ[JEV Number],0))),CasheirCode[Sort Code])))</f>
        <v/>
      </c>
      <c r="H121" s="519">
        <f t="array" ref="H121">IF(OR($C121=$C120,$C121=0),0,(SUM(IF((CkDJ[JEV Number]=$C121)*(CkDJ[Account Code]=(H$9)),CkDJ[Credit]))))</f>
        <v>0</v>
      </c>
      <c r="I121" s="519">
        <f t="array" ref="I121">IF(OR($C121=$C120,$C121=0),0,(SUM(IF((CkDJ[JEV Number]=$C121)*(CkDJ[Account Code]=(I$9)),CkDJ[Credit]))))</f>
        <v>0</v>
      </c>
      <c r="J121" s="678"/>
      <c r="K121" s="519">
        <f t="array" ref="K121">IF($C121=0,0,(SUM(IF((CkDJ[JEV Number]=$C121)*(CkDJ[Account Code]=(J121)),CkDJ[Credit]))))</f>
        <v>0</v>
      </c>
      <c r="L121" s="519">
        <f t="array" ref="L121">IF(OR($C121=$C120,$C121=0),0,(SUM(IF((CkDJ[JEV Number]=$C121)*(CkDJ[Account Code]=(L$9)),CkDJ[Debit]))))</f>
        <v>0</v>
      </c>
      <c r="M121" s="519">
        <f t="array" ref="M121">IF(OR($C121=$C120,$C121=0),0,(SUM(IF((CkDJ[JEV Number]=$C121)*(CkDJ[Account Code]=(M$9)),CkDJ[Debit]))))</f>
        <v>0</v>
      </c>
      <c r="N121" s="519">
        <f t="array" ref="N121">IF(OR($C121=$C120,$C121=0),0,(SUM(IF((CkDJ[JEV Number]=$C121)*(CkDJ[Account Code]=(N$9)),CkDJ[Debit]))))</f>
        <v>0</v>
      </c>
      <c r="O121" s="519">
        <f t="array" ref="O121">IF(OR($C121=$C120,$C121=0),0,(SUM(IF((CkDJ[JEV Number]=$C121)*(CkDJ[Account Code]=(O$9)),CkDJ[Debit]))))</f>
        <v>0</v>
      </c>
      <c r="P121" s="726"/>
      <c r="Q121" s="519">
        <f t="array" ref="Q121">IF($C121=0,0,(SUM(IF((CkDJ[JEV Number]=$C121)*(CkDJ[Account Code]=(P121)),CkDJ[Debit]))))</f>
        <v>0</v>
      </c>
      <c r="R121" s="762">
        <f t="shared" si="10"/>
        <v>0</v>
      </c>
    </row>
    <row r="122" spans="1:18" x14ac:dyDescent="0.25">
      <c r="A122" s="721" t="str">
        <f t="array" ref="A122">IF(OR(C122=C121,C122=0),"",INDEX(CkDJ[Date],MATCH(C122,CkDJ[JEV Number],0)))</f>
        <v/>
      </c>
      <c r="B122" s="543"/>
      <c r="C122" s="523" t="str">
        <f t="shared" si="9"/>
        <v>20-01-001</v>
      </c>
      <c r="D122" s="523"/>
      <c r="E122" s="523"/>
      <c r="F122" s="523"/>
      <c r="G122" s="280" t="str">
        <f t="array" ref="G122">IF(OR(C122=C121,C122=0),"",INDEX(CasheirCode[Name],MATCH((INDEX(CkDJ[Sort Code],MATCH(C122,CkDJ[JEV Number],0))),CasheirCode[Sort Code])))</f>
        <v/>
      </c>
      <c r="H122" s="519">
        <f t="array" ref="H122">IF(OR($C122=$C121,$C122=0),0,(SUM(IF((CkDJ[JEV Number]=$C122)*(CkDJ[Account Code]=(H$9)),CkDJ[Credit]))))</f>
        <v>0</v>
      </c>
      <c r="I122" s="519">
        <f t="array" ref="I122">IF(OR($C122=$C121,$C122=0),0,(SUM(IF((CkDJ[JEV Number]=$C122)*(CkDJ[Account Code]=(I$9)),CkDJ[Credit]))))</f>
        <v>0</v>
      </c>
      <c r="J122" s="678"/>
      <c r="K122" s="519">
        <f t="array" ref="K122">IF($C122=0,0,(SUM(IF((CkDJ[JEV Number]=$C122)*(CkDJ[Account Code]=(J122)),CkDJ[Credit]))))</f>
        <v>0</v>
      </c>
      <c r="L122" s="519">
        <f t="array" ref="L122">IF(OR($C122=$C121,$C122=0),0,(SUM(IF((CkDJ[JEV Number]=$C122)*(CkDJ[Account Code]=(L$9)),CkDJ[Debit]))))</f>
        <v>0</v>
      </c>
      <c r="M122" s="519">
        <f t="array" ref="M122">IF(OR($C122=$C121,$C122=0),0,(SUM(IF((CkDJ[JEV Number]=$C122)*(CkDJ[Account Code]=(M$9)),CkDJ[Debit]))))</f>
        <v>0</v>
      </c>
      <c r="N122" s="519">
        <f t="array" ref="N122">IF(OR($C122=$C121,$C122=0),0,(SUM(IF((CkDJ[JEV Number]=$C122)*(CkDJ[Account Code]=(N$9)),CkDJ[Debit]))))</f>
        <v>0</v>
      </c>
      <c r="O122" s="519">
        <f t="array" ref="O122">IF(OR($C122=$C121,$C122=0),0,(SUM(IF((CkDJ[JEV Number]=$C122)*(CkDJ[Account Code]=(O$9)),CkDJ[Debit]))))</f>
        <v>0</v>
      </c>
      <c r="P122" s="726"/>
      <c r="Q122" s="519">
        <f t="array" ref="Q122">IF($C122=0,0,(SUM(IF((CkDJ[JEV Number]=$C122)*(CkDJ[Account Code]=(P122)),CkDJ[Debit]))))</f>
        <v>0</v>
      </c>
      <c r="R122" s="762">
        <f t="shared" si="10"/>
        <v>0</v>
      </c>
    </row>
    <row r="123" spans="1:18" x14ac:dyDescent="0.25">
      <c r="A123" s="721" t="str">
        <f t="array" ref="A123">IF(OR(C123=C122,C123=0),"",INDEX(CkDJ[Date],MATCH(C123,CkDJ[JEV Number],0)))</f>
        <v/>
      </c>
      <c r="B123" s="543"/>
      <c r="C123" s="523" t="str">
        <f t="shared" si="9"/>
        <v>20-01-001</v>
      </c>
      <c r="D123" s="523"/>
      <c r="E123" s="523"/>
      <c r="F123" s="523"/>
      <c r="G123" s="280" t="str">
        <f t="array" ref="G123">IF(OR(C123=C122,C123=0),"",INDEX(CasheirCode[Name],MATCH((INDEX(CkDJ[Sort Code],MATCH(C123,CkDJ[JEV Number],0))),CasheirCode[Sort Code])))</f>
        <v/>
      </c>
      <c r="H123" s="519">
        <f t="array" ref="H123">IF(OR($C123=$C122,$C123=0),0,(SUM(IF((CkDJ[JEV Number]=$C123)*(CkDJ[Account Code]=(H$9)),CkDJ[Credit]))))</f>
        <v>0</v>
      </c>
      <c r="I123" s="519">
        <f t="array" ref="I123">IF(OR($C123=$C122,$C123=0),0,(SUM(IF((CkDJ[JEV Number]=$C123)*(CkDJ[Account Code]=(I$9)),CkDJ[Credit]))))</f>
        <v>0</v>
      </c>
      <c r="J123" s="678"/>
      <c r="K123" s="519">
        <f t="array" ref="K123">IF($C123=0,0,(SUM(IF((CkDJ[JEV Number]=$C123)*(CkDJ[Account Code]=(J123)),CkDJ[Credit]))))</f>
        <v>0</v>
      </c>
      <c r="L123" s="519">
        <f t="array" ref="L123">IF(OR($C123=$C122,$C123=0),0,(SUM(IF((CkDJ[JEV Number]=$C123)*(CkDJ[Account Code]=(L$9)),CkDJ[Debit]))))</f>
        <v>0</v>
      </c>
      <c r="M123" s="519">
        <f t="array" ref="M123">IF(OR($C123=$C122,$C123=0),0,(SUM(IF((CkDJ[JEV Number]=$C123)*(CkDJ[Account Code]=(M$9)),CkDJ[Debit]))))</f>
        <v>0</v>
      </c>
      <c r="N123" s="519">
        <f t="array" ref="N123">IF(OR($C123=$C122,$C123=0),0,(SUM(IF((CkDJ[JEV Number]=$C123)*(CkDJ[Account Code]=(N$9)),CkDJ[Debit]))))</f>
        <v>0</v>
      </c>
      <c r="O123" s="519">
        <f t="array" ref="O123">IF(OR($C123=$C122,$C123=0),0,(SUM(IF((CkDJ[JEV Number]=$C123)*(CkDJ[Account Code]=(O$9)),CkDJ[Debit]))))</f>
        <v>0</v>
      </c>
      <c r="P123" s="726"/>
      <c r="Q123" s="519">
        <f t="array" ref="Q123">IF($C123=0,0,(SUM(IF((CkDJ[JEV Number]=$C123)*(CkDJ[Account Code]=(P123)),CkDJ[Debit]))))</f>
        <v>0</v>
      </c>
      <c r="R123" s="762">
        <f t="shared" si="10"/>
        <v>0</v>
      </c>
    </row>
    <row r="124" spans="1:18" x14ac:dyDescent="0.25">
      <c r="A124" s="673" t="str">
        <f t="array" ref="A124">IF(OR(C124=C123,C124=0),"",INDEX(CkDJ[Date],MATCH(C124,CkDJ[JEV Number],0)))</f>
        <v/>
      </c>
      <c r="B124" s="674"/>
      <c r="C124" s="523" t="str">
        <f t="shared" si="9"/>
        <v>20-01-001</v>
      </c>
      <c r="D124" s="523"/>
      <c r="E124" s="523"/>
      <c r="F124" s="523"/>
      <c r="G124" s="280" t="str">
        <f t="array" ref="G124">IF(OR(C124=C123,C124=0),"",INDEX(CasheirCode[Name],MATCH((INDEX(CkDJ[Sort Code],MATCH(C124,CkDJ[JEV Number],0))),CasheirCode[Sort Code])))</f>
        <v/>
      </c>
      <c r="H124" s="519">
        <f t="array" ref="H124">IF(OR($C124=$C123,$C124=0),0,(SUM(IF((CkDJ[JEV Number]=$C124)*(CkDJ[Account Code]=(H$9)),CkDJ[Credit]))))</f>
        <v>0</v>
      </c>
      <c r="I124" s="519">
        <f t="array" ref="I124">IF(OR($C124=$C123,$C124=0),0,(SUM(IF((CkDJ[JEV Number]=$C124)*(CkDJ[Account Code]=(I$9)),CkDJ[Credit]))))</f>
        <v>0</v>
      </c>
      <c r="J124" s="678"/>
      <c r="K124" s="519">
        <f t="array" ref="K124">IF($C124=0,0,(SUM(IF((CkDJ[JEV Number]=$C124)*(CkDJ[Account Code]=(J124)),CkDJ[Credit]))))</f>
        <v>0</v>
      </c>
      <c r="L124" s="519">
        <f t="array" ref="L124">IF(OR($C124=$C123,$C124=0),0,(SUM(IF((CkDJ[JEV Number]=$C124)*(CkDJ[Account Code]=(L$9)),CkDJ[Debit]))))</f>
        <v>0</v>
      </c>
      <c r="M124" s="519">
        <f t="array" ref="M124">IF(OR($C124=$C123,$C124=0),0,(SUM(IF((CkDJ[JEV Number]=$C124)*(CkDJ[Account Code]=(M$9)),CkDJ[Debit]))))</f>
        <v>0</v>
      </c>
      <c r="N124" s="519">
        <f t="array" ref="N124">IF(OR($C124=$C123,$C124=0),0,(SUM(IF((CkDJ[JEV Number]=$C124)*(CkDJ[Account Code]=(N$9)),CkDJ[Debit]))))</f>
        <v>0</v>
      </c>
      <c r="O124" s="519">
        <f t="array" ref="O124">IF(OR($C124=$C123,$C124=0),0,(SUM(IF((CkDJ[JEV Number]=$C124)*(CkDJ[Account Code]=(O$9)),CkDJ[Debit]))))</f>
        <v>0</v>
      </c>
      <c r="P124" s="726"/>
      <c r="Q124" s="519">
        <f t="array" ref="Q124">IF($C124=0,0,(SUM(IF((CkDJ[JEV Number]=$C124)*(CkDJ[Account Code]=(P124)),CkDJ[Debit]))))</f>
        <v>0</v>
      </c>
      <c r="R124" s="762">
        <f t="shared" si="10"/>
        <v>0</v>
      </c>
    </row>
    <row r="125" spans="1:18" x14ac:dyDescent="0.25">
      <c r="A125" s="721" t="str">
        <f t="array" ref="A125">IF(OR(C125=C124,C125=0),"",INDEX(CkDJ[Date],MATCH(C125,CkDJ[JEV Number],0)))</f>
        <v/>
      </c>
      <c r="B125" s="543"/>
      <c r="C125" s="523" t="str">
        <f t="shared" si="9"/>
        <v>20-01-001</v>
      </c>
      <c r="D125" s="523"/>
      <c r="E125" s="523"/>
      <c r="F125" s="523"/>
      <c r="G125" s="280" t="str">
        <f t="array" ref="G125">IF(OR(C125=C124,C125=0),"",INDEX(CasheirCode[Name],MATCH((INDEX(CkDJ[Sort Code],MATCH(C125,CkDJ[JEV Number],0))),CasheirCode[Sort Code])))</f>
        <v/>
      </c>
      <c r="H125" s="519">
        <f t="array" ref="H125">IF(OR($C125=$C124,$C125=0),0,(SUM(IF((CkDJ[JEV Number]=$C125)*(CkDJ[Account Code]=(H$9)),CkDJ[Credit]))))</f>
        <v>0</v>
      </c>
      <c r="I125" s="519">
        <f t="array" ref="I125">IF(OR($C125=$C124,$C125=0),0,(SUM(IF((CkDJ[JEV Number]=$C125)*(CkDJ[Account Code]=(I$9)),CkDJ[Credit]))))</f>
        <v>0</v>
      </c>
      <c r="J125" s="678"/>
      <c r="K125" s="519">
        <f t="array" ref="K125">IF($C125=0,0,(SUM(IF((CkDJ[JEV Number]=$C125)*(CkDJ[Account Code]=(J125)),CkDJ[Credit]))))</f>
        <v>0</v>
      </c>
      <c r="L125" s="519">
        <f t="array" ref="L125">IF(OR($C125=$C124,$C125=0),0,(SUM(IF((CkDJ[JEV Number]=$C125)*(CkDJ[Account Code]=(L$9)),CkDJ[Debit]))))</f>
        <v>0</v>
      </c>
      <c r="M125" s="519">
        <f t="array" ref="M125">IF(OR($C125=$C124,$C125=0),0,(SUM(IF((CkDJ[JEV Number]=$C125)*(CkDJ[Account Code]=(M$9)),CkDJ[Debit]))))</f>
        <v>0</v>
      </c>
      <c r="N125" s="519">
        <f t="array" ref="N125">IF(OR($C125=$C124,$C125=0),0,(SUM(IF((CkDJ[JEV Number]=$C125)*(CkDJ[Account Code]=(N$9)),CkDJ[Debit]))))</f>
        <v>0</v>
      </c>
      <c r="O125" s="519">
        <f t="array" ref="O125">IF(OR($C125=$C124,$C125=0),0,(SUM(IF((CkDJ[JEV Number]=$C125)*(CkDJ[Account Code]=(O$9)),CkDJ[Debit]))))</f>
        <v>0</v>
      </c>
      <c r="P125" s="726"/>
      <c r="Q125" s="519">
        <f t="array" ref="Q125">IF($C125=0,0,(SUM(IF((CkDJ[JEV Number]=$C125)*(CkDJ[Account Code]=(P125)),CkDJ[Debit]))))</f>
        <v>0</v>
      </c>
      <c r="R125" s="762">
        <f t="shared" si="10"/>
        <v>0</v>
      </c>
    </row>
    <row r="126" spans="1:18" x14ac:dyDescent="0.25">
      <c r="A126" s="721" t="str">
        <f t="array" ref="A126">IF(OR(C126=C125,C126=0),"",INDEX(CkDJ[Date],MATCH(C126,CkDJ[JEV Number],0)))</f>
        <v/>
      </c>
      <c r="B126" s="543"/>
      <c r="C126" s="523" t="str">
        <f t="shared" si="9"/>
        <v>20-01-001</v>
      </c>
      <c r="D126" s="523"/>
      <c r="E126" s="523"/>
      <c r="F126" s="523"/>
      <c r="G126" s="280" t="str">
        <f t="array" ref="G126">IF(OR(C126=C125,C126=0),"",INDEX(CasheirCode[Name],MATCH((INDEX(CkDJ[Sort Code],MATCH(C126,CkDJ[JEV Number],0))),CasheirCode[Sort Code])))</f>
        <v/>
      </c>
      <c r="H126" s="519">
        <f t="array" ref="H126">IF(OR($C126=$C125,$C126=0),0,(SUM(IF((CkDJ[JEV Number]=$C126)*(CkDJ[Account Code]=(H$9)),CkDJ[Credit]))))</f>
        <v>0</v>
      </c>
      <c r="I126" s="519">
        <f t="array" ref="I126">IF(OR($C126=$C125,$C126=0),0,(SUM(IF((CkDJ[JEV Number]=$C126)*(CkDJ[Account Code]=(I$9)),CkDJ[Credit]))))</f>
        <v>0</v>
      </c>
      <c r="J126" s="678"/>
      <c r="K126" s="519">
        <f t="array" ref="K126">IF($C126=0,0,(SUM(IF((CkDJ[JEV Number]=$C126)*(CkDJ[Account Code]=(J126)),CkDJ[Credit]))))</f>
        <v>0</v>
      </c>
      <c r="L126" s="519">
        <f t="array" ref="L126">IF(OR($C126=$C125,$C126=0),0,(SUM(IF((CkDJ[JEV Number]=$C126)*(CkDJ[Account Code]=(L$9)),CkDJ[Debit]))))</f>
        <v>0</v>
      </c>
      <c r="M126" s="519">
        <f t="array" ref="M126">IF(OR($C126=$C125,$C126=0),0,(SUM(IF((CkDJ[JEV Number]=$C126)*(CkDJ[Account Code]=(M$9)),CkDJ[Debit]))))</f>
        <v>0</v>
      </c>
      <c r="N126" s="519">
        <f t="array" ref="N126">IF(OR($C126=$C125,$C126=0),0,(SUM(IF((CkDJ[JEV Number]=$C126)*(CkDJ[Account Code]=(N$9)),CkDJ[Debit]))))</f>
        <v>0</v>
      </c>
      <c r="O126" s="519">
        <f t="array" ref="O126">IF(OR($C126=$C125,$C126=0),0,(SUM(IF((CkDJ[JEV Number]=$C126)*(CkDJ[Account Code]=(O$9)),CkDJ[Debit]))))</f>
        <v>0</v>
      </c>
      <c r="P126" s="726"/>
      <c r="Q126" s="519">
        <f t="array" ref="Q126">IF($C126=0,0,(SUM(IF((CkDJ[JEV Number]=$C126)*(CkDJ[Account Code]=(P126)),CkDJ[Debit]))))</f>
        <v>0</v>
      </c>
      <c r="R126" s="762">
        <f t="shared" si="10"/>
        <v>0</v>
      </c>
    </row>
    <row r="127" spans="1:18" x14ac:dyDescent="0.25">
      <c r="A127" s="721" t="str">
        <f t="array" ref="A127">IF(OR(C127=C126,C127=0),"",INDEX(CkDJ[Date],MATCH(C127,CkDJ[JEV Number],0)))</f>
        <v/>
      </c>
      <c r="B127" s="543"/>
      <c r="C127" s="523" t="str">
        <f t="shared" si="9"/>
        <v>20-01-001</v>
      </c>
      <c r="D127" s="523"/>
      <c r="E127" s="523"/>
      <c r="F127" s="523"/>
      <c r="G127" s="280" t="str">
        <f t="array" ref="G127">IF(OR(C127=C126,C127=0),"",INDEX(CasheirCode[Name],MATCH((INDEX(CkDJ[Sort Code],MATCH(C127,CkDJ[JEV Number],0))),CasheirCode[Sort Code])))</f>
        <v/>
      </c>
      <c r="H127" s="519">
        <f t="array" ref="H127">IF(OR($C127=$C126,$C127=0),0,(SUM(IF((CkDJ[JEV Number]=$C127)*(CkDJ[Account Code]=(H$9)),CkDJ[Credit]))))</f>
        <v>0</v>
      </c>
      <c r="I127" s="519">
        <f t="array" ref="I127">IF(OR($C127=$C126,$C127=0),0,(SUM(IF((CkDJ[JEV Number]=$C127)*(CkDJ[Account Code]=(I$9)),CkDJ[Credit]))))</f>
        <v>0</v>
      </c>
      <c r="J127" s="678"/>
      <c r="K127" s="519">
        <f t="array" ref="K127">IF($C127=0,0,(SUM(IF((CkDJ[JEV Number]=$C127)*(CkDJ[Account Code]=(J127)),CkDJ[Credit]))))</f>
        <v>0</v>
      </c>
      <c r="L127" s="519">
        <f t="array" ref="L127">IF(OR($C127=$C126,$C127=0),0,(SUM(IF((CkDJ[JEV Number]=$C127)*(CkDJ[Account Code]=(L$9)),CkDJ[Debit]))))</f>
        <v>0</v>
      </c>
      <c r="M127" s="519">
        <f t="array" ref="M127">IF(OR($C127=$C126,$C127=0),0,(SUM(IF((CkDJ[JEV Number]=$C127)*(CkDJ[Account Code]=(M$9)),CkDJ[Debit]))))</f>
        <v>0</v>
      </c>
      <c r="N127" s="519">
        <f t="array" ref="N127">IF(OR($C127=$C126,$C127=0),0,(SUM(IF((CkDJ[JEV Number]=$C127)*(CkDJ[Account Code]=(N$9)),CkDJ[Debit]))))</f>
        <v>0</v>
      </c>
      <c r="O127" s="519">
        <f t="array" ref="O127">IF(OR($C127=$C126,$C127=0),0,(SUM(IF((CkDJ[JEV Number]=$C127)*(CkDJ[Account Code]=(O$9)),CkDJ[Debit]))))</f>
        <v>0</v>
      </c>
      <c r="P127" s="726"/>
      <c r="Q127" s="519">
        <f t="array" ref="Q127">IF($C127=0,0,(SUM(IF((CkDJ[JEV Number]=$C127)*(CkDJ[Account Code]=(P127)),CkDJ[Debit]))))</f>
        <v>0</v>
      </c>
      <c r="R127" s="762">
        <f t="shared" si="10"/>
        <v>0</v>
      </c>
    </row>
    <row r="128" spans="1:18" x14ac:dyDescent="0.25">
      <c r="A128" s="721" t="str">
        <f t="array" ref="A128">IF(OR(C128=C127,C128=0),"",INDEX(CkDJ[Date],MATCH(C128,CkDJ[JEV Number],0)))</f>
        <v/>
      </c>
      <c r="B128" s="543"/>
      <c r="C128" s="523" t="str">
        <f t="shared" si="9"/>
        <v>20-01-001</v>
      </c>
      <c r="D128" s="523"/>
      <c r="E128" s="523"/>
      <c r="F128" s="523"/>
      <c r="G128" s="280" t="str">
        <f t="array" ref="G128">IF(OR(C128=C127,C128=0),"",INDEX(CasheirCode[Name],MATCH((INDEX(CkDJ[Sort Code],MATCH(C128,CkDJ[JEV Number],0))),CasheirCode[Sort Code])))</f>
        <v/>
      </c>
      <c r="H128" s="519">
        <f t="array" ref="H128">IF(OR($C128=$C127,$C128=0),0,(SUM(IF((CkDJ[JEV Number]=$C128)*(CkDJ[Account Code]=(H$9)),CkDJ[Credit]))))</f>
        <v>0</v>
      </c>
      <c r="I128" s="519">
        <f t="array" ref="I128">IF(OR($C128=$C127,$C128=0),0,(SUM(IF((CkDJ[JEV Number]=$C128)*(CkDJ[Account Code]=(I$9)),CkDJ[Credit]))))</f>
        <v>0</v>
      </c>
      <c r="J128" s="678"/>
      <c r="K128" s="519">
        <f t="array" ref="K128">IF($C128=0,0,(SUM(IF((CkDJ[JEV Number]=$C128)*(CkDJ[Account Code]=(J128)),CkDJ[Credit]))))</f>
        <v>0</v>
      </c>
      <c r="L128" s="519">
        <f t="array" ref="L128">IF(OR($C128=$C127,$C128=0),0,(SUM(IF((CkDJ[JEV Number]=$C128)*(CkDJ[Account Code]=(L$9)),CkDJ[Debit]))))</f>
        <v>0</v>
      </c>
      <c r="M128" s="519">
        <f t="array" ref="M128">IF(OR($C128=$C127,$C128=0),0,(SUM(IF((CkDJ[JEV Number]=$C128)*(CkDJ[Account Code]=(M$9)),CkDJ[Debit]))))</f>
        <v>0</v>
      </c>
      <c r="N128" s="519">
        <f t="array" ref="N128">IF(OR($C128=$C127,$C128=0),0,(SUM(IF((CkDJ[JEV Number]=$C128)*(CkDJ[Account Code]=(N$9)),CkDJ[Debit]))))</f>
        <v>0</v>
      </c>
      <c r="O128" s="519">
        <f t="array" ref="O128">IF(OR($C128=$C127,$C128=0),0,(SUM(IF((CkDJ[JEV Number]=$C128)*(CkDJ[Account Code]=(O$9)),CkDJ[Debit]))))</f>
        <v>0</v>
      </c>
      <c r="P128" s="726"/>
      <c r="Q128" s="519">
        <f t="array" ref="Q128">IF($C128=0,0,(SUM(IF((CkDJ[JEV Number]=$C128)*(CkDJ[Account Code]=(P128)),CkDJ[Debit]))))</f>
        <v>0</v>
      </c>
      <c r="R128" s="762">
        <f t="shared" si="10"/>
        <v>0</v>
      </c>
    </row>
    <row r="129" spans="1:18" x14ac:dyDescent="0.25">
      <c r="A129" s="721" t="str">
        <f t="array" ref="A129">IF(OR(C129=C128,C129=0),"",INDEX(CkDJ[Date],MATCH(C129,CkDJ[JEV Number],0)))</f>
        <v/>
      </c>
      <c r="B129" s="543"/>
      <c r="C129" s="523" t="str">
        <f t="shared" si="9"/>
        <v>20-01-001</v>
      </c>
      <c r="D129" s="523"/>
      <c r="E129" s="523"/>
      <c r="F129" s="523"/>
      <c r="G129" s="280" t="str">
        <f t="array" ref="G129">IF(OR(C129=C128,C129=0),"",INDEX(CasheirCode[Name],MATCH((INDEX(CkDJ[Sort Code],MATCH(C129,CkDJ[JEV Number],0))),CasheirCode[Sort Code])))</f>
        <v/>
      </c>
      <c r="H129" s="519">
        <f t="array" ref="H129">IF(OR($C129=$C128,$C129=0),0,(SUM(IF((CkDJ[JEV Number]=$C129)*(CkDJ[Account Code]=(H$9)),CkDJ[Credit]))))</f>
        <v>0</v>
      </c>
      <c r="I129" s="519">
        <f t="array" ref="I129">IF(OR($C129=$C128,$C129=0),0,(SUM(IF((CkDJ[JEV Number]=$C129)*(CkDJ[Account Code]=(I$9)),CkDJ[Credit]))))</f>
        <v>0</v>
      </c>
      <c r="J129" s="678"/>
      <c r="K129" s="519">
        <f t="array" ref="K129">IF($C129=0,0,(SUM(IF((CkDJ[JEV Number]=$C129)*(CkDJ[Account Code]=(J129)),CkDJ[Credit]))))</f>
        <v>0</v>
      </c>
      <c r="L129" s="519">
        <f t="array" ref="L129">IF(OR($C129=$C128,$C129=0),0,(SUM(IF((CkDJ[JEV Number]=$C129)*(CkDJ[Account Code]=(L$9)),CkDJ[Debit]))))</f>
        <v>0</v>
      </c>
      <c r="M129" s="519">
        <f t="array" ref="M129">IF(OR($C129=$C128,$C129=0),0,(SUM(IF((CkDJ[JEV Number]=$C129)*(CkDJ[Account Code]=(M$9)),CkDJ[Debit]))))</f>
        <v>0</v>
      </c>
      <c r="N129" s="519">
        <f t="array" ref="N129">IF(OR($C129=$C128,$C129=0),0,(SUM(IF((CkDJ[JEV Number]=$C129)*(CkDJ[Account Code]=(N$9)),CkDJ[Debit]))))</f>
        <v>0</v>
      </c>
      <c r="O129" s="519">
        <f t="array" ref="O129">IF(OR($C129=$C128,$C129=0),0,(SUM(IF((CkDJ[JEV Number]=$C129)*(CkDJ[Account Code]=(O$9)),CkDJ[Debit]))))</f>
        <v>0</v>
      </c>
      <c r="P129" s="726"/>
      <c r="Q129" s="519">
        <f t="array" ref="Q129">IF($C129=0,0,(SUM(IF((CkDJ[JEV Number]=$C129)*(CkDJ[Account Code]=(P129)),CkDJ[Debit]))))</f>
        <v>0</v>
      </c>
      <c r="R129" s="762">
        <f t="shared" si="10"/>
        <v>0</v>
      </c>
    </row>
    <row r="130" spans="1:18" x14ac:dyDescent="0.25">
      <c r="A130" s="775" t="str">
        <f t="array" ref="A130">IF(OR(C130=C129,C130=0),"",INDEX(CkDJ[Date],MATCH(C130,CkDJ[JEV Number],0)))</f>
        <v/>
      </c>
      <c r="B130" s="674"/>
      <c r="C130" s="675" t="str">
        <f t="shared" ref="C130:C149" si="11">IF(B130=0,C129,B130)</f>
        <v>20-01-001</v>
      </c>
      <c r="D130" s="675"/>
      <c r="E130" s="675"/>
      <c r="F130" s="675"/>
      <c r="G130" s="676" t="str">
        <f t="array" ref="G130">IF(OR(C130=C129,C130=0),"",INDEX(CasheirCode[Name],MATCH((INDEX(CkDJ[Sort Code],MATCH(C130,CkDJ[JEV Number],0))),CasheirCode[Sort Code])))</f>
        <v/>
      </c>
      <c r="H130" s="677">
        <f t="array" ref="H130">IF(OR($C130=$C129,$C130=0),0,(SUM(IF((CkDJ[JEV Number]=$C130)*(CkDJ[Account Code]=(H$9)),CkDJ[Credit]))))</f>
        <v>0</v>
      </c>
      <c r="I130" s="677">
        <f t="array" ref="I130">IF(OR($C130=$C129,$C130=0),0,(SUM(IF((CkDJ[JEV Number]=$C130)*(CkDJ[Account Code]=(I$9)),CkDJ[Credit]))))</f>
        <v>0</v>
      </c>
      <c r="J130" s="678"/>
      <c r="K130" s="677">
        <f t="array" ref="K130">IF($C130=0,0,(SUM(IF((CkDJ[JEV Number]=$C130)*(CkDJ[Account Code]=(J130)),CkDJ[Credit]))))</f>
        <v>0</v>
      </c>
      <c r="L130" s="677">
        <f t="array" ref="L130">IF(OR($C130=$C129,$C130=0),0,(SUM(IF((CkDJ[JEV Number]=$C130)*(CkDJ[Account Code]=(L$9)),CkDJ[Debit]))))</f>
        <v>0</v>
      </c>
      <c r="M130" s="677">
        <f t="array" ref="M130">IF(OR($C130=$C129,$C130=0),0,(SUM(IF((CkDJ[JEV Number]=$C130)*(CkDJ[Account Code]=(M$9)),CkDJ[Debit]))))</f>
        <v>0</v>
      </c>
      <c r="N130" s="677">
        <f t="array" ref="N130">IF(OR($C130=$C129,$C130=0),0,(SUM(IF((CkDJ[JEV Number]=$C130)*(CkDJ[Account Code]=(N$9)),CkDJ[Debit]))))</f>
        <v>0</v>
      </c>
      <c r="O130" s="677">
        <f t="array" ref="O130">IF(OR($C130=$C129,$C130=0),0,(SUM(IF((CkDJ[JEV Number]=$C130)*(CkDJ[Account Code]=(O$9)),CkDJ[Debit]))))</f>
        <v>0</v>
      </c>
      <c r="P130" s="726"/>
      <c r="Q130" s="692">
        <f t="array" ref="Q130">IF($C130=0,0,(SUM(IF((CkDJ[JEV Number]=$C130)*(CkDJ[Account Code]=(P130)),CkDJ[Debit]))))</f>
        <v>0</v>
      </c>
      <c r="R130" s="679">
        <f t="shared" ref="R130:R149" si="12">R129+(SUM(L130:O130)+Q130)-(SUM(H130:I130)+K130)</f>
        <v>0</v>
      </c>
    </row>
    <row r="131" spans="1:18" x14ac:dyDescent="0.25">
      <c r="A131" s="776" t="str">
        <f t="array" ref="A131">IF(OR(C131=C130,C131=0),"",INDEX(CkDJ[Date],MATCH(C131,CkDJ[JEV Number],0)))</f>
        <v/>
      </c>
      <c r="B131" s="674"/>
      <c r="C131" s="675" t="str">
        <f t="shared" si="11"/>
        <v>20-01-001</v>
      </c>
      <c r="D131" s="675"/>
      <c r="E131" s="675"/>
      <c r="F131" s="675"/>
      <c r="G131" s="676" t="str">
        <f t="array" ref="G131">IF(OR(C131=C130,C131=0),"",INDEX(CasheirCode[Name],MATCH((INDEX(CkDJ[Sort Code],MATCH(C131,CkDJ[JEV Number],0))),CasheirCode[Sort Code])))</f>
        <v/>
      </c>
      <c r="H131" s="677">
        <f t="array" ref="H131">IF(OR($C131=$C130,$C131=0),0,(SUM(IF((CkDJ[JEV Number]=$C131)*(CkDJ[Account Code]=(H$9)),CkDJ[Credit]))))</f>
        <v>0</v>
      </c>
      <c r="I131" s="677">
        <f t="array" ref="I131">IF(OR($C131=$C130,$C131=0),0,(SUM(IF((CkDJ[JEV Number]=$C131)*(CkDJ[Account Code]=(I$9)),CkDJ[Credit]))))</f>
        <v>0</v>
      </c>
      <c r="J131" s="678"/>
      <c r="K131" s="677">
        <f t="array" ref="K131">IF($C131=0,0,(SUM(IF((CkDJ[JEV Number]=$C131)*(CkDJ[Account Code]=(J131)),CkDJ[Credit]))))</f>
        <v>0</v>
      </c>
      <c r="L131" s="677">
        <f t="array" ref="L131">IF(OR($C131=$C130,$C131=0),0,(SUM(IF((CkDJ[JEV Number]=$C131)*(CkDJ[Account Code]=(L$9)),CkDJ[Debit]))))</f>
        <v>0</v>
      </c>
      <c r="M131" s="677">
        <f t="array" ref="M131">IF(OR($C131=$C130,$C131=0),0,(SUM(IF((CkDJ[JEV Number]=$C131)*(CkDJ[Account Code]=(M$9)),CkDJ[Debit]))))</f>
        <v>0</v>
      </c>
      <c r="N131" s="677">
        <f t="array" ref="N131">IF(OR($C131=$C130,$C131=0),0,(SUM(IF((CkDJ[JEV Number]=$C131)*(CkDJ[Account Code]=(N$9)),CkDJ[Debit]))))</f>
        <v>0</v>
      </c>
      <c r="O131" s="677">
        <f t="array" ref="O131">IF(OR($C131=$C130,$C131=0),0,(SUM(IF((CkDJ[JEV Number]=$C131)*(CkDJ[Account Code]=(O$9)),CkDJ[Debit]))))</f>
        <v>0</v>
      </c>
      <c r="P131" s="726"/>
      <c r="Q131" s="692">
        <f t="array" ref="Q131">IF($C131=0,0,(SUM(IF((CkDJ[JEV Number]=$C131)*(CkDJ[Account Code]=(P131)),CkDJ[Debit]))))</f>
        <v>0</v>
      </c>
      <c r="R131" s="679">
        <f t="shared" si="12"/>
        <v>0</v>
      </c>
    </row>
    <row r="132" spans="1:18" x14ac:dyDescent="0.25">
      <c r="A132" s="776" t="str">
        <f t="array" ref="A132">IF(OR(C132=C131,C132=0),"",INDEX(CkDJ[Date],MATCH(C132,CkDJ[JEV Number],0)))</f>
        <v/>
      </c>
      <c r="B132" s="674"/>
      <c r="C132" s="675" t="str">
        <f t="shared" si="11"/>
        <v>20-01-001</v>
      </c>
      <c r="D132" s="675"/>
      <c r="E132" s="675"/>
      <c r="F132" s="675"/>
      <c r="G132" s="676" t="str">
        <f t="array" ref="G132">IF(OR(C132=C131,C132=0),"",INDEX(CasheirCode[Name],MATCH((INDEX(CkDJ[Sort Code],MATCH(C132,CkDJ[JEV Number],0))),CasheirCode[Sort Code])))</f>
        <v/>
      </c>
      <c r="H132" s="677">
        <f t="array" ref="H132">IF(OR($C132=$C131,$C132=0),0,(SUM(IF((CkDJ[JEV Number]=$C132)*(CkDJ[Account Code]=(H$9)),CkDJ[Credit]))))</f>
        <v>0</v>
      </c>
      <c r="I132" s="677">
        <f t="array" ref="I132">IF(OR($C132=$C131,$C132=0),0,(SUM(IF((CkDJ[JEV Number]=$C132)*(CkDJ[Account Code]=(I$9)),CkDJ[Credit]))))</f>
        <v>0</v>
      </c>
      <c r="J132" s="678"/>
      <c r="K132" s="677">
        <f t="array" ref="K132">IF($C132=0,0,(SUM(IF((CkDJ[JEV Number]=$C132)*(CkDJ[Account Code]=(J132)),CkDJ[Credit]))))</f>
        <v>0</v>
      </c>
      <c r="L132" s="677">
        <f t="array" ref="L132">IF(OR($C132=$C131,$C132=0),0,(SUM(IF((CkDJ[JEV Number]=$C132)*(CkDJ[Account Code]=(L$9)),CkDJ[Debit]))))</f>
        <v>0</v>
      </c>
      <c r="M132" s="677">
        <f t="array" ref="M132">IF(OR($C132=$C131,$C132=0),0,(SUM(IF((CkDJ[JEV Number]=$C132)*(CkDJ[Account Code]=(M$9)),CkDJ[Debit]))))</f>
        <v>0</v>
      </c>
      <c r="N132" s="677">
        <f t="array" ref="N132">IF(OR($C132=$C131,$C132=0),0,(SUM(IF((CkDJ[JEV Number]=$C132)*(CkDJ[Account Code]=(N$9)),CkDJ[Debit]))))</f>
        <v>0</v>
      </c>
      <c r="O132" s="677">
        <f t="array" ref="O132">IF(OR($C132=$C131,$C132=0),0,(SUM(IF((CkDJ[JEV Number]=$C132)*(CkDJ[Account Code]=(O$9)),CkDJ[Debit]))))</f>
        <v>0</v>
      </c>
      <c r="P132" s="726"/>
      <c r="Q132" s="692">
        <f t="array" ref="Q132">IF($C132=0,0,(SUM(IF((CkDJ[JEV Number]=$C132)*(CkDJ[Account Code]=(P132)),CkDJ[Debit]))))</f>
        <v>0</v>
      </c>
      <c r="R132" s="679">
        <f t="shared" si="12"/>
        <v>0</v>
      </c>
    </row>
    <row r="133" spans="1:18" x14ac:dyDescent="0.25">
      <c r="A133" s="776" t="str">
        <f t="array" ref="A133">IF(OR(C133=C132,C133=0),"",INDEX(CkDJ[Date],MATCH(C133,CkDJ[JEV Number],0)))</f>
        <v/>
      </c>
      <c r="B133" s="674"/>
      <c r="C133" s="675" t="str">
        <f t="shared" si="11"/>
        <v>20-01-001</v>
      </c>
      <c r="D133" s="675"/>
      <c r="E133" s="675"/>
      <c r="F133" s="675"/>
      <c r="G133" s="676" t="str">
        <f t="array" ref="G133">IF(OR(C133=C132,C133=0),"",INDEX(CasheirCode[Name],MATCH((INDEX(CkDJ[Sort Code],MATCH(C133,CkDJ[JEV Number],0))),CasheirCode[Sort Code])))</f>
        <v/>
      </c>
      <c r="H133" s="677">
        <f t="array" ref="H133">IF(OR($C133=$C132,$C133=0),0,(SUM(IF((CkDJ[JEV Number]=$C133)*(CkDJ[Account Code]=(H$9)),CkDJ[Credit]))))</f>
        <v>0</v>
      </c>
      <c r="I133" s="677">
        <f t="array" ref="I133">IF(OR($C133=$C132,$C133=0),0,(SUM(IF((CkDJ[JEV Number]=$C133)*(CkDJ[Account Code]=(I$9)),CkDJ[Credit]))))</f>
        <v>0</v>
      </c>
      <c r="J133" s="678"/>
      <c r="K133" s="677">
        <f t="array" ref="K133">IF($C133=0,0,(SUM(IF((CkDJ[JEV Number]=$C133)*(CkDJ[Account Code]=(J133)),CkDJ[Credit]))))</f>
        <v>0</v>
      </c>
      <c r="L133" s="677">
        <f t="array" ref="L133">IF(OR($C133=$C132,$C133=0),0,(SUM(IF((CkDJ[JEV Number]=$C133)*(CkDJ[Account Code]=(L$9)),CkDJ[Debit]))))</f>
        <v>0</v>
      </c>
      <c r="M133" s="677">
        <f t="array" ref="M133">IF(OR($C133=$C132,$C133=0),0,(SUM(IF((CkDJ[JEV Number]=$C133)*(CkDJ[Account Code]=(M$9)),CkDJ[Debit]))))</f>
        <v>0</v>
      </c>
      <c r="N133" s="677">
        <f t="array" ref="N133">IF(OR($C133=$C132,$C133=0),0,(SUM(IF((CkDJ[JEV Number]=$C133)*(CkDJ[Account Code]=(N$9)),CkDJ[Debit]))))</f>
        <v>0</v>
      </c>
      <c r="O133" s="677">
        <f t="array" ref="O133">IF(OR($C133=$C132,$C133=0),0,(SUM(IF((CkDJ[JEV Number]=$C133)*(CkDJ[Account Code]=(O$9)),CkDJ[Debit]))))</f>
        <v>0</v>
      </c>
      <c r="P133" s="726"/>
      <c r="Q133" s="692">
        <f t="array" ref="Q133">IF($C133=0,0,(SUM(IF((CkDJ[JEV Number]=$C133)*(CkDJ[Account Code]=(P133)),CkDJ[Debit]))))</f>
        <v>0</v>
      </c>
      <c r="R133" s="679">
        <f t="shared" si="12"/>
        <v>0</v>
      </c>
    </row>
    <row r="134" spans="1:18" x14ac:dyDescent="0.25">
      <c r="A134" s="776" t="str">
        <f t="array" ref="A134">IF(OR(C134=C133,C134=0),"",INDEX(CkDJ[Date],MATCH(C134,CkDJ[JEV Number],0)))</f>
        <v/>
      </c>
      <c r="B134" s="674"/>
      <c r="C134" s="675" t="str">
        <f t="shared" si="11"/>
        <v>20-01-001</v>
      </c>
      <c r="D134" s="675"/>
      <c r="E134" s="675"/>
      <c r="F134" s="675"/>
      <c r="G134" s="676" t="str">
        <f t="array" ref="G134">IF(OR(C134=C133,C134=0),"",INDEX(CasheirCode[Name],MATCH((INDEX(CkDJ[Sort Code],MATCH(C134,CkDJ[JEV Number],0))),CasheirCode[Sort Code])))</f>
        <v/>
      </c>
      <c r="H134" s="677">
        <f t="array" ref="H134">IF(OR($C134=$C133,$C134=0),0,(SUM(IF((CkDJ[JEV Number]=$C134)*(CkDJ[Account Code]=(H$9)),CkDJ[Credit]))))</f>
        <v>0</v>
      </c>
      <c r="I134" s="677">
        <f t="array" ref="I134">IF(OR($C134=$C133,$C134=0),0,(SUM(IF((CkDJ[JEV Number]=$C134)*(CkDJ[Account Code]=(I$9)),CkDJ[Credit]))))</f>
        <v>0</v>
      </c>
      <c r="J134" s="678"/>
      <c r="K134" s="677">
        <f t="array" ref="K134">IF($C134=0,0,(SUM(IF((CkDJ[JEV Number]=$C134)*(CkDJ[Account Code]=(J134)),CkDJ[Credit]))))</f>
        <v>0</v>
      </c>
      <c r="L134" s="677">
        <f t="array" ref="L134">IF(OR($C134=$C133,$C134=0),0,(SUM(IF((CkDJ[JEV Number]=$C134)*(CkDJ[Account Code]=(L$9)),CkDJ[Debit]))))</f>
        <v>0</v>
      </c>
      <c r="M134" s="677">
        <f t="array" ref="M134">IF(OR($C134=$C133,$C134=0),0,(SUM(IF((CkDJ[JEV Number]=$C134)*(CkDJ[Account Code]=(M$9)),CkDJ[Debit]))))</f>
        <v>0</v>
      </c>
      <c r="N134" s="677">
        <f t="array" ref="N134">IF(OR($C134=$C133,$C134=0),0,(SUM(IF((CkDJ[JEV Number]=$C134)*(CkDJ[Account Code]=(N$9)),CkDJ[Debit]))))</f>
        <v>0</v>
      </c>
      <c r="O134" s="677">
        <f t="array" ref="O134">IF(OR($C134=$C133,$C134=0),0,(SUM(IF((CkDJ[JEV Number]=$C134)*(CkDJ[Account Code]=(O$9)),CkDJ[Debit]))))</f>
        <v>0</v>
      </c>
      <c r="P134" s="726"/>
      <c r="Q134" s="692">
        <f t="array" ref="Q134">IF($C134=0,0,(SUM(IF((CkDJ[JEV Number]=$C134)*(CkDJ[Account Code]=(P134)),CkDJ[Debit]))))</f>
        <v>0</v>
      </c>
      <c r="R134" s="679">
        <f t="shared" si="12"/>
        <v>0</v>
      </c>
    </row>
    <row r="135" spans="1:18" x14ac:dyDescent="0.25">
      <c r="A135" s="776" t="str">
        <f t="array" ref="A135">IF(OR(C135=C134,C135=0),"",INDEX(CkDJ[Date],MATCH(C135,CkDJ[JEV Number],0)))</f>
        <v/>
      </c>
      <c r="B135" s="674"/>
      <c r="C135" s="675" t="str">
        <f t="shared" si="11"/>
        <v>20-01-001</v>
      </c>
      <c r="D135" s="675"/>
      <c r="E135" s="675"/>
      <c r="F135" s="675"/>
      <c r="G135" s="676" t="str">
        <f t="array" ref="G135">IF(OR(C135=C134,C135=0),"",INDEX(CasheirCode[Name],MATCH((INDEX(CkDJ[Sort Code],MATCH(C135,CkDJ[JEV Number],0))),CasheirCode[Sort Code])))</f>
        <v/>
      </c>
      <c r="H135" s="677">
        <f t="array" ref="H135">IF(OR($C135=$C134,$C135=0),0,(SUM(IF((CkDJ[JEV Number]=$C135)*(CkDJ[Account Code]=(H$9)),CkDJ[Credit]))))</f>
        <v>0</v>
      </c>
      <c r="I135" s="677">
        <f t="array" ref="I135">IF(OR($C135=$C134,$C135=0),0,(SUM(IF((CkDJ[JEV Number]=$C135)*(CkDJ[Account Code]=(I$9)),CkDJ[Credit]))))</f>
        <v>0</v>
      </c>
      <c r="J135" s="678"/>
      <c r="K135" s="677">
        <f t="array" ref="K135">IF($C135=0,0,(SUM(IF((CkDJ[JEV Number]=$C135)*(CkDJ[Account Code]=(J135)),CkDJ[Credit]))))</f>
        <v>0</v>
      </c>
      <c r="L135" s="677">
        <f t="array" ref="L135">IF(OR($C135=$C134,$C135=0),0,(SUM(IF((CkDJ[JEV Number]=$C135)*(CkDJ[Account Code]=(L$9)),CkDJ[Debit]))))</f>
        <v>0</v>
      </c>
      <c r="M135" s="677">
        <f t="array" ref="M135">IF(OR($C135=$C134,$C135=0),0,(SUM(IF((CkDJ[JEV Number]=$C135)*(CkDJ[Account Code]=(M$9)),CkDJ[Debit]))))</f>
        <v>0</v>
      </c>
      <c r="N135" s="677">
        <f t="array" ref="N135">IF(OR($C135=$C134,$C135=0),0,(SUM(IF((CkDJ[JEV Number]=$C135)*(CkDJ[Account Code]=(N$9)),CkDJ[Debit]))))</f>
        <v>0</v>
      </c>
      <c r="O135" s="677">
        <f t="array" ref="O135">IF(OR($C135=$C134,$C135=0),0,(SUM(IF((CkDJ[JEV Number]=$C135)*(CkDJ[Account Code]=(O$9)),CkDJ[Debit]))))</f>
        <v>0</v>
      </c>
      <c r="P135" s="726"/>
      <c r="Q135" s="692">
        <f t="array" ref="Q135">IF($C135=0,0,(SUM(IF((CkDJ[JEV Number]=$C135)*(CkDJ[Account Code]=(P135)),CkDJ[Debit]))))</f>
        <v>0</v>
      </c>
      <c r="R135" s="679">
        <f t="shared" si="12"/>
        <v>0</v>
      </c>
    </row>
    <row r="136" spans="1:18" x14ac:dyDescent="0.25">
      <c r="A136" s="776" t="str">
        <f t="array" ref="A136">IF(OR(C136=C135,C136=0),"",INDEX(CkDJ[Date],MATCH(C136,CkDJ[JEV Number],0)))</f>
        <v/>
      </c>
      <c r="B136" s="674"/>
      <c r="C136" s="675" t="str">
        <f t="shared" si="11"/>
        <v>20-01-001</v>
      </c>
      <c r="D136" s="675"/>
      <c r="E136" s="675"/>
      <c r="F136" s="675"/>
      <c r="G136" s="676" t="str">
        <f t="array" ref="G136">IF(OR(C136=C135,C136=0),"",INDEX(CasheirCode[Name],MATCH((INDEX(CkDJ[Sort Code],MATCH(C136,CkDJ[JEV Number],0))),CasheirCode[Sort Code])))</f>
        <v/>
      </c>
      <c r="H136" s="677">
        <f t="array" ref="H136">IF(OR($C136=$C135,$C136=0),0,(SUM(IF((CkDJ[JEV Number]=$C136)*(CkDJ[Account Code]=(H$9)),CkDJ[Credit]))))</f>
        <v>0</v>
      </c>
      <c r="I136" s="677">
        <f t="array" ref="I136">IF(OR($C136=$C135,$C136=0),0,(SUM(IF((CkDJ[JEV Number]=$C136)*(CkDJ[Account Code]=(I$9)),CkDJ[Credit]))))</f>
        <v>0</v>
      </c>
      <c r="J136" s="678"/>
      <c r="K136" s="677">
        <f t="array" ref="K136">IF($C136=0,0,(SUM(IF((CkDJ[JEV Number]=$C136)*(CkDJ[Account Code]=(J136)),CkDJ[Credit]))))</f>
        <v>0</v>
      </c>
      <c r="L136" s="677">
        <f t="array" ref="L136">IF(OR($C136=$C135,$C136=0),0,(SUM(IF((CkDJ[JEV Number]=$C136)*(CkDJ[Account Code]=(L$9)),CkDJ[Debit]))))</f>
        <v>0</v>
      </c>
      <c r="M136" s="677">
        <f t="array" ref="M136">IF(OR($C136=$C135,$C136=0),0,(SUM(IF((CkDJ[JEV Number]=$C136)*(CkDJ[Account Code]=(M$9)),CkDJ[Debit]))))</f>
        <v>0</v>
      </c>
      <c r="N136" s="677">
        <f t="array" ref="N136">IF(OR($C136=$C135,$C136=0),0,(SUM(IF((CkDJ[JEV Number]=$C136)*(CkDJ[Account Code]=(N$9)),CkDJ[Debit]))))</f>
        <v>0</v>
      </c>
      <c r="O136" s="677">
        <f t="array" ref="O136">IF(OR($C136=$C135,$C136=0),0,(SUM(IF((CkDJ[JEV Number]=$C136)*(CkDJ[Account Code]=(O$9)),CkDJ[Debit]))))</f>
        <v>0</v>
      </c>
      <c r="P136" s="726"/>
      <c r="Q136" s="692">
        <f t="array" ref="Q136">IF($C136=0,0,(SUM(IF((CkDJ[JEV Number]=$C136)*(CkDJ[Account Code]=(P136)),CkDJ[Debit]))))</f>
        <v>0</v>
      </c>
      <c r="R136" s="679">
        <f t="shared" si="12"/>
        <v>0</v>
      </c>
    </row>
    <row r="137" spans="1:18" x14ac:dyDescent="0.25">
      <c r="A137" s="776" t="str">
        <f t="array" ref="A137">IF(OR(C137=C136,C137=0),"",INDEX(CkDJ[Date],MATCH(C137,CkDJ[JEV Number],0)))</f>
        <v/>
      </c>
      <c r="B137" s="674"/>
      <c r="C137" s="675" t="str">
        <f t="shared" si="11"/>
        <v>20-01-001</v>
      </c>
      <c r="D137" s="675"/>
      <c r="E137" s="675"/>
      <c r="F137" s="675"/>
      <c r="G137" s="676" t="str">
        <f t="array" ref="G137">IF(OR(C137=C136,C137=0),"",INDEX(CasheirCode[Name],MATCH((INDEX(CkDJ[Sort Code],MATCH(C137,CkDJ[JEV Number],0))),CasheirCode[Sort Code])))</f>
        <v/>
      </c>
      <c r="H137" s="677">
        <f t="array" ref="H137">IF(OR($C137=$C136,$C137=0),0,(SUM(IF((CkDJ[JEV Number]=$C137)*(CkDJ[Account Code]=(H$9)),CkDJ[Credit]))))</f>
        <v>0</v>
      </c>
      <c r="I137" s="677">
        <f t="array" ref="I137">IF(OR($C137=$C136,$C137=0),0,(SUM(IF((CkDJ[JEV Number]=$C137)*(CkDJ[Account Code]=(I$9)),CkDJ[Credit]))))</f>
        <v>0</v>
      </c>
      <c r="J137" s="678"/>
      <c r="K137" s="677">
        <f t="array" ref="K137">IF($C137=0,0,(SUM(IF((CkDJ[JEV Number]=$C137)*(CkDJ[Account Code]=(J137)),CkDJ[Credit]))))</f>
        <v>0</v>
      </c>
      <c r="L137" s="677">
        <f t="array" ref="L137">IF(OR($C137=$C136,$C137=0),0,(SUM(IF((CkDJ[JEV Number]=$C137)*(CkDJ[Account Code]=(L$9)),CkDJ[Debit]))))</f>
        <v>0</v>
      </c>
      <c r="M137" s="677">
        <f t="array" ref="M137">IF(OR($C137=$C136,$C137=0),0,(SUM(IF((CkDJ[JEV Number]=$C137)*(CkDJ[Account Code]=(M$9)),CkDJ[Debit]))))</f>
        <v>0</v>
      </c>
      <c r="N137" s="677">
        <f t="array" ref="N137">IF(OR($C137=$C136,$C137=0),0,(SUM(IF((CkDJ[JEV Number]=$C137)*(CkDJ[Account Code]=(N$9)),CkDJ[Debit]))))</f>
        <v>0</v>
      </c>
      <c r="O137" s="677">
        <f t="array" ref="O137">IF(OR($C137=$C136,$C137=0),0,(SUM(IF((CkDJ[JEV Number]=$C137)*(CkDJ[Account Code]=(O$9)),CkDJ[Debit]))))</f>
        <v>0</v>
      </c>
      <c r="P137" s="726"/>
      <c r="Q137" s="692">
        <f t="array" ref="Q137">IF($C137=0,0,(SUM(IF((CkDJ[JEV Number]=$C137)*(CkDJ[Account Code]=(P137)),CkDJ[Debit]))))</f>
        <v>0</v>
      </c>
      <c r="R137" s="679">
        <f t="shared" si="12"/>
        <v>0</v>
      </c>
    </row>
    <row r="138" spans="1:18" x14ac:dyDescent="0.25">
      <c r="A138" s="776" t="str">
        <f t="array" ref="A138">IF(OR(C138=C137,C138=0),"",INDEX(CkDJ[Date],MATCH(C138,CkDJ[JEV Number],0)))</f>
        <v/>
      </c>
      <c r="B138" s="674"/>
      <c r="C138" s="675" t="str">
        <f t="shared" si="11"/>
        <v>20-01-001</v>
      </c>
      <c r="D138" s="675"/>
      <c r="E138" s="675"/>
      <c r="F138" s="675"/>
      <c r="G138" s="676" t="str">
        <f t="array" ref="G138">IF(OR(C138=C137,C138=0),"",INDEX(CasheirCode[Name],MATCH((INDEX(CkDJ[Sort Code],MATCH(C138,CkDJ[JEV Number],0))),CasheirCode[Sort Code])))</f>
        <v/>
      </c>
      <c r="H138" s="677">
        <f t="array" ref="H138">IF(OR($C138=$C137,$C138=0),0,(SUM(IF((CkDJ[JEV Number]=$C138)*(CkDJ[Account Code]=(H$9)),CkDJ[Credit]))))</f>
        <v>0</v>
      </c>
      <c r="I138" s="677">
        <f t="array" ref="I138">IF(OR($C138=$C137,$C138=0),0,(SUM(IF((CkDJ[JEV Number]=$C138)*(CkDJ[Account Code]=(I$9)),CkDJ[Credit]))))</f>
        <v>0</v>
      </c>
      <c r="J138" s="678"/>
      <c r="K138" s="677">
        <f t="array" ref="K138">IF($C138=0,0,(SUM(IF((CkDJ[JEV Number]=$C138)*(CkDJ[Account Code]=(J138)),CkDJ[Credit]))))</f>
        <v>0</v>
      </c>
      <c r="L138" s="677">
        <f t="array" ref="L138">IF(OR($C138=$C137,$C138=0),0,(SUM(IF((CkDJ[JEV Number]=$C138)*(CkDJ[Account Code]=(L$9)),CkDJ[Debit]))))</f>
        <v>0</v>
      </c>
      <c r="M138" s="677">
        <f t="array" ref="M138">IF(OR($C138=$C137,$C138=0),0,(SUM(IF((CkDJ[JEV Number]=$C138)*(CkDJ[Account Code]=(M$9)),CkDJ[Debit]))))</f>
        <v>0</v>
      </c>
      <c r="N138" s="677">
        <f t="array" ref="N138">IF(OR($C138=$C137,$C138=0),0,(SUM(IF((CkDJ[JEV Number]=$C138)*(CkDJ[Account Code]=(N$9)),CkDJ[Debit]))))</f>
        <v>0</v>
      </c>
      <c r="O138" s="677">
        <f t="array" ref="O138">IF(OR($C138=$C137,$C138=0),0,(SUM(IF((CkDJ[JEV Number]=$C138)*(CkDJ[Account Code]=(O$9)),CkDJ[Debit]))))</f>
        <v>0</v>
      </c>
      <c r="P138" s="726"/>
      <c r="Q138" s="692">
        <f t="array" ref="Q138">IF($C138=0,0,(SUM(IF((CkDJ[JEV Number]=$C138)*(CkDJ[Account Code]=(P138)),CkDJ[Debit]))))</f>
        <v>0</v>
      </c>
      <c r="R138" s="679">
        <f t="shared" si="12"/>
        <v>0</v>
      </c>
    </row>
    <row r="139" spans="1:18" x14ac:dyDescent="0.25">
      <c r="A139" s="776" t="str">
        <f t="array" ref="A139">IF(OR(C139=C138,C139=0),"",INDEX(CkDJ[Date],MATCH(C139,CkDJ[JEV Number],0)))</f>
        <v/>
      </c>
      <c r="B139" s="674"/>
      <c r="C139" s="675" t="str">
        <f t="shared" si="11"/>
        <v>20-01-001</v>
      </c>
      <c r="D139" s="675"/>
      <c r="E139" s="675"/>
      <c r="F139" s="675"/>
      <c r="G139" s="676" t="str">
        <f t="array" ref="G139">IF(OR(C139=C138,C139=0),"",INDEX(CasheirCode[Name],MATCH((INDEX(CkDJ[Sort Code],MATCH(C139,CkDJ[JEV Number],0))),CasheirCode[Sort Code])))</f>
        <v/>
      </c>
      <c r="H139" s="677">
        <f t="array" ref="H139">IF(OR($C139=$C138,$C139=0),0,(SUM(IF((CkDJ[JEV Number]=$C139)*(CkDJ[Account Code]=(H$9)),CkDJ[Credit]))))</f>
        <v>0</v>
      </c>
      <c r="I139" s="677">
        <f t="array" ref="I139">IF(OR($C139=$C138,$C139=0),0,(SUM(IF((CkDJ[JEV Number]=$C139)*(CkDJ[Account Code]=(I$9)),CkDJ[Credit]))))</f>
        <v>0</v>
      </c>
      <c r="J139" s="678"/>
      <c r="K139" s="677">
        <f t="array" ref="K139">IF($C139=0,0,(SUM(IF((CkDJ[JEV Number]=$C139)*(CkDJ[Account Code]=(J139)),CkDJ[Credit]))))</f>
        <v>0</v>
      </c>
      <c r="L139" s="677">
        <f t="array" ref="L139">IF(OR($C139=$C138,$C139=0),0,(SUM(IF((CkDJ[JEV Number]=$C139)*(CkDJ[Account Code]=(L$9)),CkDJ[Debit]))))</f>
        <v>0</v>
      </c>
      <c r="M139" s="677">
        <f t="array" ref="M139">IF(OR($C139=$C138,$C139=0),0,(SUM(IF((CkDJ[JEV Number]=$C139)*(CkDJ[Account Code]=(M$9)),CkDJ[Debit]))))</f>
        <v>0</v>
      </c>
      <c r="N139" s="677">
        <f t="array" ref="N139">IF(OR($C139=$C138,$C139=0),0,(SUM(IF((CkDJ[JEV Number]=$C139)*(CkDJ[Account Code]=(N$9)),CkDJ[Debit]))))</f>
        <v>0</v>
      </c>
      <c r="O139" s="677">
        <f t="array" ref="O139">IF(OR($C139=$C138,$C139=0),0,(SUM(IF((CkDJ[JEV Number]=$C139)*(CkDJ[Account Code]=(O$9)),CkDJ[Debit]))))</f>
        <v>0</v>
      </c>
      <c r="P139" s="726"/>
      <c r="Q139" s="692">
        <f t="array" ref="Q139">IF($C139=0,0,(SUM(IF((CkDJ[JEV Number]=$C139)*(CkDJ[Account Code]=(P139)),CkDJ[Debit]))))</f>
        <v>0</v>
      </c>
      <c r="R139" s="679">
        <f t="shared" si="12"/>
        <v>0</v>
      </c>
    </row>
    <row r="140" spans="1:18" x14ac:dyDescent="0.25">
      <c r="A140" s="776" t="str">
        <f t="array" ref="A140">IF(OR(C140=C139,C140=0),"",INDEX(CkDJ[Date],MATCH(C140,CkDJ[JEV Number],0)))</f>
        <v/>
      </c>
      <c r="B140" s="674"/>
      <c r="C140" s="675" t="str">
        <f t="shared" si="11"/>
        <v>20-01-001</v>
      </c>
      <c r="D140" s="675"/>
      <c r="E140" s="675"/>
      <c r="F140" s="675"/>
      <c r="G140" s="676" t="str">
        <f t="array" ref="G140">IF(OR(C140=C139,C140=0),"",INDEX(CasheirCode[Name],MATCH((INDEX(CkDJ[Sort Code],MATCH(C140,CkDJ[JEV Number],0))),CasheirCode[Sort Code])))</f>
        <v/>
      </c>
      <c r="H140" s="677">
        <f t="array" ref="H140">IF(OR($C140=$C139,$C140=0),0,(SUM(IF((CkDJ[JEV Number]=$C140)*(CkDJ[Account Code]=(H$9)),CkDJ[Credit]))))</f>
        <v>0</v>
      </c>
      <c r="I140" s="677">
        <f t="array" ref="I140">IF(OR($C140=$C139,$C140=0),0,(SUM(IF((CkDJ[JEV Number]=$C140)*(CkDJ[Account Code]=(I$9)),CkDJ[Credit]))))</f>
        <v>0</v>
      </c>
      <c r="J140" s="678"/>
      <c r="K140" s="677">
        <f t="array" ref="K140">IF($C140=0,0,(SUM(IF((CkDJ[JEV Number]=$C140)*(CkDJ[Account Code]=(J140)),CkDJ[Credit]))))</f>
        <v>0</v>
      </c>
      <c r="L140" s="677">
        <f t="array" ref="L140">IF(OR($C140=$C139,$C140=0),0,(SUM(IF((CkDJ[JEV Number]=$C140)*(CkDJ[Account Code]=(L$9)),CkDJ[Debit]))))</f>
        <v>0</v>
      </c>
      <c r="M140" s="677">
        <f t="array" ref="M140">IF(OR($C140=$C139,$C140=0),0,(SUM(IF((CkDJ[JEV Number]=$C140)*(CkDJ[Account Code]=(M$9)),CkDJ[Debit]))))</f>
        <v>0</v>
      </c>
      <c r="N140" s="677">
        <f t="array" ref="N140">IF(OR($C140=$C139,$C140=0),0,(SUM(IF((CkDJ[JEV Number]=$C140)*(CkDJ[Account Code]=(N$9)),CkDJ[Debit]))))</f>
        <v>0</v>
      </c>
      <c r="O140" s="677">
        <f t="array" ref="O140">IF(OR($C140=$C139,$C140=0),0,(SUM(IF((CkDJ[JEV Number]=$C140)*(CkDJ[Account Code]=(O$9)),CkDJ[Debit]))))</f>
        <v>0</v>
      </c>
      <c r="P140" s="726"/>
      <c r="Q140" s="692">
        <f t="array" ref="Q140">IF($C140=0,0,(SUM(IF((CkDJ[JEV Number]=$C140)*(CkDJ[Account Code]=(P140)),CkDJ[Debit]))))</f>
        <v>0</v>
      </c>
      <c r="R140" s="679">
        <f t="shared" si="12"/>
        <v>0</v>
      </c>
    </row>
    <row r="141" spans="1:18" x14ac:dyDescent="0.25">
      <c r="A141" s="776" t="str">
        <f t="array" ref="A141">IF(OR(C141=C140,C141=0),"",INDEX(CkDJ[Date],MATCH(C141,CkDJ[JEV Number],0)))</f>
        <v/>
      </c>
      <c r="B141" s="674"/>
      <c r="C141" s="675" t="str">
        <f t="shared" si="11"/>
        <v>20-01-001</v>
      </c>
      <c r="D141" s="675"/>
      <c r="E141" s="675"/>
      <c r="F141" s="675"/>
      <c r="G141" s="676" t="str">
        <f t="array" ref="G141">IF(OR(C141=C140,C141=0),"",INDEX(CasheirCode[Name],MATCH((INDEX(CkDJ[Sort Code],MATCH(C141,CkDJ[JEV Number],0))),CasheirCode[Sort Code])))</f>
        <v/>
      </c>
      <c r="H141" s="677">
        <f t="array" ref="H141">IF(OR($C141=$C140,$C141=0),0,(SUM(IF((CkDJ[JEV Number]=$C141)*(CkDJ[Account Code]=(H$9)),CkDJ[Credit]))))</f>
        <v>0</v>
      </c>
      <c r="I141" s="677">
        <f t="array" ref="I141">IF(OR($C141=$C140,$C141=0),0,(SUM(IF((CkDJ[JEV Number]=$C141)*(CkDJ[Account Code]=(I$9)),CkDJ[Credit]))))</f>
        <v>0</v>
      </c>
      <c r="J141" s="678"/>
      <c r="K141" s="677">
        <f t="array" ref="K141">IF($C141=0,0,(SUM(IF((CkDJ[JEV Number]=$C141)*(CkDJ[Account Code]=(J141)),CkDJ[Credit]))))</f>
        <v>0</v>
      </c>
      <c r="L141" s="677">
        <f t="array" ref="L141">IF(OR($C141=$C140,$C141=0),0,(SUM(IF((CkDJ[JEV Number]=$C141)*(CkDJ[Account Code]=(L$9)),CkDJ[Debit]))))</f>
        <v>0</v>
      </c>
      <c r="M141" s="677">
        <f t="array" ref="M141">IF(OR($C141=$C140,$C141=0),0,(SUM(IF((CkDJ[JEV Number]=$C141)*(CkDJ[Account Code]=(M$9)),CkDJ[Debit]))))</f>
        <v>0</v>
      </c>
      <c r="N141" s="677">
        <f t="array" ref="N141">IF(OR($C141=$C140,$C141=0),0,(SUM(IF((CkDJ[JEV Number]=$C141)*(CkDJ[Account Code]=(N$9)),CkDJ[Debit]))))</f>
        <v>0</v>
      </c>
      <c r="O141" s="677">
        <f t="array" ref="O141">IF(OR($C141=$C140,$C141=0),0,(SUM(IF((CkDJ[JEV Number]=$C141)*(CkDJ[Account Code]=(O$9)),CkDJ[Debit]))))</f>
        <v>0</v>
      </c>
      <c r="P141" s="726"/>
      <c r="Q141" s="692">
        <f t="array" ref="Q141">IF($C141=0,0,(SUM(IF((CkDJ[JEV Number]=$C141)*(CkDJ[Account Code]=(P141)),CkDJ[Debit]))))</f>
        <v>0</v>
      </c>
      <c r="R141" s="679">
        <f t="shared" si="12"/>
        <v>0</v>
      </c>
    </row>
    <row r="142" spans="1:18" x14ac:dyDescent="0.25">
      <c r="A142" s="776" t="str">
        <f t="array" ref="A142">IF(OR(C142=C141,C142=0),"",INDEX(CkDJ[Date],MATCH(C142,CkDJ[JEV Number],0)))</f>
        <v/>
      </c>
      <c r="B142" s="674"/>
      <c r="C142" s="675" t="str">
        <f t="shared" si="11"/>
        <v>20-01-001</v>
      </c>
      <c r="D142" s="675"/>
      <c r="E142" s="675"/>
      <c r="F142" s="675"/>
      <c r="G142" s="676" t="str">
        <f t="array" ref="G142">IF(OR(C142=C141,C142=0),"",INDEX(CasheirCode[Name],MATCH((INDEX(CkDJ[Sort Code],MATCH(C142,CkDJ[JEV Number],0))),CasheirCode[Sort Code])))</f>
        <v/>
      </c>
      <c r="H142" s="677">
        <f t="array" ref="H142">IF(OR($C142=$C141,$C142=0),0,(SUM(IF((CkDJ[JEV Number]=$C142)*(CkDJ[Account Code]=(H$9)),CkDJ[Credit]))))</f>
        <v>0</v>
      </c>
      <c r="I142" s="677">
        <f t="array" ref="I142">IF(OR($C142=$C141,$C142=0),0,(SUM(IF((CkDJ[JEV Number]=$C142)*(CkDJ[Account Code]=(I$9)),CkDJ[Credit]))))</f>
        <v>0</v>
      </c>
      <c r="J142" s="678"/>
      <c r="K142" s="677">
        <f t="array" ref="K142">IF($C142=0,0,(SUM(IF((CkDJ[JEV Number]=$C142)*(CkDJ[Account Code]=(J142)),CkDJ[Credit]))))</f>
        <v>0</v>
      </c>
      <c r="L142" s="677">
        <f t="array" ref="L142">IF(OR($C142=$C141,$C142=0),0,(SUM(IF((CkDJ[JEV Number]=$C142)*(CkDJ[Account Code]=(L$9)),CkDJ[Debit]))))</f>
        <v>0</v>
      </c>
      <c r="M142" s="677">
        <f t="array" ref="M142">IF(OR($C142=$C141,$C142=0),0,(SUM(IF((CkDJ[JEV Number]=$C142)*(CkDJ[Account Code]=(M$9)),CkDJ[Debit]))))</f>
        <v>0</v>
      </c>
      <c r="N142" s="677">
        <f t="array" ref="N142">IF(OR($C142=$C141,$C142=0),0,(SUM(IF((CkDJ[JEV Number]=$C142)*(CkDJ[Account Code]=(N$9)),CkDJ[Debit]))))</f>
        <v>0</v>
      </c>
      <c r="O142" s="677">
        <f t="array" ref="O142">IF(OR($C142=$C141,$C142=0),0,(SUM(IF((CkDJ[JEV Number]=$C142)*(CkDJ[Account Code]=(O$9)),CkDJ[Debit]))))</f>
        <v>0</v>
      </c>
      <c r="P142" s="726"/>
      <c r="Q142" s="692">
        <f t="array" ref="Q142">IF($C142=0,0,(SUM(IF((CkDJ[JEV Number]=$C142)*(CkDJ[Account Code]=(P142)),CkDJ[Debit]))))</f>
        <v>0</v>
      </c>
      <c r="R142" s="679">
        <f t="shared" si="12"/>
        <v>0</v>
      </c>
    </row>
    <row r="143" spans="1:18" x14ac:dyDescent="0.25">
      <c r="A143" s="776" t="str">
        <f t="array" ref="A143">IF(OR(C143=C142,C143=0),"",INDEX(CkDJ[Date],MATCH(C143,CkDJ[JEV Number],0)))</f>
        <v/>
      </c>
      <c r="B143" s="674"/>
      <c r="C143" s="675" t="str">
        <f t="shared" si="11"/>
        <v>20-01-001</v>
      </c>
      <c r="D143" s="675"/>
      <c r="E143" s="675"/>
      <c r="F143" s="675"/>
      <c r="G143" s="676" t="str">
        <f t="array" ref="G143">IF(OR(C143=C142,C143=0),"",INDEX(CasheirCode[Name],MATCH((INDEX(CkDJ[Sort Code],MATCH(C143,CkDJ[JEV Number],0))),CasheirCode[Sort Code])))</f>
        <v/>
      </c>
      <c r="H143" s="677">
        <f t="array" ref="H143">IF(OR($C143=$C142,$C143=0),0,(SUM(IF((CkDJ[JEV Number]=$C143)*(CkDJ[Account Code]=(H$9)),CkDJ[Credit]))))</f>
        <v>0</v>
      </c>
      <c r="I143" s="677">
        <f t="array" ref="I143">IF(OR($C143=$C142,$C143=0),0,(SUM(IF((CkDJ[JEV Number]=$C143)*(CkDJ[Account Code]=(I$9)),CkDJ[Credit]))))</f>
        <v>0</v>
      </c>
      <c r="J143" s="678"/>
      <c r="K143" s="677">
        <f t="array" ref="K143">IF($C143=0,0,(SUM(IF((CkDJ[JEV Number]=$C143)*(CkDJ[Account Code]=(J143)),CkDJ[Credit]))))</f>
        <v>0</v>
      </c>
      <c r="L143" s="677">
        <f t="array" ref="L143">IF(OR($C143=$C142,$C143=0),0,(SUM(IF((CkDJ[JEV Number]=$C143)*(CkDJ[Account Code]=(L$9)),CkDJ[Debit]))))</f>
        <v>0</v>
      </c>
      <c r="M143" s="677">
        <f t="array" ref="M143">IF(OR($C143=$C142,$C143=0),0,(SUM(IF((CkDJ[JEV Number]=$C143)*(CkDJ[Account Code]=(M$9)),CkDJ[Debit]))))</f>
        <v>0</v>
      </c>
      <c r="N143" s="677">
        <f t="array" ref="N143">IF(OR($C143=$C142,$C143=0),0,(SUM(IF((CkDJ[JEV Number]=$C143)*(CkDJ[Account Code]=(N$9)),CkDJ[Debit]))))</f>
        <v>0</v>
      </c>
      <c r="O143" s="677">
        <f t="array" ref="O143">IF(OR($C143=$C142,$C143=0),0,(SUM(IF((CkDJ[JEV Number]=$C143)*(CkDJ[Account Code]=(O$9)),CkDJ[Debit]))))</f>
        <v>0</v>
      </c>
      <c r="P143" s="726"/>
      <c r="Q143" s="692">
        <f t="array" ref="Q143">IF($C143=0,0,(SUM(IF((CkDJ[JEV Number]=$C143)*(CkDJ[Account Code]=(P143)),CkDJ[Debit]))))</f>
        <v>0</v>
      </c>
      <c r="R143" s="679">
        <f t="shared" si="12"/>
        <v>0</v>
      </c>
    </row>
    <row r="144" spans="1:18" x14ac:dyDescent="0.25">
      <c r="A144" s="776" t="str">
        <f t="array" ref="A144">IF(OR(C144=C143,C144=0),"",INDEX(CkDJ[Date],MATCH(C144,CkDJ[JEV Number],0)))</f>
        <v/>
      </c>
      <c r="B144" s="674"/>
      <c r="C144" s="675" t="str">
        <f t="shared" si="11"/>
        <v>20-01-001</v>
      </c>
      <c r="D144" s="675"/>
      <c r="E144" s="675"/>
      <c r="F144" s="675"/>
      <c r="G144" s="676" t="str">
        <f t="array" ref="G144">IF(OR(C144=C143,C144=0),"",INDEX(CasheirCode[Name],MATCH((INDEX(CkDJ[Sort Code],MATCH(C144,CkDJ[JEV Number],0))),CasheirCode[Sort Code])))</f>
        <v/>
      </c>
      <c r="H144" s="677">
        <f t="array" ref="H144">IF(OR($C144=$C143,$C144=0),0,(SUM(IF((CkDJ[JEV Number]=$C144)*(CkDJ[Account Code]=(H$9)),CkDJ[Credit]))))</f>
        <v>0</v>
      </c>
      <c r="I144" s="677">
        <f t="array" ref="I144">IF(OR($C144=$C143,$C144=0),0,(SUM(IF((CkDJ[JEV Number]=$C144)*(CkDJ[Account Code]=(I$9)),CkDJ[Credit]))))</f>
        <v>0</v>
      </c>
      <c r="J144" s="678"/>
      <c r="K144" s="677">
        <f t="array" ref="K144">IF($C144=0,0,(SUM(IF((CkDJ[JEV Number]=$C144)*(CkDJ[Account Code]=(J144)),CkDJ[Credit]))))</f>
        <v>0</v>
      </c>
      <c r="L144" s="677">
        <f t="array" ref="L144">IF(OR($C144=$C143,$C144=0),0,(SUM(IF((CkDJ[JEV Number]=$C144)*(CkDJ[Account Code]=(L$9)),CkDJ[Debit]))))</f>
        <v>0</v>
      </c>
      <c r="M144" s="677">
        <f t="array" ref="M144">IF(OR($C144=$C143,$C144=0),0,(SUM(IF((CkDJ[JEV Number]=$C144)*(CkDJ[Account Code]=(M$9)),CkDJ[Debit]))))</f>
        <v>0</v>
      </c>
      <c r="N144" s="677">
        <f t="array" ref="N144">IF(OR($C144=$C143,$C144=0),0,(SUM(IF((CkDJ[JEV Number]=$C144)*(CkDJ[Account Code]=(N$9)),CkDJ[Debit]))))</f>
        <v>0</v>
      </c>
      <c r="O144" s="677">
        <f t="array" ref="O144">IF(OR($C144=$C143,$C144=0),0,(SUM(IF((CkDJ[JEV Number]=$C144)*(CkDJ[Account Code]=(O$9)),CkDJ[Debit]))))</f>
        <v>0</v>
      </c>
      <c r="P144" s="726"/>
      <c r="Q144" s="692">
        <f t="array" ref="Q144">IF($C144=0,0,(SUM(IF((CkDJ[JEV Number]=$C144)*(CkDJ[Account Code]=(P144)),CkDJ[Debit]))))</f>
        <v>0</v>
      </c>
      <c r="R144" s="679">
        <f t="shared" si="12"/>
        <v>0</v>
      </c>
    </row>
    <row r="145" spans="1:18" x14ac:dyDescent="0.25">
      <c r="A145" s="776" t="str">
        <f t="array" ref="A145">IF(OR(C145=C144,C145=0),"",INDEX(CkDJ[Date],MATCH(C145,CkDJ[JEV Number],0)))</f>
        <v/>
      </c>
      <c r="B145" s="674"/>
      <c r="C145" s="675" t="str">
        <f t="shared" si="11"/>
        <v>20-01-001</v>
      </c>
      <c r="D145" s="675"/>
      <c r="E145" s="675"/>
      <c r="F145" s="675"/>
      <c r="G145" s="676" t="str">
        <f t="array" ref="G145">IF(OR(C145=C144,C145=0),"",INDEX(CasheirCode[Name],MATCH((INDEX(CkDJ[Sort Code],MATCH(C145,CkDJ[JEV Number],0))),CasheirCode[Sort Code])))</f>
        <v/>
      </c>
      <c r="H145" s="677">
        <f t="array" ref="H145">IF(OR($C145=$C144,$C145=0),0,(SUM(IF((CkDJ[JEV Number]=$C145)*(CkDJ[Account Code]=(H$9)),CkDJ[Credit]))))</f>
        <v>0</v>
      </c>
      <c r="I145" s="677">
        <f t="array" ref="I145">IF(OR($C145=$C144,$C145=0),0,(SUM(IF((CkDJ[JEV Number]=$C145)*(CkDJ[Account Code]=(I$9)),CkDJ[Credit]))))</f>
        <v>0</v>
      </c>
      <c r="J145" s="728"/>
      <c r="K145" s="677">
        <f t="array" ref="K145">IF($C145=0,0,(SUM(IF((CkDJ[JEV Number]=$C145)*(CkDJ[Account Code]=(J145)),CkDJ[Credit]))))</f>
        <v>0</v>
      </c>
      <c r="L145" s="677">
        <f t="array" ref="L145">IF(OR($C145=$C144,$C145=0),0,(SUM(IF((CkDJ[JEV Number]=$C145)*(CkDJ[Account Code]=(L$9)),CkDJ[Debit]))))</f>
        <v>0</v>
      </c>
      <c r="M145" s="677">
        <f t="array" ref="M145">IF(OR($C145=$C144,$C145=0),0,(SUM(IF((CkDJ[JEV Number]=$C145)*(CkDJ[Account Code]=(M$9)),CkDJ[Debit]))))</f>
        <v>0</v>
      </c>
      <c r="N145" s="677">
        <f t="array" ref="N145">IF(OR($C145=$C144,$C145=0),0,(SUM(IF((CkDJ[JEV Number]=$C145)*(CkDJ[Account Code]=(N$9)),CkDJ[Debit]))))</f>
        <v>0</v>
      </c>
      <c r="O145" s="677">
        <f t="array" ref="O145">IF(OR($C145=$C144,$C145=0),0,(SUM(IF((CkDJ[JEV Number]=$C145)*(CkDJ[Account Code]=(O$9)),CkDJ[Debit]))))</f>
        <v>0</v>
      </c>
      <c r="P145" s="726"/>
      <c r="Q145" s="692">
        <f t="array" ref="Q145">IF($C145=0,0,(SUM(IF((CkDJ[JEV Number]=$C145)*(CkDJ[Account Code]=(P145)),CkDJ[Debit]))))</f>
        <v>0</v>
      </c>
      <c r="R145" s="679">
        <f t="shared" si="12"/>
        <v>0</v>
      </c>
    </row>
    <row r="146" spans="1:18" x14ac:dyDescent="0.25">
      <c r="A146" s="776" t="str">
        <f t="array" ref="A146">IF(OR(C146=C145,C146=0),"",INDEX(CkDJ[Date],MATCH(C146,CkDJ[JEV Number],0)))</f>
        <v/>
      </c>
      <c r="B146" s="674"/>
      <c r="C146" s="675" t="str">
        <f t="shared" si="11"/>
        <v>20-01-001</v>
      </c>
      <c r="D146" s="675"/>
      <c r="E146" s="675"/>
      <c r="F146" s="675"/>
      <c r="G146" s="676" t="str">
        <f t="array" ref="G146">IF(OR(C146=C145,C146=0),"",INDEX(CasheirCode[Name],MATCH((INDEX(CkDJ[Sort Code],MATCH(C146,CkDJ[JEV Number],0))),CasheirCode[Sort Code])))</f>
        <v/>
      </c>
      <c r="H146" s="677">
        <f t="array" ref="H146">IF(OR($C146=$C145,$C146=0),0,(SUM(IF((CkDJ[JEV Number]=$C146)*(CkDJ[Account Code]=(H$9)),CkDJ[Credit]))))</f>
        <v>0</v>
      </c>
      <c r="I146" s="677">
        <f t="array" ref="I146">IF(OR($C146=$C145,$C146=0),0,(SUM(IF((CkDJ[JEV Number]=$C146)*(CkDJ[Account Code]=(I$9)),CkDJ[Credit]))))</f>
        <v>0</v>
      </c>
      <c r="J146" s="728"/>
      <c r="K146" s="677">
        <f t="array" ref="K146">IF($C146=0,0,(SUM(IF((CkDJ[JEV Number]=$C146)*(CkDJ[Account Code]=(J146)),CkDJ[Credit]))))</f>
        <v>0</v>
      </c>
      <c r="L146" s="677">
        <f t="array" ref="L146">IF(OR($C146=$C145,$C146=0),0,(SUM(IF((CkDJ[JEV Number]=$C146)*(CkDJ[Account Code]=(L$9)),CkDJ[Debit]))))</f>
        <v>0</v>
      </c>
      <c r="M146" s="677">
        <f t="array" ref="M146">IF(OR($C146=$C145,$C146=0),0,(SUM(IF((CkDJ[JEV Number]=$C146)*(CkDJ[Account Code]=(M$9)),CkDJ[Debit]))))</f>
        <v>0</v>
      </c>
      <c r="N146" s="677">
        <f t="array" ref="N146">IF(OR($C146=$C145,$C146=0),0,(SUM(IF((CkDJ[JEV Number]=$C146)*(CkDJ[Account Code]=(N$9)),CkDJ[Debit]))))</f>
        <v>0</v>
      </c>
      <c r="O146" s="677">
        <f t="array" ref="O146">IF(OR($C146=$C145,$C146=0),0,(SUM(IF((CkDJ[JEV Number]=$C146)*(CkDJ[Account Code]=(O$9)),CkDJ[Debit]))))</f>
        <v>0</v>
      </c>
      <c r="P146" s="726"/>
      <c r="Q146" s="692">
        <f t="array" ref="Q146">IF($C146=0,0,(SUM(IF((CkDJ[JEV Number]=$C146)*(CkDJ[Account Code]=(P146)),CkDJ[Debit]))))</f>
        <v>0</v>
      </c>
      <c r="R146" s="679">
        <f t="shared" si="12"/>
        <v>0</v>
      </c>
    </row>
    <row r="147" spans="1:18" x14ac:dyDescent="0.25">
      <c r="A147" s="776" t="str">
        <f t="array" ref="A147">IF(OR(C147=C146,C147=0),"",INDEX(CkDJ[Date],MATCH(C147,CkDJ[JEV Number],0)))</f>
        <v/>
      </c>
      <c r="B147" s="674"/>
      <c r="C147" s="675" t="str">
        <f t="shared" si="11"/>
        <v>20-01-001</v>
      </c>
      <c r="D147" s="675"/>
      <c r="E147" s="675"/>
      <c r="F147" s="675"/>
      <c r="G147" s="676" t="str">
        <f t="array" ref="G147">IF(OR(C147=C146,C147=0),"",INDEX(CasheirCode[Name],MATCH((INDEX(CkDJ[Sort Code],MATCH(C147,CkDJ[JEV Number],0))),CasheirCode[Sort Code])))</f>
        <v/>
      </c>
      <c r="H147" s="677">
        <f t="array" ref="H147">IF(OR($C147=$C146,$C147=0),0,(SUM(IF((CkDJ[JEV Number]=$C147)*(CkDJ[Account Code]=(H$9)),CkDJ[Credit]))))</f>
        <v>0</v>
      </c>
      <c r="I147" s="677">
        <f t="array" ref="I147">IF(OR($C147=$C146,$C147=0),0,(SUM(IF((CkDJ[JEV Number]=$C147)*(CkDJ[Account Code]=(I$9)),CkDJ[Credit]))))</f>
        <v>0</v>
      </c>
      <c r="J147" s="728"/>
      <c r="K147" s="677">
        <f t="array" ref="K147">IF($C147=0,0,(SUM(IF((CkDJ[JEV Number]=$C147)*(CkDJ[Account Code]=(J147)),CkDJ[Credit]))))</f>
        <v>0</v>
      </c>
      <c r="L147" s="677">
        <f t="array" ref="L147">IF(OR($C147=$C146,$C147=0),0,(SUM(IF((CkDJ[JEV Number]=$C147)*(CkDJ[Account Code]=(L$9)),CkDJ[Debit]))))</f>
        <v>0</v>
      </c>
      <c r="M147" s="677">
        <f t="array" ref="M147">IF(OR($C147=$C146,$C147=0),0,(SUM(IF((CkDJ[JEV Number]=$C147)*(CkDJ[Account Code]=(M$9)),CkDJ[Debit]))))</f>
        <v>0</v>
      </c>
      <c r="N147" s="677">
        <f t="array" ref="N147">IF(OR($C147=$C146,$C147=0),0,(SUM(IF((CkDJ[JEV Number]=$C147)*(CkDJ[Account Code]=(N$9)),CkDJ[Debit]))))</f>
        <v>0</v>
      </c>
      <c r="O147" s="677">
        <f t="array" ref="O147">IF(OR($C147=$C146,$C147=0),0,(SUM(IF((CkDJ[JEV Number]=$C147)*(CkDJ[Account Code]=(O$9)),CkDJ[Debit]))))</f>
        <v>0</v>
      </c>
      <c r="P147" s="726"/>
      <c r="Q147" s="692">
        <f t="array" ref="Q147">IF($C147=0,0,(SUM(IF((CkDJ[JEV Number]=$C147)*(CkDJ[Account Code]=(P147)),CkDJ[Debit]))))</f>
        <v>0</v>
      </c>
      <c r="R147" s="679">
        <f t="shared" si="12"/>
        <v>0</v>
      </c>
    </row>
    <row r="148" spans="1:18" x14ac:dyDescent="0.25">
      <c r="A148" s="776" t="str">
        <f t="array" ref="A148">IF(OR(C148=C147,C148=0),"",INDEX(CkDJ[Date],MATCH(C148,CkDJ[JEV Number],0)))</f>
        <v/>
      </c>
      <c r="B148" s="674"/>
      <c r="C148" s="675" t="str">
        <f t="shared" si="11"/>
        <v>20-01-001</v>
      </c>
      <c r="D148" s="675"/>
      <c r="E148" s="675"/>
      <c r="F148" s="675"/>
      <c r="G148" s="676" t="str">
        <f t="array" ref="G148">IF(OR(C148=C147,C148=0),"",INDEX(CasheirCode[Name],MATCH((INDEX(CkDJ[Sort Code],MATCH(C148,CkDJ[JEV Number],0))),CasheirCode[Sort Code])))</f>
        <v/>
      </c>
      <c r="H148" s="677">
        <f t="array" ref="H148">IF(OR($C148=$C147,$C148=0),0,(SUM(IF((CkDJ[JEV Number]=$C148)*(CkDJ[Account Code]=(H$9)),CkDJ[Credit]))))</f>
        <v>0</v>
      </c>
      <c r="I148" s="677">
        <f t="array" ref="I148">IF(OR($C148=$C147,$C148=0),0,(SUM(IF((CkDJ[JEV Number]=$C148)*(CkDJ[Account Code]=(I$9)),CkDJ[Credit]))))</f>
        <v>0</v>
      </c>
      <c r="J148" s="678"/>
      <c r="K148" s="677">
        <f t="array" ref="K148">IF($C148=0,0,(SUM(IF((CkDJ[JEV Number]=$C148)*(CkDJ[Account Code]=(J148)),CkDJ[Credit]))))</f>
        <v>0</v>
      </c>
      <c r="L148" s="677">
        <f t="array" ref="L148">IF(OR($C148=$C147,$C148=0),0,(SUM(IF((CkDJ[JEV Number]=$C148)*(CkDJ[Account Code]=(L$9)),CkDJ[Debit]))))</f>
        <v>0</v>
      </c>
      <c r="M148" s="677">
        <f t="array" ref="M148">IF(OR($C148=$C147,$C148=0),0,(SUM(IF((CkDJ[JEV Number]=$C148)*(CkDJ[Account Code]=(M$9)),CkDJ[Debit]))))</f>
        <v>0</v>
      </c>
      <c r="N148" s="677">
        <f t="array" ref="N148">IF(OR($C148=$C147,$C148=0),0,(SUM(IF((CkDJ[JEV Number]=$C148)*(CkDJ[Account Code]=(N$9)),CkDJ[Debit]))))</f>
        <v>0</v>
      </c>
      <c r="O148" s="677">
        <f t="array" ref="O148">IF(OR($C148=$C147,$C148=0),0,(SUM(IF((CkDJ[JEV Number]=$C148)*(CkDJ[Account Code]=(O$9)),CkDJ[Debit]))))</f>
        <v>0</v>
      </c>
      <c r="P148" s="726"/>
      <c r="Q148" s="692">
        <f t="array" ref="Q148">IF($C148=0,0,(SUM(IF((CkDJ[JEV Number]=$C148)*(CkDJ[Account Code]=(P148)),CkDJ[Debit]))))</f>
        <v>0</v>
      </c>
      <c r="R148" s="679">
        <f t="shared" si="12"/>
        <v>0</v>
      </c>
    </row>
    <row r="149" spans="1:18" x14ac:dyDescent="0.25">
      <c r="A149" s="776" t="str">
        <f t="array" ref="A149">IF(OR(C149=C148,C149=0),"",INDEX(CkDJ[Date],MATCH(C149,CkDJ[JEV Number],0)))</f>
        <v/>
      </c>
      <c r="B149" s="674"/>
      <c r="C149" s="675" t="str">
        <f t="shared" si="11"/>
        <v>20-01-001</v>
      </c>
      <c r="D149" s="675"/>
      <c r="E149" s="675"/>
      <c r="F149" s="675"/>
      <c r="G149" s="676" t="str">
        <f t="array" ref="G149">IF(OR(C149=C148,C149=0),"",INDEX(CasheirCode[Name],MATCH((INDEX(CkDJ[Sort Code],MATCH(C149,CkDJ[JEV Number],0))),CasheirCode[Sort Code])))</f>
        <v/>
      </c>
      <c r="H149" s="677">
        <f t="array" ref="H149">IF(OR($C149=$C148,$C149=0),0,(SUM(IF((CkDJ[JEV Number]=$C149)*(CkDJ[Account Code]=(H$9)),CkDJ[Credit]))))</f>
        <v>0</v>
      </c>
      <c r="I149" s="677">
        <f t="array" ref="I149">IF(OR($C149=$C148,$C149=0),0,(SUM(IF((CkDJ[JEV Number]=$C149)*(CkDJ[Account Code]=(I$9)),CkDJ[Credit]))))</f>
        <v>0</v>
      </c>
      <c r="J149" s="678"/>
      <c r="K149" s="677">
        <f t="array" ref="K149">IF($C149=0,0,(SUM(IF((CkDJ[JEV Number]=$C149)*(CkDJ[Account Code]=(J149)),CkDJ[Credit]))))</f>
        <v>0</v>
      </c>
      <c r="L149" s="677">
        <f t="array" ref="L149">IF(OR($C149=$C148,$C149=0),0,(SUM(IF((CkDJ[JEV Number]=$C149)*(CkDJ[Account Code]=(L$9)),CkDJ[Debit]))))</f>
        <v>0</v>
      </c>
      <c r="M149" s="677">
        <f t="array" ref="M149">IF(OR($C149=$C148,$C149=0),0,(SUM(IF((CkDJ[JEV Number]=$C149)*(CkDJ[Account Code]=(M$9)),CkDJ[Debit]))))</f>
        <v>0</v>
      </c>
      <c r="N149" s="677">
        <f t="array" ref="N149">IF(OR($C149=$C148,$C149=0),0,(SUM(IF((CkDJ[JEV Number]=$C149)*(CkDJ[Account Code]=(N$9)),CkDJ[Debit]))))</f>
        <v>0</v>
      </c>
      <c r="O149" s="677">
        <f t="array" ref="O149">IF(OR($C149=$C148,$C149=0),0,(SUM(IF((CkDJ[JEV Number]=$C149)*(CkDJ[Account Code]=(O$9)),CkDJ[Debit]))))</f>
        <v>0</v>
      </c>
      <c r="P149" s="726"/>
      <c r="Q149" s="692">
        <f t="array" ref="Q149">IF($C149=0,0,(SUM(IF((CkDJ[JEV Number]=$C149)*(CkDJ[Account Code]=(P149)),CkDJ[Debit]))))</f>
        <v>0</v>
      </c>
      <c r="R149" s="679">
        <f t="shared" si="12"/>
        <v>0</v>
      </c>
    </row>
    <row r="150" spans="1:18" x14ac:dyDescent="0.25">
      <c r="A150" s="776" t="str">
        <f t="array" ref="A150">IF(OR(C150=C149,C150=0),"",INDEX(CkDJ[Date],MATCH(C150,CkDJ[JEV Number],0)))</f>
        <v/>
      </c>
      <c r="B150" s="674"/>
      <c r="C150" s="690" t="str">
        <f t="shared" ref="C150:C182" si="13">IF(B150=0,C149,B150)</f>
        <v>20-01-001</v>
      </c>
      <c r="D150" s="690"/>
      <c r="E150" s="690"/>
      <c r="F150" s="690"/>
      <c r="G150" s="691" t="str">
        <f t="array" ref="G150">IF(OR(C150=C149,C150=0),"",INDEX(CasheirCode[Name],MATCH((INDEX(CkDJ[Sort Code],MATCH(C150,CkDJ[JEV Number],0))),CasheirCode[Sort Code])))</f>
        <v/>
      </c>
      <c r="H150" s="692">
        <f t="array" ref="H150">IF(OR($C150=$C149,$C150=0),0,(SUM(IF((CkDJ[JEV Number]=$C150)*(CkDJ[Account Code]=(H$9)),CkDJ[Credit]))))</f>
        <v>0</v>
      </c>
      <c r="I150" s="692">
        <f t="array" ref="I150">IF(OR($C150=$C149,$C150=0),0,(SUM(IF((CkDJ[JEV Number]=$C150)*(CkDJ[Account Code]=(I$9)),CkDJ[Credit]))))</f>
        <v>0</v>
      </c>
      <c r="J150" s="678"/>
      <c r="K150" s="692">
        <f t="array" ref="K150">IF($C150=0,0,(SUM(IF((CkDJ[JEV Number]=$C150)*(CkDJ[Account Code]=(J150)),CkDJ[Credit]))))</f>
        <v>0</v>
      </c>
      <c r="L150" s="692">
        <f t="array" ref="L150">IF(OR($C150=$C149,$C150=0),0,(SUM(IF((CkDJ[JEV Number]=$C150)*(CkDJ[Account Code]=(L$9)),CkDJ[Debit]))))</f>
        <v>0</v>
      </c>
      <c r="M150" s="692">
        <f t="array" ref="M150">IF(OR($C150=$C149,$C150=0),0,(SUM(IF((CkDJ[JEV Number]=$C150)*(CkDJ[Account Code]=(M$9)),CkDJ[Debit]))))</f>
        <v>0</v>
      </c>
      <c r="N150" s="692">
        <f t="array" ref="N150">IF(OR($C150=$C149,$C150=0),0,(SUM(IF((CkDJ[JEV Number]=$C150)*(CkDJ[Account Code]=(N$9)),CkDJ[Debit]))))</f>
        <v>0</v>
      </c>
      <c r="O150" s="692">
        <f t="array" ref="O150">IF(OR($C150=$C149,$C150=0),0,(SUM(IF((CkDJ[JEV Number]=$C150)*(CkDJ[Account Code]=(O$9)),CkDJ[Debit]))))</f>
        <v>0</v>
      </c>
      <c r="P150" s="726"/>
      <c r="Q150" s="692">
        <f t="array" ref="Q150">IF($C150=0,0,(SUM(IF((CkDJ[JEV Number]=$C150)*(CkDJ[Account Code]=(P150)),CkDJ[Debit]))))</f>
        <v>0</v>
      </c>
      <c r="R150" s="694">
        <f t="shared" ref="R150:R180" si="14">R149+(SUM(L150:O150)+Q150)-(SUM(H150:I150)+K150)</f>
        <v>0</v>
      </c>
    </row>
    <row r="151" spans="1:18" x14ac:dyDescent="0.25">
      <c r="A151" s="776" t="str">
        <f t="array" ref="A151">IF(OR(C151=C150,C151=0),"",INDEX(CkDJ[Date],MATCH(C151,CkDJ[JEV Number],0)))</f>
        <v/>
      </c>
      <c r="B151" s="674"/>
      <c r="C151" s="690" t="str">
        <f t="shared" si="13"/>
        <v>20-01-001</v>
      </c>
      <c r="D151" s="690"/>
      <c r="E151" s="690"/>
      <c r="F151" s="690"/>
      <c r="G151" s="691" t="str">
        <f t="array" ref="G151">IF(OR(C151=C150,C151=0),"",INDEX(CasheirCode[Name],MATCH((INDEX(CkDJ[Sort Code],MATCH(C151,CkDJ[JEV Number],0))),CasheirCode[Sort Code])))</f>
        <v/>
      </c>
      <c r="H151" s="692">
        <f t="array" ref="H151">IF(OR($C151=$C150,$C151=0),0,(SUM(IF((CkDJ[JEV Number]=$C151)*(CkDJ[Account Code]=(H$9)),CkDJ[Credit]))))</f>
        <v>0</v>
      </c>
      <c r="I151" s="692">
        <f t="array" ref="I151">IF(OR($C151=$C150,$C151=0),0,(SUM(IF((CkDJ[JEV Number]=$C151)*(CkDJ[Account Code]=(I$9)),CkDJ[Credit]))))</f>
        <v>0</v>
      </c>
      <c r="J151" s="678"/>
      <c r="K151" s="692">
        <f t="array" ref="K151">IF($C151=0,0,(SUM(IF((CkDJ[JEV Number]=$C151)*(CkDJ[Account Code]=(J151)),CkDJ[Credit]))))</f>
        <v>0</v>
      </c>
      <c r="L151" s="692">
        <f t="array" ref="L151">IF(OR($C151=$C150,$C151=0),0,(SUM(IF((CkDJ[JEV Number]=$C151)*(CkDJ[Account Code]=(L$9)),CkDJ[Debit]))))</f>
        <v>0</v>
      </c>
      <c r="M151" s="692">
        <f t="array" ref="M151">IF(OR($C151=$C150,$C151=0),0,(SUM(IF((CkDJ[JEV Number]=$C151)*(CkDJ[Account Code]=(M$9)),CkDJ[Debit]))))</f>
        <v>0</v>
      </c>
      <c r="N151" s="692">
        <f t="array" ref="N151">IF(OR($C151=$C150,$C151=0),0,(SUM(IF((CkDJ[JEV Number]=$C151)*(CkDJ[Account Code]=(N$9)),CkDJ[Debit]))))</f>
        <v>0</v>
      </c>
      <c r="O151" s="692">
        <f t="array" ref="O151">IF(OR($C151=$C150,$C151=0),0,(SUM(IF((CkDJ[JEV Number]=$C151)*(CkDJ[Account Code]=(O$9)),CkDJ[Debit]))))</f>
        <v>0</v>
      </c>
      <c r="P151" s="726"/>
      <c r="Q151" s="692">
        <f t="array" ref="Q151">IF($C151=0,0,(SUM(IF((CkDJ[JEV Number]=$C151)*(CkDJ[Account Code]=(P151)),CkDJ[Debit]))))</f>
        <v>0</v>
      </c>
      <c r="R151" s="694">
        <f t="shared" si="14"/>
        <v>0</v>
      </c>
    </row>
    <row r="152" spans="1:18" x14ac:dyDescent="0.25">
      <c r="A152" s="776" t="str">
        <f t="array" ref="A152">IF(OR(C152=C151,C152=0),"",INDEX(CkDJ[Date],MATCH(C152,CkDJ[JEV Number],0)))</f>
        <v/>
      </c>
      <c r="B152" s="674"/>
      <c r="C152" s="690" t="str">
        <f t="shared" si="13"/>
        <v>20-01-001</v>
      </c>
      <c r="D152" s="690"/>
      <c r="E152" s="690"/>
      <c r="F152" s="690"/>
      <c r="G152" s="691" t="str">
        <f t="array" ref="G152">IF(OR(C152=C151,C152=0),"",INDEX(CasheirCode[Name],MATCH((INDEX(CkDJ[Sort Code],MATCH(C152,CkDJ[JEV Number],0))),CasheirCode[Sort Code])))</f>
        <v/>
      </c>
      <c r="H152" s="692">
        <f t="array" ref="H152">IF(OR($C152=$C151,$C152=0),0,(SUM(IF((CkDJ[JEV Number]=$C152)*(CkDJ[Account Code]=(H$9)),CkDJ[Credit]))))</f>
        <v>0</v>
      </c>
      <c r="I152" s="692">
        <f t="array" ref="I152">IF(OR($C152=$C151,$C152=0),0,(SUM(IF((CkDJ[JEV Number]=$C152)*(CkDJ[Account Code]=(I$9)),CkDJ[Credit]))))</f>
        <v>0</v>
      </c>
      <c r="J152" s="678"/>
      <c r="K152" s="692">
        <f t="array" ref="K152">IF($C152=0,0,(SUM(IF((CkDJ[JEV Number]=$C152)*(CkDJ[Account Code]=(J152)),CkDJ[Credit]))))</f>
        <v>0</v>
      </c>
      <c r="L152" s="692">
        <f t="array" ref="L152">IF(OR($C152=$C151,$C152=0),0,(SUM(IF((CkDJ[JEV Number]=$C152)*(CkDJ[Account Code]=(L$9)),CkDJ[Debit]))))</f>
        <v>0</v>
      </c>
      <c r="M152" s="692">
        <f t="array" ref="M152">IF(OR($C152=$C151,$C152=0),0,(SUM(IF((CkDJ[JEV Number]=$C152)*(CkDJ[Account Code]=(M$9)),CkDJ[Debit]))))</f>
        <v>0</v>
      </c>
      <c r="N152" s="692">
        <f t="array" ref="N152">IF(OR($C152=$C151,$C152=0),0,(SUM(IF((CkDJ[JEV Number]=$C152)*(CkDJ[Account Code]=(N$9)),CkDJ[Debit]))))</f>
        <v>0</v>
      </c>
      <c r="O152" s="692">
        <f t="array" ref="O152">IF(OR($C152=$C151,$C152=0),0,(SUM(IF((CkDJ[JEV Number]=$C152)*(CkDJ[Account Code]=(O$9)),CkDJ[Debit]))))</f>
        <v>0</v>
      </c>
      <c r="P152" s="726"/>
      <c r="Q152" s="692">
        <f t="array" ref="Q152">IF($C152=0,0,(SUM(IF((CkDJ[JEV Number]=$C152)*(CkDJ[Account Code]=(P152)),CkDJ[Debit]))))</f>
        <v>0</v>
      </c>
      <c r="R152" s="694">
        <f t="shared" si="14"/>
        <v>0</v>
      </c>
    </row>
    <row r="153" spans="1:18" x14ac:dyDescent="0.25">
      <c r="A153" s="776" t="str">
        <f t="array" ref="A153">IF(OR(C153=C152,C153=0),"",INDEX(CkDJ[Date],MATCH(C153,CkDJ[JEV Number],0)))</f>
        <v/>
      </c>
      <c r="B153" s="674"/>
      <c r="C153" s="690" t="str">
        <f t="shared" si="13"/>
        <v>20-01-001</v>
      </c>
      <c r="D153" s="690"/>
      <c r="E153" s="690"/>
      <c r="F153" s="690"/>
      <c r="G153" s="691" t="str">
        <f t="array" ref="G153">IF(OR(C153=C152,C153=0),"",INDEX(CasheirCode[Name],MATCH((INDEX(CkDJ[Sort Code],MATCH(C153,CkDJ[JEV Number],0))),CasheirCode[Sort Code])))</f>
        <v/>
      </c>
      <c r="H153" s="692">
        <f t="array" ref="H153">IF(OR($C153=$C152,$C153=0),0,(SUM(IF((CkDJ[JEV Number]=$C153)*(CkDJ[Account Code]=(H$9)),CkDJ[Credit]))))</f>
        <v>0</v>
      </c>
      <c r="I153" s="692">
        <f t="array" ref="I153">IF(OR($C153=$C152,$C153=0),0,(SUM(IF((CkDJ[JEV Number]=$C153)*(CkDJ[Account Code]=(I$9)),CkDJ[Credit]))))</f>
        <v>0</v>
      </c>
      <c r="J153" s="678"/>
      <c r="K153" s="692">
        <f t="array" ref="K153">IF($C153=0,0,(SUM(IF((CkDJ[JEV Number]=$C153)*(CkDJ[Account Code]=(J153)),CkDJ[Credit]))))</f>
        <v>0</v>
      </c>
      <c r="L153" s="692">
        <f t="array" ref="L153">IF(OR($C153=$C152,$C153=0),0,(SUM(IF((CkDJ[JEV Number]=$C153)*(CkDJ[Account Code]=(L$9)),CkDJ[Debit]))))</f>
        <v>0</v>
      </c>
      <c r="M153" s="692">
        <f t="array" ref="M153">IF(OR($C153=$C152,$C153=0),0,(SUM(IF((CkDJ[JEV Number]=$C153)*(CkDJ[Account Code]=(M$9)),CkDJ[Debit]))))</f>
        <v>0</v>
      </c>
      <c r="N153" s="692">
        <f t="array" ref="N153">IF(OR($C153=$C152,$C153=0),0,(SUM(IF((CkDJ[JEV Number]=$C153)*(CkDJ[Account Code]=(N$9)),CkDJ[Debit]))))</f>
        <v>0</v>
      </c>
      <c r="O153" s="692">
        <f t="array" ref="O153">IF(OR($C153=$C152,$C153=0),0,(SUM(IF((CkDJ[JEV Number]=$C153)*(CkDJ[Account Code]=(O$9)),CkDJ[Debit]))))</f>
        <v>0</v>
      </c>
      <c r="P153" s="726"/>
      <c r="Q153" s="692">
        <f t="array" ref="Q153">IF($C153=0,0,(SUM(IF((CkDJ[JEV Number]=$C153)*(CkDJ[Account Code]=(P153)),CkDJ[Debit]))))</f>
        <v>0</v>
      </c>
      <c r="R153" s="694">
        <f t="shared" si="14"/>
        <v>0</v>
      </c>
    </row>
    <row r="154" spans="1:18" x14ac:dyDescent="0.25">
      <c r="A154" s="776" t="str">
        <f t="array" ref="A154">IF(OR(C154=C153,C154=0),"",INDEX(CkDJ[Date],MATCH(C154,CkDJ[JEV Number],0)))</f>
        <v/>
      </c>
      <c r="B154" s="674"/>
      <c r="C154" s="690" t="str">
        <f t="shared" si="13"/>
        <v>20-01-001</v>
      </c>
      <c r="D154" s="690"/>
      <c r="E154" s="690"/>
      <c r="F154" s="690"/>
      <c r="G154" s="691" t="str">
        <f t="array" ref="G154">IF(OR(C154=C153,C154=0),"",INDEX(CasheirCode[Name],MATCH((INDEX(CkDJ[Sort Code],MATCH(C154,CkDJ[JEV Number],0))),CasheirCode[Sort Code])))</f>
        <v/>
      </c>
      <c r="H154" s="692">
        <f t="array" ref="H154">IF(OR($C154=$C153,$C154=0),0,(SUM(IF((CkDJ[JEV Number]=$C154)*(CkDJ[Account Code]=(H$9)),CkDJ[Credit]))))</f>
        <v>0</v>
      </c>
      <c r="I154" s="692">
        <f t="array" ref="I154">IF(OR($C154=$C153,$C154=0),0,(SUM(IF((CkDJ[JEV Number]=$C154)*(CkDJ[Account Code]=(I$9)),CkDJ[Credit]))))</f>
        <v>0</v>
      </c>
      <c r="J154" s="678"/>
      <c r="K154" s="692">
        <f t="array" ref="K154">IF($C154=0,0,(SUM(IF((CkDJ[JEV Number]=$C154)*(CkDJ[Account Code]=(J154)),CkDJ[Credit]))))</f>
        <v>0</v>
      </c>
      <c r="L154" s="692">
        <f t="array" ref="L154">IF(OR($C154=$C153,$C154=0),0,(SUM(IF((CkDJ[JEV Number]=$C154)*(CkDJ[Account Code]=(L$9)),CkDJ[Debit]))))</f>
        <v>0</v>
      </c>
      <c r="M154" s="692">
        <f t="array" ref="M154">IF(OR($C154=$C153,$C154=0),0,(SUM(IF((CkDJ[JEV Number]=$C154)*(CkDJ[Account Code]=(M$9)),CkDJ[Debit]))))</f>
        <v>0</v>
      </c>
      <c r="N154" s="692">
        <f t="array" ref="N154">IF(OR($C154=$C153,$C154=0),0,(SUM(IF((CkDJ[JEV Number]=$C154)*(CkDJ[Account Code]=(N$9)),CkDJ[Debit]))))</f>
        <v>0</v>
      </c>
      <c r="O154" s="692">
        <f t="array" ref="O154">IF(OR($C154=$C153,$C154=0),0,(SUM(IF((CkDJ[JEV Number]=$C154)*(CkDJ[Account Code]=(O$9)),CkDJ[Debit]))))</f>
        <v>0</v>
      </c>
      <c r="P154" s="726"/>
      <c r="Q154" s="692">
        <f t="array" ref="Q154">IF($C154=0,0,(SUM(IF((CkDJ[JEV Number]=$C154)*(CkDJ[Account Code]=(P154)),CkDJ[Debit]))))</f>
        <v>0</v>
      </c>
      <c r="R154" s="694">
        <f t="shared" si="14"/>
        <v>0</v>
      </c>
    </row>
    <row r="155" spans="1:18" x14ac:dyDescent="0.25">
      <c r="A155" s="776" t="str">
        <f t="array" ref="A155">IF(OR(C155=C154,C155=0),"",INDEX(CkDJ[Date],MATCH(C155,CkDJ[JEV Number],0)))</f>
        <v/>
      </c>
      <c r="B155" s="674"/>
      <c r="C155" s="690" t="str">
        <f t="shared" si="13"/>
        <v>20-01-001</v>
      </c>
      <c r="D155" s="690"/>
      <c r="E155" s="690"/>
      <c r="F155" s="690"/>
      <c r="G155" s="691" t="str">
        <f t="array" ref="G155">IF(OR(C155=C154,C155=0),"",INDEX(CasheirCode[Name],MATCH((INDEX(CkDJ[Sort Code],MATCH(C155,CkDJ[JEV Number],0))),CasheirCode[Sort Code])))</f>
        <v/>
      </c>
      <c r="H155" s="692">
        <f t="array" ref="H155">IF(OR($C155=$C154,$C155=0),0,(SUM(IF((CkDJ[JEV Number]=$C155)*(CkDJ[Account Code]=(H$9)),CkDJ[Credit]))))</f>
        <v>0</v>
      </c>
      <c r="I155" s="692">
        <f t="array" ref="I155">IF(OR($C155=$C154,$C155=0),0,(SUM(IF((CkDJ[JEV Number]=$C155)*(CkDJ[Account Code]=(I$9)),CkDJ[Credit]))))</f>
        <v>0</v>
      </c>
      <c r="J155" s="728"/>
      <c r="K155" s="692">
        <f t="array" ref="K155">IF($C155=0,0,(SUM(IF((CkDJ[JEV Number]=$C155)*(CkDJ[Account Code]=(J155)),CkDJ[Credit]))))</f>
        <v>0</v>
      </c>
      <c r="L155" s="692">
        <f t="array" ref="L155">IF(OR($C155=$C154,$C155=0),0,(SUM(IF((CkDJ[JEV Number]=$C155)*(CkDJ[Account Code]=(L$9)),CkDJ[Debit]))))</f>
        <v>0</v>
      </c>
      <c r="M155" s="692">
        <f t="array" ref="M155">IF(OR($C155=$C154,$C155=0),0,(SUM(IF((CkDJ[JEV Number]=$C155)*(CkDJ[Account Code]=(M$9)),CkDJ[Debit]))))</f>
        <v>0</v>
      </c>
      <c r="N155" s="692">
        <f t="array" ref="N155">IF(OR($C155=$C154,$C155=0),0,(SUM(IF((CkDJ[JEV Number]=$C155)*(CkDJ[Account Code]=(N$9)),CkDJ[Debit]))))</f>
        <v>0</v>
      </c>
      <c r="O155" s="692">
        <f t="array" ref="O155">IF(OR($C155=$C154,$C155=0),0,(SUM(IF((CkDJ[JEV Number]=$C155)*(CkDJ[Account Code]=(O$9)),CkDJ[Debit]))))</f>
        <v>0</v>
      </c>
      <c r="P155" s="726"/>
      <c r="Q155" s="692">
        <f t="array" ref="Q155">IF($C155=0,0,(SUM(IF((CkDJ[JEV Number]=$C155)*(CkDJ[Account Code]=(P155)),CkDJ[Debit]))))</f>
        <v>0</v>
      </c>
      <c r="R155" s="694">
        <f t="shared" si="14"/>
        <v>0</v>
      </c>
    </row>
    <row r="156" spans="1:18" x14ac:dyDescent="0.25">
      <c r="A156" s="776" t="str">
        <f t="array" ref="A156">IF(OR(C156=C155,C156=0),"",INDEX(CkDJ[Date],MATCH(C156,CkDJ[JEV Number],0)))</f>
        <v/>
      </c>
      <c r="B156" s="674"/>
      <c r="C156" s="690" t="str">
        <f t="shared" si="13"/>
        <v>20-01-001</v>
      </c>
      <c r="D156" s="690"/>
      <c r="E156" s="690"/>
      <c r="F156" s="690"/>
      <c r="G156" s="691" t="str">
        <f t="array" ref="G156">IF(OR(C156=C155,C156=0),"",INDEX(CasheirCode[Name],MATCH((INDEX(CkDJ[Sort Code],MATCH(C156,CkDJ[JEV Number],0))),CasheirCode[Sort Code])))</f>
        <v/>
      </c>
      <c r="H156" s="692">
        <f t="array" ref="H156">IF(OR($C156=$C155,$C156=0),0,(SUM(IF((CkDJ[JEV Number]=$C156)*(CkDJ[Account Code]=(H$9)),CkDJ[Credit]))))</f>
        <v>0</v>
      </c>
      <c r="I156" s="692">
        <f t="array" ref="I156">IF(OR($C156=$C155,$C156=0),0,(SUM(IF((CkDJ[JEV Number]=$C156)*(CkDJ[Account Code]=(I$9)),CkDJ[Credit]))))</f>
        <v>0</v>
      </c>
      <c r="J156" s="728"/>
      <c r="K156" s="692">
        <f t="array" ref="K156">IF($C156=0,0,(SUM(IF((CkDJ[JEV Number]=$C156)*(CkDJ[Account Code]=(J156)),CkDJ[Credit]))))</f>
        <v>0</v>
      </c>
      <c r="L156" s="692">
        <f t="array" ref="L156">IF(OR($C156=$C155,$C156=0),0,(SUM(IF((CkDJ[JEV Number]=$C156)*(CkDJ[Account Code]=(L$9)),CkDJ[Debit]))))</f>
        <v>0</v>
      </c>
      <c r="M156" s="692">
        <f t="array" ref="M156">IF(OR($C156=$C155,$C156=0),0,(SUM(IF((CkDJ[JEV Number]=$C156)*(CkDJ[Account Code]=(M$9)),CkDJ[Debit]))))</f>
        <v>0</v>
      </c>
      <c r="N156" s="692">
        <f t="array" ref="N156">IF(OR($C156=$C155,$C156=0),0,(SUM(IF((CkDJ[JEV Number]=$C156)*(CkDJ[Account Code]=(N$9)),CkDJ[Debit]))))</f>
        <v>0</v>
      </c>
      <c r="O156" s="692">
        <f t="array" ref="O156">IF(OR($C156=$C155,$C156=0),0,(SUM(IF((CkDJ[JEV Number]=$C156)*(CkDJ[Account Code]=(O$9)),CkDJ[Debit]))))</f>
        <v>0</v>
      </c>
      <c r="P156" s="726"/>
      <c r="Q156" s="692">
        <f t="array" ref="Q156">IF($C156=0,0,(SUM(IF((CkDJ[JEV Number]=$C156)*(CkDJ[Account Code]=(P156)),CkDJ[Debit]))))</f>
        <v>0</v>
      </c>
      <c r="R156" s="694">
        <f t="shared" si="14"/>
        <v>0</v>
      </c>
    </row>
    <row r="157" spans="1:18" x14ac:dyDescent="0.25">
      <c r="A157" s="776" t="str">
        <f t="array" ref="A157">IF(OR(C157=C156,C157=0),"",INDEX(CkDJ[Date],MATCH(C157,CkDJ[JEV Number],0)))</f>
        <v/>
      </c>
      <c r="B157" s="674"/>
      <c r="C157" s="690" t="str">
        <f t="shared" si="13"/>
        <v>20-01-001</v>
      </c>
      <c r="D157" s="690"/>
      <c r="E157" s="690"/>
      <c r="F157" s="690"/>
      <c r="G157" s="691" t="str">
        <f t="array" ref="G157">IF(OR(C157=C156,C157=0),"",INDEX(CasheirCode[Name],MATCH((INDEX(CkDJ[Sort Code],MATCH(C157,CkDJ[JEV Number],0))),CasheirCode[Sort Code])))</f>
        <v/>
      </c>
      <c r="H157" s="692">
        <f t="array" ref="H157">IF(OR($C157=$C156,$C157=0),0,(SUM(IF((CkDJ[JEV Number]=$C157)*(CkDJ[Account Code]=(H$9)),CkDJ[Credit]))))</f>
        <v>0</v>
      </c>
      <c r="I157" s="692">
        <f t="array" ref="I157">IF(OR($C157=$C156,$C157=0),0,(SUM(IF((CkDJ[JEV Number]=$C157)*(CkDJ[Account Code]=(I$9)),CkDJ[Credit]))))</f>
        <v>0</v>
      </c>
      <c r="J157" s="728"/>
      <c r="K157" s="692">
        <f t="array" ref="K157">IF($C157=0,0,(SUM(IF((CkDJ[JEV Number]=$C157)*(CkDJ[Account Code]=(J157)),CkDJ[Credit]))))</f>
        <v>0</v>
      </c>
      <c r="L157" s="692">
        <f t="array" ref="L157">IF(OR($C157=$C156,$C157=0),0,(SUM(IF((CkDJ[JEV Number]=$C157)*(CkDJ[Account Code]=(L$9)),CkDJ[Debit]))))</f>
        <v>0</v>
      </c>
      <c r="M157" s="692">
        <f t="array" ref="M157">IF(OR($C157=$C156,$C157=0),0,(SUM(IF((CkDJ[JEV Number]=$C157)*(CkDJ[Account Code]=(M$9)),CkDJ[Debit]))))</f>
        <v>0</v>
      </c>
      <c r="N157" s="692">
        <f t="array" ref="N157">IF(OR($C157=$C156,$C157=0),0,(SUM(IF((CkDJ[JEV Number]=$C157)*(CkDJ[Account Code]=(N$9)),CkDJ[Debit]))))</f>
        <v>0</v>
      </c>
      <c r="O157" s="692">
        <f t="array" ref="O157">IF(OR($C157=$C156,$C157=0),0,(SUM(IF((CkDJ[JEV Number]=$C157)*(CkDJ[Account Code]=(O$9)),CkDJ[Debit]))))</f>
        <v>0</v>
      </c>
      <c r="P157" s="726"/>
      <c r="Q157" s="692">
        <f t="array" ref="Q157">IF($C157=0,0,(SUM(IF((CkDJ[JEV Number]=$C157)*(CkDJ[Account Code]=(P157)),CkDJ[Debit]))))</f>
        <v>0</v>
      </c>
      <c r="R157" s="694">
        <f t="shared" si="14"/>
        <v>0</v>
      </c>
    </row>
    <row r="158" spans="1:18" x14ac:dyDescent="0.25">
      <c r="A158" s="776" t="str">
        <f t="array" ref="A158">IF(OR(C158=C157,C158=0),"",INDEX(CkDJ[Date],MATCH(C158,CkDJ[JEV Number],0)))</f>
        <v/>
      </c>
      <c r="B158" s="674"/>
      <c r="C158" s="690" t="str">
        <f t="shared" si="13"/>
        <v>20-01-001</v>
      </c>
      <c r="D158" s="690"/>
      <c r="E158" s="690"/>
      <c r="F158" s="690"/>
      <c r="G158" s="691" t="str">
        <f t="array" ref="G158">IF(OR(C158=C157,C158=0),"",INDEX(CasheirCode[Name],MATCH((INDEX(CkDJ[Sort Code],MATCH(C158,CkDJ[JEV Number],0))),CasheirCode[Sort Code])))</f>
        <v/>
      </c>
      <c r="H158" s="692">
        <f t="array" ref="H158">IF(OR($C158=$C157,$C158=0),0,(SUM(IF((CkDJ[JEV Number]=$C158)*(CkDJ[Account Code]=(H$9)),CkDJ[Credit]))))</f>
        <v>0</v>
      </c>
      <c r="I158" s="692">
        <f t="array" ref="I158">IF(OR($C158=$C157,$C158=0),0,(SUM(IF((CkDJ[JEV Number]=$C158)*(CkDJ[Account Code]=(I$9)),CkDJ[Credit]))))</f>
        <v>0</v>
      </c>
      <c r="J158" s="678"/>
      <c r="K158" s="692">
        <f t="array" ref="K158">IF($C158=0,0,(SUM(IF((CkDJ[JEV Number]=$C158)*(CkDJ[Account Code]=(J158)),CkDJ[Credit]))))</f>
        <v>0</v>
      </c>
      <c r="L158" s="692">
        <f t="array" ref="L158">IF(OR($C158=$C157,$C158=0),0,(SUM(IF((CkDJ[JEV Number]=$C158)*(CkDJ[Account Code]=(L$9)),CkDJ[Debit]))))</f>
        <v>0</v>
      </c>
      <c r="M158" s="692">
        <f t="array" ref="M158">IF(OR($C158=$C157,$C158=0),0,(SUM(IF((CkDJ[JEV Number]=$C158)*(CkDJ[Account Code]=(M$9)),CkDJ[Debit]))))</f>
        <v>0</v>
      </c>
      <c r="N158" s="692">
        <f t="array" ref="N158">IF(OR($C158=$C157,$C158=0),0,(SUM(IF((CkDJ[JEV Number]=$C158)*(CkDJ[Account Code]=(N$9)),CkDJ[Debit]))))</f>
        <v>0</v>
      </c>
      <c r="O158" s="692">
        <f t="array" ref="O158">IF(OR($C158=$C157,$C158=0),0,(SUM(IF((CkDJ[JEV Number]=$C158)*(CkDJ[Account Code]=(O$9)),CkDJ[Debit]))))</f>
        <v>0</v>
      </c>
      <c r="P158" s="726"/>
      <c r="Q158" s="692">
        <f t="array" ref="Q158">IF($C158=0,0,(SUM(IF((CkDJ[JEV Number]=$C158)*(CkDJ[Account Code]=(P158)),CkDJ[Debit]))))</f>
        <v>0</v>
      </c>
      <c r="R158" s="694">
        <f t="shared" si="14"/>
        <v>0</v>
      </c>
    </row>
    <row r="159" spans="1:18" x14ac:dyDescent="0.25">
      <c r="A159" s="776" t="str">
        <f t="array" ref="A159">IF(OR(C159=C158,C159=0),"",INDEX(CkDJ[Date],MATCH(C159,CkDJ[JEV Number],0)))</f>
        <v/>
      </c>
      <c r="B159" s="674"/>
      <c r="C159" s="690" t="str">
        <f t="shared" si="13"/>
        <v>20-01-001</v>
      </c>
      <c r="D159" s="690"/>
      <c r="E159" s="690"/>
      <c r="F159" s="690"/>
      <c r="G159" s="691" t="str">
        <f t="array" ref="G159">IF(OR(C159=C158,C159=0),"",INDEX(CasheirCode[Name],MATCH((INDEX(CkDJ[Sort Code],MATCH(C159,CkDJ[JEV Number],0))),CasheirCode[Sort Code])))</f>
        <v/>
      </c>
      <c r="H159" s="692">
        <f t="array" ref="H159">IF(OR($C159=$C158,$C159=0),0,(SUM(IF((CkDJ[JEV Number]=$C159)*(CkDJ[Account Code]=(H$9)),CkDJ[Credit]))))</f>
        <v>0</v>
      </c>
      <c r="I159" s="692">
        <f t="array" ref="I159">IF(OR($C159=$C158,$C159=0),0,(SUM(IF((CkDJ[JEV Number]=$C159)*(CkDJ[Account Code]=(I$9)),CkDJ[Credit]))))</f>
        <v>0</v>
      </c>
      <c r="J159" s="678"/>
      <c r="K159" s="692">
        <f t="array" ref="K159">IF($C159=0,0,(SUM(IF((CkDJ[JEV Number]=$C159)*(CkDJ[Account Code]=(J159)),CkDJ[Credit]))))</f>
        <v>0</v>
      </c>
      <c r="L159" s="692">
        <f t="array" ref="L159">IF(OR($C159=$C158,$C159=0),0,(SUM(IF((CkDJ[JEV Number]=$C159)*(CkDJ[Account Code]=(L$9)),CkDJ[Debit]))))</f>
        <v>0</v>
      </c>
      <c r="M159" s="692">
        <f t="array" ref="M159">IF(OR($C159=$C158,$C159=0),0,(SUM(IF((CkDJ[JEV Number]=$C159)*(CkDJ[Account Code]=(M$9)),CkDJ[Debit]))))</f>
        <v>0</v>
      </c>
      <c r="N159" s="692">
        <f t="array" ref="N159">IF(OR($C159=$C158,$C159=0),0,(SUM(IF((CkDJ[JEV Number]=$C159)*(CkDJ[Account Code]=(N$9)),CkDJ[Debit]))))</f>
        <v>0</v>
      </c>
      <c r="O159" s="692">
        <f t="array" ref="O159">IF(OR($C159=$C158,$C159=0),0,(SUM(IF((CkDJ[JEV Number]=$C159)*(CkDJ[Account Code]=(O$9)),CkDJ[Debit]))))</f>
        <v>0</v>
      </c>
      <c r="P159" s="726"/>
      <c r="Q159" s="692">
        <f t="array" ref="Q159">IF($C159=0,0,(SUM(IF((CkDJ[JEV Number]=$C159)*(CkDJ[Account Code]=(P159)),CkDJ[Debit]))))</f>
        <v>0</v>
      </c>
      <c r="R159" s="694">
        <f t="shared" si="14"/>
        <v>0</v>
      </c>
    </row>
    <row r="160" spans="1:18" x14ac:dyDescent="0.25">
      <c r="A160" s="776" t="str">
        <f t="array" ref="A160">IF(OR(C160=C159,C160=0),"",INDEX(CkDJ[Date],MATCH(C160,CkDJ[JEV Number],0)))</f>
        <v/>
      </c>
      <c r="B160" s="674"/>
      <c r="C160" s="690" t="str">
        <f t="shared" si="13"/>
        <v>20-01-001</v>
      </c>
      <c r="D160" s="690"/>
      <c r="E160" s="690"/>
      <c r="F160" s="690"/>
      <c r="G160" s="691" t="str">
        <f t="array" ref="G160">IF(OR(C160=C159,C160=0),"",INDEX(CasheirCode[Name],MATCH((INDEX(CkDJ[Sort Code],MATCH(C160,CkDJ[JEV Number],0))),CasheirCode[Sort Code])))</f>
        <v/>
      </c>
      <c r="H160" s="692">
        <f t="array" ref="H160">IF(OR($C160=$C159,$C160=0),0,(SUM(IF((CkDJ[JEV Number]=$C160)*(CkDJ[Account Code]=(H$9)),CkDJ[Credit]))))</f>
        <v>0</v>
      </c>
      <c r="I160" s="692">
        <f t="array" ref="I160">IF(OR($C160=$C159,$C160=0),0,(SUM(IF((CkDJ[JEV Number]=$C160)*(CkDJ[Account Code]=(I$9)),CkDJ[Credit]))))</f>
        <v>0</v>
      </c>
      <c r="J160" s="678"/>
      <c r="K160" s="692">
        <f t="array" ref="K160">IF($C160=0,0,(SUM(IF((CkDJ[JEV Number]=$C160)*(CkDJ[Account Code]=(J160)),CkDJ[Credit]))))</f>
        <v>0</v>
      </c>
      <c r="L160" s="692">
        <f t="array" ref="L160">IF(OR($C160=$C159,$C160=0),0,(SUM(IF((CkDJ[JEV Number]=$C160)*(CkDJ[Account Code]=(L$9)),CkDJ[Debit]))))</f>
        <v>0</v>
      </c>
      <c r="M160" s="692">
        <f t="array" ref="M160">IF(OR($C160=$C159,$C160=0),0,(SUM(IF((CkDJ[JEV Number]=$C160)*(CkDJ[Account Code]=(M$9)),CkDJ[Debit]))))</f>
        <v>0</v>
      </c>
      <c r="N160" s="692">
        <f t="array" ref="N160">IF(OR($C160=$C159,$C160=0),0,(SUM(IF((CkDJ[JEV Number]=$C160)*(CkDJ[Account Code]=(N$9)),CkDJ[Debit]))))</f>
        <v>0</v>
      </c>
      <c r="O160" s="692">
        <f t="array" ref="O160">IF(OR($C160=$C159,$C160=0),0,(SUM(IF((CkDJ[JEV Number]=$C160)*(CkDJ[Account Code]=(O$9)),CkDJ[Debit]))))</f>
        <v>0</v>
      </c>
      <c r="P160" s="726"/>
      <c r="Q160" s="692">
        <f t="array" ref="Q160">IF($C160=0,0,(SUM(IF((CkDJ[JEV Number]=$C160)*(CkDJ[Account Code]=(P160)),CkDJ[Debit]))))</f>
        <v>0</v>
      </c>
      <c r="R160" s="694">
        <f t="shared" si="14"/>
        <v>0</v>
      </c>
    </row>
    <row r="161" spans="1:18" x14ac:dyDescent="0.25">
      <c r="A161" s="776" t="str">
        <f t="array" ref="A161">IF(OR(C161=C160,C161=0),"",INDEX(CkDJ[Date],MATCH(C161,CkDJ[JEV Number],0)))</f>
        <v/>
      </c>
      <c r="B161" s="674"/>
      <c r="C161" s="690" t="str">
        <f t="shared" si="13"/>
        <v>20-01-001</v>
      </c>
      <c r="D161" s="690"/>
      <c r="E161" s="690"/>
      <c r="F161" s="690"/>
      <c r="G161" s="691" t="str">
        <f t="array" ref="G161">IF(OR(C161=C160,C161=0),"",INDEX(CasheirCode[Name],MATCH((INDEX(CkDJ[Sort Code],MATCH(C161,CkDJ[JEV Number],0))),CasheirCode[Sort Code])))</f>
        <v/>
      </c>
      <c r="H161" s="692">
        <f t="array" ref="H161">IF(OR($C161=$C160,$C161=0),0,(SUM(IF((CkDJ[JEV Number]=$C161)*(CkDJ[Account Code]=(H$9)),CkDJ[Credit]))))</f>
        <v>0</v>
      </c>
      <c r="I161" s="692">
        <f t="array" ref="I161">IF(OR($C161=$C160,$C161=0),0,(SUM(IF((CkDJ[JEV Number]=$C161)*(CkDJ[Account Code]=(I$9)),CkDJ[Credit]))))</f>
        <v>0</v>
      </c>
      <c r="J161" s="678"/>
      <c r="K161" s="692">
        <f t="array" ref="K161">IF($C161=0,0,(SUM(IF((CkDJ[JEV Number]=$C161)*(CkDJ[Account Code]=(J161)),CkDJ[Credit]))))</f>
        <v>0</v>
      </c>
      <c r="L161" s="692">
        <f t="array" ref="L161">IF(OR($C161=$C160,$C161=0),0,(SUM(IF((CkDJ[JEV Number]=$C161)*(CkDJ[Account Code]=(L$9)),CkDJ[Debit]))))</f>
        <v>0</v>
      </c>
      <c r="M161" s="692">
        <f t="array" ref="M161">IF(OR($C161=$C160,$C161=0),0,(SUM(IF((CkDJ[JEV Number]=$C161)*(CkDJ[Account Code]=(M$9)),CkDJ[Debit]))))</f>
        <v>0</v>
      </c>
      <c r="N161" s="692">
        <f t="array" ref="N161">IF(OR($C161=$C160,$C161=0),0,(SUM(IF((CkDJ[JEV Number]=$C161)*(CkDJ[Account Code]=(N$9)),CkDJ[Debit]))))</f>
        <v>0</v>
      </c>
      <c r="O161" s="692">
        <f t="array" ref="O161">IF(OR($C161=$C160,$C161=0),0,(SUM(IF((CkDJ[JEV Number]=$C161)*(CkDJ[Account Code]=(O$9)),CkDJ[Debit]))))</f>
        <v>0</v>
      </c>
      <c r="P161" s="726"/>
      <c r="Q161" s="692">
        <f t="array" ref="Q161">IF($C161=0,0,(SUM(IF((CkDJ[JEV Number]=$C161)*(CkDJ[Account Code]=(P161)),CkDJ[Debit]))))</f>
        <v>0</v>
      </c>
      <c r="R161" s="694">
        <f t="shared" si="14"/>
        <v>0</v>
      </c>
    </row>
    <row r="162" spans="1:18" x14ac:dyDescent="0.25">
      <c r="A162" s="776" t="str">
        <f t="array" ref="A162">IF(OR(C162=C161,C162=0),"",INDEX(CkDJ[Date],MATCH(C162,CkDJ[JEV Number],0)))</f>
        <v/>
      </c>
      <c r="B162" s="674"/>
      <c r="C162" s="690" t="str">
        <f t="shared" si="13"/>
        <v>20-01-001</v>
      </c>
      <c r="D162" s="690"/>
      <c r="E162" s="690"/>
      <c r="F162" s="690"/>
      <c r="G162" s="691" t="str">
        <f t="array" ref="G162">IF(OR(C162=C161,C162=0),"",INDEX(CasheirCode[Name],MATCH((INDEX(CkDJ[Sort Code],MATCH(C162,CkDJ[JEV Number],0))),CasheirCode[Sort Code])))</f>
        <v/>
      </c>
      <c r="H162" s="692">
        <f t="array" ref="H162">IF(OR($C162=$C161,$C162=0),0,(SUM(IF((CkDJ[JEV Number]=$C162)*(CkDJ[Account Code]=(H$9)),CkDJ[Credit]))))</f>
        <v>0</v>
      </c>
      <c r="I162" s="692">
        <f t="array" ref="I162">IF(OR($C162=$C161,$C162=0),0,(SUM(IF((CkDJ[JEV Number]=$C162)*(CkDJ[Account Code]=(I$9)),CkDJ[Credit]))))</f>
        <v>0</v>
      </c>
      <c r="J162" s="678"/>
      <c r="K162" s="692">
        <f t="array" ref="K162">IF($C162=0,0,(SUM(IF((CkDJ[JEV Number]=$C162)*(CkDJ[Account Code]=(J162)),CkDJ[Credit]))))</f>
        <v>0</v>
      </c>
      <c r="L162" s="692">
        <f t="array" ref="L162">IF(OR($C162=$C161,$C162=0),0,(SUM(IF((CkDJ[JEV Number]=$C162)*(CkDJ[Account Code]=(L$9)),CkDJ[Debit]))))</f>
        <v>0</v>
      </c>
      <c r="M162" s="692">
        <f t="array" ref="M162">IF(OR($C162=$C161,$C162=0),0,(SUM(IF((CkDJ[JEV Number]=$C162)*(CkDJ[Account Code]=(M$9)),CkDJ[Debit]))))</f>
        <v>0</v>
      </c>
      <c r="N162" s="692">
        <f t="array" ref="N162">IF(OR($C162=$C161,$C162=0),0,(SUM(IF((CkDJ[JEV Number]=$C162)*(CkDJ[Account Code]=(N$9)),CkDJ[Debit]))))</f>
        <v>0</v>
      </c>
      <c r="O162" s="692">
        <f t="array" ref="O162">IF(OR($C162=$C161,$C162=0),0,(SUM(IF((CkDJ[JEV Number]=$C162)*(CkDJ[Account Code]=(O$9)),CkDJ[Debit]))))</f>
        <v>0</v>
      </c>
      <c r="P162" s="726"/>
      <c r="Q162" s="692">
        <f t="array" ref="Q162">IF($C162=0,0,(SUM(IF((CkDJ[JEV Number]=$C162)*(CkDJ[Account Code]=(P162)),CkDJ[Debit]))))</f>
        <v>0</v>
      </c>
      <c r="R162" s="694">
        <f t="shared" si="14"/>
        <v>0</v>
      </c>
    </row>
    <row r="163" spans="1:18" x14ac:dyDescent="0.25">
      <c r="A163" s="776" t="str">
        <f t="array" ref="A163">IF(OR(C163=C162,C163=0),"",INDEX(CkDJ[Date],MATCH(C163,CkDJ[JEV Number],0)))</f>
        <v/>
      </c>
      <c r="B163" s="674"/>
      <c r="C163" s="690" t="str">
        <f t="shared" si="13"/>
        <v>20-01-001</v>
      </c>
      <c r="D163" s="690"/>
      <c r="E163" s="690"/>
      <c r="F163" s="690"/>
      <c r="G163" s="691" t="str">
        <f t="array" ref="G163">IF(OR(C163=C162,C163=0),"",INDEX(CasheirCode[Name],MATCH((INDEX(CkDJ[Sort Code],MATCH(C163,CkDJ[JEV Number],0))),CasheirCode[Sort Code])))</f>
        <v/>
      </c>
      <c r="H163" s="692">
        <f t="array" ref="H163">IF(OR($C163=$C162,$C163=0),0,(SUM(IF((CkDJ[JEV Number]=$C163)*(CkDJ[Account Code]=(H$9)),CkDJ[Credit]))))</f>
        <v>0</v>
      </c>
      <c r="I163" s="692">
        <f t="array" ref="I163">IF(OR($C163=$C162,$C163=0),0,(SUM(IF((CkDJ[JEV Number]=$C163)*(CkDJ[Account Code]=(I$9)),CkDJ[Credit]))))</f>
        <v>0</v>
      </c>
      <c r="J163" s="678"/>
      <c r="K163" s="692">
        <f t="array" ref="K163">IF($C163=0,0,(SUM(IF((CkDJ[JEV Number]=$C163)*(CkDJ[Account Code]=(J163)),CkDJ[Credit]))))</f>
        <v>0</v>
      </c>
      <c r="L163" s="692">
        <f t="array" ref="L163">IF(OR($C163=$C162,$C163=0),0,(SUM(IF((CkDJ[JEV Number]=$C163)*(CkDJ[Account Code]=(L$9)),CkDJ[Debit]))))</f>
        <v>0</v>
      </c>
      <c r="M163" s="692">
        <f t="array" ref="M163">IF(OR($C163=$C162,$C163=0),0,(SUM(IF((CkDJ[JEV Number]=$C163)*(CkDJ[Account Code]=(M$9)),CkDJ[Debit]))))</f>
        <v>0</v>
      </c>
      <c r="N163" s="692">
        <f t="array" ref="N163">IF(OR($C163=$C162,$C163=0),0,(SUM(IF((CkDJ[JEV Number]=$C163)*(CkDJ[Account Code]=(N$9)),CkDJ[Debit]))))</f>
        <v>0</v>
      </c>
      <c r="O163" s="692">
        <f t="array" ref="O163">IF(OR($C163=$C162,$C163=0),0,(SUM(IF((CkDJ[JEV Number]=$C163)*(CkDJ[Account Code]=(O$9)),CkDJ[Debit]))))</f>
        <v>0</v>
      </c>
      <c r="P163" s="726"/>
      <c r="Q163" s="692">
        <f t="array" ref="Q163">IF($C163=0,0,(SUM(IF((CkDJ[JEV Number]=$C163)*(CkDJ[Account Code]=(P163)),CkDJ[Debit]))))</f>
        <v>0</v>
      </c>
      <c r="R163" s="694">
        <f t="shared" si="14"/>
        <v>0</v>
      </c>
    </row>
    <row r="164" spans="1:18" x14ac:dyDescent="0.25">
      <c r="A164" s="776" t="str">
        <f t="array" ref="A164">IF(OR(C164=C163,C164=0),"",INDEX(CkDJ[Date],MATCH(C164,CkDJ[JEV Number],0)))</f>
        <v/>
      </c>
      <c r="B164" s="674"/>
      <c r="C164" s="690" t="str">
        <f t="shared" si="13"/>
        <v>20-01-001</v>
      </c>
      <c r="D164" s="690"/>
      <c r="E164" s="690"/>
      <c r="F164" s="690"/>
      <c r="G164" s="691" t="str">
        <f t="array" ref="G164">IF(OR(C164=C163,C164=0),"",INDEX(CasheirCode[Name],MATCH((INDEX(CkDJ[Sort Code],MATCH(C164,CkDJ[JEV Number],0))),CasheirCode[Sort Code])))</f>
        <v/>
      </c>
      <c r="H164" s="692">
        <f t="array" ref="H164">IF(OR($C164=$C163,$C164=0),0,(SUM(IF((CkDJ[JEV Number]=$C164)*(CkDJ[Account Code]=(H$9)),CkDJ[Credit]))))</f>
        <v>0</v>
      </c>
      <c r="I164" s="692">
        <f t="array" ref="I164">IF(OR($C164=$C163,$C164=0),0,(SUM(IF((CkDJ[JEV Number]=$C164)*(CkDJ[Account Code]=(I$9)),CkDJ[Credit]))))</f>
        <v>0</v>
      </c>
      <c r="J164" s="678"/>
      <c r="K164" s="692">
        <f t="array" ref="K164">IF($C164=0,0,(SUM(IF((CkDJ[JEV Number]=$C164)*(CkDJ[Account Code]=(J164)),CkDJ[Credit]))))</f>
        <v>0</v>
      </c>
      <c r="L164" s="692">
        <f t="array" ref="L164">IF(OR($C164=$C163,$C164=0),0,(SUM(IF((CkDJ[JEV Number]=$C164)*(CkDJ[Account Code]=(L$9)),CkDJ[Debit]))))</f>
        <v>0</v>
      </c>
      <c r="M164" s="692">
        <f t="array" ref="M164">IF(OR($C164=$C163,$C164=0),0,(SUM(IF((CkDJ[JEV Number]=$C164)*(CkDJ[Account Code]=(M$9)),CkDJ[Debit]))))</f>
        <v>0</v>
      </c>
      <c r="N164" s="692">
        <f t="array" ref="N164">IF(OR($C164=$C163,$C164=0),0,(SUM(IF((CkDJ[JEV Number]=$C164)*(CkDJ[Account Code]=(N$9)),CkDJ[Debit]))))</f>
        <v>0</v>
      </c>
      <c r="O164" s="692">
        <f t="array" ref="O164">IF(OR($C164=$C163,$C164=0),0,(SUM(IF((CkDJ[JEV Number]=$C164)*(CkDJ[Account Code]=(O$9)),CkDJ[Debit]))))</f>
        <v>0</v>
      </c>
      <c r="P164" s="726"/>
      <c r="Q164" s="692">
        <f t="array" ref="Q164">IF($C164=0,0,(SUM(IF((CkDJ[JEV Number]=$C164)*(CkDJ[Account Code]=(P164)),CkDJ[Debit]))))</f>
        <v>0</v>
      </c>
      <c r="R164" s="694">
        <f t="shared" si="14"/>
        <v>0</v>
      </c>
    </row>
    <row r="165" spans="1:18" x14ac:dyDescent="0.25">
      <c r="A165" s="776" t="str">
        <f t="array" ref="A165">IF(OR(C165=C164,C165=0),"",INDEX(CkDJ[Date],MATCH(C165,CkDJ[JEV Number],0)))</f>
        <v/>
      </c>
      <c r="B165" s="674"/>
      <c r="C165" s="690" t="str">
        <f t="shared" si="13"/>
        <v>20-01-001</v>
      </c>
      <c r="D165" s="690"/>
      <c r="E165" s="690"/>
      <c r="F165" s="690"/>
      <c r="G165" s="691" t="str">
        <f t="array" ref="G165">IF(OR(C165=C164,C165=0),"",INDEX(CasheirCode[Name],MATCH((INDEX(CkDJ[Sort Code],MATCH(C165,CkDJ[JEV Number],0))),CasheirCode[Sort Code])))</f>
        <v/>
      </c>
      <c r="H165" s="692">
        <f t="array" ref="H165">IF(OR($C165=$C164,$C165=0),0,(SUM(IF((CkDJ[JEV Number]=$C165)*(CkDJ[Account Code]=(H$9)),CkDJ[Credit]))))</f>
        <v>0</v>
      </c>
      <c r="I165" s="692">
        <f t="array" ref="I165">IF(OR($C165=$C164,$C165=0),0,(SUM(IF((CkDJ[JEV Number]=$C165)*(CkDJ[Account Code]=(I$9)),CkDJ[Credit]))))</f>
        <v>0</v>
      </c>
      <c r="J165" s="678"/>
      <c r="K165" s="692">
        <f t="array" ref="K165">IF($C165=0,0,(SUM(IF((CkDJ[JEV Number]=$C165)*(CkDJ[Account Code]=(J165)),CkDJ[Credit]))))</f>
        <v>0</v>
      </c>
      <c r="L165" s="692">
        <f t="array" ref="L165">IF(OR($C165=$C164,$C165=0),0,(SUM(IF((CkDJ[JEV Number]=$C165)*(CkDJ[Account Code]=(L$9)),CkDJ[Debit]))))</f>
        <v>0</v>
      </c>
      <c r="M165" s="692">
        <f t="array" ref="M165">IF(OR($C165=$C164,$C165=0),0,(SUM(IF((CkDJ[JEV Number]=$C165)*(CkDJ[Account Code]=(M$9)),CkDJ[Debit]))))</f>
        <v>0</v>
      </c>
      <c r="N165" s="692">
        <f t="array" ref="N165">IF(OR($C165=$C164,$C165=0),0,(SUM(IF((CkDJ[JEV Number]=$C165)*(CkDJ[Account Code]=(N$9)),CkDJ[Debit]))))</f>
        <v>0</v>
      </c>
      <c r="O165" s="692">
        <f t="array" ref="O165">IF(OR($C165=$C164,$C165=0),0,(SUM(IF((CkDJ[JEV Number]=$C165)*(CkDJ[Account Code]=(O$9)),CkDJ[Debit]))))</f>
        <v>0</v>
      </c>
      <c r="P165" s="726"/>
      <c r="Q165" s="692">
        <f t="array" ref="Q165">IF($C165=0,0,(SUM(IF((CkDJ[JEV Number]=$C165)*(CkDJ[Account Code]=(P165)),CkDJ[Debit]))))</f>
        <v>0</v>
      </c>
      <c r="R165" s="694">
        <f t="shared" si="14"/>
        <v>0</v>
      </c>
    </row>
    <row r="166" spans="1:18" x14ac:dyDescent="0.25">
      <c r="A166" s="776" t="str">
        <f t="array" ref="A166">IF(OR(C166=C165,C166=0),"",INDEX(CkDJ[Date],MATCH(C166,CkDJ[JEV Number],0)))</f>
        <v/>
      </c>
      <c r="B166" s="674"/>
      <c r="C166" s="690" t="str">
        <f t="shared" si="13"/>
        <v>20-01-001</v>
      </c>
      <c r="D166" s="690"/>
      <c r="E166" s="690"/>
      <c r="F166" s="690"/>
      <c r="G166" s="691" t="str">
        <f t="array" ref="G166">IF(OR(C166=C165,C166=0),"",INDEX(CasheirCode[Name],MATCH((INDEX(CkDJ[Sort Code],MATCH(C166,CkDJ[JEV Number],0))),CasheirCode[Sort Code])))</f>
        <v/>
      </c>
      <c r="H166" s="692">
        <f t="array" ref="H166">IF(OR($C166=$C165,$C166=0),0,(SUM(IF((CkDJ[JEV Number]=$C166)*(CkDJ[Account Code]=(H$9)),CkDJ[Credit]))))</f>
        <v>0</v>
      </c>
      <c r="I166" s="692">
        <f t="array" ref="I166">IF(OR($C166=$C165,$C166=0),0,(SUM(IF((CkDJ[JEV Number]=$C166)*(CkDJ[Account Code]=(I$9)),CkDJ[Credit]))))</f>
        <v>0</v>
      </c>
      <c r="J166" s="678"/>
      <c r="K166" s="692">
        <f t="array" ref="K166">IF($C166=0,0,(SUM(IF((CkDJ[JEV Number]=$C166)*(CkDJ[Account Code]=(J166)),CkDJ[Credit]))))</f>
        <v>0</v>
      </c>
      <c r="L166" s="692">
        <f t="array" ref="L166">IF(OR($C166=$C165,$C166=0),0,(SUM(IF((CkDJ[JEV Number]=$C166)*(CkDJ[Account Code]=(L$9)),CkDJ[Debit]))))</f>
        <v>0</v>
      </c>
      <c r="M166" s="692">
        <f t="array" ref="M166">IF(OR($C166=$C165,$C166=0),0,(SUM(IF((CkDJ[JEV Number]=$C166)*(CkDJ[Account Code]=(M$9)),CkDJ[Debit]))))</f>
        <v>0</v>
      </c>
      <c r="N166" s="692">
        <f t="array" ref="N166">IF(OR($C166=$C165,$C166=0),0,(SUM(IF((CkDJ[JEV Number]=$C166)*(CkDJ[Account Code]=(N$9)),CkDJ[Debit]))))</f>
        <v>0</v>
      </c>
      <c r="O166" s="692">
        <f t="array" ref="O166">IF(OR($C166=$C165,$C166=0),0,(SUM(IF((CkDJ[JEV Number]=$C166)*(CkDJ[Account Code]=(O$9)),CkDJ[Debit]))))</f>
        <v>0</v>
      </c>
      <c r="P166" s="726"/>
      <c r="Q166" s="692">
        <f t="array" ref="Q166">IF($C166=0,0,(SUM(IF((CkDJ[JEV Number]=$C166)*(CkDJ[Account Code]=(P166)),CkDJ[Debit]))))</f>
        <v>0</v>
      </c>
      <c r="R166" s="694">
        <f t="shared" si="14"/>
        <v>0</v>
      </c>
    </row>
    <row r="167" spans="1:18" x14ac:dyDescent="0.25">
      <c r="A167" s="776" t="str">
        <f t="array" ref="A167">IF(OR(C167=C166,C167=0),"",INDEX(CkDJ[Date],MATCH(C167,CkDJ[JEV Number],0)))</f>
        <v/>
      </c>
      <c r="B167" s="674"/>
      <c r="C167" s="690" t="str">
        <f t="shared" si="13"/>
        <v>20-01-001</v>
      </c>
      <c r="D167" s="690"/>
      <c r="E167" s="690"/>
      <c r="F167" s="690"/>
      <c r="G167" s="691" t="str">
        <f t="array" ref="G167">IF(OR(C167=C166,C167=0),"",INDEX(CasheirCode[Name],MATCH((INDEX(CkDJ[Sort Code],MATCH(C167,CkDJ[JEV Number],0))),CasheirCode[Sort Code])))</f>
        <v/>
      </c>
      <c r="H167" s="692">
        <f t="array" ref="H167">IF(OR($C167=$C166,$C167=0),0,(SUM(IF((CkDJ[JEV Number]=$C167)*(CkDJ[Account Code]=(H$9)),CkDJ[Credit]))))</f>
        <v>0</v>
      </c>
      <c r="I167" s="692">
        <f t="array" ref="I167">IF(OR($C167=$C166,$C167=0),0,(SUM(IF((CkDJ[JEV Number]=$C167)*(CkDJ[Account Code]=(I$9)),CkDJ[Credit]))))</f>
        <v>0</v>
      </c>
      <c r="J167" s="728"/>
      <c r="K167" s="692">
        <f t="array" ref="K167">IF($C167=0,0,(SUM(IF((CkDJ[JEV Number]=$C167)*(CkDJ[Account Code]=(J167)),CkDJ[Credit]))))</f>
        <v>0</v>
      </c>
      <c r="L167" s="692">
        <f t="array" ref="L167">IF(OR($C167=$C166,$C167=0),0,(SUM(IF((CkDJ[JEV Number]=$C167)*(CkDJ[Account Code]=(L$9)),CkDJ[Debit]))))</f>
        <v>0</v>
      </c>
      <c r="M167" s="692">
        <f t="array" ref="M167">IF(OR($C167=$C166,$C167=0),0,(SUM(IF((CkDJ[JEV Number]=$C167)*(CkDJ[Account Code]=(M$9)),CkDJ[Debit]))))</f>
        <v>0</v>
      </c>
      <c r="N167" s="692">
        <f t="array" ref="N167">IF(OR($C167=$C166,$C167=0),0,(SUM(IF((CkDJ[JEV Number]=$C167)*(CkDJ[Account Code]=(N$9)),CkDJ[Debit]))))</f>
        <v>0</v>
      </c>
      <c r="O167" s="692">
        <f t="array" ref="O167">IF(OR($C167=$C166,$C167=0),0,(SUM(IF((CkDJ[JEV Number]=$C167)*(CkDJ[Account Code]=(O$9)),CkDJ[Debit]))))</f>
        <v>0</v>
      </c>
      <c r="P167" s="726"/>
      <c r="Q167" s="692">
        <f t="array" ref="Q167">IF($C167=0,0,(SUM(IF((CkDJ[JEV Number]=$C167)*(CkDJ[Account Code]=(P167)),CkDJ[Debit]))))</f>
        <v>0</v>
      </c>
      <c r="R167" s="694">
        <f t="shared" si="14"/>
        <v>0</v>
      </c>
    </row>
    <row r="168" spans="1:18" x14ac:dyDescent="0.25">
      <c r="A168" s="776" t="str">
        <f t="array" ref="A168">IF(OR(C168=C167,C168=0),"",INDEX(CkDJ[Date],MATCH(C168,CkDJ[JEV Number],0)))</f>
        <v/>
      </c>
      <c r="B168" s="674"/>
      <c r="C168" s="675" t="str">
        <f t="shared" si="13"/>
        <v>20-01-001</v>
      </c>
      <c r="D168" s="675"/>
      <c r="E168" s="675"/>
      <c r="F168" s="675"/>
      <c r="G168" s="676" t="str">
        <f t="array" ref="G168">IF(OR(C168=C167,C168=0),"",INDEX(CasheirCode[Name],MATCH((INDEX(CkDJ[Sort Code],MATCH(C168,CkDJ[JEV Number],0))),CasheirCode[Sort Code])))</f>
        <v/>
      </c>
      <c r="H168" s="677">
        <f t="array" ref="H168">IF(OR($C168=$C167,$C168=0),0,(SUM(IF((CkDJ[JEV Number]=$C168)*(CkDJ[Account Code]=(H$9)),CkDJ[Credit]))))</f>
        <v>0</v>
      </c>
      <c r="I168" s="677">
        <f t="array" ref="I168">IF(OR($C168=$C167,$C168=0),0,(SUM(IF((CkDJ[JEV Number]=$C168)*(CkDJ[Account Code]=(I$9)),CkDJ[Credit]))))</f>
        <v>0</v>
      </c>
      <c r="J168" s="728"/>
      <c r="K168" s="677">
        <f t="array" ref="K168">IF($C168=0,0,(SUM(IF((CkDJ[JEV Number]=$C168)*(CkDJ[Account Code]=(J168)),CkDJ[Credit]))))</f>
        <v>0</v>
      </c>
      <c r="L168" s="677">
        <f t="array" ref="L168">IF(OR($C168=$C167,$C168=0),0,(SUM(IF((CkDJ[JEV Number]=$C168)*(CkDJ[Account Code]=(L$9)),CkDJ[Debit]))))</f>
        <v>0</v>
      </c>
      <c r="M168" s="677">
        <f t="array" ref="M168">IF(OR($C168=$C167,$C168=0),0,(SUM(IF((CkDJ[JEV Number]=$C168)*(CkDJ[Account Code]=(M$9)),CkDJ[Debit]))))</f>
        <v>0</v>
      </c>
      <c r="N168" s="677">
        <f t="array" ref="N168">IF(OR($C168=$C167,$C168=0),0,(SUM(IF((CkDJ[JEV Number]=$C168)*(CkDJ[Account Code]=(N$9)),CkDJ[Debit]))))</f>
        <v>0</v>
      </c>
      <c r="O168" s="677">
        <f t="array" ref="O168">IF(OR($C168=$C167,$C168=0),0,(SUM(IF((CkDJ[JEV Number]=$C168)*(CkDJ[Account Code]=(O$9)),CkDJ[Debit]))))</f>
        <v>0</v>
      </c>
      <c r="P168" s="726"/>
      <c r="Q168" s="692">
        <f t="array" ref="Q168">IF($C168=0,0,(SUM(IF((CkDJ[JEV Number]=$C168)*(CkDJ[Account Code]=(P168)),CkDJ[Debit]))))</f>
        <v>0</v>
      </c>
      <c r="R168" s="679">
        <f t="shared" si="14"/>
        <v>0</v>
      </c>
    </row>
    <row r="169" spans="1:18" x14ac:dyDescent="0.25">
      <c r="A169" s="776" t="str">
        <f t="array" ref="A169">IF(OR(C169=C168,C169=0),"",INDEX(CkDJ[Date],MATCH(C169,CkDJ[JEV Number],0)))</f>
        <v/>
      </c>
      <c r="B169" s="674"/>
      <c r="C169" s="675" t="str">
        <f t="shared" si="13"/>
        <v>20-01-001</v>
      </c>
      <c r="D169" s="675"/>
      <c r="E169" s="675"/>
      <c r="F169" s="675"/>
      <c r="G169" s="676" t="str">
        <f t="array" ref="G169">IF(OR(C169=C168,C169=0),"",INDEX(CasheirCode[Name],MATCH((INDEX(CkDJ[Sort Code],MATCH(C169,CkDJ[JEV Number],0))),CasheirCode[Sort Code])))</f>
        <v/>
      </c>
      <c r="H169" s="677">
        <f t="array" ref="H169">IF(OR($C169=$C168,$C169=0),0,(SUM(IF((CkDJ[JEV Number]=$C169)*(CkDJ[Account Code]=(H$9)),CkDJ[Credit]))))</f>
        <v>0</v>
      </c>
      <c r="I169" s="677">
        <f t="array" ref="I169">IF(OR($C169=$C168,$C169=0),0,(SUM(IF((CkDJ[JEV Number]=$C169)*(CkDJ[Account Code]=(I$9)),CkDJ[Credit]))))</f>
        <v>0</v>
      </c>
      <c r="J169" s="728"/>
      <c r="K169" s="677">
        <f t="array" ref="K169">IF($C169=0,0,(SUM(IF((CkDJ[JEV Number]=$C169)*(CkDJ[Account Code]=(J169)),CkDJ[Credit]))))</f>
        <v>0</v>
      </c>
      <c r="L169" s="677">
        <f t="array" ref="L169">IF(OR($C169=$C168,$C169=0),0,(SUM(IF((CkDJ[JEV Number]=$C169)*(CkDJ[Account Code]=(L$9)),CkDJ[Debit]))))</f>
        <v>0</v>
      </c>
      <c r="M169" s="677">
        <f t="array" ref="M169">IF(OR($C169=$C168,$C169=0),0,(SUM(IF((CkDJ[JEV Number]=$C169)*(CkDJ[Account Code]=(M$9)),CkDJ[Debit]))))</f>
        <v>0</v>
      </c>
      <c r="N169" s="677">
        <f t="array" ref="N169">IF(OR($C169=$C168,$C169=0),0,(SUM(IF((CkDJ[JEV Number]=$C169)*(CkDJ[Account Code]=(N$9)),CkDJ[Debit]))))</f>
        <v>0</v>
      </c>
      <c r="O169" s="677">
        <f t="array" ref="O169">IF(OR($C169=$C168,$C169=0),0,(SUM(IF((CkDJ[JEV Number]=$C169)*(CkDJ[Account Code]=(O$9)),CkDJ[Debit]))))</f>
        <v>0</v>
      </c>
      <c r="P169" s="726"/>
      <c r="Q169" s="692">
        <f t="array" ref="Q169">IF($C169=0,0,(SUM(IF((CkDJ[JEV Number]=$C169)*(CkDJ[Account Code]=(P169)),CkDJ[Debit]))))</f>
        <v>0</v>
      </c>
      <c r="R169" s="679">
        <f t="shared" si="14"/>
        <v>0</v>
      </c>
    </row>
    <row r="170" spans="1:18" x14ac:dyDescent="0.25">
      <c r="A170" s="776" t="str">
        <f t="array" ref="A170">IF(OR(C170=C169,C170=0),"",INDEX(CkDJ[Date],MATCH(C170,CkDJ[JEV Number],0)))</f>
        <v/>
      </c>
      <c r="B170" s="674"/>
      <c r="C170" s="675" t="str">
        <f t="shared" si="13"/>
        <v>20-01-001</v>
      </c>
      <c r="D170" s="675"/>
      <c r="E170" s="675"/>
      <c r="F170" s="675"/>
      <c r="G170" s="676" t="str">
        <f t="array" ref="G170">IF(OR(C170=C169,C170=0),"",INDEX(CasheirCode[Name],MATCH((INDEX(CkDJ[Sort Code],MATCH(C170,CkDJ[JEV Number],0))),CasheirCode[Sort Code])))</f>
        <v/>
      </c>
      <c r="H170" s="677">
        <f t="array" ref="H170">IF(OR($C170=$C169,$C170=0),0,(SUM(IF((CkDJ[JEV Number]=$C170)*(CkDJ[Account Code]=(H$9)),CkDJ[Credit]))))</f>
        <v>0</v>
      </c>
      <c r="I170" s="677">
        <f t="array" ref="I170">IF(OR($C170=$C169,$C170=0),0,(SUM(IF((CkDJ[JEV Number]=$C170)*(CkDJ[Account Code]=(I$9)),CkDJ[Credit]))))</f>
        <v>0</v>
      </c>
      <c r="J170" s="678"/>
      <c r="K170" s="677">
        <f t="array" ref="K170">IF($C170=0,0,(SUM(IF((CkDJ[JEV Number]=$C170)*(CkDJ[Account Code]=(J170)),CkDJ[Credit]))))</f>
        <v>0</v>
      </c>
      <c r="L170" s="677">
        <f t="array" ref="L170">IF(OR($C170=$C169,$C170=0),0,(SUM(IF((CkDJ[JEV Number]=$C170)*(CkDJ[Account Code]=(L$9)),CkDJ[Debit]))))</f>
        <v>0</v>
      </c>
      <c r="M170" s="677">
        <f t="array" ref="M170">IF(OR($C170=$C169,$C170=0),0,(SUM(IF((CkDJ[JEV Number]=$C170)*(CkDJ[Account Code]=(M$9)),CkDJ[Debit]))))</f>
        <v>0</v>
      </c>
      <c r="N170" s="677">
        <f t="array" ref="N170">IF(OR($C170=$C169,$C170=0),0,(SUM(IF((CkDJ[JEV Number]=$C170)*(CkDJ[Account Code]=(N$9)),CkDJ[Debit]))))</f>
        <v>0</v>
      </c>
      <c r="O170" s="677">
        <f t="array" ref="O170">IF(OR($C170=$C169,$C170=0),0,(SUM(IF((CkDJ[JEV Number]=$C170)*(CkDJ[Account Code]=(O$9)),CkDJ[Debit]))))</f>
        <v>0</v>
      </c>
      <c r="P170" s="726"/>
      <c r="Q170" s="692">
        <f t="array" ref="Q170">IF($C170=0,0,(SUM(IF((CkDJ[JEV Number]=$C170)*(CkDJ[Account Code]=(P170)),CkDJ[Debit]))))</f>
        <v>0</v>
      </c>
      <c r="R170" s="679">
        <f t="shared" si="14"/>
        <v>0</v>
      </c>
    </row>
    <row r="171" spans="1:18" x14ac:dyDescent="0.25">
      <c r="A171" s="776" t="str">
        <f t="array" ref="A171">IF(OR(C171=C170,C171=0),"",INDEX(CkDJ[Date],MATCH(C171,CkDJ[JEV Number],0)))</f>
        <v/>
      </c>
      <c r="B171" s="674"/>
      <c r="C171" s="675" t="str">
        <f t="shared" si="13"/>
        <v>20-01-001</v>
      </c>
      <c r="D171" s="675"/>
      <c r="E171" s="675"/>
      <c r="F171" s="675"/>
      <c r="G171" s="676" t="str">
        <f t="array" ref="G171">IF(OR(C171=C170,C171=0),"",INDEX(CasheirCode[Name],MATCH((INDEX(CkDJ[Sort Code],MATCH(C171,CkDJ[JEV Number],0))),CasheirCode[Sort Code])))</f>
        <v/>
      </c>
      <c r="H171" s="677">
        <f t="array" ref="H171">IF(OR($C171=$C170,$C171=0),0,(SUM(IF((CkDJ[JEV Number]=$C171)*(CkDJ[Account Code]=(H$9)),CkDJ[Credit]))))</f>
        <v>0</v>
      </c>
      <c r="I171" s="677">
        <f t="array" ref="I171">IF(OR($C171=$C170,$C171=0),0,(SUM(IF((CkDJ[JEV Number]=$C171)*(CkDJ[Account Code]=(I$9)),CkDJ[Credit]))))</f>
        <v>0</v>
      </c>
      <c r="J171" s="678"/>
      <c r="K171" s="677">
        <f t="array" ref="K171">IF($C171=0,0,(SUM(IF((CkDJ[JEV Number]=$C171)*(CkDJ[Account Code]=(J171)),CkDJ[Credit]))))</f>
        <v>0</v>
      </c>
      <c r="L171" s="677">
        <f t="array" ref="L171">IF(OR($C171=$C170,$C171=0),0,(SUM(IF((CkDJ[JEV Number]=$C171)*(CkDJ[Account Code]=(L$9)),CkDJ[Debit]))))</f>
        <v>0</v>
      </c>
      <c r="M171" s="677">
        <f t="array" ref="M171">IF(OR($C171=$C170,$C171=0),0,(SUM(IF((CkDJ[JEV Number]=$C171)*(CkDJ[Account Code]=(M$9)),CkDJ[Debit]))))</f>
        <v>0</v>
      </c>
      <c r="N171" s="677">
        <f t="array" ref="N171">IF(OR($C171=$C170,$C171=0),0,(SUM(IF((CkDJ[JEV Number]=$C171)*(CkDJ[Account Code]=(N$9)),CkDJ[Debit]))))</f>
        <v>0</v>
      </c>
      <c r="O171" s="677">
        <f t="array" ref="O171">IF(OR($C171=$C170,$C171=0),0,(SUM(IF((CkDJ[JEV Number]=$C171)*(CkDJ[Account Code]=(O$9)),CkDJ[Debit]))))</f>
        <v>0</v>
      </c>
      <c r="P171" s="726"/>
      <c r="Q171" s="692">
        <f t="array" ref="Q171">IF($C171=0,0,(SUM(IF((CkDJ[JEV Number]=$C171)*(CkDJ[Account Code]=(P171)),CkDJ[Debit]))))</f>
        <v>0</v>
      </c>
      <c r="R171" s="679">
        <f t="shared" si="14"/>
        <v>0</v>
      </c>
    </row>
    <row r="172" spans="1:18" x14ac:dyDescent="0.25">
      <c r="A172" s="776" t="str">
        <f t="array" ref="A172">IF(OR(C172=C171,C172=0),"",INDEX(CkDJ[Date],MATCH(C172,CkDJ[JEV Number],0)))</f>
        <v/>
      </c>
      <c r="B172" s="674"/>
      <c r="C172" s="675" t="str">
        <f t="shared" si="13"/>
        <v>20-01-001</v>
      </c>
      <c r="D172" s="675"/>
      <c r="E172" s="675"/>
      <c r="F172" s="675"/>
      <c r="G172" s="676" t="str">
        <f t="array" ref="G172">IF(OR(C172=C171,C172=0),"",INDEX(CasheirCode[Name],MATCH((INDEX(CkDJ[Sort Code],MATCH(C172,CkDJ[JEV Number],0))),CasheirCode[Sort Code])))</f>
        <v/>
      </c>
      <c r="H172" s="677">
        <f t="array" ref="H172">IF(OR($C172=$C171,$C172=0),0,(SUM(IF((CkDJ[JEV Number]=$C172)*(CkDJ[Account Code]=(H$9)),CkDJ[Credit]))))</f>
        <v>0</v>
      </c>
      <c r="I172" s="677">
        <f t="array" ref="I172">IF(OR($C172=$C171,$C172=0),0,(SUM(IF((CkDJ[JEV Number]=$C172)*(CkDJ[Account Code]=(I$9)),CkDJ[Credit]))))</f>
        <v>0</v>
      </c>
      <c r="J172" s="678"/>
      <c r="K172" s="677">
        <f t="array" ref="K172">IF($C172=0,0,(SUM(IF((CkDJ[JEV Number]=$C172)*(CkDJ[Account Code]=(J172)),CkDJ[Credit]))))</f>
        <v>0</v>
      </c>
      <c r="L172" s="677">
        <f t="array" ref="L172">IF(OR($C172=$C171,$C172=0),0,(SUM(IF((CkDJ[JEV Number]=$C172)*(CkDJ[Account Code]=(L$9)),CkDJ[Debit]))))</f>
        <v>0</v>
      </c>
      <c r="M172" s="677">
        <f t="array" ref="M172">IF(OR($C172=$C171,$C172=0),0,(SUM(IF((CkDJ[JEV Number]=$C172)*(CkDJ[Account Code]=(M$9)),CkDJ[Debit]))))</f>
        <v>0</v>
      </c>
      <c r="N172" s="677">
        <f t="array" ref="N172">IF(OR($C172=$C171,$C172=0),0,(SUM(IF((CkDJ[JEV Number]=$C172)*(CkDJ[Account Code]=(N$9)),CkDJ[Debit]))))</f>
        <v>0</v>
      </c>
      <c r="O172" s="677">
        <f t="array" ref="O172">IF(OR($C172=$C171,$C172=0),0,(SUM(IF((CkDJ[JEV Number]=$C172)*(CkDJ[Account Code]=(O$9)),CkDJ[Debit]))))</f>
        <v>0</v>
      </c>
      <c r="P172" s="726"/>
      <c r="Q172" s="692">
        <f t="array" ref="Q172">IF($C172=0,0,(SUM(IF((CkDJ[JEV Number]=$C172)*(CkDJ[Account Code]=(P172)),CkDJ[Debit]))))</f>
        <v>0</v>
      </c>
      <c r="R172" s="679">
        <f t="shared" si="14"/>
        <v>0</v>
      </c>
    </row>
    <row r="173" spans="1:18" x14ac:dyDescent="0.25">
      <c r="A173" s="776" t="str">
        <f t="array" ref="A173">IF(OR(C173=C172,C173=0),"",INDEX(CkDJ[Date],MATCH(C173,CkDJ[JEV Number],0)))</f>
        <v/>
      </c>
      <c r="B173" s="674"/>
      <c r="C173" s="675" t="str">
        <f t="shared" si="13"/>
        <v>20-01-001</v>
      </c>
      <c r="D173" s="675"/>
      <c r="E173" s="675"/>
      <c r="F173" s="675"/>
      <c r="G173" s="676" t="str">
        <f t="array" ref="G173">IF(OR(C173=C172,C173=0),"",INDEX(CasheirCode[Name],MATCH((INDEX(CkDJ[Sort Code],MATCH(C173,CkDJ[JEV Number],0))),CasheirCode[Sort Code])))</f>
        <v/>
      </c>
      <c r="H173" s="677">
        <f t="array" ref="H173">IF(OR($C173=$C172,$C173=0),0,(SUM(IF((CkDJ[JEV Number]=$C173)*(CkDJ[Account Code]=(H$9)),CkDJ[Credit]))))</f>
        <v>0</v>
      </c>
      <c r="I173" s="677">
        <f t="array" ref="I173">IF(OR($C173=$C172,$C173=0),0,(SUM(IF((CkDJ[JEV Number]=$C173)*(CkDJ[Account Code]=(I$9)),CkDJ[Credit]))))</f>
        <v>0</v>
      </c>
      <c r="J173" s="728"/>
      <c r="K173" s="677">
        <f t="array" ref="K173">IF($C173=0,0,(SUM(IF((CkDJ[JEV Number]=$C173)*(CkDJ[Account Code]=(J173)),CkDJ[Credit]))))</f>
        <v>0</v>
      </c>
      <c r="L173" s="677">
        <f t="array" ref="L173">IF(OR($C173=$C172,$C173=0),0,(SUM(IF((CkDJ[JEV Number]=$C173)*(CkDJ[Account Code]=(L$9)),CkDJ[Debit]))))</f>
        <v>0</v>
      </c>
      <c r="M173" s="677">
        <f t="array" ref="M173">IF(OR($C173=$C172,$C173=0),0,(SUM(IF((CkDJ[JEV Number]=$C173)*(CkDJ[Account Code]=(M$9)),CkDJ[Debit]))))</f>
        <v>0</v>
      </c>
      <c r="N173" s="677">
        <f t="array" ref="N173">IF(OR($C173=$C172,$C173=0),0,(SUM(IF((CkDJ[JEV Number]=$C173)*(CkDJ[Account Code]=(N$9)),CkDJ[Debit]))))</f>
        <v>0</v>
      </c>
      <c r="O173" s="677">
        <f t="array" ref="O173">IF(OR($C173=$C172,$C173=0),0,(SUM(IF((CkDJ[JEV Number]=$C173)*(CkDJ[Account Code]=(O$9)),CkDJ[Debit]))))</f>
        <v>0</v>
      </c>
      <c r="P173" s="726"/>
      <c r="Q173" s="692">
        <f t="array" ref="Q173">IF($C173=0,0,(SUM(IF((CkDJ[JEV Number]=$C173)*(CkDJ[Account Code]=(P173)),CkDJ[Debit]))))</f>
        <v>0</v>
      </c>
      <c r="R173" s="679">
        <f t="shared" si="14"/>
        <v>0</v>
      </c>
    </row>
    <row r="174" spans="1:18" x14ac:dyDescent="0.25">
      <c r="A174" s="776" t="str">
        <f t="array" ref="A174">IF(OR(C174=C173,C174=0),"",INDEX(CkDJ[Date],MATCH(C174,CkDJ[JEV Number],0)))</f>
        <v/>
      </c>
      <c r="B174" s="674"/>
      <c r="C174" s="675" t="str">
        <f t="shared" si="13"/>
        <v>20-01-001</v>
      </c>
      <c r="D174" s="675"/>
      <c r="E174" s="675"/>
      <c r="F174" s="675"/>
      <c r="G174" s="676" t="str">
        <f t="array" ref="G174">IF(OR(C174=C173,C174=0),"",INDEX(CasheirCode[Name],MATCH((INDEX(CkDJ[Sort Code],MATCH(C174,CkDJ[JEV Number],0))),CasheirCode[Sort Code])))</f>
        <v/>
      </c>
      <c r="H174" s="677">
        <f t="array" ref="H174">IF(OR($C174=$C173,$C174=0),0,(SUM(IF((CkDJ[JEV Number]=$C174)*(CkDJ[Account Code]=(H$9)),CkDJ[Credit]))))</f>
        <v>0</v>
      </c>
      <c r="I174" s="677">
        <f t="array" ref="I174">IF(OR($C174=$C173,$C174=0),0,(SUM(IF((CkDJ[JEV Number]=$C174)*(CkDJ[Account Code]=(I$9)),CkDJ[Credit]))))</f>
        <v>0</v>
      </c>
      <c r="J174" s="728"/>
      <c r="K174" s="677">
        <f t="array" ref="K174">IF($C174=0,0,(SUM(IF((CkDJ[JEV Number]=$C174)*(CkDJ[Account Code]=(J174)),CkDJ[Credit]))))</f>
        <v>0</v>
      </c>
      <c r="L174" s="677">
        <f t="array" ref="L174">IF(OR($C174=$C173,$C174=0),0,(SUM(IF((CkDJ[JEV Number]=$C174)*(CkDJ[Account Code]=(L$9)),CkDJ[Debit]))))</f>
        <v>0</v>
      </c>
      <c r="M174" s="677">
        <f t="array" ref="M174">IF(OR($C174=$C173,$C174=0),0,(SUM(IF((CkDJ[JEV Number]=$C174)*(CkDJ[Account Code]=(M$9)),CkDJ[Debit]))))</f>
        <v>0</v>
      </c>
      <c r="N174" s="677">
        <f t="array" ref="N174">IF(OR($C174=$C173,$C174=0),0,(SUM(IF((CkDJ[JEV Number]=$C174)*(CkDJ[Account Code]=(N$9)),CkDJ[Debit]))))</f>
        <v>0</v>
      </c>
      <c r="O174" s="677">
        <f t="array" ref="O174">IF(OR($C174=$C173,$C174=0),0,(SUM(IF((CkDJ[JEV Number]=$C174)*(CkDJ[Account Code]=(O$9)),CkDJ[Debit]))))</f>
        <v>0</v>
      </c>
      <c r="P174" s="726"/>
      <c r="Q174" s="692">
        <f t="array" ref="Q174">IF($C174=0,0,(SUM(IF((CkDJ[JEV Number]=$C174)*(CkDJ[Account Code]=(P174)),CkDJ[Debit]))))</f>
        <v>0</v>
      </c>
      <c r="R174" s="679">
        <f t="shared" si="14"/>
        <v>0</v>
      </c>
    </row>
    <row r="175" spans="1:18" x14ac:dyDescent="0.25">
      <c r="A175" s="776" t="str">
        <f t="array" ref="A175">IF(OR(C175=C174,C175=0),"",INDEX(CkDJ[Date],MATCH(C175,CkDJ[JEV Number],0)))</f>
        <v/>
      </c>
      <c r="B175" s="674"/>
      <c r="C175" s="675" t="str">
        <f t="shared" si="13"/>
        <v>20-01-001</v>
      </c>
      <c r="D175" s="675"/>
      <c r="E175" s="675"/>
      <c r="F175" s="675"/>
      <c r="G175" s="676" t="str">
        <f t="array" ref="G175">IF(OR(C175=C174,C175=0),"",INDEX(CasheirCode[Name],MATCH((INDEX(CkDJ[Sort Code],MATCH(C175,CkDJ[JEV Number],0))),CasheirCode[Sort Code])))</f>
        <v/>
      </c>
      <c r="H175" s="677">
        <f t="array" ref="H175">IF(OR($C175=$C174,$C175=0),0,(SUM(IF((CkDJ[JEV Number]=$C175)*(CkDJ[Account Code]=(H$9)),CkDJ[Credit]))))</f>
        <v>0</v>
      </c>
      <c r="I175" s="677">
        <f t="array" ref="I175">IF(OR($C175=$C174,$C175=0),0,(SUM(IF((CkDJ[JEV Number]=$C175)*(CkDJ[Account Code]=(I$9)),CkDJ[Credit]))))</f>
        <v>0</v>
      </c>
      <c r="J175" s="728"/>
      <c r="K175" s="677">
        <f t="array" ref="K175">IF($C175=0,0,(SUM(IF((CkDJ[JEV Number]=$C175)*(CkDJ[Account Code]=(J175)),CkDJ[Credit]))))</f>
        <v>0</v>
      </c>
      <c r="L175" s="677">
        <f t="array" ref="L175">IF(OR($C175=$C174,$C175=0),0,(SUM(IF((CkDJ[JEV Number]=$C175)*(CkDJ[Account Code]=(L$9)),CkDJ[Debit]))))</f>
        <v>0</v>
      </c>
      <c r="M175" s="677">
        <f t="array" ref="M175">IF(OR($C175=$C174,$C175=0),0,(SUM(IF((CkDJ[JEV Number]=$C175)*(CkDJ[Account Code]=(M$9)),CkDJ[Debit]))))</f>
        <v>0</v>
      </c>
      <c r="N175" s="677">
        <f t="array" ref="N175">IF(OR($C175=$C174,$C175=0),0,(SUM(IF((CkDJ[JEV Number]=$C175)*(CkDJ[Account Code]=(N$9)),CkDJ[Debit]))))</f>
        <v>0</v>
      </c>
      <c r="O175" s="677">
        <f t="array" ref="O175">IF(OR($C175=$C174,$C175=0),0,(SUM(IF((CkDJ[JEV Number]=$C175)*(CkDJ[Account Code]=(O$9)),CkDJ[Debit]))))</f>
        <v>0</v>
      </c>
      <c r="P175" s="726"/>
      <c r="Q175" s="692">
        <f t="array" ref="Q175">IF($C175=0,0,(SUM(IF((CkDJ[JEV Number]=$C175)*(CkDJ[Account Code]=(P175)),CkDJ[Debit]))))</f>
        <v>0</v>
      </c>
      <c r="R175" s="679">
        <f t="shared" si="14"/>
        <v>0</v>
      </c>
    </row>
    <row r="176" spans="1:18" x14ac:dyDescent="0.25">
      <c r="A176" s="776" t="str">
        <f t="array" ref="A176">IF(OR(C176=C175,C176=0),"",INDEX(CkDJ[Date],MATCH(C176,CkDJ[JEV Number],0)))</f>
        <v/>
      </c>
      <c r="B176" s="674"/>
      <c r="C176" s="675" t="str">
        <f t="shared" si="13"/>
        <v>20-01-001</v>
      </c>
      <c r="D176" s="675"/>
      <c r="E176" s="675"/>
      <c r="F176" s="675"/>
      <c r="G176" s="676" t="str">
        <f t="array" ref="G176">IF(OR(C176=C175,C176=0),"",INDEX(CasheirCode[Name],MATCH((INDEX(CkDJ[Sort Code],MATCH(C176,CkDJ[JEV Number],0))),CasheirCode[Sort Code])))</f>
        <v/>
      </c>
      <c r="H176" s="677">
        <f t="array" ref="H176">IF(OR($C176=$C175,$C176=0),0,(SUM(IF((CkDJ[JEV Number]=$C176)*(CkDJ[Account Code]=(H$9)),CkDJ[Credit]))))</f>
        <v>0</v>
      </c>
      <c r="I176" s="677">
        <f t="array" ref="I176">IF(OR($C176=$C175,$C176=0),0,(SUM(IF((CkDJ[JEV Number]=$C176)*(CkDJ[Account Code]=(I$9)),CkDJ[Credit]))))</f>
        <v>0</v>
      </c>
      <c r="J176" s="728"/>
      <c r="K176" s="677">
        <f t="array" ref="K176">IF($C176=0,0,(SUM(IF((CkDJ[JEV Number]=$C176)*(CkDJ[Account Code]=(J176)),CkDJ[Credit]))))</f>
        <v>0</v>
      </c>
      <c r="L176" s="677">
        <f t="array" ref="L176">IF(OR($C176=$C175,$C176=0),0,(SUM(IF((CkDJ[JEV Number]=$C176)*(CkDJ[Account Code]=(L$9)),CkDJ[Debit]))))</f>
        <v>0</v>
      </c>
      <c r="M176" s="677">
        <f t="array" ref="M176">IF(OR($C176=$C175,$C176=0),0,(SUM(IF((CkDJ[JEV Number]=$C176)*(CkDJ[Account Code]=(M$9)),CkDJ[Debit]))))</f>
        <v>0</v>
      </c>
      <c r="N176" s="677">
        <f t="array" ref="N176">IF(OR($C176=$C175,$C176=0),0,(SUM(IF((CkDJ[JEV Number]=$C176)*(CkDJ[Account Code]=(N$9)),CkDJ[Debit]))))</f>
        <v>0</v>
      </c>
      <c r="O176" s="677">
        <f t="array" ref="O176">IF(OR($C176=$C175,$C176=0),0,(SUM(IF((CkDJ[JEV Number]=$C176)*(CkDJ[Account Code]=(O$9)),CkDJ[Debit]))))</f>
        <v>0</v>
      </c>
      <c r="P176" s="726"/>
      <c r="Q176" s="692">
        <f t="array" ref="Q176">IF($C176=0,0,(SUM(IF((CkDJ[JEV Number]=$C176)*(CkDJ[Account Code]=(P176)),CkDJ[Debit]))))</f>
        <v>0</v>
      </c>
      <c r="R176" s="679">
        <f t="shared" si="14"/>
        <v>0</v>
      </c>
    </row>
    <row r="177" spans="1:18" x14ac:dyDescent="0.25">
      <c r="A177" s="776" t="str">
        <f t="array" ref="A177">IF(OR(C177=C176,C177=0),"",INDEX(CkDJ[Date],MATCH(C177,CkDJ[JEV Number],0)))</f>
        <v/>
      </c>
      <c r="B177" s="674"/>
      <c r="C177" s="675" t="str">
        <f t="shared" si="13"/>
        <v>20-01-001</v>
      </c>
      <c r="D177" s="675"/>
      <c r="E177" s="675"/>
      <c r="F177" s="675"/>
      <c r="G177" s="676" t="str">
        <f t="array" ref="G177">IF(OR(C177=C176,C177=0),"",INDEX(CasheirCode[Name],MATCH((INDEX(CkDJ[Sort Code],MATCH(C177,CkDJ[JEV Number],0))),CasheirCode[Sort Code])))</f>
        <v/>
      </c>
      <c r="H177" s="677">
        <f t="array" ref="H177">IF(OR($C177=$C176,$C177=0),0,(SUM(IF((CkDJ[JEV Number]=$C177)*(CkDJ[Account Code]=(H$9)),CkDJ[Credit]))))</f>
        <v>0</v>
      </c>
      <c r="I177" s="677">
        <f t="array" ref="I177">IF(OR($C177=$C176,$C177=0),0,(SUM(IF((CkDJ[JEV Number]=$C177)*(CkDJ[Account Code]=(I$9)),CkDJ[Credit]))))</f>
        <v>0</v>
      </c>
      <c r="J177" s="728"/>
      <c r="K177" s="677">
        <f t="array" ref="K177">IF($C177=0,0,(SUM(IF((CkDJ[JEV Number]=$C177)*(CkDJ[Account Code]=(J177)),CkDJ[Credit]))))</f>
        <v>0</v>
      </c>
      <c r="L177" s="677">
        <f t="array" ref="L177">IF(OR($C177=$C176,$C177=0),0,(SUM(IF((CkDJ[JEV Number]=$C177)*(CkDJ[Account Code]=(L$9)),CkDJ[Debit]))))</f>
        <v>0</v>
      </c>
      <c r="M177" s="677">
        <f t="array" ref="M177">IF(OR($C177=$C176,$C177=0),0,(SUM(IF((CkDJ[JEV Number]=$C177)*(CkDJ[Account Code]=(M$9)),CkDJ[Debit]))))</f>
        <v>0</v>
      </c>
      <c r="N177" s="677">
        <f t="array" ref="N177">IF(OR($C177=$C176,$C177=0),0,(SUM(IF((CkDJ[JEV Number]=$C177)*(CkDJ[Account Code]=(N$9)),CkDJ[Debit]))))</f>
        <v>0</v>
      </c>
      <c r="O177" s="677">
        <f t="array" ref="O177">IF(OR($C177=$C176,$C177=0),0,(SUM(IF((CkDJ[JEV Number]=$C177)*(CkDJ[Account Code]=(O$9)),CkDJ[Debit]))))</f>
        <v>0</v>
      </c>
      <c r="P177" s="726"/>
      <c r="Q177" s="692">
        <f t="array" ref="Q177">IF($C177=0,0,(SUM(IF((CkDJ[JEV Number]=$C177)*(CkDJ[Account Code]=(P177)),CkDJ[Debit]))))</f>
        <v>0</v>
      </c>
      <c r="R177" s="679">
        <f t="shared" si="14"/>
        <v>0</v>
      </c>
    </row>
    <row r="178" spans="1:18" x14ac:dyDescent="0.25">
      <c r="A178" s="776" t="str">
        <f t="array" ref="A178">IF(OR(C178=C177,C178=0),"",INDEX(CkDJ[Date],MATCH(C178,CkDJ[JEV Number],0)))</f>
        <v/>
      </c>
      <c r="B178" s="674"/>
      <c r="C178" s="675" t="str">
        <f t="shared" si="13"/>
        <v>20-01-001</v>
      </c>
      <c r="D178" s="675"/>
      <c r="E178" s="675"/>
      <c r="F178" s="675"/>
      <c r="G178" s="676" t="str">
        <f t="array" ref="G178">IF(OR(C178=C177,C178=0),"",INDEX(CasheirCode[Name],MATCH((INDEX(CkDJ[Sort Code],MATCH(C178,CkDJ[JEV Number],0))),CasheirCode[Sort Code])))</f>
        <v/>
      </c>
      <c r="H178" s="677">
        <f t="array" ref="H178">IF(OR($C178=$C177,$C178=0),0,(SUM(IF((CkDJ[JEV Number]=$C178)*(CkDJ[Account Code]=(H$9)),CkDJ[Credit]))))</f>
        <v>0</v>
      </c>
      <c r="I178" s="677">
        <f t="array" ref="I178">IF(OR($C178=$C177,$C178=0),0,(SUM(IF((CkDJ[JEV Number]=$C178)*(CkDJ[Account Code]=(I$9)),CkDJ[Credit]))))</f>
        <v>0</v>
      </c>
      <c r="J178" s="678"/>
      <c r="K178" s="677">
        <f t="array" ref="K178">IF($C178=0,0,(SUM(IF((CkDJ[JEV Number]=$C178)*(CkDJ[Account Code]=(J178)),CkDJ[Credit]))))</f>
        <v>0</v>
      </c>
      <c r="L178" s="677">
        <f t="array" ref="L178">IF(OR($C178=$C177,$C178=0),0,(SUM(IF((CkDJ[JEV Number]=$C178)*(CkDJ[Account Code]=(L$9)),CkDJ[Debit]))))</f>
        <v>0</v>
      </c>
      <c r="M178" s="677">
        <f t="array" ref="M178">IF(OR($C178=$C177,$C178=0),0,(SUM(IF((CkDJ[JEV Number]=$C178)*(CkDJ[Account Code]=(M$9)),CkDJ[Debit]))))</f>
        <v>0</v>
      </c>
      <c r="N178" s="677">
        <f t="array" ref="N178">IF(OR($C178=$C177,$C178=0),0,(SUM(IF((CkDJ[JEV Number]=$C178)*(CkDJ[Account Code]=(N$9)),CkDJ[Debit]))))</f>
        <v>0</v>
      </c>
      <c r="O178" s="677">
        <f t="array" ref="O178">IF(OR($C178=$C177,$C178=0),0,(SUM(IF((CkDJ[JEV Number]=$C178)*(CkDJ[Account Code]=(O$9)),CkDJ[Debit]))))</f>
        <v>0</v>
      </c>
      <c r="P178" s="726"/>
      <c r="Q178" s="692">
        <f t="array" ref="Q178">IF($C178=0,0,(SUM(IF((CkDJ[JEV Number]=$C178)*(CkDJ[Account Code]=(P178)),CkDJ[Debit]))))</f>
        <v>0</v>
      </c>
      <c r="R178" s="679">
        <f t="shared" si="14"/>
        <v>0</v>
      </c>
    </row>
    <row r="179" spans="1:18" x14ac:dyDescent="0.25">
      <c r="A179" s="776" t="str">
        <f t="array" ref="A179">IF(OR(C179=C178,C179=0),"",INDEX(CkDJ[Date],MATCH(C179,CkDJ[JEV Number],0)))</f>
        <v/>
      </c>
      <c r="B179" s="674"/>
      <c r="C179" s="675" t="str">
        <f t="shared" si="13"/>
        <v>20-01-001</v>
      </c>
      <c r="D179" s="675"/>
      <c r="E179" s="675"/>
      <c r="F179" s="675"/>
      <c r="G179" s="676" t="str">
        <f t="array" ref="G179">IF(OR(C179=C178,C179=0),"",INDEX(CasheirCode[Name],MATCH((INDEX(CkDJ[Sort Code],MATCH(C179,CkDJ[JEV Number],0))),CasheirCode[Sort Code])))</f>
        <v/>
      </c>
      <c r="H179" s="677">
        <f t="array" ref="H179">IF(OR($C179=$C178,$C179=0),0,(SUM(IF((CkDJ[JEV Number]=$C179)*(CkDJ[Account Code]=(H$9)),CkDJ[Credit]))))</f>
        <v>0</v>
      </c>
      <c r="I179" s="677">
        <f t="array" ref="I179">IF(OR($C179=$C178,$C179=0),0,(SUM(IF((CkDJ[JEV Number]=$C179)*(CkDJ[Account Code]=(I$9)),CkDJ[Credit]))))</f>
        <v>0</v>
      </c>
      <c r="J179" s="678"/>
      <c r="K179" s="677">
        <f t="array" ref="K179">IF($C179=0,0,(SUM(IF((CkDJ[JEV Number]=$C179)*(CkDJ[Account Code]=(J179)),CkDJ[Credit]))))</f>
        <v>0</v>
      </c>
      <c r="L179" s="677">
        <f t="array" ref="L179">IF(OR($C179=$C178,$C179=0),0,(SUM(IF((CkDJ[JEV Number]=$C179)*(CkDJ[Account Code]=(L$9)),CkDJ[Debit]))))</f>
        <v>0</v>
      </c>
      <c r="M179" s="677">
        <f t="array" ref="M179">IF(OR($C179=$C178,$C179=0),0,(SUM(IF((CkDJ[JEV Number]=$C179)*(CkDJ[Account Code]=(M$9)),CkDJ[Debit]))))</f>
        <v>0</v>
      </c>
      <c r="N179" s="677">
        <f t="array" ref="N179">IF(OR($C179=$C178,$C179=0),0,(SUM(IF((CkDJ[JEV Number]=$C179)*(CkDJ[Account Code]=(N$9)),CkDJ[Debit]))))</f>
        <v>0</v>
      </c>
      <c r="O179" s="677">
        <f t="array" ref="O179">IF(OR($C179=$C178,$C179=0),0,(SUM(IF((CkDJ[JEV Number]=$C179)*(CkDJ[Account Code]=(O$9)),CkDJ[Debit]))))</f>
        <v>0</v>
      </c>
      <c r="P179" s="726"/>
      <c r="Q179" s="692">
        <f t="array" ref="Q179">IF($C179=0,0,(SUM(IF((CkDJ[JEV Number]=$C179)*(CkDJ[Account Code]=(P179)),CkDJ[Debit]))))</f>
        <v>0</v>
      </c>
      <c r="R179" s="679">
        <f t="shared" si="14"/>
        <v>0</v>
      </c>
    </row>
    <row r="180" spans="1:18" x14ac:dyDescent="0.25">
      <c r="A180" s="776" t="str">
        <f t="array" ref="A180">IF(OR(C180=C179,C180=0),"",INDEX(CkDJ[Date],MATCH(C180,CkDJ[JEV Number],0)))</f>
        <v/>
      </c>
      <c r="B180" s="674"/>
      <c r="C180" s="675" t="str">
        <f t="shared" si="13"/>
        <v>20-01-001</v>
      </c>
      <c r="D180" s="675"/>
      <c r="E180" s="675"/>
      <c r="F180" s="675"/>
      <c r="G180" s="676" t="str">
        <f t="array" ref="G180">IF(OR(C180=C179,C180=0),"",INDEX(CasheirCode[Name],MATCH((INDEX(CkDJ[Sort Code],MATCH(C180,CkDJ[JEV Number],0))),CasheirCode[Sort Code])))</f>
        <v/>
      </c>
      <c r="H180" s="677">
        <f t="array" ref="H180">IF(OR($C180=$C179,$C180=0),0,(SUM(IF((CkDJ[JEV Number]=$C180)*(CkDJ[Account Code]=(H$9)),CkDJ[Credit]))))</f>
        <v>0</v>
      </c>
      <c r="I180" s="677">
        <f t="array" ref="I180">IF(OR($C180=$C179,$C180=0),0,(SUM(IF((CkDJ[JEV Number]=$C180)*(CkDJ[Account Code]=(I$9)),CkDJ[Credit]))))</f>
        <v>0</v>
      </c>
      <c r="J180" s="678"/>
      <c r="K180" s="677">
        <f t="array" ref="K180">IF($C180=0,0,(SUM(IF((CkDJ[JEV Number]=$C180)*(CkDJ[Account Code]=(J180)),CkDJ[Credit]))))</f>
        <v>0</v>
      </c>
      <c r="L180" s="677">
        <f t="array" ref="L180">IF(OR($C180=$C179,$C180=0),0,(SUM(IF((CkDJ[JEV Number]=$C180)*(CkDJ[Account Code]=(L$9)),CkDJ[Debit]))))</f>
        <v>0</v>
      </c>
      <c r="M180" s="677">
        <f t="array" ref="M180">IF(OR($C180=$C179,$C180=0),0,(SUM(IF((CkDJ[JEV Number]=$C180)*(CkDJ[Account Code]=(M$9)),CkDJ[Debit]))))</f>
        <v>0</v>
      </c>
      <c r="N180" s="677">
        <f t="array" ref="N180">IF(OR($C180=$C179,$C180=0),0,(SUM(IF((CkDJ[JEV Number]=$C180)*(CkDJ[Account Code]=(N$9)),CkDJ[Debit]))))</f>
        <v>0</v>
      </c>
      <c r="O180" s="677">
        <f t="array" ref="O180">IF(OR($C180=$C179,$C180=0),0,(SUM(IF((CkDJ[JEV Number]=$C180)*(CkDJ[Account Code]=(O$9)),CkDJ[Debit]))))</f>
        <v>0</v>
      </c>
      <c r="P180" s="726"/>
      <c r="Q180" s="692">
        <f t="array" ref="Q180">IF($C180=0,0,(SUM(IF((CkDJ[JEV Number]=$C180)*(CkDJ[Account Code]=(P180)),CkDJ[Debit]))))</f>
        <v>0</v>
      </c>
      <c r="R180" s="679">
        <f t="shared" si="14"/>
        <v>0</v>
      </c>
    </row>
    <row r="181" spans="1:18" x14ac:dyDescent="0.25">
      <c r="A181" s="776" t="str">
        <f t="array" ref="A181">IF(OR(C181=C180,C181=0),"",INDEX(CkDJ[Date],MATCH(C181,CkDJ[JEV Number],0)))</f>
        <v/>
      </c>
      <c r="B181" s="674"/>
      <c r="C181" s="675" t="str">
        <f t="shared" si="13"/>
        <v>20-01-001</v>
      </c>
      <c r="D181" s="675"/>
      <c r="E181" s="675"/>
      <c r="F181" s="675"/>
      <c r="G181" s="676" t="str">
        <f t="array" ref="G181">IF(OR(C181=C180,C181=0),"",INDEX(CasheirCode[Name],MATCH((INDEX(CkDJ[Sort Code],MATCH(C181,CkDJ[JEV Number],0))),CasheirCode[Sort Code])))</f>
        <v/>
      </c>
      <c r="H181" s="677">
        <f t="array" ref="H181">IF(OR($C181=$C180,$C181=0),0,(SUM(IF((CkDJ[JEV Number]=$C181)*(CkDJ[Account Code]=(H$9)),CkDJ[Credit]))))</f>
        <v>0</v>
      </c>
      <c r="I181" s="677">
        <f t="array" ref="I181">IF(OR($C181=$C180,$C181=0),0,(SUM(IF((CkDJ[JEV Number]=$C181)*(CkDJ[Account Code]=(I$9)),CkDJ[Credit]))))</f>
        <v>0</v>
      </c>
      <c r="J181" s="678"/>
      <c r="K181" s="677">
        <f t="array" ref="K181">IF($C181=0,0,(SUM(IF((CkDJ[JEV Number]=$C181)*(CkDJ[Account Code]=(J181)),CkDJ[Credit]))))</f>
        <v>0</v>
      </c>
      <c r="L181" s="677">
        <f t="array" ref="L181">IF(OR($C181=$C180,$C181=0),0,(SUM(IF((CkDJ[JEV Number]=$C181)*(CkDJ[Account Code]=(L$9)),CkDJ[Debit]))))</f>
        <v>0</v>
      </c>
      <c r="M181" s="677">
        <f t="array" ref="M181">IF(OR($C181=$C180,$C181=0),0,(SUM(IF((CkDJ[JEV Number]=$C181)*(CkDJ[Account Code]=(M$9)),CkDJ[Debit]))))</f>
        <v>0</v>
      </c>
      <c r="N181" s="677">
        <f t="array" ref="N181">IF(OR($C181=$C180,$C181=0),0,(SUM(IF((CkDJ[JEV Number]=$C181)*(CkDJ[Account Code]=(N$9)),CkDJ[Debit]))))</f>
        <v>0</v>
      </c>
      <c r="O181" s="677">
        <f t="array" ref="O181">IF(OR($C181=$C180,$C181=0),0,(SUM(IF((CkDJ[JEV Number]=$C181)*(CkDJ[Account Code]=(O$9)),CkDJ[Debit]))))</f>
        <v>0</v>
      </c>
      <c r="P181" s="726"/>
      <c r="Q181" s="692">
        <f t="array" ref="Q181">IF($C181=0,0,(SUM(IF((CkDJ[JEV Number]=$C181)*(CkDJ[Account Code]=(P181)),CkDJ[Debit]))))</f>
        <v>0</v>
      </c>
      <c r="R181" s="679">
        <f>R180+(SUM(L181:O181)+Q181)-(SUM(H181:I181)+K181)</f>
        <v>0</v>
      </c>
    </row>
    <row r="182" spans="1:18" x14ac:dyDescent="0.25">
      <c r="A182" s="776" t="str">
        <f t="array" ref="A182">IF(OR(C182=C181,C182=0),"",INDEX(CkDJ[Date],MATCH(C182,CkDJ[JEV Number],0)))</f>
        <v/>
      </c>
      <c r="B182" s="674"/>
      <c r="C182" s="675" t="str">
        <f t="shared" si="13"/>
        <v>20-01-001</v>
      </c>
      <c r="D182" s="675"/>
      <c r="E182" s="675"/>
      <c r="F182" s="675"/>
      <c r="G182" s="676" t="str">
        <f t="array" ref="G182">IF(OR(C182=C181,C182=0),"",INDEX(CasheirCode[Name],MATCH((INDEX(CkDJ[Sort Code],MATCH(C182,CkDJ[JEV Number],0))),CasheirCode[Sort Code])))</f>
        <v/>
      </c>
      <c r="H182" s="677">
        <f t="array" ref="H182">IF(OR($C182=$C181,$C182=0),0,(SUM(IF((CkDJ[JEV Number]=$C182)*(CkDJ[Account Code]=(H$9)),CkDJ[Credit]))))</f>
        <v>0</v>
      </c>
      <c r="I182" s="677">
        <f t="array" ref="I182">IF(OR($C182=$C181,$C182=0),0,(SUM(IF((CkDJ[JEV Number]=$C182)*(CkDJ[Account Code]=(I$9)),CkDJ[Credit]))))</f>
        <v>0</v>
      </c>
      <c r="J182" s="678"/>
      <c r="K182" s="677">
        <f t="array" ref="K182">IF($C182=0,0,(SUM(IF((CkDJ[JEV Number]=$C182)*(CkDJ[Account Code]=(J182)),CkDJ[Credit]))))</f>
        <v>0</v>
      </c>
      <c r="L182" s="677">
        <f t="array" ref="L182">IF(OR($C182=$C181,$C182=0),0,(SUM(IF((CkDJ[JEV Number]=$C182)*(CkDJ[Account Code]=(L$9)),CkDJ[Debit]))))</f>
        <v>0</v>
      </c>
      <c r="M182" s="677">
        <f t="array" ref="M182">IF(OR($C182=$C181,$C182=0),0,(SUM(IF((CkDJ[JEV Number]=$C182)*(CkDJ[Account Code]=(M$9)),CkDJ[Debit]))))</f>
        <v>0</v>
      </c>
      <c r="N182" s="677">
        <f t="array" ref="N182">IF(OR($C182=$C181,$C182=0),0,(SUM(IF((CkDJ[JEV Number]=$C182)*(CkDJ[Account Code]=(N$9)),CkDJ[Debit]))))</f>
        <v>0</v>
      </c>
      <c r="O182" s="677">
        <f t="array" ref="O182">IF(OR($C182=$C181,$C182=0),0,(SUM(IF((CkDJ[JEV Number]=$C182)*(CkDJ[Account Code]=(O$9)),CkDJ[Debit]))))</f>
        <v>0</v>
      </c>
      <c r="P182" s="726"/>
      <c r="Q182" s="692">
        <f t="array" ref="Q182">IF($C182=0,0,(SUM(IF((CkDJ[JEV Number]=$C182)*(CkDJ[Account Code]=(P182)),CkDJ[Debit]))))</f>
        <v>0</v>
      </c>
      <c r="R182" s="679">
        <f>R181+(SUM(L182:O182)+Q182)-(SUM(H182:I182)+K182)</f>
        <v>0</v>
      </c>
    </row>
    <row r="183" spans="1:18" x14ac:dyDescent="0.25">
      <c r="A183" s="673" t="str">
        <f t="array" ref="A183">IF(OR(C183=C182,C183=0),"",INDEX(CkDJ[Date],MATCH(C183,CkDJ[JEV Number],0)))</f>
        <v/>
      </c>
      <c r="B183" s="674"/>
      <c r="C183" s="675" t="str">
        <f t="shared" ref="C183:C214" si="15">IF(B183=0,C182,B183)</f>
        <v>20-01-001</v>
      </c>
      <c r="D183" s="675"/>
      <c r="E183" s="675"/>
      <c r="F183" s="675"/>
      <c r="G183" s="676" t="str">
        <f t="array" ref="G183">IF(OR(C183=C182,C183=0),"",INDEX(CasheirCode[Name],MATCH((INDEX(CkDJ[Sort Code],MATCH(C183,CkDJ[JEV Number],0))),CasheirCode[Sort Code])))</f>
        <v/>
      </c>
      <c r="H183" s="677">
        <f t="array" ref="H183">IF(OR($C183=$C182,$C183=0),0,(SUM(IF((CkDJ[JEV Number]=$C183)*(CkDJ[Account Code]=(H$9)),CkDJ[Credit]))))</f>
        <v>0</v>
      </c>
      <c r="I183" s="677">
        <f t="array" ref="I183">IF(OR($C183=$C182,$C183=0),0,(SUM(IF((CkDJ[JEV Number]=$C183)*(CkDJ[Account Code]=(I$9)),CkDJ[Credit]))))</f>
        <v>0</v>
      </c>
      <c r="J183" s="678"/>
      <c r="K183" s="677">
        <f t="array" ref="K183">IF($C183=0,0,(SUM(IF((CkDJ[JEV Number]=$C183)*(CkDJ[Account Code]=(J183)),CkDJ[Credit]))))</f>
        <v>0</v>
      </c>
      <c r="L183" s="677">
        <f t="array" ref="L183">IF(OR($C183=$C182,$C183=0),0,(SUM(IF((CkDJ[JEV Number]=$C183)*(CkDJ[Account Code]=(L$9)),CkDJ[Debit]))))</f>
        <v>0</v>
      </c>
      <c r="M183" s="677">
        <f t="array" ref="M183">IF(OR($C183=$C182,$C183=0),0,(SUM(IF((CkDJ[JEV Number]=$C183)*(CkDJ[Account Code]=(M$9)),CkDJ[Debit]))))</f>
        <v>0</v>
      </c>
      <c r="N183" s="677">
        <f t="array" ref="N183">IF(OR($C183=$C182,$C183=0),0,(SUM(IF((CkDJ[JEV Number]=$C183)*(CkDJ[Account Code]=(N$9)),CkDJ[Debit]))))</f>
        <v>0</v>
      </c>
      <c r="O183" s="677">
        <f t="array" ref="O183">IF(OR($C183=$C182,$C183=0),0,(SUM(IF((CkDJ[JEV Number]=$C183)*(CkDJ[Account Code]=(O$9)),CkDJ[Debit]))))</f>
        <v>0</v>
      </c>
      <c r="P183" s="726"/>
      <c r="Q183" s="692">
        <f t="array" ref="Q183">IF($C183=0,0,(SUM(IF((CkDJ[JEV Number]=$C183)*(CkDJ[Account Code]=(P183)),CkDJ[Debit]))))</f>
        <v>0</v>
      </c>
      <c r="R183" s="679">
        <f t="shared" ref="R183:R214" si="16">R182+(SUM(L183:O183)+Q183)-(SUM(H183:I183)+K183)</f>
        <v>0</v>
      </c>
    </row>
    <row r="184" spans="1:18" x14ac:dyDescent="0.25">
      <c r="A184" s="673" t="str">
        <f t="array" ref="A184">IF(OR(C184=C183,C184=0),"",INDEX(CkDJ[Date],MATCH(C184,CkDJ[JEV Number],0)))</f>
        <v/>
      </c>
      <c r="B184" s="674"/>
      <c r="C184" s="675" t="str">
        <f t="shared" si="15"/>
        <v>20-01-001</v>
      </c>
      <c r="D184" s="675"/>
      <c r="E184" s="675"/>
      <c r="F184" s="675"/>
      <c r="G184" s="676" t="str">
        <f t="array" ref="G184">IF(OR(C184=C183,C184=0),"",INDEX(CasheirCode[Name],MATCH((INDEX(CkDJ[Sort Code],MATCH(C184,CkDJ[JEV Number],0))),CasheirCode[Sort Code])))</f>
        <v/>
      </c>
      <c r="H184" s="677">
        <f t="array" ref="H184">IF(OR($C184=$C183,$C184=0),0,(SUM(IF((CkDJ[JEV Number]=$C184)*(CkDJ[Account Code]=(H$9)),CkDJ[Credit]))))</f>
        <v>0</v>
      </c>
      <c r="I184" s="677">
        <f t="array" ref="I184">IF(OR($C184=$C183,$C184=0),0,(SUM(IF((CkDJ[JEV Number]=$C184)*(CkDJ[Account Code]=(I$9)),CkDJ[Credit]))))</f>
        <v>0</v>
      </c>
      <c r="J184" s="678"/>
      <c r="K184" s="677">
        <f t="array" ref="K184">IF($C184=0,0,(SUM(IF((CkDJ[JEV Number]=$C184)*(CkDJ[Account Code]=(J184)),CkDJ[Credit]))))</f>
        <v>0</v>
      </c>
      <c r="L184" s="677">
        <f t="array" ref="L184">IF(OR($C184=$C183,$C184=0),0,(SUM(IF((CkDJ[JEV Number]=$C184)*(CkDJ[Account Code]=(L$9)),CkDJ[Debit]))))</f>
        <v>0</v>
      </c>
      <c r="M184" s="677">
        <f t="array" ref="M184">IF(OR($C184=$C183,$C184=0),0,(SUM(IF((CkDJ[JEV Number]=$C184)*(CkDJ[Account Code]=(M$9)),CkDJ[Debit]))))</f>
        <v>0</v>
      </c>
      <c r="N184" s="677">
        <f t="array" ref="N184">IF(OR($C184=$C183,$C184=0),0,(SUM(IF((CkDJ[JEV Number]=$C184)*(CkDJ[Account Code]=(N$9)),CkDJ[Debit]))))</f>
        <v>0</v>
      </c>
      <c r="O184" s="677">
        <f t="array" ref="O184">IF(OR($C184=$C183,$C184=0),0,(SUM(IF((CkDJ[JEV Number]=$C184)*(CkDJ[Account Code]=(O$9)),CkDJ[Debit]))))</f>
        <v>0</v>
      </c>
      <c r="P184" s="726"/>
      <c r="Q184" s="692">
        <f t="array" ref="Q184">IF($C184=0,0,(SUM(IF((CkDJ[JEV Number]=$C184)*(CkDJ[Account Code]=(P184)),CkDJ[Debit]))))</f>
        <v>0</v>
      </c>
      <c r="R184" s="679">
        <f t="shared" si="16"/>
        <v>0</v>
      </c>
    </row>
    <row r="185" spans="1:18" x14ac:dyDescent="0.25">
      <c r="A185" s="673" t="str">
        <f t="array" ref="A185">IF(OR(C185=C184,C185=0),"",INDEX(CkDJ[Date],MATCH(C185,CkDJ[JEV Number],0)))</f>
        <v/>
      </c>
      <c r="B185" s="674"/>
      <c r="C185" s="675" t="str">
        <f t="shared" si="15"/>
        <v>20-01-001</v>
      </c>
      <c r="D185" s="675"/>
      <c r="E185" s="675"/>
      <c r="F185" s="675"/>
      <c r="G185" s="676" t="str">
        <f t="array" ref="G185">IF(OR(C185=C184,C185=0),"",INDEX(CasheirCode[Name],MATCH((INDEX(CkDJ[Sort Code],MATCH(C185,CkDJ[JEV Number],0))),CasheirCode[Sort Code])))</f>
        <v/>
      </c>
      <c r="H185" s="677">
        <f t="array" ref="H185">IF(OR($C185=$C184,$C185=0),0,(SUM(IF((CkDJ[JEV Number]=$C185)*(CkDJ[Account Code]=(H$9)),CkDJ[Credit]))))</f>
        <v>0</v>
      </c>
      <c r="I185" s="677">
        <f t="array" ref="I185">IF(OR($C185=$C184,$C185=0),0,(SUM(IF((CkDJ[JEV Number]=$C185)*(CkDJ[Account Code]=(I$9)),CkDJ[Credit]))))</f>
        <v>0</v>
      </c>
      <c r="J185" s="678"/>
      <c r="K185" s="677">
        <f t="array" ref="K185">IF($C185=0,0,(SUM(IF((CkDJ[JEV Number]=$C185)*(CkDJ[Account Code]=(J185)),CkDJ[Credit]))))</f>
        <v>0</v>
      </c>
      <c r="L185" s="677">
        <f t="array" ref="L185">IF(OR($C185=$C184,$C185=0),0,(SUM(IF((CkDJ[JEV Number]=$C185)*(CkDJ[Account Code]=(L$9)),CkDJ[Debit]))))</f>
        <v>0</v>
      </c>
      <c r="M185" s="677">
        <f t="array" ref="M185">IF(OR($C185=$C184,$C185=0),0,(SUM(IF((CkDJ[JEV Number]=$C185)*(CkDJ[Account Code]=(M$9)),CkDJ[Debit]))))</f>
        <v>0</v>
      </c>
      <c r="N185" s="677">
        <f t="array" ref="N185">IF(OR($C185=$C184,$C185=0),0,(SUM(IF((CkDJ[JEV Number]=$C185)*(CkDJ[Account Code]=(N$9)),CkDJ[Debit]))))</f>
        <v>0</v>
      </c>
      <c r="O185" s="677">
        <f t="array" ref="O185">IF(OR($C185=$C184,$C185=0),0,(SUM(IF((CkDJ[JEV Number]=$C185)*(CkDJ[Account Code]=(O$9)),CkDJ[Debit]))))</f>
        <v>0</v>
      </c>
      <c r="P185" s="726"/>
      <c r="Q185" s="692">
        <f t="array" ref="Q185">IF($C185=0,0,(SUM(IF((CkDJ[JEV Number]=$C185)*(CkDJ[Account Code]=(P185)),CkDJ[Debit]))))</f>
        <v>0</v>
      </c>
      <c r="R185" s="679">
        <f t="shared" si="16"/>
        <v>0</v>
      </c>
    </row>
    <row r="186" spans="1:18" x14ac:dyDescent="0.25">
      <c r="A186" s="673" t="str">
        <f t="array" ref="A186">IF(OR(C186=C185,C186=0),"",INDEX(CkDJ[Date],MATCH(C186,CkDJ[JEV Number],0)))</f>
        <v/>
      </c>
      <c r="B186" s="674"/>
      <c r="C186" s="675" t="str">
        <f t="shared" si="15"/>
        <v>20-01-001</v>
      </c>
      <c r="D186" s="675"/>
      <c r="E186" s="675"/>
      <c r="F186" s="675"/>
      <c r="G186" s="676" t="str">
        <f t="array" ref="G186">IF(OR(C186=C185,C186=0),"",INDEX(CasheirCode[Name],MATCH((INDEX(CkDJ[Sort Code],MATCH(C186,CkDJ[JEV Number],0))),CasheirCode[Sort Code])))</f>
        <v/>
      </c>
      <c r="H186" s="677">
        <f t="array" ref="H186">IF(OR($C186=$C185,$C186=0),0,(SUM(IF((CkDJ[JEV Number]=$C186)*(CkDJ[Account Code]=(H$9)),CkDJ[Credit]))))</f>
        <v>0</v>
      </c>
      <c r="I186" s="677">
        <f t="array" ref="I186">IF(OR($C186=$C185,$C186=0),0,(SUM(IF((CkDJ[JEV Number]=$C186)*(CkDJ[Account Code]=(I$9)),CkDJ[Credit]))))</f>
        <v>0</v>
      </c>
      <c r="J186" s="678"/>
      <c r="K186" s="677">
        <f t="array" ref="K186">IF($C186=0,0,(SUM(IF((CkDJ[JEV Number]=$C186)*(CkDJ[Account Code]=(J186)),CkDJ[Credit]))))</f>
        <v>0</v>
      </c>
      <c r="L186" s="677">
        <f t="array" ref="L186">IF(OR($C186=$C185,$C186=0),0,(SUM(IF((CkDJ[JEV Number]=$C186)*(CkDJ[Account Code]=(L$9)),CkDJ[Debit]))))</f>
        <v>0</v>
      </c>
      <c r="M186" s="677">
        <f t="array" ref="M186">IF(OR($C186=$C185,$C186=0),0,(SUM(IF((CkDJ[JEV Number]=$C186)*(CkDJ[Account Code]=(M$9)),CkDJ[Debit]))))</f>
        <v>0</v>
      </c>
      <c r="N186" s="677">
        <f t="array" ref="N186">IF(OR($C186=$C185,$C186=0),0,(SUM(IF((CkDJ[JEV Number]=$C186)*(CkDJ[Account Code]=(N$9)),CkDJ[Debit]))))</f>
        <v>0</v>
      </c>
      <c r="O186" s="677">
        <f t="array" ref="O186">IF(OR($C186=$C185,$C186=0),0,(SUM(IF((CkDJ[JEV Number]=$C186)*(CkDJ[Account Code]=(O$9)),CkDJ[Debit]))))</f>
        <v>0</v>
      </c>
      <c r="P186" s="726"/>
      <c r="Q186" s="692">
        <f t="array" ref="Q186">IF($C186=0,0,(SUM(IF((CkDJ[JEV Number]=$C186)*(CkDJ[Account Code]=(P186)),CkDJ[Debit]))))</f>
        <v>0</v>
      </c>
      <c r="R186" s="679">
        <f t="shared" si="16"/>
        <v>0</v>
      </c>
    </row>
    <row r="187" spans="1:18" x14ac:dyDescent="0.25">
      <c r="A187" s="673" t="str">
        <f t="array" ref="A187">IF(OR(C187=C186,C187=0),"",INDEX(CkDJ[Date],MATCH(C187,CkDJ[JEV Number],0)))</f>
        <v/>
      </c>
      <c r="B187" s="674"/>
      <c r="C187" s="675" t="str">
        <f t="shared" si="15"/>
        <v>20-01-001</v>
      </c>
      <c r="D187" s="675"/>
      <c r="E187" s="675"/>
      <c r="F187" s="675"/>
      <c r="G187" s="676" t="str">
        <f t="array" ref="G187">IF(OR(C187=C186,C187=0),"",INDEX(CasheirCode[Name],MATCH((INDEX(CkDJ[Sort Code],MATCH(C187,CkDJ[JEV Number],0))),CasheirCode[Sort Code])))</f>
        <v/>
      </c>
      <c r="H187" s="677">
        <f t="array" ref="H187">IF(OR($C187=$C186,$C187=0),0,(SUM(IF((CkDJ[JEV Number]=$C187)*(CkDJ[Account Code]=(H$9)),CkDJ[Credit]))))</f>
        <v>0</v>
      </c>
      <c r="I187" s="677">
        <f t="array" ref="I187">IF(OR($C187=$C186,$C187=0),0,(SUM(IF((CkDJ[JEV Number]=$C187)*(CkDJ[Account Code]=(I$9)),CkDJ[Credit]))))</f>
        <v>0</v>
      </c>
      <c r="J187" s="678"/>
      <c r="K187" s="677">
        <f t="array" ref="K187">IF($C187=0,0,(SUM(IF((CkDJ[JEV Number]=$C187)*(CkDJ[Account Code]=(J187)),CkDJ[Credit]))))</f>
        <v>0</v>
      </c>
      <c r="L187" s="677">
        <f t="array" ref="L187">IF(OR($C187=$C186,$C187=0),0,(SUM(IF((CkDJ[JEV Number]=$C187)*(CkDJ[Account Code]=(L$9)),CkDJ[Debit]))))</f>
        <v>0</v>
      </c>
      <c r="M187" s="677">
        <f t="array" ref="M187">IF(OR($C187=$C186,$C187=0),0,(SUM(IF((CkDJ[JEV Number]=$C187)*(CkDJ[Account Code]=(M$9)),CkDJ[Debit]))))</f>
        <v>0</v>
      </c>
      <c r="N187" s="677">
        <f t="array" ref="N187">IF(OR($C187=$C186,$C187=0),0,(SUM(IF((CkDJ[JEV Number]=$C187)*(CkDJ[Account Code]=(N$9)),CkDJ[Debit]))))</f>
        <v>0</v>
      </c>
      <c r="O187" s="677">
        <f t="array" ref="O187">IF(OR($C187=$C186,$C187=0),0,(SUM(IF((CkDJ[JEV Number]=$C187)*(CkDJ[Account Code]=(O$9)),CkDJ[Debit]))))</f>
        <v>0</v>
      </c>
      <c r="P187" s="726"/>
      <c r="Q187" s="692">
        <f t="array" ref="Q187">IF($C187=0,0,(SUM(IF((CkDJ[JEV Number]=$C187)*(CkDJ[Account Code]=(P187)),CkDJ[Debit]))))</f>
        <v>0</v>
      </c>
      <c r="R187" s="679">
        <f t="shared" si="16"/>
        <v>0</v>
      </c>
    </row>
    <row r="188" spans="1:18" x14ac:dyDescent="0.25">
      <c r="A188" s="673" t="str">
        <f t="array" ref="A188">IF(OR(C188=C187,C188=0),"",INDEX(CkDJ[Date],MATCH(C188,CkDJ[JEV Number],0)))</f>
        <v/>
      </c>
      <c r="B188" s="674"/>
      <c r="C188" s="675" t="str">
        <f t="shared" si="15"/>
        <v>20-01-001</v>
      </c>
      <c r="D188" s="675"/>
      <c r="E188" s="675"/>
      <c r="F188" s="675"/>
      <c r="G188" s="676" t="str">
        <f t="array" ref="G188">IF(OR(C188=C187,C188=0),"",INDEX(CasheirCode[Name],MATCH((INDEX(CkDJ[Sort Code],MATCH(C188,CkDJ[JEV Number],0))),CasheirCode[Sort Code])))</f>
        <v/>
      </c>
      <c r="H188" s="677">
        <f t="array" ref="H188">IF(OR($C188=$C187,$C188=0),0,(SUM(IF((CkDJ[JEV Number]=$C188)*(CkDJ[Account Code]=(H$9)),CkDJ[Credit]))))</f>
        <v>0</v>
      </c>
      <c r="I188" s="677">
        <f t="array" ref="I188">IF(OR($C188=$C187,$C188=0),0,(SUM(IF((CkDJ[JEV Number]=$C188)*(CkDJ[Account Code]=(I$9)),CkDJ[Credit]))))</f>
        <v>0</v>
      </c>
      <c r="J188" s="678"/>
      <c r="K188" s="677">
        <f t="array" ref="K188">IF($C188=0,0,(SUM(IF((CkDJ[JEV Number]=$C188)*(CkDJ[Account Code]=(J188)),CkDJ[Credit]))))</f>
        <v>0</v>
      </c>
      <c r="L188" s="677">
        <f t="array" ref="L188">IF(OR($C188=$C187,$C188=0),0,(SUM(IF((CkDJ[JEV Number]=$C188)*(CkDJ[Account Code]=(L$9)),CkDJ[Debit]))))</f>
        <v>0</v>
      </c>
      <c r="M188" s="677">
        <f t="array" ref="M188">IF(OR($C188=$C187,$C188=0),0,(SUM(IF((CkDJ[JEV Number]=$C188)*(CkDJ[Account Code]=(M$9)),CkDJ[Debit]))))</f>
        <v>0</v>
      </c>
      <c r="N188" s="677">
        <f t="array" ref="N188">IF(OR($C188=$C187,$C188=0),0,(SUM(IF((CkDJ[JEV Number]=$C188)*(CkDJ[Account Code]=(N$9)),CkDJ[Debit]))))</f>
        <v>0</v>
      </c>
      <c r="O188" s="677">
        <f t="array" ref="O188">IF(OR($C188=$C187,$C188=0),0,(SUM(IF((CkDJ[JEV Number]=$C188)*(CkDJ[Account Code]=(O$9)),CkDJ[Debit]))))</f>
        <v>0</v>
      </c>
      <c r="P188" s="726"/>
      <c r="Q188" s="692">
        <f t="array" ref="Q188">IF($C188=0,0,(SUM(IF((CkDJ[JEV Number]=$C188)*(CkDJ[Account Code]=(P188)),CkDJ[Debit]))))</f>
        <v>0</v>
      </c>
      <c r="R188" s="679">
        <f t="shared" si="16"/>
        <v>0</v>
      </c>
    </row>
    <row r="189" spans="1:18" x14ac:dyDescent="0.25">
      <c r="A189" s="673" t="str">
        <f t="array" ref="A189">IF(OR(C189=C188,C189=0),"",INDEX(CkDJ[Date],MATCH(C189,CkDJ[JEV Number],0)))</f>
        <v/>
      </c>
      <c r="B189" s="674"/>
      <c r="C189" s="675" t="str">
        <f t="shared" si="15"/>
        <v>20-01-001</v>
      </c>
      <c r="D189" s="675"/>
      <c r="E189" s="675"/>
      <c r="F189" s="675"/>
      <c r="G189" s="676" t="str">
        <f t="array" ref="G189">IF(OR(C189=C188,C189=0),"",INDEX(CasheirCode[Name],MATCH((INDEX(CkDJ[Sort Code],MATCH(C189,CkDJ[JEV Number],0))),CasheirCode[Sort Code])))</f>
        <v/>
      </c>
      <c r="H189" s="677">
        <f t="array" ref="H189">IF(OR($C189=$C188,$C189=0),0,(SUM(IF((CkDJ[JEV Number]=$C189)*(CkDJ[Account Code]=(H$9)),CkDJ[Credit]))))</f>
        <v>0</v>
      </c>
      <c r="I189" s="677">
        <f t="array" ref="I189">IF(OR($C189=$C188,$C189=0),0,(SUM(IF((CkDJ[JEV Number]=$C189)*(CkDJ[Account Code]=(I$9)),CkDJ[Credit]))))</f>
        <v>0</v>
      </c>
      <c r="J189" s="678"/>
      <c r="K189" s="677">
        <f t="array" ref="K189">IF($C189=0,0,(SUM(IF((CkDJ[JEV Number]=$C189)*(CkDJ[Account Code]=(J189)),CkDJ[Credit]))))</f>
        <v>0</v>
      </c>
      <c r="L189" s="677">
        <f t="array" ref="L189">IF(OR($C189=$C188,$C189=0),0,(SUM(IF((CkDJ[JEV Number]=$C189)*(CkDJ[Account Code]=(L$9)),CkDJ[Debit]))))</f>
        <v>0</v>
      </c>
      <c r="M189" s="677">
        <f t="array" ref="M189">IF(OR($C189=$C188,$C189=0),0,(SUM(IF((CkDJ[JEV Number]=$C189)*(CkDJ[Account Code]=(M$9)),CkDJ[Debit]))))</f>
        <v>0</v>
      </c>
      <c r="N189" s="677">
        <f t="array" ref="N189">IF(OR($C189=$C188,$C189=0),0,(SUM(IF((CkDJ[JEV Number]=$C189)*(CkDJ[Account Code]=(N$9)),CkDJ[Debit]))))</f>
        <v>0</v>
      </c>
      <c r="O189" s="677">
        <f t="array" ref="O189">IF(OR($C189=$C188,$C189=0),0,(SUM(IF((CkDJ[JEV Number]=$C189)*(CkDJ[Account Code]=(O$9)),CkDJ[Debit]))))</f>
        <v>0</v>
      </c>
      <c r="P189" s="726"/>
      <c r="Q189" s="692">
        <f t="array" ref="Q189">IF($C189=0,0,(SUM(IF((CkDJ[JEV Number]=$C189)*(CkDJ[Account Code]=(P189)),CkDJ[Debit]))))</f>
        <v>0</v>
      </c>
      <c r="R189" s="679">
        <f t="shared" si="16"/>
        <v>0</v>
      </c>
    </row>
    <row r="190" spans="1:18" x14ac:dyDescent="0.25">
      <c r="A190" s="673" t="str">
        <f t="array" ref="A190">IF(OR(C190=C189,C190=0),"",INDEX(CkDJ[Date],MATCH(C190,CkDJ[JEV Number],0)))</f>
        <v/>
      </c>
      <c r="B190" s="674"/>
      <c r="C190" s="675" t="str">
        <f t="shared" si="15"/>
        <v>20-01-001</v>
      </c>
      <c r="D190" s="675"/>
      <c r="E190" s="675"/>
      <c r="F190" s="675"/>
      <c r="G190" s="676" t="str">
        <f t="array" ref="G190">IF(OR(C190=C189,C190=0),"",INDEX(CasheirCode[Name],MATCH((INDEX(CkDJ[Sort Code],MATCH(C190,CkDJ[JEV Number],0))),CasheirCode[Sort Code])))</f>
        <v/>
      </c>
      <c r="H190" s="677">
        <f t="array" ref="H190">IF(OR($C190=$C189,$C190=0),0,(SUM(IF((CkDJ[JEV Number]=$C190)*(CkDJ[Account Code]=(H$9)),CkDJ[Credit]))))</f>
        <v>0</v>
      </c>
      <c r="I190" s="677">
        <f t="array" ref="I190">IF(OR($C190=$C189,$C190=0),0,(SUM(IF((CkDJ[JEV Number]=$C190)*(CkDJ[Account Code]=(I$9)),CkDJ[Credit]))))</f>
        <v>0</v>
      </c>
      <c r="J190" s="678"/>
      <c r="K190" s="677">
        <f t="array" ref="K190">IF($C190=0,0,(SUM(IF((CkDJ[JEV Number]=$C190)*(CkDJ[Account Code]=(J190)),CkDJ[Credit]))))</f>
        <v>0</v>
      </c>
      <c r="L190" s="677">
        <f t="array" ref="L190">IF(OR($C190=$C189,$C190=0),0,(SUM(IF((CkDJ[JEV Number]=$C190)*(CkDJ[Account Code]=(L$9)),CkDJ[Debit]))))</f>
        <v>0</v>
      </c>
      <c r="M190" s="677">
        <f t="array" ref="M190">IF(OR($C190=$C189,$C190=0),0,(SUM(IF((CkDJ[JEV Number]=$C190)*(CkDJ[Account Code]=(M$9)),CkDJ[Debit]))))</f>
        <v>0</v>
      </c>
      <c r="N190" s="677">
        <f t="array" ref="N190">IF(OR($C190=$C189,$C190=0),0,(SUM(IF((CkDJ[JEV Number]=$C190)*(CkDJ[Account Code]=(N$9)),CkDJ[Debit]))))</f>
        <v>0</v>
      </c>
      <c r="O190" s="677">
        <f t="array" ref="O190">IF(OR($C190=$C189,$C190=0),0,(SUM(IF((CkDJ[JEV Number]=$C190)*(CkDJ[Account Code]=(O$9)),CkDJ[Debit]))))</f>
        <v>0</v>
      </c>
      <c r="P190" s="726"/>
      <c r="Q190" s="692">
        <f t="array" ref="Q190">IF($C190=0,0,(SUM(IF((CkDJ[JEV Number]=$C190)*(CkDJ[Account Code]=(P190)),CkDJ[Debit]))))</f>
        <v>0</v>
      </c>
      <c r="R190" s="679">
        <f t="shared" si="16"/>
        <v>0</v>
      </c>
    </row>
    <row r="191" spans="1:18" x14ac:dyDescent="0.25">
      <c r="A191" s="673" t="str">
        <f t="array" ref="A191">IF(OR(C191=C190,C191=0),"",INDEX(CkDJ[Date],MATCH(C191,CkDJ[JEV Number],0)))</f>
        <v/>
      </c>
      <c r="B191" s="674"/>
      <c r="C191" s="675" t="str">
        <f t="shared" si="15"/>
        <v>20-01-001</v>
      </c>
      <c r="D191" s="675"/>
      <c r="E191" s="675"/>
      <c r="F191" s="675"/>
      <c r="G191" s="676" t="str">
        <f t="array" ref="G191">IF(OR(C191=C190,C191=0),"",INDEX(CasheirCode[Name],MATCH((INDEX(CkDJ[Sort Code],MATCH(C191,CkDJ[JEV Number],0))),CasheirCode[Sort Code])))</f>
        <v/>
      </c>
      <c r="H191" s="677">
        <f t="array" ref="H191">IF(OR($C191=$C190,$C191=0),0,(SUM(IF((CkDJ[JEV Number]=$C191)*(CkDJ[Account Code]=(H$9)),CkDJ[Credit]))))</f>
        <v>0</v>
      </c>
      <c r="I191" s="677">
        <f t="array" ref="I191">IF(OR($C191=$C190,$C191=0),0,(SUM(IF((CkDJ[JEV Number]=$C191)*(CkDJ[Account Code]=(I$9)),CkDJ[Credit]))))</f>
        <v>0</v>
      </c>
      <c r="J191" s="678"/>
      <c r="K191" s="677">
        <f t="array" ref="K191">IF($C191=0,0,(SUM(IF((CkDJ[JEV Number]=$C191)*(CkDJ[Account Code]=(J191)),CkDJ[Credit]))))</f>
        <v>0</v>
      </c>
      <c r="L191" s="677">
        <f t="array" ref="L191">IF(OR($C191=$C190,$C191=0),0,(SUM(IF((CkDJ[JEV Number]=$C191)*(CkDJ[Account Code]=(L$9)),CkDJ[Debit]))))</f>
        <v>0</v>
      </c>
      <c r="M191" s="677">
        <f t="array" ref="M191">IF(OR($C191=$C190,$C191=0),0,(SUM(IF((CkDJ[JEV Number]=$C191)*(CkDJ[Account Code]=(M$9)),CkDJ[Debit]))))</f>
        <v>0</v>
      </c>
      <c r="N191" s="677">
        <f t="array" ref="N191">IF(OR($C191=$C190,$C191=0),0,(SUM(IF((CkDJ[JEV Number]=$C191)*(CkDJ[Account Code]=(N$9)),CkDJ[Debit]))))</f>
        <v>0</v>
      </c>
      <c r="O191" s="677">
        <f t="array" ref="O191">IF(OR($C191=$C190,$C191=0),0,(SUM(IF((CkDJ[JEV Number]=$C191)*(CkDJ[Account Code]=(O$9)),CkDJ[Debit]))))</f>
        <v>0</v>
      </c>
      <c r="P191" s="726"/>
      <c r="Q191" s="692">
        <f t="array" ref="Q191">IF($C191=0,0,(SUM(IF((CkDJ[JEV Number]=$C191)*(CkDJ[Account Code]=(P191)),CkDJ[Debit]))))</f>
        <v>0</v>
      </c>
      <c r="R191" s="679">
        <f t="shared" si="16"/>
        <v>0</v>
      </c>
    </row>
    <row r="192" spans="1:18" x14ac:dyDescent="0.25">
      <c r="A192" s="673" t="str">
        <f t="array" ref="A192">IF(OR(C192=C191,C192=0),"",INDEX(CkDJ[Date],MATCH(C192,CkDJ[JEV Number],0)))</f>
        <v/>
      </c>
      <c r="B192" s="674"/>
      <c r="C192" s="675" t="str">
        <f t="shared" si="15"/>
        <v>20-01-001</v>
      </c>
      <c r="D192" s="675"/>
      <c r="E192" s="675"/>
      <c r="F192" s="675"/>
      <c r="G192" s="676" t="str">
        <f t="array" ref="G192">IF(OR(C192=C191,C192=0),"",INDEX(CasheirCode[Name],MATCH((INDEX(CkDJ[Sort Code],MATCH(C192,CkDJ[JEV Number],0))),CasheirCode[Sort Code])))</f>
        <v/>
      </c>
      <c r="H192" s="677">
        <f t="array" ref="H192">IF(OR($C192=$C191,$C192=0),0,(SUM(IF((CkDJ[JEV Number]=$C192)*(CkDJ[Account Code]=(H$9)),CkDJ[Credit]))))</f>
        <v>0</v>
      </c>
      <c r="I192" s="677">
        <f t="array" ref="I192">IF(OR($C192=$C191,$C192=0),0,(SUM(IF((CkDJ[JEV Number]=$C192)*(CkDJ[Account Code]=(I$9)),CkDJ[Credit]))))</f>
        <v>0</v>
      </c>
      <c r="J192" s="678"/>
      <c r="K192" s="677">
        <f t="array" ref="K192">IF($C192=0,0,(SUM(IF((CkDJ[JEV Number]=$C192)*(CkDJ[Account Code]=(J192)),CkDJ[Credit]))))</f>
        <v>0</v>
      </c>
      <c r="L192" s="677">
        <f t="array" ref="L192">IF(OR($C192=$C191,$C192=0),0,(SUM(IF((CkDJ[JEV Number]=$C192)*(CkDJ[Account Code]=(L$9)),CkDJ[Debit]))))</f>
        <v>0</v>
      </c>
      <c r="M192" s="677">
        <f t="array" ref="M192">IF(OR($C192=$C191,$C192=0),0,(SUM(IF((CkDJ[JEV Number]=$C192)*(CkDJ[Account Code]=(M$9)),CkDJ[Debit]))))</f>
        <v>0</v>
      </c>
      <c r="N192" s="677">
        <f t="array" ref="N192">IF(OR($C192=$C191,$C192=0),0,(SUM(IF((CkDJ[JEV Number]=$C192)*(CkDJ[Account Code]=(N$9)),CkDJ[Debit]))))</f>
        <v>0</v>
      </c>
      <c r="O192" s="677">
        <f t="array" ref="O192">IF(OR($C192=$C191,$C192=0),0,(SUM(IF((CkDJ[JEV Number]=$C192)*(CkDJ[Account Code]=(O$9)),CkDJ[Debit]))))</f>
        <v>0</v>
      </c>
      <c r="P192" s="726"/>
      <c r="Q192" s="692">
        <f t="array" ref="Q192">IF($C192=0,0,(SUM(IF((CkDJ[JEV Number]=$C192)*(CkDJ[Account Code]=(P192)),CkDJ[Debit]))))</f>
        <v>0</v>
      </c>
      <c r="R192" s="679">
        <f t="shared" si="16"/>
        <v>0</v>
      </c>
    </row>
    <row r="193" spans="1:18" x14ac:dyDescent="0.25">
      <c r="A193" s="673" t="str">
        <f t="array" ref="A193">IF(OR(C193=C192,C193=0),"",INDEX(CkDJ[Date],MATCH(C193,CkDJ[JEV Number],0)))</f>
        <v/>
      </c>
      <c r="B193" s="674"/>
      <c r="C193" s="675" t="str">
        <f t="shared" si="15"/>
        <v>20-01-001</v>
      </c>
      <c r="D193" s="675"/>
      <c r="E193" s="675"/>
      <c r="F193" s="675"/>
      <c r="G193" s="676" t="str">
        <f t="array" ref="G193">IF(OR(C193=C192,C193=0),"",INDEX(CasheirCode[Name],MATCH((INDEX(CkDJ[Sort Code],MATCH(C193,CkDJ[JEV Number],0))),CasheirCode[Sort Code])))</f>
        <v/>
      </c>
      <c r="H193" s="677">
        <f t="array" ref="H193">IF(OR($C193=$C192,$C193=0),0,(SUM(IF((CkDJ[JEV Number]=$C193)*(CkDJ[Account Code]=(H$9)),CkDJ[Credit]))))</f>
        <v>0</v>
      </c>
      <c r="I193" s="677">
        <f t="array" ref="I193">IF(OR($C193=$C192,$C193=0),0,(SUM(IF((CkDJ[JEV Number]=$C193)*(CkDJ[Account Code]=(I$9)),CkDJ[Credit]))))</f>
        <v>0</v>
      </c>
      <c r="J193" s="678"/>
      <c r="K193" s="677">
        <f t="array" ref="K193">IF($C193=0,0,(SUM(IF((CkDJ[JEV Number]=$C193)*(CkDJ[Account Code]=(J193)),CkDJ[Credit]))))</f>
        <v>0</v>
      </c>
      <c r="L193" s="677">
        <f t="array" ref="L193">IF(OR($C193=$C192,$C193=0),0,(SUM(IF((CkDJ[JEV Number]=$C193)*(CkDJ[Account Code]=(L$9)),CkDJ[Debit]))))</f>
        <v>0</v>
      </c>
      <c r="M193" s="677">
        <f t="array" ref="M193">IF(OR($C193=$C192,$C193=0),0,(SUM(IF((CkDJ[JEV Number]=$C193)*(CkDJ[Account Code]=(M$9)),CkDJ[Debit]))))</f>
        <v>0</v>
      </c>
      <c r="N193" s="677">
        <f t="array" ref="N193">IF(OR($C193=$C192,$C193=0),0,(SUM(IF((CkDJ[JEV Number]=$C193)*(CkDJ[Account Code]=(N$9)),CkDJ[Debit]))))</f>
        <v>0</v>
      </c>
      <c r="O193" s="677">
        <f t="array" ref="O193">IF(OR($C193=$C192,$C193=0),0,(SUM(IF((CkDJ[JEV Number]=$C193)*(CkDJ[Account Code]=(O$9)),CkDJ[Debit]))))</f>
        <v>0</v>
      </c>
      <c r="P193" s="726"/>
      <c r="Q193" s="692">
        <f t="array" ref="Q193">IF($C193=0,0,(SUM(IF((CkDJ[JEV Number]=$C193)*(CkDJ[Account Code]=(P193)),CkDJ[Debit]))))</f>
        <v>0</v>
      </c>
      <c r="R193" s="679">
        <f t="shared" si="16"/>
        <v>0</v>
      </c>
    </row>
    <row r="194" spans="1:18" x14ac:dyDescent="0.25">
      <c r="A194" s="673" t="str">
        <f t="array" ref="A194">IF(OR(C194=C193,C194=0),"",INDEX(CkDJ[Date],MATCH(C194,CkDJ[JEV Number],0)))</f>
        <v/>
      </c>
      <c r="B194" s="674"/>
      <c r="C194" s="675" t="str">
        <f t="shared" si="15"/>
        <v>20-01-001</v>
      </c>
      <c r="D194" s="675"/>
      <c r="E194" s="675"/>
      <c r="F194" s="675"/>
      <c r="G194" s="676" t="str">
        <f t="array" ref="G194">IF(OR(C194=C193,C194=0),"",INDEX(CasheirCode[Name],MATCH((INDEX(CkDJ[Sort Code],MATCH(C194,CkDJ[JEV Number],0))),CasheirCode[Sort Code])))</f>
        <v/>
      </c>
      <c r="H194" s="677">
        <f t="array" ref="H194">IF(OR($C194=$C193,$C194=0),0,(SUM(IF((CkDJ[JEV Number]=$C194)*(CkDJ[Account Code]=(H$9)),CkDJ[Credit]))))</f>
        <v>0</v>
      </c>
      <c r="I194" s="677">
        <f t="array" ref="I194">IF(OR($C194=$C193,$C194=0),0,(SUM(IF((CkDJ[JEV Number]=$C194)*(CkDJ[Account Code]=(I$9)),CkDJ[Credit]))))</f>
        <v>0</v>
      </c>
      <c r="J194" s="678"/>
      <c r="K194" s="677">
        <f t="array" ref="K194">IF($C194=0,0,(SUM(IF((CkDJ[JEV Number]=$C194)*(CkDJ[Account Code]=(J194)),CkDJ[Credit]))))</f>
        <v>0</v>
      </c>
      <c r="L194" s="677">
        <f t="array" ref="L194">IF(OR($C194=$C193,$C194=0),0,(SUM(IF((CkDJ[JEV Number]=$C194)*(CkDJ[Account Code]=(L$9)),CkDJ[Debit]))))</f>
        <v>0</v>
      </c>
      <c r="M194" s="677">
        <f t="array" ref="M194">IF(OR($C194=$C193,$C194=0),0,(SUM(IF((CkDJ[JEV Number]=$C194)*(CkDJ[Account Code]=(M$9)),CkDJ[Debit]))))</f>
        <v>0</v>
      </c>
      <c r="N194" s="677">
        <f t="array" ref="N194">IF(OR($C194=$C193,$C194=0),0,(SUM(IF((CkDJ[JEV Number]=$C194)*(CkDJ[Account Code]=(N$9)),CkDJ[Debit]))))</f>
        <v>0</v>
      </c>
      <c r="O194" s="677">
        <f t="array" ref="O194">IF(OR($C194=$C193,$C194=0),0,(SUM(IF((CkDJ[JEV Number]=$C194)*(CkDJ[Account Code]=(O$9)),CkDJ[Debit]))))</f>
        <v>0</v>
      </c>
      <c r="P194" s="726"/>
      <c r="Q194" s="692">
        <f t="array" ref="Q194">IF($C194=0,0,(SUM(IF((CkDJ[JEV Number]=$C194)*(CkDJ[Account Code]=(P194)),CkDJ[Debit]))))</f>
        <v>0</v>
      </c>
      <c r="R194" s="679">
        <f t="shared" si="16"/>
        <v>0</v>
      </c>
    </row>
    <row r="195" spans="1:18" x14ac:dyDescent="0.25">
      <c r="A195" s="673" t="str">
        <f t="array" ref="A195">IF(OR(C195=C194,C195=0),"",INDEX(CkDJ[Date],MATCH(C195,CkDJ[JEV Number],0)))</f>
        <v/>
      </c>
      <c r="B195" s="674"/>
      <c r="C195" s="675" t="str">
        <f t="shared" si="15"/>
        <v>20-01-001</v>
      </c>
      <c r="D195" s="675"/>
      <c r="E195" s="675"/>
      <c r="F195" s="675"/>
      <c r="G195" s="676" t="str">
        <f t="array" ref="G195">IF(OR(C195=C194,C195=0),"",INDEX(CasheirCode[Name],MATCH((INDEX(CkDJ[Sort Code],MATCH(C195,CkDJ[JEV Number],0))),CasheirCode[Sort Code])))</f>
        <v/>
      </c>
      <c r="H195" s="677">
        <f t="array" ref="H195">IF(OR($C195=$C194,$C195=0),0,(SUM(IF((CkDJ[JEV Number]=$C195)*(CkDJ[Account Code]=(H$9)),CkDJ[Credit]))))</f>
        <v>0</v>
      </c>
      <c r="I195" s="677">
        <f t="array" ref="I195">IF(OR($C195=$C194,$C195=0),0,(SUM(IF((CkDJ[JEV Number]=$C195)*(CkDJ[Account Code]=(I$9)),CkDJ[Credit]))))</f>
        <v>0</v>
      </c>
      <c r="J195" s="678"/>
      <c r="K195" s="677">
        <f t="array" ref="K195">IF($C195=0,0,(SUM(IF((CkDJ[JEV Number]=$C195)*(CkDJ[Account Code]=(J195)),CkDJ[Credit]))))</f>
        <v>0</v>
      </c>
      <c r="L195" s="677">
        <f t="array" ref="L195">IF(OR($C195=$C194,$C195=0),0,(SUM(IF((CkDJ[JEV Number]=$C195)*(CkDJ[Account Code]=(L$9)),CkDJ[Debit]))))</f>
        <v>0</v>
      </c>
      <c r="M195" s="677">
        <f t="array" ref="M195">IF(OR($C195=$C194,$C195=0),0,(SUM(IF((CkDJ[JEV Number]=$C195)*(CkDJ[Account Code]=(M$9)),CkDJ[Debit]))))</f>
        <v>0</v>
      </c>
      <c r="N195" s="677">
        <f t="array" ref="N195">IF(OR($C195=$C194,$C195=0),0,(SUM(IF((CkDJ[JEV Number]=$C195)*(CkDJ[Account Code]=(N$9)),CkDJ[Debit]))))</f>
        <v>0</v>
      </c>
      <c r="O195" s="677">
        <f t="array" ref="O195">IF(OR($C195=$C194,$C195=0),0,(SUM(IF((CkDJ[JEV Number]=$C195)*(CkDJ[Account Code]=(O$9)),CkDJ[Debit]))))</f>
        <v>0</v>
      </c>
      <c r="P195" s="726"/>
      <c r="Q195" s="692">
        <f t="array" ref="Q195">IF($C195=0,0,(SUM(IF((CkDJ[JEV Number]=$C195)*(CkDJ[Account Code]=(P195)),CkDJ[Debit]))))</f>
        <v>0</v>
      </c>
      <c r="R195" s="679">
        <f t="shared" si="16"/>
        <v>0</v>
      </c>
    </row>
    <row r="196" spans="1:18" x14ac:dyDescent="0.25">
      <c r="A196" s="673" t="str">
        <f t="array" ref="A196">IF(OR(C196=C195,C196=0),"",INDEX(CkDJ[Date],MATCH(C196,CkDJ[JEV Number],0)))</f>
        <v/>
      </c>
      <c r="B196" s="674"/>
      <c r="C196" s="675" t="str">
        <f t="shared" si="15"/>
        <v>20-01-001</v>
      </c>
      <c r="D196" s="675"/>
      <c r="E196" s="675"/>
      <c r="F196" s="675"/>
      <c r="G196" s="676" t="str">
        <f t="array" ref="G196">IF(OR(C196=C195,C196=0),"",INDEX(CasheirCode[Name],MATCH((INDEX(CkDJ[Sort Code],MATCH(C196,CkDJ[JEV Number],0))),CasheirCode[Sort Code])))</f>
        <v/>
      </c>
      <c r="H196" s="677">
        <f t="array" ref="H196">IF(OR($C196=$C195,$C196=0),0,(SUM(IF((CkDJ[JEV Number]=$C196)*(CkDJ[Account Code]=(H$9)),CkDJ[Credit]))))</f>
        <v>0</v>
      </c>
      <c r="I196" s="677">
        <f t="array" ref="I196">IF(OR($C196=$C195,$C196=0),0,(SUM(IF((CkDJ[JEV Number]=$C196)*(CkDJ[Account Code]=(I$9)),CkDJ[Credit]))))</f>
        <v>0</v>
      </c>
      <c r="J196" s="728"/>
      <c r="K196" s="677">
        <f t="array" ref="K196">IF($C196=0,0,(SUM(IF((CkDJ[JEV Number]=$C196)*(CkDJ[Account Code]=(J196)),CkDJ[Credit]))))</f>
        <v>0</v>
      </c>
      <c r="L196" s="677">
        <f t="array" ref="L196">IF(OR($C196=$C195,$C196=0),0,(SUM(IF((CkDJ[JEV Number]=$C196)*(CkDJ[Account Code]=(L$9)),CkDJ[Debit]))))</f>
        <v>0</v>
      </c>
      <c r="M196" s="677">
        <f t="array" ref="M196">IF(OR($C196=$C195,$C196=0),0,(SUM(IF((CkDJ[JEV Number]=$C196)*(CkDJ[Account Code]=(M$9)),CkDJ[Debit]))))</f>
        <v>0</v>
      </c>
      <c r="N196" s="677">
        <f t="array" ref="N196">IF(OR($C196=$C195,$C196=0),0,(SUM(IF((CkDJ[JEV Number]=$C196)*(CkDJ[Account Code]=(N$9)),CkDJ[Debit]))))</f>
        <v>0</v>
      </c>
      <c r="O196" s="677">
        <f t="array" ref="O196">IF(OR($C196=$C195,$C196=0),0,(SUM(IF((CkDJ[JEV Number]=$C196)*(CkDJ[Account Code]=(O$9)),CkDJ[Debit]))))</f>
        <v>0</v>
      </c>
      <c r="P196" s="726"/>
      <c r="Q196" s="692">
        <f t="array" ref="Q196">IF($C196=0,0,(SUM(IF((CkDJ[JEV Number]=$C196)*(CkDJ[Account Code]=(P196)),CkDJ[Debit]))))</f>
        <v>0</v>
      </c>
      <c r="R196" s="679">
        <f t="shared" si="16"/>
        <v>0</v>
      </c>
    </row>
    <row r="197" spans="1:18" x14ac:dyDescent="0.25">
      <c r="A197" s="673" t="str">
        <f t="array" ref="A197">IF(OR(C197=C196,C197=0),"",INDEX(CkDJ[Date],MATCH(C197,CkDJ[JEV Number],0)))</f>
        <v/>
      </c>
      <c r="B197" s="674"/>
      <c r="C197" s="675" t="str">
        <f t="shared" si="15"/>
        <v>20-01-001</v>
      </c>
      <c r="D197" s="675"/>
      <c r="E197" s="675"/>
      <c r="F197" s="675"/>
      <c r="G197" s="676" t="str">
        <f t="array" ref="G197">IF(OR(C197=C196,C197=0),"",INDEX(CasheirCode[Name],MATCH((INDEX(CkDJ[Sort Code],MATCH(C197,CkDJ[JEV Number],0))),CasheirCode[Sort Code])))</f>
        <v/>
      </c>
      <c r="H197" s="677">
        <f t="array" ref="H197">IF(OR($C197=$C196,$C197=0),0,(SUM(IF((CkDJ[JEV Number]=$C197)*(CkDJ[Account Code]=(H$9)),CkDJ[Credit]))))</f>
        <v>0</v>
      </c>
      <c r="I197" s="677">
        <f t="array" ref="I197">IF(OR($C197=$C196,$C197=0),0,(SUM(IF((CkDJ[JEV Number]=$C197)*(CkDJ[Account Code]=(I$9)),CkDJ[Credit]))))</f>
        <v>0</v>
      </c>
      <c r="J197" s="728"/>
      <c r="K197" s="677">
        <f t="array" ref="K197">IF($C197=0,0,(SUM(IF((CkDJ[JEV Number]=$C197)*(CkDJ[Account Code]=(J197)),CkDJ[Credit]))))</f>
        <v>0</v>
      </c>
      <c r="L197" s="677">
        <f t="array" ref="L197">IF(OR($C197=$C196,$C197=0),0,(SUM(IF((CkDJ[JEV Number]=$C197)*(CkDJ[Account Code]=(L$9)),CkDJ[Debit]))))</f>
        <v>0</v>
      </c>
      <c r="M197" s="677">
        <f t="array" ref="M197">IF(OR($C197=$C196,$C197=0),0,(SUM(IF((CkDJ[JEV Number]=$C197)*(CkDJ[Account Code]=(M$9)),CkDJ[Debit]))))</f>
        <v>0</v>
      </c>
      <c r="N197" s="677">
        <f t="array" ref="N197">IF(OR($C197=$C196,$C197=0),0,(SUM(IF((CkDJ[JEV Number]=$C197)*(CkDJ[Account Code]=(N$9)),CkDJ[Debit]))))</f>
        <v>0</v>
      </c>
      <c r="O197" s="677">
        <f t="array" ref="O197">IF(OR($C197=$C196,$C197=0),0,(SUM(IF((CkDJ[JEV Number]=$C197)*(CkDJ[Account Code]=(O$9)),CkDJ[Debit]))))</f>
        <v>0</v>
      </c>
      <c r="P197" s="726"/>
      <c r="Q197" s="692">
        <f t="array" ref="Q197">IF($C197=0,0,(SUM(IF((CkDJ[JEV Number]=$C197)*(CkDJ[Account Code]=(P197)),CkDJ[Debit]))))</f>
        <v>0</v>
      </c>
      <c r="R197" s="679">
        <f t="shared" si="16"/>
        <v>0</v>
      </c>
    </row>
    <row r="198" spans="1:18" x14ac:dyDescent="0.25">
      <c r="A198" s="673" t="str">
        <f t="array" ref="A198">IF(OR(C198=C197,C198=0),"",INDEX(CkDJ[Date],MATCH(C198,CkDJ[JEV Number],0)))</f>
        <v/>
      </c>
      <c r="B198" s="674"/>
      <c r="C198" s="675" t="str">
        <f t="shared" si="15"/>
        <v>20-01-001</v>
      </c>
      <c r="D198" s="675"/>
      <c r="E198" s="675"/>
      <c r="F198" s="675"/>
      <c r="G198" s="676" t="str">
        <f t="array" ref="G198">IF(OR(C198=C197,C198=0),"",INDEX(CasheirCode[Name],MATCH((INDEX(CkDJ[Sort Code],MATCH(C198,CkDJ[JEV Number],0))),CasheirCode[Sort Code])))</f>
        <v/>
      </c>
      <c r="H198" s="677">
        <f t="array" ref="H198">IF(OR($C198=$C197,$C198=0),0,(SUM(IF((CkDJ[JEV Number]=$C198)*(CkDJ[Account Code]=(H$9)),CkDJ[Credit]))))</f>
        <v>0</v>
      </c>
      <c r="I198" s="677">
        <f t="array" ref="I198">IF(OR($C198=$C197,$C198=0),0,(SUM(IF((CkDJ[JEV Number]=$C198)*(CkDJ[Account Code]=(I$9)),CkDJ[Credit]))))</f>
        <v>0</v>
      </c>
      <c r="J198" s="728"/>
      <c r="K198" s="677">
        <f t="array" ref="K198">IF($C198=0,0,(SUM(IF((CkDJ[JEV Number]=$C198)*(CkDJ[Account Code]=(J198)),CkDJ[Credit]))))</f>
        <v>0</v>
      </c>
      <c r="L198" s="677">
        <f t="array" ref="L198">IF(OR($C198=$C197,$C198=0),0,(SUM(IF((CkDJ[JEV Number]=$C198)*(CkDJ[Account Code]=(L$9)),CkDJ[Debit]))))</f>
        <v>0</v>
      </c>
      <c r="M198" s="677">
        <f t="array" ref="M198">IF(OR($C198=$C197,$C198=0),0,(SUM(IF((CkDJ[JEV Number]=$C198)*(CkDJ[Account Code]=(M$9)),CkDJ[Debit]))))</f>
        <v>0</v>
      </c>
      <c r="N198" s="677">
        <f t="array" ref="N198">IF(OR($C198=$C197,$C198=0),0,(SUM(IF((CkDJ[JEV Number]=$C198)*(CkDJ[Account Code]=(N$9)),CkDJ[Debit]))))</f>
        <v>0</v>
      </c>
      <c r="O198" s="677">
        <f t="array" ref="O198">IF(OR($C198=$C197,$C198=0),0,(SUM(IF((CkDJ[JEV Number]=$C198)*(CkDJ[Account Code]=(O$9)),CkDJ[Debit]))))</f>
        <v>0</v>
      </c>
      <c r="P198" s="726"/>
      <c r="Q198" s="692">
        <f t="array" ref="Q198">IF($C198=0,0,(SUM(IF((CkDJ[JEV Number]=$C198)*(CkDJ[Account Code]=(P198)),CkDJ[Debit]))))</f>
        <v>0</v>
      </c>
      <c r="R198" s="679">
        <f t="shared" si="16"/>
        <v>0</v>
      </c>
    </row>
    <row r="199" spans="1:18" x14ac:dyDescent="0.25">
      <c r="A199" s="673" t="str">
        <f t="array" ref="A199">IF(OR(C199=C198,C199=0),"",INDEX(CkDJ[Date],MATCH(C199,CkDJ[JEV Number],0)))</f>
        <v/>
      </c>
      <c r="B199" s="674"/>
      <c r="C199" s="675" t="str">
        <f t="shared" si="15"/>
        <v>20-01-001</v>
      </c>
      <c r="D199" s="675"/>
      <c r="E199" s="675"/>
      <c r="F199" s="675"/>
      <c r="G199" s="676" t="str">
        <f t="array" ref="G199">IF(OR(C199=C198,C199=0),"",INDEX(CasheirCode[Name],MATCH((INDEX(CkDJ[Sort Code],MATCH(C199,CkDJ[JEV Number],0))),CasheirCode[Sort Code])))</f>
        <v/>
      </c>
      <c r="H199" s="677">
        <f t="array" ref="H199">IF(OR($C199=$C198,$C199=0),0,(SUM(IF((CkDJ[JEV Number]=$C199)*(CkDJ[Account Code]=(H$9)),CkDJ[Credit]))))</f>
        <v>0</v>
      </c>
      <c r="I199" s="677">
        <f t="array" ref="I199">IF(OR($C199=$C198,$C199=0),0,(SUM(IF((CkDJ[JEV Number]=$C199)*(CkDJ[Account Code]=(I$9)),CkDJ[Credit]))))</f>
        <v>0</v>
      </c>
      <c r="J199" s="728"/>
      <c r="K199" s="677">
        <f t="array" ref="K199">IF($C199=0,0,(SUM(IF((CkDJ[JEV Number]=$C199)*(CkDJ[Account Code]=(J199)),CkDJ[Credit]))))</f>
        <v>0</v>
      </c>
      <c r="L199" s="677">
        <f t="array" ref="L199">IF(OR($C199=$C198,$C199=0),0,(SUM(IF((CkDJ[JEV Number]=$C199)*(CkDJ[Account Code]=(L$9)),CkDJ[Debit]))))</f>
        <v>0</v>
      </c>
      <c r="M199" s="677">
        <f t="array" ref="M199">IF(OR($C199=$C198,$C199=0),0,(SUM(IF((CkDJ[JEV Number]=$C199)*(CkDJ[Account Code]=(M$9)),CkDJ[Debit]))))</f>
        <v>0</v>
      </c>
      <c r="N199" s="677">
        <f t="array" ref="N199">IF(OR($C199=$C198,$C199=0),0,(SUM(IF((CkDJ[JEV Number]=$C199)*(CkDJ[Account Code]=(N$9)),CkDJ[Debit]))))</f>
        <v>0</v>
      </c>
      <c r="O199" s="677">
        <f t="array" ref="O199">IF(OR($C199=$C198,$C199=0),0,(SUM(IF((CkDJ[JEV Number]=$C199)*(CkDJ[Account Code]=(O$9)),CkDJ[Debit]))))</f>
        <v>0</v>
      </c>
      <c r="P199" s="726"/>
      <c r="Q199" s="692">
        <f t="array" ref="Q199">IF($C199=0,0,(SUM(IF((CkDJ[JEV Number]=$C199)*(CkDJ[Account Code]=(P199)),CkDJ[Debit]))))</f>
        <v>0</v>
      </c>
      <c r="R199" s="679">
        <f t="shared" si="16"/>
        <v>0</v>
      </c>
    </row>
    <row r="200" spans="1:18" x14ac:dyDescent="0.25">
      <c r="A200" s="673" t="str">
        <f t="array" ref="A200">IF(OR(C200=C199,C200=0),"",INDEX(CkDJ[Date],MATCH(C200,CkDJ[JEV Number],0)))</f>
        <v/>
      </c>
      <c r="B200" s="674"/>
      <c r="C200" s="675" t="str">
        <f t="shared" si="15"/>
        <v>20-01-001</v>
      </c>
      <c r="D200" s="675"/>
      <c r="E200" s="675"/>
      <c r="F200" s="675"/>
      <c r="G200" s="676" t="str">
        <f t="array" ref="G200">IF(OR(C200=C199,C200=0),"",INDEX(CasheirCode[Name],MATCH((INDEX(CkDJ[Sort Code],MATCH(C200,CkDJ[JEV Number],0))),CasheirCode[Sort Code])))</f>
        <v/>
      </c>
      <c r="H200" s="677">
        <f t="array" ref="H200">IF(OR($C200=$C199,$C200=0),0,(SUM(IF((CkDJ[JEV Number]=$C200)*(CkDJ[Account Code]=(H$9)),CkDJ[Credit]))))</f>
        <v>0</v>
      </c>
      <c r="I200" s="677">
        <f t="array" ref="I200">IF(OR($C200=$C199,$C200=0),0,(SUM(IF((CkDJ[JEV Number]=$C200)*(CkDJ[Account Code]=(I$9)),CkDJ[Credit]))))</f>
        <v>0</v>
      </c>
      <c r="J200" s="728"/>
      <c r="K200" s="677">
        <f t="array" ref="K200">IF($C200=0,0,(SUM(IF((CkDJ[JEV Number]=$C200)*(CkDJ[Account Code]=(J200)),CkDJ[Credit]))))</f>
        <v>0</v>
      </c>
      <c r="L200" s="677">
        <f t="array" ref="L200">IF(OR($C200=$C199,$C200=0),0,(SUM(IF((CkDJ[JEV Number]=$C200)*(CkDJ[Account Code]=(L$9)),CkDJ[Debit]))))</f>
        <v>0</v>
      </c>
      <c r="M200" s="677">
        <f t="array" ref="M200">IF(OR($C200=$C199,$C200=0),0,(SUM(IF((CkDJ[JEV Number]=$C200)*(CkDJ[Account Code]=(M$9)),CkDJ[Debit]))))</f>
        <v>0</v>
      </c>
      <c r="N200" s="677">
        <f t="array" ref="N200">IF(OR($C200=$C199,$C200=0),0,(SUM(IF((CkDJ[JEV Number]=$C200)*(CkDJ[Account Code]=(N$9)),CkDJ[Debit]))))</f>
        <v>0</v>
      </c>
      <c r="O200" s="677">
        <f t="array" ref="O200">IF(OR($C200=$C199,$C200=0),0,(SUM(IF((CkDJ[JEV Number]=$C200)*(CkDJ[Account Code]=(O$9)),CkDJ[Debit]))))</f>
        <v>0</v>
      </c>
      <c r="P200" s="726"/>
      <c r="Q200" s="692">
        <f t="array" ref="Q200">IF($C200=0,0,(SUM(IF((CkDJ[JEV Number]=$C200)*(CkDJ[Account Code]=(P200)),CkDJ[Debit]))))</f>
        <v>0</v>
      </c>
      <c r="R200" s="679">
        <f t="shared" si="16"/>
        <v>0</v>
      </c>
    </row>
    <row r="201" spans="1:18" x14ac:dyDescent="0.25">
      <c r="A201" s="673" t="str">
        <f t="array" ref="A201">IF(OR(C201=C200,C201=0),"",INDEX(CkDJ[Date],MATCH(C201,CkDJ[JEV Number],0)))</f>
        <v/>
      </c>
      <c r="B201" s="674"/>
      <c r="C201" s="675" t="str">
        <f t="shared" si="15"/>
        <v>20-01-001</v>
      </c>
      <c r="D201" s="675"/>
      <c r="E201" s="675"/>
      <c r="F201" s="675"/>
      <c r="G201" s="676" t="str">
        <f t="array" ref="G201">IF(OR(C201=C200,C201=0),"",INDEX(CasheirCode[Name],MATCH((INDEX(CkDJ[Sort Code],MATCH(C201,CkDJ[JEV Number],0))),CasheirCode[Sort Code])))</f>
        <v/>
      </c>
      <c r="H201" s="677">
        <f t="array" ref="H201">IF(OR($C201=$C200,$C201=0),0,(SUM(IF((CkDJ[JEV Number]=$C201)*(CkDJ[Account Code]=(H$9)),CkDJ[Credit]))))</f>
        <v>0</v>
      </c>
      <c r="I201" s="677">
        <f t="array" ref="I201">IF(OR($C201=$C200,$C201=0),0,(SUM(IF((CkDJ[JEV Number]=$C201)*(CkDJ[Account Code]=(I$9)),CkDJ[Credit]))))</f>
        <v>0</v>
      </c>
      <c r="J201" s="678"/>
      <c r="K201" s="677">
        <f t="array" ref="K201">IF($C201=0,0,(SUM(IF((CkDJ[JEV Number]=$C201)*(CkDJ[Account Code]=(J201)),CkDJ[Credit]))))</f>
        <v>0</v>
      </c>
      <c r="L201" s="677">
        <f t="array" ref="L201">IF(OR($C201=$C200,$C201=0),0,(SUM(IF((CkDJ[JEV Number]=$C201)*(CkDJ[Account Code]=(L$9)),CkDJ[Debit]))))</f>
        <v>0</v>
      </c>
      <c r="M201" s="677">
        <f t="array" ref="M201">IF(OR($C201=$C200,$C201=0),0,(SUM(IF((CkDJ[JEV Number]=$C201)*(CkDJ[Account Code]=(M$9)),CkDJ[Debit]))))</f>
        <v>0</v>
      </c>
      <c r="N201" s="677">
        <f t="array" ref="N201">IF(OR($C201=$C200,$C201=0),0,(SUM(IF((CkDJ[JEV Number]=$C201)*(CkDJ[Account Code]=(N$9)),CkDJ[Debit]))))</f>
        <v>0</v>
      </c>
      <c r="O201" s="677">
        <f t="array" ref="O201">IF(OR($C201=$C200,$C201=0),0,(SUM(IF((CkDJ[JEV Number]=$C201)*(CkDJ[Account Code]=(O$9)),CkDJ[Debit]))))</f>
        <v>0</v>
      </c>
      <c r="P201" s="726"/>
      <c r="Q201" s="692">
        <f t="array" ref="Q201">IF($C201=0,0,(SUM(IF((CkDJ[JEV Number]=$C201)*(CkDJ[Account Code]=(P201)),CkDJ[Debit]))))</f>
        <v>0</v>
      </c>
      <c r="R201" s="679">
        <f t="shared" si="16"/>
        <v>0</v>
      </c>
    </row>
    <row r="202" spans="1:18" x14ac:dyDescent="0.25">
      <c r="A202" s="673" t="str">
        <f t="array" ref="A202">IF(OR(C202=C201,C202=0),"",INDEX(CkDJ[Date],MATCH(C202,CkDJ[JEV Number],0)))</f>
        <v/>
      </c>
      <c r="B202" s="674"/>
      <c r="C202" s="675" t="str">
        <f t="shared" si="15"/>
        <v>20-01-001</v>
      </c>
      <c r="D202" s="675"/>
      <c r="E202" s="675"/>
      <c r="F202" s="675"/>
      <c r="G202" s="676" t="str">
        <f t="array" ref="G202">IF(OR(C202=C201,C202=0),"",INDEX(CasheirCode[Name],MATCH((INDEX(CkDJ[Sort Code],MATCH(C202,CkDJ[JEV Number],0))),CasheirCode[Sort Code])))</f>
        <v/>
      </c>
      <c r="H202" s="677">
        <f t="array" ref="H202">IF(OR($C202=$C201,$C202=0),0,(SUM(IF((CkDJ[JEV Number]=$C202)*(CkDJ[Account Code]=(H$9)),CkDJ[Credit]))))</f>
        <v>0</v>
      </c>
      <c r="I202" s="677">
        <f t="array" ref="I202">IF(OR($C202=$C201,$C202=0),0,(SUM(IF((CkDJ[JEV Number]=$C202)*(CkDJ[Account Code]=(I$9)),CkDJ[Credit]))))</f>
        <v>0</v>
      </c>
      <c r="J202" s="678"/>
      <c r="K202" s="677">
        <f t="array" ref="K202">IF($C202=0,0,(SUM(IF((CkDJ[JEV Number]=$C202)*(CkDJ[Account Code]=(J202)),CkDJ[Credit]))))</f>
        <v>0</v>
      </c>
      <c r="L202" s="677">
        <f t="array" ref="L202">IF(OR($C202=$C201,$C202=0),0,(SUM(IF((CkDJ[JEV Number]=$C202)*(CkDJ[Account Code]=(L$9)),CkDJ[Debit]))))</f>
        <v>0</v>
      </c>
      <c r="M202" s="677">
        <f t="array" ref="M202">IF(OR($C202=$C201,$C202=0),0,(SUM(IF((CkDJ[JEV Number]=$C202)*(CkDJ[Account Code]=(M$9)),CkDJ[Debit]))))</f>
        <v>0</v>
      </c>
      <c r="N202" s="677">
        <f t="array" ref="N202">IF(OR($C202=$C201,$C202=0),0,(SUM(IF((CkDJ[JEV Number]=$C202)*(CkDJ[Account Code]=(N$9)),CkDJ[Debit]))))</f>
        <v>0</v>
      </c>
      <c r="O202" s="677">
        <f t="array" ref="O202">IF(OR($C202=$C201,$C202=0),0,(SUM(IF((CkDJ[JEV Number]=$C202)*(CkDJ[Account Code]=(O$9)),CkDJ[Debit]))))</f>
        <v>0</v>
      </c>
      <c r="P202" s="726"/>
      <c r="Q202" s="692">
        <f t="array" ref="Q202">IF($C202=0,0,(SUM(IF((CkDJ[JEV Number]=$C202)*(CkDJ[Account Code]=(P202)),CkDJ[Debit]))))</f>
        <v>0</v>
      </c>
      <c r="R202" s="679">
        <f t="shared" si="16"/>
        <v>0</v>
      </c>
    </row>
    <row r="203" spans="1:18" x14ac:dyDescent="0.25">
      <c r="A203" s="673" t="str">
        <f t="array" ref="A203">IF(OR(C203=C202,C203=0),"",INDEX(CkDJ[Date],MATCH(C203,CkDJ[JEV Number],0)))</f>
        <v/>
      </c>
      <c r="B203" s="674"/>
      <c r="C203" s="675" t="str">
        <f t="shared" si="15"/>
        <v>20-01-001</v>
      </c>
      <c r="D203" s="675"/>
      <c r="E203" s="675"/>
      <c r="F203" s="675"/>
      <c r="G203" s="676" t="str">
        <f t="array" ref="G203">IF(OR(C203=C202,C203=0),"",INDEX(CasheirCode[Name],MATCH((INDEX(CkDJ[Sort Code],MATCH(C203,CkDJ[JEV Number],0))),CasheirCode[Sort Code])))</f>
        <v/>
      </c>
      <c r="H203" s="677">
        <f t="array" ref="H203">IF(OR($C203=$C202,$C203=0),0,(SUM(IF((CkDJ[JEV Number]=$C203)*(CkDJ[Account Code]=(H$9)),CkDJ[Credit]))))</f>
        <v>0</v>
      </c>
      <c r="I203" s="677">
        <f t="array" ref="I203">IF(OR($C203=$C202,$C203=0),0,(SUM(IF((CkDJ[JEV Number]=$C203)*(CkDJ[Account Code]=(I$9)),CkDJ[Credit]))))</f>
        <v>0</v>
      </c>
      <c r="J203" s="678"/>
      <c r="K203" s="677">
        <f t="array" ref="K203">IF($C203=0,0,(SUM(IF((CkDJ[JEV Number]=$C203)*(CkDJ[Account Code]=(J203)),CkDJ[Credit]))))</f>
        <v>0</v>
      </c>
      <c r="L203" s="677">
        <f t="array" ref="L203">IF(OR($C203=$C202,$C203=0),0,(SUM(IF((CkDJ[JEV Number]=$C203)*(CkDJ[Account Code]=(L$9)),CkDJ[Debit]))))</f>
        <v>0</v>
      </c>
      <c r="M203" s="677">
        <f t="array" ref="M203">IF(OR($C203=$C202,$C203=0),0,(SUM(IF((CkDJ[JEV Number]=$C203)*(CkDJ[Account Code]=(M$9)),CkDJ[Debit]))))</f>
        <v>0</v>
      </c>
      <c r="N203" s="677">
        <f t="array" ref="N203">IF(OR($C203=$C202,$C203=0),0,(SUM(IF((CkDJ[JEV Number]=$C203)*(CkDJ[Account Code]=(N$9)),CkDJ[Debit]))))</f>
        <v>0</v>
      </c>
      <c r="O203" s="677">
        <f t="array" ref="O203">IF(OR($C203=$C202,$C203=0),0,(SUM(IF((CkDJ[JEV Number]=$C203)*(CkDJ[Account Code]=(O$9)),CkDJ[Debit]))))</f>
        <v>0</v>
      </c>
      <c r="P203" s="726"/>
      <c r="Q203" s="692">
        <f t="array" ref="Q203">IF($C203=0,0,(SUM(IF((CkDJ[JEV Number]=$C203)*(CkDJ[Account Code]=(P203)),CkDJ[Debit]))))</f>
        <v>0</v>
      </c>
      <c r="R203" s="679">
        <f t="shared" si="16"/>
        <v>0</v>
      </c>
    </row>
    <row r="204" spans="1:18" x14ac:dyDescent="0.25">
      <c r="A204" s="673" t="str">
        <f t="array" ref="A204">IF(OR(C204=C203,C204=0),"",INDEX(CkDJ[Date],MATCH(C204,CkDJ[JEV Number],0)))</f>
        <v/>
      </c>
      <c r="B204" s="674"/>
      <c r="C204" s="675" t="str">
        <f t="shared" si="15"/>
        <v>20-01-001</v>
      </c>
      <c r="D204" s="675"/>
      <c r="E204" s="675"/>
      <c r="F204" s="675"/>
      <c r="G204" s="676" t="str">
        <f t="array" ref="G204">IF(OR(C204=C203,C204=0),"",INDEX(CasheirCode[Name],MATCH((INDEX(CkDJ[Sort Code],MATCH(C204,CkDJ[JEV Number],0))),CasheirCode[Sort Code])))</f>
        <v/>
      </c>
      <c r="H204" s="677">
        <f t="array" ref="H204">IF(OR($C204=$C203,$C204=0),0,(SUM(IF((CkDJ[JEV Number]=$C204)*(CkDJ[Account Code]=(H$9)),CkDJ[Credit]))))</f>
        <v>0</v>
      </c>
      <c r="I204" s="677">
        <f t="array" ref="I204">IF(OR($C204=$C203,$C204=0),0,(SUM(IF((CkDJ[JEV Number]=$C204)*(CkDJ[Account Code]=(I$9)),CkDJ[Credit]))))</f>
        <v>0</v>
      </c>
      <c r="J204" s="678"/>
      <c r="K204" s="677">
        <f t="array" ref="K204">IF($C204=0,0,(SUM(IF((CkDJ[JEV Number]=$C204)*(CkDJ[Account Code]=(J204)),CkDJ[Credit]))))</f>
        <v>0</v>
      </c>
      <c r="L204" s="677">
        <f t="array" ref="L204">IF(OR($C204=$C203,$C204=0),0,(SUM(IF((CkDJ[JEV Number]=$C204)*(CkDJ[Account Code]=(L$9)),CkDJ[Debit]))))</f>
        <v>0</v>
      </c>
      <c r="M204" s="677">
        <f t="array" ref="M204">IF(OR($C204=$C203,$C204=0),0,(SUM(IF((CkDJ[JEV Number]=$C204)*(CkDJ[Account Code]=(M$9)),CkDJ[Debit]))))</f>
        <v>0</v>
      </c>
      <c r="N204" s="677">
        <f t="array" ref="N204">IF(OR($C204=$C203,$C204=0),0,(SUM(IF((CkDJ[JEV Number]=$C204)*(CkDJ[Account Code]=(N$9)),CkDJ[Debit]))))</f>
        <v>0</v>
      </c>
      <c r="O204" s="677">
        <f t="array" ref="O204">IF(OR($C204=$C203,$C204=0),0,(SUM(IF((CkDJ[JEV Number]=$C204)*(CkDJ[Account Code]=(O$9)),CkDJ[Debit]))))</f>
        <v>0</v>
      </c>
      <c r="P204" s="726"/>
      <c r="Q204" s="692">
        <f t="array" ref="Q204">IF($C204=0,0,(SUM(IF((CkDJ[JEV Number]=$C204)*(CkDJ[Account Code]=(P204)),CkDJ[Debit]))))</f>
        <v>0</v>
      </c>
      <c r="R204" s="679">
        <f t="shared" si="16"/>
        <v>0</v>
      </c>
    </row>
    <row r="205" spans="1:18" x14ac:dyDescent="0.25">
      <c r="A205" s="673" t="str">
        <f t="array" ref="A205">IF(OR(C205=C204,C205=0),"",INDEX(CkDJ[Date],MATCH(C205,CkDJ[JEV Number],0)))</f>
        <v/>
      </c>
      <c r="B205" s="674"/>
      <c r="C205" s="675" t="str">
        <f t="shared" si="15"/>
        <v>20-01-001</v>
      </c>
      <c r="D205" s="675"/>
      <c r="E205" s="675"/>
      <c r="F205" s="675"/>
      <c r="G205" s="676" t="str">
        <f t="array" ref="G205">IF(OR(C205=C204,C205=0),"",INDEX(CasheirCode[Name],MATCH((INDEX(CkDJ[Sort Code],MATCH(C205,CkDJ[JEV Number],0))),CasheirCode[Sort Code])))</f>
        <v/>
      </c>
      <c r="H205" s="677">
        <f t="array" ref="H205">IF(OR($C205=$C204,$C205=0),0,(SUM(IF((CkDJ[JEV Number]=$C205)*(CkDJ[Account Code]=(H$9)),CkDJ[Credit]))))</f>
        <v>0</v>
      </c>
      <c r="I205" s="777">
        <f t="array" ref="I205">IF(OR($C205=$C204,$C205=0),0,(SUM(IF((CkDJ[JEV Number]=$C205)*(CkDJ[Account Code]=(I$9)),CkDJ[Credit]))))</f>
        <v>0</v>
      </c>
      <c r="J205" s="678"/>
      <c r="K205" s="677">
        <f t="array" ref="K205">IF($C205=0,0,(SUM(IF((CkDJ[JEV Number]=$C205)*(CkDJ[Account Code]=(J205)),CkDJ[Credit]))))</f>
        <v>0</v>
      </c>
      <c r="L205" s="677">
        <f t="array" ref="L205">IF(OR($C205=$C204,$C205=0),0,(SUM(IF((CkDJ[JEV Number]=$C205)*(CkDJ[Account Code]=(L$9)),CkDJ[Debit]))))</f>
        <v>0</v>
      </c>
      <c r="M205" s="677">
        <f t="array" ref="M205">IF(OR($C205=$C204,$C205=0),0,(SUM(IF((CkDJ[JEV Number]=$C205)*(CkDJ[Account Code]=(M$9)),CkDJ[Debit]))))</f>
        <v>0</v>
      </c>
      <c r="N205" s="677">
        <f t="array" ref="N205">IF(OR($C205=$C204,$C205=0),0,(SUM(IF((CkDJ[JEV Number]=$C205)*(CkDJ[Account Code]=(N$9)),CkDJ[Debit]))))</f>
        <v>0</v>
      </c>
      <c r="O205" s="677">
        <f t="array" ref="O205">IF(OR($C205=$C204,$C205=0),0,(SUM(IF((CkDJ[JEV Number]=$C205)*(CkDJ[Account Code]=(O$9)),CkDJ[Debit]))))</f>
        <v>0</v>
      </c>
      <c r="P205" s="726"/>
      <c r="Q205" s="692">
        <f t="array" ref="Q205">IF($C205=0,0,(SUM(IF((CkDJ[JEV Number]=$C205)*(CkDJ[Account Code]=(P205)),CkDJ[Debit]))))</f>
        <v>0</v>
      </c>
      <c r="R205" s="679">
        <f t="shared" si="16"/>
        <v>0</v>
      </c>
    </row>
    <row r="206" spans="1:18" x14ac:dyDescent="0.25">
      <c r="A206" s="673" t="str">
        <f t="array" ref="A206">IF(OR(C206=C205,C206=0),"",INDEX(CkDJ[Date],MATCH(C206,CkDJ[JEV Number],0)))</f>
        <v/>
      </c>
      <c r="B206" s="674"/>
      <c r="C206" s="675" t="str">
        <f t="shared" si="15"/>
        <v>20-01-001</v>
      </c>
      <c r="D206" s="675"/>
      <c r="E206" s="675"/>
      <c r="F206" s="675"/>
      <c r="G206" s="676" t="str">
        <f t="array" ref="G206">IF(OR(C206=C205,C206=0),"",INDEX(CasheirCode[Name],MATCH((INDEX(CkDJ[Sort Code],MATCH(C206,CkDJ[JEV Number],0))),CasheirCode[Sort Code])))</f>
        <v/>
      </c>
      <c r="H206" s="677">
        <f t="array" ref="H206">IF(OR($C206=$C205,$C206=0),0,(SUM(IF((CkDJ[JEV Number]=$C206)*(CkDJ[Account Code]=(H$9)),CkDJ[Credit]))))</f>
        <v>0</v>
      </c>
      <c r="I206" s="677">
        <f t="array" ref="I206">IF(OR($C206=$C205,$C206=0),0,(SUM(IF((CkDJ[JEV Number]=$C206)*(CkDJ[Account Code]=(I$9)),CkDJ[Credit]))))</f>
        <v>0</v>
      </c>
      <c r="J206" s="678"/>
      <c r="K206" s="677">
        <f t="array" ref="K206">IF($C206=0,0,(SUM(IF((CkDJ[JEV Number]=$C206)*(CkDJ[Account Code]=(J206)),CkDJ[Credit]))))</f>
        <v>0</v>
      </c>
      <c r="L206" s="677">
        <f t="array" ref="L206">IF(OR($C206=$C205,$C206=0),0,(SUM(IF((CkDJ[JEV Number]=$C206)*(CkDJ[Account Code]=(L$9)),CkDJ[Debit]))))</f>
        <v>0</v>
      </c>
      <c r="M206" s="677">
        <f t="array" ref="M206">IF(OR($C206=$C205,$C206=0),0,(SUM(IF((CkDJ[JEV Number]=$C206)*(CkDJ[Account Code]=(M$9)),CkDJ[Debit]))))</f>
        <v>0</v>
      </c>
      <c r="N206" s="677">
        <f t="array" ref="N206">IF(OR($C206=$C205,$C206=0),0,(SUM(IF((CkDJ[JEV Number]=$C206)*(CkDJ[Account Code]=(N$9)),CkDJ[Debit]))))</f>
        <v>0</v>
      </c>
      <c r="O206" s="677">
        <f t="array" ref="O206">IF(OR($C206=$C205,$C206=0),0,(SUM(IF((CkDJ[JEV Number]=$C206)*(CkDJ[Account Code]=(O$9)),CkDJ[Debit]))))</f>
        <v>0</v>
      </c>
      <c r="P206" s="726"/>
      <c r="Q206" s="692">
        <f t="array" ref="Q206">IF($C206=0,0,(SUM(IF((CkDJ[JEV Number]=$C206)*(CkDJ[Account Code]=(P206)),CkDJ[Debit]))))</f>
        <v>0</v>
      </c>
      <c r="R206" s="679">
        <f t="shared" si="16"/>
        <v>0</v>
      </c>
    </row>
    <row r="207" spans="1:18" x14ac:dyDescent="0.25">
      <c r="A207" s="673" t="str">
        <f t="array" ref="A207">IF(OR(C207=C206,C207=0),"",INDEX(CkDJ[Date],MATCH(C207,CkDJ[JEV Number],0)))</f>
        <v/>
      </c>
      <c r="B207" s="674"/>
      <c r="C207" s="675" t="str">
        <f t="shared" si="15"/>
        <v>20-01-001</v>
      </c>
      <c r="D207" s="675"/>
      <c r="E207" s="675"/>
      <c r="F207" s="675"/>
      <c r="G207" s="676" t="str">
        <f t="array" ref="G207">IF(OR(C207=C206,C207=0),"",INDEX(CasheirCode[Name],MATCH((INDEX(CkDJ[Sort Code],MATCH(C207,CkDJ[JEV Number],0))),CasheirCode[Sort Code])))</f>
        <v/>
      </c>
      <c r="H207" s="677">
        <f t="array" ref="H207">IF(OR($C207=$C206,$C207=0),0,(SUM(IF((CkDJ[JEV Number]=$C207)*(CkDJ[Account Code]=(H$9)),CkDJ[Credit]))))</f>
        <v>0</v>
      </c>
      <c r="I207" s="677">
        <f t="array" ref="I207">IF(OR($C207=$C206,$C207=0),0,(SUM(IF((CkDJ[JEV Number]=$C207)*(CkDJ[Account Code]=(I$9)),CkDJ[Credit]))))</f>
        <v>0</v>
      </c>
      <c r="J207" s="728"/>
      <c r="K207" s="677">
        <f t="array" ref="K207">IF($C207=0,0,(SUM(IF((CkDJ[JEV Number]=$C207)*(CkDJ[Account Code]=(J207)),CkDJ[Credit]))))</f>
        <v>0</v>
      </c>
      <c r="L207" s="677">
        <f t="array" ref="L207">IF(OR($C207=$C206,$C207=0),0,(SUM(IF((CkDJ[JEV Number]=$C207)*(CkDJ[Account Code]=(L$9)),CkDJ[Debit]))))</f>
        <v>0</v>
      </c>
      <c r="M207" s="677">
        <f t="array" ref="M207">IF(OR($C207=$C206,$C207=0),0,(SUM(IF((CkDJ[JEV Number]=$C207)*(CkDJ[Account Code]=(M$9)),CkDJ[Debit]))))</f>
        <v>0</v>
      </c>
      <c r="N207" s="677">
        <f t="array" ref="N207">IF(OR($C207=$C206,$C207=0),0,(SUM(IF((CkDJ[JEV Number]=$C207)*(CkDJ[Account Code]=(N$9)),CkDJ[Debit]))))</f>
        <v>0</v>
      </c>
      <c r="O207" s="677">
        <f t="array" ref="O207">IF(OR($C207=$C206,$C207=0),0,(SUM(IF((CkDJ[JEV Number]=$C207)*(CkDJ[Account Code]=(O$9)),CkDJ[Debit]))))</f>
        <v>0</v>
      </c>
      <c r="P207" s="726"/>
      <c r="Q207" s="692">
        <f t="array" ref="Q207">IF($C207=0,0,(SUM(IF((CkDJ[JEV Number]=$C207)*(CkDJ[Account Code]=(P207)),CkDJ[Debit]))))</f>
        <v>0</v>
      </c>
      <c r="R207" s="679">
        <f t="shared" si="16"/>
        <v>0</v>
      </c>
    </row>
    <row r="208" spans="1:18" x14ac:dyDescent="0.25">
      <c r="A208" s="673" t="str">
        <f t="array" ref="A208">IF(OR(C208=C207,C208=0),"",INDEX(CkDJ[Date],MATCH(C208,CkDJ[JEV Number],0)))</f>
        <v/>
      </c>
      <c r="B208" s="674"/>
      <c r="C208" s="675" t="str">
        <f t="shared" si="15"/>
        <v>20-01-001</v>
      </c>
      <c r="D208" s="675"/>
      <c r="E208" s="675"/>
      <c r="F208" s="675"/>
      <c r="G208" s="676" t="str">
        <f t="array" ref="G208">IF(OR(C208=C207,C208=0),"",INDEX(CasheirCode[Name],MATCH((INDEX(CkDJ[Sort Code],MATCH(C208,CkDJ[JEV Number],0))),CasheirCode[Sort Code])))</f>
        <v/>
      </c>
      <c r="H208" s="677">
        <f t="array" ref="H208">IF(OR($C208=$C207,$C208=0),0,(SUM(IF((CkDJ[JEV Number]=$C208)*(CkDJ[Account Code]=(H$9)),CkDJ[Credit]))))</f>
        <v>0</v>
      </c>
      <c r="I208" s="677">
        <f t="array" ref="I208">IF(OR($C208=$C207,$C208=0),0,(SUM(IF((CkDJ[JEV Number]=$C208)*(CkDJ[Account Code]=(I$9)),CkDJ[Credit]))))</f>
        <v>0</v>
      </c>
      <c r="J208" s="728"/>
      <c r="K208" s="677">
        <f t="array" ref="K208">IF($C208=0,0,(SUM(IF((CkDJ[JEV Number]=$C208)*(CkDJ[Account Code]=(J208)),CkDJ[Credit]))))</f>
        <v>0</v>
      </c>
      <c r="L208" s="677">
        <f t="array" ref="L208">IF(OR($C208=$C207,$C208=0),0,(SUM(IF((CkDJ[JEV Number]=$C208)*(CkDJ[Account Code]=(L$9)),CkDJ[Debit]))))</f>
        <v>0</v>
      </c>
      <c r="M208" s="677">
        <f t="array" ref="M208">IF(OR($C208=$C207,$C208=0),0,(SUM(IF((CkDJ[JEV Number]=$C208)*(CkDJ[Account Code]=(M$9)),CkDJ[Debit]))))</f>
        <v>0</v>
      </c>
      <c r="N208" s="677">
        <f t="array" ref="N208">IF(OR($C208=$C207,$C208=0),0,(SUM(IF((CkDJ[JEV Number]=$C208)*(CkDJ[Account Code]=(N$9)),CkDJ[Debit]))))</f>
        <v>0</v>
      </c>
      <c r="O208" s="677">
        <f t="array" ref="O208">IF(OR($C208=$C207,$C208=0),0,(SUM(IF((CkDJ[JEV Number]=$C208)*(CkDJ[Account Code]=(O$9)),CkDJ[Debit]))))</f>
        <v>0</v>
      </c>
      <c r="P208" s="726"/>
      <c r="Q208" s="692">
        <f t="array" ref="Q208">IF($C208=0,0,(SUM(IF((CkDJ[JEV Number]=$C208)*(CkDJ[Account Code]=(P208)),CkDJ[Debit]))))</f>
        <v>0</v>
      </c>
      <c r="R208" s="679">
        <f t="shared" si="16"/>
        <v>0</v>
      </c>
    </row>
    <row r="209" spans="1:18" x14ac:dyDescent="0.25">
      <c r="A209" s="673" t="str">
        <f t="array" ref="A209">IF(OR(C209=C208,C209=0),"",INDEX(CkDJ[Date],MATCH(C209,CkDJ[JEV Number],0)))</f>
        <v/>
      </c>
      <c r="B209" s="674"/>
      <c r="C209" s="675" t="str">
        <f t="shared" si="15"/>
        <v>20-01-001</v>
      </c>
      <c r="D209" s="675"/>
      <c r="E209" s="675"/>
      <c r="F209" s="675"/>
      <c r="G209" s="676" t="str">
        <f t="array" ref="G209">IF(OR(C209=C208,C209=0),"",INDEX(CasheirCode[Name],MATCH((INDEX(CkDJ[Sort Code],MATCH(C209,CkDJ[JEV Number],0))),CasheirCode[Sort Code])))</f>
        <v/>
      </c>
      <c r="H209" s="677">
        <f t="array" ref="H209">IF(OR($C209=$C208,$C209=0),0,(SUM(IF((CkDJ[JEV Number]=$C209)*(CkDJ[Account Code]=(H$9)),CkDJ[Credit]))))</f>
        <v>0</v>
      </c>
      <c r="I209" s="677">
        <f t="array" ref="I209">IF(OR($C209=$C208,$C209=0),0,(SUM(IF((CkDJ[JEV Number]=$C209)*(CkDJ[Account Code]=(I$9)),CkDJ[Credit]))))</f>
        <v>0</v>
      </c>
      <c r="J209" s="678"/>
      <c r="K209" s="677">
        <f t="array" ref="K209">IF($C209=0,0,(SUM(IF((CkDJ[JEV Number]=$C209)*(CkDJ[Account Code]=(J209)),CkDJ[Credit]))))</f>
        <v>0</v>
      </c>
      <c r="L209" s="677">
        <f t="array" ref="L209">IF(OR($C209=$C208,$C209=0),0,(SUM(IF((CkDJ[JEV Number]=$C209)*(CkDJ[Account Code]=(L$9)),CkDJ[Debit]))))</f>
        <v>0</v>
      </c>
      <c r="M209" s="677">
        <f t="array" ref="M209">IF(OR($C209=$C208,$C209=0),0,(SUM(IF((CkDJ[JEV Number]=$C209)*(CkDJ[Account Code]=(M$9)),CkDJ[Debit]))))</f>
        <v>0</v>
      </c>
      <c r="N209" s="677">
        <f t="array" ref="N209">IF(OR($C209=$C208,$C209=0),0,(SUM(IF((CkDJ[JEV Number]=$C209)*(CkDJ[Account Code]=(N$9)),CkDJ[Debit]))))</f>
        <v>0</v>
      </c>
      <c r="O209" s="677">
        <f t="array" ref="O209">IF(OR($C209=$C208,$C209=0),0,(SUM(IF((CkDJ[JEV Number]=$C209)*(CkDJ[Account Code]=(O$9)),CkDJ[Debit]))))</f>
        <v>0</v>
      </c>
      <c r="P209" s="726"/>
      <c r="Q209" s="692">
        <f t="array" ref="Q209">IF($C209=0,0,(SUM(IF((CkDJ[JEV Number]=$C209)*(CkDJ[Account Code]=(P209)),CkDJ[Debit]))))</f>
        <v>0</v>
      </c>
      <c r="R209" s="679">
        <f t="shared" si="16"/>
        <v>0</v>
      </c>
    </row>
    <row r="210" spans="1:18" x14ac:dyDescent="0.25">
      <c r="A210" s="673" t="str">
        <f t="array" ref="A210">IF(OR(C210=C209,C210=0),"",INDEX(CkDJ[Date],MATCH(C210,CkDJ[JEV Number],0)))</f>
        <v/>
      </c>
      <c r="B210" s="674"/>
      <c r="C210" s="675" t="str">
        <f t="shared" si="15"/>
        <v>20-01-001</v>
      </c>
      <c r="D210" s="675"/>
      <c r="E210" s="675"/>
      <c r="F210" s="675"/>
      <c r="G210" s="676" t="str">
        <f t="array" ref="G210">IF(OR(C210=C209,C210=0),"",INDEX(CasheirCode[Name],MATCH((INDEX(CkDJ[Sort Code],MATCH(C210,CkDJ[JEV Number],0))),CasheirCode[Sort Code])))</f>
        <v/>
      </c>
      <c r="H210" s="677">
        <f t="array" ref="H210">IF(OR($C210=$C209,$C210=0),0,(SUM(IF((CkDJ[JEV Number]=$C210)*(CkDJ[Account Code]=(H$9)),CkDJ[Credit]))))</f>
        <v>0</v>
      </c>
      <c r="I210" s="677">
        <f t="array" ref="I210">IF(OR($C210=$C209,$C210=0),0,(SUM(IF((CkDJ[JEV Number]=$C210)*(CkDJ[Account Code]=(I$9)),CkDJ[Credit]))))</f>
        <v>0</v>
      </c>
      <c r="J210" s="678"/>
      <c r="K210" s="677">
        <f t="array" ref="K210">IF($C210=0,0,(SUM(IF((CkDJ[JEV Number]=$C210)*(CkDJ[Account Code]=(J210)),CkDJ[Credit]))))</f>
        <v>0</v>
      </c>
      <c r="L210" s="677">
        <f t="array" ref="L210">IF(OR($C210=$C209,$C210=0),0,(SUM(IF((CkDJ[JEV Number]=$C210)*(CkDJ[Account Code]=(L$9)),CkDJ[Debit]))))</f>
        <v>0</v>
      </c>
      <c r="M210" s="677">
        <f t="array" ref="M210">IF(OR($C210=$C209,$C210=0),0,(SUM(IF((CkDJ[JEV Number]=$C210)*(CkDJ[Account Code]=(M$9)),CkDJ[Debit]))))</f>
        <v>0</v>
      </c>
      <c r="N210" s="677">
        <f t="array" ref="N210">IF(OR($C210=$C209,$C210=0),0,(SUM(IF((CkDJ[JEV Number]=$C210)*(CkDJ[Account Code]=(N$9)),CkDJ[Debit]))))</f>
        <v>0</v>
      </c>
      <c r="O210" s="677">
        <f t="array" ref="O210">IF(OR($C210=$C209,$C210=0),0,(SUM(IF((CkDJ[JEV Number]=$C210)*(CkDJ[Account Code]=(O$9)),CkDJ[Debit]))))</f>
        <v>0</v>
      </c>
      <c r="P210" s="726"/>
      <c r="Q210" s="692">
        <f t="array" ref="Q210">IF($C210=0,0,(SUM(IF((CkDJ[JEV Number]=$C210)*(CkDJ[Account Code]=(P210)),CkDJ[Debit]))))</f>
        <v>0</v>
      </c>
      <c r="R210" s="679">
        <f t="shared" si="16"/>
        <v>0</v>
      </c>
    </row>
    <row r="211" spans="1:18" x14ac:dyDescent="0.25">
      <c r="A211" s="673" t="str">
        <f t="array" ref="A211">IF(OR(C211=C210,C211=0),"",INDEX(CkDJ[Date],MATCH(C211,CkDJ[JEV Number],0)))</f>
        <v/>
      </c>
      <c r="B211" s="674"/>
      <c r="C211" s="675" t="str">
        <f t="shared" si="15"/>
        <v>20-01-001</v>
      </c>
      <c r="D211" s="675"/>
      <c r="E211" s="675"/>
      <c r="F211" s="675"/>
      <c r="G211" s="676" t="str">
        <f t="array" ref="G211">IF(OR(C211=C210,C211=0),"",INDEX(CasheirCode[Name],MATCH((INDEX(CkDJ[Sort Code],MATCH(C211,CkDJ[JEV Number],0))),CasheirCode[Sort Code])))</f>
        <v/>
      </c>
      <c r="H211" s="677">
        <f t="array" ref="H211">IF(OR($C211=$C210,$C211=0),0,(SUM(IF((CkDJ[JEV Number]=$C211)*(CkDJ[Account Code]=(H$9)),CkDJ[Credit]))))</f>
        <v>0</v>
      </c>
      <c r="I211" s="677">
        <f t="array" ref="I211">IF(OR($C211=$C210,$C211=0),0,(SUM(IF((CkDJ[JEV Number]=$C211)*(CkDJ[Account Code]=(I$9)),CkDJ[Credit]))))</f>
        <v>0</v>
      </c>
      <c r="J211" s="678"/>
      <c r="K211" s="677">
        <f t="array" ref="K211">IF($C211=0,0,(SUM(IF((CkDJ[JEV Number]=$C211)*(CkDJ[Account Code]=(J211)),CkDJ[Credit]))))</f>
        <v>0</v>
      </c>
      <c r="L211" s="677">
        <f t="array" ref="L211">IF(OR($C211=$C210,$C211=0),0,(SUM(IF((CkDJ[JEV Number]=$C211)*(CkDJ[Account Code]=(L$9)),CkDJ[Debit]))))</f>
        <v>0</v>
      </c>
      <c r="M211" s="677">
        <f t="array" ref="M211">IF(OR($C211=$C210,$C211=0),0,(SUM(IF((CkDJ[JEV Number]=$C211)*(CkDJ[Account Code]=(M$9)),CkDJ[Debit]))))</f>
        <v>0</v>
      </c>
      <c r="N211" s="677">
        <f t="array" ref="N211">IF(OR($C211=$C210,$C211=0),0,(SUM(IF((CkDJ[JEV Number]=$C211)*(CkDJ[Account Code]=(N$9)),CkDJ[Debit]))))</f>
        <v>0</v>
      </c>
      <c r="O211" s="677">
        <f t="array" ref="O211">IF(OR($C211=$C210,$C211=0),0,(SUM(IF((CkDJ[JEV Number]=$C211)*(CkDJ[Account Code]=(O$9)),CkDJ[Debit]))))</f>
        <v>0</v>
      </c>
      <c r="P211" s="726"/>
      <c r="Q211" s="692">
        <f t="array" ref="Q211">IF($C211=0,0,(SUM(IF((CkDJ[JEV Number]=$C211)*(CkDJ[Account Code]=(P211)),CkDJ[Debit]))))</f>
        <v>0</v>
      </c>
      <c r="R211" s="679">
        <f t="shared" si="16"/>
        <v>0</v>
      </c>
    </row>
    <row r="212" spans="1:18" x14ac:dyDescent="0.25">
      <c r="A212" s="673" t="str">
        <f t="array" ref="A212">IF(OR(C212=C211,C212=0),"",INDEX(CkDJ[Date],MATCH(C212,CkDJ[JEV Number],0)))</f>
        <v/>
      </c>
      <c r="B212" s="674"/>
      <c r="C212" s="675" t="str">
        <f t="shared" si="15"/>
        <v>20-01-001</v>
      </c>
      <c r="D212" s="675"/>
      <c r="E212" s="675"/>
      <c r="F212" s="675"/>
      <c r="G212" s="676" t="str">
        <f t="array" ref="G212">IF(OR(C212=C211,C212=0),"",INDEX(CasheirCode[Name],MATCH((INDEX(CkDJ[Sort Code],MATCH(C212,CkDJ[JEV Number],0))),CasheirCode[Sort Code])))</f>
        <v/>
      </c>
      <c r="H212" s="677">
        <f t="array" ref="H212">IF(OR($C212=$C211,$C212=0),0,(SUM(IF((CkDJ[JEV Number]=$C212)*(CkDJ[Account Code]=(H$9)),CkDJ[Credit]))))</f>
        <v>0</v>
      </c>
      <c r="I212" s="677">
        <f t="array" ref="I212">IF(OR($C212=$C211,$C212=0),0,(SUM(IF((CkDJ[JEV Number]=$C212)*(CkDJ[Account Code]=(I$9)),CkDJ[Credit]))))</f>
        <v>0</v>
      </c>
      <c r="J212" s="678"/>
      <c r="K212" s="677">
        <f t="array" ref="K212">IF($C212=0,0,(SUM(IF((CkDJ[JEV Number]=$C212)*(CkDJ[Account Code]=(J212)),CkDJ[Credit]))))</f>
        <v>0</v>
      </c>
      <c r="L212" s="677">
        <f t="array" ref="L212">IF(OR($C212=$C211,$C212=0),0,(SUM(IF((CkDJ[JEV Number]=$C212)*(CkDJ[Account Code]=(L$9)),CkDJ[Debit]))))</f>
        <v>0</v>
      </c>
      <c r="M212" s="677">
        <f t="array" ref="M212">IF(OR($C212=$C211,$C212=0),0,(SUM(IF((CkDJ[JEV Number]=$C212)*(CkDJ[Account Code]=(M$9)),CkDJ[Debit]))))</f>
        <v>0</v>
      </c>
      <c r="N212" s="677">
        <f t="array" ref="N212">IF(OR($C212=$C211,$C212=0),0,(SUM(IF((CkDJ[JEV Number]=$C212)*(CkDJ[Account Code]=(N$9)),CkDJ[Debit]))))</f>
        <v>0</v>
      </c>
      <c r="O212" s="677">
        <f t="array" ref="O212">IF(OR($C212=$C211,$C212=0),0,(SUM(IF((CkDJ[JEV Number]=$C212)*(CkDJ[Account Code]=(O$9)),CkDJ[Debit]))))</f>
        <v>0</v>
      </c>
      <c r="P212" s="726"/>
      <c r="Q212" s="692">
        <f t="array" ref="Q212">IF($C212=0,0,(SUM(IF((CkDJ[JEV Number]=$C212)*(CkDJ[Account Code]=(P212)),CkDJ[Debit]))))</f>
        <v>0</v>
      </c>
      <c r="R212" s="679">
        <f t="shared" si="16"/>
        <v>0</v>
      </c>
    </row>
    <row r="213" spans="1:18" x14ac:dyDescent="0.25">
      <c r="A213" s="673" t="str">
        <f t="array" ref="A213">IF(OR(C213=C212,C213=0),"",INDEX(CkDJ[Date],MATCH(C213,CkDJ[JEV Number],0)))</f>
        <v/>
      </c>
      <c r="B213" s="674"/>
      <c r="C213" s="675" t="str">
        <f t="shared" si="15"/>
        <v>20-01-001</v>
      </c>
      <c r="D213" s="675"/>
      <c r="E213" s="675"/>
      <c r="F213" s="675"/>
      <c r="G213" s="676" t="str">
        <f t="array" ref="G213">IF(OR(C213=C212,C213=0),"",INDEX(CasheirCode[Name],MATCH((INDEX(CkDJ[Sort Code],MATCH(C213,CkDJ[JEV Number],0))),CasheirCode[Sort Code])))</f>
        <v/>
      </c>
      <c r="H213" s="677">
        <f t="array" ref="H213">IF(OR($C213=$C212,$C213=0),0,(SUM(IF((CkDJ[JEV Number]=$C213)*(CkDJ[Account Code]=(H$9)),CkDJ[Credit]))))</f>
        <v>0</v>
      </c>
      <c r="I213" s="677">
        <f t="array" ref="I213">IF(OR($C213=$C212,$C213=0),0,(SUM(IF((CkDJ[JEV Number]=$C213)*(CkDJ[Account Code]=(I$9)),CkDJ[Credit]))))</f>
        <v>0</v>
      </c>
      <c r="J213" s="678"/>
      <c r="K213" s="677">
        <f t="array" ref="K213">IF($C213=0,0,(SUM(IF((CkDJ[JEV Number]=$C213)*(CkDJ[Account Code]=(J213)),CkDJ[Credit]))))</f>
        <v>0</v>
      </c>
      <c r="L213" s="677">
        <f t="array" ref="L213">IF(OR($C213=$C212,$C213=0),0,(SUM(IF((CkDJ[JEV Number]=$C213)*(CkDJ[Account Code]=(L$9)),CkDJ[Debit]))))</f>
        <v>0</v>
      </c>
      <c r="M213" s="677">
        <f t="array" ref="M213">IF(OR($C213=$C212,$C213=0),0,(SUM(IF((CkDJ[JEV Number]=$C213)*(CkDJ[Account Code]=(M$9)),CkDJ[Debit]))))</f>
        <v>0</v>
      </c>
      <c r="N213" s="677">
        <f t="array" ref="N213">IF(OR($C213=$C212,$C213=0),0,(SUM(IF((CkDJ[JEV Number]=$C213)*(CkDJ[Account Code]=(N$9)),CkDJ[Debit]))))</f>
        <v>0</v>
      </c>
      <c r="O213" s="677">
        <f t="array" ref="O213">IF(OR($C213=$C212,$C213=0),0,(SUM(IF((CkDJ[JEV Number]=$C213)*(CkDJ[Account Code]=(O$9)),CkDJ[Debit]))))</f>
        <v>0</v>
      </c>
      <c r="P213" s="726"/>
      <c r="Q213" s="692">
        <f t="array" ref="Q213">IF($C213=0,0,(SUM(IF((CkDJ[JEV Number]=$C213)*(CkDJ[Account Code]=(P213)),CkDJ[Debit]))))</f>
        <v>0</v>
      </c>
      <c r="R213" s="679">
        <f t="shared" si="16"/>
        <v>0</v>
      </c>
    </row>
    <row r="214" spans="1:18" x14ac:dyDescent="0.25">
      <c r="A214" s="673" t="str">
        <f t="array" ref="A214">IF(OR(C214=C213,C214=0),"",INDEX(CkDJ[Date],MATCH(C214,CkDJ[JEV Number],0)))</f>
        <v/>
      </c>
      <c r="B214" s="674"/>
      <c r="C214" s="675" t="str">
        <f t="shared" si="15"/>
        <v>20-01-001</v>
      </c>
      <c r="D214" s="675"/>
      <c r="E214" s="675"/>
      <c r="F214" s="675"/>
      <c r="G214" s="676" t="str">
        <f t="array" ref="G214">IF(OR(C214=C213,C214=0),"",INDEX(CasheirCode[Name],MATCH((INDEX(CkDJ[Sort Code],MATCH(C214,CkDJ[JEV Number],0))),CasheirCode[Sort Code])))</f>
        <v/>
      </c>
      <c r="H214" s="677">
        <f t="array" ref="H214">IF(OR($C214=$C213,$C214=0),0,(SUM(IF((CkDJ[JEV Number]=$C214)*(CkDJ[Account Code]=(H$9)),CkDJ[Credit]))))</f>
        <v>0</v>
      </c>
      <c r="I214" s="677">
        <f t="array" ref="I214">IF(OR($C214=$C213,$C214=0),0,(SUM(IF((CkDJ[JEV Number]=$C214)*(CkDJ[Account Code]=(I$9)),CkDJ[Credit]))))</f>
        <v>0</v>
      </c>
      <c r="J214" s="728"/>
      <c r="K214" s="677">
        <f t="array" ref="K214">IF($C214=0,0,(SUM(IF((CkDJ[JEV Number]=$C214)*(CkDJ[Account Code]=(J214)),CkDJ[Credit]))))</f>
        <v>0</v>
      </c>
      <c r="L214" s="677">
        <f t="array" ref="L214">IF(OR($C214=$C213,$C214=0),0,(SUM(IF((CkDJ[JEV Number]=$C214)*(CkDJ[Account Code]=(L$9)),CkDJ[Debit]))))</f>
        <v>0</v>
      </c>
      <c r="M214" s="677">
        <f t="array" ref="M214">IF(OR($C214=$C213,$C214=0),0,(SUM(IF((CkDJ[JEV Number]=$C214)*(CkDJ[Account Code]=(M$9)),CkDJ[Debit]))))</f>
        <v>0</v>
      </c>
      <c r="N214" s="677">
        <f t="array" ref="N214">IF(OR($C214=$C213,$C214=0),0,(SUM(IF((CkDJ[JEV Number]=$C214)*(CkDJ[Account Code]=(N$9)),CkDJ[Debit]))))</f>
        <v>0</v>
      </c>
      <c r="O214" s="677">
        <f t="array" ref="O214">IF(OR($C214=$C213,$C214=0),0,(SUM(IF((CkDJ[JEV Number]=$C214)*(CkDJ[Account Code]=(O$9)),CkDJ[Debit]))))</f>
        <v>0</v>
      </c>
      <c r="P214" s="726"/>
      <c r="Q214" s="692">
        <f t="array" ref="Q214">IF($C214=0,0,(SUM(IF((CkDJ[JEV Number]=$C214)*(CkDJ[Account Code]=(P214)),CkDJ[Debit]))))</f>
        <v>0</v>
      </c>
      <c r="R214" s="679">
        <f t="shared" si="16"/>
        <v>0</v>
      </c>
    </row>
    <row r="215" spans="1:18" x14ac:dyDescent="0.25">
      <c r="A215" s="673" t="str">
        <f t="array" ref="A215">IF(OR(C215=C214,C215=0),"",INDEX(CkDJ[Date],MATCH(C215,CkDJ[JEV Number],0)))</f>
        <v/>
      </c>
      <c r="B215" s="674"/>
      <c r="C215" s="675" t="str">
        <f t="shared" ref="C215:C231" si="17">IF(B215=0,C214,B215)</f>
        <v>20-01-001</v>
      </c>
      <c r="D215" s="675"/>
      <c r="E215" s="675"/>
      <c r="F215" s="675"/>
      <c r="G215" s="676" t="str">
        <f t="array" ref="G215">IF(OR(C215=C214,C215=0),"",INDEX(CasheirCode[Name],MATCH((INDEX(CkDJ[Sort Code],MATCH(C215,CkDJ[JEV Number],0))),CasheirCode[Sort Code])))</f>
        <v/>
      </c>
      <c r="H215" s="677">
        <f t="array" ref="H215">IF(OR($C215=$C214,$C215=0),0,(SUM(IF((CkDJ[JEV Number]=$C215)*(CkDJ[Account Code]=(H$9)),CkDJ[Credit]))))</f>
        <v>0</v>
      </c>
      <c r="I215" s="677">
        <f t="array" ref="I215">IF(OR($C215=$C214,$C215=0),0,(SUM(IF((CkDJ[JEV Number]=$C215)*(CkDJ[Account Code]=(I$9)),CkDJ[Credit]))))</f>
        <v>0</v>
      </c>
      <c r="J215" s="728"/>
      <c r="K215" s="677">
        <f t="array" ref="K215">IF($C215=0,0,(SUM(IF((CkDJ[JEV Number]=$C215)*(CkDJ[Account Code]=(J215)),CkDJ[Credit]))))</f>
        <v>0</v>
      </c>
      <c r="L215" s="677">
        <f t="array" ref="L215">IF(OR($C215=$C214,$C215=0),0,(SUM(IF((CkDJ[JEV Number]=$C215)*(CkDJ[Account Code]=(L$9)),CkDJ[Debit]))))</f>
        <v>0</v>
      </c>
      <c r="M215" s="677">
        <f t="array" ref="M215">IF(OR($C215=$C214,$C215=0),0,(SUM(IF((CkDJ[JEV Number]=$C215)*(CkDJ[Account Code]=(M$9)),CkDJ[Debit]))))</f>
        <v>0</v>
      </c>
      <c r="N215" s="677">
        <f t="array" ref="N215">IF(OR($C215=$C214,$C215=0),0,(SUM(IF((CkDJ[JEV Number]=$C215)*(CkDJ[Account Code]=(N$9)),CkDJ[Debit]))))</f>
        <v>0</v>
      </c>
      <c r="O215" s="677">
        <f t="array" ref="O215">IF(OR($C215=$C214,$C215=0),0,(SUM(IF((CkDJ[JEV Number]=$C215)*(CkDJ[Account Code]=(O$9)),CkDJ[Debit]))))</f>
        <v>0</v>
      </c>
      <c r="P215" s="726"/>
      <c r="Q215" s="692">
        <f t="array" ref="Q215">IF($C215=0,0,(SUM(IF((CkDJ[JEV Number]=$C215)*(CkDJ[Account Code]=(P215)),CkDJ[Debit]))))</f>
        <v>0</v>
      </c>
      <c r="R215" s="679">
        <f t="shared" ref="R215:R231" si="18">R214+(SUM(L215:O215)+Q215)-(SUM(H215:I215)+K215)</f>
        <v>0</v>
      </c>
    </row>
    <row r="216" spans="1:18" x14ac:dyDescent="0.25">
      <c r="A216" s="673" t="str">
        <f t="array" ref="A216">IF(OR(C216=C215,C216=0),"",INDEX(CkDJ[Date],MATCH(C216,CkDJ[JEV Number],0)))</f>
        <v/>
      </c>
      <c r="B216" s="674"/>
      <c r="C216" s="675" t="str">
        <f t="shared" si="17"/>
        <v>20-01-001</v>
      </c>
      <c r="D216" s="675"/>
      <c r="E216" s="675"/>
      <c r="F216" s="675"/>
      <c r="G216" s="676" t="str">
        <f t="array" ref="G216">IF(OR(C216=C215,C216=0),"",INDEX(CasheirCode[Name],MATCH((INDEX(CkDJ[Sort Code],MATCH(C216,CkDJ[JEV Number],0))),CasheirCode[Sort Code])))</f>
        <v/>
      </c>
      <c r="H216" s="677">
        <f t="array" ref="H216">IF(OR($C216=$C215,$C216=0),0,(SUM(IF((CkDJ[JEV Number]=$C216)*(CkDJ[Account Code]=(H$9)),CkDJ[Credit]))))</f>
        <v>0</v>
      </c>
      <c r="I216" s="677">
        <f t="array" ref="I216">IF(OR($C216=$C215,$C216=0),0,(SUM(IF((CkDJ[JEV Number]=$C216)*(CkDJ[Account Code]=(I$9)),CkDJ[Credit]))))</f>
        <v>0</v>
      </c>
      <c r="J216" s="728"/>
      <c r="K216" s="677">
        <f t="array" ref="K216">IF($C216=0,0,(SUM(IF((CkDJ[JEV Number]=$C216)*(CkDJ[Account Code]=(J216)),CkDJ[Credit]))))</f>
        <v>0</v>
      </c>
      <c r="L216" s="677">
        <f t="array" ref="L216">IF(OR($C216=$C215,$C216=0),0,(SUM(IF((CkDJ[JEV Number]=$C216)*(CkDJ[Account Code]=(L$9)),CkDJ[Debit]))))</f>
        <v>0</v>
      </c>
      <c r="M216" s="677">
        <f t="array" ref="M216">IF(OR($C216=$C215,$C216=0),0,(SUM(IF((CkDJ[JEV Number]=$C216)*(CkDJ[Account Code]=(M$9)),CkDJ[Debit]))))</f>
        <v>0</v>
      </c>
      <c r="N216" s="677">
        <f t="array" ref="N216">IF(OR($C216=$C215,$C216=0),0,(SUM(IF((CkDJ[JEV Number]=$C216)*(CkDJ[Account Code]=(N$9)),CkDJ[Debit]))))</f>
        <v>0</v>
      </c>
      <c r="O216" s="677">
        <f t="array" ref="O216">IF(OR($C216=$C215,$C216=0),0,(SUM(IF((CkDJ[JEV Number]=$C216)*(CkDJ[Account Code]=(O$9)),CkDJ[Debit]))))</f>
        <v>0</v>
      </c>
      <c r="P216" s="726"/>
      <c r="Q216" s="692">
        <f t="array" ref="Q216">IF($C216=0,0,(SUM(IF((CkDJ[JEV Number]=$C216)*(CkDJ[Account Code]=(P216)),CkDJ[Debit]))))</f>
        <v>0</v>
      </c>
      <c r="R216" s="679">
        <f t="shared" si="18"/>
        <v>0</v>
      </c>
    </row>
    <row r="217" spans="1:18" x14ac:dyDescent="0.25">
      <c r="A217" s="673" t="str">
        <f t="array" ref="A217">IF(OR(C217=C216,C217=0),"",INDEX(CkDJ[Date],MATCH(C217,CkDJ[JEV Number],0)))</f>
        <v/>
      </c>
      <c r="B217" s="674"/>
      <c r="C217" s="675" t="str">
        <f t="shared" si="17"/>
        <v>20-01-001</v>
      </c>
      <c r="D217" s="675"/>
      <c r="E217" s="675"/>
      <c r="F217" s="675"/>
      <c r="G217" s="676" t="str">
        <f t="array" ref="G217">IF(OR(C217=C216,C217=0),"",INDEX(CasheirCode[Name],MATCH((INDEX(CkDJ[Sort Code],MATCH(C217,CkDJ[JEV Number],0))),CasheirCode[Sort Code])))</f>
        <v/>
      </c>
      <c r="H217" s="677">
        <f t="array" ref="H217">IF(OR($C217=$C216,$C217=0),0,(SUM(IF((CkDJ[JEV Number]=$C217)*(CkDJ[Account Code]=(H$9)),CkDJ[Credit]))))</f>
        <v>0</v>
      </c>
      <c r="I217" s="677">
        <f t="array" ref="I217">IF(OR($C217=$C216,$C217=0),0,(SUM(IF((CkDJ[JEV Number]=$C217)*(CkDJ[Account Code]=(I$9)),CkDJ[Credit]))))</f>
        <v>0</v>
      </c>
      <c r="J217" s="728"/>
      <c r="K217" s="677">
        <f t="array" ref="K217">IF($C217=0,0,(SUM(IF((CkDJ[JEV Number]=$C217)*(CkDJ[Account Code]=(J217)),CkDJ[Credit]))))</f>
        <v>0</v>
      </c>
      <c r="L217" s="677">
        <f t="array" ref="L217">IF(OR($C217=$C216,$C217=0),0,(SUM(IF((CkDJ[JEV Number]=$C217)*(CkDJ[Account Code]=(L$9)),CkDJ[Debit]))))</f>
        <v>0</v>
      </c>
      <c r="M217" s="677">
        <f t="array" ref="M217">IF(OR($C217=$C216,$C217=0),0,(SUM(IF((CkDJ[JEV Number]=$C217)*(CkDJ[Account Code]=(M$9)),CkDJ[Debit]))))</f>
        <v>0</v>
      </c>
      <c r="N217" s="677">
        <f t="array" ref="N217">IF(OR($C217=$C216,$C217=0),0,(SUM(IF((CkDJ[JEV Number]=$C217)*(CkDJ[Account Code]=(N$9)),CkDJ[Debit]))))</f>
        <v>0</v>
      </c>
      <c r="O217" s="677">
        <f t="array" ref="O217">IF(OR($C217=$C216,$C217=0),0,(SUM(IF((CkDJ[JEV Number]=$C217)*(CkDJ[Account Code]=(O$9)),CkDJ[Debit]))))</f>
        <v>0</v>
      </c>
      <c r="P217" s="726"/>
      <c r="Q217" s="692">
        <f t="array" ref="Q217">IF($C217=0,0,(SUM(IF((CkDJ[JEV Number]=$C217)*(CkDJ[Account Code]=(P217)),CkDJ[Debit]))))</f>
        <v>0</v>
      </c>
      <c r="R217" s="679">
        <f t="shared" si="18"/>
        <v>0</v>
      </c>
    </row>
    <row r="218" spans="1:18" x14ac:dyDescent="0.25">
      <c r="A218" s="673" t="str">
        <f t="array" ref="A218">IF(OR(C218=C217,C218=0),"",INDEX(CkDJ[Date],MATCH(C218,CkDJ[JEV Number],0)))</f>
        <v/>
      </c>
      <c r="B218" s="674"/>
      <c r="C218" s="675" t="str">
        <f t="shared" si="17"/>
        <v>20-01-001</v>
      </c>
      <c r="D218" s="675"/>
      <c r="E218" s="675"/>
      <c r="F218" s="675"/>
      <c r="G218" s="676" t="str">
        <f t="array" ref="G218">IF(OR(C218=C217,C218=0),"",INDEX(CasheirCode[Name],MATCH((INDEX(CkDJ[Sort Code],MATCH(C218,CkDJ[JEV Number],0))),CasheirCode[Sort Code])))</f>
        <v/>
      </c>
      <c r="H218" s="677">
        <f t="array" ref="H218">IF(OR($C218=$C217,$C218=0),0,(SUM(IF((CkDJ[JEV Number]=$C218)*(CkDJ[Account Code]=(H$9)),CkDJ[Credit]))))</f>
        <v>0</v>
      </c>
      <c r="I218" s="677">
        <f t="array" ref="I218">IF(OR($C218=$C217,$C218=0),0,(SUM(IF((CkDJ[JEV Number]=$C218)*(CkDJ[Account Code]=(I$9)),CkDJ[Credit]))))</f>
        <v>0</v>
      </c>
      <c r="J218" s="728"/>
      <c r="K218" s="677">
        <f t="array" ref="K218">IF($C218=0,0,(SUM(IF((CkDJ[JEV Number]=$C218)*(CkDJ[Account Code]=(J218)),CkDJ[Credit]))))</f>
        <v>0</v>
      </c>
      <c r="L218" s="677">
        <f t="array" ref="L218">IF(OR($C218=$C217,$C218=0),0,(SUM(IF((CkDJ[JEV Number]=$C218)*(CkDJ[Account Code]=(L$9)),CkDJ[Debit]))))</f>
        <v>0</v>
      </c>
      <c r="M218" s="677">
        <f t="array" ref="M218">IF(OR($C218=$C217,$C218=0),0,(SUM(IF((CkDJ[JEV Number]=$C218)*(CkDJ[Account Code]=(M$9)),CkDJ[Debit]))))</f>
        <v>0</v>
      </c>
      <c r="N218" s="677">
        <f t="array" ref="N218">IF(OR($C218=$C217,$C218=0),0,(SUM(IF((CkDJ[JEV Number]=$C218)*(CkDJ[Account Code]=(N$9)),CkDJ[Debit]))))</f>
        <v>0</v>
      </c>
      <c r="O218" s="677">
        <f t="array" ref="O218">IF(OR($C218=$C217,$C218=0),0,(SUM(IF((CkDJ[JEV Number]=$C218)*(CkDJ[Account Code]=(O$9)),CkDJ[Debit]))))</f>
        <v>0</v>
      </c>
      <c r="P218" s="726"/>
      <c r="Q218" s="692">
        <f t="array" ref="Q218">IF($C218=0,0,(SUM(IF((CkDJ[JEV Number]=$C218)*(CkDJ[Account Code]=(P218)),CkDJ[Debit]))))</f>
        <v>0</v>
      </c>
      <c r="R218" s="679">
        <f t="shared" si="18"/>
        <v>0</v>
      </c>
    </row>
    <row r="219" spans="1:18" x14ac:dyDescent="0.25">
      <c r="A219" s="673" t="str">
        <f t="array" ref="A219">IF(OR(C219=C218,C219=0),"",INDEX(CkDJ[Date],MATCH(C219,CkDJ[JEV Number],0)))</f>
        <v/>
      </c>
      <c r="B219" s="674"/>
      <c r="C219" s="675" t="str">
        <f t="shared" si="17"/>
        <v>20-01-001</v>
      </c>
      <c r="D219" s="675"/>
      <c r="E219" s="675"/>
      <c r="F219" s="675"/>
      <c r="G219" s="676" t="str">
        <f t="array" ref="G219">IF(OR(C219=C218,C219=0),"",INDEX(CasheirCode[Name],MATCH((INDEX(CkDJ[Sort Code],MATCH(C219,CkDJ[JEV Number],0))),CasheirCode[Sort Code])))</f>
        <v/>
      </c>
      <c r="H219" s="677">
        <f t="array" ref="H219">IF(OR($C219=$C218,$C219=0),0,(SUM(IF((CkDJ[JEV Number]=$C219)*(CkDJ[Account Code]=(H$9)),CkDJ[Credit]))))</f>
        <v>0</v>
      </c>
      <c r="I219" s="677">
        <f t="array" ref="I219">IF(OR($C219=$C218,$C219=0),0,(SUM(IF((CkDJ[JEV Number]=$C219)*(CkDJ[Account Code]=(I$9)),CkDJ[Credit]))))</f>
        <v>0</v>
      </c>
      <c r="J219" s="678"/>
      <c r="K219" s="677">
        <f t="array" ref="K219">IF($C219=0,0,(SUM(IF((CkDJ[JEV Number]=$C219)*(CkDJ[Account Code]=(J219)),CkDJ[Credit]))))</f>
        <v>0</v>
      </c>
      <c r="L219" s="677">
        <f t="array" ref="L219">IF(OR($C219=$C218,$C219=0),0,(SUM(IF((CkDJ[JEV Number]=$C219)*(CkDJ[Account Code]=(L$9)),CkDJ[Debit]))))</f>
        <v>0</v>
      </c>
      <c r="M219" s="677">
        <f t="array" ref="M219">IF(OR($C219=$C218,$C219=0),0,(SUM(IF((CkDJ[JEV Number]=$C219)*(CkDJ[Account Code]=(M$9)),CkDJ[Debit]))))</f>
        <v>0</v>
      </c>
      <c r="N219" s="677">
        <f t="array" ref="N219">IF(OR($C219=$C218,$C219=0),0,(SUM(IF((CkDJ[JEV Number]=$C219)*(CkDJ[Account Code]=(N$9)),CkDJ[Debit]))))</f>
        <v>0</v>
      </c>
      <c r="O219" s="677">
        <f t="array" ref="O219">IF(OR($C219=$C218,$C219=0),0,(SUM(IF((CkDJ[JEV Number]=$C219)*(CkDJ[Account Code]=(O$9)),CkDJ[Debit]))))</f>
        <v>0</v>
      </c>
      <c r="P219" s="726"/>
      <c r="Q219" s="692">
        <f t="array" ref="Q219">IF($C219=0,0,(SUM(IF((CkDJ[JEV Number]=$C219)*(CkDJ[Account Code]=(P219)),CkDJ[Debit]))))</f>
        <v>0</v>
      </c>
      <c r="R219" s="679">
        <f t="shared" si="18"/>
        <v>0</v>
      </c>
    </row>
    <row r="220" spans="1:18" x14ac:dyDescent="0.25">
      <c r="A220" s="673" t="str">
        <f t="array" ref="A220">IF(OR(C220=C219,C220=0),"",INDEX(CkDJ[Date],MATCH(C220,CkDJ[JEV Number],0)))</f>
        <v/>
      </c>
      <c r="B220" s="674"/>
      <c r="C220" s="675" t="str">
        <f t="shared" si="17"/>
        <v>20-01-001</v>
      </c>
      <c r="D220" s="675"/>
      <c r="E220" s="675"/>
      <c r="F220" s="675"/>
      <c r="G220" s="676" t="str">
        <f t="array" ref="G220">IF(OR(C220=C219,C220=0),"",INDEX(CasheirCode[Name],MATCH((INDEX(CkDJ[Sort Code],MATCH(C220,CkDJ[JEV Number],0))),CasheirCode[Sort Code])))</f>
        <v/>
      </c>
      <c r="H220" s="677">
        <f t="array" ref="H220">IF(OR($C220=$C219,$C220=0),0,(SUM(IF((CkDJ[JEV Number]=$C220)*(CkDJ[Account Code]=(H$9)),CkDJ[Credit]))))</f>
        <v>0</v>
      </c>
      <c r="I220" s="677">
        <f t="array" ref="I220">IF(OR($C220=$C219,$C220=0),0,(SUM(IF((CkDJ[JEV Number]=$C220)*(CkDJ[Account Code]=(I$9)),CkDJ[Credit]))))</f>
        <v>0</v>
      </c>
      <c r="J220" s="678"/>
      <c r="K220" s="677">
        <f t="array" ref="K220">IF($C220=0,0,(SUM(IF((CkDJ[JEV Number]=$C220)*(CkDJ[Account Code]=(J220)),CkDJ[Credit]))))</f>
        <v>0</v>
      </c>
      <c r="L220" s="677">
        <f t="array" ref="L220">IF(OR($C220=$C219,$C220=0),0,(SUM(IF((CkDJ[JEV Number]=$C220)*(CkDJ[Account Code]=(L$9)),CkDJ[Debit]))))</f>
        <v>0</v>
      </c>
      <c r="M220" s="677">
        <f t="array" ref="M220">IF(OR($C220=$C219,$C220=0),0,(SUM(IF((CkDJ[JEV Number]=$C220)*(CkDJ[Account Code]=(M$9)),CkDJ[Debit]))))</f>
        <v>0</v>
      </c>
      <c r="N220" s="677">
        <f t="array" ref="N220">IF(OR($C220=$C219,$C220=0),0,(SUM(IF((CkDJ[JEV Number]=$C220)*(CkDJ[Account Code]=(N$9)),CkDJ[Debit]))))</f>
        <v>0</v>
      </c>
      <c r="O220" s="677">
        <f t="array" ref="O220">IF(OR($C220=$C219,$C220=0),0,(SUM(IF((CkDJ[JEV Number]=$C220)*(CkDJ[Account Code]=(O$9)),CkDJ[Debit]))))</f>
        <v>0</v>
      </c>
      <c r="P220" s="726"/>
      <c r="Q220" s="692">
        <f t="array" ref="Q220">IF($C220=0,0,(SUM(IF((CkDJ[JEV Number]=$C220)*(CkDJ[Account Code]=(P220)),CkDJ[Debit]))))</f>
        <v>0</v>
      </c>
      <c r="R220" s="679">
        <f t="shared" si="18"/>
        <v>0</v>
      </c>
    </row>
    <row r="221" spans="1:18" x14ac:dyDescent="0.25">
      <c r="A221" s="673" t="str">
        <f t="array" ref="A221">IF(OR(C221=C220,C221=0),"",INDEX(CkDJ[Date],MATCH(C221,CkDJ[JEV Number],0)))</f>
        <v/>
      </c>
      <c r="B221" s="674"/>
      <c r="C221" s="675" t="str">
        <f t="shared" si="17"/>
        <v>20-01-001</v>
      </c>
      <c r="D221" s="675"/>
      <c r="E221" s="675"/>
      <c r="F221" s="675"/>
      <c r="G221" s="676" t="str">
        <f t="array" ref="G221">IF(OR(C221=C220,C221=0),"",INDEX(CasheirCode[Name],MATCH((INDEX(CkDJ[Sort Code],MATCH(C221,CkDJ[JEV Number],0))),CasheirCode[Sort Code])))</f>
        <v/>
      </c>
      <c r="H221" s="677">
        <f t="array" ref="H221">IF(OR($C221=$C220,$C221=0),0,(SUM(IF((CkDJ[JEV Number]=$C221)*(CkDJ[Account Code]=(H$9)),CkDJ[Credit]))))</f>
        <v>0</v>
      </c>
      <c r="I221" s="677">
        <f t="array" ref="I221">IF(OR($C221=$C220,$C221=0),0,(SUM(IF((CkDJ[JEV Number]=$C221)*(CkDJ[Account Code]=(I$9)),CkDJ[Credit]))))</f>
        <v>0</v>
      </c>
      <c r="J221" s="678"/>
      <c r="K221" s="677">
        <f t="array" ref="K221">IF($C221=0,0,(SUM(IF((CkDJ[JEV Number]=$C221)*(CkDJ[Account Code]=(J221)),CkDJ[Credit]))))</f>
        <v>0</v>
      </c>
      <c r="L221" s="677">
        <f t="array" ref="L221">IF(OR($C221=$C220,$C221=0),0,(SUM(IF((CkDJ[JEV Number]=$C221)*(CkDJ[Account Code]=(L$9)),CkDJ[Debit]))))</f>
        <v>0</v>
      </c>
      <c r="M221" s="677">
        <f t="array" ref="M221">IF(OR($C221=$C220,$C221=0),0,(SUM(IF((CkDJ[JEV Number]=$C221)*(CkDJ[Account Code]=(M$9)),CkDJ[Debit]))))</f>
        <v>0</v>
      </c>
      <c r="N221" s="677">
        <f t="array" ref="N221">IF(OR($C221=$C220,$C221=0),0,(SUM(IF((CkDJ[JEV Number]=$C221)*(CkDJ[Account Code]=(N$9)),CkDJ[Debit]))))</f>
        <v>0</v>
      </c>
      <c r="O221" s="677">
        <f t="array" ref="O221">IF(OR($C221=$C220,$C221=0),0,(SUM(IF((CkDJ[JEV Number]=$C221)*(CkDJ[Account Code]=(O$9)),CkDJ[Debit]))))</f>
        <v>0</v>
      </c>
      <c r="P221" s="726"/>
      <c r="Q221" s="692">
        <f t="array" ref="Q221">IF($C221=0,0,(SUM(IF((CkDJ[JEV Number]=$C221)*(CkDJ[Account Code]=(P221)),CkDJ[Debit]))))</f>
        <v>0</v>
      </c>
      <c r="R221" s="679">
        <f t="shared" si="18"/>
        <v>0</v>
      </c>
    </row>
    <row r="222" spans="1:18" x14ac:dyDescent="0.25">
      <c r="A222" s="673" t="str">
        <f t="array" ref="A222">IF(OR(C222=C221,C222=0),"",INDEX(CkDJ[Date],MATCH(C222,CkDJ[JEV Number],0)))</f>
        <v/>
      </c>
      <c r="B222" s="674"/>
      <c r="C222" s="675" t="str">
        <f t="shared" si="17"/>
        <v>20-01-001</v>
      </c>
      <c r="D222" s="675"/>
      <c r="E222" s="675"/>
      <c r="F222" s="675"/>
      <c r="G222" s="676" t="str">
        <f t="array" ref="G222">IF(OR(C222=C221,C222=0),"",INDEX(CasheirCode[Name],MATCH((INDEX(CkDJ[Sort Code],MATCH(C222,CkDJ[JEV Number],0))),CasheirCode[Sort Code])))</f>
        <v/>
      </c>
      <c r="H222" s="677">
        <f t="array" ref="H222">IF(OR($C222=$C221,$C222=0),0,(SUM(IF((CkDJ[JEV Number]=$C222)*(CkDJ[Account Code]=(H$9)),CkDJ[Credit]))))</f>
        <v>0</v>
      </c>
      <c r="I222" s="677">
        <f t="array" ref="I222">IF(OR($C222=$C221,$C222=0),0,(SUM(IF((CkDJ[JEV Number]=$C222)*(CkDJ[Account Code]=(I$9)),CkDJ[Credit]))))</f>
        <v>0</v>
      </c>
      <c r="J222" s="678"/>
      <c r="K222" s="677">
        <f t="array" ref="K222">IF($C222=0,0,(SUM(IF((CkDJ[JEV Number]=$C222)*(CkDJ[Account Code]=(J222)),CkDJ[Credit]))))</f>
        <v>0</v>
      </c>
      <c r="L222" s="677">
        <f t="array" ref="L222">IF(OR($C222=$C221,$C222=0),0,(SUM(IF((CkDJ[JEV Number]=$C222)*(CkDJ[Account Code]=(L$9)),CkDJ[Debit]))))</f>
        <v>0</v>
      </c>
      <c r="M222" s="677">
        <f t="array" ref="M222">IF(OR($C222=$C221,$C222=0),0,(SUM(IF((CkDJ[JEV Number]=$C222)*(CkDJ[Account Code]=(M$9)),CkDJ[Debit]))))</f>
        <v>0</v>
      </c>
      <c r="N222" s="677">
        <f t="array" ref="N222">IF(OR($C222=$C221,$C222=0),0,(SUM(IF((CkDJ[JEV Number]=$C222)*(CkDJ[Account Code]=(N$9)),CkDJ[Debit]))))</f>
        <v>0</v>
      </c>
      <c r="O222" s="677">
        <f t="array" ref="O222">IF(OR($C222=$C221,$C222=0),0,(SUM(IF((CkDJ[JEV Number]=$C222)*(CkDJ[Account Code]=(O$9)),CkDJ[Debit]))))</f>
        <v>0</v>
      </c>
      <c r="P222" s="726"/>
      <c r="Q222" s="692">
        <f t="array" ref="Q222">IF($C222=0,0,(SUM(IF((CkDJ[JEV Number]=$C222)*(CkDJ[Account Code]=(P222)),CkDJ[Debit]))))</f>
        <v>0</v>
      </c>
      <c r="R222" s="679">
        <f t="shared" si="18"/>
        <v>0</v>
      </c>
    </row>
    <row r="223" spans="1:18" x14ac:dyDescent="0.25">
      <c r="A223" s="673" t="str">
        <f t="array" ref="A223">IF(OR(C223=C222,C223=0),"",INDEX(CkDJ[Date],MATCH(C223,CkDJ[JEV Number],0)))</f>
        <v/>
      </c>
      <c r="B223" s="674"/>
      <c r="C223" s="675" t="str">
        <f t="shared" si="17"/>
        <v>20-01-001</v>
      </c>
      <c r="D223" s="675"/>
      <c r="E223" s="675"/>
      <c r="F223" s="675"/>
      <c r="G223" s="676" t="str">
        <f t="array" ref="G223">IF(OR(C223=C222,C223=0),"",INDEX(CasheirCode[Name],MATCH((INDEX(CkDJ[Sort Code],MATCH(C223,CkDJ[JEV Number],0))),CasheirCode[Sort Code])))</f>
        <v/>
      </c>
      <c r="H223" s="677">
        <f t="array" ref="H223">IF(OR($C223=$C222,$C223=0),0,(SUM(IF((CkDJ[JEV Number]=$C223)*(CkDJ[Account Code]=(H$9)),CkDJ[Credit]))))</f>
        <v>0</v>
      </c>
      <c r="I223" s="677">
        <f t="array" ref="I223">IF(OR($C223=$C222,$C223=0),0,(SUM(IF((CkDJ[JEV Number]=$C223)*(CkDJ[Account Code]=(I$9)),CkDJ[Credit]))))</f>
        <v>0</v>
      </c>
      <c r="J223" s="728"/>
      <c r="K223" s="677">
        <f t="array" ref="K223">IF($C223=0,0,(SUM(IF((CkDJ[JEV Number]=$C223)*(CkDJ[Account Code]=(J223)),CkDJ[Credit]))))</f>
        <v>0</v>
      </c>
      <c r="L223" s="677">
        <f t="array" ref="L223">IF(OR($C223=$C222,$C223=0),0,(SUM(IF((CkDJ[JEV Number]=$C223)*(CkDJ[Account Code]=(L$9)),CkDJ[Debit]))))</f>
        <v>0</v>
      </c>
      <c r="M223" s="677">
        <f t="array" ref="M223">IF(OR($C223=$C222,$C223=0),0,(SUM(IF((CkDJ[JEV Number]=$C223)*(CkDJ[Account Code]=(M$9)),CkDJ[Debit]))))</f>
        <v>0</v>
      </c>
      <c r="N223" s="677">
        <f t="array" ref="N223">IF(OR($C223=$C222,$C223=0),0,(SUM(IF((CkDJ[JEV Number]=$C223)*(CkDJ[Account Code]=(N$9)),CkDJ[Debit]))))</f>
        <v>0</v>
      </c>
      <c r="O223" s="677">
        <f t="array" ref="O223">IF(OR($C223=$C222,$C223=0),0,(SUM(IF((CkDJ[JEV Number]=$C223)*(CkDJ[Account Code]=(O$9)),CkDJ[Debit]))))</f>
        <v>0</v>
      </c>
      <c r="P223" s="726"/>
      <c r="Q223" s="692">
        <f t="array" ref="Q223">IF($C223=0,0,(SUM(IF((CkDJ[JEV Number]=$C223)*(CkDJ[Account Code]=(P223)),CkDJ[Debit]))))</f>
        <v>0</v>
      </c>
      <c r="R223" s="679">
        <f t="shared" si="18"/>
        <v>0</v>
      </c>
    </row>
    <row r="224" spans="1:18" x14ac:dyDescent="0.25">
      <c r="A224" s="673" t="str">
        <f t="array" ref="A224">IF(OR(C224=C223,C224=0),"",INDEX(CkDJ[Date],MATCH(C224,CkDJ[JEV Number],0)))</f>
        <v/>
      </c>
      <c r="B224" s="674"/>
      <c r="C224" s="675" t="str">
        <f t="shared" si="17"/>
        <v>20-01-001</v>
      </c>
      <c r="D224" s="675"/>
      <c r="E224" s="675"/>
      <c r="F224" s="675"/>
      <c r="G224" s="676" t="str">
        <f t="array" ref="G224">IF(OR(C224=C223,C224=0),"",INDEX(CasheirCode[Name],MATCH((INDEX(CkDJ[Sort Code],MATCH(C224,CkDJ[JEV Number],0))),CasheirCode[Sort Code])))</f>
        <v/>
      </c>
      <c r="H224" s="677">
        <f t="array" ref="H224">IF(OR($C224=$C223,$C224=0),0,(SUM(IF((CkDJ[JEV Number]=$C224)*(CkDJ[Account Code]=(H$9)),CkDJ[Credit]))))</f>
        <v>0</v>
      </c>
      <c r="I224" s="677">
        <f t="array" ref="I224">IF(OR($C224=$C223,$C224=0),0,(SUM(IF((CkDJ[JEV Number]=$C224)*(CkDJ[Account Code]=(I$9)),CkDJ[Credit]))))</f>
        <v>0</v>
      </c>
      <c r="J224" s="728"/>
      <c r="K224" s="677">
        <f t="array" ref="K224">IF($C224=0,0,(SUM(IF((CkDJ[JEV Number]=$C224)*(CkDJ[Account Code]=(J224)),CkDJ[Credit]))))</f>
        <v>0</v>
      </c>
      <c r="L224" s="677">
        <f t="array" ref="L224">IF(OR($C224=$C223,$C224=0),0,(SUM(IF((CkDJ[JEV Number]=$C224)*(CkDJ[Account Code]=(L$9)),CkDJ[Debit]))))</f>
        <v>0</v>
      </c>
      <c r="M224" s="677">
        <f t="array" ref="M224">IF(OR($C224=$C223,$C224=0),0,(SUM(IF((CkDJ[JEV Number]=$C224)*(CkDJ[Account Code]=(M$9)),CkDJ[Debit]))))</f>
        <v>0</v>
      </c>
      <c r="N224" s="677">
        <f t="array" ref="N224">IF(OR($C224=$C223,$C224=0),0,(SUM(IF((CkDJ[JEV Number]=$C224)*(CkDJ[Account Code]=(N$9)),CkDJ[Debit]))))</f>
        <v>0</v>
      </c>
      <c r="O224" s="677">
        <f t="array" ref="O224">IF(OR($C224=$C223,$C224=0),0,(SUM(IF((CkDJ[JEV Number]=$C224)*(CkDJ[Account Code]=(O$9)),CkDJ[Debit]))))</f>
        <v>0</v>
      </c>
      <c r="P224" s="726"/>
      <c r="Q224" s="692">
        <f t="array" ref="Q224">IF($C224=0,0,(SUM(IF((CkDJ[JEV Number]=$C224)*(CkDJ[Account Code]=(P224)),CkDJ[Debit]))))</f>
        <v>0</v>
      </c>
      <c r="R224" s="679">
        <f t="shared" si="18"/>
        <v>0</v>
      </c>
    </row>
    <row r="225" spans="1:18" x14ac:dyDescent="0.25">
      <c r="A225" s="673" t="str">
        <f t="array" ref="A225">IF(OR(C225=C224,C225=0),"",INDEX(CkDJ[Date],MATCH(C225,CkDJ[JEV Number],0)))</f>
        <v/>
      </c>
      <c r="B225" s="674"/>
      <c r="C225" s="675" t="str">
        <f t="shared" si="17"/>
        <v>20-01-001</v>
      </c>
      <c r="D225" s="675"/>
      <c r="E225" s="675"/>
      <c r="F225" s="675"/>
      <c r="G225" s="676" t="str">
        <f t="array" ref="G225">IF(OR(C225=C224,C225=0),"",INDEX(CasheirCode[Name],MATCH((INDEX(CkDJ[Sort Code],MATCH(C225,CkDJ[JEV Number],0))),CasheirCode[Sort Code])))</f>
        <v/>
      </c>
      <c r="H225" s="677">
        <f t="array" ref="H225">IF(OR($C225=$C224,$C225=0),0,(SUM(IF((CkDJ[JEV Number]=$C225)*(CkDJ[Account Code]=(H$9)),CkDJ[Credit]))))</f>
        <v>0</v>
      </c>
      <c r="I225" s="677">
        <f t="array" ref="I225">IF(OR($C225=$C224,$C225=0),0,(SUM(IF((CkDJ[JEV Number]=$C225)*(CkDJ[Account Code]=(I$9)),CkDJ[Credit]))))</f>
        <v>0</v>
      </c>
      <c r="J225" s="728"/>
      <c r="K225" s="677">
        <f t="array" ref="K225">IF($C225=0,0,(SUM(IF((CkDJ[JEV Number]=$C225)*(CkDJ[Account Code]=(J225)),CkDJ[Credit]))))</f>
        <v>0</v>
      </c>
      <c r="L225" s="677">
        <f t="array" ref="L225">IF(OR($C225=$C224,$C225=0),0,(SUM(IF((CkDJ[JEV Number]=$C225)*(CkDJ[Account Code]=(L$9)),CkDJ[Debit]))))</f>
        <v>0</v>
      </c>
      <c r="M225" s="677">
        <f t="array" ref="M225">IF(OR($C225=$C224,$C225=0),0,(SUM(IF((CkDJ[JEV Number]=$C225)*(CkDJ[Account Code]=(M$9)),CkDJ[Debit]))))</f>
        <v>0</v>
      </c>
      <c r="N225" s="677">
        <f t="array" ref="N225">IF(OR($C225=$C224,$C225=0),0,(SUM(IF((CkDJ[JEV Number]=$C225)*(CkDJ[Account Code]=(N$9)),CkDJ[Debit]))))</f>
        <v>0</v>
      </c>
      <c r="O225" s="677">
        <f t="array" ref="O225">IF(OR($C225=$C224,$C225=0),0,(SUM(IF((CkDJ[JEV Number]=$C225)*(CkDJ[Account Code]=(O$9)),CkDJ[Debit]))))</f>
        <v>0</v>
      </c>
      <c r="P225" s="726"/>
      <c r="Q225" s="692">
        <f t="array" ref="Q225">IF($C225=0,0,(SUM(IF((CkDJ[JEV Number]=$C225)*(CkDJ[Account Code]=(P225)),CkDJ[Debit]))))</f>
        <v>0</v>
      </c>
      <c r="R225" s="679">
        <f t="shared" si="18"/>
        <v>0</v>
      </c>
    </row>
    <row r="226" spans="1:18" x14ac:dyDescent="0.25">
      <c r="A226" s="673" t="str">
        <f t="array" ref="A226">IF(OR(C226=C225,C226=0),"",INDEX(CkDJ[Date],MATCH(C226,CkDJ[JEV Number],0)))</f>
        <v/>
      </c>
      <c r="B226" s="674"/>
      <c r="C226" s="675" t="str">
        <f t="shared" si="17"/>
        <v>20-01-001</v>
      </c>
      <c r="D226" s="675"/>
      <c r="E226" s="675"/>
      <c r="F226" s="675"/>
      <c r="G226" s="676" t="str">
        <f t="array" ref="G226">IF(OR(C226=C225,C226=0),"",INDEX(CasheirCode[Name],MATCH((INDEX(CkDJ[Sort Code],MATCH(C226,CkDJ[JEV Number],0))),CasheirCode[Sort Code])))</f>
        <v/>
      </c>
      <c r="H226" s="677">
        <f t="array" ref="H226">IF(OR($C226=$C225,$C226=0),0,(SUM(IF((CkDJ[JEV Number]=$C226)*(CkDJ[Account Code]=(H$9)),CkDJ[Credit]))))</f>
        <v>0</v>
      </c>
      <c r="I226" s="677">
        <f t="array" ref="I226">IF(OR($C226=$C225,$C226=0),0,(SUM(IF((CkDJ[JEV Number]=$C226)*(CkDJ[Account Code]=(I$9)),CkDJ[Credit]))))</f>
        <v>0</v>
      </c>
      <c r="J226" s="678"/>
      <c r="K226" s="677">
        <f t="array" ref="K226">IF($C226=0,0,(SUM(IF((CkDJ[JEV Number]=$C226)*(CkDJ[Account Code]=(J226)),CkDJ[Credit]))))</f>
        <v>0</v>
      </c>
      <c r="L226" s="677">
        <f t="array" ref="L226">IF(OR($C226=$C225,$C226=0),0,(SUM(IF((CkDJ[JEV Number]=$C226)*(CkDJ[Account Code]=(L$9)),CkDJ[Debit]))))</f>
        <v>0</v>
      </c>
      <c r="M226" s="677">
        <f t="array" ref="M226">IF(OR($C226=$C225,$C226=0),0,(SUM(IF((CkDJ[JEV Number]=$C226)*(CkDJ[Account Code]=(M$9)),CkDJ[Debit]))))</f>
        <v>0</v>
      </c>
      <c r="N226" s="677">
        <f t="array" ref="N226">IF(OR($C226=$C225,$C226=0),0,(SUM(IF((CkDJ[JEV Number]=$C226)*(CkDJ[Account Code]=(N$9)),CkDJ[Debit]))))</f>
        <v>0</v>
      </c>
      <c r="O226" s="677">
        <f t="array" ref="O226">IF(OR($C226=$C225,$C226=0),0,(SUM(IF((CkDJ[JEV Number]=$C226)*(CkDJ[Account Code]=(O$9)),CkDJ[Debit]))))</f>
        <v>0</v>
      </c>
      <c r="P226" s="726"/>
      <c r="Q226" s="692">
        <f t="array" ref="Q226">IF($C226=0,0,(SUM(IF((CkDJ[JEV Number]=$C226)*(CkDJ[Account Code]=(P226)),CkDJ[Debit]))))</f>
        <v>0</v>
      </c>
      <c r="R226" s="679">
        <f t="shared" si="18"/>
        <v>0</v>
      </c>
    </row>
    <row r="227" spans="1:18" x14ac:dyDescent="0.25">
      <c r="A227" s="673" t="str">
        <f t="array" ref="A227">IF(OR(C227=C226,C227=0),"",INDEX(CkDJ[Date],MATCH(C227,CkDJ[JEV Number],0)))</f>
        <v/>
      </c>
      <c r="B227" s="674"/>
      <c r="C227" s="675" t="str">
        <f t="shared" si="17"/>
        <v>20-01-001</v>
      </c>
      <c r="D227" s="675"/>
      <c r="E227" s="675"/>
      <c r="F227" s="675"/>
      <c r="G227" s="676" t="str">
        <f t="array" ref="G227">IF(OR(C227=C226,C227=0),"",INDEX(CasheirCode[Name],MATCH((INDEX(CkDJ[Sort Code],MATCH(C227,CkDJ[JEV Number],0))),CasheirCode[Sort Code])))</f>
        <v/>
      </c>
      <c r="H227" s="677">
        <f t="array" ref="H227">IF(OR($C227=$C226,$C227=0),0,(SUM(IF((CkDJ[JEV Number]=$C227)*(CkDJ[Account Code]=(H$9)),CkDJ[Credit]))))</f>
        <v>0</v>
      </c>
      <c r="I227" s="677">
        <f t="array" ref="I227">IF(OR($C227=$C226,$C227=0),0,(SUM(IF((CkDJ[JEV Number]=$C227)*(CkDJ[Account Code]=(I$9)),CkDJ[Credit]))))</f>
        <v>0</v>
      </c>
      <c r="J227" s="678"/>
      <c r="K227" s="677">
        <f t="array" ref="K227">IF($C227=0,0,(SUM(IF((CkDJ[JEV Number]=$C227)*(CkDJ[Account Code]=(J227)),CkDJ[Credit]))))</f>
        <v>0</v>
      </c>
      <c r="L227" s="677">
        <f t="array" ref="L227">IF(OR($C227=$C226,$C227=0),0,(SUM(IF((CkDJ[JEV Number]=$C227)*(CkDJ[Account Code]=(L$9)),CkDJ[Debit]))))</f>
        <v>0</v>
      </c>
      <c r="M227" s="677">
        <f t="array" ref="M227">IF(OR($C227=$C226,$C227=0),0,(SUM(IF((CkDJ[JEV Number]=$C227)*(CkDJ[Account Code]=(M$9)),CkDJ[Debit]))))</f>
        <v>0</v>
      </c>
      <c r="N227" s="677">
        <f t="array" ref="N227">IF(OR($C227=$C226,$C227=0),0,(SUM(IF((CkDJ[JEV Number]=$C227)*(CkDJ[Account Code]=(N$9)),CkDJ[Debit]))))</f>
        <v>0</v>
      </c>
      <c r="O227" s="677">
        <f t="array" ref="O227">IF(OR($C227=$C226,$C227=0),0,(SUM(IF((CkDJ[JEV Number]=$C227)*(CkDJ[Account Code]=(O$9)),CkDJ[Debit]))))</f>
        <v>0</v>
      </c>
      <c r="P227" s="726"/>
      <c r="Q227" s="692">
        <f t="array" ref="Q227">IF($C227=0,0,(SUM(IF((CkDJ[JEV Number]=$C227)*(CkDJ[Account Code]=(P227)),CkDJ[Debit]))))</f>
        <v>0</v>
      </c>
      <c r="R227" s="679">
        <f t="shared" si="18"/>
        <v>0</v>
      </c>
    </row>
    <row r="228" spans="1:18" x14ac:dyDescent="0.25">
      <c r="A228" s="673" t="str">
        <f t="array" ref="A228">IF(OR(C228=C227,C228=0),"",INDEX(CkDJ[Date],MATCH(C228,CkDJ[JEV Number],0)))</f>
        <v/>
      </c>
      <c r="B228" s="674"/>
      <c r="C228" s="675" t="str">
        <f t="shared" si="17"/>
        <v>20-01-001</v>
      </c>
      <c r="D228" s="675"/>
      <c r="E228" s="675"/>
      <c r="F228" s="675"/>
      <c r="G228" s="676" t="str">
        <f t="array" ref="G228">IF(OR(C228=C227,C228=0),"",INDEX(CasheirCode[Name],MATCH((INDEX(CkDJ[Sort Code],MATCH(C228,CkDJ[JEV Number],0))),CasheirCode[Sort Code])))</f>
        <v/>
      </c>
      <c r="H228" s="677">
        <f t="array" ref="H228">IF(OR($C228=$C227,$C228=0),0,(SUM(IF((CkDJ[JEV Number]=$C228)*(CkDJ[Account Code]=(H$9)),CkDJ[Credit]))))</f>
        <v>0</v>
      </c>
      <c r="I228" s="677">
        <f t="array" ref="I228">IF(OR($C228=$C227,$C228=0),0,(SUM(IF((CkDJ[JEV Number]=$C228)*(CkDJ[Account Code]=(I$9)),CkDJ[Credit]))))</f>
        <v>0</v>
      </c>
      <c r="J228" s="728"/>
      <c r="K228" s="677">
        <f t="array" ref="K228">IF($C228=0,0,(SUM(IF((CkDJ[JEV Number]=$C228)*(CkDJ[Account Code]=(J228)),CkDJ[Credit]))))</f>
        <v>0</v>
      </c>
      <c r="L228" s="677">
        <f t="array" ref="L228">IF(OR($C228=$C227,$C228=0),0,(SUM(IF((CkDJ[JEV Number]=$C228)*(CkDJ[Account Code]=(L$9)),CkDJ[Debit]))))</f>
        <v>0</v>
      </c>
      <c r="M228" s="677">
        <f t="array" ref="M228">IF(OR($C228=$C227,$C228=0),0,(SUM(IF((CkDJ[JEV Number]=$C228)*(CkDJ[Account Code]=(M$9)),CkDJ[Debit]))))</f>
        <v>0</v>
      </c>
      <c r="N228" s="677">
        <f t="array" ref="N228">IF(OR($C228=$C227,$C228=0),0,(SUM(IF((CkDJ[JEV Number]=$C228)*(CkDJ[Account Code]=(N$9)),CkDJ[Debit]))))</f>
        <v>0</v>
      </c>
      <c r="O228" s="677">
        <f t="array" ref="O228">IF(OR($C228=$C227,$C228=0),0,(SUM(IF((CkDJ[JEV Number]=$C228)*(CkDJ[Account Code]=(O$9)),CkDJ[Debit]))))</f>
        <v>0</v>
      </c>
      <c r="P228" s="726"/>
      <c r="Q228" s="692">
        <f t="array" ref="Q228">IF($C228=0,0,(SUM(IF((CkDJ[JEV Number]=$C228)*(CkDJ[Account Code]=(P228)),CkDJ[Debit]))))</f>
        <v>0</v>
      </c>
      <c r="R228" s="679">
        <f t="shared" si="18"/>
        <v>0</v>
      </c>
    </row>
    <row r="229" spans="1:18" x14ac:dyDescent="0.25">
      <c r="A229" s="673" t="str">
        <f t="array" ref="A229">IF(OR(C229=C228,C229=0),"",INDEX(CkDJ[Date],MATCH(C229,CkDJ[JEV Number],0)))</f>
        <v/>
      </c>
      <c r="B229" s="674"/>
      <c r="C229" s="675" t="str">
        <f t="shared" si="17"/>
        <v>20-01-001</v>
      </c>
      <c r="D229" s="675"/>
      <c r="E229" s="675"/>
      <c r="F229" s="675"/>
      <c r="G229" s="676" t="str">
        <f t="array" ref="G229">IF(OR(C229=C228,C229=0),"",INDEX(CasheirCode[Name],MATCH((INDEX(CkDJ[Sort Code],MATCH(C229,CkDJ[JEV Number],0))),CasheirCode[Sort Code])))</f>
        <v/>
      </c>
      <c r="H229" s="677">
        <f t="array" ref="H229">IF(OR($C229=$C228,$C229=0),0,(SUM(IF((CkDJ[JEV Number]=$C229)*(CkDJ[Account Code]=(H$9)),CkDJ[Credit]))))</f>
        <v>0</v>
      </c>
      <c r="I229" s="677">
        <f t="array" ref="I229">IF(OR($C229=$C228,$C229=0),0,(SUM(IF((CkDJ[JEV Number]=$C229)*(CkDJ[Account Code]=(I$9)),CkDJ[Credit]))))</f>
        <v>0</v>
      </c>
      <c r="J229" s="678"/>
      <c r="K229" s="677">
        <f t="array" ref="K229">IF($C229=0,0,(SUM(IF((CkDJ[JEV Number]=$C229)*(CkDJ[Account Code]=(J229)),CkDJ[Credit]))))</f>
        <v>0</v>
      </c>
      <c r="L229" s="677">
        <f t="array" ref="L229">IF(OR($C229=$C228,$C229=0),0,(SUM(IF((CkDJ[JEV Number]=$C229)*(CkDJ[Account Code]=(L$9)),CkDJ[Debit]))))</f>
        <v>0</v>
      </c>
      <c r="M229" s="677">
        <f t="array" ref="M229">IF(OR($C229=$C228,$C229=0),0,(SUM(IF((CkDJ[JEV Number]=$C229)*(CkDJ[Account Code]=(M$9)),CkDJ[Debit]))))</f>
        <v>0</v>
      </c>
      <c r="N229" s="677">
        <f t="array" ref="N229">IF(OR($C229=$C228,$C229=0),0,(SUM(IF((CkDJ[JEV Number]=$C229)*(CkDJ[Account Code]=(N$9)),CkDJ[Debit]))))</f>
        <v>0</v>
      </c>
      <c r="O229" s="677">
        <f t="array" ref="O229">IF(OR($C229=$C228,$C229=0),0,(SUM(IF((CkDJ[JEV Number]=$C229)*(CkDJ[Account Code]=(O$9)),CkDJ[Debit]))))</f>
        <v>0</v>
      </c>
      <c r="P229" s="726"/>
      <c r="Q229" s="692">
        <f t="array" ref="Q229">IF($C229=0,0,(SUM(IF((CkDJ[JEV Number]=$C229)*(CkDJ[Account Code]=(P229)),CkDJ[Debit]))))</f>
        <v>0</v>
      </c>
      <c r="R229" s="679">
        <f t="shared" si="18"/>
        <v>0</v>
      </c>
    </row>
    <row r="230" spans="1:18" x14ac:dyDescent="0.25">
      <c r="A230" s="673" t="str">
        <f t="array" ref="A230">IF(OR(C230=C229,C230=0),"",INDEX(CkDJ[Date],MATCH(C230,CkDJ[JEV Number],0)))</f>
        <v/>
      </c>
      <c r="B230" s="674"/>
      <c r="C230" s="675" t="str">
        <f t="shared" si="17"/>
        <v>20-01-001</v>
      </c>
      <c r="D230" s="675"/>
      <c r="E230" s="675"/>
      <c r="F230" s="675"/>
      <c r="G230" s="676" t="str">
        <f t="array" ref="G230">IF(OR(C230=C229,C230=0),"",INDEX(CasheirCode[Name],MATCH((INDEX(CkDJ[Sort Code],MATCH(C230,CkDJ[JEV Number],0))),CasheirCode[Sort Code])))</f>
        <v/>
      </c>
      <c r="H230" s="677">
        <f t="array" ref="H230">IF(OR($C230=$C229,$C230=0),0,(SUM(IF((CkDJ[JEV Number]=$C230)*(CkDJ[Account Code]=(H$9)),CkDJ[Credit]))))</f>
        <v>0</v>
      </c>
      <c r="I230" s="677">
        <f t="array" ref="I230">IF(OR($C230=$C229,$C230=0),0,(SUM(IF((CkDJ[JEV Number]=$C230)*(CkDJ[Account Code]=(I$9)),CkDJ[Credit]))))</f>
        <v>0</v>
      </c>
      <c r="J230" s="678"/>
      <c r="K230" s="677">
        <f t="array" ref="K230">IF($C230=0,0,(SUM(IF((CkDJ[JEV Number]=$C230)*(CkDJ[Account Code]=(J230)),CkDJ[Credit]))))</f>
        <v>0</v>
      </c>
      <c r="L230" s="677">
        <f t="array" ref="L230">IF(OR($C230=$C229,$C230=0),0,(SUM(IF((CkDJ[JEV Number]=$C230)*(CkDJ[Account Code]=(L$9)),CkDJ[Debit]))))</f>
        <v>0</v>
      </c>
      <c r="M230" s="677">
        <f t="array" ref="M230">IF(OR($C230=$C229,$C230=0),0,(SUM(IF((CkDJ[JEV Number]=$C230)*(CkDJ[Account Code]=(M$9)),CkDJ[Debit]))))</f>
        <v>0</v>
      </c>
      <c r="N230" s="677">
        <f t="array" ref="N230">IF(OR($C230=$C229,$C230=0),0,(SUM(IF((CkDJ[JEV Number]=$C230)*(CkDJ[Account Code]=(N$9)),CkDJ[Debit]))))</f>
        <v>0</v>
      </c>
      <c r="O230" s="677">
        <f t="array" ref="O230">IF(OR($C230=$C229,$C230=0),0,(SUM(IF((CkDJ[JEV Number]=$C230)*(CkDJ[Account Code]=(O$9)),CkDJ[Debit]))))</f>
        <v>0</v>
      </c>
      <c r="P230" s="726"/>
      <c r="Q230" s="692">
        <f t="array" ref="Q230">IF($C230=0,0,(SUM(IF((CkDJ[JEV Number]=$C230)*(CkDJ[Account Code]=(P230)),CkDJ[Debit]))))</f>
        <v>0</v>
      </c>
      <c r="R230" s="679">
        <f t="shared" si="18"/>
        <v>0</v>
      </c>
    </row>
    <row r="231" spans="1:18" x14ac:dyDescent="0.25">
      <c r="A231" s="673" t="str">
        <f t="array" ref="A231">IF(OR(C231=C230,C231=0),"",INDEX(CkDJ[Date],MATCH(C231,CkDJ[JEV Number],0)))</f>
        <v/>
      </c>
      <c r="B231" s="674"/>
      <c r="C231" s="675" t="str">
        <f t="shared" si="17"/>
        <v>20-01-001</v>
      </c>
      <c r="D231" s="675"/>
      <c r="E231" s="675"/>
      <c r="F231" s="675"/>
      <c r="G231" s="676" t="str">
        <f t="array" ref="G231">IF(OR(C231=C230,C231=0),"",INDEX(CasheirCode[Name],MATCH((INDEX(CkDJ[Sort Code],MATCH(C231,CkDJ[JEV Number],0))),CasheirCode[Sort Code])))</f>
        <v/>
      </c>
      <c r="H231" s="677">
        <f t="array" ref="H231">IF(OR($C231=$C230,$C231=0),0,(SUM(IF((CkDJ[JEV Number]=$C231)*(CkDJ[Account Code]=(H$9)),CkDJ[Credit]))))</f>
        <v>0</v>
      </c>
      <c r="I231" s="677">
        <f t="array" ref="I231">IF(OR($C231=$C230,$C231=0),0,(SUM(IF((CkDJ[JEV Number]=$C231)*(CkDJ[Account Code]=(I$9)),CkDJ[Credit]))))</f>
        <v>0</v>
      </c>
      <c r="J231" s="678"/>
      <c r="K231" s="677">
        <f t="array" ref="K231">IF($C231=0,0,(SUM(IF((CkDJ[JEV Number]=$C231)*(CkDJ[Account Code]=(J231)),CkDJ[Credit]))))</f>
        <v>0</v>
      </c>
      <c r="L231" s="677">
        <f t="array" ref="L231">IF(OR($C231=$C230,$C231=0),0,(SUM(IF((CkDJ[JEV Number]=$C231)*(CkDJ[Account Code]=(L$9)),CkDJ[Debit]))))</f>
        <v>0</v>
      </c>
      <c r="M231" s="677">
        <f t="array" ref="M231">IF(OR($C231=$C230,$C231=0),0,(SUM(IF((CkDJ[JEV Number]=$C231)*(CkDJ[Account Code]=(M$9)),CkDJ[Debit]))))</f>
        <v>0</v>
      </c>
      <c r="N231" s="677">
        <f t="array" ref="N231">IF(OR($C231=$C230,$C231=0),0,(SUM(IF((CkDJ[JEV Number]=$C231)*(CkDJ[Account Code]=(N$9)),CkDJ[Debit]))))</f>
        <v>0</v>
      </c>
      <c r="O231" s="677">
        <f t="array" ref="O231">IF(OR($C231=$C230,$C231=0),0,(SUM(IF((CkDJ[JEV Number]=$C231)*(CkDJ[Account Code]=(O$9)),CkDJ[Debit]))))</f>
        <v>0</v>
      </c>
      <c r="P231" s="726"/>
      <c r="Q231" s="692">
        <f t="array" ref="Q231">IF($C231=0,0,(SUM(IF((CkDJ[JEV Number]=$C231)*(CkDJ[Account Code]=(P231)),CkDJ[Debit]))))</f>
        <v>0</v>
      </c>
      <c r="R231" s="679">
        <f t="shared" si="18"/>
        <v>0</v>
      </c>
    </row>
    <row r="232" spans="1:18" x14ac:dyDescent="0.25">
      <c r="A232" s="727"/>
      <c r="B232" s="813"/>
      <c r="H232" s="114"/>
      <c r="I232" s="114"/>
      <c r="J232" s="814"/>
      <c r="K232" s="114"/>
      <c r="L232" s="114"/>
      <c r="M232" s="114"/>
      <c r="N232" s="114"/>
      <c r="O232" s="114"/>
      <c r="P232" s="815"/>
      <c r="Q232" s="114"/>
      <c r="R232" s="816"/>
    </row>
    <row r="233" spans="1:18" x14ac:dyDescent="0.25">
      <c r="A233" s="727"/>
      <c r="B233" s="813"/>
      <c r="H233" s="114"/>
      <c r="I233" s="114"/>
      <c r="J233" s="814"/>
      <c r="K233" s="114"/>
      <c r="L233" s="114"/>
      <c r="M233" s="114"/>
      <c r="N233" s="114"/>
      <c r="O233" s="114"/>
      <c r="P233" s="815"/>
      <c r="Q233" s="114"/>
      <c r="R233" s="816"/>
    </row>
    <row r="234" spans="1:18" x14ac:dyDescent="0.25">
      <c r="A234" s="727"/>
      <c r="B234" s="813"/>
      <c r="H234" s="114"/>
      <c r="I234" s="114"/>
      <c r="J234" s="814"/>
      <c r="K234" s="114"/>
      <c r="L234" s="114"/>
      <c r="M234" s="114"/>
      <c r="N234" s="114"/>
      <c r="O234" s="114"/>
      <c r="P234" s="815"/>
      <c r="Q234" s="114"/>
      <c r="R234" s="816"/>
    </row>
    <row r="235" spans="1:18" x14ac:dyDescent="0.25">
      <c r="A235" s="727"/>
      <c r="B235" s="813"/>
      <c r="H235" s="114"/>
      <c r="I235" s="114"/>
      <c r="J235" s="814"/>
      <c r="K235" s="114"/>
      <c r="L235" s="114"/>
      <c r="M235" s="114"/>
      <c r="N235" s="114"/>
      <c r="O235" s="114"/>
      <c r="P235" s="815"/>
      <c r="Q235" s="114"/>
      <c r="R235" s="816"/>
    </row>
    <row r="236" spans="1:18" x14ac:dyDescent="0.25">
      <c r="A236" s="727"/>
      <c r="B236" s="813"/>
      <c r="H236" s="114"/>
      <c r="I236" s="114"/>
      <c r="J236" s="814"/>
      <c r="K236" s="114"/>
      <c r="L236" s="114"/>
      <c r="M236" s="114"/>
      <c r="N236" s="114"/>
      <c r="O236" s="114"/>
      <c r="P236" s="815"/>
      <c r="Q236" s="114"/>
      <c r="R236" s="816"/>
    </row>
    <row r="237" spans="1:18" x14ac:dyDescent="0.25">
      <c r="A237" s="727"/>
      <c r="B237" s="813"/>
      <c r="H237" s="114"/>
      <c r="I237" s="114"/>
      <c r="J237" s="814"/>
      <c r="K237" s="114"/>
      <c r="L237" s="114"/>
      <c r="M237" s="114"/>
      <c r="N237" s="114"/>
      <c r="O237" s="114"/>
      <c r="P237" s="815"/>
      <c r="Q237" s="114"/>
      <c r="R237" s="816"/>
    </row>
    <row r="238" spans="1:18" x14ac:dyDescent="0.25">
      <c r="A238" s="727"/>
      <c r="B238" s="813"/>
      <c r="H238" s="114"/>
      <c r="I238" s="114"/>
      <c r="J238" s="814"/>
      <c r="K238" s="114"/>
      <c r="L238" s="114"/>
      <c r="M238" s="114"/>
      <c r="N238" s="114"/>
      <c r="O238" s="114"/>
      <c r="P238" s="815"/>
      <c r="Q238" s="114"/>
      <c r="R238" s="816"/>
    </row>
    <row r="239" spans="1:18" x14ac:dyDescent="0.25">
      <c r="A239" s="727"/>
      <c r="B239" s="813"/>
      <c r="H239" s="114"/>
      <c r="I239" s="114"/>
      <c r="J239" s="814"/>
      <c r="K239" s="114"/>
      <c r="L239" s="114"/>
      <c r="M239" s="114"/>
      <c r="N239" s="114"/>
      <c r="O239" s="114"/>
      <c r="P239" s="815"/>
      <c r="Q239" s="114"/>
      <c r="R239" s="816"/>
    </row>
    <row r="240" spans="1:18" x14ac:dyDescent="0.25">
      <c r="G240" s="764" t="s">
        <v>482</v>
      </c>
      <c r="H240" s="131"/>
      <c r="I240" s="131"/>
      <c r="M240" s="764" t="s">
        <v>353</v>
      </c>
      <c r="N240" s="131"/>
      <c r="O240" s="131"/>
      <c r="P240" s="780"/>
    </row>
    <row r="241" spans="7:14" x14ac:dyDescent="0.25">
      <c r="H241" s="711"/>
      <c r="N241" s="711" t="s">
        <v>1559</v>
      </c>
    </row>
    <row r="242" spans="7:14" x14ac:dyDescent="0.25">
      <c r="G242" s="526"/>
      <c r="H242" s="711"/>
      <c r="M242" s="526"/>
      <c r="N242" s="711" t="s">
        <v>742</v>
      </c>
    </row>
    <row r="243" spans="7:14" x14ac:dyDescent="0.25">
      <c r="G243" s="526"/>
      <c r="M243" s="526"/>
    </row>
  </sheetData>
  <sheetProtection insertRows="0" autoFilter="0" pivotTables="0"/>
  <mergeCells count="20">
    <mergeCell ref="G1:O1"/>
    <mergeCell ref="G2:O2"/>
    <mergeCell ref="G3:O4"/>
    <mergeCell ref="A8:A10"/>
    <mergeCell ref="B8:B10"/>
    <mergeCell ref="D8:D10"/>
    <mergeCell ref="E8:F9"/>
    <mergeCell ref="G8:G10"/>
    <mergeCell ref="H8:K8"/>
    <mergeCell ref="L8:Q8"/>
    <mergeCell ref="H9:H10"/>
    <mergeCell ref="I9:I10"/>
    <mergeCell ref="C8:C10"/>
    <mergeCell ref="R8:R10"/>
    <mergeCell ref="J9:K9"/>
    <mergeCell ref="L9:L10"/>
    <mergeCell ref="M9:M10"/>
    <mergeCell ref="N9:N10"/>
    <mergeCell ref="O9:O10"/>
    <mergeCell ref="P9:Q9"/>
  </mergeCells>
  <printOptions horizontalCentered="1"/>
  <pageMargins left="0.15748031496062992" right="0" top="0.74803149606299213" bottom="0.23622047244094491" header="0.31496062992125984" footer="0.31496062992125984"/>
  <pageSetup paperSize="256" scale="65" orientation="landscape" r:id="rId1"/>
  <drawing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7">
    <tabColor rgb="FF7030A0"/>
  </sheetPr>
  <dimension ref="A1:P110"/>
  <sheetViews>
    <sheetView showZeros="0" zoomScale="70" zoomScaleNormal="70" zoomScaleSheetLayoutView="70" workbookViewId="0">
      <pane ySplit="1" topLeftCell="A2" activePane="bottomLeft" state="frozen"/>
      <selection pane="bottomLeft" activeCell="K13" sqref="K13"/>
    </sheetView>
  </sheetViews>
  <sheetFormatPr defaultColWidth="9" defaultRowHeight="15.75" x14ac:dyDescent="0.25"/>
  <cols>
    <col min="1" max="1" width="10.125" style="538" bestFit="1" customWidth="1"/>
    <col min="2" max="2" width="13.5" style="538" bestFit="1" customWidth="1"/>
    <col min="3" max="3" width="8.875" style="557" customWidth="1"/>
    <col min="4" max="4" width="10.625" style="24" customWidth="1"/>
    <col min="5" max="5" width="6.625" style="24" customWidth="1"/>
    <col min="6" max="6" width="5.25" style="24" customWidth="1"/>
    <col min="7" max="7" width="5.125" style="24" customWidth="1"/>
    <col min="8" max="8" width="5.75" style="24" customWidth="1"/>
    <col min="9" max="9" width="22" style="24" customWidth="1"/>
    <col min="10" max="10" width="34.625" style="24" customWidth="1"/>
    <col min="11" max="11" width="35.25" style="25" customWidth="1"/>
    <col min="12" max="12" width="10.75" style="24" customWidth="1"/>
    <col min="13" max="13" width="12.375" style="542" customWidth="1"/>
    <col min="14" max="14" width="14" style="542" customWidth="1"/>
    <col min="15" max="15" width="11.875" style="9" customWidth="1"/>
    <col min="16" max="16" width="13.125" style="25" customWidth="1"/>
    <col min="17" max="16384" width="9" style="25"/>
  </cols>
  <sheetData>
    <row r="1" spans="1:16" x14ac:dyDescent="0.25">
      <c r="A1" s="1037" t="s">
        <v>375</v>
      </c>
      <c r="B1" s="1037"/>
      <c r="C1" s="1037"/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32"/>
      <c r="P1" s="14"/>
    </row>
    <row r="2" spans="1:16" ht="47.25" x14ac:dyDescent="0.25">
      <c r="A2" s="535" t="s">
        <v>0</v>
      </c>
      <c r="B2" s="535" t="s">
        <v>737</v>
      </c>
      <c r="C2" s="181" t="s">
        <v>738</v>
      </c>
      <c r="D2" s="153" t="s">
        <v>722</v>
      </c>
      <c r="E2" s="153" t="s">
        <v>718</v>
      </c>
      <c r="F2" s="153" t="s">
        <v>740</v>
      </c>
      <c r="G2" s="153" t="s">
        <v>723</v>
      </c>
      <c r="H2" s="153" t="s">
        <v>728</v>
      </c>
      <c r="I2" s="153" t="s">
        <v>838</v>
      </c>
      <c r="J2" s="153" t="s">
        <v>440</v>
      </c>
      <c r="K2" s="153" t="s">
        <v>369</v>
      </c>
      <c r="L2" s="181" t="s">
        <v>370</v>
      </c>
      <c r="M2" s="154" t="s">
        <v>1</v>
      </c>
      <c r="N2" s="154" t="s">
        <v>2</v>
      </c>
      <c r="O2" s="154" t="s">
        <v>715</v>
      </c>
      <c r="P2" s="155" t="s">
        <v>724</v>
      </c>
    </row>
    <row r="3" spans="1:16" ht="34.5" customHeight="1" x14ac:dyDescent="0.25">
      <c r="A3" s="536">
        <v>43861</v>
      </c>
      <c r="B3" s="831">
        <v>43853</v>
      </c>
      <c r="C3" s="832" t="s">
        <v>1611</v>
      </c>
      <c r="D3" s="105" t="s">
        <v>1612</v>
      </c>
      <c r="E3" s="133" t="s">
        <v>485</v>
      </c>
      <c r="F3" s="105"/>
      <c r="G3" s="105"/>
      <c r="H3" s="105"/>
      <c r="I3" s="830" t="s">
        <v>1609</v>
      </c>
      <c r="J3" s="830" t="s">
        <v>1610</v>
      </c>
      <c r="K3" s="3" t="str">
        <f>IF(L3=0,"",(INDEX(AccountCodes[ACCOUNT NAME],MATCH(L3,AccountCodes[NGAS CODE],0))))</f>
        <v>Salaries and Wages-Regular</v>
      </c>
      <c r="L3" s="828" t="s">
        <v>162</v>
      </c>
      <c r="M3" s="827">
        <v>50693</v>
      </c>
      <c r="N3" s="827"/>
      <c r="O3" s="661"/>
      <c r="P3" s="150">
        <f>M3-N3</f>
        <v>50693</v>
      </c>
    </row>
    <row r="4" spans="1:16" ht="45" customHeight="1" x14ac:dyDescent="0.25">
      <c r="A4" s="536">
        <v>43861</v>
      </c>
      <c r="B4" s="831"/>
      <c r="C4" s="832"/>
      <c r="D4" s="105"/>
      <c r="E4" s="133"/>
      <c r="F4" s="105"/>
      <c r="G4" s="146"/>
      <c r="H4" s="146"/>
      <c r="I4" s="830"/>
      <c r="J4" s="830"/>
      <c r="K4" s="148" t="str">
        <f>IF(L4=0,"",(INDEX(AccountCodes[ACCOUNT NAME],MATCH(L4,AccountCodes[NGAS CODE],0))))</f>
        <v/>
      </c>
      <c r="L4" s="828"/>
      <c r="M4" s="827"/>
      <c r="N4" s="827"/>
      <c r="O4" s="661"/>
      <c r="P4" s="152">
        <f t="shared" ref="P4:P10" si="0">P3+M4-N4</f>
        <v>50693</v>
      </c>
    </row>
    <row r="5" spans="1:16" x14ac:dyDescent="0.25">
      <c r="A5" s="536"/>
      <c r="B5" s="831"/>
      <c r="C5" s="832"/>
      <c r="D5" s="105"/>
      <c r="E5" s="133"/>
      <c r="F5" s="105"/>
      <c r="G5" s="499"/>
      <c r="H5" s="499"/>
      <c r="I5" s="830"/>
      <c r="J5" s="830"/>
      <c r="K5" s="496" t="str">
        <f>IF(L5=0,"",(INDEX(AccountCodes[ACCOUNT NAME],MATCH(L5,AccountCodes[NGAS CODE],0))))</f>
        <v/>
      </c>
      <c r="L5" s="828"/>
      <c r="M5" s="827"/>
      <c r="N5" s="827"/>
      <c r="O5" s="661"/>
      <c r="P5" s="498">
        <f t="shared" si="0"/>
        <v>50693</v>
      </c>
    </row>
    <row r="6" spans="1:16" x14ac:dyDescent="0.25">
      <c r="A6" s="536"/>
      <c r="B6" s="831"/>
      <c r="C6" s="832"/>
      <c r="D6" s="105"/>
      <c r="E6" s="133"/>
      <c r="F6" s="105"/>
      <c r="G6" s="499"/>
      <c r="H6" s="499"/>
      <c r="I6" s="830"/>
      <c r="J6" s="830"/>
      <c r="K6" s="496" t="str">
        <f>IF(L6=0,"",(INDEX(AccountCodes[ACCOUNT NAME],MATCH(L6,AccountCodes[NGAS CODE],0))))</f>
        <v/>
      </c>
      <c r="L6" s="828"/>
      <c r="M6" s="827"/>
      <c r="N6" s="827"/>
      <c r="O6" s="661"/>
      <c r="P6" s="558">
        <f t="shared" si="0"/>
        <v>50693</v>
      </c>
    </row>
    <row r="7" spans="1:16" x14ac:dyDescent="0.25">
      <c r="A7" s="536"/>
      <c r="B7" s="831"/>
      <c r="C7" s="832"/>
      <c r="D7" s="105"/>
      <c r="E7" s="133"/>
      <c r="F7" s="105"/>
      <c r="G7" s="499"/>
      <c r="H7" s="499"/>
      <c r="I7" s="830"/>
      <c r="J7" s="830"/>
      <c r="K7" s="496" t="str">
        <f>IF(L7=0,"",(INDEX(AccountCodes[ACCOUNT NAME],MATCH(L7,AccountCodes[NGAS CODE],0))))</f>
        <v/>
      </c>
      <c r="L7" s="828"/>
      <c r="M7" s="827"/>
      <c r="N7" s="827"/>
      <c r="O7" s="661"/>
      <c r="P7" s="558">
        <f t="shared" si="0"/>
        <v>50693</v>
      </c>
    </row>
    <row r="8" spans="1:16" x14ac:dyDescent="0.25">
      <c r="A8" s="536"/>
      <c r="B8" s="831"/>
      <c r="C8" s="832"/>
      <c r="D8" s="105"/>
      <c r="E8" s="133"/>
      <c r="F8" s="105"/>
      <c r="G8" s="499"/>
      <c r="H8" s="499"/>
      <c r="I8" s="830"/>
      <c r="J8" s="830"/>
      <c r="K8" s="496" t="str">
        <f>IF(L8=0,"",(INDEX(AccountCodes[ACCOUNT NAME],MATCH(L8,AccountCodes[NGAS CODE],0))))</f>
        <v/>
      </c>
      <c r="L8" s="828"/>
      <c r="M8" s="827"/>
      <c r="N8" s="827"/>
      <c r="O8" s="661"/>
      <c r="P8" s="558">
        <f t="shared" si="0"/>
        <v>50693</v>
      </c>
    </row>
    <row r="9" spans="1:16" x14ac:dyDescent="0.25">
      <c r="A9" s="536"/>
      <c r="B9" s="831"/>
      <c r="C9" s="832"/>
      <c r="D9" s="105"/>
      <c r="E9" s="133"/>
      <c r="F9" s="105"/>
      <c r="G9" s="499"/>
      <c r="H9" s="499"/>
      <c r="I9" s="830"/>
      <c r="J9" s="830"/>
      <c r="K9" s="496" t="str">
        <f>IF(L9=0,"",(INDEX(AccountCodes[ACCOUNT NAME],MATCH(L9,AccountCodes[NGAS CODE],0))))</f>
        <v/>
      </c>
      <c r="L9" s="828"/>
      <c r="M9" s="829"/>
      <c r="N9" s="827"/>
      <c r="O9" s="661"/>
      <c r="P9" s="558">
        <f t="shared" si="0"/>
        <v>50693</v>
      </c>
    </row>
    <row r="10" spans="1:16" x14ac:dyDescent="0.25">
      <c r="A10" s="536"/>
      <c r="B10" s="831"/>
      <c r="C10" s="832"/>
      <c r="D10" s="105"/>
      <c r="E10" s="133"/>
      <c r="F10" s="145"/>
      <c r="G10" s="105"/>
      <c r="H10" s="105"/>
      <c r="I10" s="830"/>
      <c r="J10" s="830"/>
      <c r="K10" s="3" t="str">
        <f>IF(L10=0,"",(INDEX(AccountCodes[ACCOUNT NAME],MATCH(L10,AccountCodes[NGAS CODE],0))))</f>
        <v/>
      </c>
      <c r="L10" s="828"/>
      <c r="M10" s="829"/>
      <c r="N10" s="829"/>
      <c r="O10" s="661"/>
      <c r="P10" s="150">
        <f t="shared" si="0"/>
        <v>50693</v>
      </c>
    </row>
    <row r="11" spans="1:16" ht="18.75" x14ac:dyDescent="0.25">
      <c r="A11" s="536"/>
      <c r="B11" s="791"/>
      <c r="C11" s="792"/>
      <c r="D11" s="105"/>
      <c r="E11" s="182"/>
      <c r="F11" s="145"/>
      <c r="G11" s="105"/>
      <c r="H11" s="105"/>
      <c r="I11" s="788"/>
      <c r="J11" s="789"/>
      <c r="K11" s="3" t="str">
        <f>IF(L11=0,"",(INDEX(AccountCodes[ACCOUNT NAME],MATCH(L11,AccountCodes[NGAS CODE],0))))</f>
        <v/>
      </c>
      <c r="L11" s="805"/>
      <c r="M11" s="806"/>
      <c r="N11" s="806"/>
      <c r="O11" s="807"/>
      <c r="P11" s="150">
        <f t="shared" ref="P11:P19" si="1">P10+M11-N11</f>
        <v>50693</v>
      </c>
    </row>
    <row r="12" spans="1:16" ht="18.75" x14ac:dyDescent="0.25">
      <c r="A12" s="536"/>
      <c r="B12" s="791"/>
      <c r="C12" s="792"/>
      <c r="D12" s="105"/>
      <c r="E12" s="182"/>
      <c r="F12" s="145"/>
      <c r="G12" s="105"/>
      <c r="H12" s="105"/>
      <c r="I12" s="788"/>
      <c r="J12" s="789"/>
      <c r="K12" s="3" t="str">
        <f>IF(L12=0,"",(INDEX(AccountCodes[ACCOUNT NAME],MATCH(L12,AccountCodes[NGAS CODE],0))))</f>
        <v/>
      </c>
      <c r="L12" s="805"/>
      <c r="M12" s="806"/>
      <c r="N12" s="806"/>
      <c r="O12" s="807"/>
      <c r="P12" s="150">
        <f t="shared" si="1"/>
        <v>50693</v>
      </c>
    </row>
    <row r="13" spans="1:16" ht="18.75" x14ac:dyDescent="0.25">
      <c r="A13" s="536"/>
      <c r="B13" s="791"/>
      <c r="C13" s="792"/>
      <c r="D13" s="105"/>
      <c r="E13" s="182"/>
      <c r="F13" s="145"/>
      <c r="G13" s="105"/>
      <c r="H13" s="105"/>
      <c r="I13" s="788"/>
      <c r="J13" s="789"/>
      <c r="K13" s="3" t="str">
        <f>IF(L13=0,"",(INDEX(AccountCodes[ACCOUNT NAME],MATCH(L13,AccountCodes[NGAS CODE],0))))</f>
        <v/>
      </c>
      <c r="L13" s="805"/>
      <c r="M13" s="806"/>
      <c r="N13" s="806"/>
      <c r="O13" s="807"/>
      <c r="P13" s="150">
        <f t="shared" si="1"/>
        <v>50693</v>
      </c>
    </row>
    <row r="14" spans="1:16" ht="18.75" x14ac:dyDescent="0.25">
      <c r="A14" s="536"/>
      <c r="B14" s="791"/>
      <c r="C14" s="792"/>
      <c r="D14" s="105"/>
      <c r="E14" s="182"/>
      <c r="F14" s="145"/>
      <c r="G14" s="105"/>
      <c r="H14" s="105"/>
      <c r="I14" s="788"/>
      <c r="J14" s="789"/>
      <c r="K14" s="3" t="str">
        <f>IF(L14=0,"",(INDEX(AccountCodes[ACCOUNT NAME],MATCH(L14,AccountCodes[NGAS CODE],0))))</f>
        <v/>
      </c>
      <c r="L14" s="805"/>
      <c r="M14" s="806"/>
      <c r="N14" s="806"/>
      <c r="O14" s="807"/>
      <c r="P14" s="150">
        <f>P13+M14-N14</f>
        <v>50693</v>
      </c>
    </row>
    <row r="15" spans="1:16" ht="18.75" x14ac:dyDescent="0.25">
      <c r="A15" s="536"/>
      <c r="B15" s="791"/>
      <c r="C15" s="792"/>
      <c r="D15" s="105"/>
      <c r="E15" s="182"/>
      <c r="F15" s="145"/>
      <c r="G15" s="105"/>
      <c r="H15" s="105"/>
      <c r="I15" s="788"/>
      <c r="J15" s="789"/>
      <c r="K15" s="3" t="str">
        <f>IF(L15=0,"",(INDEX(AccountCodes[ACCOUNT NAME],MATCH(L15,AccountCodes[NGAS CODE],0))))</f>
        <v/>
      </c>
      <c r="L15" s="805"/>
      <c r="M15" s="806"/>
      <c r="N15" s="806"/>
      <c r="O15" s="807"/>
      <c r="P15" s="150">
        <f t="shared" si="1"/>
        <v>50693</v>
      </c>
    </row>
    <row r="16" spans="1:16" ht="18.75" x14ac:dyDescent="0.25">
      <c r="A16" s="536"/>
      <c r="B16" s="791"/>
      <c r="C16" s="792"/>
      <c r="D16" s="105"/>
      <c r="E16" s="182"/>
      <c r="F16" s="145"/>
      <c r="G16" s="105"/>
      <c r="H16" s="105"/>
      <c r="I16" s="788"/>
      <c r="J16" s="789"/>
      <c r="K16" s="3" t="str">
        <f>IF(L16=0,"",(INDEX(AccountCodes[ACCOUNT NAME],MATCH(L16,AccountCodes[NGAS CODE],0))))</f>
        <v/>
      </c>
      <c r="L16" s="805"/>
      <c r="M16" s="806"/>
      <c r="N16" s="806"/>
      <c r="O16" s="807"/>
      <c r="P16" s="150">
        <f t="shared" si="1"/>
        <v>50693</v>
      </c>
    </row>
    <row r="17" spans="1:16" ht="18.75" x14ac:dyDescent="0.25">
      <c r="A17" s="536"/>
      <c r="B17" s="791"/>
      <c r="C17" s="792"/>
      <c r="D17" s="105"/>
      <c r="E17" s="182"/>
      <c r="F17" s="145"/>
      <c r="G17" s="105"/>
      <c r="H17" s="105"/>
      <c r="I17" s="788"/>
      <c r="J17" s="789"/>
      <c r="K17" s="3" t="str">
        <f>IF(L17=0,"",(INDEX(AccountCodes[ACCOUNT NAME],MATCH(L17,AccountCodes[NGAS CODE],0))))</f>
        <v/>
      </c>
      <c r="L17" s="805"/>
      <c r="M17" s="806"/>
      <c r="N17" s="806"/>
      <c r="O17" s="807"/>
      <c r="P17" s="150">
        <f t="shared" si="1"/>
        <v>50693</v>
      </c>
    </row>
    <row r="18" spans="1:16" ht="18.75" x14ac:dyDescent="0.25">
      <c r="A18" s="536"/>
      <c r="B18" s="791"/>
      <c r="C18" s="792"/>
      <c r="D18" s="105"/>
      <c r="E18" s="182"/>
      <c r="F18" s="145"/>
      <c r="G18" s="105"/>
      <c r="H18" s="105"/>
      <c r="I18" s="790"/>
      <c r="J18" s="789"/>
      <c r="K18" s="3" t="str">
        <f>IF(L18=0,"",(INDEX(AccountCodes[ACCOUNT NAME],MATCH(L18,AccountCodes[NGAS CODE],0))))</f>
        <v/>
      </c>
      <c r="L18" s="808"/>
      <c r="M18" s="809"/>
      <c r="N18" s="809"/>
      <c r="O18" s="807"/>
      <c r="P18" s="150">
        <f t="shared" si="1"/>
        <v>50693</v>
      </c>
    </row>
    <row r="19" spans="1:16" x14ac:dyDescent="0.25">
      <c r="A19" s="541"/>
      <c r="B19" s="559"/>
      <c r="C19" s="145"/>
      <c r="D19" s="105"/>
      <c r="E19" s="182"/>
      <c r="F19" s="145"/>
      <c r="G19" s="105"/>
      <c r="H19" s="105"/>
      <c r="I19" s="560"/>
      <c r="J19" s="560"/>
      <c r="K19" s="3" t="str">
        <f>IF(L19=0,"",(INDEX(AccountCodes[ACCOUNT NAME],MATCH(L19,AccountCodes[NGAS CODE],0))))</f>
        <v/>
      </c>
      <c r="L19" s="799"/>
      <c r="M19" s="509"/>
      <c r="N19" s="509"/>
      <c r="O19" s="4"/>
      <c r="P19" s="150">
        <f t="shared" si="1"/>
        <v>50693</v>
      </c>
    </row>
    <row r="20" spans="1:16" x14ac:dyDescent="0.25">
      <c r="A20" s="541"/>
      <c r="B20" s="559"/>
      <c r="C20" s="145"/>
      <c r="D20" s="105"/>
      <c r="E20" s="182"/>
      <c r="F20" s="145"/>
      <c r="G20" s="151"/>
      <c r="H20" s="151"/>
      <c r="I20" s="560"/>
      <c r="J20" s="560"/>
      <c r="K20" s="148" t="str">
        <f>IF(L20=0,"",(INDEX(AccountCodes[ACCOUNT NAME],MATCH(L20,AccountCodes[NGAS CODE],0))))</f>
        <v/>
      </c>
      <c r="L20" s="799"/>
      <c r="M20" s="509"/>
      <c r="N20" s="509"/>
      <c r="O20" s="149"/>
      <c r="P20" s="152">
        <f t="shared" ref="P20:P26" si="2">P19+M20-N20</f>
        <v>50693</v>
      </c>
    </row>
    <row r="21" spans="1:16" x14ac:dyDescent="0.25">
      <c r="A21" s="541"/>
      <c r="B21" s="559"/>
      <c r="C21" s="145"/>
      <c r="D21" s="105"/>
      <c r="E21" s="182"/>
      <c r="F21" s="145"/>
      <c r="G21" s="151"/>
      <c r="H21" s="151"/>
      <c r="I21" s="560"/>
      <c r="J21" s="560"/>
      <c r="K21" s="148" t="str">
        <f>IF(L21=0,"",(INDEX(AccountCodes[ACCOUNT NAME],MATCH(L21,AccountCodes[NGAS CODE],0))))</f>
        <v/>
      </c>
      <c r="L21" s="799"/>
      <c r="M21" s="509"/>
      <c r="N21" s="509"/>
      <c r="O21" s="149"/>
      <c r="P21" s="152">
        <f t="shared" si="2"/>
        <v>50693</v>
      </c>
    </row>
    <row r="22" spans="1:16" x14ac:dyDescent="0.25">
      <c r="A22" s="541"/>
      <c r="B22" s="559"/>
      <c r="C22" s="145"/>
      <c r="D22" s="105"/>
      <c r="E22" s="182"/>
      <c r="F22" s="145"/>
      <c r="G22" s="151"/>
      <c r="H22" s="151"/>
      <c r="I22" s="560"/>
      <c r="J22" s="560"/>
      <c r="K22" s="148" t="str">
        <f>IF(L22=0,"",(INDEX(AccountCodes[ACCOUNT NAME],MATCH(L22,AccountCodes[NGAS CODE],0))))</f>
        <v/>
      </c>
      <c r="L22" s="799"/>
      <c r="M22" s="509"/>
      <c r="N22" s="509"/>
      <c r="O22" s="149"/>
      <c r="P22" s="152">
        <f t="shared" si="2"/>
        <v>50693</v>
      </c>
    </row>
    <row r="23" spans="1:16" x14ac:dyDescent="0.25">
      <c r="A23" s="541"/>
      <c r="B23" s="559"/>
      <c r="C23" s="145"/>
      <c r="D23" s="105"/>
      <c r="E23" s="182"/>
      <c r="F23" s="145"/>
      <c r="G23" s="151"/>
      <c r="H23" s="151"/>
      <c r="I23" s="560"/>
      <c r="J23" s="560"/>
      <c r="K23" s="148" t="str">
        <f>IF(L23=0,"",(INDEX(AccountCodes[ACCOUNT NAME],MATCH(L23,AccountCodes[NGAS CODE],0))))</f>
        <v/>
      </c>
      <c r="L23" s="799"/>
      <c r="M23" s="509"/>
      <c r="N23" s="509"/>
      <c r="O23" s="149"/>
      <c r="P23" s="152">
        <f t="shared" si="2"/>
        <v>50693</v>
      </c>
    </row>
    <row r="24" spans="1:16" x14ac:dyDescent="0.25">
      <c r="A24" s="541"/>
      <c r="B24" s="559"/>
      <c r="C24" s="145"/>
      <c r="D24" s="105"/>
      <c r="E24" s="182"/>
      <c r="F24" s="145"/>
      <c r="G24" s="151"/>
      <c r="H24" s="151"/>
      <c r="I24" s="671"/>
      <c r="J24" s="671"/>
      <c r="K24" s="148" t="str">
        <f>IF(L24=0,"",(INDEX(AccountCodes[ACCOUNT NAME],MATCH(L24,AccountCodes[NGAS CODE],0))))</f>
        <v/>
      </c>
      <c r="L24" s="799"/>
      <c r="M24" s="513"/>
      <c r="N24" s="513"/>
      <c r="O24" s="149"/>
      <c r="P24" s="152">
        <f t="shared" si="2"/>
        <v>50693</v>
      </c>
    </row>
    <row r="25" spans="1:16" x14ac:dyDescent="0.25">
      <c r="A25" s="541"/>
      <c r="B25" s="559"/>
      <c r="C25" s="145"/>
      <c r="D25" s="105"/>
      <c r="E25" s="182"/>
      <c r="F25" s="145"/>
      <c r="G25" s="151"/>
      <c r="H25" s="151"/>
      <c r="I25" s="671"/>
      <c r="J25" s="671"/>
      <c r="K25" s="148" t="str">
        <f>IF(L25=0,"",(INDEX(AccountCodes[ACCOUNT NAME],MATCH(L25,AccountCodes[NGAS CODE],0))))</f>
        <v/>
      </c>
      <c r="L25" s="799"/>
      <c r="M25" s="513"/>
      <c r="N25" s="513"/>
      <c r="O25" s="149"/>
      <c r="P25" s="152">
        <f t="shared" si="2"/>
        <v>50693</v>
      </c>
    </row>
    <row r="26" spans="1:16" x14ac:dyDescent="0.25">
      <c r="A26" s="541"/>
      <c r="B26" s="559"/>
      <c r="C26" s="145"/>
      <c r="D26" s="105"/>
      <c r="E26" s="182"/>
      <c r="F26" s="145"/>
      <c r="G26" s="151"/>
      <c r="H26" s="151"/>
      <c r="I26" s="671"/>
      <c r="J26" s="671"/>
      <c r="K26" s="148" t="str">
        <f>IF(L26=0,"",(INDEX(AccountCodes[ACCOUNT NAME],MATCH(L26,AccountCodes[NGAS CODE],0))))</f>
        <v/>
      </c>
      <c r="L26" s="799"/>
      <c r="M26" s="513"/>
      <c r="N26" s="513"/>
      <c r="O26" s="149"/>
      <c r="P26" s="152">
        <f t="shared" si="2"/>
        <v>50693</v>
      </c>
    </row>
    <row r="27" spans="1:16" x14ac:dyDescent="0.25">
      <c r="A27" s="541"/>
      <c r="B27" s="559"/>
      <c r="C27" s="145"/>
      <c r="D27" s="105"/>
      <c r="E27" s="182"/>
      <c r="F27" s="133"/>
      <c r="G27" s="105"/>
      <c r="H27" s="105"/>
      <c r="I27" s="671"/>
      <c r="J27" s="671"/>
      <c r="K27" s="3" t="str">
        <f>IF(L27=0,"",(INDEX(AccountCodes[ACCOUNT NAME],MATCH(L27,AccountCodes[NGAS CODE],0))))</f>
        <v/>
      </c>
      <c r="L27" s="799"/>
      <c r="M27" s="513"/>
      <c r="N27" s="513"/>
      <c r="O27" s="4"/>
      <c r="P27" s="150">
        <f t="shared" ref="P27:P42" si="3">P26+M27-N27</f>
        <v>50693</v>
      </c>
    </row>
    <row r="28" spans="1:16" x14ac:dyDescent="0.25">
      <c r="A28" s="541"/>
      <c r="B28" s="559"/>
      <c r="C28" s="145"/>
      <c r="D28" s="105"/>
      <c r="E28" s="182"/>
      <c r="F28" s="133"/>
      <c r="G28" s="105"/>
      <c r="H28" s="105"/>
      <c r="I28" s="671"/>
      <c r="J28" s="671"/>
      <c r="K28" s="3" t="str">
        <f>IF(L28=0,"",(INDEX(AccountCodes[ACCOUNT NAME],MATCH(L28,AccountCodes[NGAS CODE],0))))</f>
        <v/>
      </c>
      <c r="L28" s="799"/>
      <c r="M28" s="513"/>
      <c r="N28" s="513"/>
      <c r="O28" s="4"/>
      <c r="P28" s="150">
        <f t="shared" si="3"/>
        <v>50693</v>
      </c>
    </row>
    <row r="29" spans="1:16" x14ac:dyDescent="0.25">
      <c r="A29" s="541"/>
      <c r="B29" s="716"/>
      <c r="C29" s="834"/>
      <c r="D29" s="105"/>
      <c r="E29" s="182"/>
      <c r="F29" s="133"/>
      <c r="G29" s="105"/>
      <c r="H29" s="105"/>
      <c r="I29" s="267"/>
      <c r="J29" s="687"/>
      <c r="K29" s="3" t="str">
        <f>IF(L29=0,"",(INDEX(AccountCodes[ACCOUNT NAME],MATCH(L29,AccountCodes[NGAS CODE],0))))</f>
        <v/>
      </c>
      <c r="L29" s="133"/>
      <c r="M29" s="500"/>
      <c r="N29" s="500"/>
      <c r="O29" s="4"/>
      <c r="P29" s="150">
        <f t="shared" si="3"/>
        <v>50693</v>
      </c>
    </row>
    <row r="30" spans="1:16" x14ac:dyDescent="0.25">
      <c r="A30" s="541"/>
      <c r="B30" s="716"/>
      <c r="C30" s="834"/>
      <c r="D30" s="105"/>
      <c r="E30" s="182"/>
      <c r="F30" s="133"/>
      <c r="G30" s="105"/>
      <c r="H30" s="105"/>
      <c r="I30" s="267"/>
      <c r="J30" s="687"/>
      <c r="K30" s="3" t="str">
        <f>IF(L30=0,"",(INDEX(AccountCodes[ACCOUNT NAME],MATCH(L30,AccountCodes[NGAS CODE],0))))</f>
        <v/>
      </c>
      <c r="L30" s="133"/>
      <c r="M30" s="500"/>
      <c r="N30" s="500"/>
      <c r="O30" s="4"/>
      <c r="P30" s="150">
        <f t="shared" si="3"/>
        <v>50693</v>
      </c>
    </row>
    <row r="31" spans="1:16" ht="18.75" x14ac:dyDescent="0.25">
      <c r="A31" s="536"/>
      <c r="B31" s="791"/>
      <c r="C31" s="834"/>
      <c r="D31" s="105"/>
      <c r="E31" s="182"/>
      <c r="F31" s="133"/>
      <c r="G31" s="105"/>
      <c r="H31" s="105"/>
      <c r="I31" s="788"/>
      <c r="J31" s="789"/>
      <c r="K31" s="3" t="str">
        <f>IF(L31=0,"",(INDEX(AccountCodes[ACCOUNT NAME],MATCH(L31,AccountCodes[NGAS CODE],0))))</f>
        <v/>
      </c>
      <c r="L31" s="805"/>
      <c r="M31" s="806"/>
      <c r="N31" s="806"/>
      <c r="O31" s="4"/>
      <c r="P31" s="150">
        <f t="shared" si="3"/>
        <v>50693</v>
      </c>
    </row>
    <row r="32" spans="1:16" ht="18.75" x14ac:dyDescent="0.25">
      <c r="A32" s="536"/>
      <c r="B32" s="791"/>
      <c r="C32" s="834"/>
      <c r="D32" s="105"/>
      <c r="E32" s="182"/>
      <c r="F32" s="133"/>
      <c r="G32" s="105"/>
      <c r="H32" s="105"/>
      <c r="I32" s="788"/>
      <c r="J32" s="789"/>
      <c r="K32" s="3" t="str">
        <f>IF(L32=0,"",(INDEX(AccountCodes[ACCOUNT NAME],MATCH(L32,AccountCodes[NGAS CODE],0))))</f>
        <v/>
      </c>
      <c r="L32" s="805"/>
      <c r="M32" s="806"/>
      <c r="N32" s="806"/>
      <c r="O32" s="4"/>
      <c r="P32" s="150">
        <f t="shared" si="3"/>
        <v>50693</v>
      </c>
    </row>
    <row r="33" spans="1:16" ht="18.75" x14ac:dyDescent="0.25">
      <c r="A33" s="536"/>
      <c r="B33" s="791"/>
      <c r="C33" s="834"/>
      <c r="D33" s="105"/>
      <c r="E33" s="182"/>
      <c r="F33" s="133"/>
      <c r="G33" s="105"/>
      <c r="H33" s="105"/>
      <c r="I33" s="788"/>
      <c r="J33" s="789"/>
      <c r="K33" s="3" t="str">
        <f>IF(L33=0,"",(INDEX(AccountCodes[ACCOUNT NAME],MATCH(L33,AccountCodes[NGAS CODE],0))))</f>
        <v/>
      </c>
      <c r="L33" s="805"/>
      <c r="M33" s="806"/>
      <c r="N33" s="806"/>
      <c r="O33" s="4"/>
      <c r="P33" s="150">
        <f t="shared" si="3"/>
        <v>50693</v>
      </c>
    </row>
    <row r="34" spans="1:16" ht="18.75" x14ac:dyDescent="0.25">
      <c r="A34" s="536"/>
      <c r="B34" s="791"/>
      <c r="C34" s="834"/>
      <c r="D34" s="105"/>
      <c r="E34" s="182"/>
      <c r="F34" s="133"/>
      <c r="G34" s="105"/>
      <c r="H34" s="105"/>
      <c r="I34" s="788"/>
      <c r="J34" s="789"/>
      <c r="K34" s="3" t="str">
        <f>IF(L34=0,"",(INDEX(AccountCodes[ACCOUNT NAME],MATCH(L34,AccountCodes[NGAS CODE],0))))</f>
        <v/>
      </c>
      <c r="L34" s="805"/>
      <c r="M34" s="806"/>
      <c r="N34" s="806"/>
      <c r="O34" s="4"/>
      <c r="P34" s="150">
        <f t="shared" si="3"/>
        <v>50693</v>
      </c>
    </row>
    <row r="35" spans="1:16" ht="18.75" x14ac:dyDescent="0.25">
      <c r="A35" s="536"/>
      <c r="B35" s="791"/>
      <c r="C35" s="834"/>
      <c r="D35" s="105"/>
      <c r="E35" s="182"/>
      <c r="F35" s="133"/>
      <c r="G35" s="105"/>
      <c r="H35" s="105"/>
      <c r="I35" s="788"/>
      <c r="J35" s="789"/>
      <c r="K35" s="3" t="str">
        <f>IF(L35=0,"",(INDEX(AccountCodes[ACCOUNT NAME],MATCH(L35,AccountCodes[NGAS CODE],0))))</f>
        <v/>
      </c>
      <c r="L35" s="805"/>
      <c r="M35" s="806"/>
      <c r="N35" s="806"/>
      <c r="O35" s="4"/>
      <c r="P35" s="150">
        <f t="shared" si="3"/>
        <v>50693</v>
      </c>
    </row>
    <row r="36" spans="1:16" ht="18.75" x14ac:dyDescent="0.25">
      <c r="A36" s="536"/>
      <c r="B36" s="791"/>
      <c r="C36" s="834"/>
      <c r="D36" s="105"/>
      <c r="E36" s="182"/>
      <c r="F36" s="133"/>
      <c r="G36" s="105"/>
      <c r="H36" s="105"/>
      <c r="I36" s="788"/>
      <c r="J36" s="789"/>
      <c r="K36" s="3" t="str">
        <f>IF(L36=0,"",(INDEX(AccountCodes[ACCOUNT NAME],MATCH(L36,AccountCodes[NGAS CODE],0))))</f>
        <v/>
      </c>
      <c r="L36" s="805"/>
      <c r="M36" s="806"/>
      <c r="N36" s="806"/>
      <c r="O36" s="4"/>
      <c r="P36" s="150">
        <f>P35+M36-N36</f>
        <v>50693</v>
      </c>
    </row>
    <row r="37" spans="1:16" ht="18.75" x14ac:dyDescent="0.25">
      <c r="A37" s="536"/>
      <c r="B37" s="791"/>
      <c r="C37" s="834"/>
      <c r="D37" s="105"/>
      <c r="E37" s="182"/>
      <c r="F37" s="133"/>
      <c r="G37" s="105"/>
      <c r="H37" s="105"/>
      <c r="I37" s="788"/>
      <c r="J37" s="789"/>
      <c r="K37" s="3" t="str">
        <f>IF(L37=0,"",(INDEX(AccountCodes[ACCOUNT NAME],MATCH(L37,AccountCodes[NGAS CODE],0))))</f>
        <v/>
      </c>
      <c r="L37" s="805"/>
      <c r="M37" s="806"/>
      <c r="N37" s="806"/>
      <c r="O37" s="4"/>
      <c r="P37" s="150">
        <f t="shared" si="3"/>
        <v>50693</v>
      </c>
    </row>
    <row r="38" spans="1:16" ht="18.75" x14ac:dyDescent="0.25">
      <c r="A38" s="536"/>
      <c r="B38" s="791"/>
      <c r="C38" s="834"/>
      <c r="D38" s="105"/>
      <c r="E38" s="182"/>
      <c r="F38" s="133"/>
      <c r="G38" s="105"/>
      <c r="H38" s="105"/>
      <c r="I38" s="790"/>
      <c r="J38" s="789"/>
      <c r="K38" s="3" t="str">
        <f>IF(L38=0,"",(INDEX(AccountCodes[ACCOUNT NAME],MATCH(L38,AccountCodes[NGAS CODE],0))))</f>
        <v/>
      </c>
      <c r="L38" s="808"/>
      <c r="M38" s="809"/>
      <c r="N38" s="809"/>
      <c r="O38" s="4"/>
      <c r="P38" s="150">
        <f t="shared" si="3"/>
        <v>50693</v>
      </c>
    </row>
    <row r="39" spans="1:16" ht="18.75" x14ac:dyDescent="0.25">
      <c r="A39" s="537"/>
      <c r="B39" s="791"/>
      <c r="C39" s="834"/>
      <c r="D39" s="105"/>
      <c r="E39" s="182"/>
      <c r="F39" s="133"/>
      <c r="G39" s="105"/>
      <c r="H39" s="105"/>
      <c r="I39" s="788"/>
      <c r="J39" s="789"/>
      <c r="K39" s="3" t="str">
        <f>IF(L39=0,"",(INDEX(AccountCodes[ACCOUNT NAME],MATCH(L39,AccountCodes[NGAS CODE],0))))</f>
        <v/>
      </c>
      <c r="L39" s="805"/>
      <c r="M39" s="806"/>
      <c r="N39" s="806"/>
      <c r="O39" s="810"/>
      <c r="P39" s="150">
        <f t="shared" si="3"/>
        <v>50693</v>
      </c>
    </row>
    <row r="40" spans="1:16" ht="18.75" x14ac:dyDescent="0.25">
      <c r="A40" s="537"/>
      <c r="B40" s="791"/>
      <c r="C40" s="834"/>
      <c r="D40" s="105"/>
      <c r="E40" s="182"/>
      <c r="F40" s="133"/>
      <c r="G40" s="105"/>
      <c r="H40" s="105"/>
      <c r="I40" s="788"/>
      <c r="J40" s="789"/>
      <c r="K40" s="3" t="str">
        <f>IF(L40=0,"",(INDEX(AccountCodes[ACCOUNT NAME],MATCH(L40,AccountCodes[NGAS CODE],0))))</f>
        <v/>
      </c>
      <c r="L40" s="805"/>
      <c r="M40" s="806"/>
      <c r="N40" s="806"/>
      <c r="O40" s="810"/>
      <c r="P40" s="150">
        <f t="shared" si="3"/>
        <v>50693</v>
      </c>
    </row>
    <row r="41" spans="1:16" ht="18.75" x14ac:dyDescent="0.25">
      <c r="A41" s="537"/>
      <c r="B41" s="791"/>
      <c r="C41" s="834"/>
      <c r="D41" s="105"/>
      <c r="E41" s="182"/>
      <c r="F41" s="133"/>
      <c r="G41" s="105"/>
      <c r="H41" s="105"/>
      <c r="I41" s="788"/>
      <c r="J41" s="789"/>
      <c r="K41" s="3" t="str">
        <f>IF(L41=0,"",(INDEX(AccountCodes[ACCOUNT NAME],MATCH(L41,AccountCodes[NGAS CODE],0))))</f>
        <v/>
      </c>
      <c r="L41" s="805"/>
      <c r="M41" s="806"/>
      <c r="N41" s="806"/>
      <c r="O41" s="810"/>
      <c r="P41" s="150">
        <f t="shared" si="3"/>
        <v>50693</v>
      </c>
    </row>
    <row r="42" spans="1:16" ht="18.75" x14ac:dyDescent="0.25">
      <c r="A42" s="537"/>
      <c r="B42" s="791"/>
      <c r="C42" s="686"/>
      <c r="D42" s="105"/>
      <c r="E42" s="182"/>
      <c r="F42" s="133"/>
      <c r="G42" s="151"/>
      <c r="H42" s="151"/>
      <c r="I42" s="788"/>
      <c r="J42" s="789"/>
      <c r="K42" s="148" t="str">
        <f>IF(L42=0,"",(INDEX(AccountCodes[ACCOUNT NAME],MATCH(L42,AccountCodes[NGAS CODE],0))))</f>
        <v/>
      </c>
      <c r="L42" s="805"/>
      <c r="M42" s="806"/>
      <c r="N42" s="806"/>
      <c r="O42" s="810"/>
      <c r="P42" s="152">
        <f t="shared" si="3"/>
        <v>50693</v>
      </c>
    </row>
    <row r="43" spans="1:16" ht="18.75" x14ac:dyDescent="0.25">
      <c r="A43" s="537"/>
      <c r="B43" s="791"/>
      <c r="C43" s="686"/>
      <c r="D43" s="105"/>
      <c r="E43" s="182"/>
      <c r="F43" s="133"/>
      <c r="G43" s="151"/>
      <c r="H43" s="151"/>
      <c r="I43" s="788"/>
      <c r="J43" s="789"/>
      <c r="K43" s="148" t="str">
        <f>IF(L43=0,"",(INDEX(AccountCodes[ACCOUNT NAME],MATCH(L43,AccountCodes[NGAS CODE],0))))</f>
        <v/>
      </c>
      <c r="L43" s="805"/>
      <c r="M43" s="806"/>
      <c r="N43" s="806"/>
      <c r="O43" s="810"/>
      <c r="P43" s="152">
        <f t="shared" ref="P43:P49" si="4">P42+M43-N43</f>
        <v>50693</v>
      </c>
    </row>
    <row r="44" spans="1:16" ht="18.75" x14ac:dyDescent="0.25">
      <c r="A44" s="537"/>
      <c r="B44" s="791"/>
      <c r="C44" s="686"/>
      <c r="D44" s="105"/>
      <c r="E44" s="182"/>
      <c r="F44" s="133"/>
      <c r="G44" s="151"/>
      <c r="H44" s="151"/>
      <c r="I44" s="788"/>
      <c r="J44" s="789"/>
      <c r="K44" s="148" t="str">
        <f>IF(L44=0,"",(INDEX(AccountCodes[ACCOUNT NAME],MATCH(L44,AccountCodes[NGAS CODE],0))))</f>
        <v/>
      </c>
      <c r="L44" s="805"/>
      <c r="M44" s="806"/>
      <c r="N44" s="806"/>
      <c r="O44" s="810"/>
      <c r="P44" s="152">
        <f t="shared" si="4"/>
        <v>50693</v>
      </c>
    </row>
    <row r="45" spans="1:16" ht="18.75" x14ac:dyDescent="0.25">
      <c r="A45" s="537"/>
      <c r="B45" s="791"/>
      <c r="C45" s="686"/>
      <c r="D45" s="105"/>
      <c r="E45" s="182"/>
      <c r="F45" s="133"/>
      <c r="G45" s="151"/>
      <c r="H45" s="151"/>
      <c r="I45" s="788"/>
      <c r="J45" s="789"/>
      <c r="K45" s="148" t="str">
        <f>IF(L45=0,"",(INDEX(AccountCodes[ACCOUNT NAME],MATCH(L45,AccountCodes[NGAS CODE],0))))</f>
        <v/>
      </c>
      <c r="L45" s="805"/>
      <c r="M45" s="806"/>
      <c r="N45" s="806"/>
      <c r="O45" s="810"/>
      <c r="P45" s="152">
        <f t="shared" si="4"/>
        <v>50693</v>
      </c>
    </row>
    <row r="46" spans="1:16" ht="18.75" x14ac:dyDescent="0.25">
      <c r="A46" s="537"/>
      <c r="B46" s="791"/>
      <c r="C46" s="105"/>
      <c r="D46" s="105"/>
      <c r="E46" s="182"/>
      <c r="F46" s="151"/>
      <c r="G46" s="151"/>
      <c r="H46" s="151"/>
      <c r="I46" s="790"/>
      <c r="J46" s="789"/>
      <c r="K46" s="148" t="str">
        <f>IF(L46=0,"",(INDEX(AccountCodes[ACCOUNT NAME],MATCH(L46,AccountCodes[NGAS CODE],0))))</f>
        <v/>
      </c>
      <c r="L46" s="808"/>
      <c r="M46" s="809"/>
      <c r="N46" s="809"/>
      <c r="O46" s="810"/>
      <c r="P46" s="152">
        <f t="shared" si="4"/>
        <v>50693</v>
      </c>
    </row>
    <row r="47" spans="1:16" ht="18.75" x14ac:dyDescent="0.25">
      <c r="A47" s="537"/>
      <c r="B47" s="791"/>
      <c r="C47" s="105"/>
      <c r="D47" s="105"/>
      <c r="E47" s="147"/>
      <c r="F47" s="151"/>
      <c r="G47" s="151"/>
      <c r="H47" s="151"/>
      <c r="I47" s="788"/>
      <c r="J47" s="789"/>
      <c r="K47" s="148" t="str">
        <f>IF(L47=0,"",(INDEX(AccountCodes[ACCOUNT NAME],MATCH(L47,AccountCodes[NGAS CODE],0))))</f>
        <v/>
      </c>
      <c r="L47" s="805"/>
      <c r="M47" s="806"/>
      <c r="N47" s="806"/>
      <c r="O47" s="810"/>
      <c r="P47" s="152">
        <f t="shared" si="4"/>
        <v>50693</v>
      </c>
    </row>
    <row r="48" spans="1:16" ht="18.75" x14ac:dyDescent="0.25">
      <c r="A48" s="537"/>
      <c r="B48" s="791"/>
      <c r="C48" s="105"/>
      <c r="D48" s="105"/>
      <c r="E48" s="147"/>
      <c r="F48" s="151"/>
      <c r="G48" s="151"/>
      <c r="H48" s="151"/>
      <c r="I48" s="788"/>
      <c r="J48" s="789"/>
      <c r="K48" s="148" t="str">
        <f>IF(L48=0,"",(INDEX(AccountCodes[ACCOUNT NAME],MATCH(L48,AccountCodes[NGAS CODE],0))))</f>
        <v/>
      </c>
      <c r="L48" s="805"/>
      <c r="M48" s="806"/>
      <c r="N48" s="806"/>
      <c r="O48" s="810"/>
      <c r="P48" s="152">
        <f t="shared" si="4"/>
        <v>50693</v>
      </c>
    </row>
    <row r="49" spans="1:16" ht="18.75" x14ac:dyDescent="0.25">
      <c r="A49" s="537"/>
      <c r="B49" s="791"/>
      <c r="C49" s="105"/>
      <c r="D49" s="105"/>
      <c r="E49" s="147"/>
      <c r="F49" s="151"/>
      <c r="G49" s="151"/>
      <c r="H49" s="151"/>
      <c r="I49" s="788"/>
      <c r="J49" s="789"/>
      <c r="K49" s="148" t="str">
        <f>IF(L49=0,"",(INDEX(AccountCodes[ACCOUNT NAME],MATCH(L49,AccountCodes[NGAS CODE],0))))</f>
        <v/>
      </c>
      <c r="L49" s="805"/>
      <c r="M49" s="806"/>
      <c r="N49" s="806"/>
      <c r="O49" s="810"/>
      <c r="P49" s="152">
        <f t="shared" si="4"/>
        <v>50693</v>
      </c>
    </row>
    <row r="50" spans="1:16" ht="18.75" x14ac:dyDescent="0.25">
      <c r="A50" s="537"/>
      <c r="B50" s="791"/>
      <c r="C50" s="105"/>
      <c r="D50" s="105"/>
      <c r="E50" s="147"/>
      <c r="F50" s="499"/>
      <c r="G50" s="499"/>
      <c r="H50" s="499"/>
      <c r="I50" s="788"/>
      <c r="J50" s="789"/>
      <c r="K50" s="496" t="str">
        <f>IF(L50=0,"",(INDEX(AccountCodes[ACCOUNT NAME],MATCH(L50,AccountCodes[NGAS CODE],0))))</f>
        <v/>
      </c>
      <c r="L50" s="805"/>
      <c r="M50" s="806"/>
      <c r="N50" s="806"/>
      <c r="O50" s="810"/>
      <c r="P50" s="715">
        <f t="shared" ref="P50:P58" si="5">P49+M50-N50</f>
        <v>50693</v>
      </c>
    </row>
    <row r="51" spans="1:16" ht="18.75" x14ac:dyDescent="0.25">
      <c r="A51" s="537"/>
      <c r="B51" s="791"/>
      <c r="C51" s="105"/>
      <c r="D51" s="105"/>
      <c r="E51" s="147"/>
      <c r="F51" s="499"/>
      <c r="G51" s="499"/>
      <c r="H51" s="499"/>
      <c r="I51" s="788"/>
      <c r="J51" s="789"/>
      <c r="K51" s="496" t="str">
        <f>IF(L51=0,"",(INDEX(AccountCodes[ACCOUNT NAME],MATCH(L51,AccountCodes[NGAS CODE],0))))</f>
        <v/>
      </c>
      <c r="L51" s="805"/>
      <c r="M51" s="806"/>
      <c r="N51" s="806"/>
      <c r="O51" s="810"/>
      <c r="P51" s="715">
        <f t="shared" si="5"/>
        <v>50693</v>
      </c>
    </row>
    <row r="52" spans="1:16" ht="18.75" x14ac:dyDescent="0.25">
      <c r="A52" s="537"/>
      <c r="B52" s="791"/>
      <c r="C52" s="105"/>
      <c r="D52" s="105"/>
      <c r="E52" s="147"/>
      <c r="F52" s="499"/>
      <c r="G52" s="499"/>
      <c r="H52" s="499"/>
      <c r="I52" s="788"/>
      <c r="J52" s="789"/>
      <c r="K52" s="496" t="str">
        <f>IF(L52=0,"",(INDEX(AccountCodes[ACCOUNT NAME],MATCH(L52,AccountCodes[NGAS CODE],0))))</f>
        <v/>
      </c>
      <c r="L52" s="805"/>
      <c r="M52" s="806"/>
      <c r="N52" s="806"/>
      <c r="O52" s="810"/>
      <c r="P52" s="715">
        <f t="shared" si="5"/>
        <v>50693</v>
      </c>
    </row>
    <row r="53" spans="1:16" ht="18.75" x14ac:dyDescent="0.25">
      <c r="A53" s="537"/>
      <c r="B53" s="791"/>
      <c r="C53" s="105"/>
      <c r="D53" s="105"/>
      <c r="E53" s="147"/>
      <c r="F53" s="499"/>
      <c r="G53" s="499"/>
      <c r="H53" s="499"/>
      <c r="I53" s="788"/>
      <c r="J53" s="789"/>
      <c r="K53" s="496" t="str">
        <f>IF(L53=0,"",(INDEX(AccountCodes[ACCOUNT NAME],MATCH(L53,AccountCodes[NGAS CODE],0))))</f>
        <v/>
      </c>
      <c r="L53" s="805"/>
      <c r="M53" s="806"/>
      <c r="N53" s="806"/>
      <c r="O53" s="810"/>
      <c r="P53" s="715">
        <f t="shared" si="5"/>
        <v>50693</v>
      </c>
    </row>
    <row r="54" spans="1:16" ht="18.75" x14ac:dyDescent="0.25">
      <c r="A54" s="537"/>
      <c r="B54" s="791"/>
      <c r="C54" s="105"/>
      <c r="D54" s="105"/>
      <c r="E54" s="147"/>
      <c r="F54" s="499"/>
      <c r="G54" s="499"/>
      <c r="H54" s="499"/>
      <c r="I54" s="790"/>
      <c r="J54" s="789"/>
      <c r="K54" s="496" t="str">
        <f>IF(L54=0,"",(INDEX(AccountCodes[ACCOUNT NAME],MATCH(L54,AccountCodes[NGAS CODE],0))))</f>
        <v/>
      </c>
      <c r="L54" s="808"/>
      <c r="M54" s="809"/>
      <c r="N54" s="809"/>
      <c r="O54" s="810"/>
      <c r="P54" s="715">
        <f t="shared" si="5"/>
        <v>50693</v>
      </c>
    </row>
    <row r="55" spans="1:16" ht="18.75" x14ac:dyDescent="0.25">
      <c r="A55" s="537"/>
      <c r="B55" s="791"/>
      <c r="C55" s="105"/>
      <c r="D55" s="105"/>
      <c r="E55" s="147"/>
      <c r="F55" s="499"/>
      <c r="G55" s="499"/>
      <c r="H55" s="499"/>
      <c r="I55" s="788"/>
      <c r="J55" s="789"/>
      <c r="K55" s="496" t="str">
        <f>IF(L55=0,"",(INDEX(AccountCodes[ACCOUNT NAME],MATCH(L55,AccountCodes[NGAS CODE],0))))</f>
        <v/>
      </c>
      <c r="L55" s="805"/>
      <c r="M55" s="810"/>
      <c r="N55" s="810"/>
      <c r="O55" s="810"/>
      <c r="P55" s="715">
        <f t="shared" si="5"/>
        <v>50693</v>
      </c>
    </row>
    <row r="56" spans="1:16" ht="18.75" x14ac:dyDescent="0.25">
      <c r="A56" s="537"/>
      <c r="B56" s="791"/>
      <c r="C56" s="105"/>
      <c r="D56" s="105"/>
      <c r="E56" s="147"/>
      <c r="F56" s="499"/>
      <c r="G56" s="499"/>
      <c r="H56" s="499"/>
      <c r="I56" s="788"/>
      <c r="J56" s="789"/>
      <c r="K56" s="496" t="str">
        <f>IF(L56=0,"",(INDEX(AccountCodes[ACCOUNT NAME],MATCH(L56,AccountCodes[NGAS CODE],0))))</f>
        <v/>
      </c>
      <c r="L56" s="805"/>
      <c r="M56" s="810"/>
      <c r="N56" s="810"/>
      <c r="O56" s="810"/>
      <c r="P56" s="715">
        <f t="shared" si="5"/>
        <v>50693</v>
      </c>
    </row>
    <row r="57" spans="1:16" ht="18.75" x14ac:dyDescent="0.25">
      <c r="A57" s="537"/>
      <c r="B57" s="791"/>
      <c r="C57" s="792"/>
      <c r="D57" s="792"/>
      <c r="E57" s="147"/>
      <c r="F57" s="499"/>
      <c r="G57" s="499"/>
      <c r="H57" s="499"/>
      <c r="I57" s="788"/>
      <c r="J57" s="846"/>
      <c r="K57" s="496" t="str">
        <f>IF(L57=0,"",(INDEX(AccountCodes[ACCOUNT NAME],MATCH(L57,AccountCodes[NGAS CODE],0))))</f>
        <v/>
      </c>
      <c r="L57" s="805"/>
      <c r="M57" s="806"/>
      <c r="N57" s="806"/>
      <c r="O57" s="810"/>
      <c r="P57" s="715">
        <f t="shared" si="5"/>
        <v>50693</v>
      </c>
    </row>
    <row r="58" spans="1:16" ht="18.75" x14ac:dyDescent="0.25">
      <c r="A58" s="537"/>
      <c r="B58" s="791"/>
      <c r="C58" s="792"/>
      <c r="D58" s="792"/>
      <c r="E58" s="847"/>
      <c r="F58" s="499"/>
      <c r="G58" s="499"/>
      <c r="H58" s="499"/>
      <c r="I58" s="788"/>
      <c r="J58" s="846"/>
      <c r="K58" s="496" t="str">
        <f>IF(L58=0,"",(INDEX(AccountCodes[ACCOUNT NAME],MATCH(L58,AccountCodes[NGAS CODE],0))))</f>
        <v/>
      </c>
      <c r="L58" s="805"/>
      <c r="M58" s="806"/>
      <c r="N58" s="806"/>
      <c r="O58" s="810"/>
      <c r="P58" s="715">
        <f t="shared" si="5"/>
        <v>50693</v>
      </c>
    </row>
    <row r="59" spans="1:16" ht="18.75" x14ac:dyDescent="0.25">
      <c r="A59" s="537"/>
      <c r="B59" s="791"/>
      <c r="C59" s="792"/>
      <c r="D59" s="792"/>
      <c r="E59" s="847"/>
      <c r="F59" s="105"/>
      <c r="G59" s="105"/>
      <c r="H59" s="105"/>
      <c r="I59" s="788"/>
      <c r="J59" s="846"/>
      <c r="K59" s="3" t="str">
        <f>IF(L59=0,"",(INDEX(AccountCodes[ACCOUNT NAME],MATCH(L59,AccountCodes[NGAS CODE],0))))</f>
        <v/>
      </c>
      <c r="L59" s="845"/>
      <c r="M59" s="806"/>
      <c r="N59" s="806"/>
      <c r="O59" s="810"/>
      <c r="P59" s="150">
        <f t="shared" ref="P59:P84" si="6">P58+M59-N59</f>
        <v>50693</v>
      </c>
    </row>
    <row r="60" spans="1:16" ht="18.75" x14ac:dyDescent="0.25">
      <c r="A60" s="537"/>
      <c r="B60" s="791"/>
      <c r="C60" s="792"/>
      <c r="D60" s="792"/>
      <c r="E60" s="847"/>
      <c r="F60" s="105"/>
      <c r="G60" s="105"/>
      <c r="H60" s="105"/>
      <c r="I60" s="788"/>
      <c r="J60" s="846"/>
      <c r="K60" s="3" t="str">
        <f>IF(L60=0,"",(INDEX(AccountCodes[ACCOUNT NAME],MATCH(L60,AccountCodes[NGAS CODE],0))))</f>
        <v/>
      </c>
      <c r="L60" s="805"/>
      <c r="M60" s="806"/>
      <c r="N60" s="806"/>
      <c r="O60" s="810"/>
      <c r="P60" s="150">
        <f t="shared" si="6"/>
        <v>50693</v>
      </c>
    </row>
    <row r="61" spans="1:16" ht="18.75" x14ac:dyDescent="0.25">
      <c r="A61" s="537"/>
      <c r="B61" s="791"/>
      <c r="C61" s="792"/>
      <c r="D61" s="792"/>
      <c r="E61" s="847"/>
      <c r="F61" s="105"/>
      <c r="G61" s="105"/>
      <c r="H61" s="105"/>
      <c r="I61" s="788"/>
      <c r="J61" s="846"/>
      <c r="K61" s="3" t="str">
        <f>IF(L61=0,"",(INDEX(AccountCodes[ACCOUNT NAME],MATCH(L61,AccountCodes[NGAS CODE],0))))</f>
        <v/>
      </c>
      <c r="L61" s="805"/>
      <c r="M61" s="806"/>
      <c r="N61" s="806"/>
      <c r="O61" s="810"/>
      <c r="P61" s="150">
        <f t="shared" si="6"/>
        <v>50693</v>
      </c>
    </row>
    <row r="62" spans="1:16" ht="18.75" x14ac:dyDescent="0.25">
      <c r="A62" s="537"/>
      <c r="B62" s="791"/>
      <c r="C62" s="792"/>
      <c r="D62" s="792"/>
      <c r="E62" s="847"/>
      <c r="F62" s="105"/>
      <c r="G62" s="105"/>
      <c r="H62" s="105"/>
      <c r="I62" s="788"/>
      <c r="J62" s="846"/>
      <c r="K62" s="3" t="str">
        <f>IF(L62=0,"",(INDEX(AccountCodes[ACCOUNT NAME],MATCH(L62,AccountCodes[NGAS CODE],0))))</f>
        <v/>
      </c>
      <c r="L62" s="805"/>
      <c r="M62" s="806"/>
      <c r="N62" s="806"/>
      <c r="O62" s="810"/>
      <c r="P62" s="150">
        <f t="shared" si="6"/>
        <v>50693</v>
      </c>
    </row>
    <row r="63" spans="1:16" ht="18.75" x14ac:dyDescent="0.25">
      <c r="A63" s="537"/>
      <c r="B63" s="791"/>
      <c r="C63" s="792"/>
      <c r="D63" s="792"/>
      <c r="E63" s="847"/>
      <c r="F63" s="105"/>
      <c r="G63" s="105"/>
      <c r="H63" s="105"/>
      <c r="I63" s="788"/>
      <c r="J63" s="846"/>
      <c r="K63" s="3" t="str">
        <f>IF(L63=0,"",(INDEX(AccountCodes[ACCOUNT NAME],MATCH(L63,AccountCodes[NGAS CODE],0))))</f>
        <v/>
      </c>
      <c r="L63" s="805"/>
      <c r="M63" s="806"/>
      <c r="N63" s="806"/>
      <c r="O63" s="810"/>
      <c r="P63" s="150">
        <f t="shared" si="6"/>
        <v>50693</v>
      </c>
    </row>
    <row r="64" spans="1:16" ht="18.75" x14ac:dyDescent="0.25">
      <c r="A64" s="537"/>
      <c r="B64" s="791"/>
      <c r="C64" s="792"/>
      <c r="D64" s="792"/>
      <c r="E64" s="847"/>
      <c r="F64" s="105"/>
      <c r="G64" s="105"/>
      <c r="H64" s="105"/>
      <c r="I64" s="790"/>
      <c r="J64" s="846"/>
      <c r="K64" s="3" t="str">
        <f>IF(L64=0,"",(INDEX(AccountCodes[ACCOUNT NAME],MATCH(L64,AccountCodes[NGAS CODE],0))))</f>
        <v/>
      </c>
      <c r="L64" s="808"/>
      <c r="M64" s="809"/>
      <c r="N64" s="809"/>
      <c r="O64" s="810"/>
      <c r="P64" s="150">
        <f t="shared" si="6"/>
        <v>50693</v>
      </c>
    </row>
    <row r="65" spans="1:16" ht="18.75" x14ac:dyDescent="0.25">
      <c r="A65" s="537"/>
      <c r="B65" s="791"/>
      <c r="C65" s="792"/>
      <c r="D65" s="792"/>
      <c r="E65" s="847"/>
      <c r="F65" s="105"/>
      <c r="G65" s="105"/>
      <c r="H65" s="105"/>
      <c r="I65" s="788"/>
      <c r="J65" s="846"/>
      <c r="K65" s="3" t="str">
        <f>IF(L65=0,"",(INDEX(AccountCodes[ACCOUNT NAME],MATCH(L65,AccountCodes[NGAS CODE],0))))</f>
        <v/>
      </c>
      <c r="L65" s="805"/>
      <c r="M65" s="806"/>
      <c r="N65" s="806"/>
      <c r="O65" s="810"/>
      <c r="P65" s="150">
        <f t="shared" si="6"/>
        <v>50693</v>
      </c>
    </row>
    <row r="66" spans="1:16" ht="18.75" x14ac:dyDescent="0.25">
      <c r="A66" s="537"/>
      <c r="B66" s="791"/>
      <c r="C66" s="792"/>
      <c r="D66" s="792"/>
      <c r="E66" s="847"/>
      <c r="F66" s="105"/>
      <c r="G66" s="105"/>
      <c r="H66" s="105"/>
      <c r="I66" s="788"/>
      <c r="J66" s="846"/>
      <c r="K66" s="3" t="str">
        <f>IF(L66=0,"",(INDEX(AccountCodes[ACCOUNT NAME],MATCH(L66,AccountCodes[NGAS CODE],0))))</f>
        <v/>
      </c>
      <c r="L66" s="805"/>
      <c r="M66" s="806"/>
      <c r="N66" s="806"/>
      <c r="O66" s="810"/>
      <c r="P66" s="150">
        <f t="shared" si="6"/>
        <v>50693</v>
      </c>
    </row>
    <row r="67" spans="1:16" ht="18.75" x14ac:dyDescent="0.25">
      <c r="A67" s="537"/>
      <c r="B67" s="791"/>
      <c r="C67" s="792"/>
      <c r="D67" s="792"/>
      <c r="E67" s="847"/>
      <c r="F67" s="105"/>
      <c r="G67" s="105"/>
      <c r="H67" s="105"/>
      <c r="I67" s="788"/>
      <c r="J67" s="846"/>
      <c r="K67" s="3" t="str">
        <f>IF(L67=0,"",(INDEX(AccountCodes[ACCOUNT NAME],MATCH(L67,AccountCodes[NGAS CODE],0))))</f>
        <v/>
      </c>
      <c r="L67" s="805"/>
      <c r="M67" s="806"/>
      <c r="N67" s="806"/>
      <c r="O67" s="810"/>
      <c r="P67" s="150">
        <f t="shared" si="6"/>
        <v>50693</v>
      </c>
    </row>
    <row r="68" spans="1:16" ht="18.75" x14ac:dyDescent="0.25">
      <c r="A68" s="537"/>
      <c r="B68" s="791"/>
      <c r="C68" s="792"/>
      <c r="D68" s="792"/>
      <c r="E68" s="847"/>
      <c r="F68" s="105"/>
      <c r="G68" s="105"/>
      <c r="H68" s="105"/>
      <c r="I68" s="788"/>
      <c r="J68" s="846"/>
      <c r="K68" s="3" t="str">
        <f>IF(L68=0,"",(INDEX(AccountCodes[ACCOUNT NAME],MATCH(L68,AccountCodes[NGAS CODE],0))))</f>
        <v/>
      </c>
      <c r="L68" s="805"/>
      <c r="M68" s="806"/>
      <c r="N68" s="806"/>
      <c r="O68" s="810"/>
      <c r="P68" s="150">
        <f t="shared" si="6"/>
        <v>50693</v>
      </c>
    </row>
    <row r="69" spans="1:16" ht="18.75" x14ac:dyDescent="0.25">
      <c r="A69" s="537"/>
      <c r="B69" s="791"/>
      <c r="C69" s="792"/>
      <c r="D69" s="792"/>
      <c r="E69" s="847"/>
      <c r="F69" s="105"/>
      <c r="G69" s="105"/>
      <c r="H69" s="105"/>
      <c r="I69" s="788"/>
      <c r="J69" s="846"/>
      <c r="K69" s="3" t="str">
        <f>IF(L69=0,"",(INDEX(AccountCodes[ACCOUNT NAME],MATCH(L69,AccountCodes[NGAS CODE],0))))</f>
        <v/>
      </c>
      <c r="L69" s="805"/>
      <c r="M69" s="806"/>
      <c r="N69" s="806"/>
      <c r="O69" s="810"/>
      <c r="P69" s="150">
        <f t="shared" si="6"/>
        <v>50693</v>
      </c>
    </row>
    <row r="70" spans="1:16" ht="18.75" x14ac:dyDescent="0.25">
      <c r="A70" s="537"/>
      <c r="B70" s="791"/>
      <c r="C70" s="792"/>
      <c r="D70" s="792"/>
      <c r="E70" s="847"/>
      <c r="F70" s="105"/>
      <c r="G70" s="105"/>
      <c r="H70" s="105"/>
      <c r="I70" s="788"/>
      <c r="J70" s="846"/>
      <c r="K70" s="3" t="str">
        <f>IF(L70=0,"",(INDEX(AccountCodes[ACCOUNT NAME],MATCH(L70,AccountCodes[NGAS CODE],0))))</f>
        <v/>
      </c>
      <c r="L70" s="805"/>
      <c r="M70" s="806"/>
      <c r="N70" s="806"/>
      <c r="O70" s="810"/>
      <c r="P70" s="150">
        <f t="shared" si="6"/>
        <v>50693</v>
      </c>
    </row>
    <row r="71" spans="1:16" ht="18.75" x14ac:dyDescent="0.25">
      <c r="A71" s="537"/>
      <c r="B71" s="791"/>
      <c r="C71" s="792"/>
      <c r="D71" s="792"/>
      <c r="E71" s="847"/>
      <c r="F71" s="105"/>
      <c r="G71" s="105"/>
      <c r="H71" s="105"/>
      <c r="I71" s="788"/>
      <c r="J71" s="846"/>
      <c r="K71" s="3" t="str">
        <f>IF(L71=0,"",(INDEX(AccountCodes[ACCOUNT NAME],MATCH(L71,AccountCodes[NGAS CODE],0))))</f>
        <v/>
      </c>
      <c r="L71" s="805"/>
      <c r="M71" s="806"/>
      <c r="N71" s="806"/>
      <c r="O71" s="810"/>
      <c r="P71" s="150">
        <f t="shared" si="6"/>
        <v>50693</v>
      </c>
    </row>
    <row r="72" spans="1:16" ht="18.75" x14ac:dyDescent="0.25">
      <c r="A72" s="537"/>
      <c r="B72" s="791"/>
      <c r="C72" s="792"/>
      <c r="D72" s="792"/>
      <c r="E72" s="847"/>
      <c r="F72" s="105"/>
      <c r="G72" s="105"/>
      <c r="H72" s="105"/>
      <c r="I72" s="790"/>
      <c r="J72" s="846"/>
      <c r="K72" s="3" t="str">
        <f>IF(L72=0,"",(INDEX(AccountCodes[ACCOUNT NAME],MATCH(L72,AccountCodes[NGAS CODE],0))))</f>
        <v/>
      </c>
      <c r="L72" s="808"/>
      <c r="M72" s="809"/>
      <c r="N72" s="809"/>
      <c r="O72" s="810"/>
      <c r="P72" s="150">
        <f t="shared" si="6"/>
        <v>50693</v>
      </c>
    </row>
    <row r="73" spans="1:16" ht="18.75" x14ac:dyDescent="0.25">
      <c r="A73" s="537"/>
      <c r="B73" s="791"/>
      <c r="C73" s="792"/>
      <c r="D73" s="792"/>
      <c r="E73" s="847"/>
      <c r="F73" s="105"/>
      <c r="G73" s="105"/>
      <c r="H73" s="105"/>
      <c r="I73" s="788"/>
      <c r="J73" s="789"/>
      <c r="K73" s="3" t="str">
        <f>IF(L73=0,"",(INDEX(AccountCodes[ACCOUNT NAME],MATCH(L73,AccountCodes[NGAS CODE],0))))</f>
        <v/>
      </c>
      <c r="L73" s="805"/>
      <c r="M73" s="810"/>
      <c r="N73" s="810"/>
      <c r="O73" s="810"/>
      <c r="P73" s="150">
        <f t="shared" si="6"/>
        <v>50693</v>
      </c>
    </row>
    <row r="74" spans="1:16" ht="18.75" x14ac:dyDescent="0.25">
      <c r="A74" s="537"/>
      <c r="B74" s="791"/>
      <c r="C74" s="792"/>
      <c r="D74" s="792"/>
      <c r="E74" s="847"/>
      <c r="F74" s="105"/>
      <c r="G74" s="105"/>
      <c r="H74" s="105"/>
      <c r="I74" s="790"/>
      <c r="J74" s="846"/>
      <c r="K74" s="3" t="str">
        <f>IF(L74=0,"",(INDEX(AccountCodes[ACCOUNT NAME],MATCH(L74,AccountCodes[NGAS CODE],0))))</f>
        <v/>
      </c>
      <c r="L74" s="808"/>
      <c r="M74" s="810"/>
      <c r="N74" s="810"/>
      <c r="O74" s="810"/>
      <c r="P74" s="150">
        <f t="shared" si="6"/>
        <v>50693</v>
      </c>
    </row>
    <row r="75" spans="1:16" ht="18.75" x14ac:dyDescent="0.25">
      <c r="A75" s="537"/>
      <c r="B75" s="791"/>
      <c r="C75" s="792"/>
      <c r="D75" s="792"/>
      <c r="E75" s="847"/>
      <c r="F75" s="105"/>
      <c r="G75" s="105"/>
      <c r="H75" s="105"/>
      <c r="I75" s="788"/>
      <c r="J75" s="846"/>
      <c r="K75" s="3" t="str">
        <f>IF(L75=0,"",(INDEX(AccountCodes[ACCOUNT NAME],MATCH(L75,AccountCodes[NGAS CODE],0))))</f>
        <v/>
      </c>
      <c r="L75" s="805"/>
      <c r="M75" s="806"/>
      <c r="N75" s="806"/>
      <c r="O75" s="810"/>
      <c r="P75" s="150">
        <f t="shared" si="6"/>
        <v>50693</v>
      </c>
    </row>
    <row r="76" spans="1:16" ht="18.75" x14ac:dyDescent="0.25">
      <c r="A76" s="537"/>
      <c r="B76" s="791"/>
      <c r="C76" s="792"/>
      <c r="D76" s="792"/>
      <c r="E76" s="847"/>
      <c r="F76" s="105"/>
      <c r="G76" s="105"/>
      <c r="H76" s="105"/>
      <c r="I76" s="788"/>
      <c r="J76" s="846"/>
      <c r="K76" s="3" t="str">
        <f>IF(L76=0,"",(INDEX(AccountCodes[ACCOUNT NAME],MATCH(L76,AccountCodes[NGAS CODE],0))))</f>
        <v/>
      </c>
      <c r="L76" s="805"/>
      <c r="M76" s="806"/>
      <c r="N76" s="806"/>
      <c r="O76" s="810"/>
      <c r="P76" s="150">
        <f t="shared" si="6"/>
        <v>50693</v>
      </c>
    </row>
    <row r="77" spans="1:16" ht="18.75" x14ac:dyDescent="0.25">
      <c r="A77" s="537"/>
      <c r="B77" s="791"/>
      <c r="C77" s="792"/>
      <c r="D77" s="792"/>
      <c r="E77" s="847"/>
      <c r="F77" s="105"/>
      <c r="G77" s="105"/>
      <c r="H77" s="105"/>
      <c r="I77" s="788"/>
      <c r="J77" s="846"/>
      <c r="K77" s="3" t="str">
        <f>IF(L77=0,"",(INDEX(AccountCodes[ACCOUNT NAME],MATCH(L77,AccountCodes[NGAS CODE],0))))</f>
        <v/>
      </c>
      <c r="L77" s="805"/>
      <c r="M77" s="806"/>
      <c r="N77" s="806"/>
      <c r="O77" s="810"/>
      <c r="P77" s="150">
        <f t="shared" si="6"/>
        <v>50693</v>
      </c>
    </row>
    <row r="78" spans="1:16" ht="18.75" x14ac:dyDescent="0.25">
      <c r="A78" s="537"/>
      <c r="B78" s="791"/>
      <c r="C78" s="792"/>
      <c r="D78" s="792"/>
      <c r="E78" s="847"/>
      <c r="F78" s="105"/>
      <c r="G78" s="105"/>
      <c r="H78" s="105"/>
      <c r="I78" s="788"/>
      <c r="J78" s="846"/>
      <c r="K78" s="3" t="str">
        <f>IF(L78=0,"",(INDEX(AccountCodes[ACCOUNT NAME],MATCH(L78,AccountCodes[NGAS CODE],0))))</f>
        <v/>
      </c>
      <c r="L78" s="805"/>
      <c r="M78" s="806"/>
      <c r="N78" s="806"/>
      <c r="O78" s="810"/>
      <c r="P78" s="150">
        <f t="shared" si="6"/>
        <v>50693</v>
      </c>
    </row>
    <row r="79" spans="1:16" ht="18.75" x14ac:dyDescent="0.25">
      <c r="A79" s="537"/>
      <c r="B79" s="791"/>
      <c r="C79" s="792"/>
      <c r="D79" s="792"/>
      <c r="E79" s="847"/>
      <c r="F79" s="105"/>
      <c r="G79" s="105"/>
      <c r="H79" s="105"/>
      <c r="I79" s="788"/>
      <c r="J79" s="846"/>
      <c r="K79" s="3" t="str">
        <f>IF(L79=0,"",(INDEX(AccountCodes[ACCOUNT NAME],MATCH(L79,AccountCodes[NGAS CODE],0))))</f>
        <v/>
      </c>
      <c r="L79" s="805"/>
      <c r="M79" s="806"/>
      <c r="N79" s="806"/>
      <c r="O79" s="810"/>
      <c r="P79" s="150">
        <f t="shared" si="6"/>
        <v>50693</v>
      </c>
    </row>
    <row r="80" spans="1:16" ht="18.75" x14ac:dyDescent="0.25">
      <c r="A80" s="537"/>
      <c r="B80" s="791"/>
      <c r="C80" s="792"/>
      <c r="D80" s="792"/>
      <c r="E80" s="847"/>
      <c r="F80" s="105"/>
      <c r="G80" s="105"/>
      <c r="H80" s="105"/>
      <c r="I80" s="788"/>
      <c r="J80" s="846"/>
      <c r="K80" s="3" t="str">
        <f>IF(L80=0,"",(INDEX(AccountCodes[ACCOUNT NAME],MATCH(L80,AccountCodes[NGAS CODE],0))))</f>
        <v/>
      </c>
      <c r="L80" s="805"/>
      <c r="M80" s="806"/>
      <c r="N80" s="806"/>
      <c r="O80" s="810"/>
      <c r="P80" s="150">
        <f t="shared" si="6"/>
        <v>50693</v>
      </c>
    </row>
    <row r="81" spans="1:16" ht="18.75" x14ac:dyDescent="0.25">
      <c r="A81" s="537"/>
      <c r="B81" s="791"/>
      <c r="C81" s="792"/>
      <c r="D81" s="792"/>
      <c r="E81" s="847"/>
      <c r="F81" s="105"/>
      <c r="G81" s="105"/>
      <c r="H81" s="105"/>
      <c r="I81" s="788"/>
      <c r="J81" s="846"/>
      <c r="K81" s="3" t="str">
        <f>IF(L81=0,"",(INDEX(AccountCodes[ACCOUNT NAME],MATCH(L81,AccountCodes[NGAS CODE],0))))</f>
        <v/>
      </c>
      <c r="L81" s="805"/>
      <c r="M81" s="806"/>
      <c r="N81" s="806"/>
      <c r="O81" s="810"/>
      <c r="P81" s="150">
        <f t="shared" si="6"/>
        <v>50693</v>
      </c>
    </row>
    <row r="82" spans="1:16" ht="18.75" x14ac:dyDescent="0.25">
      <c r="A82" s="537"/>
      <c r="B82" s="791"/>
      <c r="C82" s="792"/>
      <c r="D82" s="792"/>
      <c r="E82" s="847"/>
      <c r="F82" s="105"/>
      <c r="G82" s="105"/>
      <c r="H82" s="105"/>
      <c r="I82" s="790"/>
      <c r="J82" s="846"/>
      <c r="K82" s="3" t="str">
        <f>IF(L82=0,"",(INDEX(AccountCodes[ACCOUNT NAME],MATCH(L82,AccountCodes[NGAS CODE],0))))</f>
        <v/>
      </c>
      <c r="L82" s="808"/>
      <c r="M82" s="809"/>
      <c r="N82" s="809"/>
      <c r="O82" s="810"/>
      <c r="P82" s="150">
        <f t="shared" si="6"/>
        <v>50693</v>
      </c>
    </row>
    <row r="83" spans="1:16" ht="18.75" x14ac:dyDescent="0.25">
      <c r="A83" s="537"/>
      <c r="B83" s="865"/>
      <c r="C83" s="866"/>
      <c r="D83" s="792"/>
      <c r="E83" s="848"/>
      <c r="F83" s="105"/>
      <c r="G83" s="105"/>
      <c r="H83" s="105"/>
      <c r="I83" s="870"/>
      <c r="J83" s="846"/>
      <c r="K83" s="3" t="str">
        <f>IF(L83=0,"",(INDEX(AccountCodes[ACCOUNT NAME],MATCH(L83,AccountCodes[NGAS CODE],0))))</f>
        <v/>
      </c>
      <c r="L83" s="867"/>
      <c r="M83" s="868"/>
      <c r="N83" s="868"/>
      <c r="O83" s="810"/>
      <c r="P83" s="150">
        <f t="shared" si="6"/>
        <v>50693</v>
      </c>
    </row>
    <row r="84" spans="1:16" ht="18.75" x14ac:dyDescent="0.25">
      <c r="A84" s="537"/>
      <c r="B84" s="865"/>
      <c r="C84" s="866"/>
      <c r="D84" s="792"/>
      <c r="E84" s="848"/>
      <c r="F84" s="105"/>
      <c r="G84" s="105"/>
      <c r="H84" s="105"/>
      <c r="I84" s="870"/>
      <c r="J84" s="846"/>
      <c r="K84" s="3" t="str">
        <f>IF(L84=0,"",(INDEX(AccountCodes[ACCOUNT NAME],MATCH(L84,AccountCodes[NGAS CODE],0))))</f>
        <v/>
      </c>
      <c r="L84" s="867"/>
      <c r="M84" s="868"/>
      <c r="N84" s="868"/>
      <c r="O84" s="810"/>
      <c r="P84" s="150">
        <f t="shared" si="6"/>
        <v>50693</v>
      </c>
    </row>
    <row r="85" spans="1:16" ht="18.75" x14ac:dyDescent="0.25">
      <c r="A85" s="537"/>
      <c r="B85" s="865"/>
      <c r="C85" s="866"/>
      <c r="D85" s="792"/>
      <c r="E85" s="848"/>
      <c r="F85" s="105"/>
      <c r="G85" s="105"/>
      <c r="H85" s="105"/>
      <c r="I85" s="870"/>
      <c r="J85" s="846"/>
      <c r="K85" s="3" t="str">
        <f>IF(L85=0,"",(INDEX(AccountCodes[ACCOUNT NAME],MATCH(L85,AccountCodes[NGAS CODE],0))))</f>
        <v/>
      </c>
      <c r="L85" s="867"/>
      <c r="M85" s="868"/>
      <c r="N85" s="868"/>
      <c r="O85" s="810"/>
      <c r="P85" s="150">
        <f t="shared" ref="P85:P98" si="7">P84+M85-N85</f>
        <v>50693</v>
      </c>
    </row>
    <row r="86" spans="1:16" ht="18.75" x14ac:dyDescent="0.25">
      <c r="A86" s="537"/>
      <c r="B86" s="865"/>
      <c r="C86" s="866"/>
      <c r="D86" s="792"/>
      <c r="E86" s="848"/>
      <c r="F86" s="105"/>
      <c r="G86" s="105"/>
      <c r="H86" s="105"/>
      <c r="I86" s="870"/>
      <c r="J86" s="846"/>
      <c r="K86" s="3" t="str">
        <f>IF(L86=0,"",(INDEX(AccountCodes[ACCOUNT NAME],MATCH(L86,AccountCodes[NGAS CODE],0))))</f>
        <v/>
      </c>
      <c r="L86" s="867"/>
      <c r="M86" s="868"/>
      <c r="N86" s="868"/>
      <c r="O86" s="810"/>
      <c r="P86" s="150">
        <f t="shared" si="7"/>
        <v>50693</v>
      </c>
    </row>
    <row r="87" spans="1:16" ht="18.75" x14ac:dyDescent="0.25">
      <c r="A87" s="537"/>
      <c r="B87" s="865"/>
      <c r="C87" s="866"/>
      <c r="D87" s="792"/>
      <c r="E87" s="848"/>
      <c r="F87" s="105"/>
      <c r="G87" s="105"/>
      <c r="H87" s="105"/>
      <c r="I87" s="870"/>
      <c r="J87" s="846"/>
      <c r="K87" s="3" t="str">
        <f>IF(L87=0,"",(INDEX(AccountCodes[ACCOUNT NAME],MATCH(L87,AccountCodes[NGAS CODE],0))))</f>
        <v/>
      </c>
      <c r="L87" s="867"/>
      <c r="M87" s="868"/>
      <c r="N87" s="868"/>
      <c r="O87" s="810"/>
      <c r="P87" s="150">
        <f t="shared" si="7"/>
        <v>50693</v>
      </c>
    </row>
    <row r="88" spans="1:16" ht="18.75" x14ac:dyDescent="0.25">
      <c r="A88" s="537"/>
      <c r="B88" s="865"/>
      <c r="C88" s="866"/>
      <c r="D88" s="792"/>
      <c r="E88" s="848"/>
      <c r="F88" s="105"/>
      <c r="G88" s="105"/>
      <c r="H88" s="105"/>
      <c r="I88" s="870"/>
      <c r="J88" s="846"/>
      <c r="K88" s="3" t="str">
        <f>IF(L88=0,"",(INDEX(AccountCodes[ACCOUNT NAME],MATCH(L88,AccountCodes[NGAS CODE],0))))</f>
        <v/>
      </c>
      <c r="L88" s="867"/>
      <c r="M88" s="868"/>
      <c r="N88" s="868"/>
      <c r="O88" s="810"/>
      <c r="P88" s="150">
        <f t="shared" si="7"/>
        <v>50693</v>
      </c>
    </row>
    <row r="89" spans="1:16" ht="18.75" x14ac:dyDescent="0.25">
      <c r="A89" s="537"/>
      <c r="B89" s="865"/>
      <c r="C89" s="866"/>
      <c r="D89" s="792"/>
      <c r="E89" s="848"/>
      <c r="F89" s="105"/>
      <c r="G89" s="105"/>
      <c r="H89" s="105"/>
      <c r="I89" s="870"/>
      <c r="J89" s="846"/>
      <c r="K89" s="3" t="str">
        <f>IF(L89=0,"",(INDEX(AccountCodes[ACCOUNT NAME],MATCH(L89,AccountCodes[NGAS CODE],0))))</f>
        <v/>
      </c>
      <c r="L89" s="867"/>
      <c r="M89" s="868"/>
      <c r="N89" s="868"/>
      <c r="O89" s="810"/>
      <c r="P89" s="150">
        <f t="shared" si="7"/>
        <v>50693</v>
      </c>
    </row>
    <row r="90" spans="1:16" ht="18.75" x14ac:dyDescent="0.25">
      <c r="A90" s="537"/>
      <c r="B90" s="865"/>
      <c r="C90" s="866"/>
      <c r="D90" s="792"/>
      <c r="E90" s="848"/>
      <c r="F90" s="105"/>
      <c r="G90" s="105"/>
      <c r="H90" s="105"/>
      <c r="I90" s="870"/>
      <c r="J90" s="846"/>
      <c r="K90" s="3" t="str">
        <f>IF(L90=0,"",(INDEX(AccountCodes[ACCOUNT NAME],MATCH(L90,AccountCodes[NGAS CODE],0))))</f>
        <v/>
      </c>
      <c r="L90" s="869"/>
      <c r="M90" s="868"/>
      <c r="N90" s="868"/>
      <c r="O90" s="810"/>
      <c r="P90" s="150">
        <f t="shared" si="7"/>
        <v>50693</v>
      </c>
    </row>
    <row r="91" spans="1:16" ht="18.75" x14ac:dyDescent="0.25">
      <c r="A91" s="537"/>
      <c r="B91" s="865"/>
      <c r="C91" s="866"/>
      <c r="D91" s="792"/>
      <c r="E91" s="848"/>
      <c r="F91" s="105"/>
      <c r="G91" s="105"/>
      <c r="H91" s="105"/>
      <c r="I91" s="870"/>
      <c r="J91" s="846"/>
      <c r="K91" s="3" t="str">
        <f>IF(L91=0,"",(INDEX(AccountCodes[ACCOUNT NAME],MATCH(L91,AccountCodes[NGAS CODE],0))))</f>
        <v/>
      </c>
      <c r="L91" s="867"/>
      <c r="M91" s="868"/>
      <c r="N91" s="868"/>
      <c r="O91" s="810"/>
      <c r="P91" s="150">
        <f t="shared" si="7"/>
        <v>50693</v>
      </c>
    </row>
    <row r="92" spans="1:16" ht="18.75" x14ac:dyDescent="0.25">
      <c r="A92" s="537"/>
      <c r="B92" s="865"/>
      <c r="C92" s="866"/>
      <c r="D92" s="792"/>
      <c r="E92" s="848"/>
      <c r="F92" s="105"/>
      <c r="G92" s="105"/>
      <c r="H92" s="105"/>
      <c r="I92" s="870"/>
      <c r="J92" s="846"/>
      <c r="K92" s="3" t="str">
        <f>IF(L92=0,"",(INDEX(AccountCodes[ACCOUNT NAME],MATCH(L92,AccountCodes[NGAS CODE],0))))</f>
        <v/>
      </c>
      <c r="L92" s="867"/>
      <c r="M92" s="868"/>
      <c r="N92" s="868"/>
      <c r="O92" s="810"/>
      <c r="P92" s="150">
        <f t="shared" si="7"/>
        <v>50693</v>
      </c>
    </row>
    <row r="93" spans="1:16" ht="18.75" x14ac:dyDescent="0.25">
      <c r="A93" s="537"/>
      <c r="B93" s="865"/>
      <c r="C93" s="866"/>
      <c r="D93" s="792"/>
      <c r="E93" s="848"/>
      <c r="F93" s="105"/>
      <c r="G93" s="105"/>
      <c r="H93" s="105"/>
      <c r="I93" s="870"/>
      <c r="J93" s="846"/>
      <c r="K93" s="3" t="str">
        <f>IF(L93=0,"",(INDEX(AccountCodes[ACCOUNT NAME],MATCH(L93,AccountCodes[NGAS CODE],0))))</f>
        <v/>
      </c>
      <c r="L93" s="867"/>
      <c r="M93" s="868"/>
      <c r="N93" s="868"/>
      <c r="O93" s="810"/>
      <c r="P93" s="150">
        <f t="shared" si="7"/>
        <v>50693</v>
      </c>
    </row>
    <row r="94" spans="1:16" ht="18.75" x14ac:dyDescent="0.25">
      <c r="A94" s="537"/>
      <c r="B94" s="865"/>
      <c r="C94" s="866"/>
      <c r="D94" s="792"/>
      <c r="E94" s="848"/>
      <c r="F94" s="105"/>
      <c r="G94" s="105"/>
      <c r="H94" s="105"/>
      <c r="I94" s="870"/>
      <c r="J94" s="846"/>
      <c r="K94" s="3" t="str">
        <f>IF(L94=0,"",(INDEX(AccountCodes[ACCOUNT NAME],MATCH(L94,AccountCodes[NGAS CODE],0))))</f>
        <v/>
      </c>
      <c r="L94" s="867"/>
      <c r="M94" s="868"/>
      <c r="N94" s="868"/>
      <c r="O94" s="810"/>
      <c r="P94" s="150">
        <f t="shared" si="7"/>
        <v>50693</v>
      </c>
    </row>
    <row r="95" spans="1:16" ht="18.75" x14ac:dyDescent="0.25">
      <c r="A95" s="537"/>
      <c r="B95" s="865"/>
      <c r="C95" s="866"/>
      <c r="D95" s="792"/>
      <c r="E95" s="848"/>
      <c r="F95" s="105"/>
      <c r="G95" s="105"/>
      <c r="H95" s="105"/>
      <c r="I95" s="870"/>
      <c r="J95" s="846"/>
      <c r="K95" s="3" t="str">
        <f>IF(L95=0,"",(INDEX(AccountCodes[ACCOUNT NAME],MATCH(L95,AccountCodes[NGAS CODE],0))))</f>
        <v/>
      </c>
      <c r="L95" s="867"/>
      <c r="M95" s="868"/>
      <c r="N95" s="868"/>
      <c r="O95" s="810"/>
      <c r="P95" s="150">
        <f t="shared" si="7"/>
        <v>50693</v>
      </c>
    </row>
    <row r="96" spans="1:16" ht="18.75" x14ac:dyDescent="0.25">
      <c r="A96" s="537"/>
      <c r="B96" s="865"/>
      <c r="C96" s="866"/>
      <c r="D96" s="792"/>
      <c r="E96" s="848"/>
      <c r="F96" s="105"/>
      <c r="G96" s="105"/>
      <c r="H96" s="105"/>
      <c r="I96" s="870"/>
      <c r="J96" s="846"/>
      <c r="K96" s="3" t="str">
        <f>IF(L96=0,"",(INDEX(AccountCodes[ACCOUNT NAME],MATCH(L96,AccountCodes[NGAS CODE],0))))</f>
        <v/>
      </c>
      <c r="L96" s="867"/>
      <c r="M96" s="868"/>
      <c r="N96" s="868"/>
      <c r="O96" s="810"/>
      <c r="P96" s="150">
        <f t="shared" si="7"/>
        <v>50693</v>
      </c>
    </row>
    <row r="97" spans="1:16" ht="18.75" x14ac:dyDescent="0.25">
      <c r="A97" s="537"/>
      <c r="B97" s="865"/>
      <c r="C97" s="866"/>
      <c r="D97" s="792"/>
      <c r="E97" s="848"/>
      <c r="F97" s="105"/>
      <c r="G97" s="105"/>
      <c r="H97" s="105"/>
      <c r="I97" s="870"/>
      <c r="J97" s="846"/>
      <c r="K97" s="3" t="str">
        <f>IF(L97=0,"",(INDEX(AccountCodes[ACCOUNT NAME],MATCH(L97,AccountCodes[NGAS CODE],0))))</f>
        <v/>
      </c>
      <c r="L97" s="867"/>
      <c r="M97" s="868"/>
      <c r="N97" s="868"/>
      <c r="O97" s="810"/>
      <c r="P97" s="150">
        <f t="shared" si="7"/>
        <v>50693</v>
      </c>
    </row>
    <row r="98" spans="1:16" ht="18.75" x14ac:dyDescent="0.25">
      <c r="A98" s="537"/>
      <c r="B98" s="865"/>
      <c r="C98" s="866"/>
      <c r="D98" s="792"/>
      <c r="E98" s="848"/>
      <c r="F98" s="105"/>
      <c r="G98" s="105"/>
      <c r="H98" s="105"/>
      <c r="I98" s="870"/>
      <c r="J98" s="846"/>
      <c r="K98" s="3" t="str">
        <f>IF(L98=0,"",(INDEX(AccountCodes[ACCOUNT NAME],MATCH(L98,AccountCodes[NGAS CODE],0))))</f>
        <v/>
      </c>
      <c r="L98" s="869"/>
      <c r="M98" s="868"/>
      <c r="N98" s="868"/>
      <c r="O98" s="810"/>
      <c r="P98" s="150">
        <f t="shared" si="7"/>
        <v>50693</v>
      </c>
    </row>
    <row r="99" spans="1:16" ht="18.75" x14ac:dyDescent="0.25">
      <c r="A99" s="537"/>
      <c r="B99" s="791"/>
      <c r="C99" s="792"/>
      <c r="D99" s="792"/>
      <c r="E99" s="133"/>
      <c r="F99" s="105"/>
      <c r="G99" s="105"/>
      <c r="H99" s="105"/>
      <c r="I99" s="788"/>
      <c r="J99" s="846"/>
      <c r="K99" s="3" t="str">
        <f>IF(L99=0,"",(INDEX(AccountCodes[ACCOUNT NAME],MATCH(L99,AccountCodes[NGAS CODE],0))))</f>
        <v/>
      </c>
      <c r="L99" s="133"/>
      <c r="M99" s="4"/>
      <c r="N99" s="4"/>
      <c r="O99" s="670"/>
      <c r="P99" s="150">
        <f t="shared" ref="P99:P107" si="8">P98+M99-N99</f>
        <v>50693</v>
      </c>
    </row>
    <row r="100" spans="1:16" ht="18.75" x14ac:dyDescent="0.25">
      <c r="A100" s="537"/>
      <c r="B100" s="791"/>
      <c r="C100" s="792"/>
      <c r="D100" s="792"/>
      <c r="E100" s="133"/>
      <c r="F100" s="105"/>
      <c r="G100" s="105"/>
      <c r="H100" s="105"/>
      <c r="I100" s="788"/>
      <c r="J100" s="846"/>
      <c r="K100" s="3" t="str">
        <f>IF(L100=0,"",(INDEX(AccountCodes[ACCOUNT NAME],MATCH(L100,AccountCodes[NGAS CODE],0))))</f>
        <v/>
      </c>
      <c r="L100" s="133"/>
      <c r="M100" s="4"/>
      <c r="N100" s="4"/>
      <c r="O100" s="670"/>
      <c r="P100" s="150">
        <f t="shared" si="8"/>
        <v>50693</v>
      </c>
    </row>
    <row r="101" spans="1:16" ht="18.75" x14ac:dyDescent="0.25">
      <c r="A101" s="537"/>
      <c r="B101" s="791"/>
      <c r="C101" s="792"/>
      <c r="D101" s="792"/>
      <c r="E101" s="133"/>
      <c r="F101" s="105"/>
      <c r="G101" s="105"/>
      <c r="H101" s="105"/>
      <c r="I101" s="788"/>
      <c r="J101" s="846"/>
      <c r="K101" s="3" t="str">
        <f>IF(L101=0,"",(INDEX(AccountCodes[ACCOUNT NAME],MATCH(L101,AccountCodes[NGAS CODE],0))))</f>
        <v/>
      </c>
      <c r="L101" s="133"/>
      <c r="M101" s="4"/>
      <c r="N101" s="4"/>
      <c r="O101" s="670"/>
      <c r="P101" s="150">
        <f t="shared" si="8"/>
        <v>50693</v>
      </c>
    </row>
    <row r="102" spans="1:16" ht="18.75" x14ac:dyDescent="0.25">
      <c r="A102" s="537"/>
      <c r="B102" s="791"/>
      <c r="C102" s="792"/>
      <c r="D102" s="792"/>
      <c r="E102" s="133"/>
      <c r="F102" s="105"/>
      <c r="G102" s="105"/>
      <c r="H102" s="105"/>
      <c r="I102" s="788"/>
      <c r="J102" s="846"/>
      <c r="K102" s="3" t="str">
        <f>IF(L102=0,"",(INDEX(AccountCodes[ACCOUNT NAME],MATCH(L102,AccountCodes[NGAS CODE],0))))</f>
        <v/>
      </c>
      <c r="L102" s="133"/>
      <c r="M102" s="4"/>
      <c r="N102" s="4"/>
      <c r="O102" s="670"/>
      <c r="P102" s="150">
        <f t="shared" si="8"/>
        <v>50693</v>
      </c>
    </row>
    <row r="103" spans="1:16" ht="18.75" x14ac:dyDescent="0.25">
      <c r="A103" s="537"/>
      <c r="B103" s="791"/>
      <c r="C103" s="792"/>
      <c r="D103" s="792"/>
      <c r="E103" s="133"/>
      <c r="F103" s="105"/>
      <c r="G103" s="105"/>
      <c r="H103" s="105"/>
      <c r="I103" s="788"/>
      <c r="J103" s="846"/>
      <c r="K103" s="3" t="str">
        <f>IF(L103=0,"",(INDEX(AccountCodes[ACCOUNT NAME],MATCH(L103,AccountCodes[NGAS CODE],0))))</f>
        <v/>
      </c>
      <c r="L103" s="133"/>
      <c r="M103" s="4"/>
      <c r="N103" s="4"/>
      <c r="O103" s="670"/>
      <c r="P103" s="150">
        <f t="shared" si="8"/>
        <v>50693</v>
      </c>
    </row>
    <row r="104" spans="1:16" ht="18.75" x14ac:dyDescent="0.25">
      <c r="A104" s="537"/>
      <c r="B104" s="791"/>
      <c r="C104" s="792"/>
      <c r="D104" s="792"/>
      <c r="E104" s="133"/>
      <c r="F104" s="105"/>
      <c r="G104" s="105"/>
      <c r="H104" s="105"/>
      <c r="I104" s="788"/>
      <c r="J104" s="846"/>
      <c r="K104" s="3" t="str">
        <f>IF(L104=0,"",(INDEX(AccountCodes[ACCOUNT NAME],MATCH(L104,AccountCodes[NGAS CODE],0))))</f>
        <v/>
      </c>
      <c r="L104" s="133"/>
      <c r="M104" s="4"/>
      <c r="N104" s="4"/>
      <c r="O104" s="670"/>
      <c r="P104" s="150">
        <f t="shared" si="8"/>
        <v>50693</v>
      </c>
    </row>
    <row r="105" spans="1:16" ht="18.75" x14ac:dyDescent="0.25">
      <c r="A105" s="537"/>
      <c r="B105" s="791"/>
      <c r="C105" s="792"/>
      <c r="D105" s="792"/>
      <c r="E105" s="133"/>
      <c r="F105" s="105"/>
      <c r="G105" s="105"/>
      <c r="H105" s="105"/>
      <c r="I105" s="788"/>
      <c r="J105" s="846"/>
      <c r="K105" s="3" t="str">
        <f>IF(L105=0,"",(INDEX(AccountCodes[ACCOUNT NAME],MATCH(L105,AccountCodes[NGAS CODE],0))))</f>
        <v/>
      </c>
      <c r="L105" s="133"/>
      <c r="M105" s="4"/>
      <c r="N105" s="4"/>
      <c r="O105" s="670"/>
      <c r="P105" s="150">
        <f t="shared" si="8"/>
        <v>50693</v>
      </c>
    </row>
    <row r="106" spans="1:16" ht="18.75" x14ac:dyDescent="0.25">
      <c r="A106" s="537"/>
      <c r="B106" s="791"/>
      <c r="C106" s="792"/>
      <c r="D106" s="792"/>
      <c r="E106" s="133"/>
      <c r="F106" s="105"/>
      <c r="G106" s="105"/>
      <c r="H106" s="105"/>
      <c r="I106" s="790"/>
      <c r="J106" s="846"/>
      <c r="K106" s="3" t="str">
        <f>IF(L106=0,"",(INDEX(AccountCodes[ACCOUNT NAME],MATCH(L106,AccountCodes[NGAS CODE],0))))</f>
        <v/>
      </c>
      <c r="L106" s="133"/>
      <c r="M106" s="670"/>
      <c r="N106" s="670"/>
      <c r="O106" s="670"/>
      <c r="P106" s="150">
        <f t="shared" si="8"/>
        <v>50693</v>
      </c>
    </row>
    <row r="107" spans="1:16" ht="18.75" x14ac:dyDescent="0.25">
      <c r="A107" s="537"/>
      <c r="B107" s="791"/>
      <c r="C107" s="792"/>
      <c r="D107" s="792"/>
      <c r="E107" s="133"/>
      <c r="F107" s="151"/>
      <c r="G107" s="151"/>
      <c r="H107" s="151"/>
      <c r="I107" s="790"/>
      <c r="J107" s="846"/>
      <c r="K107" s="148" t="str">
        <f>IF(L107=0,"",(INDEX(AccountCodes[ACCOUNT NAME],MATCH(L107,AccountCodes[NGAS CODE],0))))</f>
        <v/>
      </c>
      <c r="L107" s="147"/>
      <c r="M107" s="149"/>
      <c r="N107" s="149"/>
      <c r="O107" s="872"/>
      <c r="P107" s="152">
        <f t="shared" si="8"/>
        <v>50693</v>
      </c>
    </row>
    <row r="108" spans="1:16" ht="18.75" x14ac:dyDescent="0.3">
      <c r="A108" s="878"/>
      <c r="B108" s="791"/>
      <c r="C108" s="882"/>
      <c r="D108" s="151"/>
      <c r="E108" s="147"/>
      <c r="F108" s="718"/>
      <c r="G108" s="718"/>
      <c r="H108" s="718"/>
      <c r="I108" s="883"/>
      <c r="J108" s="884"/>
      <c r="K108" s="702" t="str">
        <f>IF(L108=0,"",(INDEX(AccountCodes[ACCOUNT NAME],MATCH(L108,AccountCodes[NGAS CODE],0))))</f>
        <v/>
      </c>
      <c r="L108" s="147"/>
      <c r="M108" s="879"/>
      <c r="N108" s="879"/>
      <c r="O108" s="880"/>
      <c r="P108" s="881">
        <f>P107+M108-N108</f>
        <v>50693</v>
      </c>
    </row>
    <row r="109" spans="1:16" ht="18.75" x14ac:dyDescent="0.3">
      <c r="A109" s="886"/>
      <c r="B109" s="886"/>
      <c r="C109" s="882"/>
      <c r="D109" s="151"/>
      <c r="E109" s="147"/>
      <c r="F109" s="151"/>
      <c r="G109" s="151"/>
      <c r="H109" s="151"/>
      <c r="I109" s="883"/>
      <c r="J109" s="884"/>
      <c r="K109" s="148" t="str">
        <f>IF(L109=0,"",(INDEX(AccountCodes[ACCOUNT NAME],MATCH(L109,AccountCodes[NGAS CODE],0))))</f>
        <v/>
      </c>
      <c r="L109" s="147"/>
      <c r="M109" s="872"/>
      <c r="N109" s="872"/>
      <c r="O109" s="149"/>
      <c r="P109" s="152">
        <f>P108+M109-N109</f>
        <v>50693</v>
      </c>
    </row>
    <row r="110" spans="1:16" x14ac:dyDescent="0.25">
      <c r="A110" s="537"/>
      <c r="B110" s="537"/>
      <c r="C110" s="887"/>
      <c r="D110" s="105"/>
      <c r="E110" s="133"/>
      <c r="F110" s="105"/>
      <c r="G110" s="105"/>
      <c r="H110" s="105"/>
      <c r="I110" s="267"/>
      <c r="J110" s="885"/>
      <c r="K110" s="3" t="str">
        <f>IF(L110=0,"",(INDEX(AccountCodes[ACCOUNT NAME],MATCH(L110,AccountCodes[NGAS CODE],0))))</f>
        <v/>
      </c>
      <c r="L110" s="147"/>
      <c r="M110" s="879"/>
      <c r="N110" s="879"/>
      <c r="O110" s="4"/>
      <c r="P110" s="150">
        <f>P109+M110-N110</f>
        <v>50693</v>
      </c>
    </row>
  </sheetData>
  <sheetProtection autoFilter="0"/>
  <mergeCells count="1">
    <mergeCell ref="A1:N1"/>
  </mergeCells>
  <dataValidations count="1">
    <dataValidation type="date" allowBlank="1" showErrorMessage="1" prompt="Input Date Only" sqref="B46:B58 B19:B28" xr:uid="{00000000-0002-0000-0F00-000000000000}">
      <formula1>28299</formula1>
      <formula2>401942</formula2>
    </dataValidation>
  </dataValidations>
  <printOptions horizontalCentered="1"/>
  <pageMargins left="0.23622047244094491" right="0" top="0.74803149606299213" bottom="0.23622047244094491" header="0.31496062992125984" footer="0.31496062992125984"/>
  <pageSetup paperSize="256" scale="65" orientation="landscape" horizontalDpi="300" verticalDpi="30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</sheetPr>
  <dimension ref="A1:D6"/>
  <sheetViews>
    <sheetView workbookViewId="0">
      <selection activeCell="B10" sqref="B10"/>
    </sheetView>
  </sheetViews>
  <sheetFormatPr defaultRowHeight="15.75" x14ac:dyDescent="0.25"/>
  <cols>
    <col min="1" max="1" width="12.625" bestFit="1" customWidth="1"/>
    <col min="2" max="2" width="55.625" customWidth="1"/>
    <col min="3" max="3" width="17.125" customWidth="1"/>
    <col min="4" max="4" width="16" customWidth="1"/>
  </cols>
  <sheetData>
    <row r="1" spans="1:4" x14ac:dyDescent="0.25">
      <c r="A1" s="303" t="s">
        <v>722</v>
      </c>
      <c r="B1" s="12" t="s">
        <v>1607</v>
      </c>
    </row>
    <row r="3" spans="1:4" x14ac:dyDescent="0.25">
      <c r="A3" s="12"/>
      <c r="B3" s="12"/>
      <c r="C3" s="301" t="s">
        <v>851</v>
      </c>
      <c r="D3" s="302"/>
    </row>
    <row r="4" spans="1:4" x14ac:dyDescent="0.25">
      <c r="A4" s="303" t="s">
        <v>370</v>
      </c>
      <c r="B4" s="303" t="s">
        <v>369</v>
      </c>
      <c r="C4" s="302" t="s">
        <v>852</v>
      </c>
      <c r="D4" s="302" t="s">
        <v>853</v>
      </c>
    </row>
    <row r="5" spans="1:4" x14ac:dyDescent="0.25">
      <c r="A5" s="12" t="s">
        <v>1607</v>
      </c>
      <c r="B5" s="12"/>
      <c r="C5" s="302"/>
      <c r="D5" s="302"/>
    </row>
    <row r="6" spans="1:4" x14ac:dyDescent="0.25">
      <c r="A6" s="12" t="s">
        <v>717</v>
      </c>
      <c r="B6" s="12"/>
      <c r="C6" s="302"/>
      <c r="D6" s="30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7030A0"/>
  </sheetPr>
  <dimension ref="A1:S60"/>
  <sheetViews>
    <sheetView topLeftCell="E41" zoomScale="80" zoomScaleNormal="80" workbookViewId="0">
      <selection activeCell="L63" sqref="L63"/>
    </sheetView>
  </sheetViews>
  <sheetFormatPr defaultColWidth="9" defaultRowHeight="15.75" x14ac:dyDescent="0.25"/>
  <cols>
    <col min="1" max="1" width="11.875" style="526" customWidth="1"/>
    <col min="2" max="2" width="10.625" style="527" bestFit="1" customWidth="1"/>
    <col min="3" max="3" width="10.625" style="526" hidden="1" customWidth="1"/>
    <col min="4" max="4" width="0" style="526" hidden="1" customWidth="1"/>
    <col min="5" max="6" width="9" style="526"/>
    <col min="7" max="7" width="23.375" style="90" customWidth="1"/>
    <col min="8" max="8" width="13.5" style="90" customWidth="1"/>
    <col min="9" max="10" width="12.625" style="90" customWidth="1"/>
    <col min="11" max="11" width="12.875" style="529" customWidth="1"/>
    <col min="12" max="12" width="14.625" style="90" customWidth="1"/>
    <col min="13" max="13" width="12.875" style="90" bestFit="1" customWidth="1"/>
    <col min="14" max="16" width="12.625" style="90" customWidth="1"/>
    <col min="17" max="17" width="12.875" style="527" bestFit="1" customWidth="1"/>
    <col min="18" max="18" width="14.625" style="90" customWidth="1"/>
    <col min="19" max="19" width="20.125" style="90" bestFit="1" customWidth="1"/>
    <col min="20" max="16384" width="9" style="90"/>
  </cols>
  <sheetData>
    <row r="1" spans="1:19" x14ac:dyDescent="0.25">
      <c r="A1" s="740" t="s">
        <v>470</v>
      </c>
      <c r="G1" s="1122" t="s">
        <v>355</v>
      </c>
      <c r="H1" s="1122"/>
      <c r="I1" s="1122"/>
      <c r="J1" s="1122"/>
      <c r="K1" s="1122"/>
      <c r="L1" s="1122"/>
      <c r="M1" s="1122"/>
      <c r="N1" s="1122"/>
      <c r="O1" s="1122"/>
      <c r="P1" s="1122"/>
      <c r="R1" s="90" t="s">
        <v>495</v>
      </c>
    </row>
    <row r="2" spans="1:19" x14ac:dyDescent="0.25">
      <c r="A2" s="740" t="s">
        <v>472</v>
      </c>
      <c r="G2" s="1122"/>
      <c r="H2" s="1122"/>
      <c r="I2" s="1122"/>
      <c r="J2" s="1122"/>
      <c r="K2" s="1122"/>
      <c r="L2" s="1122"/>
      <c r="M2" s="1122"/>
      <c r="N2" s="1122"/>
      <c r="O2" s="1122"/>
      <c r="P2" s="1122"/>
    </row>
    <row r="3" spans="1:19" ht="17.25" customHeight="1" x14ac:dyDescent="0.25">
      <c r="A3" s="740"/>
      <c r="G3" s="1124" t="s">
        <v>1538</v>
      </c>
      <c r="H3" s="1124"/>
      <c r="I3" s="1124"/>
      <c r="J3" s="1124"/>
      <c r="K3" s="1124"/>
      <c r="L3" s="1124"/>
      <c r="M3" s="1124"/>
      <c r="N3" s="1124"/>
      <c r="O3" s="1124"/>
      <c r="P3" s="1124"/>
    </row>
    <row r="4" spans="1:19" x14ac:dyDescent="0.25">
      <c r="A4" s="740"/>
      <c r="G4" s="1123" t="s">
        <v>1569</v>
      </c>
      <c r="H4" s="1123"/>
      <c r="I4" s="1123"/>
      <c r="J4" s="1123"/>
      <c r="K4" s="1123"/>
      <c r="L4" s="1123"/>
      <c r="M4" s="1123"/>
      <c r="N4" s="1123"/>
      <c r="O4" s="1123"/>
      <c r="P4" s="1123"/>
    </row>
    <row r="5" spans="1:19" ht="12.75" customHeight="1" x14ac:dyDescent="0.25">
      <c r="A5" s="740"/>
      <c r="G5" s="1123"/>
      <c r="H5" s="1123"/>
      <c r="I5" s="1123"/>
      <c r="J5" s="1123"/>
      <c r="K5" s="1123"/>
      <c r="L5" s="1123"/>
      <c r="M5" s="1123"/>
      <c r="N5" s="1123"/>
      <c r="O5" s="1123"/>
      <c r="P5" s="1123"/>
    </row>
    <row r="6" spans="1:19" x14ac:dyDescent="0.25">
      <c r="H6" s="744"/>
      <c r="I6" s="744"/>
      <c r="J6" s="744"/>
      <c r="K6" s="751"/>
      <c r="L6" s="744"/>
      <c r="M6" s="744"/>
      <c r="N6" s="744"/>
      <c r="O6" s="744"/>
      <c r="P6" s="744"/>
    </row>
    <row r="7" spans="1:19" ht="17.25" x14ac:dyDescent="0.25">
      <c r="G7" s="743" t="str">
        <f>Account!$G$1</f>
        <v>FUND 501 CARP</v>
      </c>
      <c r="H7" s="744"/>
      <c r="I7" s="744"/>
      <c r="J7" s="744"/>
      <c r="K7" s="751"/>
      <c r="L7" s="744"/>
      <c r="M7" s="744"/>
      <c r="N7" s="744"/>
      <c r="O7" s="744"/>
      <c r="P7" s="744"/>
    </row>
    <row r="8" spans="1:19" ht="17.25" x14ac:dyDescent="0.25">
      <c r="G8" s="745">
        <f>Account!$G$2</f>
        <v>44500</v>
      </c>
      <c r="H8" s="744"/>
      <c r="I8" s="744"/>
      <c r="J8" s="744"/>
      <c r="K8" s="751"/>
      <c r="L8" s="744"/>
      <c r="M8" s="744"/>
      <c r="N8" s="744"/>
      <c r="O8" s="744"/>
      <c r="P8" s="744"/>
    </row>
    <row r="10" spans="1:19" ht="16.5" customHeight="1" x14ac:dyDescent="0.25">
      <c r="A10" s="1097" t="s">
        <v>473</v>
      </c>
      <c r="B10" s="1120" t="s">
        <v>474</v>
      </c>
      <c r="C10" s="1120" t="s">
        <v>474</v>
      </c>
      <c r="D10" s="1120" t="s">
        <v>475</v>
      </c>
      <c r="E10" s="1120" t="s">
        <v>476</v>
      </c>
      <c r="F10" s="1097"/>
      <c r="G10" s="1120" t="s">
        <v>477</v>
      </c>
      <c r="H10" s="1097" t="s">
        <v>356</v>
      </c>
      <c r="I10" s="1097"/>
      <c r="J10" s="1097"/>
      <c r="K10" s="1097"/>
      <c r="L10" s="1097"/>
      <c r="M10" s="1097" t="s">
        <v>357</v>
      </c>
      <c r="N10" s="1097"/>
      <c r="O10" s="1097"/>
      <c r="P10" s="1097"/>
      <c r="Q10" s="1097"/>
      <c r="R10" s="1097"/>
      <c r="S10" s="1115" t="s">
        <v>724</v>
      </c>
    </row>
    <row r="11" spans="1:19" x14ac:dyDescent="0.25">
      <c r="A11" s="1097"/>
      <c r="B11" s="1097"/>
      <c r="C11" s="1097"/>
      <c r="D11" s="1097"/>
      <c r="E11" s="1097"/>
      <c r="F11" s="1097"/>
      <c r="G11" s="1120"/>
      <c r="H11" s="1097" t="s">
        <v>12</v>
      </c>
      <c r="I11" s="1097" t="s">
        <v>1546</v>
      </c>
      <c r="J11" s="1097" t="s">
        <v>1440</v>
      </c>
      <c r="K11" s="1097" t="s">
        <v>478</v>
      </c>
      <c r="L11" s="1097"/>
      <c r="M11" s="1097" t="s">
        <v>162</v>
      </c>
      <c r="N11" s="1097" t="s">
        <v>164</v>
      </c>
      <c r="O11" s="1097" t="s">
        <v>1567</v>
      </c>
      <c r="P11" s="1097" t="s">
        <v>1568</v>
      </c>
      <c r="Q11" s="1097" t="s">
        <v>478</v>
      </c>
      <c r="R11" s="1097"/>
      <c r="S11" s="1115"/>
    </row>
    <row r="12" spans="1:19" x14ac:dyDescent="0.25">
      <c r="A12" s="1097"/>
      <c r="B12" s="1097"/>
      <c r="C12" s="1097"/>
      <c r="D12" s="1097"/>
      <c r="E12" s="530" t="s">
        <v>479</v>
      </c>
      <c r="F12" s="530" t="s">
        <v>480</v>
      </c>
      <c r="G12" s="1120"/>
      <c r="H12" s="1097"/>
      <c r="I12" s="1097"/>
      <c r="J12" s="1097"/>
      <c r="K12" s="530" t="s">
        <v>481</v>
      </c>
      <c r="L12" s="530" t="s">
        <v>453</v>
      </c>
      <c r="M12" s="1097"/>
      <c r="N12" s="1097"/>
      <c r="O12" s="1097"/>
      <c r="P12" s="1097"/>
      <c r="Q12" s="530" t="s">
        <v>481</v>
      </c>
      <c r="R12" s="530" t="s">
        <v>453</v>
      </c>
      <c r="S12" s="1115"/>
    </row>
    <row r="13" spans="1:19" ht="31.5" hidden="1" x14ac:dyDescent="0.25">
      <c r="A13" s="520" t="s">
        <v>0</v>
      </c>
      <c r="B13" s="528" t="s">
        <v>474</v>
      </c>
      <c r="C13" s="515" t="s">
        <v>1466</v>
      </c>
      <c r="D13" s="521" t="s">
        <v>475</v>
      </c>
      <c r="E13" s="520" t="s">
        <v>479</v>
      </c>
      <c r="F13" s="520" t="s">
        <v>1467</v>
      </c>
      <c r="G13" s="520" t="s">
        <v>477</v>
      </c>
      <c r="H13" s="93" t="s">
        <v>10</v>
      </c>
      <c r="I13" s="93" t="s">
        <v>12</v>
      </c>
      <c r="J13" s="93" t="s">
        <v>109</v>
      </c>
      <c r="K13" s="138" t="s">
        <v>1462</v>
      </c>
      <c r="L13" s="522" t="s">
        <v>453</v>
      </c>
      <c r="M13" s="93" t="s">
        <v>108</v>
      </c>
      <c r="N13" s="93" t="s">
        <v>162</v>
      </c>
      <c r="O13" s="93" t="s">
        <v>163</v>
      </c>
      <c r="P13" s="93" t="s">
        <v>164</v>
      </c>
      <c r="Q13" s="138" t="s">
        <v>1473</v>
      </c>
      <c r="R13" s="522" t="s">
        <v>1472</v>
      </c>
      <c r="S13" s="532" t="s">
        <v>724</v>
      </c>
    </row>
    <row r="14" spans="1:19" x14ac:dyDescent="0.25">
      <c r="A14" s="92">
        <f t="array" ref="A14">IF(OR(C14=C13,C14=0),"",INDEX(CsDJ[Date],MATCH(C14,CsDJ[JEV Number],0)))</f>
        <v>43861</v>
      </c>
      <c r="B14" s="849" t="s">
        <v>1612</v>
      </c>
      <c r="C14" s="93" t="str">
        <f t="shared" ref="C14:C25" si="0">IF(B14=0,C13,B14)</f>
        <v>20-01-004</v>
      </c>
      <c r="D14" s="524"/>
      <c r="E14" s="524"/>
      <c r="F14" s="524"/>
      <c r="G14" s="94" t="str">
        <f t="array" ref="G14">IF(OR(C14=C13,C14=0),"",INDEX(CasheirCode[Name],MATCH((INDEX(CsDJ[Sort Code],MATCH(C14,CsDJ[JEV Number],0))),CasheirCode[Sort Code])))</f>
        <v>Maria Luisa M. Tolledo</v>
      </c>
      <c r="H14" s="95">
        <f t="array" ref="H14">IF(OR($C14=$C13,$C14=0),0,(SUM(IF((CsDJ[JEV Number]=$C14)*(CsDJ[Account Code]=(H$11)),CsDJ[Credit]))))</f>
        <v>0</v>
      </c>
      <c r="I14" s="95">
        <f t="array" ref="I14">IF(OR($C14=$C13,$C14=0),0,(SUM(IF((CsDJ[JEV Number]=$C14)*(CsDJ[Account Code]=(I$11)),CsDJ[Credit]))))</f>
        <v>0</v>
      </c>
      <c r="J14" s="95">
        <f t="array" ref="J14">IF(OR($C14=$C13,$C14=0),0,(SUM(IF((CsDJ[JEV Number]=$C14)*(CsDJ[Account Code]=(J$11)),CsDJ[Credit]))))</f>
        <v>0</v>
      </c>
      <c r="K14" s="699" t="s">
        <v>1444</v>
      </c>
      <c r="L14" s="95">
        <f t="array" ref="L14">IF($C14=0,0,(SUM(IF((CsDJ[JEV Number]=$C14)*(CsDJ[Account Code]=(K14)),CsDJ[Credit]))))</f>
        <v>0</v>
      </c>
      <c r="M14" s="95"/>
      <c r="N14" s="95">
        <f t="array" ref="N14">IF(OR($C14=$C13,$C14=0),0,(SUM(IF((CsDJ[JEV Number]=$C14)*(CsDJ[Account Code]=(N$11)),CsDJ[Debit]))))</f>
        <v>0</v>
      </c>
      <c r="O14" s="95">
        <f t="array" ref="O14">IF(OR($C14=$C13,$C14=0),0,(SUM(IF((CsDJ[JEV Number]=$C14)*(CsDJ[Account Code]=(O$11)),CsDJ[Debit]))))</f>
        <v>0</v>
      </c>
      <c r="P14" s="95">
        <f t="array" ref="P14">IF(OR($C14=$C13,$C14=0),0,(SUM(IF((CsDJ[JEV Number]=$C14)*(CsDJ[Account Code]=(P$11)),CsDJ[Debit]))))</f>
        <v>0</v>
      </c>
      <c r="Q14" s="138"/>
      <c r="R14" s="95">
        <f t="array" ref="R14">IF($C14=0,0,(SUM(IF((CsDJ[JEV Number]=$C14)*(CsDJ[Account Code]=(Q14)),CsDJ[Debit]))))</f>
        <v>0</v>
      </c>
      <c r="S14" s="514">
        <f>(SUM(M14:P14)+R14)-(SUM(H14:J14)+L14)</f>
        <v>0</v>
      </c>
    </row>
    <row r="15" spans="1:19" x14ac:dyDescent="0.25">
      <c r="A15" s="92" t="str">
        <f t="array" ref="A15">IF(OR(C15=C14,C15=0),"",INDEX(CsDJ[Date],MATCH(C15,CsDJ[JEV Number],0)))</f>
        <v/>
      </c>
      <c r="B15" s="849"/>
      <c r="C15" s="518" t="str">
        <f t="shared" si="0"/>
        <v>20-01-004</v>
      </c>
      <c r="D15" s="524"/>
      <c r="E15" s="524"/>
      <c r="F15" s="524"/>
      <c r="G15" s="94" t="str">
        <f t="array" ref="G15">IF(OR(C15=C14,C15=0),"",INDEX(CasheirCode[Name],MATCH((INDEX(CsDJ[Sort Code],MATCH(C15,CsDJ[JEV Number],0))),CasheirCode[Sort Code])))</f>
        <v/>
      </c>
      <c r="H15" s="95">
        <f t="array" ref="H15">IF(OR($C15=$C14,$C15=0),0,(SUM(IF((CsDJ[JEV Number]=$C15)*(CsDJ[Account Code]=(H$11)),CsDJ[Credit]))))</f>
        <v>0</v>
      </c>
      <c r="I15" s="95">
        <f t="array" ref="I15">IF(OR($C15=$C14,$C15=0),0,(SUM(IF((CsDJ[JEV Number]=$C15)*(CsDJ[Account Code]=(I$11)),CsDJ[Credit]))))</f>
        <v>0</v>
      </c>
      <c r="J15" s="95">
        <f t="array" ref="J15">IF(OR($C15=$C14,$C15=0),0,(SUM(IF((CsDJ[JEV Number]=$C15)*(CsDJ[Account Code]=(J$11)),CsDJ[Credit]))))</f>
        <v>0</v>
      </c>
      <c r="K15" s="699"/>
      <c r="L15" s="517">
        <f t="array" ref="L15">IF($C15=0,0,(SUM(IF((CsDJ[JEV Number]=$C15)*(CsDJ[Account Code]=(K15)),CsDJ[Credit]))))</f>
        <v>0</v>
      </c>
      <c r="M15" s="95">
        <f t="array" ref="M15">IF(OR($C15=$C14,$C15=0),0,(SUM(IF((CsDJ[JEV Number]=$C15)*(CsDJ[Account Code]=(M$11)),CsDJ[Debit]))))</f>
        <v>0</v>
      </c>
      <c r="N15" s="95">
        <f t="array" ref="N15">IF(OR($C15=$C14,$C15=0),0,(SUM(IF((CsDJ[JEV Number]=$C15)*(CsDJ[Account Code]=(N$11)),CsDJ[Debit]))))</f>
        <v>0</v>
      </c>
      <c r="O15" s="95">
        <f t="array" ref="O15">IF(OR($C15=$C14,$C15=0),0,(SUM(IF((CsDJ[JEV Number]=$C15)*(CsDJ[Account Code]=(O$11)),CsDJ[Debit]))))</f>
        <v>0</v>
      </c>
      <c r="P15" s="95">
        <f t="array" ref="P15">IF(OR($C15=$C14,$C15=0),0,(SUM(IF((CsDJ[JEV Number]=$C15)*(CsDJ[Account Code]=(P$11)),CsDJ[Debit]))))</f>
        <v>0</v>
      </c>
      <c r="Q15" s="138"/>
      <c r="R15" s="144">
        <f t="array" ref="R15">IF($C15=0,0,(SUM(IF((CsDJ[JEV Number]=$C15)*(CsDJ[Account Code]=(Q15)),CsDJ[Debit]))))</f>
        <v>0</v>
      </c>
      <c r="S15" s="514">
        <f t="shared" ref="S15:S25" si="1">S14+(SUM(M15:P15)+R15)-(SUM(H15:J15)+L15)</f>
        <v>0</v>
      </c>
    </row>
    <row r="16" spans="1:19" x14ac:dyDescent="0.25">
      <c r="A16" s="92" t="str">
        <f t="array" ref="A16">IF(OR(C16=C15,C16=0),"",INDEX(CsDJ[Date],MATCH(C16,CsDJ[JEV Number],0)))</f>
        <v/>
      </c>
      <c r="B16" s="849"/>
      <c r="C16" s="518" t="str">
        <f t="shared" si="0"/>
        <v>20-01-004</v>
      </c>
      <c r="D16" s="524"/>
      <c r="E16" s="524"/>
      <c r="F16" s="524"/>
      <c r="G16" s="94" t="str">
        <f t="array" ref="G16">IF(OR(C16=C15,C16=0),"",INDEX(CasheirCode[Name],MATCH((INDEX(CsDJ[Sort Code],MATCH(C16,CsDJ[JEV Number],0))),CasheirCode[Sort Code])))</f>
        <v/>
      </c>
      <c r="H16" s="95">
        <f t="array" ref="H16">IF(OR($C16=$C15,$C16=0),0,(SUM(IF((CsDJ[JEV Number]=$C16)*(CsDJ[Account Code]=(H$11)),CsDJ[Credit]))))</f>
        <v>0</v>
      </c>
      <c r="I16" s="95">
        <f t="array" ref="I16">IF(OR($C16=$C15,$C16=0),0,(SUM(IF((CsDJ[JEV Number]=$C16)*(CsDJ[Account Code]=(I$11)),CsDJ[Credit]))))</f>
        <v>0</v>
      </c>
      <c r="J16" s="95">
        <f t="array" ref="J16">IF(OR($C16=$C15,$C16=0),0,(SUM(IF((CsDJ[JEV Number]=$C16)*(CsDJ[Account Code]=(J$11)),CsDJ[Credit]))))</f>
        <v>0</v>
      </c>
      <c r="K16" s="699"/>
      <c r="L16" s="517">
        <f t="array" ref="L16">IF($C16=0,0,(SUM(IF((CsDJ[JEV Number]=$C16)*(CsDJ[Account Code]=(K16)),CsDJ[Credit]))))</f>
        <v>0</v>
      </c>
      <c r="M16" s="95">
        <f t="array" ref="M16">IF(OR($C16=$C15,$C16=0),0,(SUM(IF((CsDJ[JEV Number]=$C16)*(CsDJ[Account Code]=(M$11)),CsDJ[Debit]))))</f>
        <v>0</v>
      </c>
      <c r="N16" s="95">
        <f t="array" ref="N16">IF(OR($C16=$C15,$C16=0),0,(SUM(IF((CsDJ[JEV Number]=$C16)*(CsDJ[Account Code]=(N$11)),CsDJ[Debit]))))</f>
        <v>0</v>
      </c>
      <c r="O16" s="95">
        <f t="array" ref="O16">IF(OR($C16=$C15,$C16=0),0,(SUM(IF((CsDJ[JEV Number]=$C16)*(CsDJ[Account Code]=(O$11)),CsDJ[Debit]))))</f>
        <v>0</v>
      </c>
      <c r="P16" s="95">
        <f t="array" ref="P16">IF(OR($C16=$C15,$C16=0),0,(SUM(IF((CsDJ[JEV Number]=$C16)*(CsDJ[Account Code]=(P$11)),CsDJ[Debit]))))</f>
        <v>0</v>
      </c>
      <c r="Q16" s="138"/>
      <c r="R16" s="517">
        <f t="array" ref="R16">IF($C16=0,0,(SUM(IF((CsDJ[JEV Number]=$C16)*(CsDJ[Account Code]=(Q16)),CsDJ[Debit]))))</f>
        <v>0</v>
      </c>
      <c r="S16" s="514">
        <f t="shared" si="1"/>
        <v>0</v>
      </c>
    </row>
    <row r="17" spans="1:19" x14ac:dyDescent="0.25">
      <c r="A17" s="525" t="str">
        <f t="array" ref="A17">IF(OR(C17=C16,C17=0),"",INDEX(CsDJ[Date],MATCH(C17,CsDJ[JEV Number],0)))</f>
        <v/>
      </c>
      <c r="B17" s="850"/>
      <c r="C17" s="523" t="str">
        <f t="shared" si="0"/>
        <v>20-01-004</v>
      </c>
      <c r="D17" s="523"/>
      <c r="E17" s="523"/>
      <c r="F17" s="523"/>
      <c r="G17" s="280" t="str">
        <f t="array" ref="G17">IF(OR(C17=C16,C17=0),"",INDEX(CasheirCode[Name],MATCH((INDEX(CsDJ[Sort Code],MATCH(C17,CsDJ[JEV Number],0))),CasheirCode[Sort Code])))</f>
        <v/>
      </c>
      <c r="H17" s="519">
        <f t="array" ref="H17">IF(OR($C17=$C16,$C17=0),0,(SUM(IF((CsDJ[JEV Number]=$C17)*(CsDJ[Account Code]=(H$11)),CsDJ[Credit]))))</f>
        <v>0</v>
      </c>
      <c r="I17" s="519">
        <f t="array" ref="I17">IF(OR($C17=$C16,$C17=0),0,(SUM(IF((CsDJ[JEV Number]=$C17)*(CsDJ[Account Code]=(I$11)),CsDJ[Credit]))))</f>
        <v>0</v>
      </c>
      <c r="J17" s="519">
        <f t="array" ref="J17">IF(OR($C17=$C16,$C17=0),0,(SUM(IF((CsDJ[JEV Number]=$C17)*(CsDJ[Account Code]=(J$11)),CsDJ[Credit]))))</f>
        <v>0</v>
      </c>
      <c r="K17" s="728"/>
      <c r="L17" s="519">
        <f t="array" ref="L17">IF($C17=0,0,(SUM(IF((CsDJ[JEV Number]=$C17)*(CsDJ[Account Code]=(K17)),CsDJ[Credit]))))</f>
        <v>0</v>
      </c>
      <c r="M17" s="519">
        <f t="array" ref="M17">IF(OR($C17=$C16,$C17=0),0,(SUM(IF((CsDJ[JEV Number]=$C17)*(CsDJ[Account Code]=(M$11)),CsDJ[Debit]))))</f>
        <v>0</v>
      </c>
      <c r="N17" s="519">
        <f t="array" ref="N17">IF(OR($C17=$C16,$C17=0),0,(SUM(IF((CsDJ[JEV Number]=$C17)*(CsDJ[Account Code]=(N$11)),CsDJ[Debit]))))</f>
        <v>0</v>
      </c>
      <c r="O17" s="519">
        <f t="array" ref="O17">IF(OR($C17=$C16,$C17=0),0,(SUM(IF((CsDJ[JEV Number]=$C17)*(CsDJ[Account Code]=(O$11)),CsDJ[Debit]))))</f>
        <v>0</v>
      </c>
      <c r="P17" s="519">
        <f t="array" ref="P17">IF(OR($C17=$C16,$C17=0),0,(SUM(IF((CsDJ[JEV Number]=$C17)*(CsDJ[Account Code]=(P$11)),CsDJ[Debit]))))</f>
        <v>0</v>
      </c>
      <c r="Q17" s="138"/>
      <c r="R17" s="519">
        <f t="array" ref="R17">IF($C17=0,0,(SUM(IF((CsDJ[JEV Number]=$C17)*(CsDJ[Account Code]=(Q17)),CsDJ[Debit]))))</f>
        <v>0</v>
      </c>
      <c r="S17" s="533">
        <f t="shared" si="1"/>
        <v>0</v>
      </c>
    </row>
    <row r="18" spans="1:19" x14ac:dyDescent="0.25">
      <c r="A18" s="673" t="str">
        <f t="array" ref="A18">IF(OR(C18=C17,C18=0),"",INDEX(CsDJ[Date],MATCH(C18,CsDJ[JEV Number],0)))</f>
        <v/>
      </c>
      <c r="B18" s="851"/>
      <c r="C18" s="690" t="str">
        <f t="shared" si="0"/>
        <v>20-01-004</v>
      </c>
      <c r="D18" s="690"/>
      <c r="E18" s="690"/>
      <c r="F18" s="690"/>
      <c r="G18" s="691" t="str">
        <f t="array" ref="G18">IF(OR(C18=C17,C18=0),"",INDEX(CasheirCode[Name],MATCH((INDEX(CsDJ[Sort Code],MATCH(C18,CsDJ[JEV Number],0))),CasheirCode[Sort Code])))</f>
        <v/>
      </c>
      <c r="H18" s="692">
        <f t="array" ref="H18">IF(OR($C18=$C17,$C18=0),0,(SUM(IF((CsDJ[JEV Number]=$C18)*(CsDJ[Account Code]=(H$11)),CsDJ[Credit]))))</f>
        <v>0</v>
      </c>
      <c r="I18" s="692">
        <f t="array" ref="I18">IF(OR($C18=$C17,$C18=0),0,(SUM(IF((CsDJ[JEV Number]=$C18)*(CsDJ[Account Code]=(I$11)),CsDJ[Credit]))))</f>
        <v>0</v>
      </c>
      <c r="J18" s="692">
        <f t="array" ref="J18">IF(OR($C18=$C17,$C18=0),0,(SUM(IF((CsDJ[JEV Number]=$C18)*(CsDJ[Account Code]=(J$11)),CsDJ[Credit]))))</f>
        <v>0</v>
      </c>
      <c r="K18" s="728"/>
      <c r="L18" s="692">
        <f t="array" ref="L18">IF($C18=0,0,(SUM(IF((CsDJ[JEV Number]=$C18)*(CsDJ[Account Code]=(K18)),CsDJ[Credit]))))</f>
        <v>0</v>
      </c>
      <c r="M18" s="692">
        <f t="array" ref="M18">IF(OR($C18=$C17,$C18=0),0,(SUM(IF((CsDJ[JEV Number]=$C18)*(CsDJ[Account Code]=(M$11)),CsDJ[Debit]))))</f>
        <v>0</v>
      </c>
      <c r="N18" s="692">
        <f t="array" ref="N18">IF(OR($C18=$C17,$C18=0),0,(SUM(IF((CsDJ[JEV Number]=$C18)*(CsDJ[Account Code]=(N$11)),CsDJ[Debit]))))</f>
        <v>0</v>
      </c>
      <c r="O18" s="692">
        <f t="array" ref="O18">IF(OR($C18=$C17,$C18=0),0,(SUM(IF((CsDJ[JEV Number]=$C18)*(CsDJ[Account Code]=(O$11)),CsDJ[Debit]))))</f>
        <v>0</v>
      </c>
      <c r="P18" s="692">
        <f t="array" ref="P18">IF(OR($C18=$C17,$C18=0),0,(SUM(IF((CsDJ[JEV Number]=$C18)*(CsDJ[Account Code]=(P$11)),CsDJ[Debit]))))</f>
        <v>0</v>
      </c>
      <c r="Q18" s="696"/>
      <c r="R18" s="692">
        <f t="array" ref="R18">IF($C18=0,0,(SUM(IF((CsDJ[JEV Number]=$C18)*(CsDJ[Account Code]=(Q18)),CsDJ[Debit]))))</f>
        <v>0</v>
      </c>
      <c r="S18" s="694">
        <f t="shared" si="1"/>
        <v>0</v>
      </c>
    </row>
    <row r="19" spans="1:19" x14ac:dyDescent="0.25">
      <c r="A19" s="673" t="str">
        <f t="array" ref="A19">IF(OR(C19=C18,C19=0),"",INDEX(CsDJ[Date],MATCH(C19,CsDJ[JEV Number],0)))</f>
        <v/>
      </c>
      <c r="B19" s="851"/>
      <c r="C19" s="690" t="str">
        <f t="shared" si="0"/>
        <v>20-01-004</v>
      </c>
      <c r="D19" s="690"/>
      <c r="E19" s="690"/>
      <c r="F19" s="690"/>
      <c r="G19" s="691" t="str">
        <f t="array" ref="G19">IF(OR(C19=C18,C19=0),"",INDEX(CasheirCode[Name],MATCH((INDEX(CsDJ[Sort Code],MATCH(C19,CsDJ[JEV Number],0))),CasheirCode[Sort Code])))</f>
        <v/>
      </c>
      <c r="H19" s="692">
        <f t="array" ref="H19">IF(OR($C19=$C18,$C19=0),0,(SUM(IF((CsDJ[JEV Number]=$C19)*(CsDJ[Account Code]=(H$11)),CsDJ[Credit]))))</f>
        <v>0</v>
      </c>
      <c r="I19" s="692">
        <f t="array" ref="I19">IF(OR($C19=$C18,$C19=0),0,(SUM(IF((CsDJ[JEV Number]=$C19)*(CsDJ[Account Code]=(I$11)),CsDJ[Credit]))))</f>
        <v>0</v>
      </c>
      <c r="J19" s="692">
        <f t="array" ref="J19">IF(OR($C19=$C18,$C19=0),0,(SUM(IF((CsDJ[JEV Number]=$C19)*(CsDJ[Account Code]=(J$11)),CsDJ[Credit]))))</f>
        <v>0</v>
      </c>
      <c r="K19" s="728"/>
      <c r="L19" s="692">
        <f t="array" ref="L19">IF($C19=0,0,(SUM(IF((CsDJ[JEV Number]=$C19)*(CsDJ[Account Code]=(K19)),CsDJ[Credit]))))</f>
        <v>0</v>
      </c>
      <c r="M19" s="692">
        <f t="array" ref="M19">IF(OR($C19=$C18,$C19=0),0,(SUM(IF((CsDJ[JEV Number]=$C19)*(CsDJ[Account Code]=(M$11)),CsDJ[Debit]))))</f>
        <v>0</v>
      </c>
      <c r="N19" s="692">
        <f t="array" ref="N19">IF(OR($C19=$C18,$C19=0),0,(SUM(IF((CsDJ[JEV Number]=$C19)*(CsDJ[Account Code]=(N$11)),CsDJ[Debit]))))</f>
        <v>0</v>
      </c>
      <c r="O19" s="692">
        <f t="array" ref="O19">IF(OR($C19=$C18,$C19=0),0,(SUM(IF((CsDJ[JEV Number]=$C19)*(CsDJ[Account Code]=(O$11)),CsDJ[Debit]))))</f>
        <v>0</v>
      </c>
      <c r="P19" s="692">
        <f t="array" ref="P19">IF(OR($C19=$C18,$C19=0),0,(SUM(IF((CsDJ[JEV Number]=$C19)*(CsDJ[Account Code]=(P$11)),CsDJ[Debit]))))</f>
        <v>0</v>
      </c>
      <c r="Q19" s="698"/>
      <c r="R19" s="692">
        <f t="array" ref="R19">IF($C19=0,0,(SUM(IF((CsDJ[JEV Number]=$C19)*(CsDJ[Account Code]=(Q19)),CsDJ[Debit]))))</f>
        <v>0</v>
      </c>
      <c r="S19" s="694">
        <f t="shared" si="1"/>
        <v>0</v>
      </c>
    </row>
    <row r="20" spans="1:19" x14ac:dyDescent="0.25">
      <c r="A20" s="673" t="str">
        <f t="array" ref="A20">IF(OR(C20=C19,C20=0),"",INDEX(CsDJ[Date],MATCH(C20,CsDJ[JEV Number],0)))</f>
        <v/>
      </c>
      <c r="B20" s="852"/>
      <c r="C20" s="690" t="str">
        <f t="shared" si="0"/>
        <v>20-01-004</v>
      </c>
      <c r="D20" s="690"/>
      <c r="E20" s="690"/>
      <c r="F20" s="690"/>
      <c r="G20" s="691" t="str">
        <f t="array" ref="G20">IF(OR(C20=C19,C20=0),"",INDEX(CasheirCode[Name],MATCH((INDEX(CsDJ[Sort Code],MATCH(C20,CsDJ[JEV Number],0))),CasheirCode[Sort Code])))</f>
        <v/>
      </c>
      <c r="H20" s="692">
        <f t="array" ref="H20">IF(OR($C20=$C19,$C20=0),0,(SUM(IF((CsDJ[JEV Number]=$C20)*(CsDJ[Account Code]=(H$11)),CsDJ[Credit]))))</f>
        <v>0</v>
      </c>
      <c r="I20" s="692">
        <f t="array" ref="I20">IF(OR($C20=$C19,$C20=0),0,(SUM(IF((CsDJ[JEV Number]=$C20)*(CsDJ[Account Code]=(I$11)),CsDJ[Credit]))))</f>
        <v>0</v>
      </c>
      <c r="J20" s="692">
        <f t="array" ref="J20">IF(OR($C20=$C19,$C20=0),0,(SUM(IF((CsDJ[JEV Number]=$C20)*(CsDJ[Account Code]=(J$11)),CsDJ[Credit]))))</f>
        <v>0</v>
      </c>
      <c r="K20" s="728"/>
      <c r="L20" s="692">
        <f t="array" ref="L20">IF($C20=0,0,(SUM(IF((CsDJ[JEV Number]=$C20)*(CsDJ[Account Code]=(K20)),CsDJ[Credit]))))</f>
        <v>0</v>
      </c>
      <c r="M20" s="692">
        <f t="array" ref="M20">IF(OR($C20=$C19,$C20=0),0,(SUM(IF((CsDJ[JEV Number]=$C20)*(CsDJ[Account Code]=(M$11)),CsDJ[Debit]))))</f>
        <v>0</v>
      </c>
      <c r="N20" s="692">
        <f t="array" ref="N20">IF(OR($C20=$C19,$C20=0),0,(SUM(IF((CsDJ[JEV Number]=$C20)*(CsDJ[Account Code]=(N$11)),CsDJ[Debit]))))</f>
        <v>0</v>
      </c>
      <c r="O20" s="692">
        <f t="array" ref="O20">IF(OR($C20=$C19,$C20=0),0,(SUM(IF((CsDJ[JEV Number]=$C20)*(CsDJ[Account Code]=(O$11)),CsDJ[Debit]))))</f>
        <v>0</v>
      </c>
      <c r="P20" s="692">
        <f t="array" ref="P20">IF(OR($C20=$C19,$C20=0),0,(SUM(IF((CsDJ[JEV Number]=$C20)*(CsDJ[Account Code]=(P$11)),CsDJ[Debit]))))</f>
        <v>0</v>
      </c>
      <c r="Q20" s="726"/>
      <c r="R20" s="692">
        <f t="array" ref="R20">IF($C20=0,0,(SUM(IF((CsDJ[JEV Number]=$C20)*(CsDJ[Account Code]=(Q20)),CsDJ[Debit]))))</f>
        <v>0</v>
      </c>
      <c r="S20" s="694">
        <f t="shared" si="1"/>
        <v>0</v>
      </c>
    </row>
    <row r="21" spans="1:19" x14ac:dyDescent="0.25">
      <c r="A21" s="673" t="str">
        <f t="array" ref="A21">IF(OR(C21=C20,C21=0),"",INDEX(CsDJ[Date],MATCH(C21,CsDJ[JEV Number],0)))</f>
        <v/>
      </c>
      <c r="B21" s="851"/>
      <c r="C21" s="690" t="str">
        <f t="shared" si="0"/>
        <v>20-01-004</v>
      </c>
      <c r="D21" s="690"/>
      <c r="E21" s="690"/>
      <c r="F21" s="690"/>
      <c r="G21" s="691" t="str">
        <f t="array" ref="G21">IF(OR(C21=C20,C21=0),"",INDEX(CasheirCode[Name],MATCH((INDEX(CsDJ[Sort Code],MATCH(C21,CsDJ[JEV Number],0))),CasheirCode[Sort Code])))</f>
        <v/>
      </c>
      <c r="H21" s="692">
        <f t="array" ref="H21">IF(OR($C21=$C20,$C21=0),0,(SUM(IF((CsDJ[JEV Number]=$C21)*(CsDJ[Account Code]=(H$11)),CsDJ[Credit]))))</f>
        <v>0</v>
      </c>
      <c r="I21" s="692">
        <f t="array" ref="I21">IF(OR($C21=$C20,$C21=0),0,(SUM(IF((CsDJ[JEV Number]=$C21)*(CsDJ[Account Code]=(I$11)),CsDJ[Credit]))))</f>
        <v>0</v>
      </c>
      <c r="J21" s="692">
        <f t="array" ref="J21">IF(OR($C21=$C20,$C21=0),0,(SUM(IF((CsDJ[JEV Number]=$C21)*(CsDJ[Account Code]=(J$11)),CsDJ[Credit]))))</f>
        <v>0</v>
      </c>
      <c r="K21" s="728"/>
      <c r="L21" s="692">
        <f t="array" ref="L21">IF($C21=0,0,(SUM(IF((CsDJ[JEV Number]=$C21)*(CsDJ[Account Code]=(K21)),CsDJ[Credit]))))</f>
        <v>0</v>
      </c>
      <c r="M21" s="692">
        <f t="array" ref="M21">IF(OR($C21=$C20,$C21=0),0,(SUM(IF((CsDJ[JEV Number]=$C21)*(CsDJ[Account Code]=(M$11)),CsDJ[Debit]))))</f>
        <v>0</v>
      </c>
      <c r="N21" s="692">
        <f t="array" ref="N21">IF(OR($C21=$C20,$C21=0),0,(SUM(IF((CsDJ[JEV Number]=$C21)*(CsDJ[Account Code]=(N$11)),CsDJ[Debit]))))</f>
        <v>0</v>
      </c>
      <c r="O21" s="692">
        <f t="array" ref="O21">IF(OR($C21=$C20,$C21=0),0,(SUM(IF((CsDJ[JEV Number]=$C21)*(CsDJ[Account Code]=(O$11)),CsDJ[Debit]))))</f>
        <v>0</v>
      </c>
      <c r="P21" s="692">
        <f t="array" ref="P21">IF(OR($C21=$C20,$C21=0),0,(SUM(IF((CsDJ[JEV Number]=$C21)*(CsDJ[Account Code]=(P$11)),CsDJ[Debit]))))</f>
        <v>0</v>
      </c>
      <c r="Q21" s="696"/>
      <c r="R21" s="692">
        <f t="array" ref="R21">IF($C21=0,0,(SUM(IF((CsDJ[JEV Number]=$C21)*(CsDJ[Account Code]=(Q21)),CsDJ[Debit]))))</f>
        <v>0</v>
      </c>
      <c r="S21" s="694">
        <f t="shared" si="1"/>
        <v>0</v>
      </c>
    </row>
    <row r="22" spans="1:19" x14ac:dyDescent="0.25">
      <c r="A22" s="673" t="str">
        <f t="array" ref="A22">IF(OR(C22=C21,C22=0),"",INDEX(CsDJ[Date],MATCH(C22,CsDJ[JEV Number],0)))</f>
        <v/>
      </c>
      <c r="B22" s="853"/>
      <c r="C22" s="690" t="str">
        <f t="shared" si="0"/>
        <v>20-01-004</v>
      </c>
      <c r="D22" s="690"/>
      <c r="E22" s="690"/>
      <c r="F22" s="690"/>
      <c r="G22" s="691" t="str">
        <f t="array" ref="G22">IF(OR(C22=C21,C22=0),"",INDEX(CasheirCode[Name],MATCH((INDEX(CsDJ[Sort Code],MATCH(C22,CsDJ[JEV Number],0))),CasheirCode[Sort Code])))</f>
        <v/>
      </c>
      <c r="H22" s="692">
        <f t="array" ref="H22">IF(OR($C22=$C21,$C22=0),0,(SUM(IF((CsDJ[JEV Number]=$C22)*(CsDJ[Account Code]=(H$11)),CsDJ[Credit]))))</f>
        <v>0</v>
      </c>
      <c r="I22" s="692">
        <f t="array" ref="I22">IF(OR($C22=$C21,$C22=0),0,(SUM(IF((CsDJ[JEV Number]=$C22)*(CsDJ[Account Code]=(I$11)),CsDJ[Credit]))))</f>
        <v>0</v>
      </c>
      <c r="J22" s="692">
        <f t="array" ref="J22">IF(OR($C22=$C21,$C22=0),0,(SUM(IF((CsDJ[JEV Number]=$C22)*(CsDJ[Account Code]=(J$11)),CsDJ[Credit]))))</f>
        <v>0</v>
      </c>
      <c r="K22" s="728"/>
      <c r="L22" s="692">
        <f t="array" ref="L22">IF($C22=0,0,(SUM(IF((CsDJ[JEV Number]=$C22)*(CsDJ[Account Code]=(K22)),CsDJ[Credit]))))</f>
        <v>0</v>
      </c>
      <c r="M22" s="692">
        <f t="array" ref="M22">IF(OR($C22=$C21,$C22=0),0,(SUM(IF((CsDJ[JEV Number]=$C22)*(CsDJ[Account Code]=(M$11)),CsDJ[Debit]))))</f>
        <v>0</v>
      </c>
      <c r="N22" s="692">
        <f t="array" ref="N22">IF(OR($C22=$C21,$C22=0),0,(SUM(IF((CsDJ[JEV Number]=$C22)*(CsDJ[Account Code]=(N$11)),CsDJ[Debit]))))</f>
        <v>0</v>
      </c>
      <c r="O22" s="692">
        <f t="array" ref="O22">IF(OR($C22=$C21,$C22=0),0,(SUM(IF((CsDJ[JEV Number]=$C22)*(CsDJ[Account Code]=(O$11)),CsDJ[Debit]))))</f>
        <v>0</v>
      </c>
      <c r="P22" s="692">
        <f t="array" ref="P22">IF(OR($C22=$C21,$C22=0),0,(SUM(IF((CsDJ[JEV Number]=$C22)*(CsDJ[Account Code]=(P$11)),CsDJ[Debit]))))</f>
        <v>0</v>
      </c>
      <c r="Q22" s="698"/>
      <c r="R22" s="692">
        <f t="array" ref="R22">IF($C22=0,0,(SUM(IF((CsDJ[JEV Number]=$C22)*(CsDJ[Account Code]=(Q22)),CsDJ[Debit]))))</f>
        <v>0</v>
      </c>
      <c r="S22" s="694">
        <f t="shared" si="1"/>
        <v>0</v>
      </c>
    </row>
    <row r="23" spans="1:19" x14ac:dyDescent="0.25">
      <c r="A23" s="673" t="str">
        <f t="array" ref="A23">IF(OR(C23=C22,C23=0),"",INDEX(CsDJ[Date],MATCH(C23,CsDJ[JEV Number],0)))</f>
        <v/>
      </c>
      <c r="B23" s="852"/>
      <c r="C23" s="690" t="str">
        <f t="shared" si="0"/>
        <v>20-01-004</v>
      </c>
      <c r="D23" s="690"/>
      <c r="E23" s="690"/>
      <c r="F23" s="690"/>
      <c r="G23" s="691" t="str">
        <f t="array" ref="G23">IF(OR(C23=C22,C23=0),"",INDEX(CasheirCode[Name],MATCH((INDEX(CsDJ[Sort Code],MATCH(C23,CsDJ[JEV Number],0))),CasheirCode[Sort Code])))</f>
        <v/>
      </c>
      <c r="H23" s="692">
        <f t="array" ref="H23">IF(OR($C23=$C22,$C23=0),0,(SUM(IF((CsDJ[JEV Number]=$C23)*(CsDJ[Account Code]=(H$11)),CsDJ[Credit]))))</f>
        <v>0</v>
      </c>
      <c r="I23" s="692">
        <f t="array" ref="I23">IF(OR($C23=$C22,$C23=0),0,(SUM(IF((CsDJ[JEV Number]=$C23)*(CsDJ[Account Code]=(I$11)),CsDJ[Credit]))))</f>
        <v>0</v>
      </c>
      <c r="J23" s="692">
        <f t="array" ref="J23">IF(OR($C23=$C22,$C23=0),0,(SUM(IF((CsDJ[JEV Number]=$C23)*(CsDJ[Account Code]=(J$11)),CsDJ[Credit]))))</f>
        <v>0</v>
      </c>
      <c r="K23" s="697"/>
      <c r="L23" s="692">
        <f t="array" ref="L23">IF($C23=0,0,(SUM(IF((CsDJ[JEV Number]=$C23)*(CsDJ[Account Code]=(K23)),CsDJ[Credit]))))</f>
        <v>0</v>
      </c>
      <c r="M23" s="692">
        <f t="array" ref="M23">IF(OR($C23=$C22,$C23=0),0,(SUM(IF((CsDJ[JEV Number]=$C23)*(CsDJ[Account Code]=(M$11)),CsDJ[Debit]))))</f>
        <v>0</v>
      </c>
      <c r="N23" s="692">
        <f t="array" ref="N23">IF(OR($C23=$C22,$C23=0),0,(SUM(IF((CsDJ[JEV Number]=$C23)*(CsDJ[Account Code]=(N$11)),CsDJ[Debit]))))</f>
        <v>0</v>
      </c>
      <c r="O23" s="692">
        <f t="array" ref="O23">IF(OR($C23=$C22,$C23=0),0,(SUM(IF((CsDJ[JEV Number]=$C23)*(CsDJ[Account Code]=(O$11)),CsDJ[Debit]))))</f>
        <v>0</v>
      </c>
      <c r="P23" s="692">
        <f t="array" ref="P23">IF(OR($C23=$C22,$C23=0),0,(SUM(IF((CsDJ[JEV Number]=$C23)*(CsDJ[Account Code]=(P$11)),CsDJ[Debit]))))</f>
        <v>0</v>
      </c>
      <c r="Q23" s="726"/>
      <c r="R23" s="692">
        <f t="array" ref="R23">IF($C23=0,0,(SUM(IF((CsDJ[JEV Number]=$C23)*(CsDJ[Account Code]=(Q23)),CsDJ[Debit]))))</f>
        <v>0</v>
      </c>
      <c r="S23" s="694">
        <f t="shared" si="1"/>
        <v>0</v>
      </c>
    </row>
    <row r="24" spans="1:19" x14ac:dyDescent="0.25">
      <c r="A24" s="673" t="str">
        <f t="array" ref="A24">IF(OR(C24=C23,C24=0),"",INDEX(CsDJ[Date],MATCH(C24,CsDJ[JEV Number],0)))</f>
        <v/>
      </c>
      <c r="B24" s="852"/>
      <c r="C24" s="690" t="str">
        <f t="shared" si="0"/>
        <v>20-01-004</v>
      </c>
      <c r="D24" s="690"/>
      <c r="E24" s="690"/>
      <c r="F24" s="690"/>
      <c r="G24" s="691" t="str">
        <f t="array" ref="G24">IF(OR(C24=C23,C24=0),"",INDEX(CasheirCode[Name],MATCH((INDEX(CsDJ[Sort Code],MATCH(C24,CsDJ[JEV Number],0))),CasheirCode[Sort Code])))</f>
        <v/>
      </c>
      <c r="H24" s="692">
        <f t="array" ref="H24">IF(OR($C24=$C23,$C24=0),0,(SUM(IF((CsDJ[JEV Number]=$C24)*(CsDJ[Account Code]=(H$11)),CsDJ[Credit]))))</f>
        <v>0</v>
      </c>
      <c r="I24" s="692">
        <f t="array" ref="I24">IF(OR($C24=$C23,$C24=0),0,(SUM(IF((CsDJ[JEV Number]=$C24)*(CsDJ[Account Code]=(I$11)),CsDJ[Credit]))))</f>
        <v>0</v>
      </c>
      <c r="J24" s="692">
        <f t="array" ref="J24">IF(OR($C24=$C23,$C24=0),0,(SUM(IF((CsDJ[JEV Number]=$C24)*(CsDJ[Account Code]=(J$11)),CsDJ[Credit]))))</f>
        <v>0</v>
      </c>
      <c r="K24" s="728"/>
      <c r="L24" s="692">
        <f t="array" ref="L24">IF($C24=0,0,(SUM(IF((CsDJ[JEV Number]=$C24)*(CsDJ[Account Code]=(K24)),CsDJ[Credit]))))</f>
        <v>0</v>
      </c>
      <c r="M24" s="692">
        <f t="array" ref="M24">IF(OR($C24=$C23,$C24=0),0,(SUM(IF((CsDJ[JEV Number]=$C24)*(CsDJ[Account Code]=(M$11)),CsDJ[Debit]))))</f>
        <v>0</v>
      </c>
      <c r="N24" s="692">
        <f t="array" ref="N24">IF(OR($C24=$C23,$C24=0),0,(SUM(IF((CsDJ[JEV Number]=$C24)*(CsDJ[Account Code]=(N$11)),CsDJ[Debit]))))</f>
        <v>0</v>
      </c>
      <c r="O24" s="692">
        <f t="array" ref="O24">IF(OR($C24=$C23,$C24=0),0,(SUM(IF((CsDJ[JEV Number]=$C24)*(CsDJ[Account Code]=(O$11)),CsDJ[Debit]))))</f>
        <v>0</v>
      </c>
      <c r="P24" s="692">
        <f t="array" ref="P24">IF(OR($C24=$C23,$C24=0),0,(SUM(IF((CsDJ[JEV Number]=$C24)*(CsDJ[Account Code]=(P$11)),CsDJ[Debit]))))</f>
        <v>0</v>
      </c>
      <c r="Q24" s="698"/>
      <c r="R24" s="692">
        <f t="array" ref="R24">IF($C24=0,0,(SUM(IF((CsDJ[JEV Number]=$C24)*(CsDJ[Account Code]=(Q24)),CsDJ[Debit]))))</f>
        <v>0</v>
      </c>
      <c r="S24" s="694">
        <f t="shared" si="1"/>
        <v>0</v>
      </c>
    </row>
    <row r="25" spans="1:19" x14ac:dyDescent="0.25">
      <c r="A25" s="673" t="str">
        <f t="array" ref="A25">IF(OR(C25=C24,C25=0),"",INDEX(CsDJ[Date],MATCH(C25,CsDJ[JEV Number],0)))</f>
        <v/>
      </c>
      <c r="B25" s="851"/>
      <c r="C25" s="690" t="str">
        <f t="shared" si="0"/>
        <v>20-01-004</v>
      </c>
      <c r="D25" s="690"/>
      <c r="E25" s="690"/>
      <c r="F25" s="690"/>
      <c r="G25" s="691" t="str">
        <f t="array" ref="G25">IF(OR(C25=C24,C25=0),"",INDEX(CasheirCode[Name],MATCH((INDEX(CsDJ[Sort Code],MATCH(C25,CsDJ[JEV Number],0))),CasheirCode[Sort Code])))</f>
        <v/>
      </c>
      <c r="H25" s="692">
        <f t="array" ref="H25">IF(OR($C25=$C24,$C25=0),0,(SUM(IF((CsDJ[JEV Number]=$C25)*(CsDJ[Account Code]=(H$11)),CsDJ[Credit]))))</f>
        <v>0</v>
      </c>
      <c r="I25" s="692">
        <f t="array" ref="I25">IF(OR($C25=$C24,$C25=0),0,(SUM(IF((CsDJ[JEV Number]=$C25)*(CsDJ[Account Code]=(I$11)),CsDJ[Credit]))))</f>
        <v>0</v>
      </c>
      <c r="J25" s="692">
        <f t="array" ref="J25">IF(OR($C25=$C24,$C25=0),0,(SUM(IF((CsDJ[JEV Number]=$C25)*(CsDJ[Account Code]=(J$11)),CsDJ[Credit]))))</f>
        <v>0</v>
      </c>
      <c r="K25" s="728"/>
      <c r="L25" s="692">
        <f t="array" ref="L25">IF($C25=0,0,(SUM(IF((CsDJ[JEV Number]=$C25)*(CsDJ[Account Code]=(K25)),CsDJ[Credit]))))</f>
        <v>0</v>
      </c>
      <c r="M25" s="692">
        <f t="array" ref="M25">IF(OR($C25=$C24,$C25=0),0,(SUM(IF((CsDJ[JEV Number]=$C25)*(CsDJ[Account Code]=(M$11)),CsDJ[Debit]))))</f>
        <v>0</v>
      </c>
      <c r="N25" s="692">
        <f t="array" ref="N25">IF(OR($C25=$C24,$C25=0),0,(SUM(IF((CsDJ[JEV Number]=$C25)*(CsDJ[Account Code]=(N$11)),CsDJ[Debit]))))</f>
        <v>0</v>
      </c>
      <c r="O25" s="692">
        <f t="array" ref="O25">IF(OR($C25=$C24,$C25=0),0,(SUM(IF((CsDJ[JEV Number]=$C25)*(CsDJ[Account Code]=(O$11)),CsDJ[Debit]))))</f>
        <v>0</v>
      </c>
      <c r="P25" s="692">
        <f t="array" ref="P25">IF(OR($C25=$C24,$C25=0),0,(SUM(IF((CsDJ[JEV Number]=$C25)*(CsDJ[Account Code]=(P$11)),CsDJ[Debit]))))</f>
        <v>0</v>
      </c>
      <c r="Q25" s="698"/>
      <c r="R25" s="692">
        <f t="array" ref="R25">IF($C25=0,0,(SUM(IF((CsDJ[JEV Number]=$C25)*(CsDJ[Account Code]=(Q25)),CsDJ[Debit]))))</f>
        <v>0</v>
      </c>
      <c r="S25" s="694">
        <f t="shared" si="1"/>
        <v>0</v>
      </c>
    </row>
    <row r="26" spans="1:19" x14ac:dyDescent="0.25">
      <c r="A26" s="673" t="str">
        <f t="array" ref="A26">IF(OR(C26=C25,C26=0),"",INDEX(CsDJ[Date],MATCH(C26,CsDJ[JEV Number],0)))</f>
        <v/>
      </c>
      <c r="B26" s="852"/>
      <c r="C26" s="675" t="str">
        <f t="shared" ref="C26:C33" si="2">IF(B26=0,C25,B26)</f>
        <v>20-01-004</v>
      </c>
      <c r="D26" s="675"/>
      <c r="E26" s="675"/>
      <c r="F26" s="675"/>
      <c r="G26" s="676" t="str">
        <f t="array" ref="G26">IF(OR(C26=C25,C26=0),"",INDEX(CasheirCode[Name],MATCH((INDEX(CsDJ[Sort Code],MATCH(C26,CsDJ[JEV Number],0))),CasheirCode[Sort Code])))</f>
        <v/>
      </c>
      <c r="H26" s="677">
        <f t="array" ref="H26">IF(OR($C26=$C25,$C26=0),0,(SUM(IF((CsDJ[JEV Number]=$C26)*(CsDJ[Account Code]=(H$11)),CsDJ[Credit]))))</f>
        <v>0</v>
      </c>
      <c r="I26" s="677">
        <f t="array" ref="I26">IF(OR($C26=$C25,$C26=0),0,(SUM(IF((CsDJ[JEV Number]=$C26)*(CsDJ[Account Code]=(I$11)),CsDJ[Credit]))))</f>
        <v>0</v>
      </c>
      <c r="J26" s="677">
        <f t="array" ref="J26">IF(OR($C26=$C25,$C26=0),0,(SUM(IF((CsDJ[JEV Number]=$C26)*(CsDJ[Account Code]=(J$11)),CsDJ[Credit]))))</f>
        <v>0</v>
      </c>
      <c r="K26" s="728"/>
      <c r="L26" s="677">
        <f t="array" ref="L26">IF($C26=0,0,(SUM(IF((CsDJ[JEV Number]=$C26)*(CsDJ[Account Code]=(K26)),CsDJ[Credit]))))</f>
        <v>0</v>
      </c>
      <c r="M26" s="677">
        <f t="array" ref="M26">IF(OR($C26=$C25,$C26=0),0,(SUM(IF((CsDJ[JEV Number]=$C26)*(CsDJ[Account Code]=(M$11)),CsDJ[Debit]))))</f>
        <v>0</v>
      </c>
      <c r="N26" s="677">
        <f t="array" ref="N26">IF(OR($C26=$C25,$C26=0),0,(SUM(IF((CsDJ[JEV Number]=$C26)*(CsDJ[Account Code]=(N$11)),CsDJ[Debit]))))</f>
        <v>0</v>
      </c>
      <c r="O26" s="677">
        <f t="array" ref="O26">IF(OR($C26=$C25,$C26=0),0,(SUM(IF((CsDJ[JEV Number]=$C26)*(CsDJ[Account Code]=(O$11)),CsDJ[Debit]))))</f>
        <v>0</v>
      </c>
      <c r="P26" s="677">
        <f t="array" ref="P26">IF(OR($C26=$C25,$C26=0),0,(SUM(IF((CsDJ[JEV Number]=$C26)*(CsDJ[Account Code]=(P$11)),CsDJ[Debit]))))</f>
        <v>0</v>
      </c>
      <c r="Q26" s="726"/>
      <c r="R26" s="692">
        <f t="array" ref="R26">IF($C26=0,0,(SUM(IF((CsDJ[JEV Number]=$C26)*(CsDJ[Account Code]=(Q26)),CsDJ[Debit]))))</f>
        <v>0</v>
      </c>
      <c r="S26" s="679">
        <f t="shared" ref="S26:S33" si="3">S25+(SUM(M26:P26)+R26)-(SUM(H26:J26)+L26)</f>
        <v>0</v>
      </c>
    </row>
    <row r="27" spans="1:19" x14ac:dyDescent="0.25">
      <c r="A27" s="673" t="str">
        <f t="array" ref="A27">IF(OR(C27=C26,C27=0),"",INDEX(CsDJ[Date],MATCH(C27,CsDJ[JEV Number],0)))</f>
        <v/>
      </c>
      <c r="B27" s="852"/>
      <c r="C27" s="675" t="str">
        <f t="shared" si="2"/>
        <v>20-01-004</v>
      </c>
      <c r="D27" s="675"/>
      <c r="E27" s="675"/>
      <c r="F27" s="675"/>
      <c r="G27" s="676" t="str">
        <f t="array" ref="G27">IF(OR(C27=C26,C27=0),"",INDEX(CasheirCode[Name],MATCH((INDEX(CsDJ[Sort Code],MATCH(C27,CsDJ[JEV Number],0))),CasheirCode[Sort Code])))</f>
        <v/>
      </c>
      <c r="H27" s="677">
        <f t="array" ref="H27">IF(OR($C27=$C26,$C27=0),0,(SUM(IF((CsDJ[JEV Number]=$C27)*(CsDJ[Account Code]=(H$11)),CsDJ[Credit]))))</f>
        <v>0</v>
      </c>
      <c r="I27" s="677">
        <f t="array" ref="I27">IF(OR($C27=$C26,$C27=0),0,(SUM(IF((CsDJ[JEV Number]=$C27)*(CsDJ[Account Code]=(I$11)),CsDJ[Credit]))))</f>
        <v>0</v>
      </c>
      <c r="J27" s="677">
        <f t="array" ref="J27">IF(OR($C27=$C26,$C27=0),0,(SUM(IF((CsDJ[JEV Number]=$C27)*(CsDJ[Account Code]=(J$11)),CsDJ[Credit]))))</f>
        <v>0</v>
      </c>
      <c r="K27" s="728"/>
      <c r="L27" s="677">
        <f t="array" ref="L27">IF($C27=0,0,(SUM(IF((CsDJ[JEV Number]=$C27)*(CsDJ[Account Code]=(K27)),CsDJ[Credit]))))</f>
        <v>0</v>
      </c>
      <c r="M27" s="677">
        <f t="array" ref="M27">IF(OR($C27=$C26,$C27=0),0,(SUM(IF((CsDJ[JEV Number]=$C27)*(CsDJ[Account Code]=(M$11)),CsDJ[Debit]))))</f>
        <v>0</v>
      </c>
      <c r="N27" s="677">
        <f t="array" ref="N27">IF(OR($C27=$C26,$C27=0),0,(SUM(IF((CsDJ[JEV Number]=$C27)*(CsDJ[Account Code]=(N$11)),CsDJ[Debit]))))</f>
        <v>0</v>
      </c>
      <c r="O27" s="677">
        <f t="array" ref="O27">IF(OR($C27=$C26,$C27=0),0,(SUM(IF((CsDJ[JEV Number]=$C27)*(CsDJ[Account Code]=(O$11)),CsDJ[Debit]))))</f>
        <v>0</v>
      </c>
      <c r="P27" s="677">
        <f t="array" ref="P27">IF(OR($C27=$C26,$C27=0),0,(SUM(IF((CsDJ[JEV Number]=$C27)*(CsDJ[Account Code]=(P$11)),CsDJ[Debit]))))</f>
        <v>0</v>
      </c>
      <c r="Q27" s="726"/>
      <c r="R27" s="692">
        <f t="array" ref="R27">IF($C27=0,0,(SUM(IF((CsDJ[JEV Number]=$C27)*(CsDJ[Account Code]=(Q27)),CsDJ[Debit]))))</f>
        <v>0</v>
      </c>
      <c r="S27" s="679">
        <f t="shared" si="3"/>
        <v>0</v>
      </c>
    </row>
    <row r="28" spans="1:19" x14ac:dyDescent="0.25">
      <c r="A28" s="673" t="str">
        <f t="array" ref="A28">IF(OR(C28=C27,C28=0),"",INDEX(CsDJ[Date],MATCH(C28,CsDJ[JEV Number],0)))</f>
        <v/>
      </c>
      <c r="B28" s="852"/>
      <c r="C28" s="675" t="str">
        <f t="shared" si="2"/>
        <v>20-01-004</v>
      </c>
      <c r="D28" s="675"/>
      <c r="E28" s="675"/>
      <c r="F28" s="675"/>
      <c r="G28" s="676" t="str">
        <f t="array" ref="G28">IF(OR(C28=C27,C28=0),"",INDEX(CasheirCode[Name],MATCH((INDEX(CsDJ[Sort Code],MATCH(C28,CsDJ[JEV Number],0))),CasheirCode[Sort Code])))</f>
        <v/>
      </c>
      <c r="H28" s="677">
        <f t="array" ref="H28">IF(OR($C28=$C27,$C28=0),0,(SUM(IF((CsDJ[JEV Number]=$C28)*(CsDJ[Account Code]=(H$11)),CsDJ[Credit]))))</f>
        <v>0</v>
      </c>
      <c r="I28" s="677">
        <f t="array" ref="I28">IF(OR($C28=$C27,$C28=0),0,(SUM(IF((CsDJ[JEV Number]=$C28)*(CsDJ[Account Code]=(I$11)),CsDJ[Credit]))))</f>
        <v>0</v>
      </c>
      <c r="J28" s="677">
        <f t="array" ref="J28">IF(OR($C28=$C27,$C28=0),0,(SUM(IF((CsDJ[JEV Number]=$C28)*(CsDJ[Account Code]=(J$11)),CsDJ[Credit]))))</f>
        <v>0</v>
      </c>
      <c r="K28" s="728"/>
      <c r="L28" s="677">
        <f t="array" ref="L28">IF($C28=0,0,(SUM(IF((CsDJ[JEV Number]=$C28)*(CsDJ[Account Code]=(K28)),CsDJ[Credit]))))</f>
        <v>0</v>
      </c>
      <c r="M28" s="677">
        <f t="array" ref="M28">IF(OR($C28=$C27,$C28=0),0,(SUM(IF((CsDJ[JEV Number]=$C28)*(CsDJ[Account Code]=(M$11)),CsDJ[Debit]))))</f>
        <v>0</v>
      </c>
      <c r="N28" s="677">
        <f t="array" ref="N28">IF(OR($C28=$C27,$C28=0),0,(SUM(IF((CsDJ[JEV Number]=$C28)*(CsDJ[Account Code]=(N$11)),CsDJ[Debit]))))</f>
        <v>0</v>
      </c>
      <c r="O28" s="677">
        <f t="array" ref="O28">IF(OR($C28=$C27,$C28=0),0,(SUM(IF((CsDJ[JEV Number]=$C28)*(CsDJ[Account Code]=(O$11)),CsDJ[Debit]))))</f>
        <v>0</v>
      </c>
      <c r="P28" s="677">
        <f t="array" ref="P28">IF(OR($C28=$C27,$C28=0),0,(SUM(IF((CsDJ[JEV Number]=$C28)*(CsDJ[Account Code]=(P$11)),CsDJ[Debit]))))</f>
        <v>0</v>
      </c>
      <c r="Q28" s="726"/>
      <c r="R28" s="692">
        <f t="array" ref="R28">IF($C28=0,0,(SUM(IF((CsDJ[JEV Number]=$C28)*(CsDJ[Account Code]=(Q28)),CsDJ[Debit]))))</f>
        <v>0</v>
      </c>
      <c r="S28" s="679">
        <f t="shared" si="3"/>
        <v>0</v>
      </c>
    </row>
    <row r="29" spans="1:19" x14ac:dyDescent="0.25">
      <c r="A29" s="673" t="str">
        <f t="array" ref="A29">IF(OR(C29=C28,C29=0),"",INDEX(CsDJ[Date],MATCH(C29,CsDJ[JEV Number],0)))</f>
        <v/>
      </c>
      <c r="B29" s="852"/>
      <c r="C29" s="675" t="str">
        <f t="shared" si="2"/>
        <v>20-01-004</v>
      </c>
      <c r="D29" s="675"/>
      <c r="E29" s="675"/>
      <c r="F29" s="675"/>
      <c r="G29" s="676" t="str">
        <f t="array" ref="G29">IF(OR(C29=C28,C29=0),"",INDEX(CasheirCode[Name],MATCH((INDEX(CsDJ[Sort Code],MATCH(C29,CsDJ[JEV Number],0))),CasheirCode[Sort Code])))</f>
        <v/>
      </c>
      <c r="H29" s="677">
        <f t="array" ref="H29">IF(OR($C29=$C28,$C29=0),0,(SUM(IF((CsDJ[JEV Number]=$C29)*(CsDJ[Account Code]=(H$11)),CsDJ[Credit]))))</f>
        <v>0</v>
      </c>
      <c r="I29" s="677">
        <f t="array" ref="I29">IF(OR($C29=$C28,$C29=0),0,(SUM(IF((CsDJ[JEV Number]=$C29)*(CsDJ[Account Code]=(I$11)),CsDJ[Credit]))))</f>
        <v>0</v>
      </c>
      <c r="J29" s="677">
        <f t="array" ref="J29">IF(OR($C29=$C28,$C29=0),0,(SUM(IF((CsDJ[JEV Number]=$C29)*(CsDJ[Account Code]=(J$11)),CsDJ[Credit]))))</f>
        <v>0</v>
      </c>
      <c r="K29" s="728"/>
      <c r="L29" s="677">
        <f t="array" ref="L29">IF($C29=0,0,(SUM(IF((CsDJ[JEV Number]=$C29)*(CsDJ[Account Code]=(K29)),CsDJ[Credit]))))</f>
        <v>0</v>
      </c>
      <c r="M29" s="677">
        <f t="array" ref="M29">IF(OR($C29=$C28,$C29=0),0,(SUM(IF((CsDJ[JEV Number]=$C29)*(CsDJ[Account Code]=(M$11)),CsDJ[Debit]))))</f>
        <v>0</v>
      </c>
      <c r="N29" s="677">
        <f t="array" ref="N29">IF(OR($C29=$C28,$C29=0),0,(SUM(IF((CsDJ[JEV Number]=$C29)*(CsDJ[Account Code]=(N$11)),CsDJ[Debit]))))</f>
        <v>0</v>
      </c>
      <c r="O29" s="677">
        <f t="array" ref="O29">IF(OR($C29=$C28,$C29=0),0,(SUM(IF((CsDJ[JEV Number]=$C29)*(CsDJ[Account Code]=(O$11)),CsDJ[Debit]))))</f>
        <v>0</v>
      </c>
      <c r="P29" s="677">
        <f t="array" ref="P29">IF(OR($C29=$C28,$C29=0),0,(SUM(IF((CsDJ[JEV Number]=$C29)*(CsDJ[Account Code]=(P$11)),CsDJ[Debit]))))</f>
        <v>0</v>
      </c>
      <c r="Q29" s="726"/>
      <c r="R29" s="692">
        <f t="array" ref="R29">IF($C29=0,0,(SUM(IF((CsDJ[JEV Number]=$C29)*(CsDJ[Account Code]=(Q29)),CsDJ[Debit]))))</f>
        <v>0</v>
      </c>
      <c r="S29" s="679">
        <f t="shared" si="3"/>
        <v>0</v>
      </c>
    </row>
    <row r="30" spans="1:19" x14ac:dyDescent="0.25">
      <c r="A30" s="673" t="str">
        <f t="array" ref="A30">IF(OR(C30=C29,C30=0),"",INDEX(CsDJ[Date],MATCH(C30,CsDJ[JEV Number],0)))</f>
        <v/>
      </c>
      <c r="B30" s="852"/>
      <c r="C30" s="675" t="str">
        <f t="shared" si="2"/>
        <v>20-01-004</v>
      </c>
      <c r="D30" s="675"/>
      <c r="E30" s="675"/>
      <c r="F30" s="675"/>
      <c r="G30" s="676" t="str">
        <f t="array" ref="G30">IF(OR(C30=C29,C30=0),"",INDEX(CasheirCode[Name],MATCH((INDEX(CsDJ[Sort Code],MATCH(C30,CsDJ[JEV Number],0))),CasheirCode[Sort Code])))</f>
        <v/>
      </c>
      <c r="H30" s="677">
        <f t="array" ref="H30">IF(OR($C30=$C29,$C30=0),0,(SUM(IF((CsDJ[JEV Number]=$C30)*(CsDJ[Account Code]=(H$11)),CsDJ[Credit]))))</f>
        <v>0</v>
      </c>
      <c r="I30" s="677">
        <f t="array" ref="I30">IF(OR($C30=$C29,$C30=0),0,(SUM(IF((CsDJ[JEV Number]=$C30)*(CsDJ[Account Code]=(I$11)),CsDJ[Credit]))))</f>
        <v>0</v>
      </c>
      <c r="J30" s="677">
        <f t="array" ref="J30">IF(OR($C30=$C29,$C30=0),0,(SUM(IF((CsDJ[JEV Number]=$C30)*(CsDJ[Account Code]=(J$11)),CsDJ[Credit]))))</f>
        <v>0</v>
      </c>
      <c r="K30" s="728"/>
      <c r="L30" s="677">
        <f t="array" ref="L30">IF($C30=0,0,(SUM(IF((CsDJ[JEV Number]=$C30)*(CsDJ[Account Code]=(K30)),CsDJ[Credit]))))</f>
        <v>0</v>
      </c>
      <c r="M30" s="677">
        <f t="array" ref="M30">IF(OR($C30=$C29,$C30=0),0,(SUM(IF((CsDJ[JEV Number]=$C30)*(CsDJ[Account Code]=(M$11)),CsDJ[Debit]))))</f>
        <v>0</v>
      </c>
      <c r="N30" s="677">
        <f t="array" ref="N30">IF(OR($C30=$C29,$C30=0),0,(SUM(IF((CsDJ[JEV Number]=$C30)*(CsDJ[Account Code]=(N$11)),CsDJ[Debit]))))</f>
        <v>0</v>
      </c>
      <c r="O30" s="677">
        <f t="array" ref="O30">IF(OR($C30=$C29,$C30=0),0,(SUM(IF((CsDJ[JEV Number]=$C30)*(CsDJ[Account Code]=(O$11)),CsDJ[Debit]))))</f>
        <v>0</v>
      </c>
      <c r="P30" s="677">
        <f t="array" ref="P30">IF(OR($C30=$C29,$C30=0),0,(SUM(IF((CsDJ[JEV Number]=$C30)*(CsDJ[Account Code]=(P$11)),CsDJ[Debit]))))</f>
        <v>0</v>
      </c>
      <c r="Q30" s="726"/>
      <c r="R30" s="692">
        <f t="array" ref="R30">IF($C30=0,0,(SUM(IF((CsDJ[JEV Number]=$C30)*(CsDJ[Account Code]=(Q30)),CsDJ[Debit]))))</f>
        <v>0</v>
      </c>
      <c r="S30" s="679">
        <f t="shared" si="3"/>
        <v>0</v>
      </c>
    </row>
    <row r="31" spans="1:19" x14ac:dyDescent="0.25">
      <c r="A31" s="673" t="str">
        <f t="array" ref="A31">IF(OR(C31=C30,C31=0),"",INDEX(CsDJ[Date],MATCH(C31,CsDJ[JEV Number],0)))</f>
        <v/>
      </c>
      <c r="B31" s="852"/>
      <c r="C31" s="675" t="str">
        <f t="shared" si="2"/>
        <v>20-01-004</v>
      </c>
      <c r="D31" s="675"/>
      <c r="E31" s="675"/>
      <c r="F31" s="675"/>
      <c r="G31" s="676" t="str">
        <f t="array" ref="G31">IF(OR(C31=C30,C31=0),"",INDEX(CasheirCode[Name],MATCH((INDEX(CsDJ[Sort Code],MATCH(C31,CsDJ[JEV Number],0))),CasheirCode[Sort Code])))</f>
        <v/>
      </c>
      <c r="H31" s="677">
        <f t="array" ref="H31">IF(OR($C31=$C30,$C31=0),0,(SUM(IF((CsDJ[JEV Number]=$C31)*(CsDJ[Account Code]=(H$11)),CsDJ[Credit]))))</f>
        <v>0</v>
      </c>
      <c r="I31" s="677">
        <f t="array" ref="I31">IF(OR($C31=$C30,$C31=0),0,(SUM(IF((CsDJ[JEV Number]=$C31)*(CsDJ[Account Code]=(I$11)),CsDJ[Credit]))))</f>
        <v>0</v>
      </c>
      <c r="J31" s="677">
        <f t="array" ref="J31">IF(OR($C31=$C30,$C31=0),0,(SUM(IF((CsDJ[JEV Number]=$C31)*(CsDJ[Account Code]=(J$11)),CsDJ[Credit]))))</f>
        <v>0</v>
      </c>
      <c r="K31" s="728"/>
      <c r="L31" s="677">
        <f t="array" ref="L31">IF($C31=0,0,(SUM(IF((CsDJ[JEV Number]=$C31)*(CsDJ[Account Code]=(K31)),CsDJ[Credit]))))</f>
        <v>0</v>
      </c>
      <c r="M31" s="677">
        <f t="array" ref="M31">IF(OR($C31=$C30,$C31=0),0,(SUM(IF((CsDJ[JEV Number]=$C31)*(CsDJ[Account Code]=(M$11)),CsDJ[Debit]))))</f>
        <v>0</v>
      </c>
      <c r="N31" s="677">
        <f t="array" ref="N31">IF(OR($C31=$C30,$C31=0),0,(SUM(IF((CsDJ[JEV Number]=$C31)*(CsDJ[Account Code]=(N$11)),CsDJ[Debit]))))</f>
        <v>0</v>
      </c>
      <c r="O31" s="677">
        <f t="array" ref="O31">IF(OR($C31=$C30,$C31=0),0,(SUM(IF((CsDJ[JEV Number]=$C31)*(CsDJ[Account Code]=(O$11)),CsDJ[Debit]))))</f>
        <v>0</v>
      </c>
      <c r="P31" s="677">
        <f t="array" ref="P31">IF(OR($C31=$C30,$C31=0),0,(SUM(IF((CsDJ[JEV Number]=$C31)*(CsDJ[Account Code]=(P$11)),CsDJ[Debit]))))</f>
        <v>0</v>
      </c>
      <c r="Q31" s="726"/>
      <c r="R31" s="692">
        <f t="array" ref="R31">IF($C31=0,0,(SUM(IF((CsDJ[JEV Number]=$C31)*(CsDJ[Account Code]=(Q31)),CsDJ[Debit]))))</f>
        <v>0</v>
      </c>
      <c r="S31" s="679">
        <f t="shared" si="3"/>
        <v>0</v>
      </c>
    </row>
    <row r="32" spans="1:19" x14ac:dyDescent="0.25">
      <c r="A32" s="673" t="str">
        <f t="array" ref="A32">IF(OR(C32=C31,C32=0),"",INDEX(CsDJ[Date],MATCH(C32,CsDJ[JEV Number],0)))</f>
        <v/>
      </c>
      <c r="B32" s="852"/>
      <c r="C32" s="675" t="str">
        <f t="shared" si="2"/>
        <v>20-01-004</v>
      </c>
      <c r="D32" s="675"/>
      <c r="E32" s="675"/>
      <c r="F32" s="675"/>
      <c r="G32" s="676" t="str">
        <f t="array" ref="G32">IF(OR(C32=C31,C32=0),"",INDEX(CasheirCode[Name],MATCH((INDEX(CsDJ[Sort Code],MATCH(C32,CsDJ[JEV Number],0))),CasheirCode[Sort Code])))</f>
        <v/>
      </c>
      <c r="H32" s="677">
        <f t="array" ref="H32">IF(OR($C32=$C31,$C32=0),0,(SUM(IF((CsDJ[JEV Number]=$C32)*(CsDJ[Account Code]=(H$11)),CsDJ[Credit]))))</f>
        <v>0</v>
      </c>
      <c r="I32" s="677">
        <f t="array" ref="I32">IF(OR($C32=$C31,$C32=0),0,(SUM(IF((CsDJ[JEV Number]=$C32)*(CsDJ[Account Code]=(I$11)),CsDJ[Credit]))))</f>
        <v>0</v>
      </c>
      <c r="J32" s="677">
        <f t="array" ref="J32">IF(OR($C32=$C31,$C32=0),0,(SUM(IF((CsDJ[JEV Number]=$C32)*(CsDJ[Account Code]=(J$11)),CsDJ[Credit]))))</f>
        <v>0</v>
      </c>
      <c r="K32" s="728"/>
      <c r="L32" s="677">
        <f t="array" ref="L32">IF($C32=0,0,(SUM(IF((CsDJ[JEV Number]=$C32)*(CsDJ[Account Code]=(K32)),CsDJ[Credit]))))</f>
        <v>0</v>
      </c>
      <c r="M32" s="677">
        <f t="array" ref="M32">IF(OR($C32=$C31,$C32=0),0,(SUM(IF((CsDJ[JEV Number]=$C32)*(CsDJ[Account Code]=(M$11)),CsDJ[Debit]))))</f>
        <v>0</v>
      </c>
      <c r="N32" s="677">
        <f t="array" ref="N32">IF(OR($C32=$C31,$C32=0),0,(SUM(IF((CsDJ[JEV Number]=$C32)*(CsDJ[Account Code]=(N$11)),CsDJ[Debit]))))</f>
        <v>0</v>
      </c>
      <c r="O32" s="677">
        <f t="array" ref="O32">IF(OR($C32=$C31,$C32=0),0,(SUM(IF((CsDJ[JEV Number]=$C32)*(CsDJ[Account Code]=(O$11)),CsDJ[Debit]))))</f>
        <v>0</v>
      </c>
      <c r="P32" s="677">
        <f t="array" ref="P32">IF(OR($C32=$C31,$C32=0),0,(SUM(IF((CsDJ[JEV Number]=$C32)*(CsDJ[Account Code]=(P$11)),CsDJ[Debit]))))</f>
        <v>0</v>
      </c>
      <c r="Q32" s="726"/>
      <c r="R32" s="692">
        <f t="array" ref="R32">IF($C32=0,0,(SUM(IF((CsDJ[JEV Number]=$C32)*(CsDJ[Account Code]=(Q32)),CsDJ[Debit]))))</f>
        <v>0</v>
      </c>
      <c r="S32" s="679">
        <f t="shared" si="3"/>
        <v>0</v>
      </c>
    </row>
    <row r="33" spans="1:19" x14ac:dyDescent="0.25">
      <c r="A33" s="673" t="str">
        <f t="array" ref="A33">IF(OR(C33=C32,C33=0),"",INDEX(CsDJ[Date],MATCH(C33,CsDJ[JEV Number],0)))</f>
        <v/>
      </c>
      <c r="B33" s="852"/>
      <c r="C33" s="675" t="str">
        <f t="shared" si="2"/>
        <v>20-01-004</v>
      </c>
      <c r="D33" s="675"/>
      <c r="E33" s="675"/>
      <c r="F33" s="675"/>
      <c r="G33" s="676" t="str">
        <f t="array" ref="G33">IF(OR(C33=C32,C33=0),"",INDEX(CasheirCode[Name],MATCH((INDEX(CsDJ[Sort Code],MATCH(C33,CsDJ[JEV Number],0))),CasheirCode[Sort Code])))</f>
        <v/>
      </c>
      <c r="H33" s="677">
        <f t="array" ref="H33">IF(OR($C33=$C32,$C33=0),0,(SUM(IF((CsDJ[JEV Number]=$C33)*(CsDJ[Account Code]=(H$11)),CsDJ[Credit]))))</f>
        <v>0</v>
      </c>
      <c r="I33" s="677">
        <f t="array" ref="I33">IF(OR($C33=$C32,$C33=0),0,(SUM(IF((CsDJ[JEV Number]=$C33)*(CsDJ[Account Code]=(I$11)),CsDJ[Credit]))))</f>
        <v>0</v>
      </c>
      <c r="J33" s="677">
        <f t="array" ref="J33">IF(OR($C33=$C32,$C33=0),0,(SUM(IF((CsDJ[JEV Number]=$C33)*(CsDJ[Account Code]=(J$11)),CsDJ[Credit]))))</f>
        <v>0</v>
      </c>
      <c r="K33" s="132"/>
      <c r="L33" s="677">
        <f t="array" ref="L33">IF($C33=0,0,(SUM(IF((CsDJ[JEV Number]=$C33)*(CsDJ[Account Code]=(K33)),CsDJ[Credit]))))</f>
        <v>0</v>
      </c>
      <c r="M33" s="677">
        <f t="array" ref="M33">IF(OR($C33=$C32,$C33=0),0,(SUM(IF((CsDJ[JEV Number]=$C33)*(CsDJ[Account Code]=(M$11)),CsDJ[Debit]))))</f>
        <v>0</v>
      </c>
      <c r="N33" s="677">
        <f t="array" ref="N33">IF(OR($C33=$C32,$C33=0),0,(SUM(IF((CsDJ[JEV Number]=$C33)*(CsDJ[Account Code]=(N$11)),CsDJ[Debit]))))</f>
        <v>0</v>
      </c>
      <c r="O33" s="677">
        <f t="array" ref="O33">IF(OR($C33=$C32,$C33=0),0,(SUM(IF((CsDJ[JEV Number]=$C33)*(CsDJ[Account Code]=(O$11)),CsDJ[Debit]))))</f>
        <v>0</v>
      </c>
      <c r="P33" s="677">
        <f t="array" ref="P33">IF(OR($C33=$C32,$C33=0),0,(SUM(IF((CsDJ[JEV Number]=$C33)*(CsDJ[Account Code]=(P$11)),CsDJ[Debit]))))</f>
        <v>0</v>
      </c>
      <c r="Q33" s="726"/>
      <c r="R33" s="692">
        <f t="array" ref="R33">IF($C33=0,0,(SUM(IF((CsDJ[JEV Number]=$C33)*(CsDJ[Account Code]=(Q33)),CsDJ[Debit]))))</f>
        <v>0</v>
      </c>
      <c r="S33" s="679">
        <f t="shared" si="3"/>
        <v>0</v>
      </c>
    </row>
    <row r="34" spans="1:19" x14ac:dyDescent="0.25">
      <c r="A34" s="721" t="str">
        <f t="array" ref="A34">IF(OR(C34=C33,C34=0),"",INDEX(CsDJ[Date],MATCH(C34,CsDJ[JEV Number],0)))</f>
        <v/>
      </c>
      <c r="B34" s="850"/>
      <c r="C34" s="524" t="str">
        <f>IF(B34=0,C33,B34)</f>
        <v>20-01-004</v>
      </c>
      <c r="D34" s="524"/>
      <c r="E34" s="524"/>
      <c r="F34" s="524"/>
      <c r="G34" s="94" t="str">
        <f t="array" ref="G34">IF(OR(C34=C33,C34=0),"",INDEX(CasheirCode[Name],MATCH((INDEX(CsDJ[Sort Code],MATCH(C34,CsDJ[JEV Number],0))),CasheirCode[Sort Code])))</f>
        <v/>
      </c>
      <c r="H34" s="722">
        <f t="array" ref="H34">IF(OR($C34=$C33,$C34=0),0,(SUM(IF((CsDJ[JEV Number]=$C34)*(CsDJ[Account Code]=(H$11)),CsDJ[Credit]))))</f>
        <v>0</v>
      </c>
      <c r="I34" s="722">
        <f t="array" ref="I34">IF(OR($C34=$C33,$C34=0),0,(SUM(IF((CsDJ[JEV Number]=$C34)*(CsDJ[Account Code]=(I$11)),CsDJ[Credit]))))</f>
        <v>0</v>
      </c>
      <c r="J34" s="722">
        <f t="array" ref="J34">IF(OR($C34=$C33,$C34=0),0,(SUM(IF((CsDJ[JEV Number]=$C34)*(CsDJ[Account Code]=(J$11)),CsDJ[Credit]))))</f>
        <v>0</v>
      </c>
      <c r="K34" s="772"/>
      <c r="L34" s="722">
        <f t="array" ref="L34">IF($C34=0,0,(SUM(IF((CsDJ[JEV Number]=$C34)*(CsDJ[Account Code]=(K34)),CsDJ[Credit]))))</f>
        <v>0</v>
      </c>
      <c r="M34" s="722">
        <f t="array" ref="M34">IF(OR($C34=$C33,$C34=0),0,(SUM(IF((CsDJ[JEV Number]=$C34)*(CsDJ[Account Code]=(M$11)),CsDJ[Debit]))))</f>
        <v>0</v>
      </c>
      <c r="N34" s="722">
        <f t="array" ref="N34">IF(OR($C34=$C33,$C34=0),0,(SUM(IF((CsDJ[JEV Number]=$C34)*(CsDJ[Account Code]=(N$11)),CsDJ[Debit]))))</f>
        <v>0</v>
      </c>
      <c r="O34" s="722">
        <f t="array" ref="O34">IF(OR($C34=$C33,$C34=0),0,(SUM(IF((CsDJ[JEV Number]=$C34)*(CsDJ[Account Code]=(O$11)),CsDJ[Debit]))))</f>
        <v>0</v>
      </c>
      <c r="P34" s="722">
        <f t="array" ref="P34">IF(OR($C34=$C33,$C34=0),0,(SUM(IF((CsDJ[JEV Number]=$C34)*(CsDJ[Account Code]=(P$11)),CsDJ[Debit]))))</f>
        <v>0</v>
      </c>
      <c r="Q34" s="725"/>
      <c r="R34" s="519">
        <f t="array" ref="R34">IF($C34=0,0,(SUM(IF((CsDJ[JEV Number]=$C34)*(CsDJ[Account Code]=(Q34)),CsDJ[Debit]))))</f>
        <v>0</v>
      </c>
      <c r="S34" s="723">
        <f>S33+(SUM(M34:P34)+R34)-(SUM(H34:J34)+L34)</f>
        <v>0</v>
      </c>
    </row>
    <row r="35" spans="1:19" x14ac:dyDescent="0.25">
      <c r="A35" s="721" t="str">
        <f t="array" ref="A35">IF(OR(C35=C34,C35=0),"",INDEX(CsDJ[Date],MATCH(C35,CsDJ[JEV Number],0)))</f>
        <v/>
      </c>
      <c r="B35" s="850"/>
      <c r="C35" s="524" t="str">
        <f>IF(B35=0,C34,B35)</f>
        <v>20-01-004</v>
      </c>
      <c r="D35" s="524"/>
      <c r="E35" s="524"/>
      <c r="F35" s="524"/>
      <c r="G35" s="94" t="str">
        <f t="array" ref="G35">IF(OR(C35=C34,C35=0),"",INDEX(CasheirCode[Name],MATCH((INDEX(CsDJ[Sort Code],MATCH(C35,CsDJ[JEV Number],0))),CasheirCode[Sort Code])))</f>
        <v/>
      </c>
      <c r="H35" s="722">
        <f t="array" ref="H35">IF(OR($C35=$C34,$C35=0),0,(SUM(IF((CsDJ[JEV Number]=$C35)*(CsDJ[Account Code]=(H$11)),CsDJ[Credit]))))</f>
        <v>0</v>
      </c>
      <c r="I35" s="722">
        <f t="array" ref="I35">IF(OR($C35=$C34,$C35=0),0,(SUM(IF((CsDJ[JEV Number]=$C35)*(CsDJ[Account Code]=(I$11)),CsDJ[Credit]))))</f>
        <v>0</v>
      </c>
      <c r="J35" s="722">
        <f t="array" ref="J35">IF(OR($C35=$C34,$C35=0),0,(SUM(IF((CsDJ[JEV Number]=$C35)*(CsDJ[Account Code]=(J$11)),CsDJ[Credit]))))</f>
        <v>0</v>
      </c>
      <c r="K35" s="772"/>
      <c r="L35" s="722">
        <f t="array" ref="L35">IF($C35=0,0,(SUM(IF((CsDJ[JEV Number]=$C35)*(CsDJ[Account Code]=(K35)),CsDJ[Credit]))))</f>
        <v>0</v>
      </c>
      <c r="M35" s="722">
        <f t="array" ref="M35">IF(OR($C35=$C34,$C35=0),0,(SUM(IF((CsDJ[JEV Number]=$C35)*(CsDJ[Account Code]=(M$11)),CsDJ[Debit]))))</f>
        <v>0</v>
      </c>
      <c r="N35" s="722">
        <f t="array" ref="N35">IF(OR($C35=$C34,$C35=0),0,(SUM(IF((CsDJ[JEV Number]=$C35)*(CsDJ[Account Code]=(N$11)),CsDJ[Debit]))))</f>
        <v>0</v>
      </c>
      <c r="O35" s="722">
        <f t="array" ref="O35">IF(OR($C35=$C34,$C35=0),0,(SUM(IF((CsDJ[JEV Number]=$C35)*(CsDJ[Account Code]=(O$11)),CsDJ[Debit]))))</f>
        <v>0</v>
      </c>
      <c r="P35" s="722">
        <f t="array" ref="P35">IF(OR($C35=$C34,$C35=0),0,(SUM(IF((CsDJ[JEV Number]=$C35)*(CsDJ[Account Code]=(P$11)),CsDJ[Debit]))))</f>
        <v>0</v>
      </c>
      <c r="Q35" s="725"/>
      <c r="R35" s="519">
        <f t="array" ref="R35">IF($C35=0,0,(SUM(IF((CsDJ[JEV Number]=$C35)*(CsDJ[Account Code]=(Q35)),CsDJ[Debit]))))</f>
        <v>0</v>
      </c>
      <c r="S35" s="723">
        <f>S34+(SUM(M35:P35)+R35)-(SUM(H35:J35)+L35)</f>
        <v>0</v>
      </c>
    </row>
    <row r="36" spans="1:19" x14ac:dyDescent="0.25">
      <c r="A36" s="721" t="str">
        <f t="array" ref="A36">IF(OR(C36=C35,C36=0),"",INDEX(CsDJ[Date],MATCH(C36,CsDJ[JEV Number],0)))</f>
        <v/>
      </c>
      <c r="B36" s="850"/>
      <c r="C36" s="524" t="str">
        <f>IF(B36=0,C35,B36)</f>
        <v>20-01-004</v>
      </c>
      <c r="D36" s="524"/>
      <c r="E36" s="524"/>
      <c r="F36" s="524"/>
      <c r="G36" s="94" t="str">
        <f t="array" ref="G36">IF(OR(C36=C35,C36=0),"",INDEX(CasheirCode[Name],MATCH((INDEX(CsDJ[Sort Code],MATCH(C36,CsDJ[JEV Number],0))),CasheirCode[Sort Code])))</f>
        <v/>
      </c>
      <c r="H36" s="722">
        <f t="array" ref="H36">IF(OR($C36=$C35,$C36=0),0,(SUM(IF((CsDJ[JEV Number]=$C36)*(CsDJ[Account Code]=(H$11)),CsDJ[Credit]))))</f>
        <v>0</v>
      </c>
      <c r="I36" s="722">
        <f t="array" ref="I36">IF(OR($C36=$C35,$C36=0),0,(SUM(IF((CsDJ[JEV Number]=$C36)*(CsDJ[Account Code]=(I$11)),CsDJ[Credit]))))</f>
        <v>0</v>
      </c>
      <c r="J36" s="722">
        <f t="array" ref="J36">IF(OR($C36=$C35,$C36=0),0,(SUM(IF((CsDJ[JEV Number]=$C36)*(CsDJ[Account Code]=(J$11)),CsDJ[Credit]))))</f>
        <v>0</v>
      </c>
      <c r="K36" s="772"/>
      <c r="L36" s="722">
        <f t="array" ref="L36">IF($C36=0,0,(SUM(IF((CsDJ[JEV Number]=$C36)*(CsDJ[Account Code]=(K36)),CsDJ[Credit]))))</f>
        <v>0</v>
      </c>
      <c r="M36" s="722">
        <f t="array" ref="M36">IF(OR($C36=$C35,$C36=0),0,(SUM(IF((CsDJ[JEV Number]=$C36)*(CsDJ[Account Code]=(M$11)),CsDJ[Debit]))))</f>
        <v>0</v>
      </c>
      <c r="N36" s="722">
        <f t="array" ref="N36">IF(OR($C36=$C35,$C36=0),0,(SUM(IF((CsDJ[JEV Number]=$C36)*(CsDJ[Account Code]=(N$11)),CsDJ[Debit]))))</f>
        <v>0</v>
      </c>
      <c r="O36" s="722">
        <f t="array" ref="O36">IF(OR($C36=$C35,$C36=0),0,(SUM(IF((CsDJ[JEV Number]=$C36)*(CsDJ[Account Code]=(O$11)),CsDJ[Debit]))))</f>
        <v>0</v>
      </c>
      <c r="P36" s="722">
        <f t="array" ref="P36">IF(OR($C36=$C35,$C36=0),0,(SUM(IF((CsDJ[JEV Number]=$C36)*(CsDJ[Account Code]=(P$11)),CsDJ[Debit]))))</f>
        <v>0</v>
      </c>
      <c r="Q36" s="316"/>
      <c r="R36" s="519">
        <f t="array" ref="R36">IF($C36=0,0,(SUM(IF((CsDJ[JEV Number]=$C36)*(CsDJ[Account Code]=(Q36)),CsDJ[Debit]))))</f>
        <v>0</v>
      </c>
      <c r="S36" s="723">
        <f t="shared" ref="S36:S41" si="4">S35+(SUM(M36:P36)+R36)-(SUM(H36:J36)+L36)</f>
        <v>0</v>
      </c>
    </row>
    <row r="37" spans="1:19" x14ac:dyDescent="0.25">
      <c r="A37" s="721" t="str">
        <f t="array" ref="A37">IF(OR(C37=C36,C37=0),"",INDEX(CsDJ[Date],MATCH(C37,CsDJ[JEV Number],0)))</f>
        <v/>
      </c>
      <c r="B37" s="850"/>
      <c r="C37" s="524" t="str">
        <f>IF(B37=0,C36,B37)</f>
        <v>20-01-004</v>
      </c>
      <c r="D37" s="524"/>
      <c r="E37" s="524"/>
      <c r="F37" s="524"/>
      <c r="G37" s="94" t="str">
        <f t="array" ref="G37">IF(OR(C37=C36,C37=0),"",INDEX(CasheirCode[Name],MATCH((INDEX(CsDJ[Sort Code],MATCH(C37,CsDJ[JEV Number],0))),CasheirCode[Sort Code])))</f>
        <v/>
      </c>
      <c r="H37" s="722">
        <f t="array" ref="H37">IF(OR($C37=$C36,$C37=0),0,(SUM(IF((CsDJ[JEV Number]=$C37)*(CsDJ[Account Code]=(H$11)),CsDJ[Credit]))))</f>
        <v>0</v>
      </c>
      <c r="I37" s="722">
        <f t="array" ref="I37">IF(OR($C37=$C36,$C37=0),0,(SUM(IF((CsDJ[JEV Number]=$C37)*(CsDJ[Account Code]=(I$11)),CsDJ[Credit]))))</f>
        <v>0</v>
      </c>
      <c r="J37" s="722">
        <f t="array" ref="J37">IF(OR($C37=$C36,$C37=0),0,(SUM(IF((CsDJ[JEV Number]=$C37)*(CsDJ[Account Code]=(J$11)),CsDJ[Credit]))))</f>
        <v>0</v>
      </c>
      <c r="K37" s="728"/>
      <c r="L37" s="722">
        <f t="array" ref="L37">IF($C37=0,0,(SUM(IF((CsDJ[JEV Number]=$C37)*(CsDJ[Account Code]=(K37)),CsDJ[Credit]))))</f>
        <v>0</v>
      </c>
      <c r="M37" s="722">
        <f t="array" ref="M37">IF(OR($C37=$C36,$C37=0),0,(SUM(IF((CsDJ[JEV Number]=$C37)*(CsDJ[Account Code]=(M$11)),CsDJ[Debit]))))</f>
        <v>0</v>
      </c>
      <c r="N37" s="722">
        <f t="array" ref="N37">IF(OR($C37=$C36,$C37=0),0,(SUM(IF((CsDJ[JEV Number]=$C37)*(CsDJ[Account Code]=(N$11)),CsDJ[Debit]))))</f>
        <v>0</v>
      </c>
      <c r="O37" s="722">
        <f t="array" ref="O37">IF(OR($C37=$C36,$C37=0),0,(SUM(IF((CsDJ[JEV Number]=$C37)*(CsDJ[Account Code]=(O$11)),CsDJ[Debit]))))</f>
        <v>0</v>
      </c>
      <c r="P37" s="722">
        <f t="array" ref="P37">IF(OR($C37=$C36,$C37=0),0,(SUM(IF((CsDJ[JEV Number]=$C37)*(CsDJ[Account Code]=(P$11)),CsDJ[Debit]))))</f>
        <v>0</v>
      </c>
      <c r="Q37" s="316"/>
      <c r="R37" s="519">
        <f t="array" ref="R37">IF($C37=0,0,(SUM(IF((CsDJ[JEV Number]=$C37)*(CsDJ[Account Code]=(Q37)),CsDJ[Debit]))))</f>
        <v>0</v>
      </c>
      <c r="S37" s="723">
        <f t="shared" si="4"/>
        <v>0</v>
      </c>
    </row>
    <row r="38" spans="1:19" x14ac:dyDescent="0.25">
      <c r="A38" s="673" t="str">
        <f t="array" ref="A38">IF(OR(C38=C37,C38=0),"",INDEX(CsDJ[Date],MATCH(C38,CsDJ[JEV Number],0)))</f>
        <v/>
      </c>
      <c r="B38" s="854"/>
      <c r="C38" s="690" t="str">
        <f t="shared" ref="C38:C44" si="5">IF(B38=0,C37,B38)</f>
        <v>20-01-004</v>
      </c>
      <c r="D38" s="690"/>
      <c r="E38" s="690"/>
      <c r="F38" s="690"/>
      <c r="G38" s="691" t="str">
        <f t="array" ref="G38">IF(OR(C38=C37,C38=0),"",INDEX(CasheirCode[Name],MATCH((INDEX(CsDJ[Sort Code],MATCH(C38,CsDJ[JEV Number],0))),CasheirCode[Sort Code])))</f>
        <v/>
      </c>
      <c r="H38" s="692">
        <f t="array" ref="H38">IF(OR($C38=$C37,$C38=0),0,(SUM(IF((CsDJ[JEV Number]=$C38)*(CsDJ[Account Code]=(H$11)),CsDJ[Credit]))))</f>
        <v>0</v>
      </c>
      <c r="I38" s="692">
        <f t="array" ref="I38">IF(OR($C38=$C37,$C38=0),0,(SUM(IF((CsDJ[JEV Number]=$C38)*(CsDJ[Account Code]=(I$11)),CsDJ[Credit]))))</f>
        <v>0</v>
      </c>
      <c r="J38" s="692">
        <f t="array" ref="J38">IF(OR($C38=$C37,$C38=0),0,(SUM(IF((CsDJ[JEV Number]=$C38)*(CsDJ[Account Code]=(J$11)),CsDJ[Credit]))))</f>
        <v>0</v>
      </c>
      <c r="K38" s="728"/>
      <c r="L38" s="692">
        <f t="array" ref="L38">IF($C38=0,0,(SUM(IF((CsDJ[JEV Number]=$C38)*(CsDJ[Account Code]=(K38)),CsDJ[Credit]))))</f>
        <v>0</v>
      </c>
      <c r="M38" s="692">
        <f t="array" ref="M38">IF(OR($C38=$C37,$C38=0),0,(SUM(IF((CsDJ[JEV Number]=$C38)*(CsDJ[Account Code]=(M$11)),CsDJ[Debit]))))</f>
        <v>0</v>
      </c>
      <c r="N38" s="692">
        <f t="array" ref="N38">IF(OR($C38=$C37,$C38=0),0,(SUM(IF((CsDJ[JEV Number]=$C38)*(CsDJ[Account Code]=(N$11)),CsDJ[Debit]))))</f>
        <v>0</v>
      </c>
      <c r="O38" s="692">
        <f t="array" ref="O38">IF(OR($C38=$C37,$C38=0),0,(SUM(IF((CsDJ[JEV Number]=$C38)*(CsDJ[Account Code]=(O$11)),CsDJ[Debit]))))</f>
        <v>0</v>
      </c>
      <c r="P38" s="692">
        <f t="array" ref="P38">IF(OR($C38=$C37,$C38=0),0,(SUM(IF((CsDJ[JEV Number]=$C38)*(CsDJ[Account Code]=(P$11)),CsDJ[Debit]))))</f>
        <v>0</v>
      </c>
      <c r="Q38" s="779"/>
      <c r="R38" s="692">
        <f t="array" ref="R38">IF($C38=0,0,(SUM(IF((CsDJ[JEV Number]=$C38)*(CsDJ[Account Code]=(Q38)),CsDJ[Debit]))))</f>
        <v>0</v>
      </c>
      <c r="S38" s="694">
        <f t="shared" si="4"/>
        <v>0</v>
      </c>
    </row>
    <row r="39" spans="1:19" x14ac:dyDescent="0.25">
      <c r="A39" s="673" t="str">
        <f t="array" ref="A39">IF(OR(C39=C38,C39=0),"",INDEX(CsDJ[Date],MATCH(C39,CsDJ[JEV Number],0)))</f>
        <v/>
      </c>
      <c r="B39" s="852"/>
      <c r="C39" s="690" t="str">
        <f t="shared" si="5"/>
        <v>20-01-004</v>
      </c>
      <c r="D39" s="690"/>
      <c r="E39" s="690"/>
      <c r="F39" s="690"/>
      <c r="G39" s="691" t="str">
        <f t="array" ref="G39">IF(OR(C39=C38,C39=0),"",INDEX(CasheirCode[Name],MATCH((INDEX(CsDJ[Sort Code],MATCH(C39,CsDJ[JEV Number],0))),CasheirCode[Sort Code])))</f>
        <v/>
      </c>
      <c r="H39" s="692">
        <f t="array" ref="H39">IF(OR($C39=$C38,$C39=0),0,(SUM(IF((CsDJ[JEV Number]=$C39)*(CsDJ[Account Code]=(H$11)),CsDJ[Credit]))))</f>
        <v>0</v>
      </c>
      <c r="I39" s="692">
        <f t="array" ref="I39">IF(OR($C39=$C38,$C39=0),0,(SUM(IF((CsDJ[JEV Number]=$C39)*(CsDJ[Account Code]=(I$11)),CsDJ[Credit]))))</f>
        <v>0</v>
      </c>
      <c r="J39" s="692">
        <f t="array" ref="J39">IF(OR($C39=$C38,$C39=0),0,(SUM(IF((CsDJ[JEV Number]=$C39)*(CsDJ[Account Code]=(J$11)),CsDJ[Credit]))))</f>
        <v>0</v>
      </c>
      <c r="K39" s="784"/>
      <c r="L39" s="692">
        <f t="array" ref="L39">IF($C39=0,0,(SUM(IF((CsDJ[JEV Number]=$C39)*(CsDJ[Account Code]=(K39)),CsDJ[Credit]))))</f>
        <v>0</v>
      </c>
      <c r="M39" s="692">
        <f t="array" ref="M39">IF(OR($C39=$C38,$C39=0),0,(SUM(IF((CsDJ[JEV Number]=$C39)*(CsDJ[Account Code]=(M$11)),CsDJ[Debit]))))</f>
        <v>0</v>
      </c>
      <c r="N39" s="692">
        <f t="array" ref="N39">IF(OR($C39=$C38,$C39=0),0,(SUM(IF((CsDJ[JEV Number]=$C39)*(CsDJ[Account Code]=(N$11)),CsDJ[Debit]))))</f>
        <v>0</v>
      </c>
      <c r="O39" s="692">
        <f t="array" ref="O39">IF(OR($C39=$C38,$C39=0),0,(SUM(IF((CsDJ[JEV Number]=$C39)*(CsDJ[Account Code]=(O$11)),CsDJ[Debit]))))</f>
        <v>0</v>
      </c>
      <c r="P39" s="692">
        <f t="array" ref="P39">IF(OR($C39=$C38,$C39=0),0,(SUM(IF((CsDJ[JEV Number]=$C39)*(CsDJ[Account Code]=(P$11)),CsDJ[Debit]))))</f>
        <v>0</v>
      </c>
      <c r="Q39" s="726"/>
      <c r="R39" s="692">
        <f t="array" ref="R39">IF($C39=0,0,(SUM(IF((CsDJ[JEV Number]=$C39)*(CsDJ[Account Code]=(Q39)),CsDJ[Debit]))))</f>
        <v>0</v>
      </c>
      <c r="S39" s="694">
        <f t="shared" si="4"/>
        <v>0</v>
      </c>
    </row>
    <row r="40" spans="1:19" s="787" customFormat="1" x14ac:dyDescent="0.25">
      <c r="A40" s="776" t="str">
        <f t="array" ref="A40">IF(OR(C40=C39,C40=0),"",INDEX(CsDJ[Date],MATCH(C40,CsDJ[JEV Number],0)))</f>
        <v/>
      </c>
      <c r="B40" s="855"/>
      <c r="C40" s="781" t="str">
        <f t="shared" si="5"/>
        <v>20-01-004</v>
      </c>
      <c r="D40" s="781"/>
      <c r="E40" s="781"/>
      <c r="F40" s="781"/>
      <c r="G40" s="782" t="str">
        <f t="array" ref="G40">IF(OR(C40=C39,C40=0),"",INDEX(CasheirCode[Name],MATCH((INDEX(CsDJ[Sort Code],MATCH(C40,CsDJ[JEV Number],0))),CasheirCode[Sort Code])))</f>
        <v/>
      </c>
      <c r="H40" s="783">
        <f t="array" ref="H40">IF(OR($C40=$C39,$C40=0),0,(SUM(IF((CsDJ[JEV Number]=$C40)*(CsDJ[Account Code]=(H$11)),CsDJ[Credit]))))</f>
        <v>0</v>
      </c>
      <c r="I40" s="783">
        <f t="array" ref="I40">IF(OR($C40=$C39,$C40=0),0,(SUM(IF((CsDJ[JEV Number]=$C40)*(CsDJ[Account Code]=(I$11)),CsDJ[Credit]))))</f>
        <v>0</v>
      </c>
      <c r="J40" s="783">
        <f t="array" ref="J40">IF(OR($C40=$C39,$C40=0),0,(SUM(IF((CsDJ[JEV Number]=$C40)*(CsDJ[Account Code]=(J$11)),CsDJ[Credit]))))</f>
        <v>0</v>
      </c>
      <c r="K40" s="728"/>
      <c r="L40" s="783">
        <f t="array" ref="L40">IF($C40=0,0,(SUM(IF((CsDJ[JEV Number]=$C40)*(CsDJ[Account Code]=(K40)),CsDJ[Credit]))))</f>
        <v>0</v>
      </c>
      <c r="M40" s="783">
        <f t="array" ref="M40">IF(OR($C40=$C39,$C40=0),0,(SUM(IF((CsDJ[JEV Number]=$C40)*(CsDJ[Account Code]=(M$11)),CsDJ[Debit]))))</f>
        <v>0</v>
      </c>
      <c r="N40" s="783">
        <f t="array" ref="N40">IF(OR($C40=$C39,$C40=0),0,(SUM(IF((CsDJ[JEV Number]=$C40)*(CsDJ[Account Code]=(N$11)),CsDJ[Debit]))))</f>
        <v>0</v>
      </c>
      <c r="O40" s="783">
        <f t="array" ref="O40">IF(OR($C40=$C39,$C40=0),0,(SUM(IF((CsDJ[JEV Number]=$C40)*(CsDJ[Account Code]=(O$11)),CsDJ[Debit]))))</f>
        <v>0</v>
      </c>
      <c r="P40" s="783">
        <f t="array" ref="P40">IF(OR($C40=$C39,$C40=0),0,(SUM(IF((CsDJ[JEV Number]=$C40)*(CsDJ[Account Code]=(P$11)),CsDJ[Debit]))))</f>
        <v>0</v>
      </c>
      <c r="Q40" s="785"/>
      <c r="R40" s="783">
        <f t="array" ref="R40">IF($C40=0,0,(SUM(IF((CsDJ[JEV Number]=$C40)*(CsDJ[Account Code]=(Q40)),CsDJ[Debit]))))</f>
        <v>0</v>
      </c>
      <c r="S40" s="786">
        <f t="shared" si="4"/>
        <v>0</v>
      </c>
    </row>
    <row r="41" spans="1:19" x14ac:dyDescent="0.25">
      <c r="A41" s="673" t="str">
        <f t="array" ref="A41">IF(OR(C41=C40,C41=0),"",INDEX(CsDJ[Date],MATCH(C41,CsDJ[JEV Number],0)))</f>
        <v/>
      </c>
      <c r="B41" s="850"/>
      <c r="C41" s="524" t="str">
        <f t="shared" si="5"/>
        <v>20-01-004</v>
      </c>
      <c r="D41" s="524"/>
      <c r="E41" s="524"/>
      <c r="F41" s="524"/>
      <c r="G41" s="94" t="str">
        <f t="array" ref="G41">IF(OR(C41=C40,C41=0),"",INDEX(CasheirCode[Name],MATCH((INDEX(CsDJ[Sort Code],MATCH(C41,CsDJ[JEV Number],0))),CasheirCode[Sort Code])))</f>
        <v/>
      </c>
      <c r="H41" s="722">
        <f t="array" ref="H41">IF(OR($C41=$C40,$C41=0),0,(SUM(IF((CsDJ[JEV Number]=$C41)*(CsDJ[Account Code]=(H$11)),CsDJ[Credit]))))</f>
        <v>0</v>
      </c>
      <c r="I41" s="722">
        <f t="array" ref="I41">IF(OR($C41=$C40,$C41=0),0,(SUM(IF((CsDJ[JEV Number]=$C41)*(CsDJ[Account Code]=(I$11)),CsDJ[Credit]))))</f>
        <v>0</v>
      </c>
      <c r="J41" s="722">
        <f t="array" ref="J41">IF(OR($C41=$C40,$C41=0),0,(SUM(IF((CsDJ[JEV Number]=$C41)*(CsDJ[Account Code]=(J$11)),CsDJ[Credit]))))</f>
        <v>0</v>
      </c>
      <c r="K41" s="728"/>
      <c r="L41" s="722">
        <f t="array" ref="L41">IF($C41=0,0,(SUM(IF((CsDJ[JEV Number]=$C41)*(CsDJ[Account Code]=(K41)),CsDJ[Credit]))))</f>
        <v>0</v>
      </c>
      <c r="M41" s="722">
        <f t="array" ref="M41">IF(OR($C41=$C40,$C41=0),0,(SUM(IF((CsDJ[JEV Number]=$C41)*(CsDJ[Account Code]=(M$11)),CsDJ[Debit]))))</f>
        <v>0</v>
      </c>
      <c r="N41" s="722">
        <f t="array" ref="N41">IF(OR($C41=$C40,$C41=0),0,(SUM(IF((CsDJ[JEV Number]=$C41)*(CsDJ[Account Code]=(N$11)),CsDJ[Debit]))))</f>
        <v>0</v>
      </c>
      <c r="O41" s="722">
        <f t="array" ref="O41">IF(OR($C41=$C40,$C41=0),0,(SUM(IF((CsDJ[JEV Number]=$C41)*(CsDJ[Account Code]=(O$11)),CsDJ[Debit]))))</f>
        <v>0</v>
      </c>
      <c r="P41" s="722">
        <f t="array" ref="P41">IF(OR($C41=$C40,$C41=0),0,(SUM(IF((CsDJ[JEV Number]=$C41)*(CsDJ[Account Code]=(P$11)),CsDJ[Debit]))))</f>
        <v>0</v>
      </c>
      <c r="Q41" s="316"/>
      <c r="R41" s="519">
        <f t="array" ref="R41">IF($C41=0,0,(SUM(IF((CsDJ[JEV Number]=$C41)*(CsDJ[Account Code]=(Q41)),CsDJ[Debit]))))</f>
        <v>0</v>
      </c>
      <c r="S41" s="723">
        <f t="shared" si="4"/>
        <v>0</v>
      </c>
    </row>
    <row r="42" spans="1:19" x14ac:dyDescent="0.25">
      <c r="A42" s="673" t="str">
        <f t="array" ref="A42">IF(OR(C42=C41,C42=0),"",INDEX(CsDJ[Date],MATCH(C42,CsDJ[JEV Number],0)))</f>
        <v/>
      </c>
      <c r="B42" s="856"/>
      <c r="C42" s="690" t="str">
        <f t="shared" si="5"/>
        <v>20-01-004</v>
      </c>
      <c r="D42" s="690"/>
      <c r="E42" s="690"/>
      <c r="F42" s="690"/>
      <c r="G42" s="691" t="str">
        <f t="array" ref="G42">IF(OR(C42=C41,C42=0),"",INDEX(CasheirCode[Name],MATCH((INDEX(CsDJ[Sort Code],MATCH(C42,CsDJ[JEV Number],0))),CasheirCode[Sort Code])))</f>
        <v/>
      </c>
      <c r="H42" s="692">
        <f t="array" ref="H42">IF(OR($C42=$C41,$C42=0),0,(SUM(IF((CsDJ[JEV Number]=$C42)*(CsDJ[Account Code]=(H$11)),CsDJ[Credit]))))</f>
        <v>0</v>
      </c>
      <c r="I42" s="692">
        <f t="array" ref="I42">IF(OR($C42=$C41,$C42=0),0,(SUM(IF((CsDJ[JEV Number]=$C42)*(CsDJ[Account Code]=(I$11)),CsDJ[Credit]))))</f>
        <v>0</v>
      </c>
      <c r="J42" s="692">
        <f t="array" ref="J42">IF(OR($C42=$C41,$C42=0),0,(SUM(IF((CsDJ[JEV Number]=$C42)*(CsDJ[Account Code]=(J$11)),CsDJ[Credit]))))</f>
        <v>0</v>
      </c>
      <c r="K42" s="778"/>
      <c r="L42" s="692">
        <f t="array" ref="L42">IF($C42=0,0,(SUM(IF((CsDJ[JEV Number]=$C42)*(CsDJ[Account Code]=(K42)),CsDJ[Credit]))))</f>
        <v>0</v>
      </c>
      <c r="M42" s="692">
        <f t="array" ref="M42">IF(OR($C42=$C41,$C42=0),0,(SUM(IF((CsDJ[JEV Number]=$C42)*(CsDJ[Account Code]=(M$11)),CsDJ[Debit]))))</f>
        <v>0</v>
      </c>
      <c r="N42" s="692">
        <f t="array" ref="N42">IF(OR($C42=$C41,$C42=0),0,(SUM(IF((CsDJ[JEV Number]=$C42)*(CsDJ[Account Code]=(N$11)),CsDJ[Debit]))))</f>
        <v>0</v>
      </c>
      <c r="O42" s="692">
        <f t="array" ref="O42">IF(OR($C42=$C41,$C42=0),0,(SUM(IF((CsDJ[JEV Number]=$C42)*(CsDJ[Account Code]=(O$11)),CsDJ[Debit]))))</f>
        <v>0</v>
      </c>
      <c r="P42" s="692">
        <f t="array" ref="P42">IF(OR($C42=$C41,$C42=0),0,(SUM(IF((CsDJ[JEV Number]=$C42)*(CsDJ[Account Code]=(P$11)),CsDJ[Debit]))))</f>
        <v>0</v>
      </c>
      <c r="Q42" s="794"/>
      <c r="R42" s="692">
        <f t="array" ref="R42">IF($C42=0,0,(SUM(IF((CsDJ[JEV Number]=$C42)*(CsDJ[Account Code]=(Q42)),CsDJ[Debit]))))</f>
        <v>0</v>
      </c>
      <c r="S42" s="694">
        <f t="shared" ref="S42:S48" si="6">S41+(SUM(M42:P42)+R42)-(SUM(H42:J42)+L42)</f>
        <v>0</v>
      </c>
    </row>
    <row r="43" spans="1:19" x14ac:dyDescent="0.25">
      <c r="A43" s="721" t="str">
        <f t="array" ref="A43">IF(OR(C43=C42,C43=0),"",INDEX(CsDJ[Date],MATCH(C43,CsDJ[JEV Number],0)))</f>
        <v/>
      </c>
      <c r="B43" s="857"/>
      <c r="C43" s="523" t="str">
        <f t="shared" si="5"/>
        <v>20-01-004</v>
      </c>
      <c r="D43" s="523"/>
      <c r="E43" s="523"/>
      <c r="F43" s="523"/>
      <c r="G43" s="280" t="str">
        <f t="array" ref="G43">IF(OR(C43=C42,C43=0),"",INDEX(CasheirCode[Name],MATCH((INDEX(CsDJ[Sort Code],MATCH(C43,CsDJ[JEV Number],0))),CasheirCode[Sort Code])))</f>
        <v/>
      </c>
      <c r="H43" s="519">
        <f t="array" ref="H43">IF(OR($C43=$C42,$C43=0),0,(SUM(IF((CsDJ[JEV Number]=$C43)*(CsDJ[Account Code]=(H$11)),CsDJ[Credit]))))</f>
        <v>0</v>
      </c>
      <c r="I43" s="519">
        <f t="array" ref="I43">IF(OR($C43=$C42,$C43=0),0,(SUM(IF((CsDJ[JEV Number]=$C43)*(CsDJ[Account Code]=(I$11)),CsDJ[Credit]))))</f>
        <v>0</v>
      </c>
      <c r="J43" s="519">
        <f t="array" ref="J43">IF(OR($C43=$C42,$C43=0),0,(SUM(IF((CsDJ[JEV Number]=$C43)*(CsDJ[Account Code]=(J$11)),CsDJ[Credit]))))</f>
        <v>0</v>
      </c>
      <c r="K43" s="778"/>
      <c r="L43" s="519">
        <f t="array" ref="L43">IF($C43=0,0,(SUM(IF((CsDJ[JEV Number]=$C43)*(CsDJ[Account Code]=(K43)),CsDJ[Credit]))))</f>
        <v>0</v>
      </c>
      <c r="M43" s="519">
        <f t="array" ref="M43">IF(OR($C43=$C42,$C43=0),0,(SUM(IF((CsDJ[JEV Number]=$C43)*(CsDJ[Account Code]=(M$11)),CsDJ[Debit]))))</f>
        <v>0</v>
      </c>
      <c r="N43" s="519">
        <f t="array" ref="N43">IF(OR($C43=$C42,$C43=0),0,(SUM(IF((CsDJ[JEV Number]=$C43)*(CsDJ[Account Code]=(N$11)),CsDJ[Debit]))))</f>
        <v>0</v>
      </c>
      <c r="O43" s="519">
        <f t="array" ref="O43">IF(OR($C43=$C42,$C43=0),0,(SUM(IF((CsDJ[JEV Number]=$C43)*(CsDJ[Account Code]=(O$11)),CsDJ[Debit]))))</f>
        <v>0</v>
      </c>
      <c r="P43" s="519">
        <f t="array" ref="P43">IF(OR($C43=$C42,$C43=0),0,(SUM(IF((CsDJ[JEV Number]=$C43)*(CsDJ[Account Code]=(P$11)),CsDJ[Debit]))))</f>
        <v>0</v>
      </c>
      <c r="Q43" s="793"/>
      <c r="R43" s="519">
        <f t="array" ref="R43">IF($C43=0,0,(SUM(IF((CsDJ[JEV Number]=$C43)*(CsDJ[Account Code]=(Q43)),CsDJ[Debit]))))</f>
        <v>0</v>
      </c>
      <c r="S43" s="762">
        <f t="shared" si="6"/>
        <v>0</v>
      </c>
    </row>
    <row r="44" spans="1:19" x14ac:dyDescent="0.25">
      <c r="A44" s="721" t="str">
        <f t="array" ref="A44">IF(OR(C44=C43,C44=0),"",INDEX(CsDJ[Date],MATCH(C44,CsDJ[JEV Number],0)))</f>
        <v/>
      </c>
      <c r="B44" s="850"/>
      <c r="C44" s="523" t="str">
        <f t="shared" si="5"/>
        <v>20-01-004</v>
      </c>
      <c r="D44" s="523"/>
      <c r="E44" s="523"/>
      <c r="F44" s="523"/>
      <c r="G44" s="280" t="str">
        <f t="array" ref="G44">IF(OR(C44=C43,C44=0),"",INDEX(CasheirCode[Name],MATCH((INDEX(CsDJ[Sort Code],MATCH(C44,CsDJ[JEV Number],0))),CasheirCode[Sort Code])))</f>
        <v/>
      </c>
      <c r="H44" s="519">
        <f t="array" ref="H44">IF(OR($C44=$C43,$C44=0),0,(SUM(IF((CsDJ[JEV Number]=$C44)*(CsDJ[Account Code]=(H$11)),CsDJ[Credit]))))</f>
        <v>0</v>
      </c>
      <c r="I44" s="519">
        <f t="array" ref="I44">IF(OR($C44=$C43,$C44=0),0,(SUM(IF((CsDJ[JEV Number]=$C44)*(CsDJ[Account Code]=(I$11)),CsDJ[Credit]))))</f>
        <v>0</v>
      </c>
      <c r="J44" s="519">
        <f t="array" ref="J44">IF(OR($C44=$C43,$C44=0),0,(SUM(IF((CsDJ[JEV Number]=$C44)*(CsDJ[Account Code]=(J$11)),CsDJ[Credit]))))</f>
        <v>0</v>
      </c>
      <c r="K44" s="778"/>
      <c r="L44" s="519">
        <f t="array" ref="L44">IF($C44=0,0,(SUM(IF((CsDJ[JEV Number]=$C44)*(CsDJ[Account Code]=(K44)),CsDJ[Credit]))))</f>
        <v>0</v>
      </c>
      <c r="M44" s="519">
        <f t="array" ref="M44">IF(OR($C44=$C43,$C44=0),0,(SUM(IF((CsDJ[JEV Number]=$C44)*(CsDJ[Account Code]=(M$11)),CsDJ[Debit]))))</f>
        <v>0</v>
      </c>
      <c r="N44" s="519">
        <f t="array" ref="N44">IF(OR($C44=$C43,$C44=0),0,(SUM(IF((CsDJ[JEV Number]=$C44)*(CsDJ[Account Code]=(N$11)),CsDJ[Debit]))))</f>
        <v>0</v>
      </c>
      <c r="O44" s="519">
        <f t="array" ref="O44">IF(OR($C44=$C43,$C44=0),0,(SUM(IF((CsDJ[JEV Number]=$C44)*(CsDJ[Account Code]=(O$11)),CsDJ[Debit]))))</f>
        <v>0</v>
      </c>
      <c r="P44" s="519">
        <f t="array" ref="P44">IF(OR($C44=$C43,$C44=0),0,(SUM(IF((CsDJ[JEV Number]=$C44)*(CsDJ[Account Code]=(P$11)),CsDJ[Debit]))))</f>
        <v>0</v>
      </c>
      <c r="Q44" s="793"/>
      <c r="R44" s="519">
        <f t="array" ref="R44">IF($C44=0,0,(SUM(IF((CsDJ[JEV Number]=$C44)*(CsDJ[Account Code]=(Q44)),CsDJ[Debit]))))</f>
        <v>0</v>
      </c>
      <c r="S44" s="762">
        <f t="shared" si="6"/>
        <v>0</v>
      </c>
    </row>
    <row r="45" spans="1:19" x14ac:dyDescent="0.25">
      <c r="A45" s="721" t="str">
        <f t="array" ref="A45">IF(OR(C45=C44,C45=0),"",INDEX(CsDJ[Date],MATCH(C45,CsDJ[JEV Number],0)))</f>
        <v/>
      </c>
      <c r="B45" s="858"/>
      <c r="C45" s="523" t="str">
        <f t="shared" ref="C45:C55" si="7">IF(B45=0,C44,B45)</f>
        <v>20-01-004</v>
      </c>
      <c r="D45" s="523"/>
      <c r="E45" s="523"/>
      <c r="F45" s="523"/>
      <c r="G45" s="280" t="str">
        <f t="array" ref="G45">IF(OR(C45=C44,C45=0),"",INDEX(CasheirCode[Name],MATCH((INDEX(CsDJ[Sort Code],MATCH(C45,CsDJ[JEV Number],0))),CasheirCode[Sort Code])))</f>
        <v/>
      </c>
      <c r="H45" s="519">
        <f t="array" ref="H45">IF(OR($C45=$C44,$C45=0),0,(SUM(IF((CsDJ[JEV Number]=$C45)*(CsDJ[Account Code]=(H$11)),CsDJ[Credit]))))</f>
        <v>0</v>
      </c>
      <c r="I45" s="519">
        <f t="array" ref="I45">IF(OR($C45=$C44,$C45=0),0,(SUM(IF((CsDJ[JEV Number]=$C45)*(CsDJ[Account Code]=(I$11)),CsDJ[Credit]))))</f>
        <v>0</v>
      </c>
      <c r="J45" s="519">
        <f t="array" ref="J45">IF(OR($C45=$C44,$C45=0),0,(SUM(IF((CsDJ[JEV Number]=$C45)*(CsDJ[Account Code]=(J$11)),CsDJ[Credit]))))</f>
        <v>0</v>
      </c>
      <c r="K45" s="778"/>
      <c r="L45" s="519">
        <f t="array" ref="L45">IF($C45=0,0,(SUM(IF((CsDJ[JEV Number]=$C45)*(CsDJ[Account Code]=(K45)),CsDJ[Credit]))))</f>
        <v>0</v>
      </c>
      <c r="M45" s="519">
        <f t="array" ref="M45">IF(OR($C45=$C44,$C45=0),0,(SUM(IF((CsDJ[JEV Number]=$C45)*(CsDJ[Account Code]=(M$11)),CsDJ[Debit]))))</f>
        <v>0</v>
      </c>
      <c r="N45" s="519">
        <f t="array" ref="N45">IF(OR($C45=$C44,$C45=0),0,(SUM(IF((CsDJ[JEV Number]=$C45)*(CsDJ[Account Code]=(N$11)),CsDJ[Debit]))))</f>
        <v>0</v>
      </c>
      <c r="O45" s="519">
        <f t="array" ref="O45">IF(OR($C45=$C44,$C45=0),0,(SUM(IF((CsDJ[JEV Number]=$C45)*(CsDJ[Account Code]=(O$11)),CsDJ[Debit]))))</f>
        <v>0</v>
      </c>
      <c r="P45" s="519">
        <f t="array" ref="P45">IF(OR($C45=$C44,$C45=0),0,(SUM(IF((CsDJ[JEV Number]=$C45)*(CsDJ[Account Code]=(P$11)),CsDJ[Debit]))))</f>
        <v>0</v>
      </c>
      <c r="Q45" s="797"/>
      <c r="R45" s="519">
        <f t="array" ref="R45">IF($C45=0,0,(SUM(IF((CsDJ[JEV Number]=$C45)*(CsDJ[Account Code]=(Q45)),CsDJ[Debit]))))</f>
        <v>0</v>
      </c>
      <c r="S45" s="762">
        <f t="shared" si="6"/>
        <v>0</v>
      </c>
    </row>
    <row r="46" spans="1:19" x14ac:dyDescent="0.25">
      <c r="A46" s="673" t="str">
        <f t="array" ref="A46">IF(OR(C46=C45,C46=0),"",INDEX(CsDJ[Date],MATCH(C46,CsDJ[JEV Number],0)))</f>
        <v/>
      </c>
      <c r="B46" s="859"/>
      <c r="C46" s="690" t="str">
        <f t="shared" si="7"/>
        <v>20-01-004</v>
      </c>
      <c r="D46" s="690"/>
      <c r="E46" s="690"/>
      <c r="F46" s="690"/>
      <c r="G46" s="691" t="str">
        <f t="array" ref="G46">IF(OR(C46=C45,C46=0),"",INDEX(CasheirCode[Name],MATCH((INDEX(CsDJ[Sort Code],MATCH(C46,CsDJ[JEV Number],0))),CasheirCode[Sort Code])))</f>
        <v/>
      </c>
      <c r="H46" s="692">
        <f t="array" ref="H46">IF(OR($C46=$C45,$C46=0),0,(SUM(IF((CsDJ[JEV Number]=$C46)*(CsDJ[Account Code]=(H$11)),CsDJ[Credit]))))</f>
        <v>0</v>
      </c>
      <c r="I46" s="692">
        <f t="array" ref="I46">IF(OR($C46=$C45,$C46=0),0,(SUM(IF((CsDJ[JEV Number]=$C46)*(CsDJ[Account Code]=(I$11)),CsDJ[Credit]))))</f>
        <v>0</v>
      </c>
      <c r="J46" s="692">
        <f t="array" ref="J46">IF(OR($C46=$C45,$C46=0),0,(SUM(IF((CsDJ[JEV Number]=$C46)*(CsDJ[Account Code]=(J$11)),CsDJ[Credit]))))</f>
        <v>0</v>
      </c>
      <c r="K46" s="778"/>
      <c r="L46" s="692">
        <f t="array" ref="L46">IF($C46=0,0,(SUM(IF((CsDJ[JEV Number]=$C46)*(CsDJ[Account Code]=(K46)),CsDJ[Credit]))))</f>
        <v>0</v>
      </c>
      <c r="M46" s="692">
        <f t="array" ref="M46">IF(OR($C46=$C45,$C46=0),0,(SUM(IF((CsDJ[JEV Number]=$C46)*(CsDJ[Account Code]=(M$11)),CsDJ[Debit]))))</f>
        <v>0</v>
      </c>
      <c r="N46" s="692">
        <f t="array" ref="N46">IF(OR($C46=$C45,$C46=0),0,(SUM(IF((CsDJ[JEV Number]=$C46)*(CsDJ[Account Code]=(N$11)),CsDJ[Debit]))))</f>
        <v>0</v>
      </c>
      <c r="O46" s="692">
        <f t="array" ref="O46">IF(OR($C46=$C45,$C46=0),0,(SUM(IF((CsDJ[JEV Number]=$C46)*(CsDJ[Account Code]=(O$11)),CsDJ[Debit]))))</f>
        <v>0</v>
      </c>
      <c r="P46" s="692">
        <f t="array" ref="P46">IF(OR($C46=$C45,$C46=0),0,(SUM(IF((CsDJ[JEV Number]=$C46)*(CsDJ[Account Code]=(P$11)),CsDJ[Debit]))))</f>
        <v>0</v>
      </c>
      <c r="Q46" s="802"/>
      <c r="R46" s="692">
        <f t="array" ref="R46">IF($C46=0,0,(SUM(IF((CsDJ[JEV Number]=$C46)*(CsDJ[Account Code]=(Q46)),CsDJ[Debit]))))</f>
        <v>0</v>
      </c>
      <c r="S46" s="694">
        <f t="shared" si="6"/>
        <v>0</v>
      </c>
    </row>
    <row r="47" spans="1:19" x14ac:dyDescent="0.25">
      <c r="A47" s="721" t="str">
        <f t="array" ref="A47">IF(OR(C47=C46,C47=0),"",INDEX(CsDJ[Date],MATCH(C47,CsDJ[JEV Number],0)))</f>
        <v/>
      </c>
      <c r="B47" s="860"/>
      <c r="C47" s="523" t="str">
        <f t="shared" si="7"/>
        <v>20-01-004</v>
      </c>
      <c r="D47" s="523"/>
      <c r="E47" s="523"/>
      <c r="F47" s="523"/>
      <c r="G47" s="280" t="str">
        <f t="array" ref="G47">IF(OR(C47=C46,C47=0),"",INDEX(CasheirCode[Name],MATCH((INDEX(CsDJ[Sort Code],MATCH(C47,CsDJ[JEV Number],0))),CasheirCode[Sort Code])))</f>
        <v/>
      </c>
      <c r="H47" s="519">
        <f t="array" ref="H47">IF(OR($C47=$C46,$C47=0),0,(SUM(IF((CsDJ[JEV Number]=$C47)*(CsDJ[Account Code]=(H$11)),CsDJ[Credit]))))</f>
        <v>0</v>
      </c>
      <c r="I47" s="519">
        <f t="array" ref="I47">IF(OR($C47=$C46,$C47=0),0,(SUM(IF((CsDJ[JEV Number]=$C47)*(CsDJ[Account Code]=(I$11)),CsDJ[Credit]))))</f>
        <v>0</v>
      </c>
      <c r="J47" s="519">
        <f t="array" ref="J47">IF(OR($C47=$C46,$C47=0),0,(SUM(IF((CsDJ[JEV Number]=$C47)*(CsDJ[Account Code]=(J$11)),CsDJ[Credit]))))</f>
        <v>0</v>
      </c>
      <c r="K47" s="778"/>
      <c r="L47" s="519">
        <f t="array" ref="L47">IF($C47=0,0,(SUM(IF((CsDJ[JEV Number]=$C47)*(CsDJ[Account Code]=(K47)),CsDJ[Credit]))))</f>
        <v>0</v>
      </c>
      <c r="M47" s="519">
        <f t="array" ref="M47">IF(OR($C47=$C46,$C47=0),0,(SUM(IF((CsDJ[JEV Number]=$C47)*(CsDJ[Account Code]=(M$11)),CsDJ[Debit]))))</f>
        <v>0</v>
      </c>
      <c r="N47" s="519">
        <f t="array" ref="N47">IF(OR($C47=$C46,$C47=0),0,(SUM(IF((CsDJ[JEV Number]=$C47)*(CsDJ[Account Code]=(N$11)),CsDJ[Debit]))))</f>
        <v>0</v>
      </c>
      <c r="O47" s="519">
        <f t="array" ref="O47">IF(OR($C47=$C46,$C47=0),0,(SUM(IF((CsDJ[JEV Number]=$C47)*(CsDJ[Account Code]=(O$11)),CsDJ[Debit]))))</f>
        <v>0</v>
      </c>
      <c r="P47" s="519">
        <f t="array" ref="P47">IF(OR($C47=$C46,$C47=0),0,(SUM(IF((CsDJ[JEV Number]=$C47)*(CsDJ[Account Code]=(P$11)),CsDJ[Debit]))))</f>
        <v>0</v>
      </c>
      <c r="Q47" s="801"/>
      <c r="R47" s="519">
        <f t="array" ref="R47">IF($C47=0,0,(SUM(IF((CsDJ[JEV Number]=$C47)*(CsDJ[Account Code]=(Q47)),CsDJ[Debit]))))</f>
        <v>0</v>
      </c>
      <c r="S47" s="762">
        <f t="shared" si="6"/>
        <v>0</v>
      </c>
    </row>
    <row r="48" spans="1:19" x14ac:dyDescent="0.25">
      <c r="A48" s="673" t="str">
        <f t="array" ref="A48">IF(OR(C48=C47,C48=0),"",INDEX(CsDJ[Date],MATCH(C48,CsDJ[JEV Number],0)))</f>
        <v/>
      </c>
      <c r="B48" s="859"/>
      <c r="C48" s="690" t="str">
        <f t="shared" si="7"/>
        <v>20-01-004</v>
      </c>
      <c r="D48" s="690"/>
      <c r="E48" s="690"/>
      <c r="F48" s="690"/>
      <c r="G48" s="691" t="str">
        <f t="array" ref="G48">IF(OR(C48=C47,C48=0),"",INDEX(CasheirCode[Name],MATCH((INDEX(CsDJ[Sort Code],MATCH(C48,CsDJ[JEV Number],0))),CasheirCode[Sort Code])))</f>
        <v/>
      </c>
      <c r="H48" s="692">
        <f t="array" ref="H48">IF(OR($C48=$C47,$C48=0),0,(SUM(IF((CsDJ[JEV Number]=$C48)*(CsDJ[Account Code]=(H$11)),CsDJ[Credit]))))</f>
        <v>0</v>
      </c>
      <c r="I48" s="692">
        <f t="array" ref="I48">IF(OR($C48=$C47,$C48=0),0,(SUM(IF((CsDJ[JEV Number]=$C48)*(CsDJ[Account Code]=(I$11)),CsDJ[Credit]))))</f>
        <v>0</v>
      </c>
      <c r="J48" s="692">
        <f t="array" ref="J48">IF(OR($C48=$C47,$C48=0),0,(SUM(IF((CsDJ[JEV Number]=$C48)*(CsDJ[Account Code]=(J$11)),CsDJ[Credit]))))</f>
        <v>0</v>
      </c>
      <c r="K48" s="803"/>
      <c r="L48" s="692">
        <f t="array" ref="L48">IF($C48=0,0,(SUM(IF((CsDJ[JEV Number]=$C48)*(CsDJ[Account Code]=(K48)),CsDJ[Credit]))))</f>
        <v>0</v>
      </c>
      <c r="M48" s="692">
        <f t="array" ref="M48">IF(OR($C48=$C47,$C48=0),0,(SUM(IF((CsDJ[JEV Number]=$C48)*(CsDJ[Account Code]=(M$11)),CsDJ[Debit]))))</f>
        <v>0</v>
      </c>
      <c r="N48" s="692">
        <f t="array" ref="N48">IF(OR($C48=$C47,$C48=0),0,(SUM(IF((CsDJ[JEV Number]=$C48)*(CsDJ[Account Code]=(N$11)),CsDJ[Debit]))))</f>
        <v>0</v>
      </c>
      <c r="O48" s="692">
        <f t="array" ref="O48">IF(OR($C48=$C47,$C48=0),0,(SUM(IF((CsDJ[JEV Number]=$C48)*(CsDJ[Account Code]=(O$11)),CsDJ[Debit]))))</f>
        <v>0</v>
      </c>
      <c r="P48" s="692">
        <f t="array" ref="P48">IF(OR($C48=$C47,$C48=0),0,(SUM(IF((CsDJ[JEV Number]=$C48)*(CsDJ[Account Code]=(P$11)),CsDJ[Debit]))))</f>
        <v>0</v>
      </c>
      <c r="Q48" s="802"/>
      <c r="R48" s="692">
        <f t="array" ref="R48">IF($C48=0,0,(SUM(IF((CsDJ[JEV Number]=$C48)*(CsDJ[Account Code]=(Q48)),CsDJ[Debit]))))</f>
        <v>0</v>
      </c>
      <c r="S48" s="694">
        <f t="shared" si="6"/>
        <v>0</v>
      </c>
    </row>
    <row r="49" spans="1:19" x14ac:dyDescent="0.25">
      <c r="A49" s="673" t="str">
        <f t="array" ref="A49">IF(OR(C49=C48,C49=0),"",INDEX(CsDJ[Date],MATCH(C49,CsDJ[JEV Number],0)))</f>
        <v/>
      </c>
      <c r="B49" s="852"/>
      <c r="C49" s="675" t="str">
        <f t="shared" si="7"/>
        <v>20-01-004</v>
      </c>
      <c r="D49" s="675"/>
      <c r="E49" s="675"/>
      <c r="F49" s="675"/>
      <c r="G49" s="676" t="str">
        <f t="array" ref="G49">IF(OR(C49=C48,C49=0),"",INDEX(CasheirCode[Name],MATCH((INDEX(CsDJ[Sort Code],MATCH(C49,CsDJ[JEV Number],0))),CasheirCode[Sort Code])))</f>
        <v/>
      </c>
      <c r="H49" s="677">
        <f t="array" ref="H49">IF(OR($C49=$C48,$C49=0),0,(SUM(IF((CsDJ[JEV Number]=$C49)*(CsDJ[Account Code]=(H$11)),CsDJ[Credit]))))</f>
        <v>0</v>
      </c>
      <c r="I49" s="677">
        <f t="array" ref="I49">IF(OR($C49=$C48,$C49=0),0,(SUM(IF((CsDJ[JEV Number]=$C49)*(CsDJ[Account Code]=(I$11)),CsDJ[Credit]))))</f>
        <v>0</v>
      </c>
      <c r="J49" s="677">
        <f t="array" ref="J49">IF(OR($C49=$C48,$C49=0),0,(SUM(IF((CsDJ[JEV Number]=$C49)*(CsDJ[Account Code]=(J$11)),CsDJ[Credit]))))</f>
        <v>0</v>
      </c>
      <c r="K49" s="778"/>
      <c r="L49" s="677">
        <f t="array" ref="L49">IF($C49=0,0,(SUM(IF((CsDJ[JEV Number]=$C49)*(CsDJ[Account Code]=(K49)),CsDJ[Credit]))))</f>
        <v>0</v>
      </c>
      <c r="M49" s="677">
        <f t="array" ref="M49">IF(OR($C49=$C48,$C49=0),0,(SUM(IF((CsDJ[JEV Number]=$C49)*(CsDJ[Account Code]=(M$11)),CsDJ[Debit]))))</f>
        <v>0</v>
      </c>
      <c r="N49" s="677">
        <f t="array" ref="N49">IF(OR($C49=$C48,$C49=0),0,(SUM(IF((CsDJ[JEV Number]=$C49)*(CsDJ[Account Code]=(N$11)),CsDJ[Debit]))))</f>
        <v>0</v>
      </c>
      <c r="O49" s="677">
        <f t="array" ref="O49">IF(OR($C49=$C48,$C49=0),0,(SUM(IF((CsDJ[JEV Number]=$C49)*(CsDJ[Account Code]=(O$11)),CsDJ[Debit]))))</f>
        <v>0</v>
      </c>
      <c r="P49" s="677">
        <f t="array" ref="P49">IF(OR($C49=$C48,$C49=0),0,(SUM(IF((CsDJ[JEV Number]=$C49)*(CsDJ[Account Code]=(P$11)),CsDJ[Debit]))))</f>
        <v>0</v>
      </c>
      <c r="Q49" s="724"/>
      <c r="R49" s="692">
        <f t="array" ref="R49">IF($C49=0,0,(SUM(IF((CsDJ[JEV Number]=$C49)*(CsDJ[Account Code]=(Q49)),CsDJ[Debit]))))</f>
        <v>0</v>
      </c>
      <c r="S49" s="679">
        <f t="shared" ref="S49:S55" si="8">S48+(SUM(M49:P49)+R49)-(SUM(H49:J49)+L49)</f>
        <v>0</v>
      </c>
    </row>
    <row r="50" spans="1:19" x14ac:dyDescent="0.25">
      <c r="A50" s="721" t="str">
        <f t="array" ref="A50">IF(OR(C50=C49,C50=0),"",INDEX(CsDJ[Date],MATCH(C50,CsDJ[JEV Number],0)))</f>
        <v/>
      </c>
      <c r="B50" s="850"/>
      <c r="C50" s="524" t="str">
        <f t="shared" si="7"/>
        <v>20-01-004</v>
      </c>
      <c r="D50" s="524"/>
      <c r="E50" s="524"/>
      <c r="F50" s="524"/>
      <c r="G50" s="94" t="str">
        <f t="array" ref="G50">IF(OR(C50=C49,C50=0),"",INDEX(CasheirCode[Name],MATCH((INDEX(CsDJ[Sort Code],MATCH(C50,CsDJ[JEV Number],0))),CasheirCode[Sort Code])))</f>
        <v/>
      </c>
      <c r="H50" s="722">
        <f t="array" ref="H50">IF(OR($C50=$C49,$C50=0),0,(SUM(IF((CsDJ[JEV Number]=$C50)*(CsDJ[Account Code]=(H$11)),CsDJ[Credit]))))</f>
        <v>0</v>
      </c>
      <c r="I50" s="722">
        <f t="array" ref="I50">IF(OR($C50=$C49,$C50=0),0,(SUM(IF((CsDJ[JEV Number]=$C50)*(CsDJ[Account Code]=(I$11)),CsDJ[Credit]))))</f>
        <v>0</v>
      </c>
      <c r="J50" s="722">
        <f t="array" ref="J50">IF(OR($C50=$C49,$C50=0),0,(SUM(IF((CsDJ[JEV Number]=$C50)*(CsDJ[Account Code]=(J$11)),CsDJ[Credit]))))</f>
        <v>0</v>
      </c>
      <c r="K50" s="778"/>
      <c r="L50" s="722">
        <f t="array" ref="L50">IF($C50=0,0,(SUM(IF((CsDJ[JEV Number]=$C50)*(CsDJ[Account Code]=(K50)),CsDJ[Credit]))))</f>
        <v>0</v>
      </c>
      <c r="M50" s="722">
        <f t="array" ref="M50">IF(OR($C50=$C49,$C50=0),0,(SUM(IF((CsDJ[JEV Number]=$C50)*(CsDJ[Account Code]=(M$11)),CsDJ[Debit]))))</f>
        <v>0</v>
      </c>
      <c r="N50" s="722">
        <f t="array" ref="N50">IF(OR($C50=$C49,$C50=0),0,(SUM(IF((CsDJ[JEV Number]=$C50)*(CsDJ[Account Code]=(N$11)),CsDJ[Debit]))))</f>
        <v>0</v>
      </c>
      <c r="O50" s="722">
        <f t="array" ref="O50">IF(OR($C50=$C49,$C50=0),0,(SUM(IF((CsDJ[JEV Number]=$C50)*(CsDJ[Account Code]=(O$11)),CsDJ[Debit]))))</f>
        <v>0</v>
      </c>
      <c r="P50" s="722">
        <f t="array" ref="P50">IF(OR($C50=$C49,$C50=0),0,(SUM(IF((CsDJ[JEV Number]=$C50)*(CsDJ[Account Code]=(P$11)),CsDJ[Debit]))))</f>
        <v>0</v>
      </c>
      <c r="Q50" s="316"/>
      <c r="R50" s="519">
        <f t="array" ref="R50">IF($C50=0,0,(SUM(IF((CsDJ[JEV Number]=$C50)*(CsDJ[Account Code]=(Q50)),CsDJ[Debit]))))</f>
        <v>0</v>
      </c>
      <c r="S50" s="723">
        <f t="shared" si="8"/>
        <v>0</v>
      </c>
    </row>
    <row r="51" spans="1:19" x14ac:dyDescent="0.25">
      <c r="A51" s="721" t="str">
        <f t="array" ref="A51">IF(OR(C51=C50,C51=0),"",INDEX(CsDJ[Date],MATCH(C51,CsDJ[JEV Number],0)))</f>
        <v/>
      </c>
      <c r="B51" s="850"/>
      <c r="C51" s="524" t="str">
        <f t="shared" si="7"/>
        <v>20-01-004</v>
      </c>
      <c r="D51" s="524"/>
      <c r="E51" s="524"/>
      <c r="F51" s="524"/>
      <c r="G51" s="94" t="str">
        <f t="array" ref="G51">IF(OR(C51=C50,C51=0),"",INDEX(CasheirCode[Name],MATCH((INDEX(CsDJ[Sort Code],MATCH(C51,CsDJ[JEV Number],0))),CasheirCode[Sort Code])))</f>
        <v/>
      </c>
      <c r="H51" s="722">
        <f t="array" ref="H51">IF(OR($C51=$C50,$C51=0),0,(SUM(IF((CsDJ[JEV Number]=$C51)*(CsDJ[Account Code]=(H$11)),CsDJ[Credit]))))</f>
        <v>0</v>
      </c>
      <c r="I51" s="722">
        <f t="array" ref="I51">IF(OR($C51=$C50,$C51=0),0,(SUM(IF((CsDJ[JEV Number]=$C51)*(CsDJ[Account Code]=(I$11)),CsDJ[Credit]))))</f>
        <v>0</v>
      </c>
      <c r="J51" s="722">
        <f t="array" ref="J51">IF(OR($C51=$C50,$C51=0),0,(SUM(IF((CsDJ[JEV Number]=$C51)*(CsDJ[Account Code]=(J$11)),CsDJ[Credit]))))</f>
        <v>0</v>
      </c>
      <c r="K51" s="803"/>
      <c r="L51" s="722">
        <f t="array" ref="L51">IF($C51=0,0,(SUM(IF((CsDJ[JEV Number]=$C51)*(CsDJ[Account Code]=(K51)),CsDJ[Credit]))))</f>
        <v>0</v>
      </c>
      <c r="M51" s="722">
        <f t="array" ref="M51">IF(OR($C51=$C50,$C51=0),0,(SUM(IF((CsDJ[JEV Number]=$C51)*(CsDJ[Account Code]=(M$11)),CsDJ[Debit]))))</f>
        <v>0</v>
      </c>
      <c r="N51" s="722">
        <f t="array" ref="N51">IF(OR($C51=$C50,$C51=0),0,(SUM(IF((CsDJ[JEV Number]=$C51)*(CsDJ[Account Code]=(N$11)),CsDJ[Debit]))))</f>
        <v>0</v>
      </c>
      <c r="O51" s="722">
        <f t="array" ref="O51">IF(OR($C51=$C50,$C51=0),0,(SUM(IF((CsDJ[JEV Number]=$C51)*(CsDJ[Account Code]=(O$11)),CsDJ[Debit]))))</f>
        <v>0</v>
      </c>
      <c r="P51" s="722">
        <f t="array" ref="P51">IF(OR($C51=$C50,$C51=0),0,(SUM(IF((CsDJ[JEV Number]=$C51)*(CsDJ[Account Code]=(P$11)),CsDJ[Debit]))))</f>
        <v>0</v>
      </c>
      <c r="Q51" s="316"/>
      <c r="R51" s="519">
        <f t="array" ref="R51">IF($C51=0,0,(SUM(IF((CsDJ[JEV Number]=$C51)*(CsDJ[Account Code]=(Q51)),CsDJ[Debit]))))</f>
        <v>0</v>
      </c>
      <c r="S51" s="723">
        <f t="shared" si="8"/>
        <v>0</v>
      </c>
    </row>
    <row r="52" spans="1:19" x14ac:dyDescent="0.25">
      <c r="A52" s="673" t="str">
        <f t="array" ref="A52">IF(OR(C52=C51,C52=0),"",INDEX(CsDJ[Date],MATCH(C52,CsDJ[JEV Number],0)))</f>
        <v/>
      </c>
      <c r="B52" s="852"/>
      <c r="C52" s="675" t="str">
        <f t="shared" si="7"/>
        <v>20-01-004</v>
      </c>
      <c r="D52" s="675"/>
      <c r="E52" s="675"/>
      <c r="F52" s="675"/>
      <c r="G52" s="676" t="str">
        <f t="array" ref="G52">IF(OR(C52=C51,C52=0),"",INDEX(CasheirCode[Name],MATCH((INDEX(CsDJ[Sort Code],MATCH(C52,CsDJ[JEV Number],0))),CasheirCode[Sort Code])))</f>
        <v/>
      </c>
      <c r="H52" s="677">
        <f t="array" ref="H52">IF(OR($C52=$C51,$C52=0),0,(SUM(IF((CsDJ[JEV Number]=$C52)*(CsDJ[Account Code]=(H$11)),CsDJ[Credit]))))</f>
        <v>0</v>
      </c>
      <c r="I52" s="677">
        <f t="array" ref="I52">IF(OR($C52=$C51,$C52=0),0,(SUM(IF((CsDJ[JEV Number]=$C52)*(CsDJ[Account Code]=(I$11)),CsDJ[Credit]))))</f>
        <v>0</v>
      </c>
      <c r="J52" s="677">
        <f t="array" ref="J52">IF(OR($C52=$C51,$C52=0),0,(SUM(IF((CsDJ[JEV Number]=$C52)*(CsDJ[Account Code]=(J$11)),CsDJ[Credit]))))</f>
        <v>0</v>
      </c>
      <c r="K52" s="778"/>
      <c r="L52" s="677">
        <f t="array" ref="L52">IF($C52=0,0,(SUM(IF((CsDJ[JEV Number]=$C52)*(CsDJ[Account Code]=(K52)),CsDJ[Credit]))))</f>
        <v>0</v>
      </c>
      <c r="M52" s="677">
        <f t="array" ref="M52">IF(OR($C52=$C51,$C52=0),0,(SUM(IF((CsDJ[JEV Number]=$C52)*(CsDJ[Account Code]=(M$11)),CsDJ[Debit]))))</f>
        <v>0</v>
      </c>
      <c r="N52" s="677">
        <f t="array" ref="N52">IF(OR($C52=$C51,$C52=0),0,(SUM(IF((CsDJ[JEV Number]=$C52)*(CsDJ[Account Code]=(N$11)),CsDJ[Debit]))))</f>
        <v>0</v>
      </c>
      <c r="O52" s="677">
        <f t="array" ref="O52">IF(OR($C52=$C51,$C52=0),0,(SUM(IF((CsDJ[JEV Number]=$C52)*(CsDJ[Account Code]=(O$11)),CsDJ[Debit]))))</f>
        <v>0</v>
      </c>
      <c r="P52" s="677">
        <f t="array" ref="P52">IF(OR($C52=$C51,$C52=0),0,(SUM(IF((CsDJ[JEV Number]=$C52)*(CsDJ[Account Code]=(P$11)),CsDJ[Debit]))))</f>
        <v>0</v>
      </c>
      <c r="Q52" s="726"/>
      <c r="R52" s="692">
        <f t="array" ref="R52">IF($C52=0,0,(SUM(IF((CsDJ[JEV Number]=$C52)*(CsDJ[Account Code]=(Q52)),CsDJ[Debit]))))</f>
        <v>0</v>
      </c>
      <c r="S52" s="679">
        <f t="shared" si="8"/>
        <v>0</v>
      </c>
    </row>
    <row r="53" spans="1:19" x14ac:dyDescent="0.25">
      <c r="A53" s="721" t="str">
        <f t="array" ref="A53">IF(OR(C53=C52,C53=0),"",INDEX(CsDJ[Date],MATCH(C53,CsDJ[JEV Number],0)))</f>
        <v/>
      </c>
      <c r="B53" s="850"/>
      <c r="C53" s="524" t="str">
        <f t="shared" si="7"/>
        <v>20-01-004</v>
      </c>
      <c r="D53" s="524"/>
      <c r="E53" s="524"/>
      <c r="F53" s="524"/>
      <c r="G53" s="94" t="str">
        <f t="array" ref="G53">IF(OR(C53=C52,C53=0),"",INDEX(CasheirCode[Name],MATCH((INDEX(CsDJ[Sort Code],MATCH(C53,CsDJ[JEV Number],0))),CasheirCode[Sort Code])))</f>
        <v/>
      </c>
      <c r="H53" s="722">
        <f t="array" ref="H53">IF(OR($C53=$C52,$C53=0),0,(SUM(IF((CsDJ[JEV Number]=$C53)*(CsDJ[Account Code]=(H$11)),CsDJ[Credit]))))</f>
        <v>0</v>
      </c>
      <c r="I53" s="722">
        <f t="array" ref="I53">IF(OR($C53=$C52,$C53=0),0,(SUM(IF((CsDJ[JEV Number]=$C53)*(CsDJ[Account Code]=(I$11)),CsDJ[Credit]))))</f>
        <v>0</v>
      </c>
      <c r="J53" s="722">
        <f t="array" ref="J53">IF(OR($C53=$C52,$C53=0),0,(SUM(IF((CsDJ[JEV Number]=$C53)*(CsDJ[Account Code]=(J$11)),CsDJ[Credit]))))</f>
        <v>0</v>
      </c>
      <c r="K53" s="778"/>
      <c r="L53" s="722">
        <f t="array" ref="L53">IF($C53=0,0,(SUM(IF((CsDJ[JEV Number]=$C53)*(CsDJ[Account Code]=(K53)),CsDJ[Credit]))))</f>
        <v>0</v>
      </c>
      <c r="M53" s="722">
        <f t="array" ref="M53">IF(OR($C53=$C52,$C53=0),0,(SUM(IF((CsDJ[JEV Number]=$C53)*(CsDJ[Account Code]=(M$11)),CsDJ[Debit]))))</f>
        <v>0</v>
      </c>
      <c r="N53" s="722">
        <f t="array" ref="N53">IF(OR($C53=$C52,$C53=0),0,(SUM(IF((CsDJ[JEV Number]=$C53)*(CsDJ[Account Code]=(N$11)),CsDJ[Debit]))))</f>
        <v>0</v>
      </c>
      <c r="O53" s="722">
        <f t="array" ref="O53">IF(OR($C53=$C52,$C53=0),0,(SUM(IF((CsDJ[JEV Number]=$C53)*(CsDJ[Account Code]=(O$11)),CsDJ[Debit]))))</f>
        <v>0</v>
      </c>
      <c r="P53" s="722">
        <f t="array" ref="P53">IF(OR($C53=$C52,$C53=0),0,(SUM(IF((CsDJ[JEV Number]=$C53)*(CsDJ[Account Code]=(P$11)),CsDJ[Debit]))))</f>
        <v>0</v>
      </c>
      <c r="Q53" s="725"/>
      <c r="R53" s="519">
        <f t="array" ref="R53">IF($C53=0,0,(SUM(IF((CsDJ[JEV Number]=$C53)*(CsDJ[Account Code]=(Q53)),CsDJ[Debit]))))</f>
        <v>0</v>
      </c>
      <c r="S53" s="723">
        <f t="shared" si="8"/>
        <v>0</v>
      </c>
    </row>
    <row r="54" spans="1:19" x14ac:dyDescent="0.25">
      <c r="A54" s="721" t="str">
        <f t="array" ref="A54">IF(OR(C54=C53,C54=0),"",INDEX(CsDJ[Date],MATCH(C54,CsDJ[JEV Number],0)))</f>
        <v/>
      </c>
      <c r="B54" s="850"/>
      <c r="C54" s="524" t="str">
        <f t="shared" si="7"/>
        <v>20-01-004</v>
      </c>
      <c r="D54" s="524"/>
      <c r="E54" s="524"/>
      <c r="F54" s="524"/>
      <c r="G54" s="94" t="str">
        <f t="array" ref="G54">IF(OR(C54=C53,C54=0),"",INDEX(CasheirCode[Name],MATCH((INDEX(CsDJ[Sort Code],MATCH(C54,CsDJ[JEV Number],0))),CasheirCode[Sort Code])))</f>
        <v/>
      </c>
      <c r="H54" s="722">
        <f t="array" ref="H54">IF(OR($C54=$C53,$C54=0),0,(SUM(IF((CsDJ[JEV Number]=$C54)*(CsDJ[Account Code]=(H$11)),CsDJ[Credit]))))</f>
        <v>0</v>
      </c>
      <c r="I54" s="722">
        <f t="array" ref="I54">IF(OR($C54=$C53,$C54=0),0,(SUM(IF((CsDJ[JEV Number]=$C54)*(CsDJ[Account Code]=(I$11)),CsDJ[Credit]))))</f>
        <v>0</v>
      </c>
      <c r="J54" s="722">
        <f t="array" ref="J54">IF(OR($C54=$C53,$C54=0),0,(SUM(IF((CsDJ[JEV Number]=$C54)*(CsDJ[Account Code]=(J$11)),CsDJ[Credit]))))</f>
        <v>0</v>
      </c>
      <c r="K54" s="803"/>
      <c r="L54" s="722">
        <f t="array" ref="L54">IF($C54=0,0,(SUM(IF((CsDJ[JEV Number]=$C54)*(CsDJ[Account Code]=(K54)),CsDJ[Credit]))))</f>
        <v>0</v>
      </c>
      <c r="M54" s="722">
        <f t="array" ref="M54">IF(OR($C54=$C53,$C54=0),0,(SUM(IF((CsDJ[JEV Number]=$C54)*(CsDJ[Account Code]=(M$11)),CsDJ[Debit]))))</f>
        <v>0</v>
      </c>
      <c r="N54" s="722">
        <f t="array" ref="N54">IF(OR($C54=$C53,$C54=0),0,(SUM(IF((CsDJ[JEV Number]=$C54)*(CsDJ[Account Code]=(N$11)),CsDJ[Debit]))))</f>
        <v>0</v>
      </c>
      <c r="O54" s="722">
        <f t="array" ref="O54">IF(OR($C54=$C53,$C54=0),0,(SUM(IF((CsDJ[JEV Number]=$C54)*(CsDJ[Account Code]=(O$11)),CsDJ[Debit]))))</f>
        <v>0</v>
      </c>
      <c r="P54" s="722">
        <f t="array" ref="P54">IF(OR($C54=$C53,$C54=0),0,(SUM(IF((CsDJ[JEV Number]=$C54)*(CsDJ[Account Code]=(P$11)),CsDJ[Debit]))))</f>
        <v>0</v>
      </c>
      <c r="Q54" s="316"/>
      <c r="R54" s="519">
        <f t="array" ref="R54">IF($C54=0,0,(SUM(IF((CsDJ[JEV Number]=$C54)*(CsDJ[Account Code]=(Q54)),CsDJ[Debit]))))</f>
        <v>0</v>
      </c>
      <c r="S54" s="723">
        <f t="shared" si="8"/>
        <v>0</v>
      </c>
    </row>
    <row r="55" spans="1:19" x14ac:dyDescent="0.25">
      <c r="A55" s="673" t="str">
        <f t="array" ref="A55">IF(OR(C55=C54,C55=0),"",INDEX(CsDJ[Date],MATCH(C55,CsDJ[JEV Number],0)))</f>
        <v/>
      </c>
      <c r="B55" s="861"/>
      <c r="C55" s="690" t="str">
        <f t="shared" si="7"/>
        <v>20-01-004</v>
      </c>
      <c r="D55" s="690"/>
      <c r="E55" s="690"/>
      <c r="F55" s="690"/>
      <c r="G55" s="691" t="str">
        <f t="array" ref="G55">IF(OR(C55=C54,C55=0),"",INDEX(CasheirCode[Name],MATCH((INDEX(CsDJ[Sort Code],MATCH(C55,CsDJ[JEV Number],0))),CasheirCode[Sort Code])))</f>
        <v/>
      </c>
      <c r="H55" s="692">
        <f t="array" ref="H55">IF(OR($C55=$C54,$C55=0),0,(SUM(IF((CsDJ[JEV Number]=$C55)*(CsDJ[Account Code]=(H$11)),CsDJ[Credit]))))</f>
        <v>0</v>
      </c>
      <c r="I55" s="692">
        <f t="array" ref="I55">IF(OR($C55=$C54,$C55=0),0,(SUM(IF((CsDJ[JEV Number]=$C55)*(CsDJ[Account Code]=(I$11)),CsDJ[Credit]))))</f>
        <v>0</v>
      </c>
      <c r="J55" s="692">
        <f t="array" ref="J55">IF(OR($C55=$C54,$C55=0),0,(SUM(IF((CsDJ[JEV Number]=$C55)*(CsDJ[Account Code]=(J$11)),CsDJ[Credit]))))</f>
        <v>0</v>
      </c>
      <c r="K55" s="778"/>
      <c r="L55" s="692">
        <f t="array" ref="L55">IF($C55=0,0,(SUM(IF((CsDJ[JEV Number]=$C55)*(CsDJ[Account Code]=(K55)),CsDJ[Credit]))))</f>
        <v>0</v>
      </c>
      <c r="M55" s="692">
        <f t="array" ref="M55">IF(OR($C55=$C54,$C55=0),0,(SUM(IF((CsDJ[JEV Number]=$C55)*(CsDJ[Account Code]=(M$11)),CsDJ[Debit]))))</f>
        <v>0</v>
      </c>
      <c r="N55" s="692">
        <f t="array" ref="N55">IF(OR($C55=$C54,$C55=0),0,(SUM(IF((CsDJ[JEV Number]=$C55)*(CsDJ[Account Code]=(N$11)),CsDJ[Debit]))))</f>
        <v>0</v>
      </c>
      <c r="O55" s="692">
        <f t="array" ref="O55">IF(OR($C55=$C54,$C55=0),0,(SUM(IF((CsDJ[JEV Number]=$C55)*(CsDJ[Account Code]=(O$11)),CsDJ[Debit]))))</f>
        <v>0</v>
      </c>
      <c r="P55" s="692">
        <f t="array" ref="P55">IF(OR($C55=$C54,$C55=0),0,(SUM(IF((CsDJ[JEV Number]=$C55)*(CsDJ[Account Code]=(P$11)),CsDJ[Debit]))))</f>
        <v>0</v>
      </c>
      <c r="Q55" s="812"/>
      <c r="R55" s="692">
        <f t="array" ref="R55">IF($C55=0,0,(SUM(IF((CsDJ[JEV Number]=$C55)*(CsDJ[Account Code]=(Q55)),CsDJ[Debit]))))</f>
        <v>0</v>
      </c>
      <c r="S55" s="694">
        <f t="shared" si="8"/>
        <v>0</v>
      </c>
    </row>
    <row r="58" spans="1:19" x14ac:dyDescent="0.25">
      <c r="H58" s="711" t="s">
        <v>482</v>
      </c>
      <c r="M58" s="711" t="s">
        <v>353</v>
      </c>
    </row>
    <row r="59" spans="1:19" x14ac:dyDescent="0.25">
      <c r="H59" s="526"/>
      <c r="I59" s="711"/>
      <c r="M59" s="526"/>
      <c r="N59" s="711" t="s">
        <v>1559</v>
      </c>
    </row>
    <row r="60" spans="1:19" x14ac:dyDescent="0.25">
      <c r="H60" s="526"/>
      <c r="I60" s="711"/>
      <c r="M60" s="526"/>
      <c r="N60" s="711" t="s">
        <v>742</v>
      </c>
    </row>
  </sheetData>
  <sheetProtection insertRows="0" autoFilter="0" pivotTables="0"/>
  <mergeCells count="21">
    <mergeCell ref="G1:P2"/>
    <mergeCell ref="A10:A12"/>
    <mergeCell ref="B10:B12"/>
    <mergeCell ref="C10:C12"/>
    <mergeCell ref="D10:D12"/>
    <mergeCell ref="E10:F11"/>
    <mergeCell ref="G10:G12"/>
    <mergeCell ref="H10:L10"/>
    <mergeCell ref="M10:R10"/>
    <mergeCell ref="G4:P5"/>
    <mergeCell ref="G3:P3"/>
    <mergeCell ref="S10:S12"/>
    <mergeCell ref="H11:H12"/>
    <mergeCell ref="I11:I12"/>
    <mergeCell ref="K11:L11"/>
    <mergeCell ref="M11:M12"/>
    <mergeCell ref="N11:N12"/>
    <mergeCell ref="O11:O12"/>
    <mergeCell ref="P11:P12"/>
    <mergeCell ref="Q11:R11"/>
    <mergeCell ref="J11:J12"/>
  </mergeCells>
  <pageMargins left="1.1417322834645669" right="0.23622047244094491" top="0.74803149606299213" bottom="0.23622047244094491" header="0.31496062992125984" footer="0.31496062992125984"/>
  <pageSetup paperSize="8" scale="85" orientation="landscape" r:id="rId1"/>
  <drawing r:id="rId2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8">
    <tabColor rgb="FF7030A0"/>
  </sheetPr>
  <dimension ref="A1:V1189"/>
  <sheetViews>
    <sheetView showZeros="0" workbookViewId="0">
      <selection activeCell="E17" sqref="E17:J17"/>
    </sheetView>
  </sheetViews>
  <sheetFormatPr defaultColWidth="9" defaultRowHeight="15.75" x14ac:dyDescent="0.25"/>
  <cols>
    <col min="1" max="1" width="6" style="25" customWidth="1"/>
    <col min="2" max="3" width="2.125" style="25" customWidth="1"/>
    <col min="4" max="4" width="4.875" style="25" customWidth="1"/>
    <col min="5" max="5" width="8.125" style="25" customWidth="1"/>
    <col min="6" max="6" width="5.5" style="25" customWidth="1"/>
    <col min="7" max="7" width="0.875" style="25" customWidth="1"/>
    <col min="8" max="8" width="4.125" style="25" customWidth="1"/>
    <col min="9" max="9" width="26" style="25" customWidth="1"/>
    <col min="10" max="10" width="4.125" style="25" customWidth="1"/>
    <col min="11" max="11" width="9.5" style="25" customWidth="1"/>
    <col min="12" max="12" width="14.125" style="86" customWidth="1"/>
    <col min="13" max="13" width="4.875" style="25" customWidth="1"/>
    <col min="14" max="14" width="14.125" style="25" hidden="1" customWidth="1"/>
    <col min="15" max="15" width="13.875" style="25" hidden="1" customWidth="1"/>
    <col min="16" max="16" width="10.625" style="25" customWidth="1"/>
    <col min="17" max="17" width="2.125" style="25" customWidth="1"/>
    <col min="18" max="18" width="2.625" style="25" customWidth="1"/>
    <col min="19" max="20" width="2.125" style="25" customWidth="1"/>
    <col min="21" max="22" width="5.625" style="25" customWidth="1"/>
    <col min="23" max="16384" width="9" style="25"/>
  </cols>
  <sheetData>
    <row r="1" spans="1:22" ht="22.5" x14ac:dyDescent="0.25">
      <c r="A1" s="31" t="s">
        <v>441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3"/>
      <c r="R1" s="1053">
        <f>+P55-S55</f>
        <v>0</v>
      </c>
      <c r="S1" s="1054"/>
      <c r="T1" s="1054"/>
      <c r="U1" s="1054"/>
      <c r="V1" s="1055"/>
    </row>
    <row r="2" spans="1:22" x14ac:dyDescent="0.25">
      <c r="A2" s="34" t="s">
        <v>1563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6"/>
      <c r="R2" s="37" t="s">
        <v>443</v>
      </c>
      <c r="S2"/>
      <c r="T2" s="1056" t="s">
        <v>1618</v>
      </c>
      <c r="U2" s="1056"/>
      <c r="V2" s="1057"/>
    </row>
    <row r="3" spans="1:22" x14ac:dyDescent="0.25">
      <c r="A3" s="38" t="s">
        <v>444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6"/>
      <c r="R3" s="37" t="s">
        <v>0</v>
      </c>
      <c r="S3"/>
      <c r="T3" s="1058">
        <f>IF(T2=0,0,(LOOKUP(T2,CsDJ[JEV Number],CsDJ[Date])))</f>
        <v>43861</v>
      </c>
      <c r="U3" s="1058"/>
      <c r="V3" s="1059"/>
    </row>
    <row r="4" spans="1:22" ht="16.5" thickBot="1" x14ac:dyDescent="0.3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1"/>
      <c r="R4" s="42"/>
      <c r="S4" s="43"/>
      <c r="T4" s="43"/>
      <c r="U4" s="43"/>
      <c r="V4" s="44"/>
    </row>
    <row r="5" spans="1:22" x14ac:dyDescent="0.25">
      <c r="A5" s="45"/>
      <c r="B5" s="46"/>
      <c r="C5" s="46"/>
      <c r="D5" s="46"/>
      <c r="E5" s="46"/>
      <c r="F5" s="46"/>
      <c r="G5" s="46"/>
      <c r="H5" s="46"/>
      <c r="I5" s="46"/>
      <c r="J5" s="46"/>
      <c r="K5" s="46"/>
      <c r="L5" s="47"/>
      <c r="M5" s="46"/>
      <c r="N5" s="46"/>
      <c r="O5" s="46"/>
      <c r="P5" s="46"/>
      <c r="Q5" s="46"/>
      <c r="R5" s="46"/>
      <c r="S5" s="46"/>
      <c r="T5" s="46"/>
      <c r="U5" s="46"/>
      <c r="V5" s="48"/>
    </row>
    <row r="6" spans="1:22" x14ac:dyDescent="0.25">
      <c r="A6" s="49"/>
      <c r="B6" s="1060"/>
      <c r="C6" s="1060"/>
      <c r="D6" s="50" t="s">
        <v>445</v>
      </c>
      <c r="H6" s="51"/>
      <c r="I6" s="25" t="s">
        <v>447</v>
      </c>
      <c r="J6" s="132" t="s">
        <v>446</v>
      </c>
      <c r="K6" s="52" t="s">
        <v>448</v>
      </c>
      <c r="L6" s="52"/>
      <c r="Q6" s="1060"/>
      <c r="R6" s="1060"/>
      <c r="S6" s="50" t="s">
        <v>449</v>
      </c>
      <c r="T6" s="50"/>
      <c r="U6" s="50"/>
      <c r="V6" s="53"/>
    </row>
    <row r="7" spans="1:22" ht="16.5" thickBot="1" x14ac:dyDescent="0.3">
      <c r="A7" s="54"/>
      <c r="B7" s="55"/>
      <c r="C7" s="55"/>
      <c r="D7" s="55"/>
      <c r="E7" s="55"/>
      <c r="F7" s="55"/>
      <c r="G7" s="55"/>
      <c r="H7" s="55"/>
      <c r="I7" s="55"/>
      <c r="J7" s="55"/>
      <c r="K7" s="55"/>
      <c r="L7" s="56"/>
      <c r="M7" s="55"/>
      <c r="N7" s="55"/>
      <c r="O7" s="55"/>
      <c r="P7" s="55"/>
      <c r="Q7" s="55"/>
      <c r="R7" s="55"/>
      <c r="S7" s="55"/>
      <c r="T7" s="55"/>
      <c r="U7" s="55"/>
      <c r="V7" s="57"/>
    </row>
    <row r="8" spans="1:22" x14ac:dyDescent="0.25">
      <c r="A8" s="1061" t="s">
        <v>397</v>
      </c>
      <c r="B8" s="1062"/>
      <c r="C8" s="1062"/>
      <c r="D8" s="1063"/>
      <c r="E8" s="1070" t="s">
        <v>450</v>
      </c>
      <c r="F8" s="1070"/>
      <c r="G8" s="1070"/>
      <c r="H8" s="1070"/>
      <c r="I8" s="1070"/>
      <c r="J8" s="1070"/>
      <c r="K8" s="1070"/>
      <c r="L8" s="1070"/>
      <c r="M8" s="1070"/>
      <c r="N8" s="1070"/>
      <c r="O8" s="1070"/>
      <c r="P8" s="1070"/>
      <c r="Q8" s="1070"/>
      <c r="R8" s="1070"/>
      <c r="S8" s="1070"/>
      <c r="T8" s="1070"/>
      <c r="U8" s="1070"/>
      <c r="V8" s="1071"/>
    </row>
    <row r="9" spans="1:22" x14ac:dyDescent="0.25">
      <c r="A9" s="1064"/>
      <c r="B9" s="1065"/>
      <c r="C9" s="1065"/>
      <c r="D9" s="1066"/>
      <c r="E9" s="1072" t="s">
        <v>451</v>
      </c>
      <c r="F9" s="1072"/>
      <c r="G9" s="1072"/>
      <c r="H9" s="1072"/>
      <c r="I9" s="1072"/>
      <c r="J9" s="1072"/>
      <c r="K9" s="1074" t="s">
        <v>378</v>
      </c>
      <c r="L9" s="1074"/>
      <c r="M9" s="1072" t="s">
        <v>452</v>
      </c>
      <c r="N9" s="1075" t="s">
        <v>453</v>
      </c>
      <c r="O9" s="1076"/>
      <c r="P9" s="1076"/>
      <c r="Q9" s="1076"/>
      <c r="R9" s="1076"/>
      <c r="S9" s="1076"/>
      <c r="T9" s="1076"/>
      <c r="U9" s="1076"/>
      <c r="V9" s="1077"/>
    </row>
    <row r="10" spans="1:22" ht="16.5" customHeight="1" thickBot="1" x14ac:dyDescent="0.3">
      <c r="A10" s="1067"/>
      <c r="B10" s="1068"/>
      <c r="C10" s="1068"/>
      <c r="D10" s="1069"/>
      <c r="E10" s="1073"/>
      <c r="F10" s="1073"/>
      <c r="G10" s="1073"/>
      <c r="H10" s="1073"/>
      <c r="I10" s="1073"/>
      <c r="J10" s="1073"/>
      <c r="K10" s="58" t="s">
        <v>454</v>
      </c>
      <c r="L10" s="58" t="s">
        <v>455</v>
      </c>
      <c r="M10" s="1073"/>
      <c r="N10" s="87" t="s">
        <v>466</v>
      </c>
      <c r="O10" s="87" t="s">
        <v>467</v>
      </c>
      <c r="P10" s="1078" t="s">
        <v>1</v>
      </c>
      <c r="Q10" s="1079"/>
      <c r="R10" s="1080"/>
      <c r="S10" s="1078" t="s">
        <v>2</v>
      </c>
      <c r="T10" s="1079"/>
      <c r="U10" s="1079"/>
      <c r="V10" s="1081"/>
    </row>
    <row r="11" spans="1:22" ht="19.5" x14ac:dyDescent="0.3">
      <c r="A11" s="1082">
        <f>P55-S55</f>
        <v>0</v>
      </c>
      <c r="B11" s="1083"/>
      <c r="C11" s="1083"/>
      <c r="D11" s="1083"/>
      <c r="E11" s="1084" t="str">
        <f>Account!$G$1</f>
        <v>FUND 501 CARP</v>
      </c>
      <c r="F11" s="1085"/>
      <c r="G11" s="1085"/>
      <c r="H11" s="1085"/>
      <c r="I11" s="1085"/>
      <c r="J11" s="1086"/>
      <c r="K11" s="59"/>
      <c r="L11" s="59"/>
      <c r="M11" s="60"/>
      <c r="N11" s="60"/>
      <c r="O11" s="60"/>
      <c r="P11" s="1087"/>
      <c r="Q11" s="1087"/>
      <c r="R11" s="1087"/>
      <c r="S11" s="1087"/>
      <c r="T11" s="1087"/>
      <c r="U11" s="1087"/>
      <c r="V11" s="1088"/>
    </row>
    <row r="12" spans="1:22" x14ac:dyDescent="0.25">
      <c r="A12" s="1038"/>
      <c r="B12" s="1039"/>
      <c r="C12" s="1039"/>
      <c r="D12" s="1039"/>
      <c r="E12" s="1039"/>
      <c r="F12" s="1039"/>
      <c r="G12" s="1039"/>
      <c r="H12" s="1039"/>
      <c r="I12" s="1039"/>
      <c r="J12" s="1039"/>
      <c r="K12" s="61"/>
      <c r="L12" s="61"/>
      <c r="M12" s="14"/>
      <c r="N12" s="14"/>
      <c r="O12" s="14"/>
      <c r="P12" s="1039"/>
      <c r="Q12" s="1039"/>
      <c r="R12" s="1039"/>
      <c r="S12" s="1039"/>
      <c r="T12" s="1039"/>
      <c r="U12" s="1039"/>
      <c r="V12" s="1089"/>
    </row>
    <row r="13" spans="1:22" x14ac:dyDescent="0.25">
      <c r="A13" s="1038"/>
      <c r="B13" s="1039"/>
      <c r="C13" s="1039"/>
      <c r="D13" s="1039"/>
      <c r="E13" s="1045" t="str">
        <f>IF(K13=0,0,(INDEX(AccountCodes[ACCOUNT NAME],MATCH(K13,AccountCodes[NGAS CODE],0))))</f>
        <v>Advances for Payroll</v>
      </c>
      <c r="F13" s="1046"/>
      <c r="G13" s="1046"/>
      <c r="H13" s="1046"/>
      <c r="I13" s="1046"/>
      <c r="J13" s="1047"/>
      <c r="K13" s="662" t="s">
        <v>12</v>
      </c>
      <c r="L13" s="62">
        <f t="array" ref="L13">IF(K13=0,0,(INDEX(AccountCodes[PPSAS CODE],MATCH(K13,AccountCodes[NGAS CODE],0))))</f>
        <v>1990102000</v>
      </c>
      <c r="M13" s="14"/>
      <c r="N13" s="89">
        <f t="array" ref="N13">SUM(IF((CsDJ[JEV Number]=TRIM($T$2))*(CsDJ[Account Code]=TRIM(K13)),CsDJ[Debit]))</f>
        <v>0</v>
      </c>
      <c r="O13" s="89">
        <f t="array" ref="O13">SUM(IF((CsDJ[JEV Number]=TRIM($T$2))*(CsDJ[Account Code]=TRIM(K13)),CsDJ[Credit]))</f>
        <v>0</v>
      </c>
      <c r="P13" s="1040">
        <f t="shared" ref="P13:P34" si="0">N13</f>
        <v>0</v>
      </c>
      <c r="Q13" s="1040"/>
      <c r="R13" s="1040"/>
      <c r="S13" s="1040">
        <f t="shared" ref="S13:S34" si="1">O13</f>
        <v>0</v>
      </c>
      <c r="T13" s="1040"/>
      <c r="U13" s="1040"/>
      <c r="V13" s="1041"/>
    </row>
    <row r="14" spans="1:22" x14ac:dyDescent="0.25">
      <c r="A14" s="1038"/>
      <c r="B14" s="1039"/>
      <c r="C14" s="1039"/>
      <c r="D14" s="1039"/>
      <c r="E14" s="1045" t="str">
        <f>IF(K14=0,0,(INDEX(AccountCodes[ACCOUNT NAME],MATCH(K14,AccountCodes[NGAS CODE],0))))</f>
        <v>Due to GSIS - Life and Retirement Premium</v>
      </c>
      <c r="F14" s="1046"/>
      <c r="G14" s="1046"/>
      <c r="H14" s="1046"/>
      <c r="I14" s="1046"/>
      <c r="J14" s="1047"/>
      <c r="K14" s="662" t="s">
        <v>1440</v>
      </c>
      <c r="L14" s="62">
        <f t="array" ref="L14">IF(K14=0,0,(INDEX(AccountCodes[PPSAS CODE],MATCH(K14,AccountCodes[NGAS CODE],0))))</f>
        <v>2020102001</v>
      </c>
      <c r="M14" s="14"/>
      <c r="N14" s="89">
        <f t="array" ref="N14">SUM(IF((CsDJ[JEV Number]=TRIM($T$2))*(CsDJ[Account Code]=TRIM(K14)),CsDJ[Debit]))</f>
        <v>0</v>
      </c>
      <c r="O14" s="89">
        <f t="array" ref="O14">SUM(IF((CsDJ[JEV Number]=TRIM($T$2))*(CsDJ[Account Code]=TRIM(K14)),CsDJ[Credit]))</f>
        <v>0</v>
      </c>
      <c r="P14" s="1040">
        <f t="shared" si="0"/>
        <v>0</v>
      </c>
      <c r="Q14" s="1040"/>
      <c r="R14" s="1040"/>
      <c r="S14" s="1040">
        <f t="shared" si="1"/>
        <v>0</v>
      </c>
      <c r="T14" s="1040"/>
      <c r="U14" s="1040"/>
      <c r="V14" s="1041"/>
    </row>
    <row r="15" spans="1:22" x14ac:dyDescent="0.25">
      <c r="A15" s="1038"/>
      <c r="B15" s="1039"/>
      <c r="C15" s="1039"/>
      <c r="D15" s="1039"/>
      <c r="E15" s="1045" t="str">
        <f>IF(K15=0,0,(INDEX(AccountCodes[ACCOUNT NAME],MATCH(K15,AccountCodes[NGAS CODE],0))))</f>
        <v>Due to Pag-IBIG - Pag-IBIG Premium</v>
      </c>
      <c r="F15" s="1046"/>
      <c r="G15" s="1046"/>
      <c r="H15" s="1046"/>
      <c r="I15" s="1046"/>
      <c r="J15" s="1047"/>
      <c r="K15" s="662" t="s">
        <v>1444</v>
      </c>
      <c r="L15" s="62">
        <f t="array" ref="L15">IF(K15=0,0,(INDEX(AccountCodes[PPSAS CODE],MATCH(K15,AccountCodes[NGAS CODE],0))))</f>
        <v>2020103001</v>
      </c>
      <c r="M15" s="14"/>
      <c r="N15" s="89">
        <f t="array" ref="N15">SUM(IF((CsDJ[JEV Number]=TRIM($T$2))*(CsDJ[Account Code]=TRIM(K15)),CsDJ[Debit]))</f>
        <v>0</v>
      </c>
      <c r="O15" s="89">
        <f t="array" ref="O15">SUM(IF((CsDJ[JEV Number]=TRIM($T$2))*(CsDJ[Account Code]=TRIM(K15)),CsDJ[Credit]))</f>
        <v>0</v>
      </c>
      <c r="P15" s="1040">
        <f t="shared" si="0"/>
        <v>0</v>
      </c>
      <c r="Q15" s="1040"/>
      <c r="R15" s="1040"/>
      <c r="S15" s="1040">
        <f t="shared" si="1"/>
        <v>0</v>
      </c>
      <c r="T15" s="1040"/>
      <c r="U15" s="1040"/>
      <c r="V15" s="1041"/>
    </row>
    <row r="16" spans="1:22" x14ac:dyDescent="0.25">
      <c r="A16" s="1038"/>
      <c r="B16" s="1039"/>
      <c r="C16" s="1039"/>
      <c r="D16" s="1039"/>
      <c r="E16" s="1045" t="str">
        <f>IF(K16=0,0,(INDEX(AccountCodes[ACCOUNT NAME],MATCH(K16,AccountCodes[NGAS CODE],0))))</f>
        <v>Due to PhilHealth</v>
      </c>
      <c r="F16" s="1046"/>
      <c r="G16" s="1046"/>
      <c r="H16" s="1046"/>
      <c r="I16" s="1046"/>
      <c r="J16" s="1047"/>
      <c r="K16" s="662" t="s">
        <v>112</v>
      </c>
      <c r="L16" s="62">
        <f t="array" ref="L16">IF(K16=0,0,(INDEX(AccountCodes[PPSAS CODE],MATCH(K16,AccountCodes[NGAS CODE],0))))</f>
        <v>2020104000</v>
      </c>
      <c r="M16" s="14"/>
      <c r="N16" s="89">
        <f t="array" ref="N16">SUM(IF((CsDJ[JEV Number]=TRIM($T$2))*(CsDJ[Account Code]=TRIM(K16)),CsDJ[Debit]))</f>
        <v>0</v>
      </c>
      <c r="O16" s="89">
        <f t="array" ref="O16">SUM(IF((CsDJ[JEV Number]=TRIM($T$2))*(CsDJ[Account Code]=TRIM(K16)),CsDJ[Credit]))</f>
        <v>0</v>
      </c>
      <c r="P16" s="1040">
        <f t="shared" si="0"/>
        <v>0</v>
      </c>
      <c r="Q16" s="1040"/>
      <c r="R16" s="1040"/>
      <c r="S16" s="1040">
        <f t="shared" si="1"/>
        <v>0</v>
      </c>
      <c r="T16" s="1040"/>
      <c r="U16" s="1040"/>
      <c r="V16" s="1041"/>
    </row>
    <row r="17" spans="1:22" x14ac:dyDescent="0.25">
      <c r="A17" s="1038"/>
      <c r="B17" s="1039"/>
      <c r="C17" s="1039"/>
      <c r="D17" s="1039"/>
      <c r="E17" s="1045" t="str">
        <f>IF(K17=0,0,(INDEX(AccountCodes[ACCOUNT NAME],MATCH(K17,AccountCodes[NGAS CODE],0))))</f>
        <v>Other Payables</v>
      </c>
      <c r="F17" s="1046"/>
      <c r="G17" s="1046"/>
      <c r="H17" s="1046"/>
      <c r="I17" s="1046"/>
      <c r="J17" s="1047"/>
      <c r="K17" s="662" t="s">
        <v>117</v>
      </c>
      <c r="L17" s="62">
        <f t="array" ref="L17">IF(K17=0,0,(INDEX(AccountCodes[PPSAS CODE],MATCH(K17,AccountCodes[NGAS CODE],0))))</f>
        <v>2999999000</v>
      </c>
      <c r="M17" s="14"/>
      <c r="N17" s="89">
        <f t="array" ref="N17">SUM(IF((CsDJ[JEV Number]=TRIM($T$2))*(CsDJ[Account Code]=TRIM(K17)),CsDJ[Debit]))</f>
        <v>0</v>
      </c>
      <c r="O17" s="89">
        <f t="array" ref="O17">SUM(IF((CsDJ[JEV Number]=TRIM($T$2))*(CsDJ[Account Code]=TRIM(K17)),CsDJ[Credit]))</f>
        <v>0</v>
      </c>
      <c r="P17" s="1040">
        <f t="shared" si="0"/>
        <v>0</v>
      </c>
      <c r="Q17" s="1040"/>
      <c r="R17" s="1040"/>
      <c r="S17" s="1040">
        <f t="shared" si="1"/>
        <v>0</v>
      </c>
      <c r="T17" s="1040"/>
      <c r="U17" s="1040"/>
      <c r="V17" s="1041"/>
    </row>
    <row r="18" spans="1:22" x14ac:dyDescent="0.25">
      <c r="A18" s="1038"/>
      <c r="B18" s="1039"/>
      <c r="C18" s="1039"/>
      <c r="D18" s="1039"/>
      <c r="E18" s="1045" t="str">
        <f>IF(K18=0,0,(INDEX(AccountCodes[ACCOUNT NAME],MATCH(K18,AccountCodes[NGAS CODE],0))))</f>
        <v>Salaries and Wages-Regular</v>
      </c>
      <c r="F18" s="1046"/>
      <c r="G18" s="1046"/>
      <c r="H18" s="1046"/>
      <c r="I18" s="1046"/>
      <c r="J18" s="1047"/>
      <c r="K18" s="662" t="s">
        <v>162</v>
      </c>
      <c r="L18" s="62">
        <f t="array" ref="L18">IF(K18=0,0,(INDEX(AccountCodes[PPSAS CODE],MATCH(K18,AccountCodes[NGAS CODE],0))))</f>
        <v>5010101000</v>
      </c>
      <c r="M18" s="14"/>
      <c r="N18" s="89">
        <f t="array" ref="N18">SUM(IF((CsDJ[JEV Number]=TRIM($T$2))*(CsDJ[Account Code]=TRIM(K18)),CsDJ[Debit]))</f>
        <v>0</v>
      </c>
      <c r="O18" s="89">
        <f t="array" ref="O18">SUM(IF((CsDJ[JEV Number]=TRIM($T$2))*(CsDJ[Account Code]=TRIM(K18)),CsDJ[Credit]))</f>
        <v>0</v>
      </c>
      <c r="P18" s="1040">
        <f t="shared" si="0"/>
        <v>0</v>
      </c>
      <c r="Q18" s="1040"/>
      <c r="R18" s="1040"/>
      <c r="S18" s="1040">
        <f t="shared" si="1"/>
        <v>0</v>
      </c>
      <c r="T18" s="1040"/>
      <c r="U18" s="1040"/>
      <c r="V18" s="1041"/>
    </row>
    <row r="19" spans="1:22" x14ac:dyDescent="0.25">
      <c r="A19" s="1038"/>
      <c r="B19" s="1039"/>
      <c r="C19" s="1039"/>
      <c r="D19" s="1039"/>
      <c r="E19" s="1045" t="str">
        <f>IF(K19=0,0,(INDEX(AccountCodes[ACCOUNT NAME],MATCH(K19,AccountCodes[NGAS CODE],0))))</f>
        <v>Personal Economic Relief Allowance (PERA)</v>
      </c>
      <c r="F19" s="1046"/>
      <c r="G19" s="1046"/>
      <c r="H19" s="1046"/>
      <c r="I19" s="1046"/>
      <c r="J19" s="1047"/>
      <c r="K19" s="662" t="s">
        <v>164</v>
      </c>
      <c r="L19" s="62">
        <f t="array" ref="L19">IF(K19=0,0,(INDEX(AccountCodes[PPSAS CODE],MATCH(K19,AccountCodes[NGAS CODE],0))))</f>
        <v>5010201000</v>
      </c>
      <c r="M19" s="14"/>
      <c r="N19" s="89">
        <f t="array" ref="N19">SUM(IF((CsDJ[JEV Number]=TRIM($T$2))*(CsDJ[Account Code]=TRIM(K19)),CsDJ[Debit]))</f>
        <v>0</v>
      </c>
      <c r="O19" s="89">
        <f t="array" ref="O19">SUM(IF((CsDJ[JEV Number]=TRIM($T$2))*(CsDJ[Account Code]=TRIM(K19)),CsDJ[Credit]))</f>
        <v>0</v>
      </c>
      <c r="P19" s="1040">
        <f t="shared" si="0"/>
        <v>0</v>
      </c>
      <c r="Q19" s="1040"/>
      <c r="R19" s="1040"/>
      <c r="S19" s="1040">
        <f t="shared" si="1"/>
        <v>0</v>
      </c>
      <c r="T19" s="1040"/>
      <c r="U19" s="1040"/>
      <c r="V19" s="1041"/>
    </row>
    <row r="20" spans="1:22" x14ac:dyDescent="0.25">
      <c r="A20" s="1038"/>
      <c r="B20" s="1039"/>
      <c r="C20" s="1039"/>
      <c r="D20" s="1039"/>
      <c r="E20" s="1045" t="str">
        <f>IF(K20=0,0,(INDEX(AccountCodes[ACCOUNT NAME],MATCH(K20,AccountCodes[NGAS CODE],0))))</f>
        <v>Productivity Incentive Allowance</v>
      </c>
      <c r="F20" s="1046"/>
      <c r="G20" s="1046"/>
      <c r="H20" s="1046"/>
      <c r="I20" s="1046"/>
      <c r="J20" s="1047"/>
      <c r="K20" s="662" t="s">
        <v>171</v>
      </c>
      <c r="L20" s="62">
        <f t="array" ref="L20">IF(K20=0,0,(INDEX(AccountCodes[PPSAS CODE],MATCH(K20,AccountCodes[NGAS CODE],0))))</f>
        <v>5010208000</v>
      </c>
      <c r="M20" s="14"/>
      <c r="N20" s="89">
        <f t="array" ref="N20">SUM(IF((CsDJ[JEV Number]=TRIM($T$2))*(CsDJ[Account Code]=TRIM(K20)),CsDJ[Debit]))</f>
        <v>0</v>
      </c>
      <c r="O20" s="89">
        <f t="array" ref="O20">SUM(IF((CsDJ[JEV Number]=TRIM($T$2))*(CsDJ[Account Code]=TRIM(K20)),CsDJ[Credit]))</f>
        <v>0</v>
      </c>
      <c r="P20" s="1040">
        <f t="shared" si="0"/>
        <v>0</v>
      </c>
      <c r="Q20" s="1040"/>
      <c r="R20" s="1040"/>
      <c r="S20" s="1040">
        <f t="shared" si="1"/>
        <v>0</v>
      </c>
      <c r="T20" s="1040"/>
      <c r="U20" s="1040"/>
      <c r="V20" s="1041"/>
    </row>
    <row r="21" spans="1:22" x14ac:dyDescent="0.25">
      <c r="A21" s="1038"/>
      <c r="B21" s="1039"/>
      <c r="C21" s="1039"/>
      <c r="D21" s="1039"/>
      <c r="E21" s="1045">
        <f>IF(K21=0,0,(INDEX(AccountCodes[ACCOUNT NAME],MATCH(K21,AccountCodes[NGAS CODE],0))))</f>
        <v>0</v>
      </c>
      <c r="F21" s="1046"/>
      <c r="G21" s="1046"/>
      <c r="H21" s="1046"/>
      <c r="I21" s="1046"/>
      <c r="J21" s="1047"/>
      <c r="K21" s="662"/>
      <c r="L21" s="62">
        <f t="array" ref="L21">IF(K21=0,0,(INDEX(AccountCodes[PPSAS CODE],MATCH(K21,AccountCodes[NGAS CODE],0))))</f>
        <v>0</v>
      </c>
      <c r="M21" s="14"/>
      <c r="N21" s="89">
        <f t="array" ref="N21">SUM(IF((CsDJ[JEV Number]=TRIM($T$2))*(CsDJ[Account Code]=TRIM(K21)),CsDJ[Debit]))</f>
        <v>0</v>
      </c>
      <c r="O21" s="89">
        <f t="array" ref="O21">SUM(IF((CsDJ[JEV Number]=TRIM($T$2))*(CsDJ[Account Code]=TRIM(K21)),CsDJ[Credit]))</f>
        <v>0</v>
      </c>
      <c r="P21" s="1040">
        <f t="shared" si="0"/>
        <v>0</v>
      </c>
      <c r="Q21" s="1040"/>
      <c r="R21" s="1040"/>
      <c r="S21" s="1040">
        <f t="shared" si="1"/>
        <v>0</v>
      </c>
      <c r="T21" s="1040"/>
      <c r="U21" s="1040"/>
      <c r="V21" s="1041"/>
    </row>
    <row r="22" spans="1:22" x14ac:dyDescent="0.25">
      <c r="A22" s="1038"/>
      <c r="B22" s="1039"/>
      <c r="C22" s="1039"/>
      <c r="D22" s="1039"/>
      <c r="E22" s="1045">
        <f>IF(K22=0,0,(INDEX(AccountCodes[ACCOUNT NAME],MATCH(K22,AccountCodes[NGAS CODE],0))))</f>
        <v>0</v>
      </c>
      <c r="F22" s="1046"/>
      <c r="G22" s="1046"/>
      <c r="H22" s="1046"/>
      <c r="I22" s="1046"/>
      <c r="J22" s="1047"/>
      <c r="K22" s="662"/>
      <c r="L22" s="62">
        <f t="array" ref="L22">IF(K22=0,0,(INDEX(AccountCodes[PPSAS CODE],MATCH(K22,AccountCodes[NGAS CODE],0))))</f>
        <v>0</v>
      </c>
      <c r="M22" s="14"/>
      <c r="N22" s="89">
        <f t="array" ref="N22">SUM(IF((CsDJ[JEV Number]=TRIM($T$2))*(CsDJ[Account Code]=TRIM(K22)),CsDJ[Debit]))</f>
        <v>0</v>
      </c>
      <c r="O22" s="89">
        <f t="array" ref="O22">SUM(IF((CsDJ[JEV Number]=TRIM($T$2))*(CsDJ[Account Code]=TRIM(K22)),CsDJ[Credit]))</f>
        <v>0</v>
      </c>
      <c r="P22" s="1040">
        <f t="shared" si="0"/>
        <v>0</v>
      </c>
      <c r="Q22" s="1040"/>
      <c r="R22" s="1040"/>
      <c r="S22" s="1040">
        <f t="shared" si="1"/>
        <v>0</v>
      </c>
      <c r="T22" s="1040"/>
      <c r="U22" s="1040"/>
      <c r="V22" s="1041"/>
    </row>
    <row r="23" spans="1:22" x14ac:dyDescent="0.25">
      <c r="A23" s="1038"/>
      <c r="B23" s="1039"/>
      <c r="C23" s="1039"/>
      <c r="D23" s="1039"/>
      <c r="E23" s="1045">
        <f>IF(K23=0,0,(INDEX(AccountCodes[ACCOUNT NAME],MATCH(K23,AccountCodes[NGAS CODE],0))))</f>
        <v>0</v>
      </c>
      <c r="F23" s="1046"/>
      <c r="G23" s="1046"/>
      <c r="H23" s="1046"/>
      <c r="I23" s="1046"/>
      <c r="J23" s="1047"/>
      <c r="K23" s="662"/>
      <c r="L23" s="62">
        <f t="array" ref="L23">IF(K23=0,0,(INDEX(AccountCodes[PPSAS CODE],MATCH(K23,AccountCodes[NGAS CODE],0))))</f>
        <v>0</v>
      </c>
      <c r="M23" s="14"/>
      <c r="N23" s="89">
        <f t="array" ref="N23">SUM(IF((CsDJ[JEV Number]=TRIM($T$2))*(CsDJ[Account Code]=TRIM(K23)),CsDJ[Debit]))</f>
        <v>0</v>
      </c>
      <c r="O23" s="89">
        <f t="array" ref="O23">SUM(IF((CsDJ[JEV Number]=TRIM($T$2))*(CsDJ[Account Code]=TRIM(K23)),CsDJ[Credit]))</f>
        <v>0</v>
      </c>
      <c r="P23" s="1040">
        <f t="shared" si="0"/>
        <v>0</v>
      </c>
      <c r="Q23" s="1040"/>
      <c r="R23" s="1040"/>
      <c r="S23" s="1040">
        <f t="shared" si="1"/>
        <v>0</v>
      </c>
      <c r="T23" s="1040"/>
      <c r="U23" s="1040"/>
      <c r="V23" s="1041"/>
    </row>
    <row r="24" spans="1:22" x14ac:dyDescent="0.25">
      <c r="A24" s="1038"/>
      <c r="B24" s="1039"/>
      <c r="C24" s="1039"/>
      <c r="D24" s="1039"/>
      <c r="E24" s="1045">
        <f>IF(K24=0,0,(INDEX(AccountCodes[ACCOUNT NAME],MATCH(K24,AccountCodes[NGAS CODE],0))))</f>
        <v>0</v>
      </c>
      <c r="F24" s="1046"/>
      <c r="G24" s="1046"/>
      <c r="H24" s="1046"/>
      <c r="I24" s="1046"/>
      <c r="J24" s="1047"/>
      <c r="K24" s="133"/>
      <c r="L24" s="62">
        <f t="array" ref="L24">IF(K24=0,0,(INDEX(AccountCodes[PPSAS CODE],MATCH(K24,AccountCodes[NGAS CODE],0))))</f>
        <v>0</v>
      </c>
      <c r="M24" s="14"/>
      <c r="N24" s="89">
        <f t="array" ref="N24">SUM(IF((CsDJ[JEV Number]=TRIM($T$2))*(CsDJ[Account Code]=TRIM(K24)),CsDJ[Debit]))</f>
        <v>0</v>
      </c>
      <c r="O24" s="89">
        <f t="array" ref="O24">SUM(IF((CsDJ[JEV Number]=TRIM($T$2))*(CsDJ[Account Code]=TRIM(K24)),CsDJ[Credit]))</f>
        <v>0</v>
      </c>
      <c r="P24" s="1040">
        <f t="shared" si="0"/>
        <v>0</v>
      </c>
      <c r="Q24" s="1040"/>
      <c r="R24" s="1040"/>
      <c r="S24" s="1040">
        <f t="shared" si="1"/>
        <v>0</v>
      </c>
      <c r="T24" s="1040"/>
      <c r="U24" s="1040"/>
      <c r="V24" s="1041"/>
    </row>
    <row r="25" spans="1:22" x14ac:dyDescent="0.25">
      <c r="A25" s="1038"/>
      <c r="B25" s="1039"/>
      <c r="C25" s="1039"/>
      <c r="D25" s="1039"/>
      <c r="E25" s="1045">
        <f>IF(K25=0,0,(INDEX(AccountCodes[ACCOUNT NAME],MATCH(K25,AccountCodes[NGAS CODE],0))))</f>
        <v>0</v>
      </c>
      <c r="F25" s="1046"/>
      <c r="G25" s="1046"/>
      <c r="H25" s="1046"/>
      <c r="I25" s="1046"/>
      <c r="J25" s="1047"/>
      <c r="K25" s="133"/>
      <c r="L25" s="62">
        <f t="array" ref="L25">IF(K25=0,0,(INDEX(AccountCodes[PPSAS CODE],MATCH(K25,AccountCodes[NGAS CODE],0))))</f>
        <v>0</v>
      </c>
      <c r="M25" s="14"/>
      <c r="N25" s="89">
        <f t="array" ref="N25">SUM(IF((CsDJ[JEV Number]=TRIM($T$2))*(CsDJ[Account Code]=TRIM(K25)),CsDJ[Debit]))</f>
        <v>0</v>
      </c>
      <c r="O25" s="89">
        <f t="array" ref="O25">SUM(IF((CsDJ[JEV Number]=TRIM($T$2))*(CsDJ[Account Code]=TRIM(K25)),CsDJ[Credit]))</f>
        <v>0</v>
      </c>
      <c r="P25" s="1040">
        <f t="shared" si="0"/>
        <v>0</v>
      </c>
      <c r="Q25" s="1040"/>
      <c r="R25" s="1040"/>
      <c r="S25" s="1040">
        <f t="shared" si="1"/>
        <v>0</v>
      </c>
      <c r="T25" s="1040"/>
      <c r="U25" s="1040"/>
      <c r="V25" s="1041"/>
    </row>
    <row r="26" spans="1:22" x14ac:dyDescent="0.25">
      <c r="A26" s="1038"/>
      <c r="B26" s="1039"/>
      <c r="C26" s="1039"/>
      <c r="D26" s="1039"/>
      <c r="E26" s="1045">
        <f>IF(K26=0,0,(INDEX(AccountCodes[ACCOUNT NAME],MATCH(K26,AccountCodes[NGAS CODE],0))))</f>
        <v>0</v>
      </c>
      <c r="F26" s="1046"/>
      <c r="G26" s="1046"/>
      <c r="H26" s="1046"/>
      <c r="I26" s="1046"/>
      <c r="J26" s="1047"/>
      <c r="K26" s="133"/>
      <c r="L26" s="62">
        <f t="array" ref="L26">IF(K26=0,0,(INDEX(AccountCodes[PPSAS CODE],MATCH(K26,AccountCodes[NGAS CODE],0))))</f>
        <v>0</v>
      </c>
      <c r="M26" s="14"/>
      <c r="N26" s="89">
        <f t="array" ref="N26">SUM(IF((CsDJ[JEV Number]=TRIM($T$2))*(CsDJ[Account Code]=TRIM(K26)),CsDJ[Debit]))</f>
        <v>0</v>
      </c>
      <c r="O26" s="89">
        <f t="array" ref="O26">SUM(IF((CsDJ[JEV Number]=TRIM($T$2))*(CsDJ[Account Code]=TRIM(K26)),CsDJ[Credit]))</f>
        <v>0</v>
      </c>
      <c r="P26" s="1040">
        <f t="shared" si="0"/>
        <v>0</v>
      </c>
      <c r="Q26" s="1040"/>
      <c r="R26" s="1040"/>
      <c r="S26" s="1040">
        <f t="shared" si="1"/>
        <v>0</v>
      </c>
      <c r="T26" s="1040"/>
      <c r="U26" s="1040"/>
      <c r="V26" s="1041"/>
    </row>
    <row r="27" spans="1:22" x14ac:dyDescent="0.25">
      <c r="A27" s="1038"/>
      <c r="B27" s="1039"/>
      <c r="C27" s="1039"/>
      <c r="D27" s="1039"/>
      <c r="E27" s="1045">
        <f>IF(K27=0,0,(INDEX(AccountCodes[ACCOUNT NAME],MATCH(K27,AccountCodes[NGAS CODE],0))))</f>
        <v>0</v>
      </c>
      <c r="F27" s="1046"/>
      <c r="G27" s="1046"/>
      <c r="H27" s="1046"/>
      <c r="I27" s="1046"/>
      <c r="J27" s="1047"/>
      <c r="K27" s="133"/>
      <c r="L27" s="62">
        <f t="array" ref="L27">IF(K27=0,0,(INDEX(AccountCodes[PPSAS CODE],MATCH(K27,AccountCodes[NGAS CODE],0))))</f>
        <v>0</v>
      </c>
      <c r="M27" s="14"/>
      <c r="N27" s="89">
        <f t="array" ref="N27">SUM(IF((CsDJ[JEV Number]=TRIM($T$2))*(CsDJ[Account Code]=TRIM(K27)),CsDJ[Debit]))</f>
        <v>0</v>
      </c>
      <c r="O27" s="89">
        <f t="array" ref="O27">SUM(IF((CsDJ[JEV Number]=TRIM($T$2))*(CsDJ[Account Code]=TRIM(K27)),CsDJ[Credit]))</f>
        <v>0</v>
      </c>
      <c r="P27" s="1040">
        <f t="shared" si="0"/>
        <v>0</v>
      </c>
      <c r="Q27" s="1040"/>
      <c r="R27" s="1040"/>
      <c r="S27" s="1040">
        <f t="shared" si="1"/>
        <v>0</v>
      </c>
      <c r="T27" s="1040"/>
      <c r="U27" s="1040"/>
      <c r="V27" s="1041"/>
    </row>
    <row r="28" spans="1:22" x14ac:dyDescent="0.25">
      <c r="A28" s="1038"/>
      <c r="B28" s="1039"/>
      <c r="C28" s="1039"/>
      <c r="D28" s="1039"/>
      <c r="E28" s="1045">
        <f>IF(K28=0,0,(INDEX(AccountCodes[ACCOUNT NAME],MATCH(K28,AccountCodes[NGAS CODE],0))))</f>
        <v>0</v>
      </c>
      <c r="F28" s="1046"/>
      <c r="G28" s="1046"/>
      <c r="H28" s="1046"/>
      <c r="I28" s="1046"/>
      <c r="J28" s="1047"/>
      <c r="K28" s="133"/>
      <c r="L28" s="62">
        <f t="array" ref="L28">IF(K28=0,0,(INDEX(AccountCodes[PPSAS CODE],MATCH(K28,AccountCodes[NGAS CODE],0))))</f>
        <v>0</v>
      </c>
      <c r="M28" s="14"/>
      <c r="N28" s="89">
        <f t="array" ref="N28">SUM(IF((CsDJ[JEV Number]=TRIM($T$2))*(CsDJ[Account Code]=TRIM(K28)),CsDJ[Debit]))</f>
        <v>0</v>
      </c>
      <c r="O28" s="89">
        <f t="array" ref="O28">SUM(IF((CsDJ[JEV Number]=TRIM($T$2))*(CsDJ[Account Code]=TRIM(K28)),CsDJ[Credit]))</f>
        <v>0</v>
      </c>
      <c r="P28" s="1040">
        <f t="shared" si="0"/>
        <v>0</v>
      </c>
      <c r="Q28" s="1040"/>
      <c r="R28" s="1040"/>
      <c r="S28" s="1040">
        <f t="shared" si="1"/>
        <v>0</v>
      </c>
      <c r="T28" s="1040"/>
      <c r="U28" s="1040"/>
      <c r="V28" s="1041"/>
    </row>
    <row r="29" spans="1:22" x14ac:dyDescent="0.25">
      <c r="A29" s="1038"/>
      <c r="B29" s="1039"/>
      <c r="C29" s="1039"/>
      <c r="D29" s="1039"/>
      <c r="E29" s="1045">
        <f>IF(K29=0,0,(INDEX(AccountCodes[ACCOUNT NAME],MATCH(K29,AccountCodes[NGAS CODE],0))))</f>
        <v>0</v>
      </c>
      <c r="F29" s="1046"/>
      <c r="G29" s="1046"/>
      <c r="H29" s="1046"/>
      <c r="I29" s="1046"/>
      <c r="J29" s="1047"/>
      <c r="K29" s="133"/>
      <c r="L29" s="62">
        <f t="array" ref="L29">IF(K29=0,0,(INDEX(AccountCodes[PPSAS CODE],MATCH(K29,AccountCodes[NGAS CODE],0))))</f>
        <v>0</v>
      </c>
      <c r="M29" s="14"/>
      <c r="N29" s="89">
        <f t="array" ref="N29">SUM(IF((CsDJ[JEV Number]=TRIM($T$2))*(CsDJ[Account Code]=TRIM(K29)),CsDJ[Debit]))</f>
        <v>0</v>
      </c>
      <c r="O29" s="89">
        <f t="array" ref="O29">SUM(IF((CsDJ[JEV Number]=TRIM($T$2))*(CsDJ[Account Code]=TRIM(K29)),CsDJ[Credit]))</f>
        <v>0</v>
      </c>
      <c r="P29" s="1040">
        <f t="shared" si="0"/>
        <v>0</v>
      </c>
      <c r="Q29" s="1040"/>
      <c r="R29" s="1040"/>
      <c r="S29" s="1040">
        <f t="shared" si="1"/>
        <v>0</v>
      </c>
      <c r="T29" s="1040"/>
      <c r="U29" s="1040"/>
      <c r="V29" s="1041"/>
    </row>
    <row r="30" spans="1:22" x14ac:dyDescent="0.25">
      <c r="A30" s="1038"/>
      <c r="B30" s="1039"/>
      <c r="C30" s="1039"/>
      <c r="D30" s="1039"/>
      <c r="E30" s="1045">
        <f>IF(K30=0,0,(INDEX(AccountCodes[ACCOUNT NAME],MATCH(K30,AccountCodes[NGAS CODE],0))))</f>
        <v>0</v>
      </c>
      <c r="F30" s="1046"/>
      <c r="G30" s="1046"/>
      <c r="H30" s="1046"/>
      <c r="I30" s="1046"/>
      <c r="J30" s="1047"/>
      <c r="K30" s="133"/>
      <c r="L30" s="62">
        <f t="array" ref="L30">IF(K30=0,0,(INDEX(AccountCodes[PPSAS CODE],MATCH(K30,AccountCodes[NGAS CODE],0))))</f>
        <v>0</v>
      </c>
      <c r="M30" s="14"/>
      <c r="N30" s="89">
        <f t="array" ref="N30">SUM(IF((CsDJ[JEV Number]=TRIM($T$2))*(CsDJ[Account Code]=TRIM(K30)),CsDJ[Debit]))</f>
        <v>0</v>
      </c>
      <c r="O30" s="89">
        <f t="array" ref="O30">SUM(IF((CsDJ[JEV Number]=TRIM($T$2))*(CsDJ[Account Code]=TRIM(K30)),CsDJ[Credit]))</f>
        <v>0</v>
      </c>
      <c r="P30" s="1040">
        <f t="shared" si="0"/>
        <v>0</v>
      </c>
      <c r="Q30" s="1040"/>
      <c r="R30" s="1040"/>
      <c r="S30" s="1040">
        <f t="shared" si="1"/>
        <v>0</v>
      </c>
      <c r="T30" s="1040"/>
      <c r="U30" s="1040"/>
      <c r="V30" s="1041"/>
    </row>
    <row r="31" spans="1:22" x14ac:dyDescent="0.25">
      <c r="A31" s="1038"/>
      <c r="B31" s="1039"/>
      <c r="C31" s="1039"/>
      <c r="D31" s="1039"/>
      <c r="E31" s="1045">
        <f>IF(K31=0,0,(INDEX(AccountCodes[ACCOUNT NAME],MATCH(K31,AccountCodes[NGAS CODE],0))))</f>
        <v>0</v>
      </c>
      <c r="F31" s="1046"/>
      <c r="G31" s="1046"/>
      <c r="H31" s="1046"/>
      <c r="I31" s="1046"/>
      <c r="J31" s="1047"/>
      <c r="K31" s="133"/>
      <c r="L31" s="62">
        <f t="array" ref="L31">IF(K31=0,0,(INDEX(AccountCodes[PPSAS CODE],MATCH(K31,AccountCodes[NGAS CODE],0))))</f>
        <v>0</v>
      </c>
      <c r="M31" s="14"/>
      <c r="N31" s="89">
        <f t="array" ref="N31">SUM(IF((CsDJ[JEV Number]=TRIM($T$2))*(CsDJ[Account Code]=TRIM(K31)),CsDJ[Debit]))</f>
        <v>0</v>
      </c>
      <c r="O31" s="89">
        <f t="array" ref="O31">SUM(IF((CsDJ[JEV Number]=TRIM($T$2))*(CsDJ[Account Code]=TRIM(K31)),CsDJ[Credit]))</f>
        <v>0</v>
      </c>
      <c r="P31" s="1040">
        <f t="shared" si="0"/>
        <v>0</v>
      </c>
      <c r="Q31" s="1040"/>
      <c r="R31" s="1040"/>
      <c r="S31" s="1040">
        <f t="shared" si="1"/>
        <v>0</v>
      </c>
      <c r="T31" s="1040"/>
      <c r="U31" s="1040"/>
      <c r="V31" s="1041"/>
    </row>
    <row r="32" spans="1:22" x14ac:dyDescent="0.25">
      <c r="A32" s="1038"/>
      <c r="B32" s="1039"/>
      <c r="C32" s="1039"/>
      <c r="D32" s="1039"/>
      <c r="E32" s="1045">
        <f>IF(K32=0,0,(INDEX(AccountCodes[ACCOUNT NAME],MATCH(K32,AccountCodes[NGAS CODE],0))))</f>
        <v>0</v>
      </c>
      <c r="F32" s="1046"/>
      <c r="G32" s="1046"/>
      <c r="H32" s="1046"/>
      <c r="I32" s="1046"/>
      <c r="J32" s="1047"/>
      <c r="K32" s="133"/>
      <c r="L32" s="62">
        <f t="array" ref="L32">IF(K32=0,0,(INDEX(AccountCodes[PPSAS CODE],MATCH(K32,AccountCodes[NGAS CODE],0))))</f>
        <v>0</v>
      </c>
      <c r="M32" s="14"/>
      <c r="N32" s="89">
        <f t="array" ref="N32">SUM(IF((CsDJ[JEV Number]=TRIM($T$2))*(CsDJ[Account Code]=TRIM(K32)),CsDJ[Debit]))</f>
        <v>0</v>
      </c>
      <c r="O32" s="89">
        <f t="array" ref="O32">SUM(IF((CsDJ[JEV Number]=TRIM($T$2))*(CsDJ[Account Code]=TRIM(K32)),CsDJ[Credit]))</f>
        <v>0</v>
      </c>
      <c r="P32" s="1040">
        <f t="shared" si="0"/>
        <v>0</v>
      </c>
      <c r="Q32" s="1040"/>
      <c r="R32" s="1040"/>
      <c r="S32" s="1040">
        <f t="shared" si="1"/>
        <v>0</v>
      </c>
      <c r="T32" s="1040"/>
      <c r="U32" s="1040"/>
      <c r="V32" s="1041"/>
    </row>
    <row r="33" spans="1:22" x14ac:dyDescent="0.25">
      <c r="A33" s="1038"/>
      <c r="B33" s="1039"/>
      <c r="C33" s="1039"/>
      <c r="D33" s="1039"/>
      <c r="E33" s="1045">
        <f>IF(K33=0,0,(INDEX(AccountCodes[ACCOUNT NAME],MATCH(K33,AccountCodes[NGAS CODE],0))))</f>
        <v>0</v>
      </c>
      <c r="F33" s="1046"/>
      <c r="G33" s="1046"/>
      <c r="H33" s="1046"/>
      <c r="I33" s="1046"/>
      <c r="J33" s="1047"/>
      <c r="K33" s="133"/>
      <c r="L33" s="62">
        <f t="array" ref="L33">IF(K33=0,0,(INDEX(AccountCodes[PPSAS CODE],MATCH(K33,AccountCodes[NGAS CODE],0))))</f>
        <v>0</v>
      </c>
      <c r="M33" s="14"/>
      <c r="N33" s="89">
        <f t="array" ref="N33">SUM(IF((CsDJ[JEV Number]=TRIM($T$2))*(CsDJ[Account Code]=TRIM(K33)),CsDJ[Debit]))</f>
        <v>0</v>
      </c>
      <c r="O33" s="89">
        <f t="array" ref="O33">SUM(IF((CsDJ[JEV Number]=TRIM($T$2))*(CsDJ[Account Code]=TRIM(K33)),CsDJ[Credit]))</f>
        <v>0</v>
      </c>
      <c r="P33" s="1040">
        <f t="shared" si="0"/>
        <v>0</v>
      </c>
      <c r="Q33" s="1040"/>
      <c r="R33" s="1040"/>
      <c r="S33" s="1040">
        <f t="shared" si="1"/>
        <v>0</v>
      </c>
      <c r="T33" s="1040"/>
      <c r="U33" s="1040"/>
      <c r="V33" s="1041"/>
    </row>
    <row r="34" spans="1:22" x14ac:dyDescent="0.25">
      <c r="A34" s="1038"/>
      <c r="B34" s="1039"/>
      <c r="C34" s="1039"/>
      <c r="D34" s="1039"/>
      <c r="E34" s="1045">
        <f>IF(K34=0,0,(INDEX(AccountCodes[ACCOUNT NAME],MATCH(K34,AccountCodes[NGAS CODE],0))))</f>
        <v>0</v>
      </c>
      <c r="F34" s="1046"/>
      <c r="G34" s="1046"/>
      <c r="H34" s="1046"/>
      <c r="I34" s="1046"/>
      <c r="J34" s="1047"/>
      <c r="K34" s="133"/>
      <c r="L34" s="62">
        <f t="array" ref="L34">IF(K34=0,0,(INDEX(AccountCodes[PPSAS CODE],MATCH(K34,AccountCodes[NGAS CODE],0))))</f>
        <v>0</v>
      </c>
      <c r="M34" s="14"/>
      <c r="N34" s="89">
        <f t="array" ref="N34">SUM(IF((CsDJ[JEV Number]=TRIM($T$2))*(CsDJ[Account Code]=TRIM(K34)),CsDJ[Debit]))</f>
        <v>0</v>
      </c>
      <c r="O34" s="89">
        <f t="array" ref="O34">SUM(IF((CsDJ[JEV Number]=TRIM($T$2))*(CsDJ[Account Code]=TRIM(K34)),CsDJ[Credit]))</f>
        <v>0</v>
      </c>
      <c r="P34" s="1040">
        <f t="shared" si="0"/>
        <v>0</v>
      </c>
      <c r="Q34" s="1040"/>
      <c r="R34" s="1040"/>
      <c r="S34" s="1040">
        <f t="shared" si="1"/>
        <v>0</v>
      </c>
      <c r="T34" s="1040"/>
      <c r="U34" s="1040"/>
      <c r="V34" s="1041"/>
    </row>
    <row r="35" spans="1:22" x14ac:dyDescent="0.25">
      <c r="A35" s="1038"/>
      <c r="B35" s="1039"/>
      <c r="C35" s="1039"/>
      <c r="D35" s="1039"/>
      <c r="E35" s="1045">
        <f>IF(K35=0,0,(INDEX(AccountCodes[ACCOUNT NAME],MATCH(K35,AccountCodes[NGAS CODE],0))))</f>
        <v>0</v>
      </c>
      <c r="F35" s="1046"/>
      <c r="G35" s="1046"/>
      <c r="H35" s="1046"/>
      <c r="I35" s="1046"/>
      <c r="J35" s="1047"/>
      <c r="K35" s="133"/>
      <c r="L35" s="62">
        <f t="array" ref="L35">IF(K35=0,0,(INDEX(AccountCodes[PPSAS CODE],MATCH(K35,AccountCodes[NGAS CODE],0))))</f>
        <v>0</v>
      </c>
      <c r="M35" s="14"/>
      <c r="N35" s="89">
        <f t="array" ref="N35">SUM(IF((CsDJ[JEV Number]=TRIM($T$2))*(CsDJ[Account Code]=TRIM(K35)),CsDJ[Debit]))</f>
        <v>0</v>
      </c>
      <c r="O35" s="89">
        <f t="array" ref="O35">SUM(IF((CsDJ[JEV Number]=TRIM($T$2))*(CsDJ[Account Code]=TRIM(K35)),CsDJ[Credit]))</f>
        <v>0</v>
      </c>
      <c r="P35" s="1040">
        <f t="shared" ref="P35:P48" si="2">N35</f>
        <v>0</v>
      </c>
      <c r="Q35" s="1040"/>
      <c r="R35" s="1040"/>
      <c r="S35" s="1040">
        <f t="shared" ref="S35:S48" si="3">O35</f>
        <v>0</v>
      </c>
      <c r="T35" s="1040"/>
      <c r="U35" s="1040"/>
      <c r="V35" s="1041"/>
    </row>
    <row r="36" spans="1:22" x14ac:dyDescent="0.25">
      <c r="A36" s="1038"/>
      <c r="B36" s="1039"/>
      <c r="C36" s="1039"/>
      <c r="D36" s="1039"/>
      <c r="E36" s="1045">
        <f>IF(K36=0,0,(INDEX(AccountCodes[ACCOUNT NAME],MATCH(K36,AccountCodes[NGAS CODE],0))))</f>
        <v>0</v>
      </c>
      <c r="F36" s="1046"/>
      <c r="G36" s="1046"/>
      <c r="H36" s="1046"/>
      <c r="I36" s="1046"/>
      <c r="J36" s="1047"/>
      <c r="K36" s="133"/>
      <c r="L36" s="62">
        <f t="array" ref="L36">IF(K36=0,0,(INDEX(AccountCodes[PPSAS CODE],MATCH(K36,AccountCodes[NGAS CODE],0))))</f>
        <v>0</v>
      </c>
      <c r="M36" s="14"/>
      <c r="N36" s="89">
        <f t="array" ref="N36">SUM(IF((CsDJ[JEV Number]=TRIM($T$2))*(CsDJ[Account Code]=TRIM(K36)),CsDJ[Debit]))</f>
        <v>0</v>
      </c>
      <c r="O36" s="89">
        <f t="array" ref="O36">SUM(IF((CsDJ[JEV Number]=TRIM($T$2))*(CsDJ[Account Code]=TRIM(K36)),CsDJ[Credit]))</f>
        <v>0</v>
      </c>
      <c r="P36" s="1040">
        <f t="shared" si="2"/>
        <v>0</v>
      </c>
      <c r="Q36" s="1040"/>
      <c r="R36" s="1040"/>
      <c r="S36" s="1040">
        <f t="shared" si="3"/>
        <v>0</v>
      </c>
      <c r="T36" s="1040"/>
      <c r="U36" s="1040"/>
      <c r="V36" s="1041"/>
    </row>
    <row r="37" spans="1:22" x14ac:dyDescent="0.25">
      <c r="A37" s="1038"/>
      <c r="B37" s="1039"/>
      <c r="C37" s="1039"/>
      <c r="D37" s="1039"/>
      <c r="E37" s="1045">
        <f>IF(K37=0,0,(INDEX(AccountCodes[ACCOUNT NAME],MATCH(K37,AccountCodes[NGAS CODE],0))))</f>
        <v>0</v>
      </c>
      <c r="F37" s="1046"/>
      <c r="G37" s="1046"/>
      <c r="H37" s="1046"/>
      <c r="I37" s="1046"/>
      <c r="J37" s="1047"/>
      <c r="K37" s="133"/>
      <c r="L37" s="62">
        <f t="array" ref="L37">IF(K37=0,0,(INDEX(AccountCodes[PPSAS CODE],MATCH(K37,AccountCodes[NGAS CODE],0))))</f>
        <v>0</v>
      </c>
      <c r="M37" s="14"/>
      <c r="N37" s="89">
        <f t="array" ref="N37">SUM(IF((CsDJ[JEV Number]=TRIM($T$2))*(CsDJ[Account Code]=TRIM(K37)),CsDJ[Debit]))</f>
        <v>0</v>
      </c>
      <c r="O37" s="89">
        <f t="array" ref="O37">SUM(IF((CsDJ[JEV Number]=TRIM($T$2))*(CsDJ[Account Code]=TRIM(K37)),CsDJ[Credit]))</f>
        <v>0</v>
      </c>
      <c r="P37" s="1040">
        <f t="shared" si="2"/>
        <v>0</v>
      </c>
      <c r="Q37" s="1040"/>
      <c r="R37" s="1040"/>
      <c r="S37" s="1040">
        <f t="shared" si="3"/>
        <v>0</v>
      </c>
      <c r="T37" s="1040"/>
      <c r="U37" s="1040"/>
      <c r="V37" s="1041"/>
    </row>
    <row r="38" spans="1:22" x14ac:dyDescent="0.25">
      <c r="A38" s="1038"/>
      <c r="B38" s="1039"/>
      <c r="C38" s="1039"/>
      <c r="D38" s="1039"/>
      <c r="E38" s="1045">
        <f>IF(K38=0,0,(INDEX(AccountCodes[ACCOUNT NAME],MATCH(K38,AccountCodes[NGAS CODE],0))))</f>
        <v>0</v>
      </c>
      <c r="F38" s="1046"/>
      <c r="G38" s="1046"/>
      <c r="H38" s="1046"/>
      <c r="I38" s="1046"/>
      <c r="J38" s="1047"/>
      <c r="K38" s="133"/>
      <c r="L38" s="62">
        <f t="array" ref="L38">IF(K38=0,0,(INDEX(AccountCodes[PPSAS CODE],MATCH(K38,AccountCodes[NGAS CODE],0))))</f>
        <v>0</v>
      </c>
      <c r="M38" s="14"/>
      <c r="N38" s="89">
        <f t="array" ref="N38">SUM(IF((CsDJ[JEV Number]=TRIM($T$2))*(CsDJ[Account Code]=TRIM(K38)),CsDJ[Debit]))</f>
        <v>0</v>
      </c>
      <c r="O38" s="89">
        <f t="array" ref="O38">SUM(IF((CsDJ[JEV Number]=TRIM($T$2))*(CsDJ[Account Code]=TRIM(K38)),CsDJ[Credit]))</f>
        <v>0</v>
      </c>
      <c r="P38" s="1040">
        <f t="shared" si="2"/>
        <v>0</v>
      </c>
      <c r="Q38" s="1040"/>
      <c r="R38" s="1040"/>
      <c r="S38" s="1040">
        <f t="shared" si="3"/>
        <v>0</v>
      </c>
      <c r="T38" s="1040"/>
      <c r="U38" s="1040"/>
      <c r="V38" s="1041"/>
    </row>
    <row r="39" spans="1:22" x14ac:dyDescent="0.25">
      <c r="A39" s="1038"/>
      <c r="B39" s="1039"/>
      <c r="C39" s="1039"/>
      <c r="D39" s="1039"/>
      <c r="E39" s="1045">
        <f>IF(K39=0,0,(INDEX(AccountCodes[ACCOUNT NAME],MATCH(K39,AccountCodes[NGAS CODE],0))))</f>
        <v>0</v>
      </c>
      <c r="F39" s="1046"/>
      <c r="G39" s="1046"/>
      <c r="H39" s="1046"/>
      <c r="I39" s="1046"/>
      <c r="J39" s="1047"/>
      <c r="K39" s="133"/>
      <c r="L39" s="62">
        <f t="array" ref="L39">IF(K39=0,0,(INDEX(AccountCodes[PPSAS CODE],MATCH(K39,AccountCodes[NGAS CODE],0))))</f>
        <v>0</v>
      </c>
      <c r="M39" s="14"/>
      <c r="N39" s="89">
        <f t="array" ref="N39">SUM(IF((CsDJ[JEV Number]=TRIM($T$2))*(CsDJ[Account Code]=TRIM(K39)),CsDJ[Debit]))</f>
        <v>0</v>
      </c>
      <c r="O39" s="89">
        <f t="array" ref="O39">SUM(IF((CsDJ[JEV Number]=TRIM($T$2))*(CsDJ[Account Code]=TRIM(K39)),CsDJ[Credit]))</f>
        <v>0</v>
      </c>
      <c r="P39" s="1040">
        <f t="shared" si="2"/>
        <v>0</v>
      </c>
      <c r="Q39" s="1040"/>
      <c r="R39" s="1040"/>
      <c r="S39" s="1040">
        <f t="shared" si="3"/>
        <v>0</v>
      </c>
      <c r="T39" s="1040"/>
      <c r="U39" s="1040"/>
      <c r="V39" s="1041"/>
    </row>
    <row r="40" spans="1:22" x14ac:dyDescent="0.25">
      <c r="A40" s="1038"/>
      <c r="B40" s="1039"/>
      <c r="C40" s="1039"/>
      <c r="D40" s="1039"/>
      <c r="E40" s="1045">
        <f>IF(K40=0,0,(INDEX(AccountCodes[ACCOUNT NAME],MATCH(K40,AccountCodes[NGAS CODE],0))))</f>
        <v>0</v>
      </c>
      <c r="F40" s="1046"/>
      <c r="G40" s="1046"/>
      <c r="H40" s="1046"/>
      <c r="I40" s="1046"/>
      <c r="J40" s="1047"/>
      <c r="K40" s="133"/>
      <c r="L40" s="62">
        <f t="array" ref="L40">IF(K40=0,0,(INDEX(AccountCodes[PPSAS CODE],MATCH(K40,AccountCodes[NGAS CODE],0))))</f>
        <v>0</v>
      </c>
      <c r="M40" s="14"/>
      <c r="N40" s="89">
        <f t="array" ref="N40">SUM(IF((CsDJ[JEV Number]=TRIM($T$2))*(CsDJ[Account Code]=TRIM(K40)),CsDJ[Debit]))</f>
        <v>0</v>
      </c>
      <c r="O40" s="89">
        <f t="array" ref="O40">SUM(IF((CsDJ[JEV Number]=TRIM($T$2))*(CsDJ[Account Code]=TRIM(K40)),CsDJ[Credit]))</f>
        <v>0</v>
      </c>
      <c r="P40" s="1040">
        <f t="shared" si="2"/>
        <v>0</v>
      </c>
      <c r="Q40" s="1040"/>
      <c r="R40" s="1040"/>
      <c r="S40" s="1040">
        <f t="shared" si="3"/>
        <v>0</v>
      </c>
      <c r="T40" s="1040"/>
      <c r="U40" s="1040"/>
      <c r="V40" s="1041"/>
    </row>
    <row r="41" spans="1:22" x14ac:dyDescent="0.25">
      <c r="A41" s="1038"/>
      <c r="B41" s="1039"/>
      <c r="C41" s="1039"/>
      <c r="D41" s="1039"/>
      <c r="E41" s="1045">
        <f>IF(K41=0,0,(INDEX(AccountCodes[ACCOUNT NAME],MATCH(K41,AccountCodes[NGAS CODE],0))))</f>
        <v>0</v>
      </c>
      <c r="F41" s="1046"/>
      <c r="G41" s="1046"/>
      <c r="H41" s="1046"/>
      <c r="I41" s="1046"/>
      <c r="J41" s="1047"/>
      <c r="K41" s="133"/>
      <c r="L41" s="62">
        <f t="array" ref="L41">IF(K41=0,0,(INDEX(AccountCodes[PPSAS CODE],MATCH(K41,AccountCodes[NGAS CODE],0))))</f>
        <v>0</v>
      </c>
      <c r="M41" s="14"/>
      <c r="N41" s="89">
        <f t="array" ref="N41">SUM(IF((CsDJ[JEV Number]=TRIM($T$2))*(CsDJ[Account Code]=TRIM(K41)),CsDJ[Debit]))</f>
        <v>0</v>
      </c>
      <c r="O41" s="89">
        <f t="array" ref="O41">SUM(IF((CsDJ[JEV Number]=TRIM($T$2))*(CsDJ[Account Code]=TRIM(K41)),CsDJ[Credit]))</f>
        <v>0</v>
      </c>
      <c r="P41" s="1040">
        <f t="shared" si="2"/>
        <v>0</v>
      </c>
      <c r="Q41" s="1040"/>
      <c r="R41" s="1040"/>
      <c r="S41" s="1040">
        <f t="shared" si="3"/>
        <v>0</v>
      </c>
      <c r="T41" s="1040"/>
      <c r="U41" s="1040"/>
      <c r="V41" s="1041"/>
    </row>
    <row r="42" spans="1:22" x14ac:dyDescent="0.25">
      <c r="A42" s="1038"/>
      <c r="B42" s="1039"/>
      <c r="C42" s="1039"/>
      <c r="D42" s="1039"/>
      <c r="E42" s="1045">
        <f>IF(K42=0,0,(INDEX(AccountCodes[ACCOUNT NAME],MATCH(K42,AccountCodes[NGAS CODE],0))))</f>
        <v>0</v>
      </c>
      <c r="F42" s="1046"/>
      <c r="G42" s="1046"/>
      <c r="H42" s="1046"/>
      <c r="I42" s="1046"/>
      <c r="J42" s="1047"/>
      <c r="K42" s="133"/>
      <c r="L42" s="62">
        <f t="array" ref="L42">IF(K42=0,0,(INDEX(AccountCodes[PPSAS CODE],MATCH(K42,AccountCodes[NGAS CODE],0))))</f>
        <v>0</v>
      </c>
      <c r="M42" s="14"/>
      <c r="N42" s="89">
        <f t="array" ref="N42">SUM(IF((CsDJ[JEV Number]=TRIM($T$2))*(CsDJ[Account Code]=TRIM(K42)),CsDJ[Debit]))</f>
        <v>0</v>
      </c>
      <c r="O42" s="89">
        <f t="array" ref="O42">SUM(IF((CsDJ[JEV Number]=TRIM($T$2))*(CsDJ[Account Code]=TRIM(K42)),CsDJ[Credit]))</f>
        <v>0</v>
      </c>
      <c r="P42" s="1040">
        <f t="shared" si="2"/>
        <v>0</v>
      </c>
      <c r="Q42" s="1040"/>
      <c r="R42" s="1040"/>
      <c r="S42" s="1040">
        <f t="shared" si="3"/>
        <v>0</v>
      </c>
      <c r="T42" s="1040"/>
      <c r="U42" s="1040"/>
      <c r="V42" s="1041"/>
    </row>
    <row r="43" spans="1:22" x14ac:dyDescent="0.25">
      <c r="A43" s="1038"/>
      <c r="B43" s="1039"/>
      <c r="C43" s="1039"/>
      <c r="D43" s="1039"/>
      <c r="E43" s="1045">
        <f>IF(K43=0,0,(INDEX(AccountCodes[ACCOUNT NAME],MATCH(K43,AccountCodes[NGAS CODE],0))))</f>
        <v>0</v>
      </c>
      <c r="F43" s="1046"/>
      <c r="G43" s="1046"/>
      <c r="H43" s="1046"/>
      <c r="I43" s="1046"/>
      <c r="J43" s="1047"/>
      <c r="K43" s="133"/>
      <c r="L43" s="62">
        <f t="array" ref="L43">IF(K43=0,0,(INDEX(AccountCodes[PPSAS CODE],MATCH(K43,AccountCodes[NGAS CODE],0))))</f>
        <v>0</v>
      </c>
      <c r="M43" s="14"/>
      <c r="N43" s="89">
        <f t="array" ref="N43">SUM(IF((CsDJ[JEV Number]=TRIM($T$2))*(CsDJ[Account Code]=TRIM(K43)),CsDJ[Debit]))</f>
        <v>0</v>
      </c>
      <c r="O43" s="89">
        <f t="array" ref="O43">SUM(IF((CsDJ[JEV Number]=TRIM($T$2))*(CsDJ[Account Code]=TRIM(K43)),CsDJ[Credit]))</f>
        <v>0</v>
      </c>
      <c r="P43" s="1040">
        <f t="shared" si="2"/>
        <v>0</v>
      </c>
      <c r="Q43" s="1040"/>
      <c r="R43" s="1040"/>
      <c r="S43" s="1040">
        <f t="shared" si="3"/>
        <v>0</v>
      </c>
      <c r="T43" s="1040"/>
      <c r="U43" s="1040"/>
      <c r="V43" s="1041"/>
    </row>
    <row r="44" spans="1:22" x14ac:dyDescent="0.25">
      <c r="A44" s="1038"/>
      <c r="B44" s="1039"/>
      <c r="C44" s="1039"/>
      <c r="D44" s="1039"/>
      <c r="E44" s="1045">
        <f>IF(K44=0,0,(INDEX(AccountCodes[ACCOUNT NAME],MATCH(K44,AccountCodes[NGAS CODE],0))))</f>
        <v>0</v>
      </c>
      <c r="F44" s="1046"/>
      <c r="G44" s="1046"/>
      <c r="H44" s="1046"/>
      <c r="I44" s="1046"/>
      <c r="J44" s="1047"/>
      <c r="K44" s="133"/>
      <c r="L44" s="62">
        <f t="array" ref="L44">IF(K44=0,0,(INDEX(AccountCodes[PPSAS CODE],MATCH(K44,AccountCodes[NGAS CODE],0))))</f>
        <v>0</v>
      </c>
      <c r="M44" s="14"/>
      <c r="N44" s="89">
        <f t="array" ref="N44">SUM(IF((CsDJ[JEV Number]=TRIM($T$2))*(CsDJ[Account Code]=TRIM(K44)),CsDJ[Debit]))</f>
        <v>0</v>
      </c>
      <c r="O44" s="89">
        <f t="array" ref="O44">SUM(IF((CsDJ[JEV Number]=TRIM($T$2))*(CsDJ[Account Code]=TRIM(K44)),CsDJ[Credit]))</f>
        <v>0</v>
      </c>
      <c r="P44" s="1040">
        <f t="shared" si="2"/>
        <v>0</v>
      </c>
      <c r="Q44" s="1040"/>
      <c r="R44" s="1040"/>
      <c r="S44" s="1040">
        <f t="shared" si="3"/>
        <v>0</v>
      </c>
      <c r="T44" s="1040"/>
      <c r="U44" s="1040"/>
      <c r="V44" s="1041"/>
    </row>
    <row r="45" spans="1:22" x14ac:dyDescent="0.25">
      <c r="A45" s="1038"/>
      <c r="B45" s="1039"/>
      <c r="C45" s="1039"/>
      <c r="D45" s="1039"/>
      <c r="E45" s="1045">
        <f>IF(K45=0,0,(INDEX(AccountCodes[ACCOUNT NAME],MATCH(K45,AccountCodes[NGAS CODE],0))))</f>
        <v>0</v>
      </c>
      <c r="F45" s="1046"/>
      <c r="G45" s="1046"/>
      <c r="H45" s="1046"/>
      <c r="I45" s="1046"/>
      <c r="J45" s="1047"/>
      <c r="K45" s="133"/>
      <c r="L45" s="62">
        <f t="array" ref="L45">IF(K45=0,0,(INDEX(AccountCodes[PPSAS CODE],MATCH(K45,AccountCodes[NGAS CODE],0))))</f>
        <v>0</v>
      </c>
      <c r="M45" s="14"/>
      <c r="N45" s="89">
        <f t="array" ref="N45">SUM(IF((CsDJ[JEV Number]=TRIM($T$2))*(CsDJ[Account Code]=TRIM(K45)),CsDJ[Debit]))</f>
        <v>0</v>
      </c>
      <c r="O45" s="89">
        <f t="array" ref="O45">SUM(IF((CsDJ[JEV Number]=TRIM($T$2))*(CsDJ[Account Code]=TRIM(K45)),CsDJ[Credit]))</f>
        <v>0</v>
      </c>
      <c r="P45" s="1040">
        <f t="shared" si="2"/>
        <v>0</v>
      </c>
      <c r="Q45" s="1040"/>
      <c r="R45" s="1040"/>
      <c r="S45" s="1040">
        <f t="shared" si="3"/>
        <v>0</v>
      </c>
      <c r="T45" s="1040"/>
      <c r="U45" s="1040"/>
      <c r="V45" s="1041"/>
    </row>
    <row r="46" spans="1:22" x14ac:dyDescent="0.25">
      <c r="A46" s="1038"/>
      <c r="B46" s="1039"/>
      <c r="C46" s="1039"/>
      <c r="D46" s="1039"/>
      <c r="E46" s="1045">
        <f>IF(K46=0,0,(INDEX(AccountCodes[ACCOUNT NAME],MATCH(K46,AccountCodes[NGAS CODE],0))))</f>
        <v>0</v>
      </c>
      <c r="F46" s="1046"/>
      <c r="G46" s="1046"/>
      <c r="H46" s="1046"/>
      <c r="I46" s="1046"/>
      <c r="J46" s="1047"/>
      <c r="K46" s="133"/>
      <c r="L46" s="62">
        <f t="array" ref="L46">IF(K46=0,0,(INDEX(AccountCodes[PPSAS CODE],MATCH(K46,AccountCodes[NGAS CODE],0))))</f>
        <v>0</v>
      </c>
      <c r="M46" s="14"/>
      <c r="N46" s="89">
        <f t="array" ref="N46">SUM(IF((CsDJ[JEV Number]=TRIM($T$2))*(CsDJ[Account Code]=TRIM(K46)),CsDJ[Debit]))</f>
        <v>0</v>
      </c>
      <c r="O46" s="89">
        <f t="array" ref="O46">SUM(IF((CsDJ[JEV Number]=TRIM($T$2))*(CsDJ[Account Code]=TRIM(K46)),CsDJ[Credit]))</f>
        <v>0</v>
      </c>
      <c r="P46" s="1040">
        <f t="shared" si="2"/>
        <v>0</v>
      </c>
      <c r="Q46" s="1040"/>
      <c r="R46" s="1040"/>
      <c r="S46" s="1040">
        <f t="shared" si="3"/>
        <v>0</v>
      </c>
      <c r="T46" s="1040"/>
      <c r="U46" s="1040"/>
      <c r="V46" s="1041"/>
    </row>
    <row r="47" spans="1:22" x14ac:dyDescent="0.25">
      <c r="A47" s="1038"/>
      <c r="B47" s="1039"/>
      <c r="C47" s="1039"/>
      <c r="D47" s="1039"/>
      <c r="E47" s="1045">
        <f>IF(K47=0,0,(INDEX(AccountCodes[ACCOUNT NAME],MATCH(K47,AccountCodes[NGAS CODE],0))))</f>
        <v>0</v>
      </c>
      <c r="F47" s="1046"/>
      <c r="G47" s="1046"/>
      <c r="H47" s="1046"/>
      <c r="I47" s="1046"/>
      <c r="J47" s="1047"/>
      <c r="K47" s="133"/>
      <c r="L47" s="62">
        <f t="array" ref="L47">IF(K47=0,0,(INDEX(AccountCodes[PPSAS CODE],MATCH(K47,AccountCodes[NGAS CODE],0))))</f>
        <v>0</v>
      </c>
      <c r="M47" s="14"/>
      <c r="N47" s="89">
        <f t="array" ref="N47">SUM(IF((CsDJ[JEV Number]=TRIM($T$2))*(CsDJ[Account Code]=TRIM(K47)),CsDJ[Debit]))</f>
        <v>0</v>
      </c>
      <c r="O47" s="89">
        <f t="array" ref="O47">SUM(IF((CsDJ[JEV Number]=TRIM($T$2))*(CsDJ[Account Code]=TRIM(K47)),CsDJ[Credit]))</f>
        <v>0</v>
      </c>
      <c r="P47" s="1040">
        <f t="shared" si="2"/>
        <v>0</v>
      </c>
      <c r="Q47" s="1040"/>
      <c r="R47" s="1040"/>
      <c r="S47" s="1040">
        <f t="shared" si="3"/>
        <v>0</v>
      </c>
      <c r="T47" s="1040"/>
      <c r="U47" s="1040"/>
      <c r="V47" s="1041"/>
    </row>
    <row r="48" spans="1:22" x14ac:dyDescent="0.25">
      <c r="A48" s="1038"/>
      <c r="B48" s="1039"/>
      <c r="C48" s="1039"/>
      <c r="D48" s="1039"/>
      <c r="E48" s="1045">
        <f>IF(K48=0,0,(INDEX(AccountCodes[ACCOUNT NAME],MATCH(K48,AccountCodes[NGAS CODE],0))))</f>
        <v>0</v>
      </c>
      <c r="F48" s="1046"/>
      <c r="G48" s="1046"/>
      <c r="H48" s="1046"/>
      <c r="I48" s="1046"/>
      <c r="J48" s="1047"/>
      <c r="K48" s="133"/>
      <c r="L48" s="62">
        <f t="array" ref="L48">IF(K48=0,0,(INDEX(AccountCodes[PPSAS CODE],MATCH(K48,AccountCodes[NGAS CODE],0))))</f>
        <v>0</v>
      </c>
      <c r="M48" s="14"/>
      <c r="N48" s="89">
        <f t="array" ref="N48">SUM(IF((CsDJ[JEV Number]=TRIM($T$2))*(CsDJ[Account Code]=TRIM(K48)),CsDJ[Debit]))</f>
        <v>0</v>
      </c>
      <c r="O48" s="89">
        <f t="array" ref="O48">SUM(IF((CsDJ[JEV Number]=TRIM($T$2))*(CsDJ[Account Code]=TRIM(K48)),CsDJ[Credit]))</f>
        <v>0</v>
      </c>
      <c r="P48" s="1040">
        <f t="shared" si="2"/>
        <v>0</v>
      </c>
      <c r="Q48" s="1040"/>
      <c r="R48" s="1040"/>
      <c r="S48" s="1040">
        <f t="shared" si="3"/>
        <v>0</v>
      </c>
      <c r="T48" s="1040"/>
      <c r="U48" s="1040"/>
      <c r="V48" s="1041"/>
    </row>
    <row r="49" spans="1:22" x14ac:dyDescent="0.25">
      <c r="A49" s="1038"/>
      <c r="B49" s="1039"/>
      <c r="C49" s="1039"/>
      <c r="D49" s="1039"/>
      <c r="E49" s="1045">
        <f>IF(K49=0,0,(INDEX(AccountCodes[ACCOUNT NAME],MATCH(K49,AccountCodes[NGAS CODE],0))))</f>
        <v>0</v>
      </c>
      <c r="F49" s="1046"/>
      <c r="G49" s="1046"/>
      <c r="H49" s="1046"/>
      <c r="I49" s="1046"/>
      <c r="J49" s="1047"/>
      <c r="K49" s="133"/>
      <c r="L49" s="62">
        <f t="array" ref="L49">IF(K49=0,0,(INDEX(AccountCodes[PPSAS CODE],MATCH(K49,AccountCodes[NGAS CODE],0))))</f>
        <v>0</v>
      </c>
      <c r="M49" s="14"/>
      <c r="N49" s="89">
        <f t="array" ref="N49">SUM(IF((CsDJ[JEV Number]=TRIM($T$2))*(CsDJ[Account Code]=TRIM(K49)),CsDJ[Debit]))</f>
        <v>0</v>
      </c>
      <c r="O49" s="89">
        <f t="array" ref="O49">SUM(IF((CsDJ[JEV Number]=TRIM($T$2))*(CsDJ[Account Code]=TRIM(K49)),CsDJ[Credit]))</f>
        <v>0</v>
      </c>
      <c r="P49" s="1040">
        <f>N49</f>
        <v>0</v>
      </c>
      <c r="Q49" s="1040"/>
      <c r="R49" s="1040"/>
      <c r="S49" s="1040">
        <f>O49</f>
        <v>0</v>
      </c>
      <c r="T49" s="1040"/>
      <c r="U49" s="1040"/>
      <c r="V49" s="1041"/>
    </row>
    <row r="50" spans="1:22" x14ac:dyDescent="0.25">
      <c r="A50" s="1038"/>
      <c r="B50" s="1039"/>
      <c r="C50" s="1039"/>
      <c r="D50" s="1039"/>
      <c r="E50" s="1108" t="s">
        <v>468</v>
      </c>
      <c r="F50" s="1109"/>
      <c r="G50" s="1109"/>
      <c r="H50" s="1109"/>
      <c r="I50" s="1109"/>
      <c r="J50" s="1110"/>
      <c r="K50" s="133"/>
      <c r="L50" s="62"/>
      <c r="M50" s="14"/>
      <c r="N50" s="89"/>
      <c r="O50" s="89"/>
      <c r="P50" s="1040"/>
      <c r="Q50" s="1040"/>
      <c r="R50" s="1040"/>
      <c r="S50" s="1040"/>
      <c r="T50" s="1040"/>
      <c r="U50" s="1040"/>
      <c r="V50" s="1041"/>
    </row>
    <row r="51" spans="1:22" x14ac:dyDescent="0.25">
      <c r="A51" s="1038"/>
      <c r="B51" s="1039"/>
      <c r="C51" s="1039"/>
      <c r="D51" s="1039"/>
      <c r="E51" s="1048" t="s">
        <v>457</v>
      </c>
      <c r="F51" s="1049"/>
      <c r="G51" s="1049"/>
      <c r="H51" s="1049"/>
      <c r="I51" s="1051">
        <f>T3</f>
        <v>43861</v>
      </c>
      <c r="J51" s="1052"/>
      <c r="K51" s="133"/>
      <c r="L51" s="62"/>
      <c r="M51" s="14"/>
      <c r="N51" s="89"/>
      <c r="O51" s="89"/>
      <c r="P51" s="1040"/>
      <c r="Q51" s="1040"/>
      <c r="R51" s="1040"/>
      <c r="S51" s="1040"/>
      <c r="T51" s="1040"/>
      <c r="U51" s="1040"/>
      <c r="V51" s="1041"/>
    </row>
    <row r="52" spans="1:22" x14ac:dyDescent="0.25">
      <c r="A52" s="1038"/>
      <c r="B52" s="1039"/>
      <c r="C52" s="1039"/>
      <c r="D52" s="1039"/>
      <c r="E52" s="1048" t="s">
        <v>458</v>
      </c>
      <c r="F52" s="1049"/>
      <c r="G52" s="1049"/>
      <c r="H52" s="1049"/>
      <c r="I52" s="1106" t="s">
        <v>1616</v>
      </c>
      <c r="J52" s="1107"/>
      <c r="K52" s="133"/>
      <c r="L52" s="62"/>
      <c r="M52" s="14"/>
      <c r="N52" s="89"/>
      <c r="O52" s="89"/>
      <c r="P52" s="1040"/>
      <c r="Q52" s="1040"/>
      <c r="R52" s="1040"/>
      <c r="S52" s="1040"/>
      <c r="T52" s="1040"/>
      <c r="U52" s="1040"/>
      <c r="V52" s="1041"/>
    </row>
    <row r="53" spans="1:22" x14ac:dyDescent="0.25">
      <c r="A53" s="1038"/>
      <c r="B53" s="1039"/>
      <c r="C53" s="1039"/>
      <c r="D53" s="1039"/>
      <c r="E53" s="1048" t="s">
        <v>459</v>
      </c>
      <c r="F53" s="1049"/>
      <c r="G53" s="1049"/>
      <c r="H53" s="1049"/>
      <c r="I53" s="1043">
        <f>IF(I52="Ma. Vivian C. Salas","Regional Office", IF(I52="Luz R. De Cozar","BANE IMO", IF(I52="Mineonette A. Dela Cruz","PAMBAT IMO", IF(I52="Resella B. Lopez","TARZAM IMO",0))))</f>
        <v>0</v>
      </c>
      <c r="J53" s="1044"/>
      <c r="K53" s="133"/>
      <c r="L53" s="62"/>
      <c r="M53" s="14"/>
      <c r="N53" s="89"/>
      <c r="O53" s="89"/>
      <c r="P53" s="1040"/>
      <c r="Q53" s="1040"/>
      <c r="R53" s="1040"/>
      <c r="S53" s="1040"/>
      <c r="T53" s="1040"/>
      <c r="U53" s="1040"/>
      <c r="V53" s="1041"/>
    </row>
    <row r="54" spans="1:22" x14ac:dyDescent="0.25">
      <c r="A54" s="1038"/>
      <c r="B54" s="1039"/>
      <c r="C54" s="1039"/>
      <c r="D54" s="1039"/>
      <c r="E54" s="1048"/>
      <c r="F54" s="1049"/>
      <c r="G54" s="1049"/>
      <c r="H54" s="1049"/>
      <c r="I54" s="1049"/>
      <c r="J54" s="1050"/>
      <c r="K54" s="133"/>
      <c r="L54" s="62"/>
      <c r="M54" s="14"/>
      <c r="N54" s="89"/>
      <c r="O54" s="89"/>
      <c r="P54" s="1040"/>
      <c r="Q54" s="1040"/>
      <c r="R54" s="1040"/>
      <c r="S54" s="1040"/>
      <c r="T54" s="1040"/>
      <c r="U54" s="1040"/>
      <c r="V54" s="1041"/>
    </row>
    <row r="55" spans="1:22" ht="16.5" thickBot="1" x14ac:dyDescent="0.3">
      <c r="A55" s="1091"/>
      <c r="B55" s="1092"/>
      <c r="C55" s="1092"/>
      <c r="D55" s="1092"/>
      <c r="E55" s="1092"/>
      <c r="F55" s="1092"/>
      <c r="G55" s="1092"/>
      <c r="H55" s="1092"/>
      <c r="I55" s="1092"/>
      <c r="J55" s="1092"/>
      <c r="K55" s="1092"/>
      <c r="L55" s="1092"/>
      <c r="M55" s="1093"/>
      <c r="N55" s="88"/>
      <c r="O55" s="88"/>
      <c r="P55" s="1094">
        <f>SUM(P11:R54)</f>
        <v>0</v>
      </c>
      <c r="Q55" s="1094"/>
      <c r="R55" s="1094"/>
      <c r="S55" s="1094">
        <f>SUM(S11:V54)</f>
        <v>0</v>
      </c>
      <c r="T55" s="1094"/>
      <c r="U55" s="1094"/>
      <c r="V55" s="1095"/>
    </row>
    <row r="56" spans="1:22" x14ac:dyDescent="0.25">
      <c r="A56" s="63"/>
      <c r="B56" s="64"/>
      <c r="C56" s="64"/>
      <c r="D56" s="64"/>
      <c r="E56" s="64"/>
      <c r="F56" s="64"/>
      <c r="G56" s="64"/>
      <c r="H56" s="64"/>
      <c r="I56" s="65"/>
      <c r="J56" s="64"/>
      <c r="K56" s="66"/>
      <c r="L56" s="64"/>
      <c r="M56" s="65"/>
      <c r="N56" s="64"/>
      <c r="O56" s="64"/>
      <c r="P56" s="1090"/>
      <c r="Q56" s="1090"/>
      <c r="R56" s="1090"/>
      <c r="S56" s="1090"/>
      <c r="T56" s="1090"/>
      <c r="U56" s="1090"/>
      <c r="V56" s="1096"/>
    </row>
    <row r="57" spans="1:22" x14ac:dyDescent="0.25">
      <c r="A57" s="67" t="s">
        <v>460</v>
      </c>
      <c r="B57"/>
      <c r="C57"/>
      <c r="D57"/>
      <c r="E57"/>
      <c r="F57"/>
      <c r="G57"/>
      <c r="H57"/>
      <c r="I57" s="68" t="s">
        <v>353</v>
      </c>
      <c r="J57" s="69"/>
      <c r="K57" s="69"/>
      <c r="L57"/>
      <c r="M57" s="68" t="s">
        <v>461</v>
      </c>
      <c r="N57" s="69"/>
      <c r="O57" s="69"/>
      <c r="P57" s="70"/>
      <c r="Q57" s="70"/>
      <c r="R57" s="70"/>
      <c r="S57" s="70"/>
      <c r="T57" s="70"/>
      <c r="U57" s="70"/>
      <c r="V57" s="71"/>
    </row>
    <row r="58" spans="1:22" x14ac:dyDescent="0.25">
      <c r="A58" s="37"/>
      <c r="B58"/>
      <c r="C58"/>
      <c r="D58"/>
      <c r="E58"/>
      <c r="F58"/>
      <c r="G58"/>
      <c r="H58"/>
      <c r="I58" s="72"/>
      <c r="J58"/>
      <c r="K58"/>
      <c r="L58"/>
      <c r="M58" s="72"/>
      <c r="N58"/>
      <c r="O58"/>
      <c r="P58"/>
      <c r="Q58"/>
      <c r="R58"/>
      <c r="S58"/>
      <c r="T58"/>
      <c r="U58"/>
      <c r="V58" s="73"/>
    </row>
    <row r="59" spans="1:22" x14ac:dyDescent="0.25">
      <c r="A59" s="74" t="s">
        <v>1559</v>
      </c>
      <c r="B59" s="75"/>
      <c r="C59" s="75"/>
      <c r="D59" s="75"/>
      <c r="E59" s="75"/>
      <c r="F59" s="75"/>
      <c r="G59" s="75"/>
      <c r="H59" s="76"/>
      <c r="I59" s="77" t="s">
        <v>799</v>
      </c>
      <c r="J59" s="75"/>
      <c r="K59" s="75"/>
      <c r="L59" s="76"/>
      <c r="M59" s="77" t="s">
        <v>1591</v>
      </c>
      <c r="N59" s="75"/>
      <c r="O59" s="75"/>
      <c r="P59" s="75"/>
      <c r="Q59" s="75"/>
      <c r="R59" s="75"/>
      <c r="S59" s="75"/>
      <c r="T59" s="75"/>
      <c r="U59" s="75"/>
      <c r="V59" s="78"/>
    </row>
    <row r="60" spans="1:22" x14ac:dyDescent="0.25">
      <c r="A60" s="79" t="s">
        <v>742</v>
      </c>
      <c r="B60" s="80"/>
      <c r="C60" s="80"/>
      <c r="D60" s="80"/>
      <c r="E60" s="80"/>
      <c r="F60" s="80"/>
      <c r="G60" s="80"/>
      <c r="H60" s="80"/>
      <c r="I60" s="81" t="s">
        <v>799</v>
      </c>
      <c r="J60" s="80"/>
      <c r="K60" s="80"/>
      <c r="L60" s="80"/>
      <c r="M60" s="81" t="s">
        <v>464</v>
      </c>
      <c r="N60" s="80"/>
      <c r="O60" s="80"/>
      <c r="P60" s="82"/>
      <c r="Q60" s="82"/>
      <c r="R60" s="82"/>
      <c r="S60" s="82"/>
      <c r="T60" s="82"/>
      <c r="U60" s="82"/>
      <c r="V60" s="83"/>
    </row>
    <row r="61" spans="1:22" ht="16.5" thickBot="1" x14ac:dyDescent="0.3">
      <c r="A61" s="84" t="s">
        <v>465</v>
      </c>
      <c r="B61" s="43"/>
      <c r="C61" s="43"/>
      <c r="D61" s="43"/>
      <c r="E61" s="43"/>
      <c r="F61" s="43"/>
      <c r="G61" s="43"/>
      <c r="H61" s="43"/>
      <c r="I61" s="85"/>
      <c r="J61" s="43"/>
      <c r="K61" s="43"/>
      <c r="L61" s="43"/>
      <c r="M61" s="85"/>
      <c r="N61" s="43"/>
      <c r="O61" s="43"/>
      <c r="P61" s="43"/>
      <c r="Q61" s="43"/>
      <c r="R61" s="43"/>
      <c r="S61" s="43"/>
      <c r="T61" s="43"/>
      <c r="U61" s="43"/>
      <c r="V61" s="44"/>
    </row>
    <row r="62" spans="1:22" ht="22.5" x14ac:dyDescent="0.25">
      <c r="A62" s="31" t="s">
        <v>441</v>
      </c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3"/>
      <c r="R62" s="1053">
        <f>+P102-S102</f>
        <v>0</v>
      </c>
      <c r="S62" s="1054"/>
      <c r="T62" s="1054"/>
      <c r="U62" s="1054"/>
      <c r="V62" s="1055"/>
    </row>
    <row r="63" spans="1:22" x14ac:dyDescent="0.25">
      <c r="A63" s="34" t="s">
        <v>442</v>
      </c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6"/>
      <c r="R63" s="37" t="s">
        <v>443</v>
      </c>
      <c r="S63"/>
      <c r="T63" s="1056"/>
      <c r="U63" s="1056"/>
      <c r="V63" s="1057"/>
    </row>
    <row r="64" spans="1:22" x14ac:dyDescent="0.25">
      <c r="A64" s="38" t="s">
        <v>444</v>
      </c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6"/>
      <c r="R64" s="37" t="s">
        <v>0</v>
      </c>
      <c r="S64"/>
      <c r="T64" s="1058">
        <f>IF(T63=0,0,(LOOKUP(T63,CsDJ[JEV Number],CsDJ[Date])))</f>
        <v>0</v>
      </c>
      <c r="U64" s="1058"/>
      <c r="V64" s="1059"/>
    </row>
    <row r="65" spans="1:22" ht="16.5" thickBot="1" x14ac:dyDescent="0.3">
      <c r="A65" s="39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1"/>
      <c r="R65" s="42"/>
      <c r="S65" s="43"/>
      <c r="T65" s="43"/>
      <c r="U65" s="43"/>
      <c r="V65" s="44"/>
    </row>
    <row r="66" spans="1:22" x14ac:dyDescent="0.25">
      <c r="A66" s="45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7"/>
      <c r="M66" s="46"/>
      <c r="N66" s="46"/>
      <c r="O66" s="46"/>
      <c r="P66" s="46"/>
      <c r="Q66" s="46"/>
      <c r="R66" s="46"/>
      <c r="S66" s="46"/>
      <c r="T66" s="46"/>
      <c r="U66" s="46"/>
      <c r="V66" s="48"/>
    </row>
    <row r="67" spans="1:22" x14ac:dyDescent="0.25">
      <c r="A67" s="49"/>
      <c r="B67" s="1060"/>
      <c r="C67" s="1060"/>
      <c r="D67" s="50" t="s">
        <v>445</v>
      </c>
      <c r="H67" s="51"/>
      <c r="I67" s="25" t="s">
        <v>447</v>
      </c>
      <c r="J67" s="132" t="s">
        <v>446</v>
      </c>
      <c r="K67" s="52" t="s">
        <v>448</v>
      </c>
      <c r="L67" s="52"/>
      <c r="Q67" s="1060"/>
      <c r="R67" s="1060"/>
      <c r="S67" s="50" t="s">
        <v>449</v>
      </c>
      <c r="T67" s="50"/>
      <c r="U67" s="50"/>
      <c r="V67" s="53"/>
    </row>
    <row r="68" spans="1:22" ht="16.5" thickBot="1" x14ac:dyDescent="0.3">
      <c r="A68" s="54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6"/>
      <c r="M68" s="55"/>
      <c r="N68" s="55"/>
      <c r="O68" s="55"/>
      <c r="P68" s="55"/>
      <c r="Q68" s="55"/>
      <c r="R68" s="55"/>
      <c r="S68" s="55"/>
      <c r="T68" s="55"/>
      <c r="U68" s="55"/>
      <c r="V68" s="57"/>
    </row>
    <row r="69" spans="1:22" x14ac:dyDescent="0.25">
      <c r="A69" s="1061" t="s">
        <v>397</v>
      </c>
      <c r="B69" s="1062"/>
      <c r="C69" s="1062"/>
      <c r="D69" s="1063"/>
      <c r="E69" s="1070" t="s">
        <v>450</v>
      </c>
      <c r="F69" s="1070"/>
      <c r="G69" s="1070"/>
      <c r="H69" s="1070"/>
      <c r="I69" s="1070"/>
      <c r="J69" s="1070"/>
      <c r="K69" s="1070"/>
      <c r="L69" s="1070"/>
      <c r="M69" s="1070"/>
      <c r="N69" s="1070"/>
      <c r="O69" s="1070"/>
      <c r="P69" s="1070"/>
      <c r="Q69" s="1070"/>
      <c r="R69" s="1070"/>
      <c r="S69" s="1070"/>
      <c r="T69" s="1070"/>
      <c r="U69" s="1070"/>
      <c r="V69" s="1071"/>
    </row>
    <row r="70" spans="1:22" x14ac:dyDescent="0.25">
      <c r="A70" s="1064"/>
      <c r="B70" s="1065"/>
      <c r="C70" s="1065"/>
      <c r="D70" s="1066"/>
      <c r="E70" s="1072" t="s">
        <v>451</v>
      </c>
      <c r="F70" s="1072"/>
      <c r="G70" s="1072"/>
      <c r="H70" s="1072"/>
      <c r="I70" s="1072"/>
      <c r="J70" s="1072"/>
      <c r="K70" s="1074" t="s">
        <v>378</v>
      </c>
      <c r="L70" s="1074"/>
      <c r="M70" s="1072" t="s">
        <v>452</v>
      </c>
      <c r="N70" s="1075" t="s">
        <v>453</v>
      </c>
      <c r="O70" s="1076"/>
      <c r="P70" s="1076"/>
      <c r="Q70" s="1076"/>
      <c r="R70" s="1076"/>
      <c r="S70" s="1076"/>
      <c r="T70" s="1076"/>
      <c r="U70" s="1076"/>
      <c r="V70" s="1077"/>
    </row>
    <row r="71" spans="1:22" ht="16.5" customHeight="1" thickBot="1" x14ac:dyDescent="0.3">
      <c r="A71" s="1067"/>
      <c r="B71" s="1068"/>
      <c r="C71" s="1068"/>
      <c r="D71" s="1069"/>
      <c r="E71" s="1073"/>
      <c r="F71" s="1073"/>
      <c r="G71" s="1073"/>
      <c r="H71" s="1073"/>
      <c r="I71" s="1073"/>
      <c r="J71" s="1073"/>
      <c r="K71" s="58" t="s">
        <v>454</v>
      </c>
      <c r="L71" s="58" t="s">
        <v>455</v>
      </c>
      <c r="M71" s="1073"/>
      <c r="N71" s="87" t="s">
        <v>466</v>
      </c>
      <c r="O71" s="87" t="s">
        <v>467</v>
      </c>
      <c r="P71" s="1078" t="s">
        <v>1</v>
      </c>
      <c r="Q71" s="1079"/>
      <c r="R71" s="1080"/>
      <c r="S71" s="1078" t="s">
        <v>2</v>
      </c>
      <c r="T71" s="1079"/>
      <c r="U71" s="1079"/>
      <c r="V71" s="1081"/>
    </row>
    <row r="72" spans="1:22" ht="19.5" x14ac:dyDescent="0.3">
      <c r="A72" s="1082">
        <f>P102-S102</f>
        <v>0</v>
      </c>
      <c r="B72" s="1083"/>
      <c r="C72" s="1083"/>
      <c r="D72" s="1083"/>
      <c r="E72" s="1084" t="str">
        <f>Account!$G$1</f>
        <v>FUND 501 CARP</v>
      </c>
      <c r="F72" s="1085"/>
      <c r="G72" s="1085"/>
      <c r="H72" s="1085"/>
      <c r="I72" s="1085"/>
      <c r="J72" s="1086"/>
      <c r="K72" s="59"/>
      <c r="L72" s="59"/>
      <c r="M72" s="60"/>
      <c r="N72" s="60"/>
      <c r="O72" s="60"/>
      <c r="P72" s="1087"/>
      <c r="Q72" s="1087"/>
      <c r="R72" s="1087"/>
      <c r="S72" s="1087"/>
      <c r="T72" s="1087"/>
      <c r="U72" s="1087"/>
      <c r="V72" s="1088"/>
    </row>
    <row r="73" spans="1:22" x14ac:dyDescent="0.25">
      <c r="A73" s="1038"/>
      <c r="B73" s="1039"/>
      <c r="C73" s="1039"/>
      <c r="D73" s="1039"/>
      <c r="E73" s="1039"/>
      <c r="F73" s="1039"/>
      <c r="G73" s="1039"/>
      <c r="H73" s="1039"/>
      <c r="I73" s="1039"/>
      <c r="J73" s="1039"/>
      <c r="K73" s="61"/>
      <c r="L73" s="61"/>
      <c r="M73" s="14"/>
      <c r="N73" s="14"/>
      <c r="O73" s="14"/>
      <c r="P73" s="1039"/>
      <c r="Q73" s="1039"/>
      <c r="R73" s="1039"/>
      <c r="S73" s="1039"/>
      <c r="T73" s="1039"/>
      <c r="U73" s="1039"/>
      <c r="V73" s="1089"/>
    </row>
    <row r="74" spans="1:22" x14ac:dyDescent="0.25">
      <c r="A74" s="1038"/>
      <c r="B74" s="1039"/>
      <c r="C74" s="1039"/>
      <c r="D74" s="1039"/>
      <c r="E74" s="1045" t="str">
        <f t="shared" ref="E74:E96" si="4">IF(K74=0,"",(VLOOKUP((TRIM(K74)),Code,2,)))</f>
        <v/>
      </c>
      <c r="F74" s="1046"/>
      <c r="G74" s="1046"/>
      <c r="H74" s="1046"/>
      <c r="I74" s="1046"/>
      <c r="J74" s="1047"/>
      <c r="K74" s="133"/>
      <c r="L74" s="62" t="str">
        <f t="shared" ref="L74:L101" si="5">IF(K74=0,"",VLOOKUP((TRIM(K74)),Code,3,))</f>
        <v/>
      </c>
      <c r="M74" s="14"/>
      <c r="N74" s="89">
        <f t="array" ref="N74">SUM(IF((CsDJ[JEV Number]=TRIM($T63))*(CsDJ[Account Code]=TRIM(K74)),CsDJ[Debit]))</f>
        <v>0</v>
      </c>
      <c r="O74" s="89">
        <f t="array" ref="O74">SUM(IF((CsDJ[JEV Number]=TRIM($T63))*(CsDJ[Account Code]=TRIM(K74)),CsDJ[Credit]))</f>
        <v>0</v>
      </c>
      <c r="P74" s="1040">
        <f>N74</f>
        <v>0</v>
      </c>
      <c r="Q74" s="1040"/>
      <c r="R74" s="1040"/>
      <c r="S74" s="1040">
        <f>O74</f>
        <v>0</v>
      </c>
      <c r="T74" s="1040"/>
      <c r="U74" s="1040"/>
      <c r="V74" s="1041"/>
    </row>
    <row r="75" spans="1:22" x14ac:dyDescent="0.25">
      <c r="A75" s="1038"/>
      <c r="B75" s="1039"/>
      <c r="C75" s="1039"/>
      <c r="D75" s="1039"/>
      <c r="E75" s="1045" t="str">
        <f t="shared" si="4"/>
        <v/>
      </c>
      <c r="F75" s="1046"/>
      <c r="G75" s="1046"/>
      <c r="H75" s="1046"/>
      <c r="I75" s="1046"/>
      <c r="J75" s="1047"/>
      <c r="K75" s="133"/>
      <c r="L75" s="62" t="str">
        <f t="shared" si="5"/>
        <v/>
      </c>
      <c r="M75" s="14"/>
      <c r="N75" s="89">
        <f t="array" ref="N75">SUM(IF((CsDJ[JEV Number]=TRIM($T63))*(CsDJ[Account Code]=TRIM(K75)),CsDJ[Debit]))</f>
        <v>0</v>
      </c>
      <c r="O75" s="89">
        <f t="array" ref="O75">SUM(IF((CsDJ[JEV Number]=TRIM($T63))*(CsDJ[Account Code]=TRIM(K75)),CsDJ[Credit]))</f>
        <v>0</v>
      </c>
      <c r="P75" s="1040">
        <f>N75</f>
        <v>0</v>
      </c>
      <c r="Q75" s="1040"/>
      <c r="R75" s="1040"/>
      <c r="S75" s="1040">
        <f>O75</f>
        <v>0</v>
      </c>
      <c r="T75" s="1040"/>
      <c r="U75" s="1040"/>
      <c r="V75" s="1041"/>
    </row>
    <row r="76" spans="1:22" x14ac:dyDescent="0.25">
      <c r="A76" s="1038"/>
      <c r="B76" s="1039"/>
      <c r="C76" s="1039"/>
      <c r="D76" s="1039"/>
      <c r="E76" s="1045" t="str">
        <f t="shared" si="4"/>
        <v/>
      </c>
      <c r="F76" s="1046"/>
      <c r="G76" s="1046"/>
      <c r="H76" s="1046"/>
      <c r="I76" s="1046"/>
      <c r="J76" s="1047"/>
      <c r="K76" s="133"/>
      <c r="L76" s="62" t="str">
        <f t="shared" si="5"/>
        <v/>
      </c>
      <c r="M76" s="14"/>
      <c r="N76" s="89">
        <f t="array" ref="N76">SUM(IF((CsDJ[JEV Number]=TRIM($T63))*(CsDJ[Account Code]=TRIM(K76)),CsDJ[Debit]))</f>
        <v>0</v>
      </c>
      <c r="O76" s="89">
        <f t="array" ref="O76">SUM(IF((CsDJ[JEV Number]=TRIM($T63))*(CsDJ[Account Code]=TRIM(K76)),CsDJ[Credit]))</f>
        <v>0</v>
      </c>
      <c r="P76" s="1040">
        <f t="shared" ref="P76:P101" si="6">N76</f>
        <v>0</v>
      </c>
      <c r="Q76" s="1040"/>
      <c r="R76" s="1040"/>
      <c r="S76" s="1040">
        <f t="shared" ref="S76:S101" si="7">O76</f>
        <v>0</v>
      </c>
      <c r="T76" s="1040"/>
      <c r="U76" s="1040"/>
      <c r="V76" s="1041"/>
    </row>
    <row r="77" spans="1:22" x14ac:dyDescent="0.25">
      <c r="A77" s="1038"/>
      <c r="B77" s="1039"/>
      <c r="C77" s="1039"/>
      <c r="D77" s="1039"/>
      <c r="E77" s="1045" t="str">
        <f t="shared" si="4"/>
        <v/>
      </c>
      <c r="F77" s="1046"/>
      <c r="G77" s="1046"/>
      <c r="H77" s="1046"/>
      <c r="I77" s="1046"/>
      <c r="J77" s="1047"/>
      <c r="K77" s="133"/>
      <c r="L77" s="62" t="str">
        <f t="shared" si="5"/>
        <v/>
      </c>
      <c r="M77" s="14"/>
      <c r="N77" s="89">
        <f t="array" ref="N77">SUM(IF((CsDJ[JEV Number]=TRIM($T63))*(CsDJ[Account Code]=TRIM(K77)),CsDJ[Debit]))</f>
        <v>0</v>
      </c>
      <c r="O77" s="89">
        <f t="array" ref="O77">SUM(IF((CsDJ[JEV Number]=TRIM($T63))*(CsDJ[Account Code]=TRIM(K77)),CsDJ[Credit]))</f>
        <v>0</v>
      </c>
      <c r="P77" s="1040">
        <f t="shared" si="6"/>
        <v>0</v>
      </c>
      <c r="Q77" s="1040"/>
      <c r="R77" s="1040"/>
      <c r="S77" s="1040">
        <f t="shared" si="7"/>
        <v>0</v>
      </c>
      <c r="T77" s="1040"/>
      <c r="U77" s="1040"/>
      <c r="V77" s="1041"/>
    </row>
    <row r="78" spans="1:22" x14ac:dyDescent="0.25">
      <c r="A78" s="1038"/>
      <c r="B78" s="1039"/>
      <c r="C78" s="1039"/>
      <c r="D78" s="1039"/>
      <c r="E78" s="1045" t="str">
        <f t="shared" si="4"/>
        <v/>
      </c>
      <c r="F78" s="1046"/>
      <c r="G78" s="1046"/>
      <c r="H78" s="1046"/>
      <c r="I78" s="1046"/>
      <c r="J78" s="1047"/>
      <c r="K78" s="133"/>
      <c r="L78" s="62" t="str">
        <f t="shared" si="5"/>
        <v/>
      </c>
      <c r="M78" s="14"/>
      <c r="N78" s="89">
        <f t="array" ref="N78">SUM(IF((CsDJ[JEV Number]=TRIM($T63))*(CsDJ[Account Code]=TRIM(K78)),CsDJ[Debit]))</f>
        <v>0</v>
      </c>
      <c r="O78" s="89">
        <f t="array" ref="O78">SUM(IF((CsDJ[JEV Number]=TRIM($T63))*(CsDJ[Account Code]=TRIM(K78)),CsDJ[Credit]))</f>
        <v>0</v>
      </c>
      <c r="P78" s="1040">
        <f t="shared" si="6"/>
        <v>0</v>
      </c>
      <c r="Q78" s="1040"/>
      <c r="R78" s="1040"/>
      <c r="S78" s="1040">
        <f t="shared" si="7"/>
        <v>0</v>
      </c>
      <c r="T78" s="1040"/>
      <c r="U78" s="1040"/>
      <c r="V78" s="1041"/>
    </row>
    <row r="79" spans="1:22" x14ac:dyDescent="0.25">
      <c r="A79" s="1038"/>
      <c r="B79" s="1039"/>
      <c r="C79" s="1039"/>
      <c r="D79" s="1039"/>
      <c r="E79" s="1045" t="str">
        <f t="shared" si="4"/>
        <v/>
      </c>
      <c r="F79" s="1046"/>
      <c r="G79" s="1046"/>
      <c r="H79" s="1046"/>
      <c r="I79" s="1046"/>
      <c r="J79" s="1047"/>
      <c r="K79" s="133"/>
      <c r="L79" s="62" t="str">
        <f t="shared" si="5"/>
        <v/>
      </c>
      <c r="M79" s="14"/>
      <c r="N79" s="89">
        <f t="array" ref="N79">SUM(IF((CsDJ[JEV Number]=TRIM($T63))*(CsDJ[Account Code]=TRIM(K79)),CsDJ[Debit]))</f>
        <v>0</v>
      </c>
      <c r="O79" s="89">
        <f t="array" ref="O79">SUM(IF((CsDJ[JEV Number]=TRIM($T63))*(CsDJ[Account Code]=TRIM(K79)),CsDJ[Credit]))</f>
        <v>0</v>
      </c>
      <c r="P79" s="1040">
        <f t="shared" si="6"/>
        <v>0</v>
      </c>
      <c r="Q79" s="1040"/>
      <c r="R79" s="1040"/>
      <c r="S79" s="1040">
        <f t="shared" si="7"/>
        <v>0</v>
      </c>
      <c r="T79" s="1040"/>
      <c r="U79" s="1040"/>
      <c r="V79" s="1041"/>
    </row>
    <row r="80" spans="1:22" x14ac:dyDescent="0.25">
      <c r="A80" s="1038"/>
      <c r="B80" s="1039"/>
      <c r="C80" s="1039"/>
      <c r="D80" s="1039"/>
      <c r="E80" s="1045" t="str">
        <f t="shared" si="4"/>
        <v/>
      </c>
      <c r="F80" s="1046"/>
      <c r="G80" s="1046"/>
      <c r="H80" s="1046"/>
      <c r="I80" s="1046"/>
      <c r="J80" s="1047"/>
      <c r="K80" s="133"/>
      <c r="L80" s="62" t="str">
        <f t="shared" si="5"/>
        <v/>
      </c>
      <c r="M80" s="14"/>
      <c r="N80" s="89">
        <f t="array" ref="N80">SUM(IF((CsDJ[JEV Number]=TRIM($T63))*(CsDJ[Account Code]=TRIM(K80)),CsDJ[Debit]))</f>
        <v>0</v>
      </c>
      <c r="O80" s="89">
        <f t="array" ref="O80">SUM(IF((CsDJ[JEV Number]=TRIM($T63))*(CsDJ[Account Code]=TRIM(K80)),CsDJ[Credit]))</f>
        <v>0</v>
      </c>
      <c r="P80" s="1040">
        <f t="shared" si="6"/>
        <v>0</v>
      </c>
      <c r="Q80" s="1040"/>
      <c r="R80" s="1040"/>
      <c r="S80" s="1040">
        <f t="shared" si="7"/>
        <v>0</v>
      </c>
      <c r="T80" s="1040"/>
      <c r="U80" s="1040"/>
      <c r="V80" s="1041"/>
    </row>
    <row r="81" spans="1:22" x14ac:dyDescent="0.25">
      <c r="A81" s="1038"/>
      <c r="B81" s="1039"/>
      <c r="C81" s="1039"/>
      <c r="D81" s="1039"/>
      <c r="E81" s="1045" t="str">
        <f t="shared" si="4"/>
        <v/>
      </c>
      <c r="F81" s="1046"/>
      <c r="G81" s="1046"/>
      <c r="H81" s="1046"/>
      <c r="I81" s="1046"/>
      <c r="J81" s="1047"/>
      <c r="K81" s="133"/>
      <c r="L81" s="62" t="str">
        <f t="shared" si="5"/>
        <v/>
      </c>
      <c r="M81" s="14"/>
      <c r="N81" s="89">
        <f t="array" ref="N81">SUM(IF((CsDJ[JEV Number]=TRIM($T63))*(CsDJ[Account Code]=TRIM(K81)),CsDJ[Debit]))</f>
        <v>0</v>
      </c>
      <c r="O81" s="89">
        <f t="array" ref="O81">SUM(IF((CsDJ[JEV Number]=TRIM($T63))*(CsDJ[Account Code]=TRIM(K81)),CsDJ[Credit]))</f>
        <v>0</v>
      </c>
      <c r="P81" s="1040">
        <f t="shared" si="6"/>
        <v>0</v>
      </c>
      <c r="Q81" s="1040"/>
      <c r="R81" s="1040"/>
      <c r="S81" s="1040">
        <f t="shared" si="7"/>
        <v>0</v>
      </c>
      <c r="T81" s="1040"/>
      <c r="U81" s="1040"/>
      <c r="V81" s="1041"/>
    </row>
    <row r="82" spans="1:22" x14ac:dyDescent="0.25">
      <c r="A82" s="1038"/>
      <c r="B82" s="1039"/>
      <c r="C82" s="1039"/>
      <c r="D82" s="1039"/>
      <c r="E82" s="1045" t="str">
        <f t="shared" si="4"/>
        <v/>
      </c>
      <c r="F82" s="1046"/>
      <c r="G82" s="1046"/>
      <c r="H82" s="1046"/>
      <c r="I82" s="1046"/>
      <c r="J82" s="1047"/>
      <c r="K82" s="134"/>
      <c r="L82" s="62" t="str">
        <f t="shared" si="5"/>
        <v/>
      </c>
      <c r="M82" s="14"/>
      <c r="N82" s="89">
        <f t="array" ref="N82">SUM(IF((CsDJ[JEV Number]=TRIM($T63))*(CsDJ[Account Code]=TRIM(K82)),CsDJ[Debit]))</f>
        <v>0</v>
      </c>
      <c r="O82" s="89">
        <f t="array" ref="O82">SUM(IF((CsDJ[JEV Number]=TRIM($T63))*(CsDJ[Account Code]=TRIM(K82)),CsDJ[Credit]))</f>
        <v>0</v>
      </c>
      <c r="P82" s="1040">
        <f t="shared" si="6"/>
        <v>0</v>
      </c>
      <c r="Q82" s="1040"/>
      <c r="R82" s="1040"/>
      <c r="S82" s="1040">
        <f t="shared" si="7"/>
        <v>0</v>
      </c>
      <c r="T82" s="1040"/>
      <c r="U82" s="1040"/>
      <c r="V82" s="1041"/>
    </row>
    <row r="83" spans="1:22" x14ac:dyDescent="0.25">
      <c r="A83" s="1038"/>
      <c r="B83" s="1039"/>
      <c r="C83" s="1039"/>
      <c r="D83" s="1039"/>
      <c r="E83" s="1045" t="str">
        <f t="shared" si="4"/>
        <v/>
      </c>
      <c r="F83" s="1046"/>
      <c r="G83" s="1046"/>
      <c r="H83" s="1046"/>
      <c r="I83" s="1046"/>
      <c r="J83" s="1047"/>
      <c r="K83" s="134"/>
      <c r="L83" s="62" t="str">
        <f t="shared" si="5"/>
        <v/>
      </c>
      <c r="M83" s="14"/>
      <c r="N83" s="89">
        <f t="array" ref="N83">SUM(IF((CsDJ[JEV Number]=TRIM($T63))*(CsDJ[Account Code]=TRIM(K83)),CsDJ[Debit]))</f>
        <v>0</v>
      </c>
      <c r="O83" s="89">
        <f t="array" ref="O83">SUM(IF((CsDJ[JEV Number]=TRIM($T63))*(CsDJ[Account Code]=TRIM(K83)),CsDJ[Credit]))</f>
        <v>0</v>
      </c>
      <c r="P83" s="1040">
        <f t="shared" si="6"/>
        <v>0</v>
      </c>
      <c r="Q83" s="1040"/>
      <c r="R83" s="1040"/>
      <c r="S83" s="1040">
        <f t="shared" si="7"/>
        <v>0</v>
      </c>
      <c r="T83" s="1040"/>
      <c r="U83" s="1040"/>
      <c r="V83" s="1041"/>
    </row>
    <row r="84" spans="1:22" x14ac:dyDescent="0.25">
      <c r="A84" s="1038"/>
      <c r="B84" s="1039"/>
      <c r="C84" s="1039"/>
      <c r="D84" s="1039"/>
      <c r="E84" s="1045" t="str">
        <f t="shared" si="4"/>
        <v/>
      </c>
      <c r="F84" s="1046"/>
      <c r="G84" s="1046"/>
      <c r="H84" s="1046"/>
      <c r="I84" s="1046"/>
      <c r="J84" s="1047"/>
      <c r="K84" s="134"/>
      <c r="L84" s="62" t="str">
        <f t="shared" si="5"/>
        <v/>
      </c>
      <c r="M84" s="14"/>
      <c r="N84" s="89">
        <f t="array" ref="N84">SUM(IF((CsDJ[JEV Number]=TRIM($T63))*(CsDJ[Account Code]=TRIM(K84)),CsDJ[Debit]))</f>
        <v>0</v>
      </c>
      <c r="O84" s="89">
        <f t="array" ref="O84">SUM(IF((CsDJ[JEV Number]=TRIM($T63))*(CsDJ[Account Code]=TRIM(K84)),CsDJ[Credit]))</f>
        <v>0</v>
      </c>
      <c r="P84" s="1040">
        <f t="shared" si="6"/>
        <v>0</v>
      </c>
      <c r="Q84" s="1040"/>
      <c r="R84" s="1040"/>
      <c r="S84" s="1040">
        <f t="shared" si="7"/>
        <v>0</v>
      </c>
      <c r="T84" s="1040"/>
      <c r="U84" s="1040"/>
      <c r="V84" s="1041"/>
    </row>
    <row r="85" spans="1:22" x14ac:dyDescent="0.25">
      <c r="A85" s="1038"/>
      <c r="B85" s="1039"/>
      <c r="C85" s="1039"/>
      <c r="D85" s="1039"/>
      <c r="E85" s="1045" t="str">
        <f t="shared" si="4"/>
        <v/>
      </c>
      <c r="F85" s="1046"/>
      <c r="G85" s="1046"/>
      <c r="H85" s="1046"/>
      <c r="I85" s="1046"/>
      <c r="J85" s="1047"/>
      <c r="K85" s="134"/>
      <c r="L85" s="62" t="str">
        <f t="shared" si="5"/>
        <v/>
      </c>
      <c r="M85" s="14"/>
      <c r="N85" s="89">
        <f t="array" ref="N85">SUM(IF((CsDJ[JEV Number]=TRIM($T63))*(CsDJ[Account Code]=TRIM(K85)),CsDJ[Debit]))</f>
        <v>0</v>
      </c>
      <c r="O85" s="89">
        <f t="array" ref="O85">SUM(IF((CsDJ[JEV Number]=TRIM($T63))*(CsDJ[Account Code]=TRIM(K85)),CsDJ[Credit]))</f>
        <v>0</v>
      </c>
      <c r="P85" s="1040">
        <f t="shared" si="6"/>
        <v>0</v>
      </c>
      <c r="Q85" s="1040"/>
      <c r="R85" s="1040"/>
      <c r="S85" s="1040">
        <f t="shared" si="7"/>
        <v>0</v>
      </c>
      <c r="T85" s="1040"/>
      <c r="U85" s="1040"/>
      <c r="V85" s="1041"/>
    </row>
    <row r="86" spans="1:22" x14ac:dyDescent="0.25">
      <c r="A86" s="1038"/>
      <c r="B86" s="1039"/>
      <c r="C86" s="1039"/>
      <c r="D86" s="1039"/>
      <c r="E86" s="1045" t="str">
        <f t="shared" si="4"/>
        <v/>
      </c>
      <c r="F86" s="1046"/>
      <c r="G86" s="1046"/>
      <c r="H86" s="1046"/>
      <c r="I86" s="1046"/>
      <c r="J86" s="1047"/>
      <c r="K86" s="134"/>
      <c r="L86" s="62" t="str">
        <f t="shared" si="5"/>
        <v/>
      </c>
      <c r="M86" s="14"/>
      <c r="N86" s="89">
        <f t="array" ref="N86">SUM(IF((CsDJ[JEV Number]=TRIM($T63))*(CsDJ[Account Code]=TRIM(K86)),CsDJ[Debit]))</f>
        <v>0</v>
      </c>
      <c r="O86" s="89">
        <f t="array" ref="O86">SUM(IF((CsDJ[JEV Number]=TRIM($T63))*(CsDJ[Account Code]=TRIM(K86)),CsDJ[Credit]))</f>
        <v>0</v>
      </c>
      <c r="P86" s="1040">
        <f t="shared" si="6"/>
        <v>0</v>
      </c>
      <c r="Q86" s="1040"/>
      <c r="R86" s="1040"/>
      <c r="S86" s="1040">
        <f t="shared" si="7"/>
        <v>0</v>
      </c>
      <c r="T86" s="1040"/>
      <c r="U86" s="1040"/>
      <c r="V86" s="1041"/>
    </row>
    <row r="87" spans="1:22" x14ac:dyDescent="0.25">
      <c r="A87" s="1038"/>
      <c r="B87" s="1039"/>
      <c r="C87" s="1039"/>
      <c r="D87" s="1039"/>
      <c r="E87" s="1045" t="str">
        <f t="shared" si="4"/>
        <v/>
      </c>
      <c r="F87" s="1046"/>
      <c r="G87" s="1046"/>
      <c r="H87" s="1046"/>
      <c r="I87" s="1046"/>
      <c r="J87" s="1047"/>
      <c r="K87" s="134"/>
      <c r="L87" s="62" t="str">
        <f t="shared" si="5"/>
        <v/>
      </c>
      <c r="M87" s="14"/>
      <c r="N87" s="89">
        <f t="array" ref="N87">SUM(IF((CsDJ[JEV Number]=TRIM($T63))*(CsDJ[Account Code]=TRIM(K87)),CsDJ[Debit]))</f>
        <v>0</v>
      </c>
      <c r="O87" s="89">
        <f t="array" ref="O87">SUM(IF((CsDJ[JEV Number]=TRIM($T63))*(CsDJ[Account Code]=TRIM(K87)),CsDJ[Credit]))</f>
        <v>0</v>
      </c>
      <c r="P87" s="1040">
        <f t="shared" si="6"/>
        <v>0</v>
      </c>
      <c r="Q87" s="1040"/>
      <c r="R87" s="1040"/>
      <c r="S87" s="1040">
        <f t="shared" si="7"/>
        <v>0</v>
      </c>
      <c r="T87" s="1040"/>
      <c r="U87" s="1040"/>
      <c r="V87" s="1041"/>
    </row>
    <row r="88" spans="1:22" x14ac:dyDescent="0.25">
      <c r="A88" s="1038"/>
      <c r="B88" s="1039"/>
      <c r="C88" s="1039"/>
      <c r="D88" s="1039"/>
      <c r="E88" s="1045" t="str">
        <f t="shared" si="4"/>
        <v/>
      </c>
      <c r="F88" s="1046"/>
      <c r="G88" s="1046"/>
      <c r="H88" s="1046"/>
      <c r="I88" s="1046"/>
      <c r="J88" s="1047"/>
      <c r="K88" s="134"/>
      <c r="L88" s="62" t="str">
        <f t="shared" si="5"/>
        <v/>
      </c>
      <c r="M88" s="14"/>
      <c r="N88" s="89">
        <f t="array" ref="N88">SUM(IF((CsDJ[JEV Number]=TRIM($T63))*(CsDJ[Account Code]=TRIM(K88)),CsDJ[Debit]))</f>
        <v>0</v>
      </c>
      <c r="O88" s="89">
        <f t="array" ref="O88">SUM(IF((CsDJ[JEV Number]=TRIM($T63))*(CsDJ[Account Code]=TRIM(K88)),CsDJ[Credit]))</f>
        <v>0</v>
      </c>
      <c r="P88" s="1040">
        <f t="shared" si="6"/>
        <v>0</v>
      </c>
      <c r="Q88" s="1040"/>
      <c r="R88" s="1040"/>
      <c r="S88" s="1040">
        <f t="shared" si="7"/>
        <v>0</v>
      </c>
      <c r="T88" s="1040"/>
      <c r="U88" s="1040"/>
      <c r="V88" s="1041"/>
    </row>
    <row r="89" spans="1:22" x14ac:dyDescent="0.25">
      <c r="A89" s="1038"/>
      <c r="B89" s="1039"/>
      <c r="C89" s="1039"/>
      <c r="D89" s="1039"/>
      <c r="E89" s="1045" t="str">
        <f t="shared" si="4"/>
        <v/>
      </c>
      <c r="F89" s="1046"/>
      <c r="G89" s="1046"/>
      <c r="H89" s="1046"/>
      <c r="I89" s="1046"/>
      <c r="J89" s="1047"/>
      <c r="K89" s="134"/>
      <c r="L89" s="62" t="str">
        <f t="shared" si="5"/>
        <v/>
      </c>
      <c r="M89" s="14"/>
      <c r="N89" s="89">
        <f t="array" ref="N89">SUM(IF((CsDJ[JEV Number]=TRIM($T63))*(CsDJ[Account Code]=TRIM(K89)),CsDJ[Debit]))</f>
        <v>0</v>
      </c>
      <c r="O89" s="89">
        <f t="array" ref="O89">SUM(IF((CsDJ[JEV Number]=TRIM($T63))*(CsDJ[Account Code]=TRIM(K89)),CsDJ[Credit]))</f>
        <v>0</v>
      </c>
      <c r="P89" s="1040">
        <f t="shared" si="6"/>
        <v>0</v>
      </c>
      <c r="Q89" s="1040"/>
      <c r="R89" s="1040"/>
      <c r="S89" s="1040">
        <f t="shared" si="7"/>
        <v>0</v>
      </c>
      <c r="T89" s="1040"/>
      <c r="U89" s="1040"/>
      <c r="V89" s="1041"/>
    </row>
    <row r="90" spans="1:22" x14ac:dyDescent="0.25">
      <c r="A90" s="1038"/>
      <c r="B90" s="1039"/>
      <c r="C90" s="1039"/>
      <c r="D90" s="1039"/>
      <c r="E90" s="1045" t="str">
        <f t="shared" si="4"/>
        <v/>
      </c>
      <c r="F90" s="1046"/>
      <c r="G90" s="1046"/>
      <c r="H90" s="1046"/>
      <c r="I90" s="1046"/>
      <c r="J90" s="1047"/>
      <c r="K90" s="134"/>
      <c r="L90" s="62" t="str">
        <f t="shared" si="5"/>
        <v/>
      </c>
      <c r="M90" s="14"/>
      <c r="N90" s="89">
        <f t="array" ref="N90">SUM(IF((CsDJ[JEV Number]=TRIM($T63))*(CsDJ[Account Code]=TRIM(K90)),CsDJ[Debit]))</f>
        <v>0</v>
      </c>
      <c r="O90" s="89">
        <f t="array" ref="O90">SUM(IF((CsDJ[JEV Number]=TRIM($T63))*(CsDJ[Account Code]=TRIM(K90)),CsDJ[Credit]))</f>
        <v>0</v>
      </c>
      <c r="P90" s="1040">
        <f t="shared" si="6"/>
        <v>0</v>
      </c>
      <c r="Q90" s="1040"/>
      <c r="R90" s="1040"/>
      <c r="S90" s="1040">
        <f t="shared" si="7"/>
        <v>0</v>
      </c>
      <c r="T90" s="1040"/>
      <c r="U90" s="1040"/>
      <c r="V90" s="1041"/>
    </row>
    <row r="91" spans="1:22" x14ac:dyDescent="0.25">
      <c r="A91" s="1038"/>
      <c r="B91" s="1039"/>
      <c r="C91" s="1039"/>
      <c r="D91" s="1039"/>
      <c r="E91" s="1045" t="str">
        <f t="shared" si="4"/>
        <v/>
      </c>
      <c r="F91" s="1046"/>
      <c r="G91" s="1046"/>
      <c r="H91" s="1046"/>
      <c r="I91" s="1046"/>
      <c r="J91" s="1047"/>
      <c r="K91" s="134"/>
      <c r="L91" s="62" t="str">
        <f t="shared" si="5"/>
        <v/>
      </c>
      <c r="M91" s="14"/>
      <c r="N91" s="89">
        <f t="array" ref="N91">SUM(IF((CsDJ[JEV Number]=TRIM($T63))*(CsDJ[Account Code]=TRIM(K91)),CsDJ[Debit]))</f>
        <v>0</v>
      </c>
      <c r="O91" s="89">
        <f t="array" ref="O91">SUM(IF((CsDJ[JEV Number]=TRIM($T63))*(CsDJ[Account Code]=TRIM(K91)),CsDJ[Credit]))</f>
        <v>0</v>
      </c>
      <c r="P91" s="1040">
        <f t="shared" si="6"/>
        <v>0</v>
      </c>
      <c r="Q91" s="1040"/>
      <c r="R91" s="1040"/>
      <c r="S91" s="1040">
        <f t="shared" si="7"/>
        <v>0</v>
      </c>
      <c r="T91" s="1040"/>
      <c r="U91" s="1040"/>
      <c r="V91" s="1041"/>
    </row>
    <row r="92" spans="1:22" x14ac:dyDescent="0.25">
      <c r="A92" s="1038"/>
      <c r="B92" s="1039"/>
      <c r="C92" s="1039"/>
      <c r="D92" s="1039"/>
      <c r="E92" s="1045" t="str">
        <f t="shared" si="4"/>
        <v/>
      </c>
      <c r="F92" s="1046"/>
      <c r="G92" s="1046"/>
      <c r="H92" s="1046"/>
      <c r="I92" s="1046"/>
      <c r="J92" s="1047"/>
      <c r="K92" s="134"/>
      <c r="L92" s="62" t="str">
        <f t="shared" si="5"/>
        <v/>
      </c>
      <c r="M92" s="14"/>
      <c r="N92" s="89">
        <f t="array" ref="N92">SUM(IF((CsDJ[JEV Number]=TRIM($T63))*(CsDJ[Account Code]=TRIM(K92)),CsDJ[Debit]))</f>
        <v>0</v>
      </c>
      <c r="O92" s="89">
        <f t="array" ref="O92">SUM(IF((CsDJ[JEV Number]=TRIM($T63))*(CsDJ[Account Code]=TRIM(K92)),CsDJ[Credit]))</f>
        <v>0</v>
      </c>
      <c r="P92" s="1040">
        <f t="shared" si="6"/>
        <v>0</v>
      </c>
      <c r="Q92" s="1040"/>
      <c r="R92" s="1040"/>
      <c r="S92" s="1040">
        <f t="shared" si="7"/>
        <v>0</v>
      </c>
      <c r="T92" s="1040"/>
      <c r="U92" s="1040"/>
      <c r="V92" s="1041"/>
    </row>
    <row r="93" spans="1:22" x14ac:dyDescent="0.25">
      <c r="A93" s="1038"/>
      <c r="B93" s="1039"/>
      <c r="C93" s="1039"/>
      <c r="D93" s="1039"/>
      <c r="E93" s="1045" t="str">
        <f t="shared" si="4"/>
        <v/>
      </c>
      <c r="F93" s="1046"/>
      <c r="G93" s="1046"/>
      <c r="H93" s="1046"/>
      <c r="I93" s="1046"/>
      <c r="J93" s="1047"/>
      <c r="K93" s="134"/>
      <c r="L93" s="62" t="str">
        <f t="shared" si="5"/>
        <v/>
      </c>
      <c r="M93" s="14"/>
      <c r="N93" s="89">
        <f t="array" ref="N93">SUM(IF((CsDJ[JEV Number]=TRIM($T63))*(CsDJ[Account Code]=TRIM(K93)),CsDJ[Debit]))</f>
        <v>0</v>
      </c>
      <c r="O93" s="89">
        <f t="array" ref="O93">SUM(IF((CsDJ[JEV Number]=TRIM($T63))*(CsDJ[Account Code]=TRIM(K93)),CsDJ[Credit]))</f>
        <v>0</v>
      </c>
      <c r="P93" s="1040">
        <f t="shared" si="6"/>
        <v>0</v>
      </c>
      <c r="Q93" s="1040"/>
      <c r="R93" s="1040"/>
      <c r="S93" s="1040">
        <f t="shared" si="7"/>
        <v>0</v>
      </c>
      <c r="T93" s="1040"/>
      <c r="U93" s="1040"/>
      <c r="V93" s="1041"/>
    </row>
    <row r="94" spans="1:22" x14ac:dyDescent="0.25">
      <c r="A94" s="1038"/>
      <c r="B94" s="1039"/>
      <c r="C94" s="1039"/>
      <c r="D94" s="1039"/>
      <c r="E94" s="1045" t="str">
        <f t="shared" si="4"/>
        <v/>
      </c>
      <c r="F94" s="1046"/>
      <c r="G94" s="1046"/>
      <c r="H94" s="1046"/>
      <c r="I94" s="1046"/>
      <c r="J94" s="1047"/>
      <c r="K94" s="134"/>
      <c r="L94" s="62" t="str">
        <f t="shared" si="5"/>
        <v/>
      </c>
      <c r="M94" s="14"/>
      <c r="N94" s="89">
        <f t="array" ref="N94">SUM(IF((CsDJ[JEV Number]=TRIM($T63))*(CsDJ[Account Code]=TRIM(K94)),CsDJ[Debit]))</f>
        <v>0</v>
      </c>
      <c r="O94" s="89">
        <f t="array" ref="O94">SUM(IF((CsDJ[JEV Number]=TRIM($T63))*(CsDJ[Account Code]=TRIM(K94)),CsDJ[Credit]))</f>
        <v>0</v>
      </c>
      <c r="P94" s="1040">
        <f t="shared" si="6"/>
        <v>0</v>
      </c>
      <c r="Q94" s="1040"/>
      <c r="R94" s="1040"/>
      <c r="S94" s="1040">
        <f t="shared" si="7"/>
        <v>0</v>
      </c>
      <c r="T94" s="1040"/>
      <c r="U94" s="1040"/>
      <c r="V94" s="1041"/>
    </row>
    <row r="95" spans="1:22" x14ac:dyDescent="0.25">
      <c r="A95" s="1038"/>
      <c r="B95" s="1039"/>
      <c r="C95" s="1039"/>
      <c r="D95" s="1039"/>
      <c r="E95" s="1045" t="str">
        <f t="shared" si="4"/>
        <v/>
      </c>
      <c r="F95" s="1046"/>
      <c r="G95" s="1046"/>
      <c r="H95" s="1046"/>
      <c r="I95" s="1046"/>
      <c r="J95" s="1047"/>
      <c r="K95" s="134"/>
      <c r="L95" s="62" t="str">
        <f t="shared" si="5"/>
        <v/>
      </c>
      <c r="M95" s="14"/>
      <c r="N95" s="89">
        <f t="array" ref="N95">SUM(IF((CsDJ[JEV Number]=TRIM($T63))*(CsDJ[Account Code]=TRIM(K95)),CsDJ[Debit]))</f>
        <v>0</v>
      </c>
      <c r="O95" s="89">
        <f t="array" ref="O95">SUM(IF((CsDJ[JEV Number]=TRIM($T63))*(CsDJ[Account Code]=TRIM(K95)),CsDJ[Credit]))</f>
        <v>0</v>
      </c>
      <c r="P95" s="1040">
        <f t="shared" si="6"/>
        <v>0</v>
      </c>
      <c r="Q95" s="1040"/>
      <c r="R95" s="1040"/>
      <c r="S95" s="1040">
        <f t="shared" si="7"/>
        <v>0</v>
      </c>
      <c r="T95" s="1040"/>
      <c r="U95" s="1040"/>
      <c r="V95" s="1041"/>
    </row>
    <row r="96" spans="1:22" x14ac:dyDescent="0.25">
      <c r="A96" s="1038"/>
      <c r="B96" s="1039"/>
      <c r="C96" s="1039"/>
      <c r="D96" s="1039"/>
      <c r="E96" s="1045" t="str">
        <f t="shared" si="4"/>
        <v/>
      </c>
      <c r="F96" s="1046"/>
      <c r="G96" s="1046"/>
      <c r="H96" s="1046"/>
      <c r="I96" s="1046"/>
      <c r="J96" s="1047"/>
      <c r="K96" s="134"/>
      <c r="L96" s="62" t="str">
        <f t="shared" si="5"/>
        <v/>
      </c>
      <c r="M96" s="14"/>
      <c r="N96" s="89">
        <f t="array" ref="N96">SUM(IF((CsDJ[JEV Number]=TRIM($T63))*(CsDJ[Account Code]=TRIM(K96)),CsDJ[Debit]))</f>
        <v>0</v>
      </c>
      <c r="O96" s="89">
        <f t="array" ref="O96">SUM(IF((CsDJ[JEV Number]=TRIM($T63))*(CsDJ[Account Code]=TRIM(K96)),CsDJ[Credit]))</f>
        <v>0</v>
      </c>
      <c r="P96" s="1040">
        <f t="shared" si="6"/>
        <v>0</v>
      </c>
      <c r="Q96" s="1040"/>
      <c r="R96" s="1040"/>
      <c r="S96" s="1040">
        <f t="shared" si="7"/>
        <v>0</v>
      </c>
      <c r="T96" s="1040"/>
      <c r="U96" s="1040"/>
      <c r="V96" s="1041"/>
    </row>
    <row r="97" spans="1:22" x14ac:dyDescent="0.25">
      <c r="A97" s="1038"/>
      <c r="B97" s="1039"/>
      <c r="C97" s="1039"/>
      <c r="D97" s="1039"/>
      <c r="E97" s="1108" t="s">
        <v>468</v>
      </c>
      <c r="F97" s="1109"/>
      <c r="G97" s="1109"/>
      <c r="H97" s="1109"/>
      <c r="I97" s="1109"/>
      <c r="J97" s="1110"/>
      <c r="K97" s="133"/>
      <c r="L97" s="62" t="str">
        <f t="shared" si="5"/>
        <v/>
      </c>
      <c r="M97" s="14"/>
      <c r="N97" s="89">
        <f t="array" ref="N97">SUM(IF((CsDJ[JEV Number]=TRIM($T63))*(CsDJ[Account Code]=TRIM(K97)),CsDJ[Debit]))</f>
        <v>0</v>
      </c>
      <c r="O97" s="89">
        <f t="array" ref="O97">SUM(IF((CsDJ[JEV Number]=TRIM($T63))*(CsDJ[Account Code]=TRIM(K97)),CsDJ[Credit]))</f>
        <v>0</v>
      </c>
      <c r="P97" s="1040">
        <f t="shared" si="6"/>
        <v>0</v>
      </c>
      <c r="Q97" s="1040"/>
      <c r="R97" s="1040"/>
      <c r="S97" s="1040">
        <f t="shared" si="7"/>
        <v>0</v>
      </c>
      <c r="T97" s="1040"/>
      <c r="U97" s="1040"/>
      <c r="V97" s="1041"/>
    </row>
    <row r="98" spans="1:22" x14ac:dyDescent="0.25">
      <c r="A98" s="1038"/>
      <c r="B98" s="1039"/>
      <c r="C98" s="1039"/>
      <c r="D98" s="1039"/>
      <c r="E98" s="1048" t="s">
        <v>457</v>
      </c>
      <c r="F98" s="1049"/>
      <c r="G98" s="1049"/>
      <c r="H98" s="1049"/>
      <c r="I98" s="1051">
        <f>T64</f>
        <v>0</v>
      </c>
      <c r="J98" s="1052"/>
      <c r="K98" s="133"/>
      <c r="L98" s="62" t="str">
        <f t="shared" si="5"/>
        <v/>
      </c>
      <c r="M98" s="14"/>
      <c r="N98" s="89">
        <f t="array" ref="N98">SUM(IF((CsDJ[JEV Number]=TRIM($T63))*(CsDJ[Account Code]=TRIM(K98)),CsDJ[Debit]))</f>
        <v>0</v>
      </c>
      <c r="O98" s="89">
        <f t="array" ref="O98">SUM(IF((CsDJ[JEV Number]=TRIM($T63))*(CsDJ[Account Code]=TRIM(K98)),CsDJ[Credit]))</f>
        <v>0</v>
      </c>
      <c r="P98" s="1040">
        <f t="shared" si="6"/>
        <v>0</v>
      </c>
      <c r="Q98" s="1040"/>
      <c r="R98" s="1040"/>
      <c r="S98" s="1040">
        <f t="shared" si="7"/>
        <v>0</v>
      </c>
      <c r="T98" s="1040"/>
      <c r="U98" s="1040"/>
      <c r="V98" s="1041"/>
    </row>
    <row r="99" spans="1:22" x14ac:dyDescent="0.25">
      <c r="A99" s="1038"/>
      <c r="B99" s="1039"/>
      <c r="C99" s="1039"/>
      <c r="D99" s="1039"/>
      <c r="E99" s="1048" t="s">
        <v>458</v>
      </c>
      <c r="F99" s="1049"/>
      <c r="G99" s="1049"/>
      <c r="H99" s="1049"/>
      <c r="I99" s="1106">
        <f>IF(T63=0,0,(IF(LOOKUP(T63,CsDJ[JEV Number],CsDJ[Sort Code])="1","MA. VIVIAN C. SALAS",IF(LOOKUP(T63,CsDJ[JEV Number],CsDJ[Sort Code])="2","LUZ R. DE COZAR",IF(LOOKUP(T63,CsDJ[JEV Number],CsDJ[Sort Code])="3","MINEONETTE A. DELA CRUZ",IF(LOOKUP(T63,CsDJ[JEV Number],CsDJ[Sort Code])="4","RESELLA B. LOPEZ"))))))</f>
        <v>0</v>
      </c>
      <c r="J99" s="1107"/>
      <c r="K99" s="133"/>
      <c r="L99" s="62" t="str">
        <f t="shared" si="5"/>
        <v/>
      </c>
      <c r="M99" s="14"/>
      <c r="N99" s="89">
        <f t="array" ref="N99">SUM(IF((CsDJ[JEV Number]=TRIM($T63))*(CsDJ[Account Code]=TRIM(K99)),CsDJ[Debit]))</f>
        <v>0</v>
      </c>
      <c r="O99" s="89">
        <f t="array" ref="O99">SUM(IF((CsDJ[JEV Number]=TRIM($T63))*(CsDJ[Account Code]=TRIM(K99)),CsDJ[Credit]))</f>
        <v>0</v>
      </c>
      <c r="P99" s="1040">
        <f t="shared" si="6"/>
        <v>0</v>
      </c>
      <c r="Q99" s="1040"/>
      <c r="R99" s="1040"/>
      <c r="S99" s="1040">
        <f t="shared" si="7"/>
        <v>0</v>
      </c>
      <c r="T99" s="1040"/>
      <c r="U99" s="1040"/>
      <c r="V99" s="1041"/>
    </row>
    <row r="100" spans="1:22" x14ac:dyDescent="0.25">
      <c r="A100" s="1038"/>
      <c r="B100" s="1039"/>
      <c r="C100" s="1039"/>
      <c r="D100" s="1039"/>
      <c r="E100" s="1048" t="s">
        <v>459</v>
      </c>
      <c r="F100" s="1049"/>
      <c r="G100" s="1049"/>
      <c r="H100" s="1049"/>
      <c r="I100" s="1043">
        <f>IF(I99="Ma. Vivian C. Salas","Regional Office", IF(I99="Luz R. De Cozar","BANE IMO", IF(I99="Mineonette A. Dela Cruz","PAMBAT IMO", IF(I99="Resella B. Lopez","TARZAM IMO",0))))</f>
        <v>0</v>
      </c>
      <c r="J100" s="1044"/>
      <c r="K100" s="133"/>
      <c r="L100" s="62" t="str">
        <f t="shared" si="5"/>
        <v/>
      </c>
      <c r="M100" s="14"/>
      <c r="N100" s="89">
        <f t="array" ref="N100">SUM(IF((CsDJ[JEV Number]=TRIM($T63))*(CsDJ[Account Code]=TRIM(K100)),CsDJ[Debit]))</f>
        <v>0</v>
      </c>
      <c r="O100" s="89">
        <f t="array" ref="O100">SUM(IF((CsDJ[JEV Number]=TRIM($T63))*(CsDJ[Account Code]=TRIM(K100)),CsDJ[Credit]))</f>
        <v>0</v>
      </c>
      <c r="P100" s="1040">
        <f t="shared" si="6"/>
        <v>0</v>
      </c>
      <c r="Q100" s="1040"/>
      <c r="R100" s="1040"/>
      <c r="S100" s="1040">
        <f t="shared" si="7"/>
        <v>0</v>
      </c>
      <c r="T100" s="1040"/>
      <c r="U100" s="1040"/>
      <c r="V100" s="1041"/>
    </row>
    <row r="101" spans="1:22" x14ac:dyDescent="0.25">
      <c r="A101" s="1038"/>
      <c r="B101" s="1039"/>
      <c r="C101" s="1039"/>
      <c r="D101" s="1039"/>
      <c r="E101" s="1048"/>
      <c r="F101" s="1049"/>
      <c r="G101" s="1049"/>
      <c r="H101" s="1049"/>
      <c r="I101" s="1049"/>
      <c r="J101" s="1050"/>
      <c r="K101" s="133"/>
      <c r="L101" s="62" t="str">
        <f t="shared" si="5"/>
        <v/>
      </c>
      <c r="M101" s="14"/>
      <c r="N101" s="89">
        <f t="array" ref="N101">SUM(IF((CsDJ[JEV Number]=TRIM($T63))*(CsDJ[Account Code]=TRIM(K101)),CsDJ[Debit]))</f>
        <v>0</v>
      </c>
      <c r="O101" s="89">
        <f t="array" ref="O101">SUM(IF((CsDJ[JEV Number]=TRIM($T63))*(CsDJ[Account Code]=TRIM(K101)),CsDJ[Credit]))</f>
        <v>0</v>
      </c>
      <c r="P101" s="1040">
        <f t="shared" si="6"/>
        <v>0</v>
      </c>
      <c r="Q101" s="1040"/>
      <c r="R101" s="1040"/>
      <c r="S101" s="1040">
        <f t="shared" si="7"/>
        <v>0</v>
      </c>
      <c r="T101" s="1040"/>
      <c r="U101" s="1040"/>
      <c r="V101" s="1041"/>
    </row>
    <row r="102" spans="1:22" ht="16.5" thickBot="1" x14ac:dyDescent="0.3">
      <c r="A102" s="1091"/>
      <c r="B102" s="1092"/>
      <c r="C102" s="1092"/>
      <c r="D102" s="1092"/>
      <c r="E102" s="1092"/>
      <c r="F102" s="1092"/>
      <c r="G102" s="1092"/>
      <c r="H102" s="1092"/>
      <c r="I102" s="1092"/>
      <c r="J102" s="1092"/>
      <c r="K102" s="1092"/>
      <c r="L102" s="1092"/>
      <c r="M102" s="1093"/>
      <c r="N102" s="88"/>
      <c r="O102" s="88"/>
      <c r="P102" s="1094">
        <f>SUM(P72:R101)</f>
        <v>0</v>
      </c>
      <c r="Q102" s="1094"/>
      <c r="R102" s="1094"/>
      <c r="S102" s="1094">
        <f>SUM(S72:V101)</f>
        <v>0</v>
      </c>
      <c r="T102" s="1094"/>
      <c r="U102" s="1094"/>
      <c r="V102" s="1095"/>
    </row>
    <row r="103" spans="1:22" x14ac:dyDescent="0.25">
      <c r="A103" s="63"/>
      <c r="B103" s="64"/>
      <c r="C103" s="64"/>
      <c r="D103" s="64"/>
      <c r="E103" s="64"/>
      <c r="F103" s="64"/>
      <c r="G103" s="64"/>
      <c r="H103" s="64"/>
      <c r="I103" s="65"/>
      <c r="J103" s="64"/>
      <c r="K103" s="66"/>
      <c r="L103" s="64"/>
      <c r="M103" s="65"/>
      <c r="N103" s="64"/>
      <c r="O103" s="64"/>
      <c r="P103" s="1090"/>
      <c r="Q103" s="1090"/>
      <c r="R103" s="1090"/>
      <c r="S103" s="1090"/>
      <c r="T103" s="1090"/>
      <c r="U103" s="1090"/>
      <c r="V103" s="1096"/>
    </row>
    <row r="104" spans="1:22" x14ac:dyDescent="0.25">
      <c r="A104" s="67" t="s">
        <v>460</v>
      </c>
      <c r="B104"/>
      <c r="C104"/>
      <c r="D104"/>
      <c r="E104"/>
      <c r="F104"/>
      <c r="G104"/>
      <c r="H104"/>
      <c r="I104" s="68" t="s">
        <v>353</v>
      </c>
      <c r="J104" s="69"/>
      <c r="K104" s="69"/>
      <c r="L104"/>
      <c r="M104" s="68" t="s">
        <v>461</v>
      </c>
      <c r="N104" s="69"/>
      <c r="O104" s="69"/>
      <c r="P104" s="70"/>
      <c r="Q104" s="70"/>
      <c r="R104" s="70"/>
      <c r="S104" s="70"/>
      <c r="T104" s="70"/>
      <c r="U104" s="70"/>
      <c r="V104" s="71"/>
    </row>
    <row r="105" spans="1:22" x14ac:dyDescent="0.25">
      <c r="A105" s="37"/>
      <c r="B105"/>
      <c r="C105"/>
      <c r="D105"/>
      <c r="E105"/>
      <c r="F105"/>
      <c r="G105"/>
      <c r="H105"/>
      <c r="I105" s="72"/>
      <c r="J105"/>
      <c r="K105"/>
      <c r="L105"/>
      <c r="M105" s="72"/>
      <c r="N105"/>
      <c r="O105"/>
      <c r="P105"/>
      <c r="Q105"/>
      <c r="R105"/>
      <c r="S105"/>
      <c r="T105"/>
      <c r="U105"/>
      <c r="V105" s="73"/>
    </row>
    <row r="106" spans="1:22" x14ac:dyDescent="0.25">
      <c r="A106" s="74" t="s">
        <v>462</v>
      </c>
      <c r="B106" s="75"/>
      <c r="C106" s="75"/>
      <c r="D106" s="75"/>
      <c r="E106" s="75"/>
      <c r="F106" s="75"/>
      <c r="G106" s="75"/>
      <c r="H106" s="76"/>
      <c r="I106" s="77" t="s">
        <v>380</v>
      </c>
      <c r="J106" s="75"/>
      <c r="K106" s="75"/>
      <c r="L106" s="76"/>
      <c r="M106" s="77" t="s">
        <v>3</v>
      </c>
      <c r="N106" s="75"/>
      <c r="O106" s="75"/>
      <c r="P106" s="75"/>
      <c r="Q106" s="75"/>
      <c r="R106" s="75"/>
      <c r="S106" s="75"/>
      <c r="T106" s="75"/>
      <c r="U106" s="75"/>
      <c r="V106" s="78"/>
    </row>
    <row r="107" spans="1:22" x14ac:dyDescent="0.25">
      <c r="A107" s="79" t="s">
        <v>463</v>
      </c>
      <c r="B107" s="80"/>
      <c r="C107" s="80"/>
      <c r="D107" s="80"/>
      <c r="E107" s="80"/>
      <c r="F107" s="80"/>
      <c r="G107" s="80"/>
      <c r="H107" s="80"/>
      <c r="I107" s="81" t="s">
        <v>381</v>
      </c>
      <c r="J107" s="80"/>
      <c r="K107" s="80"/>
      <c r="L107" s="80"/>
      <c r="M107" s="81" t="s">
        <v>464</v>
      </c>
      <c r="N107" s="80"/>
      <c r="O107" s="80"/>
      <c r="P107" s="82"/>
      <c r="Q107" s="82"/>
      <c r="R107" s="82"/>
      <c r="S107" s="82"/>
      <c r="T107" s="82"/>
      <c r="U107" s="82"/>
      <c r="V107" s="83"/>
    </row>
    <row r="108" spans="1:22" ht="16.5" thickBot="1" x14ac:dyDescent="0.3">
      <c r="A108" s="84" t="s">
        <v>465</v>
      </c>
      <c r="B108" s="43"/>
      <c r="C108" s="43"/>
      <c r="D108" s="43"/>
      <c r="E108" s="43"/>
      <c r="F108" s="43"/>
      <c r="G108" s="43"/>
      <c r="H108" s="43"/>
      <c r="I108" s="85"/>
      <c r="J108" s="43"/>
      <c r="K108" s="43"/>
      <c r="L108" s="43"/>
      <c r="M108" s="85"/>
      <c r="N108" s="43"/>
      <c r="O108" s="43"/>
      <c r="P108" s="43"/>
      <c r="Q108" s="43"/>
      <c r="R108" s="43"/>
      <c r="S108" s="43"/>
      <c r="T108" s="43"/>
      <c r="U108" s="43"/>
      <c r="V108" s="44"/>
    </row>
    <row r="109" spans="1:22" ht="22.5" x14ac:dyDescent="0.25">
      <c r="A109" s="31" t="s">
        <v>441</v>
      </c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3"/>
      <c r="R109" s="1053">
        <f>+P149-S149</f>
        <v>0</v>
      </c>
      <c r="S109" s="1054"/>
      <c r="T109" s="1054"/>
      <c r="U109" s="1054"/>
      <c r="V109" s="1055"/>
    </row>
    <row r="110" spans="1:22" x14ac:dyDescent="0.25">
      <c r="A110" s="34" t="s">
        <v>442</v>
      </c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6"/>
      <c r="R110" s="37" t="s">
        <v>443</v>
      </c>
      <c r="S110"/>
      <c r="T110" s="1056"/>
      <c r="U110" s="1056"/>
      <c r="V110" s="1057"/>
    </row>
    <row r="111" spans="1:22" x14ac:dyDescent="0.25">
      <c r="A111" s="38" t="s">
        <v>444</v>
      </c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6"/>
      <c r="R111" s="37" t="s">
        <v>0</v>
      </c>
      <c r="S111"/>
      <c r="T111" s="1058">
        <f>IF(T110=0,0,(LOOKUP(T110,CsDJ[JEV Number],CsDJ[Date])))</f>
        <v>0</v>
      </c>
      <c r="U111" s="1058"/>
      <c r="V111" s="1059"/>
    </row>
    <row r="112" spans="1:22" ht="16.5" thickBot="1" x14ac:dyDescent="0.3">
      <c r="A112" s="39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1"/>
      <c r="R112" s="42"/>
      <c r="S112" s="43"/>
      <c r="T112" s="43"/>
      <c r="U112" s="43"/>
      <c r="V112" s="44"/>
    </row>
    <row r="113" spans="1:22" x14ac:dyDescent="0.25">
      <c r="A113" s="45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7"/>
      <c r="M113" s="46"/>
      <c r="N113" s="46"/>
      <c r="O113" s="46"/>
      <c r="P113" s="46"/>
      <c r="Q113" s="46"/>
      <c r="R113" s="46"/>
      <c r="S113" s="46"/>
      <c r="T113" s="46"/>
      <c r="U113" s="46"/>
      <c r="V113" s="48"/>
    </row>
    <row r="114" spans="1:22" x14ac:dyDescent="0.25">
      <c r="A114" s="49"/>
      <c r="B114" s="1060"/>
      <c r="C114" s="1060"/>
      <c r="D114" s="50" t="s">
        <v>445</v>
      </c>
      <c r="H114" s="51"/>
      <c r="I114" s="25" t="s">
        <v>447</v>
      </c>
      <c r="J114" s="132" t="s">
        <v>446</v>
      </c>
      <c r="K114" s="52" t="s">
        <v>448</v>
      </c>
      <c r="L114" s="52"/>
      <c r="Q114" s="1060"/>
      <c r="R114" s="1060"/>
      <c r="S114" s="50" t="s">
        <v>449</v>
      </c>
      <c r="T114" s="50"/>
      <c r="U114" s="50"/>
      <c r="V114" s="53"/>
    </row>
    <row r="115" spans="1:22" ht="16.5" thickBot="1" x14ac:dyDescent="0.3">
      <c r="A115" s="54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6"/>
      <c r="M115" s="55"/>
      <c r="N115" s="55"/>
      <c r="O115" s="55"/>
      <c r="P115" s="55"/>
      <c r="Q115" s="55"/>
      <c r="R115" s="55"/>
      <c r="S115" s="55"/>
      <c r="T115" s="55"/>
      <c r="U115" s="55"/>
      <c r="V115" s="57"/>
    </row>
    <row r="116" spans="1:22" x14ac:dyDescent="0.25">
      <c r="A116" s="1061" t="s">
        <v>397</v>
      </c>
      <c r="B116" s="1062"/>
      <c r="C116" s="1062"/>
      <c r="D116" s="1063"/>
      <c r="E116" s="1070" t="s">
        <v>450</v>
      </c>
      <c r="F116" s="1070"/>
      <c r="G116" s="1070"/>
      <c r="H116" s="1070"/>
      <c r="I116" s="1070"/>
      <c r="J116" s="1070"/>
      <c r="K116" s="1070"/>
      <c r="L116" s="1070"/>
      <c r="M116" s="1070"/>
      <c r="N116" s="1070"/>
      <c r="O116" s="1070"/>
      <c r="P116" s="1070"/>
      <c r="Q116" s="1070"/>
      <c r="R116" s="1070"/>
      <c r="S116" s="1070"/>
      <c r="T116" s="1070"/>
      <c r="U116" s="1070"/>
      <c r="V116" s="1071"/>
    </row>
    <row r="117" spans="1:22" x14ac:dyDescent="0.25">
      <c r="A117" s="1064"/>
      <c r="B117" s="1065"/>
      <c r="C117" s="1065"/>
      <c r="D117" s="1066"/>
      <c r="E117" s="1072" t="s">
        <v>451</v>
      </c>
      <c r="F117" s="1072"/>
      <c r="G117" s="1072"/>
      <c r="H117" s="1072"/>
      <c r="I117" s="1072"/>
      <c r="J117" s="1072"/>
      <c r="K117" s="1074" t="s">
        <v>378</v>
      </c>
      <c r="L117" s="1074"/>
      <c r="M117" s="1072" t="s">
        <v>452</v>
      </c>
      <c r="N117" s="1075" t="s">
        <v>453</v>
      </c>
      <c r="O117" s="1076"/>
      <c r="P117" s="1076"/>
      <c r="Q117" s="1076"/>
      <c r="R117" s="1076"/>
      <c r="S117" s="1076"/>
      <c r="T117" s="1076"/>
      <c r="U117" s="1076"/>
      <c r="V117" s="1077"/>
    </row>
    <row r="118" spans="1:22" ht="16.5" customHeight="1" thickBot="1" x14ac:dyDescent="0.3">
      <c r="A118" s="1067"/>
      <c r="B118" s="1068"/>
      <c r="C118" s="1068"/>
      <c r="D118" s="1069"/>
      <c r="E118" s="1073"/>
      <c r="F118" s="1073"/>
      <c r="G118" s="1073"/>
      <c r="H118" s="1073"/>
      <c r="I118" s="1073"/>
      <c r="J118" s="1073"/>
      <c r="K118" s="58" t="s">
        <v>454</v>
      </c>
      <c r="L118" s="58" t="s">
        <v>455</v>
      </c>
      <c r="M118" s="1073"/>
      <c r="N118" s="87" t="s">
        <v>466</v>
      </c>
      <c r="O118" s="87" t="s">
        <v>467</v>
      </c>
      <c r="P118" s="1078" t="s">
        <v>1</v>
      </c>
      <c r="Q118" s="1079"/>
      <c r="R118" s="1080"/>
      <c r="S118" s="1078" t="s">
        <v>2</v>
      </c>
      <c r="T118" s="1079"/>
      <c r="U118" s="1079"/>
      <c r="V118" s="1081"/>
    </row>
    <row r="119" spans="1:22" ht="19.5" x14ac:dyDescent="0.3">
      <c r="A119" s="1082">
        <f>P149-S149</f>
        <v>0</v>
      </c>
      <c r="B119" s="1083"/>
      <c r="C119" s="1083"/>
      <c r="D119" s="1083"/>
      <c r="E119" s="1084" t="str">
        <f>Account!$G$1</f>
        <v>FUND 501 CARP</v>
      </c>
      <c r="F119" s="1085"/>
      <c r="G119" s="1085"/>
      <c r="H119" s="1085"/>
      <c r="I119" s="1085"/>
      <c r="J119" s="1086"/>
      <c r="K119" s="59"/>
      <c r="L119" s="59"/>
      <c r="M119" s="60"/>
      <c r="N119" s="60"/>
      <c r="O119" s="60"/>
      <c r="P119" s="1087"/>
      <c r="Q119" s="1087"/>
      <c r="R119" s="1087"/>
      <c r="S119" s="1087"/>
      <c r="T119" s="1087"/>
      <c r="U119" s="1087"/>
      <c r="V119" s="1088"/>
    </row>
    <row r="120" spans="1:22" x14ac:dyDescent="0.25">
      <c r="A120" s="1038"/>
      <c r="B120" s="1039"/>
      <c r="C120" s="1039"/>
      <c r="D120" s="1039"/>
      <c r="E120" s="1039"/>
      <c r="F120" s="1039"/>
      <c r="G120" s="1039"/>
      <c r="H120" s="1039"/>
      <c r="I120" s="1039"/>
      <c r="J120" s="1039"/>
      <c r="K120" s="61"/>
      <c r="L120" s="61"/>
      <c r="M120" s="14"/>
      <c r="N120" s="14"/>
      <c r="O120" s="14"/>
      <c r="P120" s="1039"/>
      <c r="Q120" s="1039"/>
      <c r="R120" s="1039"/>
      <c r="S120" s="1039"/>
      <c r="T120" s="1039"/>
      <c r="U120" s="1039"/>
      <c r="V120" s="1089"/>
    </row>
    <row r="121" spans="1:22" x14ac:dyDescent="0.25">
      <c r="A121" s="1038"/>
      <c r="B121" s="1039"/>
      <c r="C121" s="1039"/>
      <c r="D121" s="1039"/>
      <c r="E121" s="1045" t="str">
        <f t="shared" ref="E121:E143" si="8">IF(K121=0,"",(VLOOKUP((TRIM(K121)),Code,2,)))</f>
        <v/>
      </c>
      <c r="F121" s="1046"/>
      <c r="G121" s="1046"/>
      <c r="H121" s="1046"/>
      <c r="I121" s="1046"/>
      <c r="J121" s="1047"/>
      <c r="K121" s="133"/>
      <c r="L121" s="62" t="str">
        <f t="shared" ref="L121:L148" si="9">IF(K121=0,"",VLOOKUP((TRIM(K121)),Code,3,))</f>
        <v/>
      </c>
      <c r="M121" s="14"/>
      <c r="N121" s="89">
        <f t="array" ref="N121">SUM(IF((CsDJ[JEV Number]=TRIM($T110))*(CsDJ[Account Code]=TRIM(K121)),CsDJ[Debit]))</f>
        <v>0</v>
      </c>
      <c r="O121" s="89">
        <f t="array" ref="O121">SUM(IF((CsDJ[JEV Number]=TRIM($T110))*(CsDJ[Account Code]=TRIM(K121)),CsDJ[Credit]))</f>
        <v>0</v>
      </c>
      <c r="P121" s="1040">
        <f>N121</f>
        <v>0</v>
      </c>
      <c r="Q121" s="1040"/>
      <c r="R121" s="1040"/>
      <c r="S121" s="1040">
        <f>O121</f>
        <v>0</v>
      </c>
      <c r="T121" s="1040"/>
      <c r="U121" s="1040"/>
      <c r="V121" s="1041"/>
    </row>
    <row r="122" spans="1:22" x14ac:dyDescent="0.25">
      <c r="A122" s="1038"/>
      <c r="B122" s="1039"/>
      <c r="C122" s="1039"/>
      <c r="D122" s="1039"/>
      <c r="E122" s="1045" t="str">
        <f t="shared" si="8"/>
        <v/>
      </c>
      <c r="F122" s="1046"/>
      <c r="G122" s="1046"/>
      <c r="H122" s="1046"/>
      <c r="I122" s="1046"/>
      <c r="J122" s="1047"/>
      <c r="K122" s="133"/>
      <c r="L122" s="62" t="str">
        <f t="shared" si="9"/>
        <v/>
      </c>
      <c r="M122" s="14"/>
      <c r="N122" s="89">
        <f t="array" ref="N122">SUM(IF((CsDJ[JEV Number]=TRIM($T110))*(CsDJ[Account Code]=TRIM(K122)),CsDJ[Debit]))</f>
        <v>0</v>
      </c>
      <c r="O122" s="89">
        <f t="array" ref="O122">SUM(IF((CsDJ[JEV Number]=TRIM($T110))*(CsDJ[Account Code]=TRIM(K122)),CsDJ[Credit]))</f>
        <v>0</v>
      </c>
      <c r="P122" s="1040">
        <f>N122</f>
        <v>0</v>
      </c>
      <c r="Q122" s="1040"/>
      <c r="R122" s="1040"/>
      <c r="S122" s="1040">
        <f>O122</f>
        <v>0</v>
      </c>
      <c r="T122" s="1040"/>
      <c r="U122" s="1040"/>
      <c r="V122" s="1041"/>
    </row>
    <row r="123" spans="1:22" x14ac:dyDescent="0.25">
      <c r="A123" s="1038"/>
      <c r="B123" s="1039"/>
      <c r="C123" s="1039"/>
      <c r="D123" s="1039"/>
      <c r="E123" s="1045" t="str">
        <f t="shared" si="8"/>
        <v/>
      </c>
      <c r="F123" s="1046"/>
      <c r="G123" s="1046"/>
      <c r="H123" s="1046"/>
      <c r="I123" s="1046"/>
      <c r="J123" s="1047"/>
      <c r="K123" s="133"/>
      <c r="L123" s="62" t="str">
        <f t="shared" si="9"/>
        <v/>
      </c>
      <c r="M123" s="14"/>
      <c r="N123" s="89">
        <f t="array" ref="N123">SUM(IF((CsDJ[JEV Number]=TRIM($T110))*(CsDJ[Account Code]=TRIM(K123)),CsDJ[Debit]))</f>
        <v>0</v>
      </c>
      <c r="O123" s="89">
        <f t="array" ref="O123">SUM(IF((CsDJ[JEV Number]=TRIM($T110))*(CsDJ[Account Code]=TRIM(K123)),CsDJ[Credit]))</f>
        <v>0</v>
      </c>
      <c r="P123" s="1040">
        <f t="shared" ref="P123:P148" si="10">N123</f>
        <v>0</v>
      </c>
      <c r="Q123" s="1040"/>
      <c r="R123" s="1040"/>
      <c r="S123" s="1040">
        <f t="shared" ref="S123:S148" si="11">O123</f>
        <v>0</v>
      </c>
      <c r="T123" s="1040"/>
      <c r="U123" s="1040"/>
      <c r="V123" s="1041"/>
    </row>
    <row r="124" spans="1:22" x14ac:dyDescent="0.25">
      <c r="A124" s="1038"/>
      <c r="B124" s="1039"/>
      <c r="C124" s="1039"/>
      <c r="D124" s="1039"/>
      <c r="E124" s="1045" t="str">
        <f t="shared" si="8"/>
        <v/>
      </c>
      <c r="F124" s="1046"/>
      <c r="G124" s="1046"/>
      <c r="H124" s="1046"/>
      <c r="I124" s="1046"/>
      <c r="J124" s="1047"/>
      <c r="K124" s="133"/>
      <c r="L124" s="62" t="str">
        <f t="shared" si="9"/>
        <v/>
      </c>
      <c r="M124" s="14"/>
      <c r="N124" s="89">
        <f t="array" ref="N124">SUM(IF((CsDJ[JEV Number]=TRIM($T110))*(CsDJ[Account Code]=TRIM(K124)),CsDJ[Debit]))</f>
        <v>0</v>
      </c>
      <c r="O124" s="89">
        <f t="array" ref="O124">SUM(IF((CsDJ[JEV Number]=TRIM($T110))*(CsDJ[Account Code]=TRIM(K124)),CsDJ[Credit]))</f>
        <v>0</v>
      </c>
      <c r="P124" s="1040">
        <f t="shared" si="10"/>
        <v>0</v>
      </c>
      <c r="Q124" s="1040"/>
      <c r="R124" s="1040"/>
      <c r="S124" s="1040">
        <f t="shared" si="11"/>
        <v>0</v>
      </c>
      <c r="T124" s="1040"/>
      <c r="U124" s="1040"/>
      <c r="V124" s="1041"/>
    </row>
    <row r="125" spans="1:22" x14ac:dyDescent="0.25">
      <c r="A125" s="1038"/>
      <c r="B125" s="1039"/>
      <c r="C125" s="1039"/>
      <c r="D125" s="1039"/>
      <c r="E125" s="1045" t="str">
        <f t="shared" si="8"/>
        <v/>
      </c>
      <c r="F125" s="1046"/>
      <c r="G125" s="1046"/>
      <c r="H125" s="1046"/>
      <c r="I125" s="1046"/>
      <c r="J125" s="1047"/>
      <c r="K125" s="133"/>
      <c r="L125" s="62" t="str">
        <f t="shared" si="9"/>
        <v/>
      </c>
      <c r="M125" s="14"/>
      <c r="N125" s="89">
        <f t="array" ref="N125">SUM(IF((CsDJ[JEV Number]=TRIM($T110))*(CsDJ[Account Code]=TRIM(K125)),CsDJ[Debit]))</f>
        <v>0</v>
      </c>
      <c r="O125" s="89">
        <f t="array" ref="O125">SUM(IF((CsDJ[JEV Number]=TRIM($T110))*(CsDJ[Account Code]=TRIM(K125)),CsDJ[Credit]))</f>
        <v>0</v>
      </c>
      <c r="P125" s="1040">
        <f t="shared" si="10"/>
        <v>0</v>
      </c>
      <c r="Q125" s="1040"/>
      <c r="R125" s="1040"/>
      <c r="S125" s="1040">
        <f t="shared" si="11"/>
        <v>0</v>
      </c>
      <c r="T125" s="1040"/>
      <c r="U125" s="1040"/>
      <c r="V125" s="1041"/>
    </row>
    <row r="126" spans="1:22" x14ac:dyDescent="0.25">
      <c r="A126" s="1038"/>
      <c r="B126" s="1039"/>
      <c r="C126" s="1039"/>
      <c r="D126" s="1039"/>
      <c r="E126" s="1045" t="str">
        <f t="shared" si="8"/>
        <v/>
      </c>
      <c r="F126" s="1046"/>
      <c r="G126" s="1046"/>
      <c r="H126" s="1046"/>
      <c r="I126" s="1046"/>
      <c r="J126" s="1047"/>
      <c r="K126" s="133"/>
      <c r="L126" s="62" t="str">
        <f t="shared" si="9"/>
        <v/>
      </c>
      <c r="M126" s="14"/>
      <c r="N126" s="89">
        <f t="array" ref="N126">SUM(IF((CsDJ[JEV Number]=TRIM($T110))*(CsDJ[Account Code]=TRIM(K126)),CsDJ[Debit]))</f>
        <v>0</v>
      </c>
      <c r="O126" s="89">
        <f t="array" ref="O126">SUM(IF((CsDJ[JEV Number]=TRIM($T110))*(CsDJ[Account Code]=TRIM(K126)),CsDJ[Credit]))</f>
        <v>0</v>
      </c>
      <c r="P126" s="1040">
        <f t="shared" si="10"/>
        <v>0</v>
      </c>
      <c r="Q126" s="1040"/>
      <c r="R126" s="1040"/>
      <c r="S126" s="1040">
        <f t="shared" si="11"/>
        <v>0</v>
      </c>
      <c r="T126" s="1040"/>
      <c r="U126" s="1040"/>
      <c r="V126" s="1041"/>
    </row>
    <row r="127" spans="1:22" x14ac:dyDescent="0.25">
      <c r="A127" s="1038"/>
      <c r="B127" s="1039"/>
      <c r="C127" s="1039"/>
      <c r="D127" s="1039"/>
      <c r="E127" s="1045" t="str">
        <f t="shared" si="8"/>
        <v/>
      </c>
      <c r="F127" s="1046"/>
      <c r="G127" s="1046"/>
      <c r="H127" s="1046"/>
      <c r="I127" s="1046"/>
      <c r="J127" s="1047"/>
      <c r="K127" s="133"/>
      <c r="L127" s="62" t="str">
        <f t="shared" si="9"/>
        <v/>
      </c>
      <c r="M127" s="14"/>
      <c r="N127" s="89">
        <f t="array" ref="N127">SUM(IF((CsDJ[JEV Number]=TRIM($T110))*(CsDJ[Account Code]=TRIM(K127)),CsDJ[Debit]))</f>
        <v>0</v>
      </c>
      <c r="O127" s="89">
        <f t="array" ref="O127">SUM(IF((CsDJ[JEV Number]=TRIM($T110))*(CsDJ[Account Code]=TRIM(K127)),CsDJ[Credit]))</f>
        <v>0</v>
      </c>
      <c r="P127" s="1040">
        <f t="shared" si="10"/>
        <v>0</v>
      </c>
      <c r="Q127" s="1040"/>
      <c r="R127" s="1040"/>
      <c r="S127" s="1040">
        <f t="shared" si="11"/>
        <v>0</v>
      </c>
      <c r="T127" s="1040"/>
      <c r="U127" s="1040"/>
      <c r="V127" s="1041"/>
    </row>
    <row r="128" spans="1:22" x14ac:dyDescent="0.25">
      <c r="A128" s="1038"/>
      <c r="B128" s="1039"/>
      <c r="C128" s="1039"/>
      <c r="D128" s="1039"/>
      <c r="E128" s="1045" t="str">
        <f t="shared" si="8"/>
        <v/>
      </c>
      <c r="F128" s="1046"/>
      <c r="G128" s="1046"/>
      <c r="H128" s="1046"/>
      <c r="I128" s="1046"/>
      <c r="J128" s="1047"/>
      <c r="K128" s="133"/>
      <c r="L128" s="62" t="str">
        <f t="shared" si="9"/>
        <v/>
      </c>
      <c r="M128" s="14"/>
      <c r="N128" s="89">
        <f t="array" ref="N128">SUM(IF((CsDJ[JEV Number]=TRIM($T110))*(CsDJ[Account Code]=TRIM(K128)),CsDJ[Debit]))</f>
        <v>0</v>
      </c>
      <c r="O128" s="89">
        <f t="array" ref="O128">SUM(IF((CsDJ[JEV Number]=TRIM($T110))*(CsDJ[Account Code]=TRIM(K128)),CsDJ[Credit]))</f>
        <v>0</v>
      </c>
      <c r="P128" s="1040">
        <f t="shared" si="10"/>
        <v>0</v>
      </c>
      <c r="Q128" s="1040"/>
      <c r="R128" s="1040"/>
      <c r="S128" s="1040">
        <f t="shared" si="11"/>
        <v>0</v>
      </c>
      <c r="T128" s="1040"/>
      <c r="U128" s="1040"/>
      <c r="V128" s="1041"/>
    </row>
    <row r="129" spans="1:22" x14ac:dyDescent="0.25">
      <c r="A129" s="1038"/>
      <c r="B129" s="1039"/>
      <c r="C129" s="1039"/>
      <c r="D129" s="1039"/>
      <c r="E129" s="1045" t="str">
        <f t="shared" si="8"/>
        <v/>
      </c>
      <c r="F129" s="1046"/>
      <c r="G129" s="1046"/>
      <c r="H129" s="1046"/>
      <c r="I129" s="1046"/>
      <c r="J129" s="1047"/>
      <c r="K129" s="134"/>
      <c r="L129" s="62" t="str">
        <f t="shared" si="9"/>
        <v/>
      </c>
      <c r="M129" s="14"/>
      <c r="N129" s="89">
        <f t="array" ref="N129">SUM(IF((CsDJ[JEV Number]=TRIM($T110))*(CsDJ[Account Code]=TRIM(K129)),CsDJ[Debit]))</f>
        <v>0</v>
      </c>
      <c r="O129" s="89">
        <f t="array" ref="O129">SUM(IF((CsDJ[JEV Number]=TRIM($T110))*(CsDJ[Account Code]=TRIM(K129)),CsDJ[Credit]))</f>
        <v>0</v>
      </c>
      <c r="P129" s="1040">
        <f t="shared" si="10"/>
        <v>0</v>
      </c>
      <c r="Q129" s="1040"/>
      <c r="R129" s="1040"/>
      <c r="S129" s="1040">
        <f t="shared" si="11"/>
        <v>0</v>
      </c>
      <c r="T129" s="1040"/>
      <c r="U129" s="1040"/>
      <c r="V129" s="1041"/>
    </row>
    <row r="130" spans="1:22" x14ac:dyDescent="0.25">
      <c r="A130" s="1038"/>
      <c r="B130" s="1039"/>
      <c r="C130" s="1039"/>
      <c r="D130" s="1039"/>
      <c r="E130" s="1045" t="str">
        <f t="shared" si="8"/>
        <v/>
      </c>
      <c r="F130" s="1046"/>
      <c r="G130" s="1046"/>
      <c r="H130" s="1046"/>
      <c r="I130" s="1046"/>
      <c r="J130" s="1047"/>
      <c r="K130" s="134"/>
      <c r="L130" s="62" t="str">
        <f t="shared" si="9"/>
        <v/>
      </c>
      <c r="M130" s="14"/>
      <c r="N130" s="89">
        <f t="array" ref="N130">SUM(IF((CsDJ[JEV Number]=TRIM($T110))*(CsDJ[Account Code]=TRIM(K130)),CsDJ[Debit]))</f>
        <v>0</v>
      </c>
      <c r="O130" s="89">
        <f t="array" ref="O130">SUM(IF((CsDJ[JEV Number]=TRIM($T110))*(CsDJ[Account Code]=TRIM(K130)),CsDJ[Credit]))</f>
        <v>0</v>
      </c>
      <c r="P130" s="1040">
        <f t="shared" si="10"/>
        <v>0</v>
      </c>
      <c r="Q130" s="1040"/>
      <c r="R130" s="1040"/>
      <c r="S130" s="1040">
        <f t="shared" si="11"/>
        <v>0</v>
      </c>
      <c r="T130" s="1040"/>
      <c r="U130" s="1040"/>
      <c r="V130" s="1041"/>
    </row>
    <row r="131" spans="1:22" x14ac:dyDescent="0.25">
      <c r="A131" s="1038"/>
      <c r="B131" s="1039"/>
      <c r="C131" s="1039"/>
      <c r="D131" s="1039"/>
      <c r="E131" s="1045" t="str">
        <f t="shared" si="8"/>
        <v/>
      </c>
      <c r="F131" s="1046"/>
      <c r="G131" s="1046"/>
      <c r="H131" s="1046"/>
      <c r="I131" s="1046"/>
      <c r="J131" s="1047"/>
      <c r="K131" s="134"/>
      <c r="L131" s="62" t="str">
        <f t="shared" si="9"/>
        <v/>
      </c>
      <c r="M131" s="14"/>
      <c r="N131" s="89">
        <f t="array" ref="N131">SUM(IF((CsDJ[JEV Number]=TRIM($T110))*(CsDJ[Account Code]=TRIM(K131)),CsDJ[Debit]))</f>
        <v>0</v>
      </c>
      <c r="O131" s="89">
        <f t="array" ref="O131">SUM(IF((CsDJ[JEV Number]=TRIM($T110))*(CsDJ[Account Code]=TRIM(K131)),CsDJ[Credit]))</f>
        <v>0</v>
      </c>
      <c r="P131" s="1040">
        <f t="shared" si="10"/>
        <v>0</v>
      </c>
      <c r="Q131" s="1040"/>
      <c r="R131" s="1040"/>
      <c r="S131" s="1040">
        <f t="shared" si="11"/>
        <v>0</v>
      </c>
      <c r="T131" s="1040"/>
      <c r="U131" s="1040"/>
      <c r="V131" s="1041"/>
    </row>
    <row r="132" spans="1:22" x14ac:dyDescent="0.25">
      <c r="A132" s="1038"/>
      <c r="B132" s="1039"/>
      <c r="C132" s="1039"/>
      <c r="D132" s="1039"/>
      <c r="E132" s="1045" t="str">
        <f t="shared" si="8"/>
        <v/>
      </c>
      <c r="F132" s="1046"/>
      <c r="G132" s="1046"/>
      <c r="H132" s="1046"/>
      <c r="I132" s="1046"/>
      <c r="J132" s="1047"/>
      <c r="K132" s="134"/>
      <c r="L132" s="62" t="str">
        <f t="shared" si="9"/>
        <v/>
      </c>
      <c r="M132" s="14"/>
      <c r="N132" s="89">
        <f t="array" ref="N132">SUM(IF((CsDJ[JEV Number]=TRIM($T110))*(CsDJ[Account Code]=TRIM(K132)),CsDJ[Debit]))</f>
        <v>0</v>
      </c>
      <c r="O132" s="89">
        <f t="array" ref="O132">SUM(IF((CsDJ[JEV Number]=TRIM($T110))*(CsDJ[Account Code]=TRIM(K132)),CsDJ[Credit]))</f>
        <v>0</v>
      </c>
      <c r="P132" s="1040">
        <f t="shared" si="10"/>
        <v>0</v>
      </c>
      <c r="Q132" s="1040"/>
      <c r="R132" s="1040"/>
      <c r="S132" s="1040">
        <f t="shared" si="11"/>
        <v>0</v>
      </c>
      <c r="T132" s="1040"/>
      <c r="U132" s="1040"/>
      <c r="V132" s="1041"/>
    </row>
    <row r="133" spans="1:22" x14ac:dyDescent="0.25">
      <c r="A133" s="1038"/>
      <c r="B133" s="1039"/>
      <c r="C133" s="1039"/>
      <c r="D133" s="1039"/>
      <c r="E133" s="1045" t="str">
        <f t="shared" si="8"/>
        <v/>
      </c>
      <c r="F133" s="1046"/>
      <c r="G133" s="1046"/>
      <c r="H133" s="1046"/>
      <c r="I133" s="1046"/>
      <c r="J133" s="1047"/>
      <c r="K133" s="134"/>
      <c r="L133" s="62" t="str">
        <f t="shared" si="9"/>
        <v/>
      </c>
      <c r="M133" s="14"/>
      <c r="N133" s="89">
        <f t="array" ref="N133">SUM(IF((CsDJ[JEV Number]=TRIM($T110))*(CsDJ[Account Code]=TRIM(K133)),CsDJ[Debit]))</f>
        <v>0</v>
      </c>
      <c r="O133" s="89">
        <f t="array" ref="O133">SUM(IF((CsDJ[JEV Number]=TRIM($T110))*(CsDJ[Account Code]=TRIM(K133)),CsDJ[Credit]))</f>
        <v>0</v>
      </c>
      <c r="P133" s="1040">
        <f t="shared" si="10"/>
        <v>0</v>
      </c>
      <c r="Q133" s="1040"/>
      <c r="R133" s="1040"/>
      <c r="S133" s="1040">
        <f t="shared" si="11"/>
        <v>0</v>
      </c>
      <c r="T133" s="1040"/>
      <c r="U133" s="1040"/>
      <c r="V133" s="1041"/>
    </row>
    <row r="134" spans="1:22" x14ac:dyDescent="0.25">
      <c r="A134" s="1038"/>
      <c r="B134" s="1039"/>
      <c r="C134" s="1039"/>
      <c r="D134" s="1039"/>
      <c r="E134" s="1045" t="str">
        <f t="shared" si="8"/>
        <v/>
      </c>
      <c r="F134" s="1046"/>
      <c r="G134" s="1046"/>
      <c r="H134" s="1046"/>
      <c r="I134" s="1046"/>
      <c r="J134" s="1047"/>
      <c r="K134" s="134"/>
      <c r="L134" s="62" t="str">
        <f t="shared" si="9"/>
        <v/>
      </c>
      <c r="M134" s="14"/>
      <c r="N134" s="89">
        <f t="array" ref="N134">SUM(IF((CsDJ[JEV Number]=TRIM($T110))*(CsDJ[Account Code]=TRIM(K134)),CsDJ[Debit]))</f>
        <v>0</v>
      </c>
      <c r="O134" s="89">
        <f t="array" ref="O134">SUM(IF((CsDJ[JEV Number]=TRIM($T110))*(CsDJ[Account Code]=TRIM(K134)),CsDJ[Credit]))</f>
        <v>0</v>
      </c>
      <c r="P134" s="1040">
        <f t="shared" si="10"/>
        <v>0</v>
      </c>
      <c r="Q134" s="1040"/>
      <c r="R134" s="1040"/>
      <c r="S134" s="1040">
        <f t="shared" si="11"/>
        <v>0</v>
      </c>
      <c r="T134" s="1040"/>
      <c r="U134" s="1040"/>
      <c r="V134" s="1041"/>
    </row>
    <row r="135" spans="1:22" x14ac:dyDescent="0.25">
      <c r="A135" s="1038"/>
      <c r="B135" s="1039"/>
      <c r="C135" s="1039"/>
      <c r="D135" s="1039"/>
      <c r="E135" s="1045" t="str">
        <f t="shared" si="8"/>
        <v/>
      </c>
      <c r="F135" s="1046"/>
      <c r="G135" s="1046"/>
      <c r="H135" s="1046"/>
      <c r="I135" s="1046"/>
      <c r="J135" s="1047"/>
      <c r="K135" s="134"/>
      <c r="L135" s="62" t="str">
        <f t="shared" si="9"/>
        <v/>
      </c>
      <c r="M135" s="14"/>
      <c r="N135" s="89">
        <f t="array" ref="N135">SUM(IF((CsDJ[JEV Number]=TRIM($T110))*(CsDJ[Account Code]=TRIM(K135)),CsDJ[Debit]))</f>
        <v>0</v>
      </c>
      <c r="O135" s="89">
        <f t="array" ref="O135">SUM(IF((CsDJ[JEV Number]=TRIM($T110))*(CsDJ[Account Code]=TRIM(K135)),CsDJ[Credit]))</f>
        <v>0</v>
      </c>
      <c r="P135" s="1040">
        <f t="shared" si="10"/>
        <v>0</v>
      </c>
      <c r="Q135" s="1040"/>
      <c r="R135" s="1040"/>
      <c r="S135" s="1040">
        <f t="shared" si="11"/>
        <v>0</v>
      </c>
      <c r="T135" s="1040"/>
      <c r="U135" s="1040"/>
      <c r="V135" s="1041"/>
    </row>
    <row r="136" spans="1:22" x14ac:dyDescent="0.25">
      <c r="A136" s="1038"/>
      <c r="B136" s="1039"/>
      <c r="C136" s="1039"/>
      <c r="D136" s="1039"/>
      <c r="E136" s="1045" t="str">
        <f t="shared" si="8"/>
        <v/>
      </c>
      <c r="F136" s="1046"/>
      <c r="G136" s="1046"/>
      <c r="H136" s="1046"/>
      <c r="I136" s="1046"/>
      <c r="J136" s="1047"/>
      <c r="K136" s="134"/>
      <c r="L136" s="62" t="str">
        <f t="shared" si="9"/>
        <v/>
      </c>
      <c r="M136" s="14"/>
      <c r="N136" s="89">
        <f t="array" ref="N136">SUM(IF((CsDJ[JEV Number]=TRIM($T110))*(CsDJ[Account Code]=TRIM(K136)),CsDJ[Debit]))</f>
        <v>0</v>
      </c>
      <c r="O136" s="89">
        <f t="array" ref="O136">SUM(IF((CsDJ[JEV Number]=TRIM($T110))*(CsDJ[Account Code]=TRIM(K136)),CsDJ[Credit]))</f>
        <v>0</v>
      </c>
      <c r="P136" s="1040">
        <f t="shared" si="10"/>
        <v>0</v>
      </c>
      <c r="Q136" s="1040"/>
      <c r="R136" s="1040"/>
      <c r="S136" s="1040">
        <f t="shared" si="11"/>
        <v>0</v>
      </c>
      <c r="T136" s="1040"/>
      <c r="U136" s="1040"/>
      <c r="V136" s="1041"/>
    </row>
    <row r="137" spans="1:22" x14ac:dyDescent="0.25">
      <c r="A137" s="1038"/>
      <c r="B137" s="1039"/>
      <c r="C137" s="1039"/>
      <c r="D137" s="1039"/>
      <c r="E137" s="1045" t="str">
        <f t="shared" si="8"/>
        <v/>
      </c>
      <c r="F137" s="1046"/>
      <c r="G137" s="1046"/>
      <c r="H137" s="1046"/>
      <c r="I137" s="1046"/>
      <c r="J137" s="1047"/>
      <c r="K137" s="134"/>
      <c r="L137" s="62" t="str">
        <f t="shared" si="9"/>
        <v/>
      </c>
      <c r="M137" s="14"/>
      <c r="N137" s="89">
        <f t="array" ref="N137">SUM(IF((CsDJ[JEV Number]=TRIM($T110))*(CsDJ[Account Code]=TRIM(K137)),CsDJ[Debit]))</f>
        <v>0</v>
      </c>
      <c r="O137" s="89">
        <f t="array" ref="O137">SUM(IF((CsDJ[JEV Number]=TRIM($T110))*(CsDJ[Account Code]=TRIM(K137)),CsDJ[Credit]))</f>
        <v>0</v>
      </c>
      <c r="P137" s="1040">
        <f t="shared" si="10"/>
        <v>0</v>
      </c>
      <c r="Q137" s="1040"/>
      <c r="R137" s="1040"/>
      <c r="S137" s="1040">
        <f t="shared" si="11"/>
        <v>0</v>
      </c>
      <c r="T137" s="1040"/>
      <c r="U137" s="1040"/>
      <c r="V137" s="1041"/>
    </row>
    <row r="138" spans="1:22" x14ac:dyDescent="0.25">
      <c r="A138" s="1038"/>
      <c r="B138" s="1039"/>
      <c r="C138" s="1039"/>
      <c r="D138" s="1039"/>
      <c r="E138" s="1045" t="str">
        <f t="shared" si="8"/>
        <v/>
      </c>
      <c r="F138" s="1046"/>
      <c r="G138" s="1046"/>
      <c r="H138" s="1046"/>
      <c r="I138" s="1046"/>
      <c r="J138" s="1047"/>
      <c r="K138" s="134"/>
      <c r="L138" s="62" t="str">
        <f t="shared" si="9"/>
        <v/>
      </c>
      <c r="M138" s="14"/>
      <c r="N138" s="89">
        <f t="array" ref="N138">SUM(IF((CsDJ[JEV Number]=TRIM($T110))*(CsDJ[Account Code]=TRIM(K138)),CsDJ[Debit]))</f>
        <v>0</v>
      </c>
      <c r="O138" s="89">
        <f t="array" ref="O138">SUM(IF((CsDJ[JEV Number]=TRIM($T110))*(CsDJ[Account Code]=TRIM(K138)),CsDJ[Credit]))</f>
        <v>0</v>
      </c>
      <c r="P138" s="1040">
        <f t="shared" si="10"/>
        <v>0</v>
      </c>
      <c r="Q138" s="1040"/>
      <c r="R138" s="1040"/>
      <c r="S138" s="1040">
        <f t="shared" si="11"/>
        <v>0</v>
      </c>
      <c r="T138" s="1040"/>
      <c r="U138" s="1040"/>
      <c r="V138" s="1041"/>
    </row>
    <row r="139" spans="1:22" x14ac:dyDescent="0.25">
      <c r="A139" s="1038"/>
      <c r="B139" s="1039"/>
      <c r="C139" s="1039"/>
      <c r="D139" s="1039"/>
      <c r="E139" s="1045" t="str">
        <f t="shared" si="8"/>
        <v/>
      </c>
      <c r="F139" s="1046"/>
      <c r="G139" s="1046"/>
      <c r="H139" s="1046"/>
      <c r="I139" s="1046"/>
      <c r="J139" s="1047"/>
      <c r="K139" s="134"/>
      <c r="L139" s="62" t="str">
        <f t="shared" si="9"/>
        <v/>
      </c>
      <c r="M139" s="14"/>
      <c r="N139" s="89">
        <f t="array" ref="N139">SUM(IF((CsDJ[JEV Number]=TRIM($T110))*(CsDJ[Account Code]=TRIM(K139)),CsDJ[Debit]))</f>
        <v>0</v>
      </c>
      <c r="O139" s="89">
        <f t="array" ref="O139">SUM(IF((CsDJ[JEV Number]=TRIM($T110))*(CsDJ[Account Code]=TRIM(K139)),CsDJ[Credit]))</f>
        <v>0</v>
      </c>
      <c r="P139" s="1040">
        <f t="shared" si="10"/>
        <v>0</v>
      </c>
      <c r="Q139" s="1040"/>
      <c r="R139" s="1040"/>
      <c r="S139" s="1040">
        <f t="shared" si="11"/>
        <v>0</v>
      </c>
      <c r="T139" s="1040"/>
      <c r="U139" s="1040"/>
      <c r="V139" s="1041"/>
    </row>
    <row r="140" spans="1:22" x14ac:dyDescent="0.25">
      <c r="A140" s="1038"/>
      <c r="B140" s="1039"/>
      <c r="C140" s="1039"/>
      <c r="D140" s="1039"/>
      <c r="E140" s="1045" t="str">
        <f t="shared" si="8"/>
        <v/>
      </c>
      <c r="F140" s="1046"/>
      <c r="G140" s="1046"/>
      <c r="H140" s="1046"/>
      <c r="I140" s="1046"/>
      <c r="J140" s="1047"/>
      <c r="K140" s="134"/>
      <c r="L140" s="62" t="str">
        <f t="shared" si="9"/>
        <v/>
      </c>
      <c r="M140" s="14"/>
      <c r="N140" s="89">
        <f t="array" ref="N140">SUM(IF((CsDJ[JEV Number]=TRIM($T110))*(CsDJ[Account Code]=TRIM(K140)),CsDJ[Debit]))</f>
        <v>0</v>
      </c>
      <c r="O140" s="89">
        <f t="array" ref="O140">SUM(IF((CsDJ[JEV Number]=TRIM($T110))*(CsDJ[Account Code]=TRIM(K140)),CsDJ[Credit]))</f>
        <v>0</v>
      </c>
      <c r="P140" s="1040">
        <f t="shared" si="10"/>
        <v>0</v>
      </c>
      <c r="Q140" s="1040"/>
      <c r="R140" s="1040"/>
      <c r="S140" s="1040">
        <f t="shared" si="11"/>
        <v>0</v>
      </c>
      <c r="T140" s="1040"/>
      <c r="U140" s="1040"/>
      <c r="V140" s="1041"/>
    </row>
    <row r="141" spans="1:22" x14ac:dyDescent="0.25">
      <c r="A141" s="1038"/>
      <c r="B141" s="1039"/>
      <c r="C141" s="1039"/>
      <c r="D141" s="1039"/>
      <c r="E141" s="1045" t="str">
        <f t="shared" si="8"/>
        <v/>
      </c>
      <c r="F141" s="1046"/>
      <c r="G141" s="1046"/>
      <c r="H141" s="1046"/>
      <c r="I141" s="1046"/>
      <c r="J141" s="1047"/>
      <c r="K141" s="134"/>
      <c r="L141" s="62" t="str">
        <f t="shared" si="9"/>
        <v/>
      </c>
      <c r="M141" s="14"/>
      <c r="N141" s="89">
        <f t="array" ref="N141">SUM(IF((CsDJ[JEV Number]=TRIM($T110))*(CsDJ[Account Code]=TRIM(K141)),CsDJ[Debit]))</f>
        <v>0</v>
      </c>
      <c r="O141" s="89">
        <f t="array" ref="O141">SUM(IF((CsDJ[JEV Number]=TRIM($T110))*(CsDJ[Account Code]=TRIM(K141)),CsDJ[Credit]))</f>
        <v>0</v>
      </c>
      <c r="P141" s="1040">
        <f t="shared" si="10"/>
        <v>0</v>
      </c>
      <c r="Q141" s="1040"/>
      <c r="R141" s="1040"/>
      <c r="S141" s="1040">
        <f t="shared" si="11"/>
        <v>0</v>
      </c>
      <c r="T141" s="1040"/>
      <c r="U141" s="1040"/>
      <c r="V141" s="1041"/>
    </row>
    <row r="142" spans="1:22" x14ac:dyDescent="0.25">
      <c r="A142" s="1038"/>
      <c r="B142" s="1039"/>
      <c r="C142" s="1039"/>
      <c r="D142" s="1039"/>
      <c r="E142" s="1045" t="str">
        <f t="shared" si="8"/>
        <v/>
      </c>
      <c r="F142" s="1046"/>
      <c r="G142" s="1046"/>
      <c r="H142" s="1046"/>
      <c r="I142" s="1046"/>
      <c r="J142" s="1047"/>
      <c r="K142" s="134"/>
      <c r="L142" s="62" t="str">
        <f t="shared" si="9"/>
        <v/>
      </c>
      <c r="M142" s="14"/>
      <c r="N142" s="89">
        <f t="array" ref="N142">SUM(IF((CsDJ[JEV Number]=TRIM($T110))*(CsDJ[Account Code]=TRIM(K142)),CsDJ[Debit]))</f>
        <v>0</v>
      </c>
      <c r="O142" s="89">
        <f t="array" ref="O142">SUM(IF((CsDJ[JEV Number]=TRIM($T110))*(CsDJ[Account Code]=TRIM(K142)),CsDJ[Credit]))</f>
        <v>0</v>
      </c>
      <c r="P142" s="1040">
        <f t="shared" si="10"/>
        <v>0</v>
      </c>
      <c r="Q142" s="1040"/>
      <c r="R142" s="1040"/>
      <c r="S142" s="1040">
        <f t="shared" si="11"/>
        <v>0</v>
      </c>
      <c r="T142" s="1040"/>
      <c r="U142" s="1040"/>
      <c r="V142" s="1041"/>
    </row>
    <row r="143" spans="1:22" x14ac:dyDescent="0.25">
      <c r="A143" s="1038"/>
      <c r="B143" s="1039"/>
      <c r="C143" s="1039"/>
      <c r="D143" s="1039"/>
      <c r="E143" s="1045" t="str">
        <f t="shared" si="8"/>
        <v/>
      </c>
      <c r="F143" s="1046"/>
      <c r="G143" s="1046"/>
      <c r="H143" s="1046"/>
      <c r="I143" s="1046"/>
      <c r="J143" s="1047"/>
      <c r="K143" s="134"/>
      <c r="L143" s="62" t="str">
        <f t="shared" si="9"/>
        <v/>
      </c>
      <c r="M143" s="14"/>
      <c r="N143" s="89">
        <f t="array" ref="N143">SUM(IF((CsDJ[JEV Number]=TRIM($T110))*(CsDJ[Account Code]=TRIM(K143)),CsDJ[Debit]))</f>
        <v>0</v>
      </c>
      <c r="O143" s="89">
        <f t="array" ref="O143">SUM(IF((CsDJ[JEV Number]=TRIM($T110))*(CsDJ[Account Code]=TRIM(K143)),CsDJ[Credit]))</f>
        <v>0</v>
      </c>
      <c r="P143" s="1040">
        <f t="shared" si="10"/>
        <v>0</v>
      </c>
      <c r="Q143" s="1040"/>
      <c r="R143" s="1040"/>
      <c r="S143" s="1040">
        <f t="shared" si="11"/>
        <v>0</v>
      </c>
      <c r="T143" s="1040"/>
      <c r="U143" s="1040"/>
      <c r="V143" s="1041"/>
    </row>
    <row r="144" spans="1:22" x14ac:dyDescent="0.25">
      <c r="A144" s="1038"/>
      <c r="B144" s="1039"/>
      <c r="C144" s="1039"/>
      <c r="D144" s="1039"/>
      <c r="E144" s="1108" t="s">
        <v>468</v>
      </c>
      <c r="F144" s="1109"/>
      <c r="G144" s="1109"/>
      <c r="H144" s="1109"/>
      <c r="I144" s="1109"/>
      <c r="J144" s="1110"/>
      <c r="K144" s="133"/>
      <c r="L144" s="62" t="str">
        <f t="shared" si="9"/>
        <v/>
      </c>
      <c r="M144" s="14"/>
      <c r="N144" s="89">
        <f t="array" ref="N144">SUM(IF((CsDJ[JEV Number]=TRIM($T110))*(CsDJ[Account Code]=TRIM(K144)),CsDJ[Debit]))</f>
        <v>0</v>
      </c>
      <c r="O144" s="89">
        <f t="array" ref="O144">SUM(IF((CsDJ[JEV Number]=TRIM($T110))*(CsDJ[Account Code]=TRIM(K144)),CsDJ[Credit]))</f>
        <v>0</v>
      </c>
      <c r="P144" s="1040">
        <f t="shared" si="10"/>
        <v>0</v>
      </c>
      <c r="Q144" s="1040"/>
      <c r="R144" s="1040"/>
      <c r="S144" s="1040">
        <f t="shared" si="11"/>
        <v>0</v>
      </c>
      <c r="T144" s="1040"/>
      <c r="U144" s="1040"/>
      <c r="V144" s="1041"/>
    </row>
    <row r="145" spans="1:22" x14ac:dyDescent="0.25">
      <c r="A145" s="1038"/>
      <c r="B145" s="1039"/>
      <c r="C145" s="1039"/>
      <c r="D145" s="1039"/>
      <c r="E145" s="1048" t="s">
        <v>457</v>
      </c>
      <c r="F145" s="1049"/>
      <c r="G145" s="1049"/>
      <c r="H145" s="1049"/>
      <c r="I145" s="1051">
        <f>T111</f>
        <v>0</v>
      </c>
      <c r="J145" s="1052"/>
      <c r="K145" s="133"/>
      <c r="L145" s="62" t="str">
        <f t="shared" si="9"/>
        <v/>
      </c>
      <c r="M145" s="14"/>
      <c r="N145" s="89">
        <f t="array" ref="N145">SUM(IF((CsDJ[JEV Number]=TRIM($T110))*(CsDJ[Account Code]=TRIM(K145)),CsDJ[Debit]))</f>
        <v>0</v>
      </c>
      <c r="O145" s="89">
        <f t="array" ref="O145">SUM(IF((CsDJ[JEV Number]=TRIM($T110))*(CsDJ[Account Code]=TRIM(K145)),CsDJ[Credit]))</f>
        <v>0</v>
      </c>
      <c r="P145" s="1040">
        <f t="shared" si="10"/>
        <v>0</v>
      </c>
      <c r="Q145" s="1040"/>
      <c r="R145" s="1040"/>
      <c r="S145" s="1040">
        <f t="shared" si="11"/>
        <v>0</v>
      </c>
      <c r="T145" s="1040"/>
      <c r="U145" s="1040"/>
      <c r="V145" s="1041"/>
    </row>
    <row r="146" spans="1:22" x14ac:dyDescent="0.25">
      <c r="A146" s="1038"/>
      <c r="B146" s="1039"/>
      <c r="C146" s="1039"/>
      <c r="D146" s="1039"/>
      <c r="E146" s="1048" t="s">
        <v>458</v>
      </c>
      <c r="F146" s="1049"/>
      <c r="G146" s="1049"/>
      <c r="H146" s="1049"/>
      <c r="I146" s="1106">
        <f>IF(T110=0,0,(IF(LOOKUP(T110,CsDJ[JEV Number],CsDJ[Sort Code])="1","MA. VIVIAN C. SALAS",IF(LOOKUP(T110,CsDJ[JEV Number],CsDJ[Sort Code])="2","LUZ R. DE COZAR",IF(LOOKUP(T110,CsDJ[JEV Number],CsDJ[Sort Code])="3","MINEONETTE A. DELA CRUZ",IF(LOOKUP(T110,CsDJ[JEV Number],CsDJ[Sort Code])="4","RESELLA B. LOPEZ"))))))</f>
        <v>0</v>
      </c>
      <c r="J146" s="1107"/>
      <c r="K146" s="133"/>
      <c r="L146" s="62" t="str">
        <f t="shared" si="9"/>
        <v/>
      </c>
      <c r="M146" s="14"/>
      <c r="N146" s="89">
        <f t="array" ref="N146">SUM(IF((CsDJ[JEV Number]=TRIM($T110))*(CsDJ[Account Code]=TRIM(K146)),CsDJ[Debit]))</f>
        <v>0</v>
      </c>
      <c r="O146" s="89">
        <f t="array" ref="O146">SUM(IF((CsDJ[JEV Number]=TRIM($T110))*(CsDJ[Account Code]=TRIM(K146)),CsDJ[Credit]))</f>
        <v>0</v>
      </c>
      <c r="P146" s="1040">
        <f t="shared" si="10"/>
        <v>0</v>
      </c>
      <c r="Q146" s="1040"/>
      <c r="R146" s="1040"/>
      <c r="S146" s="1040">
        <f t="shared" si="11"/>
        <v>0</v>
      </c>
      <c r="T146" s="1040"/>
      <c r="U146" s="1040"/>
      <c r="V146" s="1041"/>
    </row>
    <row r="147" spans="1:22" x14ac:dyDescent="0.25">
      <c r="A147" s="1038"/>
      <c r="B147" s="1039"/>
      <c r="C147" s="1039"/>
      <c r="D147" s="1039"/>
      <c r="E147" s="1048" t="s">
        <v>459</v>
      </c>
      <c r="F147" s="1049"/>
      <c r="G147" s="1049"/>
      <c r="H147" s="1049"/>
      <c r="I147" s="1043">
        <f>IF(I146="Ma. Vivian C. Salas","Regional Office", IF(I146="Luz R. De Cozar","BANE IMO", IF(I146="Mineonette A. Dela Cruz","PAMBAT IMO", IF(I146="Resella B. Lopez","TARZAM IMO",0))))</f>
        <v>0</v>
      </c>
      <c r="J147" s="1044"/>
      <c r="K147" s="133"/>
      <c r="L147" s="62" t="str">
        <f t="shared" si="9"/>
        <v/>
      </c>
      <c r="M147" s="14"/>
      <c r="N147" s="89">
        <f t="array" ref="N147">SUM(IF((CsDJ[JEV Number]=TRIM($T110))*(CsDJ[Account Code]=TRIM(K147)),CsDJ[Debit]))</f>
        <v>0</v>
      </c>
      <c r="O147" s="89">
        <f t="array" ref="O147">SUM(IF((CsDJ[JEV Number]=TRIM($T110))*(CsDJ[Account Code]=TRIM(K147)),CsDJ[Credit]))</f>
        <v>0</v>
      </c>
      <c r="P147" s="1040">
        <f t="shared" si="10"/>
        <v>0</v>
      </c>
      <c r="Q147" s="1040"/>
      <c r="R147" s="1040"/>
      <c r="S147" s="1040">
        <f t="shared" si="11"/>
        <v>0</v>
      </c>
      <c r="T147" s="1040"/>
      <c r="U147" s="1040"/>
      <c r="V147" s="1041"/>
    </row>
    <row r="148" spans="1:22" x14ac:dyDescent="0.25">
      <c r="A148" s="1038"/>
      <c r="B148" s="1039"/>
      <c r="C148" s="1039"/>
      <c r="D148" s="1039"/>
      <c r="E148" s="1048"/>
      <c r="F148" s="1049"/>
      <c r="G148" s="1049"/>
      <c r="H148" s="1049"/>
      <c r="I148" s="1049"/>
      <c r="J148" s="1050"/>
      <c r="K148" s="133"/>
      <c r="L148" s="62" t="str">
        <f t="shared" si="9"/>
        <v/>
      </c>
      <c r="M148" s="14"/>
      <c r="N148" s="89">
        <f t="array" ref="N148">SUM(IF((CsDJ[JEV Number]=TRIM($T110))*(CsDJ[Account Code]=TRIM(K148)),CsDJ[Debit]))</f>
        <v>0</v>
      </c>
      <c r="O148" s="89">
        <f t="array" ref="O148">SUM(IF((CsDJ[JEV Number]=TRIM($T110))*(CsDJ[Account Code]=TRIM(K148)),CsDJ[Credit]))</f>
        <v>0</v>
      </c>
      <c r="P148" s="1040">
        <f t="shared" si="10"/>
        <v>0</v>
      </c>
      <c r="Q148" s="1040"/>
      <c r="R148" s="1040"/>
      <c r="S148" s="1040">
        <f t="shared" si="11"/>
        <v>0</v>
      </c>
      <c r="T148" s="1040"/>
      <c r="U148" s="1040"/>
      <c r="V148" s="1041"/>
    </row>
    <row r="149" spans="1:22" ht="16.5" thickBot="1" x14ac:dyDescent="0.3">
      <c r="A149" s="1091"/>
      <c r="B149" s="1092"/>
      <c r="C149" s="1092"/>
      <c r="D149" s="1092"/>
      <c r="E149" s="1092"/>
      <c r="F149" s="1092"/>
      <c r="G149" s="1092"/>
      <c r="H149" s="1092"/>
      <c r="I149" s="1092"/>
      <c r="J149" s="1092"/>
      <c r="K149" s="1092"/>
      <c r="L149" s="1092"/>
      <c r="M149" s="1093"/>
      <c r="N149" s="88"/>
      <c r="O149" s="88"/>
      <c r="P149" s="1094">
        <f>SUM(P119:R148)</f>
        <v>0</v>
      </c>
      <c r="Q149" s="1094"/>
      <c r="R149" s="1094"/>
      <c r="S149" s="1094">
        <f>SUM(S119:V148)</f>
        <v>0</v>
      </c>
      <c r="T149" s="1094"/>
      <c r="U149" s="1094"/>
      <c r="V149" s="1095"/>
    </row>
    <row r="150" spans="1:22" x14ac:dyDescent="0.25">
      <c r="A150" s="63"/>
      <c r="B150" s="64"/>
      <c r="C150" s="64"/>
      <c r="D150" s="64"/>
      <c r="E150" s="64"/>
      <c r="F150" s="64"/>
      <c r="G150" s="64"/>
      <c r="H150" s="64"/>
      <c r="I150" s="65"/>
      <c r="J150" s="64"/>
      <c r="K150" s="66"/>
      <c r="L150" s="64"/>
      <c r="M150" s="65"/>
      <c r="N150" s="64"/>
      <c r="O150" s="64"/>
      <c r="P150" s="1090"/>
      <c r="Q150" s="1090"/>
      <c r="R150" s="1090"/>
      <c r="S150" s="1090"/>
      <c r="T150" s="1090"/>
      <c r="U150" s="1090"/>
      <c r="V150" s="1096"/>
    </row>
    <row r="151" spans="1:22" x14ac:dyDescent="0.25">
      <c r="A151" s="67" t="s">
        <v>460</v>
      </c>
      <c r="B151"/>
      <c r="C151"/>
      <c r="D151"/>
      <c r="E151"/>
      <c r="F151"/>
      <c r="G151"/>
      <c r="H151"/>
      <c r="I151" s="68" t="s">
        <v>353</v>
      </c>
      <c r="J151" s="69"/>
      <c r="K151" s="69"/>
      <c r="L151"/>
      <c r="M151" s="68" t="s">
        <v>461</v>
      </c>
      <c r="N151" s="69"/>
      <c r="O151" s="69"/>
      <c r="P151" s="70"/>
      <c r="Q151" s="70"/>
      <c r="R151" s="70"/>
      <c r="S151" s="70"/>
      <c r="T151" s="70"/>
      <c r="U151" s="70"/>
      <c r="V151" s="71"/>
    </row>
    <row r="152" spans="1:22" x14ac:dyDescent="0.25">
      <c r="A152" s="37"/>
      <c r="B152"/>
      <c r="C152"/>
      <c r="D152"/>
      <c r="E152"/>
      <c r="F152"/>
      <c r="G152"/>
      <c r="H152"/>
      <c r="I152" s="72"/>
      <c r="J152"/>
      <c r="K152"/>
      <c r="L152"/>
      <c r="M152" s="72"/>
      <c r="N152"/>
      <c r="O152"/>
      <c r="P152"/>
      <c r="Q152"/>
      <c r="R152"/>
      <c r="S152"/>
      <c r="T152"/>
      <c r="U152"/>
      <c r="V152" s="73"/>
    </row>
    <row r="153" spans="1:22" x14ac:dyDescent="0.25">
      <c r="A153" s="74" t="s">
        <v>462</v>
      </c>
      <c r="B153" s="75"/>
      <c r="C153" s="75"/>
      <c r="D153" s="75"/>
      <c r="E153" s="75"/>
      <c r="F153" s="75"/>
      <c r="G153" s="75"/>
      <c r="H153" s="76"/>
      <c r="I153" s="77" t="s">
        <v>380</v>
      </c>
      <c r="J153" s="75"/>
      <c r="K153" s="75"/>
      <c r="L153" s="76"/>
      <c r="M153" s="77" t="s">
        <v>3</v>
      </c>
      <c r="N153" s="75"/>
      <c r="O153" s="75"/>
      <c r="P153" s="75"/>
      <c r="Q153" s="75"/>
      <c r="R153" s="75"/>
      <c r="S153" s="75"/>
      <c r="T153" s="75"/>
      <c r="U153" s="75"/>
      <c r="V153" s="78"/>
    </row>
    <row r="154" spans="1:22" x14ac:dyDescent="0.25">
      <c r="A154" s="79" t="s">
        <v>463</v>
      </c>
      <c r="B154" s="80"/>
      <c r="C154" s="80"/>
      <c r="D154" s="80"/>
      <c r="E154" s="80"/>
      <c r="F154" s="80"/>
      <c r="G154" s="80"/>
      <c r="H154" s="80"/>
      <c r="I154" s="81" t="s">
        <v>381</v>
      </c>
      <c r="J154" s="80"/>
      <c r="K154" s="80"/>
      <c r="L154" s="80"/>
      <c r="M154" s="81" t="s">
        <v>464</v>
      </c>
      <c r="N154" s="80"/>
      <c r="O154" s="80"/>
      <c r="P154" s="82"/>
      <c r="Q154" s="82"/>
      <c r="R154" s="82"/>
      <c r="S154" s="82"/>
      <c r="T154" s="82"/>
      <c r="U154" s="82"/>
      <c r="V154" s="83"/>
    </row>
    <row r="155" spans="1:22" ht="16.5" thickBot="1" x14ac:dyDescent="0.3">
      <c r="A155" s="84" t="s">
        <v>465</v>
      </c>
      <c r="B155" s="43"/>
      <c r="C155" s="43"/>
      <c r="D155" s="43"/>
      <c r="E155" s="43"/>
      <c r="F155" s="43"/>
      <c r="G155" s="43"/>
      <c r="H155" s="43"/>
      <c r="I155" s="85"/>
      <c r="J155" s="43"/>
      <c r="K155" s="43"/>
      <c r="L155" s="43"/>
      <c r="M155" s="85"/>
      <c r="N155" s="43"/>
      <c r="O155" s="43"/>
      <c r="P155" s="43"/>
      <c r="Q155" s="43"/>
      <c r="R155" s="43"/>
      <c r="S155" s="43"/>
      <c r="T155" s="43"/>
      <c r="U155" s="43"/>
      <c r="V155" s="44"/>
    </row>
    <row r="156" spans="1:22" ht="22.5" x14ac:dyDescent="0.25">
      <c r="A156" s="31" t="s">
        <v>441</v>
      </c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3"/>
      <c r="R156" s="1053">
        <f>+P196-S196</f>
        <v>0</v>
      </c>
      <c r="S156" s="1054"/>
      <c r="T156" s="1054"/>
      <c r="U156" s="1054"/>
      <c r="V156" s="1055"/>
    </row>
    <row r="157" spans="1:22" x14ac:dyDescent="0.25">
      <c r="A157" s="34" t="s">
        <v>442</v>
      </c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6"/>
      <c r="R157" s="37" t="s">
        <v>443</v>
      </c>
      <c r="S157"/>
      <c r="T157" s="1056"/>
      <c r="U157" s="1056"/>
      <c r="V157" s="1057"/>
    </row>
    <row r="158" spans="1:22" x14ac:dyDescent="0.25">
      <c r="A158" s="38" t="s">
        <v>444</v>
      </c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6"/>
      <c r="R158" s="37" t="s">
        <v>0</v>
      </c>
      <c r="S158"/>
      <c r="T158" s="1058">
        <f>IF(T157=0,0,(LOOKUP(T157,CsDJ[JEV Number],CsDJ[Date])))</f>
        <v>0</v>
      </c>
      <c r="U158" s="1058"/>
      <c r="V158" s="1059"/>
    </row>
    <row r="159" spans="1:22" ht="16.5" thickBot="1" x14ac:dyDescent="0.3">
      <c r="A159" s="39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1"/>
      <c r="R159" s="42"/>
      <c r="S159" s="43"/>
      <c r="T159" s="43"/>
      <c r="U159" s="43"/>
      <c r="V159" s="44"/>
    </row>
    <row r="160" spans="1:22" x14ac:dyDescent="0.25">
      <c r="A160" s="45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7"/>
      <c r="M160" s="46"/>
      <c r="N160" s="46"/>
      <c r="O160" s="46"/>
      <c r="P160" s="46"/>
      <c r="Q160" s="46"/>
      <c r="R160" s="46"/>
      <c r="S160" s="46"/>
      <c r="T160" s="46"/>
      <c r="U160" s="46"/>
      <c r="V160" s="48"/>
    </row>
    <row r="161" spans="1:22" x14ac:dyDescent="0.25">
      <c r="A161" s="49"/>
      <c r="B161" s="1060"/>
      <c r="C161" s="1060"/>
      <c r="D161" s="50" t="s">
        <v>445</v>
      </c>
      <c r="H161" s="51"/>
      <c r="I161" s="25" t="s">
        <v>447</v>
      </c>
      <c r="J161" s="132" t="s">
        <v>446</v>
      </c>
      <c r="K161" s="52" t="s">
        <v>448</v>
      </c>
      <c r="L161" s="52"/>
      <c r="Q161" s="1060"/>
      <c r="R161" s="1060"/>
      <c r="S161" s="50" t="s">
        <v>449</v>
      </c>
      <c r="T161" s="50"/>
      <c r="U161" s="50"/>
      <c r="V161" s="53"/>
    </row>
    <row r="162" spans="1:22" ht="16.5" thickBot="1" x14ac:dyDescent="0.3">
      <c r="A162" s="54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5"/>
      <c r="N162" s="55"/>
      <c r="O162" s="55"/>
      <c r="P162" s="55"/>
      <c r="Q162" s="55"/>
      <c r="R162" s="55"/>
      <c r="S162" s="55"/>
      <c r="T162" s="55"/>
      <c r="U162" s="55"/>
      <c r="V162" s="57"/>
    </row>
    <row r="163" spans="1:22" x14ac:dyDescent="0.25">
      <c r="A163" s="1061" t="s">
        <v>397</v>
      </c>
      <c r="B163" s="1062"/>
      <c r="C163" s="1062"/>
      <c r="D163" s="1063"/>
      <c r="E163" s="1070" t="s">
        <v>450</v>
      </c>
      <c r="F163" s="1070"/>
      <c r="G163" s="1070"/>
      <c r="H163" s="1070"/>
      <c r="I163" s="1070"/>
      <c r="J163" s="1070"/>
      <c r="K163" s="1070"/>
      <c r="L163" s="1070"/>
      <c r="M163" s="1070"/>
      <c r="N163" s="1070"/>
      <c r="O163" s="1070"/>
      <c r="P163" s="1070"/>
      <c r="Q163" s="1070"/>
      <c r="R163" s="1070"/>
      <c r="S163" s="1070"/>
      <c r="T163" s="1070"/>
      <c r="U163" s="1070"/>
      <c r="V163" s="1071"/>
    </row>
    <row r="164" spans="1:22" x14ac:dyDescent="0.25">
      <c r="A164" s="1064"/>
      <c r="B164" s="1065"/>
      <c r="C164" s="1065"/>
      <c r="D164" s="1066"/>
      <c r="E164" s="1072" t="s">
        <v>451</v>
      </c>
      <c r="F164" s="1072"/>
      <c r="G164" s="1072"/>
      <c r="H164" s="1072"/>
      <c r="I164" s="1072"/>
      <c r="J164" s="1072"/>
      <c r="K164" s="1074" t="s">
        <v>378</v>
      </c>
      <c r="L164" s="1074"/>
      <c r="M164" s="1072" t="s">
        <v>452</v>
      </c>
      <c r="N164" s="1075" t="s">
        <v>453</v>
      </c>
      <c r="O164" s="1076"/>
      <c r="P164" s="1076"/>
      <c r="Q164" s="1076"/>
      <c r="R164" s="1076"/>
      <c r="S164" s="1076"/>
      <c r="T164" s="1076"/>
      <c r="U164" s="1076"/>
      <c r="V164" s="1077"/>
    </row>
    <row r="165" spans="1:22" ht="16.5" customHeight="1" thickBot="1" x14ac:dyDescent="0.3">
      <c r="A165" s="1067"/>
      <c r="B165" s="1068"/>
      <c r="C165" s="1068"/>
      <c r="D165" s="1069"/>
      <c r="E165" s="1073"/>
      <c r="F165" s="1073"/>
      <c r="G165" s="1073"/>
      <c r="H165" s="1073"/>
      <c r="I165" s="1073"/>
      <c r="J165" s="1073"/>
      <c r="K165" s="58" t="s">
        <v>454</v>
      </c>
      <c r="L165" s="58" t="s">
        <v>455</v>
      </c>
      <c r="M165" s="1073"/>
      <c r="N165" s="87" t="s">
        <v>466</v>
      </c>
      <c r="O165" s="87" t="s">
        <v>467</v>
      </c>
      <c r="P165" s="1078" t="s">
        <v>1</v>
      </c>
      <c r="Q165" s="1079"/>
      <c r="R165" s="1080"/>
      <c r="S165" s="1078" t="s">
        <v>2</v>
      </c>
      <c r="T165" s="1079"/>
      <c r="U165" s="1079"/>
      <c r="V165" s="1081"/>
    </row>
    <row r="166" spans="1:22" ht="19.5" x14ac:dyDescent="0.3">
      <c r="A166" s="1082">
        <f>P196-S196</f>
        <v>0</v>
      </c>
      <c r="B166" s="1083"/>
      <c r="C166" s="1083"/>
      <c r="D166" s="1083"/>
      <c r="E166" s="1084" t="str">
        <f>Account!$G$1</f>
        <v>FUND 501 CARP</v>
      </c>
      <c r="F166" s="1085"/>
      <c r="G166" s="1085"/>
      <c r="H166" s="1085"/>
      <c r="I166" s="1085"/>
      <c r="J166" s="1086"/>
      <c r="K166" s="59"/>
      <c r="L166" s="59"/>
      <c r="M166" s="60"/>
      <c r="N166" s="60"/>
      <c r="O166" s="60"/>
      <c r="P166" s="1087"/>
      <c r="Q166" s="1087"/>
      <c r="R166" s="1087"/>
      <c r="S166" s="1087"/>
      <c r="T166" s="1087"/>
      <c r="U166" s="1087"/>
      <c r="V166" s="1088"/>
    </row>
    <row r="167" spans="1:22" x14ac:dyDescent="0.25">
      <c r="A167" s="1038"/>
      <c r="B167" s="1039"/>
      <c r="C167" s="1039"/>
      <c r="D167" s="1039"/>
      <c r="E167" s="1039"/>
      <c r="F167" s="1039"/>
      <c r="G167" s="1039"/>
      <c r="H167" s="1039"/>
      <c r="I167" s="1039"/>
      <c r="J167" s="1039"/>
      <c r="K167" s="61"/>
      <c r="L167" s="61"/>
      <c r="M167" s="14"/>
      <c r="N167" s="14"/>
      <c r="O167" s="14"/>
      <c r="P167" s="1039"/>
      <c r="Q167" s="1039"/>
      <c r="R167" s="1039"/>
      <c r="S167" s="1039"/>
      <c r="T167" s="1039"/>
      <c r="U167" s="1039"/>
      <c r="V167" s="1089"/>
    </row>
    <row r="168" spans="1:22" x14ac:dyDescent="0.25">
      <c r="A168" s="1038"/>
      <c r="B168" s="1039"/>
      <c r="C168" s="1039"/>
      <c r="D168" s="1039"/>
      <c r="E168" s="1045" t="str">
        <f t="shared" ref="E168:E190" si="12">IF(K168=0,"",(VLOOKUP((TRIM(K168)),Code,2,)))</f>
        <v/>
      </c>
      <c r="F168" s="1046"/>
      <c r="G168" s="1046"/>
      <c r="H168" s="1046"/>
      <c r="I168" s="1046"/>
      <c r="J168" s="1047"/>
      <c r="K168" s="133"/>
      <c r="L168" s="62" t="str">
        <f t="shared" ref="L168:L195" si="13">IF(K168=0,"",VLOOKUP((TRIM(K168)),Code,3,))</f>
        <v/>
      </c>
      <c r="M168" s="14"/>
      <c r="N168" s="89">
        <f t="array" ref="N168">SUM(IF((CsDJ[JEV Number]=TRIM($T157))*(CsDJ[Account Code]=TRIM(K168)),CsDJ[Debit]))</f>
        <v>0</v>
      </c>
      <c r="O168" s="89">
        <f t="array" ref="O168">SUM(IF((CsDJ[JEV Number]=TRIM($T157))*(CsDJ[Account Code]=TRIM(K168)),CsDJ[Credit]))</f>
        <v>0</v>
      </c>
      <c r="P168" s="1040">
        <f>N168</f>
        <v>0</v>
      </c>
      <c r="Q168" s="1040"/>
      <c r="R168" s="1040"/>
      <c r="S168" s="1040">
        <f>O168</f>
        <v>0</v>
      </c>
      <c r="T168" s="1040"/>
      <c r="U168" s="1040"/>
      <c r="V168" s="1041"/>
    </row>
    <row r="169" spans="1:22" x14ac:dyDescent="0.25">
      <c r="A169" s="1038"/>
      <c r="B169" s="1039"/>
      <c r="C169" s="1039"/>
      <c r="D169" s="1039"/>
      <c r="E169" s="1045" t="str">
        <f t="shared" si="12"/>
        <v/>
      </c>
      <c r="F169" s="1046"/>
      <c r="G169" s="1046"/>
      <c r="H169" s="1046"/>
      <c r="I169" s="1046"/>
      <c r="J169" s="1047"/>
      <c r="K169" s="133"/>
      <c r="L169" s="62" t="str">
        <f t="shared" si="13"/>
        <v/>
      </c>
      <c r="M169" s="14"/>
      <c r="N169" s="89">
        <f t="array" ref="N169">SUM(IF((CsDJ[JEV Number]=TRIM($T157))*(CsDJ[Account Code]=TRIM(K169)),CsDJ[Debit]))</f>
        <v>0</v>
      </c>
      <c r="O169" s="89">
        <f t="array" ref="O169">SUM(IF((CsDJ[JEV Number]=TRIM($T157))*(CsDJ[Account Code]=TRIM(K169)),CsDJ[Credit]))</f>
        <v>0</v>
      </c>
      <c r="P169" s="1040">
        <f>N169</f>
        <v>0</v>
      </c>
      <c r="Q169" s="1040"/>
      <c r="R169" s="1040"/>
      <c r="S169" s="1040">
        <f>O169</f>
        <v>0</v>
      </c>
      <c r="T169" s="1040"/>
      <c r="U169" s="1040"/>
      <c r="V169" s="1041"/>
    </row>
    <row r="170" spans="1:22" x14ac:dyDescent="0.25">
      <c r="A170" s="1038"/>
      <c r="B170" s="1039"/>
      <c r="C170" s="1039"/>
      <c r="D170" s="1039"/>
      <c r="E170" s="1045" t="str">
        <f t="shared" si="12"/>
        <v/>
      </c>
      <c r="F170" s="1046"/>
      <c r="G170" s="1046"/>
      <c r="H170" s="1046"/>
      <c r="I170" s="1046"/>
      <c r="J170" s="1047"/>
      <c r="K170" s="133"/>
      <c r="L170" s="62" t="str">
        <f t="shared" si="13"/>
        <v/>
      </c>
      <c r="M170" s="14"/>
      <c r="N170" s="89">
        <f t="array" ref="N170">SUM(IF((CsDJ[JEV Number]=TRIM($T157))*(CsDJ[Account Code]=TRIM(K170)),CsDJ[Debit]))</f>
        <v>0</v>
      </c>
      <c r="O170" s="89">
        <f t="array" ref="O170">SUM(IF((CsDJ[JEV Number]=TRIM($T157))*(CsDJ[Account Code]=TRIM(K170)),CsDJ[Credit]))</f>
        <v>0</v>
      </c>
      <c r="P170" s="1040">
        <f t="shared" ref="P170:P195" si="14">N170</f>
        <v>0</v>
      </c>
      <c r="Q170" s="1040"/>
      <c r="R170" s="1040"/>
      <c r="S170" s="1040">
        <f t="shared" ref="S170:S195" si="15">O170</f>
        <v>0</v>
      </c>
      <c r="T170" s="1040"/>
      <c r="U170" s="1040"/>
      <c r="V170" s="1041"/>
    </row>
    <row r="171" spans="1:22" x14ac:dyDescent="0.25">
      <c r="A171" s="1038"/>
      <c r="B171" s="1039"/>
      <c r="C171" s="1039"/>
      <c r="D171" s="1039"/>
      <c r="E171" s="1045" t="str">
        <f t="shared" si="12"/>
        <v/>
      </c>
      <c r="F171" s="1046"/>
      <c r="G171" s="1046"/>
      <c r="H171" s="1046"/>
      <c r="I171" s="1046"/>
      <c r="J171" s="1047"/>
      <c r="K171" s="133"/>
      <c r="L171" s="62" t="str">
        <f t="shared" si="13"/>
        <v/>
      </c>
      <c r="M171" s="14"/>
      <c r="N171" s="89">
        <f t="array" ref="N171">SUM(IF((CsDJ[JEV Number]=TRIM($T157))*(CsDJ[Account Code]=TRIM(K171)),CsDJ[Debit]))</f>
        <v>0</v>
      </c>
      <c r="O171" s="89">
        <f t="array" ref="O171">SUM(IF((CsDJ[JEV Number]=TRIM($T157))*(CsDJ[Account Code]=TRIM(K171)),CsDJ[Credit]))</f>
        <v>0</v>
      </c>
      <c r="P171" s="1040">
        <f t="shared" si="14"/>
        <v>0</v>
      </c>
      <c r="Q171" s="1040"/>
      <c r="R171" s="1040"/>
      <c r="S171" s="1040">
        <f t="shared" si="15"/>
        <v>0</v>
      </c>
      <c r="T171" s="1040"/>
      <c r="U171" s="1040"/>
      <c r="V171" s="1041"/>
    </row>
    <row r="172" spans="1:22" x14ac:dyDescent="0.25">
      <c r="A172" s="1038"/>
      <c r="B172" s="1039"/>
      <c r="C172" s="1039"/>
      <c r="D172" s="1039"/>
      <c r="E172" s="1045" t="str">
        <f t="shared" si="12"/>
        <v/>
      </c>
      <c r="F172" s="1046"/>
      <c r="G172" s="1046"/>
      <c r="H172" s="1046"/>
      <c r="I172" s="1046"/>
      <c r="J172" s="1047"/>
      <c r="K172" s="133"/>
      <c r="L172" s="62" t="str">
        <f t="shared" si="13"/>
        <v/>
      </c>
      <c r="M172" s="14"/>
      <c r="N172" s="89">
        <f t="array" ref="N172">SUM(IF((CsDJ[JEV Number]=TRIM($T157))*(CsDJ[Account Code]=TRIM(K172)),CsDJ[Debit]))</f>
        <v>0</v>
      </c>
      <c r="O172" s="89">
        <f t="array" ref="O172">SUM(IF((CsDJ[JEV Number]=TRIM($T157))*(CsDJ[Account Code]=TRIM(K172)),CsDJ[Credit]))</f>
        <v>0</v>
      </c>
      <c r="P172" s="1040">
        <f t="shared" si="14"/>
        <v>0</v>
      </c>
      <c r="Q172" s="1040"/>
      <c r="R172" s="1040"/>
      <c r="S172" s="1040">
        <f t="shared" si="15"/>
        <v>0</v>
      </c>
      <c r="T172" s="1040"/>
      <c r="U172" s="1040"/>
      <c r="V172" s="1041"/>
    </row>
    <row r="173" spans="1:22" x14ac:dyDescent="0.25">
      <c r="A173" s="1038"/>
      <c r="B173" s="1039"/>
      <c r="C173" s="1039"/>
      <c r="D173" s="1039"/>
      <c r="E173" s="1045" t="str">
        <f t="shared" si="12"/>
        <v/>
      </c>
      <c r="F173" s="1046"/>
      <c r="G173" s="1046"/>
      <c r="H173" s="1046"/>
      <c r="I173" s="1046"/>
      <c r="J173" s="1047"/>
      <c r="K173" s="133"/>
      <c r="L173" s="62" t="str">
        <f t="shared" si="13"/>
        <v/>
      </c>
      <c r="M173" s="14"/>
      <c r="N173" s="89">
        <f t="array" ref="N173">SUM(IF((CsDJ[JEV Number]=TRIM($T157))*(CsDJ[Account Code]=TRIM(K173)),CsDJ[Debit]))</f>
        <v>0</v>
      </c>
      <c r="O173" s="89">
        <f t="array" ref="O173">SUM(IF((CsDJ[JEV Number]=TRIM($T157))*(CsDJ[Account Code]=TRIM(K173)),CsDJ[Credit]))</f>
        <v>0</v>
      </c>
      <c r="P173" s="1040">
        <f t="shared" si="14"/>
        <v>0</v>
      </c>
      <c r="Q173" s="1040"/>
      <c r="R173" s="1040"/>
      <c r="S173" s="1040">
        <f t="shared" si="15"/>
        <v>0</v>
      </c>
      <c r="T173" s="1040"/>
      <c r="U173" s="1040"/>
      <c r="V173" s="1041"/>
    </row>
    <row r="174" spans="1:22" x14ac:dyDescent="0.25">
      <c r="A174" s="1038"/>
      <c r="B174" s="1039"/>
      <c r="C174" s="1039"/>
      <c r="D174" s="1039"/>
      <c r="E174" s="1045" t="str">
        <f t="shared" si="12"/>
        <v/>
      </c>
      <c r="F174" s="1046"/>
      <c r="G174" s="1046"/>
      <c r="H174" s="1046"/>
      <c r="I174" s="1046"/>
      <c r="J174" s="1047"/>
      <c r="K174" s="133"/>
      <c r="L174" s="62" t="str">
        <f t="shared" si="13"/>
        <v/>
      </c>
      <c r="M174" s="14"/>
      <c r="N174" s="89">
        <f t="array" ref="N174">SUM(IF((CsDJ[JEV Number]=TRIM($T157))*(CsDJ[Account Code]=TRIM(K174)),CsDJ[Debit]))</f>
        <v>0</v>
      </c>
      <c r="O174" s="89">
        <f t="array" ref="O174">SUM(IF((CsDJ[JEV Number]=TRIM($T157))*(CsDJ[Account Code]=TRIM(K174)),CsDJ[Credit]))</f>
        <v>0</v>
      </c>
      <c r="P174" s="1040">
        <f t="shared" si="14"/>
        <v>0</v>
      </c>
      <c r="Q174" s="1040"/>
      <c r="R174" s="1040"/>
      <c r="S174" s="1040">
        <f t="shared" si="15"/>
        <v>0</v>
      </c>
      <c r="T174" s="1040"/>
      <c r="U174" s="1040"/>
      <c r="V174" s="1041"/>
    </row>
    <row r="175" spans="1:22" x14ac:dyDescent="0.25">
      <c r="A175" s="1038"/>
      <c r="B175" s="1039"/>
      <c r="C175" s="1039"/>
      <c r="D175" s="1039"/>
      <c r="E175" s="1045" t="str">
        <f t="shared" si="12"/>
        <v/>
      </c>
      <c r="F175" s="1046"/>
      <c r="G175" s="1046"/>
      <c r="H175" s="1046"/>
      <c r="I175" s="1046"/>
      <c r="J175" s="1047"/>
      <c r="K175" s="133"/>
      <c r="L175" s="62" t="str">
        <f t="shared" si="13"/>
        <v/>
      </c>
      <c r="M175" s="14"/>
      <c r="N175" s="89">
        <f t="array" ref="N175">SUM(IF((CsDJ[JEV Number]=TRIM($T157))*(CsDJ[Account Code]=TRIM(K175)),CsDJ[Debit]))</f>
        <v>0</v>
      </c>
      <c r="O175" s="89">
        <f t="array" ref="O175">SUM(IF((CsDJ[JEV Number]=TRIM($T157))*(CsDJ[Account Code]=TRIM(K175)),CsDJ[Credit]))</f>
        <v>0</v>
      </c>
      <c r="P175" s="1040">
        <f t="shared" si="14"/>
        <v>0</v>
      </c>
      <c r="Q175" s="1040"/>
      <c r="R175" s="1040"/>
      <c r="S175" s="1040">
        <f t="shared" si="15"/>
        <v>0</v>
      </c>
      <c r="T175" s="1040"/>
      <c r="U175" s="1040"/>
      <c r="V175" s="1041"/>
    </row>
    <row r="176" spans="1:22" x14ac:dyDescent="0.25">
      <c r="A176" s="1038"/>
      <c r="B176" s="1039"/>
      <c r="C176" s="1039"/>
      <c r="D176" s="1039"/>
      <c r="E176" s="1045" t="str">
        <f t="shared" si="12"/>
        <v/>
      </c>
      <c r="F176" s="1046"/>
      <c r="G176" s="1046"/>
      <c r="H176" s="1046"/>
      <c r="I176" s="1046"/>
      <c r="J176" s="1047"/>
      <c r="K176" s="134"/>
      <c r="L176" s="62" t="str">
        <f t="shared" si="13"/>
        <v/>
      </c>
      <c r="M176" s="14"/>
      <c r="N176" s="89">
        <f t="array" ref="N176">SUM(IF((CsDJ[JEV Number]=TRIM($T157))*(CsDJ[Account Code]=TRIM(K176)),CsDJ[Debit]))</f>
        <v>0</v>
      </c>
      <c r="O176" s="89">
        <f t="array" ref="O176">SUM(IF((CsDJ[JEV Number]=TRIM($T157))*(CsDJ[Account Code]=TRIM(K176)),CsDJ[Credit]))</f>
        <v>0</v>
      </c>
      <c r="P176" s="1040">
        <f t="shared" si="14"/>
        <v>0</v>
      </c>
      <c r="Q176" s="1040"/>
      <c r="R176" s="1040"/>
      <c r="S176" s="1040">
        <f t="shared" si="15"/>
        <v>0</v>
      </c>
      <c r="T176" s="1040"/>
      <c r="U176" s="1040"/>
      <c r="V176" s="1041"/>
    </row>
    <row r="177" spans="1:22" x14ac:dyDescent="0.25">
      <c r="A177" s="1038"/>
      <c r="B177" s="1039"/>
      <c r="C177" s="1039"/>
      <c r="D177" s="1039"/>
      <c r="E177" s="1045" t="str">
        <f t="shared" si="12"/>
        <v/>
      </c>
      <c r="F177" s="1046"/>
      <c r="G177" s="1046"/>
      <c r="H177" s="1046"/>
      <c r="I177" s="1046"/>
      <c r="J177" s="1047"/>
      <c r="K177" s="134"/>
      <c r="L177" s="62" t="str">
        <f t="shared" si="13"/>
        <v/>
      </c>
      <c r="M177" s="14"/>
      <c r="N177" s="89">
        <f t="array" ref="N177">SUM(IF((CsDJ[JEV Number]=TRIM($T157))*(CsDJ[Account Code]=TRIM(K177)),CsDJ[Debit]))</f>
        <v>0</v>
      </c>
      <c r="O177" s="89">
        <f t="array" ref="O177">SUM(IF((CsDJ[JEV Number]=TRIM($T157))*(CsDJ[Account Code]=TRIM(K177)),CsDJ[Credit]))</f>
        <v>0</v>
      </c>
      <c r="P177" s="1040">
        <f t="shared" si="14"/>
        <v>0</v>
      </c>
      <c r="Q177" s="1040"/>
      <c r="R177" s="1040"/>
      <c r="S177" s="1040">
        <f t="shared" si="15"/>
        <v>0</v>
      </c>
      <c r="T177" s="1040"/>
      <c r="U177" s="1040"/>
      <c r="V177" s="1041"/>
    </row>
    <row r="178" spans="1:22" x14ac:dyDescent="0.25">
      <c r="A178" s="1038"/>
      <c r="B178" s="1039"/>
      <c r="C178" s="1039"/>
      <c r="D178" s="1039"/>
      <c r="E178" s="1045" t="str">
        <f t="shared" si="12"/>
        <v/>
      </c>
      <c r="F178" s="1046"/>
      <c r="G178" s="1046"/>
      <c r="H178" s="1046"/>
      <c r="I178" s="1046"/>
      <c r="J178" s="1047"/>
      <c r="K178" s="134"/>
      <c r="L178" s="62" t="str">
        <f t="shared" si="13"/>
        <v/>
      </c>
      <c r="M178" s="14"/>
      <c r="N178" s="89">
        <f t="array" ref="N178">SUM(IF((CsDJ[JEV Number]=TRIM($T157))*(CsDJ[Account Code]=TRIM(K178)),CsDJ[Debit]))</f>
        <v>0</v>
      </c>
      <c r="O178" s="89">
        <f t="array" ref="O178">SUM(IF((CsDJ[JEV Number]=TRIM($T157))*(CsDJ[Account Code]=TRIM(K178)),CsDJ[Credit]))</f>
        <v>0</v>
      </c>
      <c r="P178" s="1040">
        <f t="shared" si="14"/>
        <v>0</v>
      </c>
      <c r="Q178" s="1040"/>
      <c r="R178" s="1040"/>
      <c r="S178" s="1040">
        <f t="shared" si="15"/>
        <v>0</v>
      </c>
      <c r="T178" s="1040"/>
      <c r="U178" s="1040"/>
      <c r="V178" s="1041"/>
    </row>
    <row r="179" spans="1:22" x14ac:dyDescent="0.25">
      <c r="A179" s="1038"/>
      <c r="B179" s="1039"/>
      <c r="C179" s="1039"/>
      <c r="D179" s="1039"/>
      <c r="E179" s="1045" t="str">
        <f t="shared" si="12"/>
        <v/>
      </c>
      <c r="F179" s="1046"/>
      <c r="G179" s="1046"/>
      <c r="H179" s="1046"/>
      <c r="I179" s="1046"/>
      <c r="J179" s="1047"/>
      <c r="K179" s="134"/>
      <c r="L179" s="62" t="str">
        <f t="shared" si="13"/>
        <v/>
      </c>
      <c r="M179" s="14"/>
      <c r="N179" s="89">
        <f t="array" ref="N179">SUM(IF((CsDJ[JEV Number]=TRIM($T157))*(CsDJ[Account Code]=TRIM(K179)),CsDJ[Debit]))</f>
        <v>0</v>
      </c>
      <c r="O179" s="89">
        <f t="array" ref="O179">SUM(IF((CsDJ[JEV Number]=TRIM($T157))*(CsDJ[Account Code]=TRIM(K179)),CsDJ[Credit]))</f>
        <v>0</v>
      </c>
      <c r="P179" s="1040">
        <f t="shared" si="14"/>
        <v>0</v>
      </c>
      <c r="Q179" s="1040"/>
      <c r="R179" s="1040"/>
      <c r="S179" s="1040">
        <f t="shared" si="15"/>
        <v>0</v>
      </c>
      <c r="T179" s="1040"/>
      <c r="U179" s="1040"/>
      <c r="V179" s="1041"/>
    </row>
    <row r="180" spans="1:22" x14ac:dyDescent="0.25">
      <c r="A180" s="1038"/>
      <c r="B180" s="1039"/>
      <c r="C180" s="1039"/>
      <c r="D180" s="1039"/>
      <c r="E180" s="1045" t="str">
        <f t="shared" si="12"/>
        <v/>
      </c>
      <c r="F180" s="1046"/>
      <c r="G180" s="1046"/>
      <c r="H180" s="1046"/>
      <c r="I180" s="1046"/>
      <c r="J180" s="1047"/>
      <c r="K180" s="134"/>
      <c r="L180" s="62" t="str">
        <f t="shared" si="13"/>
        <v/>
      </c>
      <c r="M180" s="14"/>
      <c r="N180" s="89">
        <f t="array" ref="N180">SUM(IF((CsDJ[JEV Number]=TRIM($T157))*(CsDJ[Account Code]=TRIM(K180)),CsDJ[Debit]))</f>
        <v>0</v>
      </c>
      <c r="O180" s="89">
        <f t="array" ref="O180">SUM(IF((CsDJ[JEV Number]=TRIM($T157))*(CsDJ[Account Code]=TRIM(K180)),CsDJ[Credit]))</f>
        <v>0</v>
      </c>
      <c r="P180" s="1040">
        <f t="shared" si="14"/>
        <v>0</v>
      </c>
      <c r="Q180" s="1040"/>
      <c r="R180" s="1040"/>
      <c r="S180" s="1040">
        <f t="shared" si="15"/>
        <v>0</v>
      </c>
      <c r="T180" s="1040"/>
      <c r="U180" s="1040"/>
      <c r="V180" s="1041"/>
    </row>
    <row r="181" spans="1:22" x14ac:dyDescent="0.25">
      <c r="A181" s="1038"/>
      <c r="B181" s="1039"/>
      <c r="C181" s="1039"/>
      <c r="D181" s="1039"/>
      <c r="E181" s="1045" t="str">
        <f t="shared" si="12"/>
        <v/>
      </c>
      <c r="F181" s="1046"/>
      <c r="G181" s="1046"/>
      <c r="H181" s="1046"/>
      <c r="I181" s="1046"/>
      <c r="J181" s="1047"/>
      <c r="K181" s="134"/>
      <c r="L181" s="62" t="str">
        <f t="shared" si="13"/>
        <v/>
      </c>
      <c r="M181" s="14"/>
      <c r="N181" s="89">
        <f t="array" ref="N181">SUM(IF((CsDJ[JEV Number]=TRIM($T157))*(CsDJ[Account Code]=TRIM(K181)),CsDJ[Debit]))</f>
        <v>0</v>
      </c>
      <c r="O181" s="89">
        <f t="array" ref="O181">SUM(IF((CsDJ[JEV Number]=TRIM($T157))*(CsDJ[Account Code]=TRIM(K181)),CsDJ[Credit]))</f>
        <v>0</v>
      </c>
      <c r="P181" s="1040">
        <f t="shared" si="14"/>
        <v>0</v>
      </c>
      <c r="Q181" s="1040"/>
      <c r="R181" s="1040"/>
      <c r="S181" s="1040">
        <f t="shared" si="15"/>
        <v>0</v>
      </c>
      <c r="T181" s="1040"/>
      <c r="U181" s="1040"/>
      <c r="V181" s="1041"/>
    </row>
    <row r="182" spans="1:22" x14ac:dyDescent="0.25">
      <c r="A182" s="1038"/>
      <c r="B182" s="1039"/>
      <c r="C182" s="1039"/>
      <c r="D182" s="1039"/>
      <c r="E182" s="1045" t="str">
        <f t="shared" si="12"/>
        <v/>
      </c>
      <c r="F182" s="1046"/>
      <c r="G182" s="1046"/>
      <c r="H182" s="1046"/>
      <c r="I182" s="1046"/>
      <c r="J182" s="1047"/>
      <c r="K182" s="134"/>
      <c r="L182" s="62" t="str">
        <f t="shared" si="13"/>
        <v/>
      </c>
      <c r="M182" s="14"/>
      <c r="N182" s="89">
        <f t="array" ref="N182">SUM(IF((CsDJ[JEV Number]=TRIM($T157))*(CsDJ[Account Code]=TRIM(K182)),CsDJ[Debit]))</f>
        <v>0</v>
      </c>
      <c r="O182" s="89">
        <f t="array" ref="O182">SUM(IF((CsDJ[JEV Number]=TRIM($T157))*(CsDJ[Account Code]=TRIM(K182)),CsDJ[Credit]))</f>
        <v>0</v>
      </c>
      <c r="P182" s="1040">
        <f t="shared" si="14"/>
        <v>0</v>
      </c>
      <c r="Q182" s="1040"/>
      <c r="R182" s="1040"/>
      <c r="S182" s="1040">
        <f t="shared" si="15"/>
        <v>0</v>
      </c>
      <c r="T182" s="1040"/>
      <c r="U182" s="1040"/>
      <c r="V182" s="1041"/>
    </row>
    <row r="183" spans="1:22" x14ac:dyDescent="0.25">
      <c r="A183" s="1038"/>
      <c r="B183" s="1039"/>
      <c r="C183" s="1039"/>
      <c r="D183" s="1039"/>
      <c r="E183" s="1045" t="str">
        <f t="shared" si="12"/>
        <v/>
      </c>
      <c r="F183" s="1046"/>
      <c r="G183" s="1046"/>
      <c r="H183" s="1046"/>
      <c r="I183" s="1046"/>
      <c r="J183" s="1047"/>
      <c r="K183" s="134"/>
      <c r="L183" s="62" t="str">
        <f t="shared" si="13"/>
        <v/>
      </c>
      <c r="M183" s="14"/>
      <c r="N183" s="89">
        <f t="array" ref="N183">SUM(IF((CsDJ[JEV Number]=TRIM($T157))*(CsDJ[Account Code]=TRIM(K183)),CsDJ[Debit]))</f>
        <v>0</v>
      </c>
      <c r="O183" s="89">
        <f t="array" ref="O183">SUM(IF((CsDJ[JEV Number]=TRIM($T157))*(CsDJ[Account Code]=TRIM(K183)),CsDJ[Credit]))</f>
        <v>0</v>
      </c>
      <c r="P183" s="1040">
        <f t="shared" si="14"/>
        <v>0</v>
      </c>
      <c r="Q183" s="1040"/>
      <c r="R183" s="1040"/>
      <c r="S183" s="1040">
        <f t="shared" si="15"/>
        <v>0</v>
      </c>
      <c r="T183" s="1040"/>
      <c r="U183" s="1040"/>
      <c r="V183" s="1041"/>
    </row>
    <row r="184" spans="1:22" x14ac:dyDescent="0.25">
      <c r="A184" s="1038"/>
      <c r="B184" s="1039"/>
      <c r="C184" s="1039"/>
      <c r="D184" s="1039"/>
      <c r="E184" s="1045" t="str">
        <f t="shared" si="12"/>
        <v/>
      </c>
      <c r="F184" s="1046"/>
      <c r="G184" s="1046"/>
      <c r="H184" s="1046"/>
      <c r="I184" s="1046"/>
      <c r="J184" s="1047"/>
      <c r="K184" s="134"/>
      <c r="L184" s="62" t="str">
        <f t="shared" si="13"/>
        <v/>
      </c>
      <c r="M184" s="14"/>
      <c r="N184" s="89">
        <f t="array" ref="N184">SUM(IF((CsDJ[JEV Number]=TRIM($T157))*(CsDJ[Account Code]=TRIM(K184)),CsDJ[Debit]))</f>
        <v>0</v>
      </c>
      <c r="O184" s="89">
        <f t="array" ref="O184">SUM(IF((CsDJ[JEV Number]=TRIM($T157))*(CsDJ[Account Code]=TRIM(K184)),CsDJ[Credit]))</f>
        <v>0</v>
      </c>
      <c r="P184" s="1040">
        <f t="shared" si="14"/>
        <v>0</v>
      </c>
      <c r="Q184" s="1040"/>
      <c r="R184" s="1040"/>
      <c r="S184" s="1040">
        <f t="shared" si="15"/>
        <v>0</v>
      </c>
      <c r="T184" s="1040"/>
      <c r="U184" s="1040"/>
      <c r="V184" s="1041"/>
    </row>
    <row r="185" spans="1:22" x14ac:dyDescent="0.25">
      <c r="A185" s="1038"/>
      <c r="B185" s="1039"/>
      <c r="C185" s="1039"/>
      <c r="D185" s="1039"/>
      <c r="E185" s="1045" t="str">
        <f t="shared" si="12"/>
        <v/>
      </c>
      <c r="F185" s="1046"/>
      <c r="G185" s="1046"/>
      <c r="H185" s="1046"/>
      <c r="I185" s="1046"/>
      <c r="J185" s="1047"/>
      <c r="K185" s="134"/>
      <c r="L185" s="62" t="str">
        <f t="shared" si="13"/>
        <v/>
      </c>
      <c r="M185" s="14"/>
      <c r="N185" s="89">
        <f t="array" ref="N185">SUM(IF((CsDJ[JEV Number]=TRIM($T157))*(CsDJ[Account Code]=TRIM(K185)),CsDJ[Debit]))</f>
        <v>0</v>
      </c>
      <c r="O185" s="89">
        <f t="array" ref="O185">SUM(IF((CsDJ[JEV Number]=TRIM($T157))*(CsDJ[Account Code]=TRIM(K185)),CsDJ[Credit]))</f>
        <v>0</v>
      </c>
      <c r="P185" s="1040">
        <f t="shared" si="14"/>
        <v>0</v>
      </c>
      <c r="Q185" s="1040"/>
      <c r="R185" s="1040"/>
      <c r="S185" s="1040">
        <f t="shared" si="15"/>
        <v>0</v>
      </c>
      <c r="T185" s="1040"/>
      <c r="U185" s="1040"/>
      <c r="V185" s="1041"/>
    </row>
    <row r="186" spans="1:22" x14ac:dyDescent="0.25">
      <c r="A186" s="1038"/>
      <c r="B186" s="1039"/>
      <c r="C186" s="1039"/>
      <c r="D186" s="1039"/>
      <c r="E186" s="1045" t="str">
        <f t="shared" si="12"/>
        <v/>
      </c>
      <c r="F186" s="1046"/>
      <c r="G186" s="1046"/>
      <c r="H186" s="1046"/>
      <c r="I186" s="1046"/>
      <c r="J186" s="1047"/>
      <c r="K186" s="134"/>
      <c r="L186" s="62" t="str">
        <f t="shared" si="13"/>
        <v/>
      </c>
      <c r="M186" s="14"/>
      <c r="N186" s="89">
        <f t="array" ref="N186">SUM(IF((CsDJ[JEV Number]=TRIM($T157))*(CsDJ[Account Code]=TRIM(K186)),CsDJ[Debit]))</f>
        <v>0</v>
      </c>
      <c r="O186" s="89">
        <f t="array" ref="O186">SUM(IF((CsDJ[JEV Number]=TRIM($T157))*(CsDJ[Account Code]=TRIM(K186)),CsDJ[Credit]))</f>
        <v>0</v>
      </c>
      <c r="P186" s="1040">
        <f t="shared" si="14"/>
        <v>0</v>
      </c>
      <c r="Q186" s="1040"/>
      <c r="R186" s="1040"/>
      <c r="S186" s="1040">
        <f t="shared" si="15"/>
        <v>0</v>
      </c>
      <c r="T186" s="1040"/>
      <c r="U186" s="1040"/>
      <c r="V186" s="1041"/>
    </row>
    <row r="187" spans="1:22" x14ac:dyDescent="0.25">
      <c r="A187" s="1038"/>
      <c r="B187" s="1039"/>
      <c r="C187" s="1039"/>
      <c r="D187" s="1039"/>
      <c r="E187" s="1045" t="str">
        <f t="shared" si="12"/>
        <v/>
      </c>
      <c r="F187" s="1046"/>
      <c r="G187" s="1046"/>
      <c r="H187" s="1046"/>
      <c r="I187" s="1046"/>
      <c r="J187" s="1047"/>
      <c r="K187" s="134"/>
      <c r="L187" s="62" t="str">
        <f t="shared" si="13"/>
        <v/>
      </c>
      <c r="M187" s="14"/>
      <c r="N187" s="89">
        <f t="array" ref="N187">SUM(IF((CsDJ[JEV Number]=TRIM($T157))*(CsDJ[Account Code]=TRIM(K187)),CsDJ[Debit]))</f>
        <v>0</v>
      </c>
      <c r="O187" s="89">
        <f t="array" ref="O187">SUM(IF((CsDJ[JEV Number]=TRIM($T157))*(CsDJ[Account Code]=TRIM(K187)),CsDJ[Credit]))</f>
        <v>0</v>
      </c>
      <c r="P187" s="1040">
        <f t="shared" si="14"/>
        <v>0</v>
      </c>
      <c r="Q187" s="1040"/>
      <c r="R187" s="1040"/>
      <c r="S187" s="1040">
        <f t="shared" si="15"/>
        <v>0</v>
      </c>
      <c r="T187" s="1040"/>
      <c r="U187" s="1040"/>
      <c r="V187" s="1041"/>
    </row>
    <row r="188" spans="1:22" x14ac:dyDescent="0.25">
      <c r="A188" s="1038"/>
      <c r="B188" s="1039"/>
      <c r="C188" s="1039"/>
      <c r="D188" s="1039"/>
      <c r="E188" s="1045" t="str">
        <f t="shared" si="12"/>
        <v/>
      </c>
      <c r="F188" s="1046"/>
      <c r="G188" s="1046"/>
      <c r="H188" s="1046"/>
      <c r="I188" s="1046"/>
      <c r="J188" s="1047"/>
      <c r="K188" s="134"/>
      <c r="L188" s="62" t="str">
        <f t="shared" si="13"/>
        <v/>
      </c>
      <c r="M188" s="14"/>
      <c r="N188" s="89">
        <f t="array" ref="N188">SUM(IF((CsDJ[JEV Number]=TRIM($T157))*(CsDJ[Account Code]=TRIM(K188)),CsDJ[Debit]))</f>
        <v>0</v>
      </c>
      <c r="O188" s="89">
        <f t="array" ref="O188">SUM(IF((CsDJ[JEV Number]=TRIM($T157))*(CsDJ[Account Code]=TRIM(K188)),CsDJ[Credit]))</f>
        <v>0</v>
      </c>
      <c r="P188" s="1040">
        <f t="shared" si="14"/>
        <v>0</v>
      </c>
      <c r="Q188" s="1040"/>
      <c r="R188" s="1040"/>
      <c r="S188" s="1040">
        <f t="shared" si="15"/>
        <v>0</v>
      </c>
      <c r="T188" s="1040"/>
      <c r="U188" s="1040"/>
      <c r="V188" s="1041"/>
    </row>
    <row r="189" spans="1:22" x14ac:dyDescent="0.25">
      <c r="A189" s="1038"/>
      <c r="B189" s="1039"/>
      <c r="C189" s="1039"/>
      <c r="D189" s="1039"/>
      <c r="E189" s="1045" t="str">
        <f t="shared" si="12"/>
        <v/>
      </c>
      <c r="F189" s="1046"/>
      <c r="G189" s="1046"/>
      <c r="H189" s="1046"/>
      <c r="I189" s="1046"/>
      <c r="J189" s="1047"/>
      <c r="K189" s="134"/>
      <c r="L189" s="62" t="str">
        <f t="shared" si="13"/>
        <v/>
      </c>
      <c r="M189" s="14"/>
      <c r="N189" s="89">
        <f t="array" ref="N189">SUM(IF((CsDJ[JEV Number]=TRIM($T157))*(CsDJ[Account Code]=TRIM(K189)),CsDJ[Debit]))</f>
        <v>0</v>
      </c>
      <c r="O189" s="89">
        <f t="array" ref="O189">SUM(IF((CsDJ[JEV Number]=TRIM($T157))*(CsDJ[Account Code]=TRIM(K189)),CsDJ[Credit]))</f>
        <v>0</v>
      </c>
      <c r="P189" s="1040">
        <f t="shared" si="14"/>
        <v>0</v>
      </c>
      <c r="Q189" s="1040"/>
      <c r="R189" s="1040"/>
      <c r="S189" s="1040">
        <f t="shared" si="15"/>
        <v>0</v>
      </c>
      <c r="T189" s="1040"/>
      <c r="U189" s="1040"/>
      <c r="V189" s="1041"/>
    </row>
    <row r="190" spans="1:22" x14ac:dyDescent="0.25">
      <c r="A190" s="1038"/>
      <c r="B190" s="1039"/>
      <c r="C190" s="1039"/>
      <c r="D190" s="1039"/>
      <c r="E190" s="1045" t="str">
        <f t="shared" si="12"/>
        <v/>
      </c>
      <c r="F190" s="1046"/>
      <c r="G190" s="1046"/>
      <c r="H190" s="1046"/>
      <c r="I190" s="1046"/>
      <c r="J190" s="1047"/>
      <c r="K190" s="134"/>
      <c r="L190" s="62" t="str">
        <f t="shared" si="13"/>
        <v/>
      </c>
      <c r="M190" s="14"/>
      <c r="N190" s="89">
        <f t="array" ref="N190">SUM(IF((CsDJ[JEV Number]=TRIM($T157))*(CsDJ[Account Code]=TRIM(K190)),CsDJ[Debit]))</f>
        <v>0</v>
      </c>
      <c r="O190" s="89">
        <f t="array" ref="O190">SUM(IF((CsDJ[JEV Number]=TRIM($T157))*(CsDJ[Account Code]=TRIM(K190)),CsDJ[Credit]))</f>
        <v>0</v>
      </c>
      <c r="P190" s="1040">
        <f t="shared" si="14"/>
        <v>0</v>
      </c>
      <c r="Q190" s="1040"/>
      <c r="R190" s="1040"/>
      <c r="S190" s="1040">
        <f t="shared" si="15"/>
        <v>0</v>
      </c>
      <c r="T190" s="1040"/>
      <c r="U190" s="1040"/>
      <c r="V190" s="1041"/>
    </row>
    <row r="191" spans="1:22" x14ac:dyDescent="0.25">
      <c r="A191" s="1038"/>
      <c r="B191" s="1039"/>
      <c r="C191" s="1039"/>
      <c r="D191" s="1039"/>
      <c r="E191" s="1108" t="s">
        <v>468</v>
      </c>
      <c r="F191" s="1109"/>
      <c r="G191" s="1109"/>
      <c r="H191" s="1109"/>
      <c r="I191" s="1109"/>
      <c r="J191" s="1110"/>
      <c r="K191" s="133"/>
      <c r="L191" s="62" t="str">
        <f t="shared" si="13"/>
        <v/>
      </c>
      <c r="M191" s="14"/>
      <c r="N191" s="89">
        <f t="array" ref="N191">SUM(IF((CsDJ[JEV Number]=TRIM($T157))*(CsDJ[Account Code]=TRIM(K191)),CsDJ[Debit]))</f>
        <v>0</v>
      </c>
      <c r="O191" s="89">
        <f t="array" ref="O191">SUM(IF((CsDJ[JEV Number]=TRIM($T157))*(CsDJ[Account Code]=TRIM(K191)),CsDJ[Credit]))</f>
        <v>0</v>
      </c>
      <c r="P191" s="1040">
        <f t="shared" si="14"/>
        <v>0</v>
      </c>
      <c r="Q191" s="1040"/>
      <c r="R191" s="1040"/>
      <c r="S191" s="1040">
        <f t="shared" si="15"/>
        <v>0</v>
      </c>
      <c r="T191" s="1040"/>
      <c r="U191" s="1040"/>
      <c r="V191" s="1041"/>
    </row>
    <row r="192" spans="1:22" x14ac:dyDescent="0.25">
      <c r="A192" s="1038"/>
      <c r="B192" s="1039"/>
      <c r="C192" s="1039"/>
      <c r="D192" s="1039"/>
      <c r="E192" s="1048" t="s">
        <v>457</v>
      </c>
      <c r="F192" s="1049"/>
      <c r="G192" s="1049"/>
      <c r="H192" s="1049"/>
      <c r="I192" s="1051">
        <f>T158</f>
        <v>0</v>
      </c>
      <c r="J192" s="1052"/>
      <c r="K192" s="133"/>
      <c r="L192" s="62" t="str">
        <f t="shared" si="13"/>
        <v/>
      </c>
      <c r="M192" s="14"/>
      <c r="N192" s="89">
        <f t="array" ref="N192">SUM(IF((CsDJ[JEV Number]=TRIM($T157))*(CsDJ[Account Code]=TRIM(K192)),CsDJ[Debit]))</f>
        <v>0</v>
      </c>
      <c r="O192" s="89">
        <f t="array" ref="O192">SUM(IF((CsDJ[JEV Number]=TRIM($T157))*(CsDJ[Account Code]=TRIM(K192)),CsDJ[Credit]))</f>
        <v>0</v>
      </c>
      <c r="P192" s="1040">
        <f t="shared" si="14"/>
        <v>0</v>
      </c>
      <c r="Q192" s="1040"/>
      <c r="R192" s="1040"/>
      <c r="S192" s="1040">
        <f t="shared" si="15"/>
        <v>0</v>
      </c>
      <c r="T192" s="1040"/>
      <c r="U192" s="1040"/>
      <c r="V192" s="1041"/>
    </row>
    <row r="193" spans="1:22" x14ac:dyDescent="0.25">
      <c r="A193" s="1038"/>
      <c r="B193" s="1039"/>
      <c r="C193" s="1039"/>
      <c r="D193" s="1039"/>
      <c r="E193" s="1048" t="s">
        <v>458</v>
      </c>
      <c r="F193" s="1049"/>
      <c r="G193" s="1049"/>
      <c r="H193" s="1049"/>
      <c r="I193" s="1106">
        <f>IF(T157=0,0,(IF(LOOKUP(T157,CsDJ[JEV Number],CsDJ[Sort Code])="1","MA. VIVIAN C. SALAS",IF(LOOKUP(T157,CsDJ[JEV Number],CsDJ[Sort Code])="2","LUZ R. DE COZAR",IF(LOOKUP(T157,CsDJ[JEV Number],CsDJ[Sort Code])="3","MINEONETTE A. DELA CRUZ",IF(LOOKUP(T157,CsDJ[JEV Number],CsDJ[Sort Code])="4","RESELLA B. LOPEZ"))))))</f>
        <v>0</v>
      </c>
      <c r="J193" s="1107"/>
      <c r="K193" s="133"/>
      <c r="L193" s="62" t="str">
        <f t="shared" si="13"/>
        <v/>
      </c>
      <c r="M193" s="14"/>
      <c r="N193" s="89">
        <f t="array" ref="N193">SUM(IF((CsDJ[JEV Number]=TRIM($T157))*(CsDJ[Account Code]=TRIM(K193)),CsDJ[Debit]))</f>
        <v>0</v>
      </c>
      <c r="O193" s="89">
        <f t="array" ref="O193">SUM(IF((CsDJ[JEV Number]=TRIM($T157))*(CsDJ[Account Code]=TRIM(K193)),CsDJ[Credit]))</f>
        <v>0</v>
      </c>
      <c r="P193" s="1040">
        <f t="shared" si="14"/>
        <v>0</v>
      </c>
      <c r="Q193" s="1040"/>
      <c r="R193" s="1040"/>
      <c r="S193" s="1040">
        <f t="shared" si="15"/>
        <v>0</v>
      </c>
      <c r="T193" s="1040"/>
      <c r="U193" s="1040"/>
      <c r="V193" s="1041"/>
    </row>
    <row r="194" spans="1:22" x14ac:dyDescent="0.25">
      <c r="A194" s="1038"/>
      <c r="B194" s="1039"/>
      <c r="C194" s="1039"/>
      <c r="D194" s="1039"/>
      <c r="E194" s="1048" t="s">
        <v>459</v>
      </c>
      <c r="F194" s="1049"/>
      <c r="G194" s="1049"/>
      <c r="H194" s="1049"/>
      <c r="I194" s="1043">
        <f>IF(I193="Ma. Vivian C. Salas","Regional Office", IF(I193="Luz R. De Cozar","BANE IMO", IF(I193="Mineonette A. Dela Cruz","PAMBAT IMO", IF(I193="Resella B. Lopez","TARZAM IMO",0))))</f>
        <v>0</v>
      </c>
      <c r="J194" s="1044"/>
      <c r="K194" s="133"/>
      <c r="L194" s="62" t="str">
        <f t="shared" si="13"/>
        <v/>
      </c>
      <c r="M194" s="14"/>
      <c r="N194" s="89">
        <f t="array" ref="N194">SUM(IF((CsDJ[JEV Number]=TRIM($T157))*(CsDJ[Account Code]=TRIM(K194)),CsDJ[Debit]))</f>
        <v>0</v>
      </c>
      <c r="O194" s="89">
        <f t="array" ref="O194">SUM(IF((CsDJ[JEV Number]=TRIM($T157))*(CsDJ[Account Code]=TRIM(K194)),CsDJ[Credit]))</f>
        <v>0</v>
      </c>
      <c r="P194" s="1040">
        <f t="shared" si="14"/>
        <v>0</v>
      </c>
      <c r="Q194" s="1040"/>
      <c r="R194" s="1040"/>
      <c r="S194" s="1040">
        <f t="shared" si="15"/>
        <v>0</v>
      </c>
      <c r="T194" s="1040"/>
      <c r="U194" s="1040"/>
      <c r="V194" s="1041"/>
    </row>
    <row r="195" spans="1:22" x14ac:dyDescent="0.25">
      <c r="A195" s="1038"/>
      <c r="B195" s="1039"/>
      <c r="C195" s="1039"/>
      <c r="D195" s="1039"/>
      <c r="E195" s="1048"/>
      <c r="F195" s="1049"/>
      <c r="G195" s="1049"/>
      <c r="H195" s="1049"/>
      <c r="I195" s="1049"/>
      <c r="J195" s="1050"/>
      <c r="K195" s="133"/>
      <c r="L195" s="62" t="str">
        <f t="shared" si="13"/>
        <v/>
      </c>
      <c r="M195" s="14"/>
      <c r="N195" s="89">
        <f t="array" ref="N195">SUM(IF((CsDJ[JEV Number]=TRIM($T157))*(CsDJ[Account Code]=TRIM(K195)),CsDJ[Debit]))</f>
        <v>0</v>
      </c>
      <c r="O195" s="89">
        <f t="array" ref="O195">SUM(IF((CsDJ[JEV Number]=TRIM($T157))*(CsDJ[Account Code]=TRIM(K195)),CsDJ[Credit]))</f>
        <v>0</v>
      </c>
      <c r="P195" s="1040">
        <f t="shared" si="14"/>
        <v>0</v>
      </c>
      <c r="Q195" s="1040"/>
      <c r="R195" s="1040"/>
      <c r="S195" s="1040">
        <f t="shared" si="15"/>
        <v>0</v>
      </c>
      <c r="T195" s="1040"/>
      <c r="U195" s="1040"/>
      <c r="V195" s="1041"/>
    </row>
    <row r="196" spans="1:22" ht="16.5" thickBot="1" x14ac:dyDescent="0.3">
      <c r="A196" s="1091"/>
      <c r="B196" s="1092"/>
      <c r="C196" s="1092"/>
      <c r="D196" s="1092"/>
      <c r="E196" s="1092"/>
      <c r="F196" s="1092"/>
      <c r="G196" s="1092"/>
      <c r="H196" s="1092"/>
      <c r="I196" s="1092"/>
      <c r="J196" s="1092"/>
      <c r="K196" s="1092"/>
      <c r="L196" s="1092"/>
      <c r="M196" s="1093"/>
      <c r="N196" s="88"/>
      <c r="O196" s="88"/>
      <c r="P196" s="1094">
        <f>SUM(P166:R195)</f>
        <v>0</v>
      </c>
      <c r="Q196" s="1094"/>
      <c r="R196" s="1094"/>
      <c r="S196" s="1094">
        <f>SUM(S166:V195)</f>
        <v>0</v>
      </c>
      <c r="T196" s="1094"/>
      <c r="U196" s="1094"/>
      <c r="V196" s="1095"/>
    </row>
    <row r="197" spans="1:22" x14ac:dyDescent="0.25">
      <c r="A197" s="63"/>
      <c r="B197" s="64"/>
      <c r="C197" s="64"/>
      <c r="D197" s="64"/>
      <c r="E197" s="64"/>
      <c r="F197" s="64"/>
      <c r="G197" s="64"/>
      <c r="H197" s="64"/>
      <c r="I197" s="65"/>
      <c r="J197" s="64"/>
      <c r="K197" s="66"/>
      <c r="L197" s="64"/>
      <c r="M197" s="65"/>
      <c r="N197" s="64"/>
      <c r="O197" s="64"/>
      <c r="P197" s="1090"/>
      <c r="Q197" s="1090"/>
      <c r="R197" s="1090"/>
      <c r="S197" s="1090"/>
      <c r="T197" s="1090"/>
      <c r="U197" s="1090"/>
      <c r="V197" s="1096"/>
    </row>
    <row r="198" spans="1:22" x14ac:dyDescent="0.25">
      <c r="A198" s="67" t="s">
        <v>460</v>
      </c>
      <c r="B198"/>
      <c r="C198"/>
      <c r="D198"/>
      <c r="E198"/>
      <c r="F198"/>
      <c r="G198"/>
      <c r="H198"/>
      <c r="I198" s="68" t="s">
        <v>353</v>
      </c>
      <c r="J198" s="69"/>
      <c r="K198" s="69"/>
      <c r="L198"/>
      <c r="M198" s="68" t="s">
        <v>461</v>
      </c>
      <c r="N198" s="69"/>
      <c r="O198" s="69"/>
      <c r="P198" s="70"/>
      <c r="Q198" s="70"/>
      <c r="R198" s="70"/>
      <c r="S198" s="70"/>
      <c r="T198" s="70"/>
      <c r="U198" s="70"/>
      <c r="V198" s="71"/>
    </row>
    <row r="199" spans="1:22" x14ac:dyDescent="0.25">
      <c r="A199" s="37"/>
      <c r="B199"/>
      <c r="C199"/>
      <c r="D199"/>
      <c r="E199"/>
      <c r="F199"/>
      <c r="G199"/>
      <c r="H199"/>
      <c r="I199" s="72"/>
      <c r="J199"/>
      <c r="K199"/>
      <c r="L199"/>
      <c r="M199" s="72"/>
      <c r="N199"/>
      <c r="O199"/>
      <c r="P199"/>
      <c r="Q199"/>
      <c r="R199"/>
      <c r="S199"/>
      <c r="T199"/>
      <c r="U199"/>
      <c r="V199" s="73"/>
    </row>
    <row r="200" spans="1:22" x14ac:dyDescent="0.25">
      <c r="A200" s="74" t="s">
        <v>462</v>
      </c>
      <c r="B200" s="75"/>
      <c r="C200" s="75"/>
      <c r="D200" s="75"/>
      <c r="E200" s="75"/>
      <c r="F200" s="75"/>
      <c r="G200" s="75"/>
      <c r="H200" s="76"/>
      <c r="I200" s="77" t="s">
        <v>380</v>
      </c>
      <c r="J200" s="75"/>
      <c r="K200" s="75"/>
      <c r="L200" s="76"/>
      <c r="M200" s="77" t="s">
        <v>3</v>
      </c>
      <c r="N200" s="75"/>
      <c r="O200" s="75"/>
      <c r="P200" s="75"/>
      <c r="Q200" s="75"/>
      <c r="R200" s="75"/>
      <c r="S200" s="75"/>
      <c r="T200" s="75"/>
      <c r="U200" s="75"/>
      <c r="V200" s="78"/>
    </row>
    <row r="201" spans="1:22" x14ac:dyDescent="0.25">
      <c r="A201" s="79" t="s">
        <v>463</v>
      </c>
      <c r="B201" s="80"/>
      <c r="C201" s="80"/>
      <c r="D201" s="80"/>
      <c r="E201" s="80"/>
      <c r="F201" s="80"/>
      <c r="G201" s="80"/>
      <c r="H201" s="80"/>
      <c r="I201" s="81" t="s">
        <v>381</v>
      </c>
      <c r="J201" s="80"/>
      <c r="K201" s="80"/>
      <c r="L201" s="80"/>
      <c r="M201" s="81" t="s">
        <v>464</v>
      </c>
      <c r="N201" s="80"/>
      <c r="O201" s="80"/>
      <c r="P201" s="82"/>
      <c r="Q201" s="82"/>
      <c r="R201" s="82"/>
      <c r="S201" s="82"/>
      <c r="T201" s="82"/>
      <c r="U201" s="82"/>
      <c r="V201" s="83"/>
    </row>
    <row r="202" spans="1:22" ht="16.5" thickBot="1" x14ac:dyDescent="0.3">
      <c r="A202" s="84" t="s">
        <v>465</v>
      </c>
      <c r="B202" s="43"/>
      <c r="C202" s="43"/>
      <c r="D202" s="43"/>
      <c r="E202" s="43"/>
      <c r="F202" s="43"/>
      <c r="G202" s="43"/>
      <c r="H202" s="43"/>
      <c r="I202" s="85"/>
      <c r="J202" s="43"/>
      <c r="K202" s="43"/>
      <c r="L202" s="43"/>
      <c r="M202" s="85"/>
      <c r="N202" s="43"/>
      <c r="O202" s="43"/>
      <c r="P202" s="43"/>
      <c r="Q202" s="43"/>
      <c r="R202" s="43"/>
      <c r="S202" s="43"/>
      <c r="T202" s="43"/>
      <c r="U202" s="43"/>
      <c r="V202" s="44"/>
    </row>
    <row r="203" spans="1:22" ht="22.5" x14ac:dyDescent="0.25">
      <c r="A203" s="31" t="s">
        <v>441</v>
      </c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3"/>
      <c r="R203" s="1053">
        <f>+P243-S243</f>
        <v>0</v>
      </c>
      <c r="S203" s="1054"/>
      <c r="T203" s="1054"/>
      <c r="U203" s="1054"/>
      <c r="V203" s="1055"/>
    </row>
    <row r="204" spans="1:22" x14ac:dyDescent="0.25">
      <c r="A204" s="34" t="s">
        <v>442</v>
      </c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6"/>
      <c r="R204" s="37" t="s">
        <v>443</v>
      </c>
      <c r="S204"/>
      <c r="T204" s="1056"/>
      <c r="U204" s="1056"/>
      <c r="V204" s="1057"/>
    </row>
    <row r="205" spans="1:22" x14ac:dyDescent="0.25">
      <c r="A205" s="38" t="s">
        <v>444</v>
      </c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6"/>
      <c r="R205" s="37" t="s">
        <v>0</v>
      </c>
      <c r="S205"/>
      <c r="T205" s="1058">
        <f>IF(T204=0,0,(LOOKUP(T204,CsDJ[JEV Number],CsDJ[Date])))</f>
        <v>0</v>
      </c>
      <c r="U205" s="1058"/>
      <c r="V205" s="1059"/>
    </row>
    <row r="206" spans="1:22" ht="16.5" thickBot="1" x14ac:dyDescent="0.3">
      <c r="A206" s="39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1"/>
      <c r="R206" s="42"/>
      <c r="S206" s="43"/>
      <c r="T206" s="43"/>
      <c r="U206" s="43"/>
      <c r="V206" s="44"/>
    </row>
    <row r="207" spans="1:22" x14ac:dyDescent="0.25">
      <c r="A207" s="45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7"/>
      <c r="M207" s="46"/>
      <c r="N207" s="46"/>
      <c r="O207" s="46"/>
      <c r="P207" s="46"/>
      <c r="Q207" s="46"/>
      <c r="R207" s="46"/>
      <c r="S207" s="46"/>
      <c r="T207" s="46"/>
      <c r="U207" s="46"/>
      <c r="V207" s="48"/>
    </row>
    <row r="208" spans="1:22" x14ac:dyDescent="0.25">
      <c r="A208" s="49"/>
      <c r="B208" s="1060"/>
      <c r="C208" s="1060"/>
      <c r="D208" s="50" t="s">
        <v>445</v>
      </c>
      <c r="H208" s="51"/>
      <c r="I208" s="25" t="s">
        <v>447</v>
      </c>
      <c r="J208" s="132" t="s">
        <v>446</v>
      </c>
      <c r="K208" s="52" t="s">
        <v>448</v>
      </c>
      <c r="L208" s="52"/>
      <c r="Q208" s="1060"/>
      <c r="R208" s="1060"/>
      <c r="S208" s="50" t="s">
        <v>449</v>
      </c>
      <c r="T208" s="50"/>
      <c r="U208" s="50"/>
      <c r="V208" s="53"/>
    </row>
    <row r="209" spans="1:22" ht="16.5" thickBot="1" x14ac:dyDescent="0.3">
      <c r="A209" s="54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6"/>
      <c r="M209" s="55"/>
      <c r="N209" s="55"/>
      <c r="O209" s="55"/>
      <c r="P209" s="55"/>
      <c r="Q209" s="55"/>
      <c r="R209" s="55"/>
      <c r="S209" s="55"/>
      <c r="T209" s="55"/>
      <c r="U209" s="55"/>
      <c r="V209" s="57"/>
    </row>
    <row r="210" spans="1:22" x14ac:dyDescent="0.25">
      <c r="A210" s="1061" t="s">
        <v>397</v>
      </c>
      <c r="B210" s="1062"/>
      <c r="C210" s="1062"/>
      <c r="D210" s="1063"/>
      <c r="E210" s="1070" t="s">
        <v>450</v>
      </c>
      <c r="F210" s="1070"/>
      <c r="G210" s="1070"/>
      <c r="H210" s="1070"/>
      <c r="I210" s="1070"/>
      <c r="J210" s="1070"/>
      <c r="K210" s="1070"/>
      <c r="L210" s="1070"/>
      <c r="M210" s="1070"/>
      <c r="N210" s="1070"/>
      <c r="O210" s="1070"/>
      <c r="P210" s="1070"/>
      <c r="Q210" s="1070"/>
      <c r="R210" s="1070"/>
      <c r="S210" s="1070"/>
      <c r="T210" s="1070"/>
      <c r="U210" s="1070"/>
      <c r="V210" s="1071"/>
    </row>
    <row r="211" spans="1:22" x14ac:dyDescent="0.25">
      <c r="A211" s="1064"/>
      <c r="B211" s="1065"/>
      <c r="C211" s="1065"/>
      <c r="D211" s="1066"/>
      <c r="E211" s="1072" t="s">
        <v>451</v>
      </c>
      <c r="F211" s="1072"/>
      <c r="G211" s="1072"/>
      <c r="H211" s="1072"/>
      <c r="I211" s="1072"/>
      <c r="J211" s="1072"/>
      <c r="K211" s="1074" t="s">
        <v>378</v>
      </c>
      <c r="L211" s="1074"/>
      <c r="M211" s="1072" t="s">
        <v>452</v>
      </c>
      <c r="N211" s="1075" t="s">
        <v>453</v>
      </c>
      <c r="O211" s="1076"/>
      <c r="P211" s="1076"/>
      <c r="Q211" s="1076"/>
      <c r="R211" s="1076"/>
      <c r="S211" s="1076"/>
      <c r="T211" s="1076"/>
      <c r="U211" s="1076"/>
      <c r="V211" s="1077"/>
    </row>
    <row r="212" spans="1:22" ht="16.5" customHeight="1" thickBot="1" x14ac:dyDescent="0.3">
      <c r="A212" s="1067"/>
      <c r="B212" s="1068"/>
      <c r="C212" s="1068"/>
      <c r="D212" s="1069"/>
      <c r="E212" s="1073"/>
      <c r="F212" s="1073"/>
      <c r="G212" s="1073"/>
      <c r="H212" s="1073"/>
      <c r="I212" s="1073"/>
      <c r="J212" s="1073"/>
      <c r="K212" s="58" t="s">
        <v>454</v>
      </c>
      <c r="L212" s="58" t="s">
        <v>455</v>
      </c>
      <c r="M212" s="1073"/>
      <c r="N212" s="87" t="s">
        <v>466</v>
      </c>
      <c r="O212" s="87" t="s">
        <v>467</v>
      </c>
      <c r="P212" s="1078" t="s">
        <v>1</v>
      </c>
      <c r="Q212" s="1079"/>
      <c r="R212" s="1080"/>
      <c r="S212" s="1078" t="s">
        <v>2</v>
      </c>
      <c r="T212" s="1079"/>
      <c r="U212" s="1079"/>
      <c r="V212" s="1081"/>
    </row>
    <row r="213" spans="1:22" ht="19.5" x14ac:dyDescent="0.3">
      <c r="A213" s="1082">
        <f>P243-S243</f>
        <v>0</v>
      </c>
      <c r="B213" s="1083"/>
      <c r="C213" s="1083"/>
      <c r="D213" s="1083"/>
      <c r="E213" s="1084" t="str">
        <f>Account!$G$1</f>
        <v>FUND 501 CARP</v>
      </c>
      <c r="F213" s="1085"/>
      <c r="G213" s="1085"/>
      <c r="H213" s="1085"/>
      <c r="I213" s="1085"/>
      <c r="J213" s="1086"/>
      <c r="K213" s="59"/>
      <c r="L213" s="59"/>
      <c r="M213" s="60"/>
      <c r="N213" s="60"/>
      <c r="O213" s="60"/>
      <c r="P213" s="1087"/>
      <c r="Q213" s="1087"/>
      <c r="R213" s="1087"/>
      <c r="S213" s="1087"/>
      <c r="T213" s="1087"/>
      <c r="U213" s="1087"/>
      <c r="V213" s="1088"/>
    </row>
    <row r="214" spans="1:22" x14ac:dyDescent="0.25">
      <c r="A214" s="1038"/>
      <c r="B214" s="1039"/>
      <c r="C214" s="1039"/>
      <c r="D214" s="1039"/>
      <c r="E214" s="1039"/>
      <c r="F214" s="1039"/>
      <c r="G214" s="1039"/>
      <c r="H214" s="1039"/>
      <c r="I214" s="1039"/>
      <c r="J214" s="1039"/>
      <c r="K214" s="61"/>
      <c r="L214" s="61"/>
      <c r="M214" s="14"/>
      <c r="N214" s="14"/>
      <c r="O214" s="14"/>
      <c r="P214" s="1039"/>
      <c r="Q214" s="1039"/>
      <c r="R214" s="1039"/>
      <c r="S214" s="1039"/>
      <c r="T214" s="1039"/>
      <c r="U214" s="1039"/>
      <c r="V214" s="1089"/>
    </row>
    <row r="215" spans="1:22" x14ac:dyDescent="0.25">
      <c r="A215" s="1038"/>
      <c r="B215" s="1039"/>
      <c r="C215" s="1039"/>
      <c r="D215" s="1039"/>
      <c r="E215" s="1045" t="str">
        <f t="shared" ref="E215:E237" si="16">IF(K215=0,"",(VLOOKUP((TRIM(K215)),Code,2,)))</f>
        <v/>
      </c>
      <c r="F215" s="1046"/>
      <c r="G215" s="1046"/>
      <c r="H215" s="1046"/>
      <c r="I215" s="1046"/>
      <c r="J215" s="1047"/>
      <c r="K215" s="133"/>
      <c r="L215" s="62" t="str">
        <f t="shared" ref="L215:L242" si="17">IF(K215=0,"",VLOOKUP((TRIM(K215)),Code,3,))</f>
        <v/>
      </c>
      <c r="M215" s="14"/>
      <c r="N215" s="89">
        <f t="array" ref="N215">SUM(IF((CsDJ[JEV Number]=TRIM($T204))*(CsDJ[Account Code]=TRIM(K215)),CsDJ[Debit]))</f>
        <v>0</v>
      </c>
      <c r="O215" s="89">
        <f t="array" ref="O215">SUM(IF((CsDJ[JEV Number]=TRIM($T204))*(CsDJ[Account Code]=TRIM(K215)),CsDJ[Credit]))</f>
        <v>0</v>
      </c>
      <c r="P215" s="1040">
        <f>N215</f>
        <v>0</v>
      </c>
      <c r="Q215" s="1040"/>
      <c r="R215" s="1040"/>
      <c r="S215" s="1040">
        <f>O215</f>
        <v>0</v>
      </c>
      <c r="T215" s="1040"/>
      <c r="U215" s="1040"/>
      <c r="V215" s="1041"/>
    </row>
    <row r="216" spans="1:22" x14ac:dyDescent="0.25">
      <c r="A216" s="1038"/>
      <c r="B216" s="1039"/>
      <c r="C216" s="1039"/>
      <c r="D216" s="1039"/>
      <c r="E216" s="1045" t="str">
        <f t="shared" si="16"/>
        <v/>
      </c>
      <c r="F216" s="1046"/>
      <c r="G216" s="1046"/>
      <c r="H216" s="1046"/>
      <c r="I216" s="1046"/>
      <c r="J216" s="1047"/>
      <c r="K216" s="133"/>
      <c r="L216" s="62" t="str">
        <f t="shared" si="17"/>
        <v/>
      </c>
      <c r="M216" s="14"/>
      <c r="N216" s="89">
        <f t="array" ref="N216">SUM(IF((CsDJ[JEV Number]=TRIM($T204))*(CsDJ[Account Code]=TRIM(K216)),CsDJ[Debit]))</f>
        <v>0</v>
      </c>
      <c r="O216" s="89">
        <f t="array" ref="O216">SUM(IF((CsDJ[JEV Number]=TRIM($T204))*(CsDJ[Account Code]=TRIM(K216)),CsDJ[Credit]))</f>
        <v>0</v>
      </c>
      <c r="P216" s="1040">
        <f>N216</f>
        <v>0</v>
      </c>
      <c r="Q216" s="1040"/>
      <c r="R216" s="1040"/>
      <c r="S216" s="1040">
        <f>O216</f>
        <v>0</v>
      </c>
      <c r="T216" s="1040"/>
      <c r="U216" s="1040"/>
      <c r="V216" s="1041"/>
    </row>
    <row r="217" spans="1:22" x14ac:dyDescent="0.25">
      <c r="A217" s="1038"/>
      <c r="B217" s="1039"/>
      <c r="C217" s="1039"/>
      <c r="D217" s="1039"/>
      <c r="E217" s="1045" t="str">
        <f t="shared" si="16"/>
        <v/>
      </c>
      <c r="F217" s="1046"/>
      <c r="G217" s="1046"/>
      <c r="H217" s="1046"/>
      <c r="I217" s="1046"/>
      <c r="J217" s="1047"/>
      <c r="K217" s="133"/>
      <c r="L217" s="62" t="str">
        <f t="shared" si="17"/>
        <v/>
      </c>
      <c r="M217" s="14"/>
      <c r="N217" s="89">
        <f t="array" ref="N217">SUM(IF((CsDJ[JEV Number]=TRIM($T204))*(CsDJ[Account Code]=TRIM(K217)),CsDJ[Debit]))</f>
        <v>0</v>
      </c>
      <c r="O217" s="89">
        <f t="array" ref="O217">SUM(IF((CsDJ[JEV Number]=TRIM($T204))*(CsDJ[Account Code]=TRIM(K217)),CsDJ[Credit]))</f>
        <v>0</v>
      </c>
      <c r="P217" s="1040">
        <f t="shared" ref="P217:P242" si="18">N217</f>
        <v>0</v>
      </c>
      <c r="Q217" s="1040"/>
      <c r="R217" s="1040"/>
      <c r="S217" s="1040">
        <f t="shared" ref="S217:S242" si="19">O217</f>
        <v>0</v>
      </c>
      <c r="T217" s="1040"/>
      <c r="U217" s="1040"/>
      <c r="V217" s="1041"/>
    </row>
    <row r="218" spans="1:22" x14ac:dyDescent="0.25">
      <c r="A218" s="1038"/>
      <c r="B218" s="1039"/>
      <c r="C218" s="1039"/>
      <c r="D218" s="1039"/>
      <c r="E218" s="1045" t="str">
        <f t="shared" si="16"/>
        <v/>
      </c>
      <c r="F218" s="1046"/>
      <c r="G218" s="1046"/>
      <c r="H218" s="1046"/>
      <c r="I218" s="1046"/>
      <c r="J218" s="1047"/>
      <c r="K218" s="133"/>
      <c r="L218" s="62" t="str">
        <f t="shared" si="17"/>
        <v/>
      </c>
      <c r="M218" s="14"/>
      <c r="N218" s="89">
        <f t="array" ref="N218">SUM(IF((CsDJ[JEV Number]=TRIM($T204))*(CsDJ[Account Code]=TRIM(K218)),CsDJ[Debit]))</f>
        <v>0</v>
      </c>
      <c r="O218" s="89">
        <f t="array" ref="O218">SUM(IF((CsDJ[JEV Number]=TRIM($T204))*(CsDJ[Account Code]=TRIM(K218)),CsDJ[Credit]))</f>
        <v>0</v>
      </c>
      <c r="P218" s="1040">
        <f t="shared" si="18"/>
        <v>0</v>
      </c>
      <c r="Q218" s="1040"/>
      <c r="R218" s="1040"/>
      <c r="S218" s="1040">
        <f t="shared" si="19"/>
        <v>0</v>
      </c>
      <c r="T218" s="1040"/>
      <c r="U218" s="1040"/>
      <c r="V218" s="1041"/>
    </row>
    <row r="219" spans="1:22" x14ac:dyDescent="0.25">
      <c r="A219" s="1038"/>
      <c r="B219" s="1039"/>
      <c r="C219" s="1039"/>
      <c r="D219" s="1039"/>
      <c r="E219" s="1045" t="str">
        <f t="shared" si="16"/>
        <v/>
      </c>
      <c r="F219" s="1046"/>
      <c r="G219" s="1046"/>
      <c r="H219" s="1046"/>
      <c r="I219" s="1046"/>
      <c r="J219" s="1047"/>
      <c r="K219" s="133"/>
      <c r="L219" s="62" t="str">
        <f t="shared" si="17"/>
        <v/>
      </c>
      <c r="M219" s="14"/>
      <c r="N219" s="89">
        <f t="array" ref="N219">SUM(IF((CsDJ[JEV Number]=TRIM($T204))*(CsDJ[Account Code]=TRIM(K219)),CsDJ[Debit]))</f>
        <v>0</v>
      </c>
      <c r="O219" s="89">
        <f t="array" ref="O219">SUM(IF((CsDJ[JEV Number]=TRIM($T204))*(CsDJ[Account Code]=TRIM(K219)),CsDJ[Credit]))</f>
        <v>0</v>
      </c>
      <c r="P219" s="1040">
        <f t="shared" si="18"/>
        <v>0</v>
      </c>
      <c r="Q219" s="1040"/>
      <c r="R219" s="1040"/>
      <c r="S219" s="1040">
        <f t="shared" si="19"/>
        <v>0</v>
      </c>
      <c r="T219" s="1040"/>
      <c r="U219" s="1040"/>
      <c r="V219" s="1041"/>
    </row>
    <row r="220" spans="1:22" x14ac:dyDescent="0.25">
      <c r="A220" s="1038"/>
      <c r="B220" s="1039"/>
      <c r="C220" s="1039"/>
      <c r="D220" s="1039"/>
      <c r="E220" s="1045" t="str">
        <f t="shared" si="16"/>
        <v/>
      </c>
      <c r="F220" s="1046"/>
      <c r="G220" s="1046"/>
      <c r="H220" s="1046"/>
      <c r="I220" s="1046"/>
      <c r="J220" s="1047"/>
      <c r="K220" s="133"/>
      <c r="L220" s="62" t="str">
        <f t="shared" si="17"/>
        <v/>
      </c>
      <c r="M220" s="14"/>
      <c r="N220" s="89">
        <f t="array" ref="N220">SUM(IF((CsDJ[JEV Number]=TRIM($T204))*(CsDJ[Account Code]=TRIM(K220)),CsDJ[Debit]))</f>
        <v>0</v>
      </c>
      <c r="O220" s="89">
        <f t="array" ref="O220">SUM(IF((CsDJ[JEV Number]=TRIM($T204))*(CsDJ[Account Code]=TRIM(K220)),CsDJ[Credit]))</f>
        <v>0</v>
      </c>
      <c r="P220" s="1040">
        <f t="shared" si="18"/>
        <v>0</v>
      </c>
      <c r="Q220" s="1040"/>
      <c r="R220" s="1040"/>
      <c r="S220" s="1040">
        <f t="shared" si="19"/>
        <v>0</v>
      </c>
      <c r="T220" s="1040"/>
      <c r="U220" s="1040"/>
      <c r="V220" s="1041"/>
    </row>
    <row r="221" spans="1:22" x14ac:dyDescent="0.25">
      <c r="A221" s="1038"/>
      <c r="B221" s="1039"/>
      <c r="C221" s="1039"/>
      <c r="D221" s="1039"/>
      <c r="E221" s="1045" t="str">
        <f t="shared" si="16"/>
        <v/>
      </c>
      <c r="F221" s="1046"/>
      <c r="G221" s="1046"/>
      <c r="H221" s="1046"/>
      <c r="I221" s="1046"/>
      <c r="J221" s="1047"/>
      <c r="K221" s="133"/>
      <c r="L221" s="62" t="str">
        <f t="shared" si="17"/>
        <v/>
      </c>
      <c r="M221" s="14"/>
      <c r="N221" s="89">
        <f t="array" ref="N221">SUM(IF((CsDJ[JEV Number]=TRIM($T204))*(CsDJ[Account Code]=TRIM(K221)),CsDJ[Debit]))</f>
        <v>0</v>
      </c>
      <c r="O221" s="89">
        <f t="array" ref="O221">SUM(IF((CsDJ[JEV Number]=TRIM($T204))*(CsDJ[Account Code]=TRIM(K221)),CsDJ[Credit]))</f>
        <v>0</v>
      </c>
      <c r="P221" s="1040">
        <f t="shared" si="18"/>
        <v>0</v>
      </c>
      <c r="Q221" s="1040"/>
      <c r="R221" s="1040"/>
      <c r="S221" s="1040">
        <f t="shared" si="19"/>
        <v>0</v>
      </c>
      <c r="T221" s="1040"/>
      <c r="U221" s="1040"/>
      <c r="V221" s="1041"/>
    </row>
    <row r="222" spans="1:22" x14ac:dyDescent="0.25">
      <c r="A222" s="1038"/>
      <c r="B222" s="1039"/>
      <c r="C222" s="1039"/>
      <c r="D222" s="1039"/>
      <c r="E222" s="1045" t="str">
        <f t="shared" si="16"/>
        <v/>
      </c>
      <c r="F222" s="1046"/>
      <c r="G222" s="1046"/>
      <c r="H222" s="1046"/>
      <c r="I222" s="1046"/>
      <c r="J222" s="1047"/>
      <c r="K222" s="133"/>
      <c r="L222" s="62" t="str">
        <f t="shared" si="17"/>
        <v/>
      </c>
      <c r="M222" s="14"/>
      <c r="N222" s="89">
        <f t="array" ref="N222">SUM(IF((CsDJ[JEV Number]=TRIM($T204))*(CsDJ[Account Code]=TRIM(K222)),CsDJ[Debit]))</f>
        <v>0</v>
      </c>
      <c r="O222" s="89">
        <f t="array" ref="O222">SUM(IF((CsDJ[JEV Number]=TRIM($T204))*(CsDJ[Account Code]=TRIM(K222)),CsDJ[Credit]))</f>
        <v>0</v>
      </c>
      <c r="P222" s="1040">
        <f t="shared" si="18"/>
        <v>0</v>
      </c>
      <c r="Q222" s="1040"/>
      <c r="R222" s="1040"/>
      <c r="S222" s="1040">
        <f t="shared" si="19"/>
        <v>0</v>
      </c>
      <c r="T222" s="1040"/>
      <c r="U222" s="1040"/>
      <c r="V222" s="1041"/>
    </row>
    <row r="223" spans="1:22" x14ac:dyDescent="0.25">
      <c r="A223" s="1038"/>
      <c r="B223" s="1039"/>
      <c r="C223" s="1039"/>
      <c r="D223" s="1039"/>
      <c r="E223" s="1045" t="str">
        <f t="shared" si="16"/>
        <v/>
      </c>
      <c r="F223" s="1046"/>
      <c r="G223" s="1046"/>
      <c r="H223" s="1046"/>
      <c r="I223" s="1046"/>
      <c r="J223" s="1047"/>
      <c r="K223" s="134"/>
      <c r="L223" s="62" t="str">
        <f t="shared" si="17"/>
        <v/>
      </c>
      <c r="M223" s="14"/>
      <c r="N223" s="89">
        <f t="array" ref="N223">SUM(IF((CsDJ[JEV Number]=TRIM($T204))*(CsDJ[Account Code]=TRIM(K223)),CsDJ[Debit]))</f>
        <v>0</v>
      </c>
      <c r="O223" s="89">
        <f t="array" ref="O223">SUM(IF((CsDJ[JEV Number]=TRIM($T204))*(CsDJ[Account Code]=TRIM(K223)),CsDJ[Credit]))</f>
        <v>0</v>
      </c>
      <c r="P223" s="1040">
        <f t="shared" si="18"/>
        <v>0</v>
      </c>
      <c r="Q223" s="1040"/>
      <c r="R223" s="1040"/>
      <c r="S223" s="1040">
        <f t="shared" si="19"/>
        <v>0</v>
      </c>
      <c r="T223" s="1040"/>
      <c r="U223" s="1040"/>
      <c r="V223" s="1041"/>
    </row>
    <row r="224" spans="1:22" x14ac:dyDescent="0.25">
      <c r="A224" s="1038"/>
      <c r="B224" s="1039"/>
      <c r="C224" s="1039"/>
      <c r="D224" s="1039"/>
      <c r="E224" s="1045" t="str">
        <f t="shared" si="16"/>
        <v/>
      </c>
      <c r="F224" s="1046"/>
      <c r="G224" s="1046"/>
      <c r="H224" s="1046"/>
      <c r="I224" s="1046"/>
      <c r="J224" s="1047"/>
      <c r="K224" s="134"/>
      <c r="L224" s="62" t="str">
        <f t="shared" si="17"/>
        <v/>
      </c>
      <c r="M224" s="14"/>
      <c r="N224" s="89">
        <f t="array" ref="N224">SUM(IF((CsDJ[JEV Number]=TRIM($T204))*(CsDJ[Account Code]=TRIM(K224)),CsDJ[Debit]))</f>
        <v>0</v>
      </c>
      <c r="O224" s="89">
        <f t="array" ref="O224">SUM(IF((CsDJ[JEV Number]=TRIM($T204))*(CsDJ[Account Code]=TRIM(K224)),CsDJ[Credit]))</f>
        <v>0</v>
      </c>
      <c r="P224" s="1040">
        <f t="shared" si="18"/>
        <v>0</v>
      </c>
      <c r="Q224" s="1040"/>
      <c r="R224" s="1040"/>
      <c r="S224" s="1040">
        <f t="shared" si="19"/>
        <v>0</v>
      </c>
      <c r="T224" s="1040"/>
      <c r="U224" s="1040"/>
      <c r="V224" s="1041"/>
    </row>
    <row r="225" spans="1:22" x14ac:dyDescent="0.25">
      <c r="A225" s="1038"/>
      <c r="B225" s="1039"/>
      <c r="C225" s="1039"/>
      <c r="D225" s="1039"/>
      <c r="E225" s="1045" t="str">
        <f t="shared" si="16"/>
        <v/>
      </c>
      <c r="F225" s="1046"/>
      <c r="G225" s="1046"/>
      <c r="H225" s="1046"/>
      <c r="I225" s="1046"/>
      <c r="J225" s="1047"/>
      <c r="K225" s="134"/>
      <c r="L225" s="62" t="str">
        <f t="shared" si="17"/>
        <v/>
      </c>
      <c r="M225" s="14"/>
      <c r="N225" s="89">
        <f t="array" ref="N225">SUM(IF((CsDJ[JEV Number]=TRIM($T204))*(CsDJ[Account Code]=TRIM(K225)),CsDJ[Debit]))</f>
        <v>0</v>
      </c>
      <c r="O225" s="89">
        <f t="array" ref="O225">SUM(IF((CsDJ[JEV Number]=TRIM($T204))*(CsDJ[Account Code]=TRIM(K225)),CsDJ[Credit]))</f>
        <v>0</v>
      </c>
      <c r="P225" s="1040">
        <f t="shared" si="18"/>
        <v>0</v>
      </c>
      <c r="Q225" s="1040"/>
      <c r="R225" s="1040"/>
      <c r="S225" s="1040">
        <f t="shared" si="19"/>
        <v>0</v>
      </c>
      <c r="T225" s="1040"/>
      <c r="U225" s="1040"/>
      <c r="V225" s="1041"/>
    </row>
    <row r="226" spans="1:22" x14ac:dyDescent="0.25">
      <c r="A226" s="1038"/>
      <c r="B226" s="1039"/>
      <c r="C226" s="1039"/>
      <c r="D226" s="1039"/>
      <c r="E226" s="1045" t="str">
        <f t="shared" si="16"/>
        <v/>
      </c>
      <c r="F226" s="1046"/>
      <c r="G226" s="1046"/>
      <c r="H226" s="1046"/>
      <c r="I226" s="1046"/>
      <c r="J226" s="1047"/>
      <c r="K226" s="134"/>
      <c r="L226" s="62" t="str">
        <f t="shared" si="17"/>
        <v/>
      </c>
      <c r="M226" s="14"/>
      <c r="N226" s="89">
        <f t="array" ref="N226">SUM(IF((CsDJ[JEV Number]=TRIM($T204))*(CsDJ[Account Code]=TRIM(K226)),CsDJ[Debit]))</f>
        <v>0</v>
      </c>
      <c r="O226" s="89">
        <f t="array" ref="O226">SUM(IF((CsDJ[JEV Number]=TRIM($T204))*(CsDJ[Account Code]=TRIM(K226)),CsDJ[Credit]))</f>
        <v>0</v>
      </c>
      <c r="P226" s="1040">
        <f t="shared" si="18"/>
        <v>0</v>
      </c>
      <c r="Q226" s="1040"/>
      <c r="R226" s="1040"/>
      <c r="S226" s="1040">
        <f t="shared" si="19"/>
        <v>0</v>
      </c>
      <c r="T226" s="1040"/>
      <c r="U226" s="1040"/>
      <c r="V226" s="1041"/>
    </row>
    <row r="227" spans="1:22" x14ac:dyDescent="0.25">
      <c r="A227" s="1038"/>
      <c r="B227" s="1039"/>
      <c r="C227" s="1039"/>
      <c r="D227" s="1039"/>
      <c r="E227" s="1045" t="str">
        <f t="shared" si="16"/>
        <v/>
      </c>
      <c r="F227" s="1046"/>
      <c r="G227" s="1046"/>
      <c r="H227" s="1046"/>
      <c r="I227" s="1046"/>
      <c r="J227" s="1047"/>
      <c r="K227" s="134"/>
      <c r="L227" s="62" t="str">
        <f t="shared" si="17"/>
        <v/>
      </c>
      <c r="M227" s="14"/>
      <c r="N227" s="89">
        <f t="array" ref="N227">SUM(IF((CsDJ[JEV Number]=TRIM($T204))*(CsDJ[Account Code]=TRIM(K227)),CsDJ[Debit]))</f>
        <v>0</v>
      </c>
      <c r="O227" s="89">
        <f t="array" ref="O227">SUM(IF((CsDJ[JEV Number]=TRIM($T204))*(CsDJ[Account Code]=TRIM(K227)),CsDJ[Credit]))</f>
        <v>0</v>
      </c>
      <c r="P227" s="1040">
        <f t="shared" si="18"/>
        <v>0</v>
      </c>
      <c r="Q227" s="1040"/>
      <c r="R227" s="1040"/>
      <c r="S227" s="1040">
        <f t="shared" si="19"/>
        <v>0</v>
      </c>
      <c r="T227" s="1040"/>
      <c r="U227" s="1040"/>
      <c r="V227" s="1041"/>
    </row>
    <row r="228" spans="1:22" x14ac:dyDescent="0.25">
      <c r="A228" s="1038"/>
      <c r="B228" s="1039"/>
      <c r="C228" s="1039"/>
      <c r="D228" s="1039"/>
      <c r="E228" s="1045" t="str">
        <f t="shared" si="16"/>
        <v/>
      </c>
      <c r="F228" s="1046"/>
      <c r="G228" s="1046"/>
      <c r="H228" s="1046"/>
      <c r="I228" s="1046"/>
      <c r="J228" s="1047"/>
      <c r="K228" s="134"/>
      <c r="L228" s="62" t="str">
        <f t="shared" si="17"/>
        <v/>
      </c>
      <c r="M228" s="14"/>
      <c r="N228" s="89">
        <f t="array" ref="N228">SUM(IF((CsDJ[JEV Number]=TRIM($T204))*(CsDJ[Account Code]=TRIM(K228)),CsDJ[Debit]))</f>
        <v>0</v>
      </c>
      <c r="O228" s="89">
        <f t="array" ref="O228">SUM(IF((CsDJ[JEV Number]=TRIM($T204))*(CsDJ[Account Code]=TRIM(K228)),CsDJ[Credit]))</f>
        <v>0</v>
      </c>
      <c r="P228" s="1040">
        <f t="shared" si="18"/>
        <v>0</v>
      </c>
      <c r="Q228" s="1040"/>
      <c r="R228" s="1040"/>
      <c r="S228" s="1040">
        <f t="shared" si="19"/>
        <v>0</v>
      </c>
      <c r="T228" s="1040"/>
      <c r="U228" s="1040"/>
      <c r="V228" s="1041"/>
    </row>
    <row r="229" spans="1:22" x14ac:dyDescent="0.25">
      <c r="A229" s="1038"/>
      <c r="B229" s="1039"/>
      <c r="C229" s="1039"/>
      <c r="D229" s="1039"/>
      <c r="E229" s="1045" t="str">
        <f t="shared" si="16"/>
        <v/>
      </c>
      <c r="F229" s="1046"/>
      <c r="G229" s="1046"/>
      <c r="H229" s="1046"/>
      <c r="I229" s="1046"/>
      <c r="J229" s="1047"/>
      <c r="K229" s="134"/>
      <c r="L229" s="62" t="str">
        <f t="shared" si="17"/>
        <v/>
      </c>
      <c r="M229" s="14"/>
      <c r="N229" s="89">
        <f t="array" ref="N229">SUM(IF((CsDJ[JEV Number]=TRIM($T204))*(CsDJ[Account Code]=TRIM(K229)),CsDJ[Debit]))</f>
        <v>0</v>
      </c>
      <c r="O229" s="89">
        <f t="array" ref="O229">SUM(IF((CsDJ[JEV Number]=TRIM($T204))*(CsDJ[Account Code]=TRIM(K229)),CsDJ[Credit]))</f>
        <v>0</v>
      </c>
      <c r="P229" s="1040">
        <f t="shared" si="18"/>
        <v>0</v>
      </c>
      <c r="Q229" s="1040"/>
      <c r="R229" s="1040"/>
      <c r="S229" s="1040">
        <f t="shared" si="19"/>
        <v>0</v>
      </c>
      <c r="T229" s="1040"/>
      <c r="U229" s="1040"/>
      <c r="V229" s="1041"/>
    </row>
    <row r="230" spans="1:22" x14ac:dyDescent="0.25">
      <c r="A230" s="1038"/>
      <c r="B230" s="1039"/>
      <c r="C230" s="1039"/>
      <c r="D230" s="1039"/>
      <c r="E230" s="1045" t="str">
        <f t="shared" si="16"/>
        <v/>
      </c>
      <c r="F230" s="1046"/>
      <c r="G230" s="1046"/>
      <c r="H230" s="1046"/>
      <c r="I230" s="1046"/>
      <c r="J230" s="1047"/>
      <c r="K230" s="134"/>
      <c r="L230" s="62" t="str">
        <f t="shared" si="17"/>
        <v/>
      </c>
      <c r="M230" s="14"/>
      <c r="N230" s="89">
        <f t="array" ref="N230">SUM(IF((CsDJ[JEV Number]=TRIM($T204))*(CsDJ[Account Code]=TRIM(K230)),CsDJ[Debit]))</f>
        <v>0</v>
      </c>
      <c r="O230" s="89">
        <f t="array" ref="O230">SUM(IF((CsDJ[JEV Number]=TRIM($T204))*(CsDJ[Account Code]=TRIM(K230)),CsDJ[Credit]))</f>
        <v>0</v>
      </c>
      <c r="P230" s="1040">
        <f t="shared" si="18"/>
        <v>0</v>
      </c>
      <c r="Q230" s="1040"/>
      <c r="R230" s="1040"/>
      <c r="S230" s="1040">
        <f t="shared" si="19"/>
        <v>0</v>
      </c>
      <c r="T230" s="1040"/>
      <c r="U230" s="1040"/>
      <c r="V230" s="1041"/>
    </row>
    <row r="231" spans="1:22" x14ac:dyDescent="0.25">
      <c r="A231" s="1038"/>
      <c r="B231" s="1039"/>
      <c r="C231" s="1039"/>
      <c r="D231" s="1039"/>
      <c r="E231" s="1045" t="str">
        <f t="shared" si="16"/>
        <v/>
      </c>
      <c r="F231" s="1046"/>
      <c r="G231" s="1046"/>
      <c r="H231" s="1046"/>
      <c r="I231" s="1046"/>
      <c r="J231" s="1047"/>
      <c r="K231" s="134"/>
      <c r="L231" s="62" t="str">
        <f t="shared" si="17"/>
        <v/>
      </c>
      <c r="M231" s="14"/>
      <c r="N231" s="89">
        <f t="array" ref="N231">SUM(IF((CsDJ[JEV Number]=TRIM($T204))*(CsDJ[Account Code]=TRIM(K231)),CsDJ[Debit]))</f>
        <v>0</v>
      </c>
      <c r="O231" s="89">
        <f t="array" ref="O231">SUM(IF((CsDJ[JEV Number]=TRIM($T204))*(CsDJ[Account Code]=TRIM(K231)),CsDJ[Credit]))</f>
        <v>0</v>
      </c>
      <c r="P231" s="1040">
        <f t="shared" si="18"/>
        <v>0</v>
      </c>
      <c r="Q231" s="1040"/>
      <c r="R231" s="1040"/>
      <c r="S231" s="1040">
        <f t="shared" si="19"/>
        <v>0</v>
      </c>
      <c r="T231" s="1040"/>
      <c r="U231" s="1040"/>
      <c r="V231" s="1041"/>
    </row>
    <row r="232" spans="1:22" x14ac:dyDescent="0.25">
      <c r="A232" s="1038"/>
      <c r="B232" s="1039"/>
      <c r="C232" s="1039"/>
      <c r="D232" s="1039"/>
      <c r="E232" s="1045" t="str">
        <f t="shared" si="16"/>
        <v/>
      </c>
      <c r="F232" s="1046"/>
      <c r="G232" s="1046"/>
      <c r="H232" s="1046"/>
      <c r="I232" s="1046"/>
      <c r="J232" s="1047"/>
      <c r="K232" s="134"/>
      <c r="L232" s="62" t="str">
        <f t="shared" si="17"/>
        <v/>
      </c>
      <c r="M232" s="14"/>
      <c r="N232" s="89">
        <f t="array" ref="N232">SUM(IF((CsDJ[JEV Number]=TRIM($T204))*(CsDJ[Account Code]=TRIM(K232)),CsDJ[Debit]))</f>
        <v>0</v>
      </c>
      <c r="O232" s="89">
        <f t="array" ref="O232">SUM(IF((CsDJ[JEV Number]=TRIM($T204))*(CsDJ[Account Code]=TRIM(K232)),CsDJ[Credit]))</f>
        <v>0</v>
      </c>
      <c r="P232" s="1040">
        <f t="shared" si="18"/>
        <v>0</v>
      </c>
      <c r="Q232" s="1040"/>
      <c r="R232" s="1040"/>
      <c r="S232" s="1040">
        <f t="shared" si="19"/>
        <v>0</v>
      </c>
      <c r="T232" s="1040"/>
      <c r="U232" s="1040"/>
      <c r="V232" s="1041"/>
    </row>
    <row r="233" spans="1:22" x14ac:dyDescent="0.25">
      <c r="A233" s="1038"/>
      <c r="B233" s="1039"/>
      <c r="C233" s="1039"/>
      <c r="D233" s="1039"/>
      <c r="E233" s="1045" t="str">
        <f t="shared" si="16"/>
        <v/>
      </c>
      <c r="F233" s="1046"/>
      <c r="G233" s="1046"/>
      <c r="H233" s="1046"/>
      <c r="I233" s="1046"/>
      <c r="J233" s="1047"/>
      <c r="K233" s="134"/>
      <c r="L233" s="62" t="str">
        <f t="shared" si="17"/>
        <v/>
      </c>
      <c r="M233" s="14"/>
      <c r="N233" s="89">
        <f t="array" ref="N233">SUM(IF((CsDJ[JEV Number]=TRIM($T204))*(CsDJ[Account Code]=TRIM(K233)),CsDJ[Debit]))</f>
        <v>0</v>
      </c>
      <c r="O233" s="89">
        <f t="array" ref="O233">SUM(IF((CsDJ[JEV Number]=TRIM($T204))*(CsDJ[Account Code]=TRIM(K233)),CsDJ[Credit]))</f>
        <v>0</v>
      </c>
      <c r="P233" s="1040">
        <f t="shared" si="18"/>
        <v>0</v>
      </c>
      <c r="Q233" s="1040"/>
      <c r="R233" s="1040"/>
      <c r="S233" s="1040">
        <f t="shared" si="19"/>
        <v>0</v>
      </c>
      <c r="T233" s="1040"/>
      <c r="U233" s="1040"/>
      <c r="V233" s="1041"/>
    </row>
    <row r="234" spans="1:22" x14ac:dyDescent="0.25">
      <c r="A234" s="1038"/>
      <c r="B234" s="1039"/>
      <c r="C234" s="1039"/>
      <c r="D234" s="1039"/>
      <c r="E234" s="1045" t="str">
        <f t="shared" si="16"/>
        <v/>
      </c>
      <c r="F234" s="1046"/>
      <c r="G234" s="1046"/>
      <c r="H234" s="1046"/>
      <c r="I234" s="1046"/>
      <c r="J234" s="1047"/>
      <c r="K234" s="134"/>
      <c r="L234" s="62" t="str">
        <f t="shared" si="17"/>
        <v/>
      </c>
      <c r="M234" s="14"/>
      <c r="N234" s="89">
        <f t="array" ref="N234">SUM(IF((CsDJ[JEV Number]=TRIM($T204))*(CsDJ[Account Code]=TRIM(K234)),CsDJ[Debit]))</f>
        <v>0</v>
      </c>
      <c r="O234" s="89">
        <f t="array" ref="O234">SUM(IF((CsDJ[JEV Number]=TRIM($T204))*(CsDJ[Account Code]=TRIM(K234)),CsDJ[Credit]))</f>
        <v>0</v>
      </c>
      <c r="P234" s="1040">
        <f t="shared" si="18"/>
        <v>0</v>
      </c>
      <c r="Q234" s="1040"/>
      <c r="R234" s="1040"/>
      <c r="S234" s="1040">
        <f t="shared" si="19"/>
        <v>0</v>
      </c>
      <c r="T234" s="1040"/>
      <c r="U234" s="1040"/>
      <c r="V234" s="1041"/>
    </row>
    <row r="235" spans="1:22" x14ac:dyDescent="0.25">
      <c r="A235" s="1038"/>
      <c r="B235" s="1039"/>
      <c r="C235" s="1039"/>
      <c r="D235" s="1039"/>
      <c r="E235" s="1045" t="str">
        <f t="shared" si="16"/>
        <v/>
      </c>
      <c r="F235" s="1046"/>
      <c r="G235" s="1046"/>
      <c r="H235" s="1046"/>
      <c r="I235" s="1046"/>
      <c r="J235" s="1047"/>
      <c r="K235" s="134"/>
      <c r="L235" s="62" t="str">
        <f t="shared" si="17"/>
        <v/>
      </c>
      <c r="M235" s="14"/>
      <c r="N235" s="89">
        <f t="array" ref="N235">SUM(IF((CsDJ[JEV Number]=TRIM($T204))*(CsDJ[Account Code]=TRIM(K235)),CsDJ[Debit]))</f>
        <v>0</v>
      </c>
      <c r="O235" s="89">
        <f t="array" ref="O235">SUM(IF((CsDJ[JEV Number]=TRIM($T204))*(CsDJ[Account Code]=TRIM(K235)),CsDJ[Credit]))</f>
        <v>0</v>
      </c>
      <c r="P235" s="1040">
        <f t="shared" si="18"/>
        <v>0</v>
      </c>
      <c r="Q235" s="1040"/>
      <c r="R235" s="1040"/>
      <c r="S235" s="1040">
        <f t="shared" si="19"/>
        <v>0</v>
      </c>
      <c r="T235" s="1040"/>
      <c r="U235" s="1040"/>
      <c r="V235" s="1041"/>
    </row>
    <row r="236" spans="1:22" x14ac:dyDescent="0.25">
      <c r="A236" s="1038"/>
      <c r="B236" s="1039"/>
      <c r="C236" s="1039"/>
      <c r="D236" s="1039"/>
      <c r="E236" s="1045" t="str">
        <f t="shared" si="16"/>
        <v/>
      </c>
      <c r="F236" s="1046"/>
      <c r="G236" s="1046"/>
      <c r="H236" s="1046"/>
      <c r="I236" s="1046"/>
      <c r="J236" s="1047"/>
      <c r="K236" s="134"/>
      <c r="L236" s="62" t="str">
        <f t="shared" si="17"/>
        <v/>
      </c>
      <c r="M236" s="14"/>
      <c r="N236" s="89">
        <f t="array" ref="N236">SUM(IF((CsDJ[JEV Number]=TRIM($T204))*(CsDJ[Account Code]=TRIM(K236)),CsDJ[Debit]))</f>
        <v>0</v>
      </c>
      <c r="O236" s="89">
        <f t="array" ref="O236">SUM(IF((CsDJ[JEV Number]=TRIM($T204))*(CsDJ[Account Code]=TRIM(K236)),CsDJ[Credit]))</f>
        <v>0</v>
      </c>
      <c r="P236" s="1040">
        <f t="shared" si="18"/>
        <v>0</v>
      </c>
      <c r="Q236" s="1040"/>
      <c r="R236" s="1040"/>
      <c r="S236" s="1040">
        <f t="shared" si="19"/>
        <v>0</v>
      </c>
      <c r="T236" s="1040"/>
      <c r="U236" s="1040"/>
      <c r="V236" s="1041"/>
    </row>
    <row r="237" spans="1:22" x14ac:dyDescent="0.25">
      <c r="A237" s="1038"/>
      <c r="B237" s="1039"/>
      <c r="C237" s="1039"/>
      <c r="D237" s="1039"/>
      <c r="E237" s="1045" t="str">
        <f t="shared" si="16"/>
        <v/>
      </c>
      <c r="F237" s="1046"/>
      <c r="G237" s="1046"/>
      <c r="H237" s="1046"/>
      <c r="I237" s="1046"/>
      <c r="J237" s="1047"/>
      <c r="K237" s="134"/>
      <c r="L237" s="62" t="str">
        <f t="shared" si="17"/>
        <v/>
      </c>
      <c r="M237" s="14"/>
      <c r="N237" s="89">
        <f t="array" ref="N237">SUM(IF((CsDJ[JEV Number]=TRIM($T204))*(CsDJ[Account Code]=TRIM(K237)),CsDJ[Debit]))</f>
        <v>0</v>
      </c>
      <c r="O237" s="89">
        <f t="array" ref="O237">SUM(IF((CsDJ[JEV Number]=TRIM($T204))*(CsDJ[Account Code]=TRIM(K237)),CsDJ[Credit]))</f>
        <v>0</v>
      </c>
      <c r="P237" s="1040">
        <f t="shared" si="18"/>
        <v>0</v>
      </c>
      <c r="Q237" s="1040"/>
      <c r="R237" s="1040"/>
      <c r="S237" s="1040">
        <f t="shared" si="19"/>
        <v>0</v>
      </c>
      <c r="T237" s="1040"/>
      <c r="U237" s="1040"/>
      <c r="V237" s="1041"/>
    </row>
    <row r="238" spans="1:22" x14ac:dyDescent="0.25">
      <c r="A238" s="1038"/>
      <c r="B238" s="1039"/>
      <c r="C238" s="1039"/>
      <c r="D238" s="1039"/>
      <c r="E238" s="1108" t="s">
        <v>468</v>
      </c>
      <c r="F238" s="1109"/>
      <c r="G238" s="1109"/>
      <c r="H238" s="1109"/>
      <c r="I238" s="1109"/>
      <c r="J238" s="1110"/>
      <c r="K238" s="133"/>
      <c r="L238" s="62" t="str">
        <f t="shared" si="17"/>
        <v/>
      </c>
      <c r="M238" s="14"/>
      <c r="N238" s="89">
        <f t="array" ref="N238">SUM(IF((CsDJ[JEV Number]=TRIM($T204))*(CsDJ[Account Code]=TRIM(K238)),CsDJ[Debit]))</f>
        <v>0</v>
      </c>
      <c r="O238" s="89">
        <f t="array" ref="O238">SUM(IF((CsDJ[JEV Number]=TRIM($T204))*(CsDJ[Account Code]=TRIM(K238)),CsDJ[Credit]))</f>
        <v>0</v>
      </c>
      <c r="P238" s="1040">
        <f t="shared" si="18"/>
        <v>0</v>
      </c>
      <c r="Q238" s="1040"/>
      <c r="R238" s="1040"/>
      <c r="S238" s="1040">
        <f t="shared" si="19"/>
        <v>0</v>
      </c>
      <c r="T238" s="1040"/>
      <c r="U238" s="1040"/>
      <c r="V238" s="1041"/>
    </row>
    <row r="239" spans="1:22" x14ac:dyDescent="0.25">
      <c r="A239" s="1038"/>
      <c r="B239" s="1039"/>
      <c r="C239" s="1039"/>
      <c r="D239" s="1039"/>
      <c r="E239" s="1048" t="s">
        <v>457</v>
      </c>
      <c r="F239" s="1049"/>
      <c r="G239" s="1049"/>
      <c r="H239" s="1049"/>
      <c r="I239" s="1051">
        <f>T205</f>
        <v>0</v>
      </c>
      <c r="J239" s="1052"/>
      <c r="K239" s="133"/>
      <c r="L239" s="62" t="str">
        <f t="shared" si="17"/>
        <v/>
      </c>
      <c r="M239" s="14"/>
      <c r="N239" s="89">
        <f t="array" ref="N239">SUM(IF((CsDJ[JEV Number]=TRIM($T204))*(CsDJ[Account Code]=TRIM(K239)),CsDJ[Debit]))</f>
        <v>0</v>
      </c>
      <c r="O239" s="89">
        <f t="array" ref="O239">SUM(IF((CsDJ[JEV Number]=TRIM($T204))*(CsDJ[Account Code]=TRIM(K239)),CsDJ[Credit]))</f>
        <v>0</v>
      </c>
      <c r="P239" s="1040">
        <f t="shared" si="18"/>
        <v>0</v>
      </c>
      <c r="Q239" s="1040"/>
      <c r="R239" s="1040"/>
      <c r="S239" s="1040">
        <f t="shared" si="19"/>
        <v>0</v>
      </c>
      <c r="T239" s="1040"/>
      <c r="U239" s="1040"/>
      <c r="V239" s="1041"/>
    </row>
    <row r="240" spans="1:22" x14ac:dyDescent="0.25">
      <c r="A240" s="1038"/>
      <c r="B240" s="1039"/>
      <c r="C240" s="1039"/>
      <c r="D240" s="1039"/>
      <c r="E240" s="1048" t="s">
        <v>458</v>
      </c>
      <c r="F240" s="1049"/>
      <c r="G240" s="1049"/>
      <c r="H240" s="1049"/>
      <c r="I240" s="1106">
        <f>IF(T204=0,0,(IF(LOOKUP(T204,CsDJ[JEV Number],CsDJ[Sort Code])="1","MA. VIVIAN C. SALAS",IF(LOOKUP(T204,CsDJ[JEV Number],CsDJ[Sort Code])="2","LUZ R. DE COZAR",IF(LOOKUP(T204,CsDJ[JEV Number],CsDJ[Sort Code])="3","MINEONETTE A. DELA CRUZ",IF(LOOKUP(T204,CsDJ[JEV Number],CsDJ[Sort Code])="4","RESELLA B. LOPEZ"))))))</f>
        <v>0</v>
      </c>
      <c r="J240" s="1107"/>
      <c r="K240" s="133"/>
      <c r="L240" s="62" t="str">
        <f t="shared" si="17"/>
        <v/>
      </c>
      <c r="M240" s="14"/>
      <c r="N240" s="89">
        <f t="array" ref="N240">SUM(IF((CsDJ[JEV Number]=TRIM($T204))*(CsDJ[Account Code]=TRIM(K240)),CsDJ[Debit]))</f>
        <v>0</v>
      </c>
      <c r="O240" s="89">
        <f t="array" ref="O240">SUM(IF((CsDJ[JEV Number]=TRIM($T204))*(CsDJ[Account Code]=TRIM(K240)),CsDJ[Credit]))</f>
        <v>0</v>
      </c>
      <c r="P240" s="1040">
        <f t="shared" si="18"/>
        <v>0</v>
      </c>
      <c r="Q240" s="1040"/>
      <c r="R240" s="1040"/>
      <c r="S240" s="1040">
        <f t="shared" si="19"/>
        <v>0</v>
      </c>
      <c r="T240" s="1040"/>
      <c r="U240" s="1040"/>
      <c r="V240" s="1041"/>
    </row>
    <row r="241" spans="1:22" x14ac:dyDescent="0.25">
      <c r="A241" s="1038"/>
      <c r="B241" s="1039"/>
      <c r="C241" s="1039"/>
      <c r="D241" s="1039"/>
      <c r="E241" s="1048" t="s">
        <v>459</v>
      </c>
      <c r="F241" s="1049"/>
      <c r="G241" s="1049"/>
      <c r="H241" s="1049"/>
      <c r="I241" s="1043">
        <f>IF(I240="Ma. Vivian C. Salas","Regional Office", IF(I240="Luz R. De Cozar","BANE IMO", IF(I240="Mineonette A. Dela Cruz","PAMBAT IMO", IF(I240="Resella B. Lopez","TARZAM IMO",0))))</f>
        <v>0</v>
      </c>
      <c r="J241" s="1044"/>
      <c r="K241" s="133"/>
      <c r="L241" s="62" t="str">
        <f t="shared" si="17"/>
        <v/>
      </c>
      <c r="M241" s="14"/>
      <c r="N241" s="89">
        <f t="array" ref="N241">SUM(IF((CsDJ[JEV Number]=TRIM($T204))*(CsDJ[Account Code]=TRIM(K241)),CsDJ[Debit]))</f>
        <v>0</v>
      </c>
      <c r="O241" s="89">
        <f t="array" ref="O241">SUM(IF((CsDJ[JEV Number]=TRIM($T204))*(CsDJ[Account Code]=TRIM(K241)),CsDJ[Credit]))</f>
        <v>0</v>
      </c>
      <c r="P241" s="1040">
        <f t="shared" si="18"/>
        <v>0</v>
      </c>
      <c r="Q241" s="1040"/>
      <c r="R241" s="1040"/>
      <c r="S241" s="1040">
        <f t="shared" si="19"/>
        <v>0</v>
      </c>
      <c r="T241" s="1040"/>
      <c r="U241" s="1040"/>
      <c r="V241" s="1041"/>
    </row>
    <row r="242" spans="1:22" x14ac:dyDescent="0.25">
      <c r="A242" s="1038"/>
      <c r="B242" s="1039"/>
      <c r="C242" s="1039"/>
      <c r="D242" s="1039"/>
      <c r="E242" s="1048"/>
      <c r="F242" s="1049"/>
      <c r="G242" s="1049"/>
      <c r="H242" s="1049"/>
      <c r="I242" s="1049"/>
      <c r="J242" s="1050"/>
      <c r="K242" s="133"/>
      <c r="L242" s="62" t="str">
        <f t="shared" si="17"/>
        <v/>
      </c>
      <c r="M242" s="14"/>
      <c r="N242" s="89">
        <f t="array" ref="N242">SUM(IF((CsDJ[JEV Number]=TRIM($T204))*(CsDJ[Account Code]=TRIM(K242)),CsDJ[Debit]))</f>
        <v>0</v>
      </c>
      <c r="O242" s="89">
        <f t="array" ref="O242">SUM(IF((CsDJ[JEV Number]=TRIM($T204))*(CsDJ[Account Code]=TRIM(K242)),CsDJ[Credit]))</f>
        <v>0</v>
      </c>
      <c r="P242" s="1040">
        <f t="shared" si="18"/>
        <v>0</v>
      </c>
      <c r="Q242" s="1040"/>
      <c r="R242" s="1040"/>
      <c r="S242" s="1040">
        <f t="shared" si="19"/>
        <v>0</v>
      </c>
      <c r="T242" s="1040"/>
      <c r="U242" s="1040"/>
      <c r="V242" s="1041"/>
    </row>
    <row r="243" spans="1:22" ht="16.5" thickBot="1" x14ac:dyDescent="0.3">
      <c r="A243" s="1091"/>
      <c r="B243" s="1092"/>
      <c r="C243" s="1092"/>
      <c r="D243" s="1092"/>
      <c r="E243" s="1092"/>
      <c r="F243" s="1092"/>
      <c r="G243" s="1092"/>
      <c r="H243" s="1092"/>
      <c r="I243" s="1092"/>
      <c r="J243" s="1092"/>
      <c r="K243" s="1092"/>
      <c r="L243" s="1092"/>
      <c r="M243" s="1093"/>
      <c r="N243" s="88"/>
      <c r="O243" s="88"/>
      <c r="P243" s="1094">
        <f>SUM(P213:R242)</f>
        <v>0</v>
      </c>
      <c r="Q243" s="1094"/>
      <c r="R243" s="1094"/>
      <c r="S243" s="1094">
        <f>SUM(S213:V242)</f>
        <v>0</v>
      </c>
      <c r="T243" s="1094"/>
      <c r="U243" s="1094"/>
      <c r="V243" s="1095"/>
    </row>
    <row r="244" spans="1:22" x14ac:dyDescent="0.25">
      <c r="A244" s="63"/>
      <c r="B244" s="64"/>
      <c r="C244" s="64"/>
      <c r="D244" s="64"/>
      <c r="E244" s="64"/>
      <c r="F244" s="64"/>
      <c r="G244" s="64"/>
      <c r="H244" s="64"/>
      <c r="I244" s="65"/>
      <c r="J244" s="64"/>
      <c r="K244" s="66"/>
      <c r="L244" s="64"/>
      <c r="M244" s="65"/>
      <c r="N244" s="64"/>
      <c r="O244" s="64"/>
      <c r="P244" s="1090"/>
      <c r="Q244" s="1090"/>
      <c r="R244" s="1090"/>
      <c r="S244" s="1090"/>
      <c r="T244" s="1090"/>
      <c r="U244" s="1090"/>
      <c r="V244" s="1096"/>
    </row>
    <row r="245" spans="1:22" x14ac:dyDescent="0.25">
      <c r="A245" s="67" t="s">
        <v>460</v>
      </c>
      <c r="B245"/>
      <c r="C245"/>
      <c r="D245"/>
      <c r="E245"/>
      <c r="F245"/>
      <c r="G245"/>
      <c r="H245"/>
      <c r="I245" s="68" t="s">
        <v>353</v>
      </c>
      <c r="J245" s="69"/>
      <c r="K245" s="69"/>
      <c r="L245"/>
      <c r="M245" s="68" t="s">
        <v>461</v>
      </c>
      <c r="N245" s="69"/>
      <c r="O245" s="69"/>
      <c r="P245" s="70"/>
      <c r="Q245" s="70"/>
      <c r="R245" s="70"/>
      <c r="S245" s="70"/>
      <c r="T245" s="70"/>
      <c r="U245" s="70"/>
      <c r="V245" s="71"/>
    </row>
    <row r="246" spans="1:22" x14ac:dyDescent="0.25">
      <c r="A246" s="37"/>
      <c r="B246"/>
      <c r="C246"/>
      <c r="D246"/>
      <c r="E246"/>
      <c r="F246"/>
      <c r="G246"/>
      <c r="H246"/>
      <c r="I246" s="72"/>
      <c r="J246"/>
      <c r="K246"/>
      <c r="L246"/>
      <c r="M246" s="72"/>
      <c r="N246"/>
      <c r="O246"/>
      <c r="P246"/>
      <c r="Q246"/>
      <c r="R246"/>
      <c r="S246"/>
      <c r="T246"/>
      <c r="U246"/>
      <c r="V246" s="73"/>
    </row>
    <row r="247" spans="1:22" x14ac:dyDescent="0.25">
      <c r="A247" s="74" t="s">
        <v>462</v>
      </c>
      <c r="B247" s="75"/>
      <c r="C247" s="75"/>
      <c r="D247" s="75"/>
      <c r="E247" s="75"/>
      <c r="F247" s="75"/>
      <c r="G247" s="75"/>
      <c r="H247" s="76"/>
      <c r="I247" s="77" t="s">
        <v>380</v>
      </c>
      <c r="J247" s="75"/>
      <c r="K247" s="75"/>
      <c r="L247" s="76"/>
      <c r="M247" s="77" t="s">
        <v>3</v>
      </c>
      <c r="N247" s="75"/>
      <c r="O247" s="75"/>
      <c r="P247" s="75"/>
      <c r="Q247" s="75"/>
      <c r="R247" s="75"/>
      <c r="S247" s="75"/>
      <c r="T247" s="75"/>
      <c r="U247" s="75"/>
      <c r="V247" s="78"/>
    </row>
    <row r="248" spans="1:22" x14ac:dyDescent="0.25">
      <c r="A248" s="79" t="s">
        <v>463</v>
      </c>
      <c r="B248" s="80"/>
      <c r="C248" s="80"/>
      <c r="D248" s="80"/>
      <c r="E248" s="80"/>
      <c r="F248" s="80"/>
      <c r="G248" s="80"/>
      <c r="H248" s="80"/>
      <c r="I248" s="81" t="s">
        <v>381</v>
      </c>
      <c r="J248" s="80"/>
      <c r="K248" s="80"/>
      <c r="L248" s="80"/>
      <c r="M248" s="81" t="s">
        <v>464</v>
      </c>
      <c r="N248" s="80"/>
      <c r="O248" s="80"/>
      <c r="P248" s="82"/>
      <c r="Q248" s="82"/>
      <c r="R248" s="82"/>
      <c r="S248" s="82"/>
      <c r="T248" s="82"/>
      <c r="U248" s="82"/>
      <c r="V248" s="83"/>
    </row>
    <row r="249" spans="1:22" ht="16.5" thickBot="1" x14ac:dyDescent="0.3">
      <c r="A249" s="84" t="s">
        <v>465</v>
      </c>
      <c r="B249" s="43"/>
      <c r="C249" s="43"/>
      <c r="D249" s="43"/>
      <c r="E249" s="43"/>
      <c r="F249" s="43"/>
      <c r="G249" s="43"/>
      <c r="H249" s="43"/>
      <c r="I249" s="85"/>
      <c r="J249" s="43"/>
      <c r="K249" s="43"/>
      <c r="L249" s="43"/>
      <c r="M249" s="85"/>
      <c r="N249" s="43"/>
      <c r="O249" s="43"/>
      <c r="P249" s="43"/>
      <c r="Q249" s="43"/>
      <c r="R249" s="43"/>
      <c r="S249" s="43"/>
      <c r="T249" s="43"/>
      <c r="U249" s="43"/>
      <c r="V249" s="44"/>
    </row>
    <row r="250" spans="1:22" ht="22.5" x14ac:dyDescent="0.25">
      <c r="A250" s="31" t="s">
        <v>441</v>
      </c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3"/>
      <c r="R250" s="1053">
        <f>+P290-S290</f>
        <v>0</v>
      </c>
      <c r="S250" s="1054"/>
      <c r="T250" s="1054"/>
      <c r="U250" s="1054"/>
      <c r="V250" s="1055"/>
    </row>
    <row r="251" spans="1:22" x14ac:dyDescent="0.25">
      <c r="A251" s="34" t="s">
        <v>442</v>
      </c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6"/>
      <c r="R251" s="37" t="s">
        <v>443</v>
      </c>
      <c r="S251"/>
      <c r="T251" s="1056"/>
      <c r="U251" s="1056"/>
      <c r="V251" s="1057"/>
    </row>
    <row r="252" spans="1:22" x14ac:dyDescent="0.25">
      <c r="A252" s="38" t="s">
        <v>444</v>
      </c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6"/>
      <c r="R252" s="37" t="s">
        <v>0</v>
      </c>
      <c r="S252"/>
      <c r="T252" s="1058">
        <f>IF(T251=0,0,(LOOKUP(T251,CsDJ[JEV Number],CsDJ[Date])))</f>
        <v>0</v>
      </c>
      <c r="U252" s="1058"/>
      <c r="V252" s="1059"/>
    </row>
    <row r="253" spans="1:22" ht="16.5" thickBot="1" x14ac:dyDescent="0.3">
      <c r="A253" s="39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1"/>
      <c r="R253" s="42"/>
      <c r="S253" s="43"/>
      <c r="T253" s="43"/>
      <c r="U253" s="43"/>
      <c r="V253" s="44"/>
    </row>
    <row r="254" spans="1:22" x14ac:dyDescent="0.25">
      <c r="A254" s="45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7"/>
      <c r="M254" s="46"/>
      <c r="N254" s="46"/>
      <c r="O254" s="46"/>
      <c r="P254" s="46"/>
      <c r="Q254" s="46"/>
      <c r="R254" s="46"/>
      <c r="S254" s="46"/>
      <c r="T254" s="46"/>
      <c r="U254" s="46"/>
      <c r="V254" s="48"/>
    </row>
    <row r="255" spans="1:22" x14ac:dyDescent="0.25">
      <c r="A255" s="49"/>
      <c r="B255" s="1060"/>
      <c r="C255" s="1060"/>
      <c r="D255" s="50" t="s">
        <v>445</v>
      </c>
      <c r="H255" s="51"/>
      <c r="I255" s="25" t="s">
        <v>447</v>
      </c>
      <c r="J255" s="132" t="s">
        <v>446</v>
      </c>
      <c r="K255" s="52" t="s">
        <v>448</v>
      </c>
      <c r="L255" s="52"/>
      <c r="Q255" s="1060"/>
      <c r="R255" s="1060"/>
      <c r="S255" s="50" t="s">
        <v>449</v>
      </c>
      <c r="T255" s="50"/>
      <c r="U255" s="50"/>
      <c r="V255" s="53"/>
    </row>
    <row r="256" spans="1:22" ht="16.5" thickBot="1" x14ac:dyDescent="0.3">
      <c r="A256" s="54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6"/>
      <c r="M256" s="55"/>
      <c r="N256" s="55"/>
      <c r="O256" s="55"/>
      <c r="P256" s="55"/>
      <c r="Q256" s="55"/>
      <c r="R256" s="55"/>
      <c r="S256" s="55"/>
      <c r="T256" s="55"/>
      <c r="U256" s="55"/>
      <c r="V256" s="57"/>
    </row>
    <row r="257" spans="1:22" x14ac:dyDescent="0.25">
      <c r="A257" s="1061" t="s">
        <v>397</v>
      </c>
      <c r="B257" s="1062"/>
      <c r="C257" s="1062"/>
      <c r="D257" s="1063"/>
      <c r="E257" s="1070" t="s">
        <v>450</v>
      </c>
      <c r="F257" s="1070"/>
      <c r="G257" s="1070"/>
      <c r="H257" s="1070"/>
      <c r="I257" s="1070"/>
      <c r="J257" s="1070"/>
      <c r="K257" s="1070"/>
      <c r="L257" s="1070"/>
      <c r="M257" s="1070"/>
      <c r="N257" s="1070"/>
      <c r="O257" s="1070"/>
      <c r="P257" s="1070"/>
      <c r="Q257" s="1070"/>
      <c r="R257" s="1070"/>
      <c r="S257" s="1070"/>
      <c r="T257" s="1070"/>
      <c r="U257" s="1070"/>
      <c r="V257" s="1071"/>
    </row>
    <row r="258" spans="1:22" x14ac:dyDescent="0.25">
      <c r="A258" s="1064"/>
      <c r="B258" s="1065"/>
      <c r="C258" s="1065"/>
      <c r="D258" s="1066"/>
      <c r="E258" s="1072" t="s">
        <v>451</v>
      </c>
      <c r="F258" s="1072"/>
      <c r="G258" s="1072"/>
      <c r="H258" s="1072"/>
      <c r="I258" s="1072"/>
      <c r="J258" s="1072"/>
      <c r="K258" s="1074" t="s">
        <v>378</v>
      </c>
      <c r="L258" s="1074"/>
      <c r="M258" s="1072" t="s">
        <v>452</v>
      </c>
      <c r="N258" s="1075" t="s">
        <v>453</v>
      </c>
      <c r="O258" s="1076"/>
      <c r="P258" s="1076"/>
      <c r="Q258" s="1076"/>
      <c r="R258" s="1076"/>
      <c r="S258" s="1076"/>
      <c r="T258" s="1076"/>
      <c r="U258" s="1076"/>
      <c r="V258" s="1077"/>
    </row>
    <row r="259" spans="1:22" ht="16.5" customHeight="1" thickBot="1" x14ac:dyDescent="0.3">
      <c r="A259" s="1067"/>
      <c r="B259" s="1068"/>
      <c r="C259" s="1068"/>
      <c r="D259" s="1069"/>
      <c r="E259" s="1073"/>
      <c r="F259" s="1073"/>
      <c r="G259" s="1073"/>
      <c r="H259" s="1073"/>
      <c r="I259" s="1073"/>
      <c r="J259" s="1073"/>
      <c r="K259" s="58" t="s">
        <v>454</v>
      </c>
      <c r="L259" s="58" t="s">
        <v>455</v>
      </c>
      <c r="M259" s="1073"/>
      <c r="N259" s="87" t="s">
        <v>466</v>
      </c>
      <c r="O259" s="87" t="s">
        <v>467</v>
      </c>
      <c r="P259" s="1078" t="s">
        <v>1</v>
      </c>
      <c r="Q259" s="1079"/>
      <c r="R259" s="1080"/>
      <c r="S259" s="1078" t="s">
        <v>2</v>
      </c>
      <c r="T259" s="1079"/>
      <c r="U259" s="1079"/>
      <c r="V259" s="1081"/>
    </row>
    <row r="260" spans="1:22" ht="19.5" x14ac:dyDescent="0.3">
      <c r="A260" s="1082">
        <f>P290-S290</f>
        <v>0</v>
      </c>
      <c r="B260" s="1083"/>
      <c r="C260" s="1083"/>
      <c r="D260" s="1083"/>
      <c r="E260" s="1084" t="str">
        <f>Account!$G$1</f>
        <v>FUND 501 CARP</v>
      </c>
      <c r="F260" s="1085"/>
      <c r="G260" s="1085"/>
      <c r="H260" s="1085"/>
      <c r="I260" s="1085"/>
      <c r="J260" s="1086"/>
      <c r="K260" s="59"/>
      <c r="L260" s="59"/>
      <c r="M260" s="60"/>
      <c r="N260" s="60"/>
      <c r="O260" s="60"/>
      <c r="P260" s="1087"/>
      <c r="Q260" s="1087"/>
      <c r="R260" s="1087"/>
      <c r="S260" s="1087"/>
      <c r="T260" s="1087"/>
      <c r="U260" s="1087"/>
      <c r="V260" s="1088"/>
    </row>
    <row r="261" spans="1:22" x14ac:dyDescent="0.25">
      <c r="A261" s="1038"/>
      <c r="B261" s="1039"/>
      <c r="C261" s="1039"/>
      <c r="D261" s="1039"/>
      <c r="E261" s="1039"/>
      <c r="F261" s="1039"/>
      <c r="G261" s="1039"/>
      <c r="H261" s="1039"/>
      <c r="I261" s="1039"/>
      <c r="J261" s="1039"/>
      <c r="K261" s="61"/>
      <c r="L261" s="61"/>
      <c r="M261" s="14"/>
      <c r="N261" s="14"/>
      <c r="O261" s="14"/>
      <c r="P261" s="1039"/>
      <c r="Q261" s="1039"/>
      <c r="R261" s="1039"/>
      <c r="S261" s="1039"/>
      <c r="T261" s="1039"/>
      <c r="U261" s="1039"/>
      <c r="V261" s="1089"/>
    </row>
    <row r="262" spans="1:22" x14ac:dyDescent="0.25">
      <c r="A262" s="1038"/>
      <c r="B262" s="1039"/>
      <c r="C262" s="1039"/>
      <c r="D262" s="1039"/>
      <c r="E262" s="1045" t="str">
        <f t="shared" ref="E262:E284" si="20">IF(K262=0,"",(VLOOKUP((TRIM(K262)),Code,2,)))</f>
        <v/>
      </c>
      <c r="F262" s="1046"/>
      <c r="G262" s="1046"/>
      <c r="H262" s="1046"/>
      <c r="I262" s="1046"/>
      <c r="J262" s="1047"/>
      <c r="K262" s="133"/>
      <c r="L262" s="62" t="str">
        <f t="shared" ref="L262:L289" si="21">IF(K262=0,"",VLOOKUP((TRIM(K262)),Code,3,))</f>
        <v/>
      </c>
      <c r="M262" s="14"/>
      <c r="N262" s="89">
        <f t="array" ref="N262">SUM(IF((CsDJ[JEV Number]=TRIM($T251))*(CsDJ[Account Code]=TRIM(K262)),CsDJ[Debit]))</f>
        <v>0</v>
      </c>
      <c r="O262" s="89">
        <f t="array" ref="O262">SUM(IF((CsDJ[JEV Number]=TRIM($T251))*(CsDJ[Account Code]=TRIM(K262)),CsDJ[Credit]))</f>
        <v>0</v>
      </c>
      <c r="P262" s="1040">
        <f>N262</f>
        <v>0</v>
      </c>
      <c r="Q262" s="1040"/>
      <c r="R262" s="1040"/>
      <c r="S262" s="1040">
        <f>O262</f>
        <v>0</v>
      </c>
      <c r="T262" s="1040"/>
      <c r="U262" s="1040"/>
      <c r="V262" s="1041"/>
    </row>
    <row r="263" spans="1:22" x14ac:dyDescent="0.25">
      <c r="A263" s="1038"/>
      <c r="B263" s="1039"/>
      <c r="C263" s="1039"/>
      <c r="D263" s="1039"/>
      <c r="E263" s="1045" t="str">
        <f t="shared" si="20"/>
        <v/>
      </c>
      <c r="F263" s="1046"/>
      <c r="G263" s="1046"/>
      <c r="H263" s="1046"/>
      <c r="I263" s="1046"/>
      <c r="J263" s="1047"/>
      <c r="K263" s="133"/>
      <c r="L263" s="62" t="str">
        <f t="shared" si="21"/>
        <v/>
      </c>
      <c r="M263" s="14"/>
      <c r="N263" s="89">
        <f t="array" ref="N263">SUM(IF((CsDJ[JEV Number]=TRIM($T251))*(CsDJ[Account Code]=TRIM(K263)),CsDJ[Debit]))</f>
        <v>0</v>
      </c>
      <c r="O263" s="89">
        <f t="array" ref="O263">SUM(IF((CsDJ[JEV Number]=TRIM($T251))*(CsDJ[Account Code]=TRIM(K263)),CsDJ[Credit]))</f>
        <v>0</v>
      </c>
      <c r="P263" s="1040">
        <f>N263</f>
        <v>0</v>
      </c>
      <c r="Q263" s="1040"/>
      <c r="R263" s="1040"/>
      <c r="S263" s="1040">
        <f>O263</f>
        <v>0</v>
      </c>
      <c r="T263" s="1040"/>
      <c r="U263" s="1040"/>
      <c r="V263" s="1041"/>
    </row>
    <row r="264" spans="1:22" x14ac:dyDescent="0.25">
      <c r="A264" s="1038"/>
      <c r="B264" s="1039"/>
      <c r="C264" s="1039"/>
      <c r="D264" s="1039"/>
      <c r="E264" s="1045" t="str">
        <f t="shared" si="20"/>
        <v/>
      </c>
      <c r="F264" s="1046"/>
      <c r="G264" s="1046"/>
      <c r="H264" s="1046"/>
      <c r="I264" s="1046"/>
      <c r="J264" s="1047"/>
      <c r="K264" s="133"/>
      <c r="L264" s="62" t="str">
        <f t="shared" si="21"/>
        <v/>
      </c>
      <c r="M264" s="14"/>
      <c r="N264" s="89">
        <f t="array" ref="N264">SUM(IF((CsDJ[JEV Number]=TRIM($T251))*(CsDJ[Account Code]=TRIM(K264)),CsDJ[Debit]))</f>
        <v>0</v>
      </c>
      <c r="O264" s="89">
        <f t="array" ref="O264">SUM(IF((CsDJ[JEV Number]=TRIM($T251))*(CsDJ[Account Code]=TRIM(K264)),CsDJ[Credit]))</f>
        <v>0</v>
      </c>
      <c r="P264" s="1040">
        <f t="shared" ref="P264:P289" si="22">N264</f>
        <v>0</v>
      </c>
      <c r="Q264" s="1040"/>
      <c r="R264" s="1040"/>
      <c r="S264" s="1040">
        <f t="shared" ref="S264:S289" si="23">O264</f>
        <v>0</v>
      </c>
      <c r="T264" s="1040"/>
      <c r="U264" s="1040"/>
      <c r="V264" s="1041"/>
    </row>
    <row r="265" spans="1:22" x14ac:dyDescent="0.25">
      <c r="A265" s="1038"/>
      <c r="B265" s="1039"/>
      <c r="C265" s="1039"/>
      <c r="D265" s="1039"/>
      <c r="E265" s="1045" t="str">
        <f t="shared" si="20"/>
        <v/>
      </c>
      <c r="F265" s="1046"/>
      <c r="G265" s="1046"/>
      <c r="H265" s="1046"/>
      <c r="I265" s="1046"/>
      <c r="J265" s="1047"/>
      <c r="K265" s="133"/>
      <c r="L265" s="62" t="str">
        <f t="shared" si="21"/>
        <v/>
      </c>
      <c r="M265" s="14"/>
      <c r="N265" s="89">
        <f t="array" ref="N265">SUM(IF((CsDJ[JEV Number]=TRIM($T251))*(CsDJ[Account Code]=TRIM(K265)),CsDJ[Debit]))</f>
        <v>0</v>
      </c>
      <c r="O265" s="89">
        <f t="array" ref="O265">SUM(IF((CsDJ[JEV Number]=TRIM($T251))*(CsDJ[Account Code]=TRIM(K265)),CsDJ[Credit]))</f>
        <v>0</v>
      </c>
      <c r="P265" s="1040">
        <f t="shared" si="22"/>
        <v>0</v>
      </c>
      <c r="Q265" s="1040"/>
      <c r="R265" s="1040"/>
      <c r="S265" s="1040">
        <f t="shared" si="23"/>
        <v>0</v>
      </c>
      <c r="T265" s="1040"/>
      <c r="U265" s="1040"/>
      <c r="V265" s="1041"/>
    </row>
    <row r="266" spans="1:22" x14ac:dyDescent="0.25">
      <c r="A266" s="1038"/>
      <c r="B266" s="1039"/>
      <c r="C266" s="1039"/>
      <c r="D266" s="1039"/>
      <c r="E266" s="1045" t="str">
        <f t="shared" si="20"/>
        <v/>
      </c>
      <c r="F266" s="1046"/>
      <c r="G266" s="1046"/>
      <c r="H266" s="1046"/>
      <c r="I266" s="1046"/>
      <c r="J266" s="1047"/>
      <c r="K266" s="133"/>
      <c r="L266" s="62" t="str">
        <f t="shared" si="21"/>
        <v/>
      </c>
      <c r="M266" s="14"/>
      <c r="N266" s="89">
        <f t="array" ref="N266">SUM(IF((CsDJ[JEV Number]=TRIM($T251))*(CsDJ[Account Code]=TRIM(K266)),CsDJ[Debit]))</f>
        <v>0</v>
      </c>
      <c r="O266" s="89">
        <f t="array" ref="O266">SUM(IF((CsDJ[JEV Number]=TRIM($T251))*(CsDJ[Account Code]=TRIM(K266)),CsDJ[Credit]))</f>
        <v>0</v>
      </c>
      <c r="P266" s="1040">
        <f t="shared" si="22"/>
        <v>0</v>
      </c>
      <c r="Q266" s="1040"/>
      <c r="R266" s="1040"/>
      <c r="S266" s="1040">
        <f t="shared" si="23"/>
        <v>0</v>
      </c>
      <c r="T266" s="1040"/>
      <c r="U266" s="1040"/>
      <c r="V266" s="1041"/>
    </row>
    <row r="267" spans="1:22" x14ac:dyDescent="0.25">
      <c r="A267" s="1038"/>
      <c r="B267" s="1039"/>
      <c r="C267" s="1039"/>
      <c r="D267" s="1039"/>
      <c r="E267" s="1045" t="str">
        <f t="shared" si="20"/>
        <v/>
      </c>
      <c r="F267" s="1046"/>
      <c r="G267" s="1046"/>
      <c r="H267" s="1046"/>
      <c r="I267" s="1046"/>
      <c r="J267" s="1047"/>
      <c r="K267" s="133"/>
      <c r="L267" s="62" t="str">
        <f t="shared" si="21"/>
        <v/>
      </c>
      <c r="M267" s="14"/>
      <c r="N267" s="89">
        <f t="array" ref="N267">SUM(IF((CsDJ[JEV Number]=TRIM($T251))*(CsDJ[Account Code]=TRIM(K267)),CsDJ[Debit]))</f>
        <v>0</v>
      </c>
      <c r="O267" s="89">
        <f t="array" ref="O267">SUM(IF((CsDJ[JEV Number]=TRIM($T251))*(CsDJ[Account Code]=TRIM(K267)),CsDJ[Credit]))</f>
        <v>0</v>
      </c>
      <c r="P267" s="1040">
        <f t="shared" si="22"/>
        <v>0</v>
      </c>
      <c r="Q267" s="1040"/>
      <c r="R267" s="1040"/>
      <c r="S267" s="1040">
        <f t="shared" si="23"/>
        <v>0</v>
      </c>
      <c r="T267" s="1040"/>
      <c r="U267" s="1040"/>
      <c r="V267" s="1041"/>
    </row>
    <row r="268" spans="1:22" x14ac:dyDescent="0.25">
      <c r="A268" s="1038"/>
      <c r="B268" s="1039"/>
      <c r="C268" s="1039"/>
      <c r="D268" s="1039"/>
      <c r="E268" s="1045" t="str">
        <f t="shared" si="20"/>
        <v/>
      </c>
      <c r="F268" s="1046"/>
      <c r="G268" s="1046"/>
      <c r="H268" s="1046"/>
      <c r="I268" s="1046"/>
      <c r="J268" s="1047"/>
      <c r="K268" s="133"/>
      <c r="L268" s="62" t="str">
        <f t="shared" si="21"/>
        <v/>
      </c>
      <c r="M268" s="14"/>
      <c r="N268" s="89">
        <f t="array" ref="N268">SUM(IF((CsDJ[JEV Number]=TRIM($T251))*(CsDJ[Account Code]=TRIM(K268)),CsDJ[Debit]))</f>
        <v>0</v>
      </c>
      <c r="O268" s="89">
        <f t="array" ref="O268">SUM(IF((CsDJ[JEV Number]=TRIM($T251))*(CsDJ[Account Code]=TRIM(K268)),CsDJ[Credit]))</f>
        <v>0</v>
      </c>
      <c r="P268" s="1040">
        <f t="shared" si="22"/>
        <v>0</v>
      </c>
      <c r="Q268" s="1040"/>
      <c r="R268" s="1040"/>
      <c r="S268" s="1040">
        <f t="shared" si="23"/>
        <v>0</v>
      </c>
      <c r="T268" s="1040"/>
      <c r="U268" s="1040"/>
      <c r="V268" s="1041"/>
    </row>
    <row r="269" spans="1:22" x14ac:dyDescent="0.25">
      <c r="A269" s="1038"/>
      <c r="B269" s="1039"/>
      <c r="C269" s="1039"/>
      <c r="D269" s="1039"/>
      <c r="E269" s="1045" t="str">
        <f t="shared" si="20"/>
        <v/>
      </c>
      <c r="F269" s="1046"/>
      <c r="G269" s="1046"/>
      <c r="H269" s="1046"/>
      <c r="I269" s="1046"/>
      <c r="J269" s="1047"/>
      <c r="K269" s="133"/>
      <c r="L269" s="62" t="str">
        <f t="shared" si="21"/>
        <v/>
      </c>
      <c r="M269" s="14"/>
      <c r="N269" s="89">
        <f t="array" ref="N269">SUM(IF((CsDJ[JEV Number]=TRIM($T251))*(CsDJ[Account Code]=TRIM(K269)),CsDJ[Debit]))</f>
        <v>0</v>
      </c>
      <c r="O269" s="89">
        <f t="array" ref="O269">SUM(IF((CsDJ[JEV Number]=TRIM($T251))*(CsDJ[Account Code]=TRIM(K269)),CsDJ[Credit]))</f>
        <v>0</v>
      </c>
      <c r="P269" s="1040">
        <f t="shared" si="22"/>
        <v>0</v>
      </c>
      <c r="Q269" s="1040"/>
      <c r="R269" s="1040"/>
      <c r="S269" s="1040">
        <f t="shared" si="23"/>
        <v>0</v>
      </c>
      <c r="T269" s="1040"/>
      <c r="U269" s="1040"/>
      <c r="V269" s="1041"/>
    </row>
    <row r="270" spans="1:22" x14ac:dyDescent="0.25">
      <c r="A270" s="1038"/>
      <c r="B270" s="1039"/>
      <c r="C270" s="1039"/>
      <c r="D270" s="1039"/>
      <c r="E270" s="1045" t="str">
        <f t="shared" si="20"/>
        <v/>
      </c>
      <c r="F270" s="1046"/>
      <c r="G270" s="1046"/>
      <c r="H270" s="1046"/>
      <c r="I270" s="1046"/>
      <c r="J270" s="1047"/>
      <c r="K270" s="134"/>
      <c r="L270" s="62" t="str">
        <f t="shared" si="21"/>
        <v/>
      </c>
      <c r="M270" s="14"/>
      <c r="N270" s="89">
        <f t="array" ref="N270">SUM(IF((CsDJ[JEV Number]=TRIM($T251))*(CsDJ[Account Code]=TRIM(K270)),CsDJ[Debit]))</f>
        <v>0</v>
      </c>
      <c r="O270" s="89">
        <f t="array" ref="O270">SUM(IF((CsDJ[JEV Number]=TRIM($T251))*(CsDJ[Account Code]=TRIM(K270)),CsDJ[Credit]))</f>
        <v>0</v>
      </c>
      <c r="P270" s="1040">
        <f t="shared" si="22"/>
        <v>0</v>
      </c>
      <c r="Q270" s="1040"/>
      <c r="R270" s="1040"/>
      <c r="S270" s="1040">
        <f t="shared" si="23"/>
        <v>0</v>
      </c>
      <c r="T270" s="1040"/>
      <c r="U270" s="1040"/>
      <c r="V270" s="1041"/>
    </row>
    <row r="271" spans="1:22" x14ac:dyDescent="0.25">
      <c r="A271" s="1038"/>
      <c r="B271" s="1039"/>
      <c r="C271" s="1039"/>
      <c r="D271" s="1039"/>
      <c r="E271" s="1045" t="str">
        <f t="shared" si="20"/>
        <v/>
      </c>
      <c r="F271" s="1046"/>
      <c r="G271" s="1046"/>
      <c r="H271" s="1046"/>
      <c r="I271" s="1046"/>
      <c r="J271" s="1047"/>
      <c r="K271" s="134"/>
      <c r="L271" s="62" t="str">
        <f t="shared" si="21"/>
        <v/>
      </c>
      <c r="M271" s="14"/>
      <c r="N271" s="89">
        <f t="array" ref="N271">SUM(IF((CsDJ[JEV Number]=TRIM($T251))*(CsDJ[Account Code]=TRIM(K271)),CsDJ[Debit]))</f>
        <v>0</v>
      </c>
      <c r="O271" s="89">
        <f t="array" ref="O271">SUM(IF((CsDJ[JEV Number]=TRIM($T251))*(CsDJ[Account Code]=TRIM(K271)),CsDJ[Credit]))</f>
        <v>0</v>
      </c>
      <c r="P271" s="1040">
        <f t="shared" si="22"/>
        <v>0</v>
      </c>
      <c r="Q271" s="1040"/>
      <c r="R271" s="1040"/>
      <c r="S271" s="1040">
        <f t="shared" si="23"/>
        <v>0</v>
      </c>
      <c r="T271" s="1040"/>
      <c r="U271" s="1040"/>
      <c r="V271" s="1041"/>
    </row>
    <row r="272" spans="1:22" x14ac:dyDescent="0.25">
      <c r="A272" s="1038"/>
      <c r="B272" s="1039"/>
      <c r="C272" s="1039"/>
      <c r="D272" s="1039"/>
      <c r="E272" s="1045" t="str">
        <f t="shared" si="20"/>
        <v/>
      </c>
      <c r="F272" s="1046"/>
      <c r="G272" s="1046"/>
      <c r="H272" s="1046"/>
      <c r="I272" s="1046"/>
      <c r="J272" s="1047"/>
      <c r="K272" s="134"/>
      <c r="L272" s="62" t="str">
        <f t="shared" si="21"/>
        <v/>
      </c>
      <c r="M272" s="14"/>
      <c r="N272" s="89">
        <f t="array" ref="N272">SUM(IF((CsDJ[JEV Number]=TRIM($T251))*(CsDJ[Account Code]=TRIM(K272)),CsDJ[Debit]))</f>
        <v>0</v>
      </c>
      <c r="O272" s="89">
        <f t="array" ref="O272">SUM(IF((CsDJ[JEV Number]=TRIM($T251))*(CsDJ[Account Code]=TRIM(K272)),CsDJ[Credit]))</f>
        <v>0</v>
      </c>
      <c r="P272" s="1040">
        <f t="shared" si="22"/>
        <v>0</v>
      </c>
      <c r="Q272" s="1040"/>
      <c r="R272" s="1040"/>
      <c r="S272" s="1040">
        <f t="shared" si="23"/>
        <v>0</v>
      </c>
      <c r="T272" s="1040"/>
      <c r="U272" s="1040"/>
      <c r="V272" s="1041"/>
    </row>
    <row r="273" spans="1:22" x14ac:dyDescent="0.25">
      <c r="A273" s="1038"/>
      <c r="B273" s="1039"/>
      <c r="C273" s="1039"/>
      <c r="D273" s="1039"/>
      <c r="E273" s="1045" t="str">
        <f t="shared" si="20"/>
        <v/>
      </c>
      <c r="F273" s="1046"/>
      <c r="G273" s="1046"/>
      <c r="H273" s="1046"/>
      <c r="I273" s="1046"/>
      <c r="J273" s="1047"/>
      <c r="K273" s="134"/>
      <c r="L273" s="62" t="str">
        <f t="shared" si="21"/>
        <v/>
      </c>
      <c r="M273" s="14"/>
      <c r="N273" s="89">
        <f t="array" ref="N273">SUM(IF((CsDJ[JEV Number]=TRIM($T251))*(CsDJ[Account Code]=TRIM(K273)),CsDJ[Debit]))</f>
        <v>0</v>
      </c>
      <c r="O273" s="89">
        <f t="array" ref="O273">SUM(IF((CsDJ[JEV Number]=TRIM($T251))*(CsDJ[Account Code]=TRIM(K273)),CsDJ[Credit]))</f>
        <v>0</v>
      </c>
      <c r="P273" s="1040">
        <f t="shared" si="22"/>
        <v>0</v>
      </c>
      <c r="Q273" s="1040"/>
      <c r="R273" s="1040"/>
      <c r="S273" s="1040">
        <f t="shared" si="23"/>
        <v>0</v>
      </c>
      <c r="T273" s="1040"/>
      <c r="U273" s="1040"/>
      <c r="V273" s="1041"/>
    </row>
    <row r="274" spans="1:22" x14ac:dyDescent="0.25">
      <c r="A274" s="1038"/>
      <c r="B274" s="1039"/>
      <c r="C274" s="1039"/>
      <c r="D274" s="1039"/>
      <c r="E274" s="1045" t="str">
        <f t="shared" si="20"/>
        <v/>
      </c>
      <c r="F274" s="1046"/>
      <c r="G274" s="1046"/>
      <c r="H274" s="1046"/>
      <c r="I274" s="1046"/>
      <c r="J274" s="1047"/>
      <c r="K274" s="134"/>
      <c r="L274" s="62" t="str">
        <f t="shared" si="21"/>
        <v/>
      </c>
      <c r="M274" s="14"/>
      <c r="N274" s="89">
        <f t="array" ref="N274">SUM(IF((CsDJ[JEV Number]=TRIM($T251))*(CsDJ[Account Code]=TRIM(K274)),CsDJ[Debit]))</f>
        <v>0</v>
      </c>
      <c r="O274" s="89">
        <f t="array" ref="O274">SUM(IF((CsDJ[JEV Number]=TRIM($T251))*(CsDJ[Account Code]=TRIM(K274)),CsDJ[Credit]))</f>
        <v>0</v>
      </c>
      <c r="P274" s="1040">
        <f t="shared" si="22"/>
        <v>0</v>
      </c>
      <c r="Q274" s="1040"/>
      <c r="R274" s="1040"/>
      <c r="S274" s="1040">
        <f t="shared" si="23"/>
        <v>0</v>
      </c>
      <c r="T274" s="1040"/>
      <c r="U274" s="1040"/>
      <c r="V274" s="1041"/>
    </row>
    <row r="275" spans="1:22" x14ac:dyDescent="0.25">
      <c r="A275" s="1038"/>
      <c r="B275" s="1039"/>
      <c r="C275" s="1039"/>
      <c r="D275" s="1039"/>
      <c r="E275" s="1045" t="str">
        <f t="shared" si="20"/>
        <v/>
      </c>
      <c r="F275" s="1046"/>
      <c r="G275" s="1046"/>
      <c r="H275" s="1046"/>
      <c r="I275" s="1046"/>
      <c r="J275" s="1047"/>
      <c r="K275" s="134"/>
      <c r="L275" s="62" t="str">
        <f t="shared" si="21"/>
        <v/>
      </c>
      <c r="M275" s="14"/>
      <c r="N275" s="89">
        <f t="array" ref="N275">SUM(IF((CsDJ[JEV Number]=TRIM($T251))*(CsDJ[Account Code]=TRIM(K275)),CsDJ[Debit]))</f>
        <v>0</v>
      </c>
      <c r="O275" s="89">
        <f t="array" ref="O275">SUM(IF((CsDJ[JEV Number]=TRIM($T251))*(CsDJ[Account Code]=TRIM(K275)),CsDJ[Credit]))</f>
        <v>0</v>
      </c>
      <c r="P275" s="1040">
        <f t="shared" si="22"/>
        <v>0</v>
      </c>
      <c r="Q275" s="1040"/>
      <c r="R275" s="1040"/>
      <c r="S275" s="1040">
        <f t="shared" si="23"/>
        <v>0</v>
      </c>
      <c r="T275" s="1040"/>
      <c r="U275" s="1040"/>
      <c r="V275" s="1041"/>
    </row>
    <row r="276" spans="1:22" x14ac:dyDescent="0.25">
      <c r="A276" s="1038"/>
      <c r="B276" s="1039"/>
      <c r="C276" s="1039"/>
      <c r="D276" s="1039"/>
      <c r="E276" s="1045" t="str">
        <f t="shared" si="20"/>
        <v/>
      </c>
      <c r="F276" s="1046"/>
      <c r="G276" s="1046"/>
      <c r="H276" s="1046"/>
      <c r="I276" s="1046"/>
      <c r="J276" s="1047"/>
      <c r="K276" s="134"/>
      <c r="L276" s="62" t="str">
        <f t="shared" si="21"/>
        <v/>
      </c>
      <c r="M276" s="14"/>
      <c r="N276" s="89">
        <f t="array" ref="N276">SUM(IF((CsDJ[JEV Number]=TRIM($T251))*(CsDJ[Account Code]=TRIM(K276)),CsDJ[Debit]))</f>
        <v>0</v>
      </c>
      <c r="O276" s="89">
        <f t="array" ref="O276">SUM(IF((CsDJ[JEV Number]=TRIM($T251))*(CsDJ[Account Code]=TRIM(K276)),CsDJ[Credit]))</f>
        <v>0</v>
      </c>
      <c r="P276" s="1040">
        <f t="shared" si="22"/>
        <v>0</v>
      </c>
      <c r="Q276" s="1040"/>
      <c r="R276" s="1040"/>
      <c r="S276" s="1040">
        <f t="shared" si="23"/>
        <v>0</v>
      </c>
      <c r="T276" s="1040"/>
      <c r="U276" s="1040"/>
      <c r="V276" s="1041"/>
    </row>
    <row r="277" spans="1:22" x14ac:dyDescent="0.25">
      <c r="A277" s="1038"/>
      <c r="B277" s="1039"/>
      <c r="C277" s="1039"/>
      <c r="D277" s="1039"/>
      <c r="E277" s="1045" t="str">
        <f t="shared" si="20"/>
        <v/>
      </c>
      <c r="F277" s="1046"/>
      <c r="G277" s="1046"/>
      <c r="H277" s="1046"/>
      <c r="I277" s="1046"/>
      <c r="J277" s="1047"/>
      <c r="K277" s="134"/>
      <c r="L277" s="62" t="str">
        <f t="shared" si="21"/>
        <v/>
      </c>
      <c r="M277" s="14"/>
      <c r="N277" s="89">
        <f t="array" ref="N277">SUM(IF((CsDJ[JEV Number]=TRIM($T251))*(CsDJ[Account Code]=TRIM(K277)),CsDJ[Debit]))</f>
        <v>0</v>
      </c>
      <c r="O277" s="89">
        <f t="array" ref="O277">SUM(IF((CsDJ[JEV Number]=TRIM($T251))*(CsDJ[Account Code]=TRIM(K277)),CsDJ[Credit]))</f>
        <v>0</v>
      </c>
      <c r="P277" s="1040">
        <f t="shared" si="22"/>
        <v>0</v>
      </c>
      <c r="Q277" s="1040"/>
      <c r="R277" s="1040"/>
      <c r="S277" s="1040">
        <f t="shared" si="23"/>
        <v>0</v>
      </c>
      <c r="T277" s="1040"/>
      <c r="U277" s="1040"/>
      <c r="V277" s="1041"/>
    </row>
    <row r="278" spans="1:22" x14ac:dyDescent="0.25">
      <c r="A278" s="1038"/>
      <c r="B278" s="1039"/>
      <c r="C278" s="1039"/>
      <c r="D278" s="1039"/>
      <c r="E278" s="1045" t="str">
        <f t="shared" si="20"/>
        <v/>
      </c>
      <c r="F278" s="1046"/>
      <c r="G278" s="1046"/>
      <c r="H278" s="1046"/>
      <c r="I278" s="1046"/>
      <c r="J278" s="1047"/>
      <c r="K278" s="134"/>
      <c r="L278" s="62" t="str">
        <f t="shared" si="21"/>
        <v/>
      </c>
      <c r="M278" s="14"/>
      <c r="N278" s="89">
        <f t="array" ref="N278">SUM(IF((CsDJ[JEV Number]=TRIM($T251))*(CsDJ[Account Code]=TRIM(K278)),CsDJ[Debit]))</f>
        <v>0</v>
      </c>
      <c r="O278" s="89">
        <f t="array" ref="O278">SUM(IF((CsDJ[JEV Number]=TRIM($T251))*(CsDJ[Account Code]=TRIM(K278)),CsDJ[Credit]))</f>
        <v>0</v>
      </c>
      <c r="P278" s="1040">
        <f t="shared" si="22"/>
        <v>0</v>
      </c>
      <c r="Q278" s="1040"/>
      <c r="R278" s="1040"/>
      <c r="S278" s="1040">
        <f t="shared" si="23"/>
        <v>0</v>
      </c>
      <c r="T278" s="1040"/>
      <c r="U278" s="1040"/>
      <c r="V278" s="1041"/>
    </row>
    <row r="279" spans="1:22" x14ac:dyDescent="0.25">
      <c r="A279" s="1038"/>
      <c r="B279" s="1039"/>
      <c r="C279" s="1039"/>
      <c r="D279" s="1039"/>
      <c r="E279" s="1045" t="str">
        <f t="shared" si="20"/>
        <v/>
      </c>
      <c r="F279" s="1046"/>
      <c r="G279" s="1046"/>
      <c r="H279" s="1046"/>
      <c r="I279" s="1046"/>
      <c r="J279" s="1047"/>
      <c r="K279" s="134"/>
      <c r="L279" s="62" t="str">
        <f t="shared" si="21"/>
        <v/>
      </c>
      <c r="M279" s="14"/>
      <c r="N279" s="89">
        <f t="array" ref="N279">SUM(IF((CsDJ[JEV Number]=TRIM($T251))*(CsDJ[Account Code]=TRIM(K279)),CsDJ[Debit]))</f>
        <v>0</v>
      </c>
      <c r="O279" s="89">
        <f t="array" ref="O279">SUM(IF((CsDJ[JEV Number]=TRIM($T251))*(CsDJ[Account Code]=TRIM(K279)),CsDJ[Credit]))</f>
        <v>0</v>
      </c>
      <c r="P279" s="1040">
        <f t="shared" si="22"/>
        <v>0</v>
      </c>
      <c r="Q279" s="1040"/>
      <c r="R279" s="1040"/>
      <c r="S279" s="1040">
        <f t="shared" si="23"/>
        <v>0</v>
      </c>
      <c r="T279" s="1040"/>
      <c r="U279" s="1040"/>
      <c r="V279" s="1041"/>
    </row>
    <row r="280" spans="1:22" x14ac:dyDescent="0.25">
      <c r="A280" s="1038"/>
      <c r="B280" s="1039"/>
      <c r="C280" s="1039"/>
      <c r="D280" s="1039"/>
      <c r="E280" s="1045" t="str">
        <f t="shared" si="20"/>
        <v/>
      </c>
      <c r="F280" s="1046"/>
      <c r="G280" s="1046"/>
      <c r="H280" s="1046"/>
      <c r="I280" s="1046"/>
      <c r="J280" s="1047"/>
      <c r="K280" s="134"/>
      <c r="L280" s="62" t="str">
        <f t="shared" si="21"/>
        <v/>
      </c>
      <c r="M280" s="14"/>
      <c r="N280" s="89">
        <f t="array" ref="N280">SUM(IF((CsDJ[JEV Number]=TRIM($T251))*(CsDJ[Account Code]=TRIM(K280)),CsDJ[Debit]))</f>
        <v>0</v>
      </c>
      <c r="O280" s="89">
        <f t="array" ref="O280">SUM(IF((CsDJ[JEV Number]=TRIM($T251))*(CsDJ[Account Code]=TRIM(K280)),CsDJ[Credit]))</f>
        <v>0</v>
      </c>
      <c r="P280" s="1040">
        <f t="shared" si="22"/>
        <v>0</v>
      </c>
      <c r="Q280" s="1040"/>
      <c r="R280" s="1040"/>
      <c r="S280" s="1040">
        <f t="shared" si="23"/>
        <v>0</v>
      </c>
      <c r="T280" s="1040"/>
      <c r="U280" s="1040"/>
      <c r="V280" s="1041"/>
    </row>
    <row r="281" spans="1:22" x14ac:dyDescent="0.25">
      <c r="A281" s="1038"/>
      <c r="B281" s="1039"/>
      <c r="C281" s="1039"/>
      <c r="D281" s="1039"/>
      <c r="E281" s="1045" t="str">
        <f t="shared" si="20"/>
        <v/>
      </c>
      <c r="F281" s="1046"/>
      <c r="G281" s="1046"/>
      <c r="H281" s="1046"/>
      <c r="I281" s="1046"/>
      <c r="J281" s="1047"/>
      <c r="K281" s="134"/>
      <c r="L281" s="62" t="str">
        <f t="shared" si="21"/>
        <v/>
      </c>
      <c r="M281" s="14"/>
      <c r="N281" s="89">
        <f t="array" ref="N281">SUM(IF((CsDJ[JEV Number]=TRIM($T251))*(CsDJ[Account Code]=TRIM(K281)),CsDJ[Debit]))</f>
        <v>0</v>
      </c>
      <c r="O281" s="89">
        <f t="array" ref="O281">SUM(IF((CsDJ[JEV Number]=TRIM($T251))*(CsDJ[Account Code]=TRIM(K281)),CsDJ[Credit]))</f>
        <v>0</v>
      </c>
      <c r="P281" s="1040">
        <f t="shared" si="22"/>
        <v>0</v>
      </c>
      <c r="Q281" s="1040"/>
      <c r="R281" s="1040"/>
      <c r="S281" s="1040">
        <f t="shared" si="23"/>
        <v>0</v>
      </c>
      <c r="T281" s="1040"/>
      <c r="U281" s="1040"/>
      <c r="V281" s="1041"/>
    </row>
    <row r="282" spans="1:22" x14ac:dyDescent="0.25">
      <c r="A282" s="1038"/>
      <c r="B282" s="1039"/>
      <c r="C282" s="1039"/>
      <c r="D282" s="1039"/>
      <c r="E282" s="1045" t="str">
        <f t="shared" si="20"/>
        <v/>
      </c>
      <c r="F282" s="1046"/>
      <c r="G282" s="1046"/>
      <c r="H282" s="1046"/>
      <c r="I282" s="1046"/>
      <c r="J282" s="1047"/>
      <c r="K282" s="134"/>
      <c r="L282" s="62" t="str">
        <f t="shared" si="21"/>
        <v/>
      </c>
      <c r="M282" s="14"/>
      <c r="N282" s="89">
        <f t="array" ref="N282">SUM(IF((CsDJ[JEV Number]=TRIM($T251))*(CsDJ[Account Code]=TRIM(K282)),CsDJ[Debit]))</f>
        <v>0</v>
      </c>
      <c r="O282" s="89">
        <f t="array" ref="O282">SUM(IF((CsDJ[JEV Number]=TRIM($T251))*(CsDJ[Account Code]=TRIM(K282)),CsDJ[Credit]))</f>
        <v>0</v>
      </c>
      <c r="P282" s="1040">
        <f t="shared" si="22"/>
        <v>0</v>
      </c>
      <c r="Q282" s="1040"/>
      <c r="R282" s="1040"/>
      <c r="S282" s="1040">
        <f t="shared" si="23"/>
        <v>0</v>
      </c>
      <c r="T282" s="1040"/>
      <c r="U282" s="1040"/>
      <c r="V282" s="1041"/>
    </row>
    <row r="283" spans="1:22" x14ac:dyDescent="0.25">
      <c r="A283" s="1038"/>
      <c r="B283" s="1039"/>
      <c r="C283" s="1039"/>
      <c r="D283" s="1039"/>
      <c r="E283" s="1045" t="str">
        <f t="shared" si="20"/>
        <v/>
      </c>
      <c r="F283" s="1046"/>
      <c r="G283" s="1046"/>
      <c r="H283" s="1046"/>
      <c r="I283" s="1046"/>
      <c r="J283" s="1047"/>
      <c r="K283" s="134"/>
      <c r="L283" s="62" t="str">
        <f t="shared" si="21"/>
        <v/>
      </c>
      <c r="M283" s="14"/>
      <c r="N283" s="89">
        <f t="array" ref="N283">SUM(IF((CsDJ[JEV Number]=TRIM($T251))*(CsDJ[Account Code]=TRIM(K283)),CsDJ[Debit]))</f>
        <v>0</v>
      </c>
      <c r="O283" s="89">
        <f t="array" ref="O283">SUM(IF((CsDJ[JEV Number]=TRIM($T251))*(CsDJ[Account Code]=TRIM(K283)),CsDJ[Credit]))</f>
        <v>0</v>
      </c>
      <c r="P283" s="1040">
        <f t="shared" si="22"/>
        <v>0</v>
      </c>
      <c r="Q283" s="1040"/>
      <c r="R283" s="1040"/>
      <c r="S283" s="1040">
        <f t="shared" si="23"/>
        <v>0</v>
      </c>
      <c r="T283" s="1040"/>
      <c r="U283" s="1040"/>
      <c r="V283" s="1041"/>
    </row>
    <row r="284" spans="1:22" x14ac:dyDescent="0.25">
      <c r="A284" s="1038"/>
      <c r="B284" s="1039"/>
      <c r="C284" s="1039"/>
      <c r="D284" s="1039"/>
      <c r="E284" s="1045" t="str">
        <f t="shared" si="20"/>
        <v/>
      </c>
      <c r="F284" s="1046"/>
      <c r="G284" s="1046"/>
      <c r="H284" s="1046"/>
      <c r="I284" s="1046"/>
      <c r="J284" s="1047"/>
      <c r="K284" s="134"/>
      <c r="L284" s="62" t="str">
        <f t="shared" si="21"/>
        <v/>
      </c>
      <c r="M284" s="14"/>
      <c r="N284" s="89">
        <f t="array" ref="N284">SUM(IF((CsDJ[JEV Number]=TRIM($T251))*(CsDJ[Account Code]=TRIM(K284)),CsDJ[Debit]))</f>
        <v>0</v>
      </c>
      <c r="O284" s="89">
        <f t="array" ref="O284">SUM(IF((CsDJ[JEV Number]=TRIM($T251))*(CsDJ[Account Code]=TRIM(K284)),CsDJ[Credit]))</f>
        <v>0</v>
      </c>
      <c r="P284" s="1040">
        <f t="shared" si="22"/>
        <v>0</v>
      </c>
      <c r="Q284" s="1040"/>
      <c r="R284" s="1040"/>
      <c r="S284" s="1040">
        <f t="shared" si="23"/>
        <v>0</v>
      </c>
      <c r="T284" s="1040"/>
      <c r="U284" s="1040"/>
      <c r="V284" s="1041"/>
    </row>
    <row r="285" spans="1:22" x14ac:dyDescent="0.25">
      <c r="A285" s="1038"/>
      <c r="B285" s="1039"/>
      <c r="C285" s="1039"/>
      <c r="D285" s="1039"/>
      <c r="E285" s="1108" t="s">
        <v>468</v>
      </c>
      <c r="F285" s="1109"/>
      <c r="G285" s="1109"/>
      <c r="H285" s="1109"/>
      <c r="I285" s="1109"/>
      <c r="J285" s="1110"/>
      <c r="K285" s="133"/>
      <c r="L285" s="62" t="str">
        <f t="shared" si="21"/>
        <v/>
      </c>
      <c r="M285" s="14"/>
      <c r="N285" s="89">
        <f t="array" ref="N285">SUM(IF((CsDJ[JEV Number]=TRIM($T251))*(CsDJ[Account Code]=TRIM(K285)),CsDJ[Debit]))</f>
        <v>0</v>
      </c>
      <c r="O285" s="89">
        <f t="array" ref="O285">SUM(IF((CsDJ[JEV Number]=TRIM($T251))*(CsDJ[Account Code]=TRIM(K285)),CsDJ[Credit]))</f>
        <v>0</v>
      </c>
      <c r="P285" s="1040">
        <f t="shared" si="22"/>
        <v>0</v>
      </c>
      <c r="Q285" s="1040"/>
      <c r="R285" s="1040"/>
      <c r="S285" s="1040">
        <f t="shared" si="23"/>
        <v>0</v>
      </c>
      <c r="T285" s="1040"/>
      <c r="U285" s="1040"/>
      <c r="V285" s="1041"/>
    </row>
    <row r="286" spans="1:22" x14ac:dyDescent="0.25">
      <c r="A286" s="1038"/>
      <c r="B286" s="1039"/>
      <c r="C286" s="1039"/>
      <c r="D286" s="1039"/>
      <c r="E286" s="1048" t="s">
        <v>457</v>
      </c>
      <c r="F286" s="1049"/>
      <c r="G286" s="1049"/>
      <c r="H286" s="1049"/>
      <c r="I286" s="1051">
        <f>T252</f>
        <v>0</v>
      </c>
      <c r="J286" s="1052"/>
      <c r="K286" s="133"/>
      <c r="L286" s="62" t="str">
        <f t="shared" si="21"/>
        <v/>
      </c>
      <c r="M286" s="14"/>
      <c r="N286" s="89">
        <f t="array" ref="N286">SUM(IF((CsDJ[JEV Number]=TRIM($T251))*(CsDJ[Account Code]=TRIM(K286)),CsDJ[Debit]))</f>
        <v>0</v>
      </c>
      <c r="O286" s="89">
        <f t="array" ref="O286">SUM(IF((CsDJ[JEV Number]=TRIM($T251))*(CsDJ[Account Code]=TRIM(K286)),CsDJ[Credit]))</f>
        <v>0</v>
      </c>
      <c r="P286" s="1040">
        <f t="shared" si="22"/>
        <v>0</v>
      </c>
      <c r="Q286" s="1040"/>
      <c r="R286" s="1040"/>
      <c r="S286" s="1040">
        <f t="shared" si="23"/>
        <v>0</v>
      </c>
      <c r="T286" s="1040"/>
      <c r="U286" s="1040"/>
      <c r="V286" s="1041"/>
    </row>
    <row r="287" spans="1:22" x14ac:dyDescent="0.25">
      <c r="A287" s="1038"/>
      <c r="B287" s="1039"/>
      <c r="C287" s="1039"/>
      <c r="D287" s="1039"/>
      <c r="E287" s="1048" t="s">
        <v>458</v>
      </c>
      <c r="F287" s="1049"/>
      <c r="G287" s="1049"/>
      <c r="H287" s="1049"/>
      <c r="I287" s="1106">
        <f>IF(T251=0,0,(IF(LOOKUP(T251,CsDJ[JEV Number],CsDJ[Sort Code])="1","MA. VIVIAN C. SALAS",IF(LOOKUP(T251,CsDJ[JEV Number],CsDJ[Sort Code])="2","LUZ R. DE COZAR",IF(LOOKUP(T251,CsDJ[JEV Number],CsDJ[Sort Code])="3","MINEONETTE A. DELA CRUZ",IF(LOOKUP(T251,CsDJ[JEV Number],CsDJ[Sort Code])="4","RESELLA B. LOPEZ"))))))</f>
        <v>0</v>
      </c>
      <c r="J287" s="1107"/>
      <c r="K287" s="133"/>
      <c r="L287" s="62" t="str">
        <f t="shared" si="21"/>
        <v/>
      </c>
      <c r="M287" s="14"/>
      <c r="N287" s="89">
        <f t="array" ref="N287">SUM(IF((CsDJ[JEV Number]=TRIM($T251))*(CsDJ[Account Code]=TRIM(K287)),CsDJ[Debit]))</f>
        <v>0</v>
      </c>
      <c r="O287" s="89">
        <f t="array" ref="O287">SUM(IF((CsDJ[JEV Number]=TRIM($T251))*(CsDJ[Account Code]=TRIM(K287)),CsDJ[Credit]))</f>
        <v>0</v>
      </c>
      <c r="P287" s="1040">
        <f t="shared" si="22"/>
        <v>0</v>
      </c>
      <c r="Q287" s="1040"/>
      <c r="R287" s="1040"/>
      <c r="S287" s="1040">
        <f t="shared" si="23"/>
        <v>0</v>
      </c>
      <c r="T287" s="1040"/>
      <c r="U287" s="1040"/>
      <c r="V287" s="1041"/>
    </row>
    <row r="288" spans="1:22" x14ac:dyDescent="0.25">
      <c r="A288" s="1038"/>
      <c r="B288" s="1039"/>
      <c r="C288" s="1039"/>
      <c r="D288" s="1039"/>
      <c r="E288" s="1048" t="s">
        <v>459</v>
      </c>
      <c r="F288" s="1049"/>
      <c r="G288" s="1049"/>
      <c r="H288" s="1049"/>
      <c r="I288" s="1043">
        <f>IF(I287="Ma. Vivian C. Salas","Regional Office", IF(I287="Luz R. De Cozar","BANE IMO", IF(I287="Mineonette A. Dela Cruz","PAMBAT IMO", IF(I287="Resella B. Lopez","TARZAM IMO",0))))</f>
        <v>0</v>
      </c>
      <c r="J288" s="1044"/>
      <c r="K288" s="133"/>
      <c r="L288" s="62" t="str">
        <f t="shared" si="21"/>
        <v/>
      </c>
      <c r="M288" s="14"/>
      <c r="N288" s="89">
        <f t="array" ref="N288">SUM(IF((CsDJ[JEV Number]=TRIM($T251))*(CsDJ[Account Code]=TRIM(K288)),CsDJ[Debit]))</f>
        <v>0</v>
      </c>
      <c r="O288" s="89">
        <f t="array" ref="O288">SUM(IF((CsDJ[JEV Number]=TRIM($T251))*(CsDJ[Account Code]=TRIM(K288)),CsDJ[Credit]))</f>
        <v>0</v>
      </c>
      <c r="P288" s="1040">
        <f t="shared" si="22"/>
        <v>0</v>
      </c>
      <c r="Q288" s="1040"/>
      <c r="R288" s="1040"/>
      <c r="S288" s="1040">
        <f t="shared" si="23"/>
        <v>0</v>
      </c>
      <c r="T288" s="1040"/>
      <c r="U288" s="1040"/>
      <c r="V288" s="1041"/>
    </row>
    <row r="289" spans="1:22" x14ac:dyDescent="0.25">
      <c r="A289" s="1038"/>
      <c r="B289" s="1039"/>
      <c r="C289" s="1039"/>
      <c r="D289" s="1039"/>
      <c r="E289" s="1048"/>
      <c r="F289" s="1049"/>
      <c r="G289" s="1049"/>
      <c r="H289" s="1049"/>
      <c r="I289" s="1049"/>
      <c r="J289" s="1050"/>
      <c r="K289" s="133"/>
      <c r="L289" s="62" t="str">
        <f t="shared" si="21"/>
        <v/>
      </c>
      <c r="M289" s="14"/>
      <c r="N289" s="89">
        <f t="array" ref="N289">SUM(IF((CsDJ[JEV Number]=TRIM($T251))*(CsDJ[Account Code]=TRIM(K289)),CsDJ[Debit]))</f>
        <v>0</v>
      </c>
      <c r="O289" s="89">
        <f t="array" ref="O289">SUM(IF((CsDJ[JEV Number]=TRIM($T251))*(CsDJ[Account Code]=TRIM(K289)),CsDJ[Credit]))</f>
        <v>0</v>
      </c>
      <c r="P289" s="1040">
        <f t="shared" si="22"/>
        <v>0</v>
      </c>
      <c r="Q289" s="1040"/>
      <c r="R289" s="1040"/>
      <c r="S289" s="1040">
        <f t="shared" si="23"/>
        <v>0</v>
      </c>
      <c r="T289" s="1040"/>
      <c r="U289" s="1040"/>
      <c r="V289" s="1041"/>
    </row>
    <row r="290" spans="1:22" ht="16.5" thickBot="1" x14ac:dyDescent="0.3">
      <c r="A290" s="1091"/>
      <c r="B290" s="1092"/>
      <c r="C290" s="1092"/>
      <c r="D290" s="1092"/>
      <c r="E290" s="1092"/>
      <c r="F290" s="1092"/>
      <c r="G290" s="1092"/>
      <c r="H290" s="1092"/>
      <c r="I290" s="1092"/>
      <c r="J290" s="1092"/>
      <c r="K290" s="1092"/>
      <c r="L290" s="1092"/>
      <c r="M290" s="1093"/>
      <c r="N290" s="88"/>
      <c r="O290" s="88"/>
      <c r="P290" s="1094">
        <f>SUM(P260:R289)</f>
        <v>0</v>
      </c>
      <c r="Q290" s="1094"/>
      <c r="R290" s="1094"/>
      <c r="S290" s="1094">
        <f>SUM(S260:V289)</f>
        <v>0</v>
      </c>
      <c r="T290" s="1094"/>
      <c r="U290" s="1094"/>
      <c r="V290" s="1095"/>
    </row>
    <row r="291" spans="1:22" x14ac:dyDescent="0.25">
      <c r="A291" s="63"/>
      <c r="B291" s="64"/>
      <c r="C291" s="64"/>
      <c r="D291" s="64"/>
      <c r="E291" s="64"/>
      <c r="F291" s="64"/>
      <c r="G291" s="64"/>
      <c r="H291" s="64"/>
      <c r="I291" s="65"/>
      <c r="J291" s="64"/>
      <c r="K291" s="66"/>
      <c r="L291" s="64"/>
      <c r="M291" s="65"/>
      <c r="N291" s="64"/>
      <c r="O291" s="64"/>
      <c r="P291" s="1090"/>
      <c r="Q291" s="1090"/>
      <c r="R291" s="1090"/>
      <c r="S291" s="1090"/>
      <c r="T291" s="1090"/>
      <c r="U291" s="1090"/>
      <c r="V291" s="1096"/>
    </row>
    <row r="292" spans="1:22" x14ac:dyDescent="0.25">
      <c r="A292" s="67" t="s">
        <v>460</v>
      </c>
      <c r="B292"/>
      <c r="C292"/>
      <c r="D292"/>
      <c r="E292"/>
      <c r="F292"/>
      <c r="G292"/>
      <c r="H292"/>
      <c r="I292" s="68" t="s">
        <v>353</v>
      </c>
      <c r="J292" s="69"/>
      <c r="K292" s="69"/>
      <c r="L292"/>
      <c r="M292" s="68" t="s">
        <v>461</v>
      </c>
      <c r="N292" s="69"/>
      <c r="O292" s="69"/>
      <c r="P292" s="70"/>
      <c r="Q292" s="70"/>
      <c r="R292" s="70"/>
      <c r="S292" s="70"/>
      <c r="T292" s="70"/>
      <c r="U292" s="70"/>
      <c r="V292" s="71"/>
    </row>
    <row r="293" spans="1:22" x14ac:dyDescent="0.25">
      <c r="A293" s="37"/>
      <c r="B293"/>
      <c r="C293"/>
      <c r="D293"/>
      <c r="E293"/>
      <c r="F293"/>
      <c r="G293"/>
      <c r="H293"/>
      <c r="I293" s="72"/>
      <c r="J293"/>
      <c r="K293"/>
      <c r="L293"/>
      <c r="M293" s="72"/>
      <c r="N293"/>
      <c r="O293"/>
      <c r="P293"/>
      <c r="Q293"/>
      <c r="R293"/>
      <c r="S293"/>
      <c r="T293"/>
      <c r="U293"/>
      <c r="V293" s="73"/>
    </row>
    <row r="294" spans="1:22" x14ac:dyDescent="0.25">
      <c r="A294" s="74" t="s">
        <v>462</v>
      </c>
      <c r="B294" s="75"/>
      <c r="C294" s="75"/>
      <c r="D294" s="75"/>
      <c r="E294" s="75"/>
      <c r="F294" s="75"/>
      <c r="G294" s="75"/>
      <c r="H294" s="76"/>
      <c r="I294" s="77" t="s">
        <v>380</v>
      </c>
      <c r="J294" s="75"/>
      <c r="K294" s="75"/>
      <c r="L294" s="76"/>
      <c r="M294" s="77" t="s">
        <v>3</v>
      </c>
      <c r="N294" s="75"/>
      <c r="O294" s="75"/>
      <c r="P294" s="75"/>
      <c r="Q294" s="75"/>
      <c r="R294" s="75"/>
      <c r="S294" s="75"/>
      <c r="T294" s="75"/>
      <c r="U294" s="75"/>
      <c r="V294" s="78"/>
    </row>
    <row r="295" spans="1:22" x14ac:dyDescent="0.25">
      <c r="A295" s="79" t="s">
        <v>463</v>
      </c>
      <c r="B295" s="80"/>
      <c r="C295" s="80"/>
      <c r="D295" s="80"/>
      <c r="E295" s="80"/>
      <c r="F295" s="80"/>
      <c r="G295" s="80"/>
      <c r="H295" s="80"/>
      <c r="I295" s="81" t="s">
        <v>381</v>
      </c>
      <c r="J295" s="80"/>
      <c r="K295" s="80"/>
      <c r="L295" s="80"/>
      <c r="M295" s="81" t="s">
        <v>464</v>
      </c>
      <c r="N295" s="80"/>
      <c r="O295" s="80"/>
      <c r="P295" s="82"/>
      <c r="Q295" s="82"/>
      <c r="R295" s="82"/>
      <c r="S295" s="82"/>
      <c r="T295" s="82"/>
      <c r="U295" s="82"/>
      <c r="V295" s="83"/>
    </row>
    <row r="296" spans="1:22" ht="16.5" thickBot="1" x14ac:dyDescent="0.3">
      <c r="A296" s="84" t="s">
        <v>465</v>
      </c>
      <c r="B296" s="43"/>
      <c r="C296" s="43"/>
      <c r="D296" s="43"/>
      <c r="E296" s="43"/>
      <c r="F296" s="43"/>
      <c r="G296" s="43"/>
      <c r="H296" s="43"/>
      <c r="I296" s="85"/>
      <c r="J296" s="43"/>
      <c r="K296" s="43"/>
      <c r="L296" s="43"/>
      <c r="M296" s="85"/>
      <c r="N296" s="43"/>
      <c r="O296" s="43"/>
      <c r="P296" s="43"/>
      <c r="Q296" s="43"/>
      <c r="R296" s="43"/>
      <c r="S296" s="43"/>
      <c r="T296" s="43"/>
      <c r="U296" s="43"/>
      <c r="V296" s="44"/>
    </row>
    <row r="297" spans="1:22" ht="22.5" x14ac:dyDescent="0.25">
      <c r="A297" s="31" t="s">
        <v>441</v>
      </c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3"/>
      <c r="R297" s="1053">
        <f>+P337-S337</f>
        <v>0</v>
      </c>
      <c r="S297" s="1054"/>
      <c r="T297" s="1054"/>
      <c r="U297" s="1054"/>
      <c r="V297" s="1055"/>
    </row>
    <row r="298" spans="1:22" x14ac:dyDescent="0.25">
      <c r="A298" s="34" t="s">
        <v>442</v>
      </c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6"/>
      <c r="R298" s="37" t="s">
        <v>443</v>
      </c>
      <c r="S298"/>
      <c r="T298" s="1056"/>
      <c r="U298" s="1056"/>
      <c r="V298" s="1057"/>
    </row>
    <row r="299" spans="1:22" x14ac:dyDescent="0.25">
      <c r="A299" s="38" t="s">
        <v>444</v>
      </c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6"/>
      <c r="R299" s="37" t="s">
        <v>0</v>
      </c>
      <c r="S299"/>
      <c r="T299" s="1058">
        <f>IF(T298=0,0,(LOOKUP(T298,CsDJ[JEV Number],CsDJ[Date])))</f>
        <v>0</v>
      </c>
      <c r="U299" s="1058"/>
      <c r="V299" s="1059"/>
    </row>
    <row r="300" spans="1:22" ht="16.5" thickBot="1" x14ac:dyDescent="0.3">
      <c r="A300" s="39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1"/>
      <c r="R300" s="42"/>
      <c r="S300" s="43"/>
      <c r="T300" s="43"/>
      <c r="U300" s="43"/>
      <c r="V300" s="44"/>
    </row>
    <row r="301" spans="1:22" x14ac:dyDescent="0.25">
      <c r="A301" s="45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7"/>
      <c r="M301" s="46"/>
      <c r="N301" s="46"/>
      <c r="O301" s="46"/>
      <c r="P301" s="46"/>
      <c r="Q301" s="46"/>
      <c r="R301" s="46"/>
      <c r="S301" s="46"/>
      <c r="T301" s="46"/>
      <c r="U301" s="46"/>
      <c r="V301" s="48"/>
    </row>
    <row r="302" spans="1:22" x14ac:dyDescent="0.25">
      <c r="A302" s="49"/>
      <c r="B302" s="1060"/>
      <c r="C302" s="1060"/>
      <c r="D302" s="50" t="s">
        <v>445</v>
      </c>
      <c r="H302" s="51"/>
      <c r="I302" s="25" t="s">
        <v>447</v>
      </c>
      <c r="J302" s="132" t="s">
        <v>446</v>
      </c>
      <c r="K302" s="52" t="s">
        <v>448</v>
      </c>
      <c r="L302" s="52"/>
      <c r="Q302" s="1060"/>
      <c r="R302" s="1060"/>
      <c r="S302" s="50" t="s">
        <v>449</v>
      </c>
      <c r="T302" s="50"/>
      <c r="U302" s="50"/>
      <c r="V302" s="53"/>
    </row>
    <row r="303" spans="1:22" ht="16.5" thickBot="1" x14ac:dyDescent="0.3">
      <c r="A303" s="54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6"/>
      <c r="M303" s="55"/>
      <c r="N303" s="55"/>
      <c r="O303" s="55"/>
      <c r="P303" s="55"/>
      <c r="Q303" s="55"/>
      <c r="R303" s="55"/>
      <c r="S303" s="55"/>
      <c r="T303" s="55"/>
      <c r="U303" s="55"/>
      <c r="V303" s="57"/>
    </row>
    <row r="304" spans="1:22" x14ac:dyDescent="0.25">
      <c r="A304" s="1061" t="s">
        <v>397</v>
      </c>
      <c r="B304" s="1062"/>
      <c r="C304" s="1062"/>
      <c r="D304" s="1063"/>
      <c r="E304" s="1070" t="s">
        <v>450</v>
      </c>
      <c r="F304" s="1070"/>
      <c r="G304" s="1070"/>
      <c r="H304" s="1070"/>
      <c r="I304" s="1070"/>
      <c r="J304" s="1070"/>
      <c r="K304" s="1070"/>
      <c r="L304" s="1070"/>
      <c r="M304" s="1070"/>
      <c r="N304" s="1070"/>
      <c r="O304" s="1070"/>
      <c r="P304" s="1070"/>
      <c r="Q304" s="1070"/>
      <c r="R304" s="1070"/>
      <c r="S304" s="1070"/>
      <c r="T304" s="1070"/>
      <c r="U304" s="1070"/>
      <c r="V304" s="1071"/>
    </row>
    <row r="305" spans="1:22" x14ac:dyDescent="0.25">
      <c r="A305" s="1064"/>
      <c r="B305" s="1065"/>
      <c r="C305" s="1065"/>
      <c r="D305" s="1066"/>
      <c r="E305" s="1072" t="s">
        <v>451</v>
      </c>
      <c r="F305" s="1072"/>
      <c r="G305" s="1072"/>
      <c r="H305" s="1072"/>
      <c r="I305" s="1072"/>
      <c r="J305" s="1072"/>
      <c r="K305" s="1074" t="s">
        <v>378</v>
      </c>
      <c r="L305" s="1074"/>
      <c r="M305" s="1072" t="s">
        <v>452</v>
      </c>
      <c r="N305" s="1075" t="s">
        <v>453</v>
      </c>
      <c r="O305" s="1076"/>
      <c r="P305" s="1076"/>
      <c r="Q305" s="1076"/>
      <c r="R305" s="1076"/>
      <c r="S305" s="1076"/>
      <c r="T305" s="1076"/>
      <c r="U305" s="1076"/>
      <c r="V305" s="1077"/>
    </row>
    <row r="306" spans="1:22" ht="16.5" customHeight="1" thickBot="1" x14ac:dyDescent="0.3">
      <c r="A306" s="1067"/>
      <c r="B306" s="1068"/>
      <c r="C306" s="1068"/>
      <c r="D306" s="1069"/>
      <c r="E306" s="1073"/>
      <c r="F306" s="1073"/>
      <c r="G306" s="1073"/>
      <c r="H306" s="1073"/>
      <c r="I306" s="1073"/>
      <c r="J306" s="1073"/>
      <c r="K306" s="58" t="s">
        <v>454</v>
      </c>
      <c r="L306" s="58" t="s">
        <v>455</v>
      </c>
      <c r="M306" s="1073"/>
      <c r="N306" s="87" t="s">
        <v>466</v>
      </c>
      <c r="O306" s="87" t="s">
        <v>467</v>
      </c>
      <c r="P306" s="1078" t="s">
        <v>1</v>
      </c>
      <c r="Q306" s="1079"/>
      <c r="R306" s="1080"/>
      <c r="S306" s="1078" t="s">
        <v>2</v>
      </c>
      <c r="T306" s="1079"/>
      <c r="U306" s="1079"/>
      <c r="V306" s="1081"/>
    </row>
    <row r="307" spans="1:22" ht="19.5" x14ac:dyDescent="0.3">
      <c r="A307" s="1082">
        <f>P337-S337</f>
        <v>0</v>
      </c>
      <c r="B307" s="1083"/>
      <c r="C307" s="1083"/>
      <c r="D307" s="1083"/>
      <c r="E307" s="1084" t="str">
        <f>Account!$G$1</f>
        <v>FUND 501 CARP</v>
      </c>
      <c r="F307" s="1085"/>
      <c r="G307" s="1085"/>
      <c r="H307" s="1085"/>
      <c r="I307" s="1085"/>
      <c r="J307" s="1086"/>
      <c r="K307" s="59"/>
      <c r="L307" s="59"/>
      <c r="M307" s="60"/>
      <c r="N307" s="60"/>
      <c r="O307" s="60"/>
      <c r="P307" s="1087"/>
      <c r="Q307" s="1087"/>
      <c r="R307" s="1087"/>
      <c r="S307" s="1087"/>
      <c r="T307" s="1087"/>
      <c r="U307" s="1087"/>
      <c r="V307" s="1088"/>
    </row>
    <row r="308" spans="1:22" x14ac:dyDescent="0.25">
      <c r="A308" s="1038"/>
      <c r="B308" s="1039"/>
      <c r="C308" s="1039"/>
      <c r="D308" s="1039"/>
      <c r="E308" s="1039"/>
      <c r="F308" s="1039"/>
      <c r="G308" s="1039"/>
      <c r="H308" s="1039"/>
      <c r="I308" s="1039"/>
      <c r="J308" s="1039"/>
      <c r="K308" s="61"/>
      <c r="L308" s="61"/>
      <c r="M308" s="14"/>
      <c r="N308" s="14"/>
      <c r="O308" s="14"/>
      <c r="P308" s="1039"/>
      <c r="Q308" s="1039"/>
      <c r="R308" s="1039"/>
      <c r="S308" s="1039"/>
      <c r="T308" s="1039"/>
      <c r="U308" s="1039"/>
      <c r="V308" s="1089"/>
    </row>
    <row r="309" spans="1:22" x14ac:dyDescent="0.25">
      <c r="A309" s="1038"/>
      <c r="B309" s="1039"/>
      <c r="C309" s="1039"/>
      <c r="D309" s="1039"/>
      <c r="E309" s="1045" t="str">
        <f t="shared" ref="E309:E331" si="24">IF(K309=0,"",(VLOOKUP((TRIM(K309)),Code,2,)))</f>
        <v/>
      </c>
      <c r="F309" s="1046"/>
      <c r="G309" s="1046"/>
      <c r="H309" s="1046"/>
      <c r="I309" s="1046"/>
      <c r="J309" s="1047"/>
      <c r="K309" s="133"/>
      <c r="L309" s="62" t="str">
        <f t="shared" ref="L309:L336" si="25">IF(K309=0,"",VLOOKUP((TRIM(K309)),Code,3,))</f>
        <v/>
      </c>
      <c r="M309" s="14"/>
      <c r="N309" s="89">
        <f t="array" ref="N309">SUM(IF((CsDJ[JEV Number]=TRIM($T298))*(CsDJ[Account Code]=TRIM(K309)),CsDJ[Debit]))</f>
        <v>0</v>
      </c>
      <c r="O309" s="89">
        <f t="array" ref="O309">SUM(IF((CsDJ[JEV Number]=TRIM($T298))*(CsDJ[Account Code]=TRIM(K309)),CsDJ[Credit]))</f>
        <v>0</v>
      </c>
      <c r="P309" s="1040">
        <f>N309</f>
        <v>0</v>
      </c>
      <c r="Q309" s="1040"/>
      <c r="R309" s="1040"/>
      <c r="S309" s="1040">
        <f>O309</f>
        <v>0</v>
      </c>
      <c r="T309" s="1040"/>
      <c r="U309" s="1040"/>
      <c r="V309" s="1041"/>
    </row>
    <row r="310" spans="1:22" x14ac:dyDescent="0.25">
      <c r="A310" s="1038"/>
      <c r="B310" s="1039"/>
      <c r="C310" s="1039"/>
      <c r="D310" s="1039"/>
      <c r="E310" s="1045" t="str">
        <f t="shared" si="24"/>
        <v/>
      </c>
      <c r="F310" s="1046"/>
      <c r="G310" s="1046"/>
      <c r="H310" s="1046"/>
      <c r="I310" s="1046"/>
      <c r="J310" s="1047"/>
      <c r="K310" s="133"/>
      <c r="L310" s="62" t="str">
        <f t="shared" si="25"/>
        <v/>
      </c>
      <c r="M310" s="14"/>
      <c r="N310" s="89">
        <f t="array" ref="N310">SUM(IF((CsDJ[JEV Number]=TRIM($T298))*(CsDJ[Account Code]=TRIM(K310)),CsDJ[Debit]))</f>
        <v>0</v>
      </c>
      <c r="O310" s="89">
        <f t="array" ref="O310">SUM(IF((CsDJ[JEV Number]=TRIM($T298))*(CsDJ[Account Code]=TRIM(K310)),CsDJ[Credit]))</f>
        <v>0</v>
      </c>
      <c r="P310" s="1040">
        <f>N310</f>
        <v>0</v>
      </c>
      <c r="Q310" s="1040"/>
      <c r="R310" s="1040"/>
      <c r="S310" s="1040">
        <f>O310</f>
        <v>0</v>
      </c>
      <c r="T310" s="1040"/>
      <c r="U310" s="1040"/>
      <c r="V310" s="1041"/>
    </row>
    <row r="311" spans="1:22" x14ac:dyDescent="0.25">
      <c r="A311" s="1038"/>
      <c r="B311" s="1039"/>
      <c r="C311" s="1039"/>
      <c r="D311" s="1039"/>
      <c r="E311" s="1045" t="str">
        <f t="shared" si="24"/>
        <v/>
      </c>
      <c r="F311" s="1046"/>
      <c r="G311" s="1046"/>
      <c r="H311" s="1046"/>
      <c r="I311" s="1046"/>
      <c r="J311" s="1047"/>
      <c r="K311" s="133"/>
      <c r="L311" s="62" t="str">
        <f t="shared" si="25"/>
        <v/>
      </c>
      <c r="M311" s="14"/>
      <c r="N311" s="89">
        <f t="array" ref="N311">SUM(IF((CsDJ[JEV Number]=TRIM($T298))*(CsDJ[Account Code]=TRIM(K311)),CsDJ[Debit]))</f>
        <v>0</v>
      </c>
      <c r="O311" s="89">
        <f t="array" ref="O311">SUM(IF((CsDJ[JEV Number]=TRIM($T298))*(CsDJ[Account Code]=TRIM(K311)),CsDJ[Credit]))</f>
        <v>0</v>
      </c>
      <c r="P311" s="1040">
        <f t="shared" ref="P311:P336" si="26">N311</f>
        <v>0</v>
      </c>
      <c r="Q311" s="1040"/>
      <c r="R311" s="1040"/>
      <c r="S311" s="1040">
        <f t="shared" ref="S311:S336" si="27">O311</f>
        <v>0</v>
      </c>
      <c r="T311" s="1040"/>
      <c r="U311" s="1040"/>
      <c r="V311" s="1041"/>
    </row>
    <row r="312" spans="1:22" x14ac:dyDescent="0.25">
      <c r="A312" s="1038"/>
      <c r="B312" s="1039"/>
      <c r="C312" s="1039"/>
      <c r="D312" s="1039"/>
      <c r="E312" s="1045" t="str">
        <f t="shared" si="24"/>
        <v/>
      </c>
      <c r="F312" s="1046"/>
      <c r="G312" s="1046"/>
      <c r="H312" s="1046"/>
      <c r="I312" s="1046"/>
      <c r="J312" s="1047"/>
      <c r="K312" s="133"/>
      <c r="L312" s="62" t="str">
        <f t="shared" si="25"/>
        <v/>
      </c>
      <c r="M312" s="14"/>
      <c r="N312" s="89">
        <f t="array" ref="N312">SUM(IF((CsDJ[JEV Number]=TRIM($T298))*(CsDJ[Account Code]=TRIM(K312)),CsDJ[Debit]))</f>
        <v>0</v>
      </c>
      <c r="O312" s="89">
        <f t="array" ref="O312">SUM(IF((CsDJ[JEV Number]=TRIM($T298))*(CsDJ[Account Code]=TRIM(K312)),CsDJ[Credit]))</f>
        <v>0</v>
      </c>
      <c r="P312" s="1040">
        <f t="shared" si="26"/>
        <v>0</v>
      </c>
      <c r="Q312" s="1040"/>
      <c r="R312" s="1040"/>
      <c r="S312" s="1040">
        <f t="shared" si="27"/>
        <v>0</v>
      </c>
      <c r="T312" s="1040"/>
      <c r="U312" s="1040"/>
      <c r="V312" s="1041"/>
    </row>
    <row r="313" spans="1:22" x14ac:dyDescent="0.25">
      <c r="A313" s="1038"/>
      <c r="B313" s="1039"/>
      <c r="C313" s="1039"/>
      <c r="D313" s="1039"/>
      <c r="E313" s="1045" t="str">
        <f t="shared" si="24"/>
        <v/>
      </c>
      <c r="F313" s="1046"/>
      <c r="G313" s="1046"/>
      <c r="H313" s="1046"/>
      <c r="I313" s="1046"/>
      <c r="J313" s="1047"/>
      <c r="K313" s="133"/>
      <c r="L313" s="62" t="str">
        <f t="shared" si="25"/>
        <v/>
      </c>
      <c r="M313" s="14"/>
      <c r="N313" s="89">
        <f t="array" ref="N313">SUM(IF((CsDJ[JEV Number]=TRIM($T298))*(CsDJ[Account Code]=TRIM(K313)),CsDJ[Debit]))</f>
        <v>0</v>
      </c>
      <c r="O313" s="89">
        <f t="array" ref="O313">SUM(IF((CsDJ[JEV Number]=TRIM($T298))*(CsDJ[Account Code]=TRIM(K313)),CsDJ[Credit]))</f>
        <v>0</v>
      </c>
      <c r="P313" s="1040">
        <f t="shared" si="26"/>
        <v>0</v>
      </c>
      <c r="Q313" s="1040"/>
      <c r="R313" s="1040"/>
      <c r="S313" s="1040">
        <f t="shared" si="27"/>
        <v>0</v>
      </c>
      <c r="T313" s="1040"/>
      <c r="U313" s="1040"/>
      <c r="V313" s="1041"/>
    </row>
    <row r="314" spans="1:22" x14ac:dyDescent="0.25">
      <c r="A314" s="1038"/>
      <c r="B314" s="1039"/>
      <c r="C314" s="1039"/>
      <c r="D314" s="1039"/>
      <c r="E314" s="1045" t="str">
        <f t="shared" si="24"/>
        <v/>
      </c>
      <c r="F314" s="1046"/>
      <c r="G314" s="1046"/>
      <c r="H314" s="1046"/>
      <c r="I314" s="1046"/>
      <c r="J314" s="1047"/>
      <c r="K314" s="133"/>
      <c r="L314" s="62" t="str">
        <f t="shared" si="25"/>
        <v/>
      </c>
      <c r="M314" s="14"/>
      <c r="N314" s="89">
        <f t="array" ref="N314">SUM(IF((CsDJ[JEV Number]=TRIM($T298))*(CsDJ[Account Code]=TRIM(K314)),CsDJ[Debit]))</f>
        <v>0</v>
      </c>
      <c r="O314" s="89">
        <f t="array" ref="O314">SUM(IF((CsDJ[JEV Number]=TRIM($T298))*(CsDJ[Account Code]=TRIM(K314)),CsDJ[Credit]))</f>
        <v>0</v>
      </c>
      <c r="P314" s="1040">
        <f t="shared" si="26"/>
        <v>0</v>
      </c>
      <c r="Q314" s="1040"/>
      <c r="R314" s="1040"/>
      <c r="S314" s="1040">
        <f t="shared" si="27"/>
        <v>0</v>
      </c>
      <c r="T314" s="1040"/>
      <c r="U314" s="1040"/>
      <c r="V314" s="1041"/>
    </row>
    <row r="315" spans="1:22" x14ac:dyDescent="0.25">
      <c r="A315" s="1038"/>
      <c r="B315" s="1039"/>
      <c r="C315" s="1039"/>
      <c r="D315" s="1039"/>
      <c r="E315" s="1045" t="str">
        <f t="shared" si="24"/>
        <v/>
      </c>
      <c r="F315" s="1046"/>
      <c r="G315" s="1046"/>
      <c r="H315" s="1046"/>
      <c r="I315" s="1046"/>
      <c r="J315" s="1047"/>
      <c r="K315" s="133"/>
      <c r="L315" s="62" t="str">
        <f t="shared" si="25"/>
        <v/>
      </c>
      <c r="M315" s="14"/>
      <c r="N315" s="89">
        <f t="array" ref="N315">SUM(IF((CsDJ[JEV Number]=TRIM($T298))*(CsDJ[Account Code]=TRIM(K315)),CsDJ[Debit]))</f>
        <v>0</v>
      </c>
      <c r="O315" s="89">
        <f t="array" ref="O315">SUM(IF((CsDJ[JEV Number]=TRIM($T298))*(CsDJ[Account Code]=TRIM(K315)),CsDJ[Credit]))</f>
        <v>0</v>
      </c>
      <c r="P315" s="1040">
        <f t="shared" si="26"/>
        <v>0</v>
      </c>
      <c r="Q315" s="1040"/>
      <c r="R315" s="1040"/>
      <c r="S315" s="1040">
        <f t="shared" si="27"/>
        <v>0</v>
      </c>
      <c r="T315" s="1040"/>
      <c r="U315" s="1040"/>
      <c r="V315" s="1041"/>
    </row>
    <row r="316" spans="1:22" x14ac:dyDescent="0.25">
      <c r="A316" s="1038"/>
      <c r="B316" s="1039"/>
      <c r="C316" s="1039"/>
      <c r="D316" s="1039"/>
      <c r="E316" s="1045" t="str">
        <f t="shared" si="24"/>
        <v/>
      </c>
      <c r="F316" s="1046"/>
      <c r="G316" s="1046"/>
      <c r="H316" s="1046"/>
      <c r="I316" s="1046"/>
      <c r="J316" s="1047"/>
      <c r="K316" s="133"/>
      <c r="L316" s="62" t="str">
        <f t="shared" si="25"/>
        <v/>
      </c>
      <c r="M316" s="14"/>
      <c r="N316" s="89">
        <f t="array" ref="N316">SUM(IF((CsDJ[JEV Number]=TRIM($T298))*(CsDJ[Account Code]=TRIM(K316)),CsDJ[Debit]))</f>
        <v>0</v>
      </c>
      <c r="O316" s="89">
        <f t="array" ref="O316">SUM(IF((CsDJ[JEV Number]=TRIM($T298))*(CsDJ[Account Code]=TRIM(K316)),CsDJ[Credit]))</f>
        <v>0</v>
      </c>
      <c r="P316" s="1040">
        <f t="shared" si="26"/>
        <v>0</v>
      </c>
      <c r="Q316" s="1040"/>
      <c r="R316" s="1040"/>
      <c r="S316" s="1040">
        <f t="shared" si="27"/>
        <v>0</v>
      </c>
      <c r="T316" s="1040"/>
      <c r="U316" s="1040"/>
      <c r="V316" s="1041"/>
    </row>
    <row r="317" spans="1:22" x14ac:dyDescent="0.25">
      <c r="A317" s="1038"/>
      <c r="B317" s="1039"/>
      <c r="C317" s="1039"/>
      <c r="D317" s="1039"/>
      <c r="E317" s="1045" t="str">
        <f t="shared" si="24"/>
        <v/>
      </c>
      <c r="F317" s="1046"/>
      <c r="G317" s="1046"/>
      <c r="H317" s="1046"/>
      <c r="I317" s="1046"/>
      <c r="J317" s="1047"/>
      <c r="K317" s="134"/>
      <c r="L317" s="62" t="str">
        <f t="shared" si="25"/>
        <v/>
      </c>
      <c r="M317" s="14"/>
      <c r="N317" s="89">
        <f t="array" ref="N317">SUM(IF((CsDJ[JEV Number]=TRIM($T298))*(CsDJ[Account Code]=TRIM(K317)),CsDJ[Debit]))</f>
        <v>0</v>
      </c>
      <c r="O317" s="89">
        <f t="array" ref="O317">SUM(IF((CsDJ[JEV Number]=TRIM($T298))*(CsDJ[Account Code]=TRIM(K317)),CsDJ[Credit]))</f>
        <v>0</v>
      </c>
      <c r="P317" s="1040">
        <f t="shared" si="26"/>
        <v>0</v>
      </c>
      <c r="Q317" s="1040"/>
      <c r="R317" s="1040"/>
      <c r="S317" s="1040">
        <f t="shared" si="27"/>
        <v>0</v>
      </c>
      <c r="T317" s="1040"/>
      <c r="U317" s="1040"/>
      <c r="V317" s="1041"/>
    </row>
    <row r="318" spans="1:22" x14ac:dyDescent="0.25">
      <c r="A318" s="1038"/>
      <c r="B318" s="1039"/>
      <c r="C318" s="1039"/>
      <c r="D318" s="1039"/>
      <c r="E318" s="1045" t="str">
        <f t="shared" si="24"/>
        <v/>
      </c>
      <c r="F318" s="1046"/>
      <c r="G318" s="1046"/>
      <c r="H318" s="1046"/>
      <c r="I318" s="1046"/>
      <c r="J318" s="1047"/>
      <c r="K318" s="134"/>
      <c r="L318" s="62" t="str">
        <f t="shared" si="25"/>
        <v/>
      </c>
      <c r="M318" s="14"/>
      <c r="N318" s="89">
        <f t="array" ref="N318">SUM(IF((CsDJ[JEV Number]=TRIM($T298))*(CsDJ[Account Code]=TRIM(K318)),CsDJ[Debit]))</f>
        <v>0</v>
      </c>
      <c r="O318" s="89">
        <f t="array" ref="O318">SUM(IF((CsDJ[JEV Number]=TRIM($T298))*(CsDJ[Account Code]=TRIM(K318)),CsDJ[Credit]))</f>
        <v>0</v>
      </c>
      <c r="P318" s="1040">
        <f t="shared" si="26"/>
        <v>0</v>
      </c>
      <c r="Q318" s="1040"/>
      <c r="R318" s="1040"/>
      <c r="S318" s="1040">
        <f t="shared" si="27"/>
        <v>0</v>
      </c>
      <c r="T318" s="1040"/>
      <c r="U318" s="1040"/>
      <c r="V318" s="1041"/>
    </row>
    <row r="319" spans="1:22" x14ac:dyDescent="0.25">
      <c r="A319" s="1038"/>
      <c r="B319" s="1039"/>
      <c r="C319" s="1039"/>
      <c r="D319" s="1039"/>
      <c r="E319" s="1045" t="str">
        <f t="shared" si="24"/>
        <v/>
      </c>
      <c r="F319" s="1046"/>
      <c r="G319" s="1046"/>
      <c r="H319" s="1046"/>
      <c r="I319" s="1046"/>
      <c r="J319" s="1047"/>
      <c r="K319" s="134"/>
      <c r="L319" s="62" t="str">
        <f t="shared" si="25"/>
        <v/>
      </c>
      <c r="M319" s="14"/>
      <c r="N319" s="89">
        <f t="array" ref="N319">SUM(IF((CsDJ[JEV Number]=TRIM($T298))*(CsDJ[Account Code]=TRIM(K319)),CsDJ[Debit]))</f>
        <v>0</v>
      </c>
      <c r="O319" s="89">
        <f t="array" ref="O319">SUM(IF((CsDJ[JEV Number]=TRIM($T298))*(CsDJ[Account Code]=TRIM(K319)),CsDJ[Credit]))</f>
        <v>0</v>
      </c>
      <c r="P319" s="1040">
        <f t="shared" si="26"/>
        <v>0</v>
      </c>
      <c r="Q319" s="1040"/>
      <c r="R319" s="1040"/>
      <c r="S319" s="1040">
        <f t="shared" si="27"/>
        <v>0</v>
      </c>
      <c r="T319" s="1040"/>
      <c r="U319" s="1040"/>
      <c r="V319" s="1041"/>
    </row>
    <row r="320" spans="1:22" x14ac:dyDescent="0.25">
      <c r="A320" s="1038"/>
      <c r="B320" s="1039"/>
      <c r="C320" s="1039"/>
      <c r="D320" s="1039"/>
      <c r="E320" s="1045" t="str">
        <f t="shared" si="24"/>
        <v/>
      </c>
      <c r="F320" s="1046"/>
      <c r="G320" s="1046"/>
      <c r="H320" s="1046"/>
      <c r="I320" s="1046"/>
      <c r="J320" s="1047"/>
      <c r="K320" s="134"/>
      <c r="L320" s="62" t="str">
        <f t="shared" si="25"/>
        <v/>
      </c>
      <c r="M320" s="14"/>
      <c r="N320" s="89">
        <f t="array" ref="N320">SUM(IF((CsDJ[JEV Number]=TRIM($T298))*(CsDJ[Account Code]=TRIM(K320)),CsDJ[Debit]))</f>
        <v>0</v>
      </c>
      <c r="O320" s="89">
        <f t="array" ref="O320">SUM(IF((CsDJ[JEV Number]=TRIM($T298))*(CsDJ[Account Code]=TRIM(K320)),CsDJ[Credit]))</f>
        <v>0</v>
      </c>
      <c r="P320" s="1040">
        <f t="shared" si="26"/>
        <v>0</v>
      </c>
      <c r="Q320" s="1040"/>
      <c r="R320" s="1040"/>
      <c r="S320" s="1040">
        <f t="shared" si="27"/>
        <v>0</v>
      </c>
      <c r="T320" s="1040"/>
      <c r="U320" s="1040"/>
      <c r="V320" s="1041"/>
    </row>
    <row r="321" spans="1:22" x14ac:dyDescent="0.25">
      <c r="A321" s="1038"/>
      <c r="B321" s="1039"/>
      <c r="C321" s="1039"/>
      <c r="D321" s="1039"/>
      <c r="E321" s="1045" t="str">
        <f t="shared" si="24"/>
        <v/>
      </c>
      <c r="F321" s="1046"/>
      <c r="G321" s="1046"/>
      <c r="H321" s="1046"/>
      <c r="I321" s="1046"/>
      <c r="J321" s="1047"/>
      <c r="K321" s="134"/>
      <c r="L321" s="62" t="str">
        <f t="shared" si="25"/>
        <v/>
      </c>
      <c r="M321" s="14"/>
      <c r="N321" s="89">
        <f t="array" ref="N321">SUM(IF((CsDJ[JEV Number]=TRIM($T298))*(CsDJ[Account Code]=TRIM(K321)),CsDJ[Debit]))</f>
        <v>0</v>
      </c>
      <c r="O321" s="89">
        <f t="array" ref="O321">SUM(IF((CsDJ[JEV Number]=TRIM($T298))*(CsDJ[Account Code]=TRIM(K321)),CsDJ[Credit]))</f>
        <v>0</v>
      </c>
      <c r="P321" s="1040">
        <f t="shared" si="26"/>
        <v>0</v>
      </c>
      <c r="Q321" s="1040"/>
      <c r="R321" s="1040"/>
      <c r="S321" s="1040">
        <f t="shared" si="27"/>
        <v>0</v>
      </c>
      <c r="T321" s="1040"/>
      <c r="U321" s="1040"/>
      <c r="V321" s="1041"/>
    </row>
    <row r="322" spans="1:22" x14ac:dyDescent="0.25">
      <c r="A322" s="1038"/>
      <c r="B322" s="1039"/>
      <c r="C322" s="1039"/>
      <c r="D322" s="1039"/>
      <c r="E322" s="1045" t="str">
        <f t="shared" si="24"/>
        <v/>
      </c>
      <c r="F322" s="1046"/>
      <c r="G322" s="1046"/>
      <c r="H322" s="1046"/>
      <c r="I322" s="1046"/>
      <c r="J322" s="1047"/>
      <c r="K322" s="134"/>
      <c r="L322" s="62" t="str">
        <f t="shared" si="25"/>
        <v/>
      </c>
      <c r="M322" s="14"/>
      <c r="N322" s="89">
        <f t="array" ref="N322">SUM(IF((CsDJ[JEV Number]=TRIM($T298))*(CsDJ[Account Code]=TRIM(K322)),CsDJ[Debit]))</f>
        <v>0</v>
      </c>
      <c r="O322" s="89">
        <f t="array" ref="O322">SUM(IF((CsDJ[JEV Number]=TRIM($T298))*(CsDJ[Account Code]=TRIM(K322)),CsDJ[Credit]))</f>
        <v>0</v>
      </c>
      <c r="P322" s="1040">
        <f t="shared" si="26"/>
        <v>0</v>
      </c>
      <c r="Q322" s="1040"/>
      <c r="R322" s="1040"/>
      <c r="S322" s="1040">
        <f t="shared" si="27"/>
        <v>0</v>
      </c>
      <c r="T322" s="1040"/>
      <c r="U322" s="1040"/>
      <c r="V322" s="1041"/>
    </row>
    <row r="323" spans="1:22" x14ac:dyDescent="0.25">
      <c r="A323" s="1038"/>
      <c r="B323" s="1039"/>
      <c r="C323" s="1039"/>
      <c r="D323" s="1039"/>
      <c r="E323" s="1045" t="str">
        <f t="shared" si="24"/>
        <v/>
      </c>
      <c r="F323" s="1046"/>
      <c r="G323" s="1046"/>
      <c r="H323" s="1046"/>
      <c r="I323" s="1046"/>
      <c r="J323" s="1047"/>
      <c r="K323" s="134"/>
      <c r="L323" s="62" t="str">
        <f t="shared" si="25"/>
        <v/>
      </c>
      <c r="M323" s="14"/>
      <c r="N323" s="89">
        <f t="array" ref="N323">SUM(IF((CsDJ[JEV Number]=TRIM($T298))*(CsDJ[Account Code]=TRIM(K323)),CsDJ[Debit]))</f>
        <v>0</v>
      </c>
      <c r="O323" s="89">
        <f t="array" ref="O323">SUM(IF((CsDJ[JEV Number]=TRIM($T298))*(CsDJ[Account Code]=TRIM(K323)),CsDJ[Credit]))</f>
        <v>0</v>
      </c>
      <c r="P323" s="1040">
        <f t="shared" si="26"/>
        <v>0</v>
      </c>
      <c r="Q323" s="1040"/>
      <c r="R323" s="1040"/>
      <c r="S323" s="1040">
        <f t="shared" si="27"/>
        <v>0</v>
      </c>
      <c r="T323" s="1040"/>
      <c r="U323" s="1040"/>
      <c r="V323" s="1041"/>
    </row>
    <row r="324" spans="1:22" x14ac:dyDescent="0.25">
      <c r="A324" s="1038"/>
      <c r="B324" s="1039"/>
      <c r="C324" s="1039"/>
      <c r="D324" s="1039"/>
      <c r="E324" s="1045" t="str">
        <f t="shared" si="24"/>
        <v/>
      </c>
      <c r="F324" s="1046"/>
      <c r="G324" s="1046"/>
      <c r="H324" s="1046"/>
      <c r="I324" s="1046"/>
      <c r="J324" s="1047"/>
      <c r="K324" s="134"/>
      <c r="L324" s="62" t="str">
        <f t="shared" si="25"/>
        <v/>
      </c>
      <c r="M324" s="14"/>
      <c r="N324" s="89">
        <f t="array" ref="N324">SUM(IF((CsDJ[JEV Number]=TRIM($T298))*(CsDJ[Account Code]=TRIM(K324)),CsDJ[Debit]))</f>
        <v>0</v>
      </c>
      <c r="O324" s="89">
        <f t="array" ref="O324">SUM(IF((CsDJ[JEV Number]=TRIM($T298))*(CsDJ[Account Code]=TRIM(K324)),CsDJ[Credit]))</f>
        <v>0</v>
      </c>
      <c r="P324" s="1040">
        <f t="shared" si="26"/>
        <v>0</v>
      </c>
      <c r="Q324" s="1040"/>
      <c r="R324" s="1040"/>
      <c r="S324" s="1040">
        <f t="shared" si="27"/>
        <v>0</v>
      </c>
      <c r="T324" s="1040"/>
      <c r="U324" s="1040"/>
      <c r="V324" s="1041"/>
    </row>
    <row r="325" spans="1:22" x14ac:dyDescent="0.25">
      <c r="A325" s="1038"/>
      <c r="B325" s="1039"/>
      <c r="C325" s="1039"/>
      <c r="D325" s="1039"/>
      <c r="E325" s="1045" t="str">
        <f t="shared" si="24"/>
        <v/>
      </c>
      <c r="F325" s="1046"/>
      <c r="G325" s="1046"/>
      <c r="H325" s="1046"/>
      <c r="I325" s="1046"/>
      <c r="J325" s="1047"/>
      <c r="K325" s="134"/>
      <c r="L325" s="62" t="str">
        <f t="shared" si="25"/>
        <v/>
      </c>
      <c r="M325" s="14"/>
      <c r="N325" s="89">
        <f t="array" ref="N325">SUM(IF((CsDJ[JEV Number]=TRIM($T298))*(CsDJ[Account Code]=TRIM(K325)),CsDJ[Debit]))</f>
        <v>0</v>
      </c>
      <c r="O325" s="89">
        <f t="array" ref="O325">SUM(IF((CsDJ[JEV Number]=TRIM($T298))*(CsDJ[Account Code]=TRIM(K325)),CsDJ[Credit]))</f>
        <v>0</v>
      </c>
      <c r="P325" s="1040">
        <f t="shared" si="26"/>
        <v>0</v>
      </c>
      <c r="Q325" s="1040"/>
      <c r="R325" s="1040"/>
      <c r="S325" s="1040">
        <f t="shared" si="27"/>
        <v>0</v>
      </c>
      <c r="T325" s="1040"/>
      <c r="U325" s="1040"/>
      <c r="V325" s="1041"/>
    </row>
    <row r="326" spans="1:22" x14ac:dyDescent="0.25">
      <c r="A326" s="1038"/>
      <c r="B326" s="1039"/>
      <c r="C326" s="1039"/>
      <c r="D326" s="1039"/>
      <c r="E326" s="1045" t="str">
        <f t="shared" si="24"/>
        <v/>
      </c>
      <c r="F326" s="1046"/>
      <c r="G326" s="1046"/>
      <c r="H326" s="1046"/>
      <c r="I326" s="1046"/>
      <c r="J326" s="1047"/>
      <c r="K326" s="134"/>
      <c r="L326" s="62" t="str">
        <f t="shared" si="25"/>
        <v/>
      </c>
      <c r="M326" s="14"/>
      <c r="N326" s="89">
        <f t="array" ref="N326">SUM(IF((CsDJ[JEV Number]=TRIM($T298))*(CsDJ[Account Code]=TRIM(K326)),CsDJ[Debit]))</f>
        <v>0</v>
      </c>
      <c r="O326" s="89">
        <f t="array" ref="O326">SUM(IF((CsDJ[JEV Number]=TRIM($T298))*(CsDJ[Account Code]=TRIM(K326)),CsDJ[Credit]))</f>
        <v>0</v>
      </c>
      <c r="P326" s="1040">
        <f t="shared" si="26"/>
        <v>0</v>
      </c>
      <c r="Q326" s="1040"/>
      <c r="R326" s="1040"/>
      <c r="S326" s="1040">
        <f t="shared" si="27"/>
        <v>0</v>
      </c>
      <c r="T326" s="1040"/>
      <c r="U326" s="1040"/>
      <c r="V326" s="1041"/>
    </row>
    <row r="327" spans="1:22" x14ac:dyDescent="0.25">
      <c r="A327" s="1038"/>
      <c r="B327" s="1039"/>
      <c r="C327" s="1039"/>
      <c r="D327" s="1039"/>
      <c r="E327" s="1045" t="str">
        <f t="shared" si="24"/>
        <v/>
      </c>
      <c r="F327" s="1046"/>
      <c r="G327" s="1046"/>
      <c r="H327" s="1046"/>
      <c r="I327" s="1046"/>
      <c r="J327" s="1047"/>
      <c r="K327" s="134"/>
      <c r="L327" s="62" t="str">
        <f t="shared" si="25"/>
        <v/>
      </c>
      <c r="M327" s="14"/>
      <c r="N327" s="89">
        <f t="array" ref="N327">SUM(IF((CsDJ[JEV Number]=TRIM($T298))*(CsDJ[Account Code]=TRIM(K327)),CsDJ[Debit]))</f>
        <v>0</v>
      </c>
      <c r="O327" s="89">
        <f t="array" ref="O327">SUM(IF((CsDJ[JEV Number]=TRIM($T298))*(CsDJ[Account Code]=TRIM(K327)),CsDJ[Credit]))</f>
        <v>0</v>
      </c>
      <c r="P327" s="1040">
        <f t="shared" si="26"/>
        <v>0</v>
      </c>
      <c r="Q327" s="1040"/>
      <c r="R327" s="1040"/>
      <c r="S327" s="1040">
        <f t="shared" si="27"/>
        <v>0</v>
      </c>
      <c r="T327" s="1040"/>
      <c r="U327" s="1040"/>
      <c r="V327" s="1041"/>
    </row>
    <row r="328" spans="1:22" x14ac:dyDescent="0.25">
      <c r="A328" s="1038"/>
      <c r="B328" s="1039"/>
      <c r="C328" s="1039"/>
      <c r="D328" s="1039"/>
      <c r="E328" s="1045" t="str">
        <f t="shared" si="24"/>
        <v/>
      </c>
      <c r="F328" s="1046"/>
      <c r="G328" s="1046"/>
      <c r="H328" s="1046"/>
      <c r="I328" s="1046"/>
      <c r="J328" s="1047"/>
      <c r="K328" s="134"/>
      <c r="L328" s="62" t="str">
        <f t="shared" si="25"/>
        <v/>
      </c>
      <c r="M328" s="14"/>
      <c r="N328" s="89">
        <f t="array" ref="N328">SUM(IF((CsDJ[JEV Number]=TRIM($T298))*(CsDJ[Account Code]=TRIM(K328)),CsDJ[Debit]))</f>
        <v>0</v>
      </c>
      <c r="O328" s="89">
        <f t="array" ref="O328">SUM(IF((CsDJ[JEV Number]=TRIM($T298))*(CsDJ[Account Code]=TRIM(K328)),CsDJ[Credit]))</f>
        <v>0</v>
      </c>
      <c r="P328" s="1040">
        <f t="shared" si="26"/>
        <v>0</v>
      </c>
      <c r="Q328" s="1040"/>
      <c r="R328" s="1040"/>
      <c r="S328" s="1040">
        <f t="shared" si="27"/>
        <v>0</v>
      </c>
      <c r="T328" s="1040"/>
      <c r="U328" s="1040"/>
      <c r="V328" s="1041"/>
    </row>
    <row r="329" spans="1:22" x14ac:dyDescent="0.25">
      <c r="A329" s="1038"/>
      <c r="B329" s="1039"/>
      <c r="C329" s="1039"/>
      <c r="D329" s="1039"/>
      <c r="E329" s="1045" t="str">
        <f t="shared" si="24"/>
        <v/>
      </c>
      <c r="F329" s="1046"/>
      <c r="G329" s="1046"/>
      <c r="H329" s="1046"/>
      <c r="I329" s="1046"/>
      <c r="J329" s="1047"/>
      <c r="K329" s="134"/>
      <c r="L329" s="62" t="str">
        <f t="shared" si="25"/>
        <v/>
      </c>
      <c r="M329" s="14"/>
      <c r="N329" s="89">
        <f t="array" ref="N329">SUM(IF((CsDJ[JEV Number]=TRIM($T298))*(CsDJ[Account Code]=TRIM(K329)),CsDJ[Debit]))</f>
        <v>0</v>
      </c>
      <c r="O329" s="89">
        <f t="array" ref="O329">SUM(IF((CsDJ[JEV Number]=TRIM($T298))*(CsDJ[Account Code]=TRIM(K329)),CsDJ[Credit]))</f>
        <v>0</v>
      </c>
      <c r="P329" s="1040">
        <f t="shared" si="26"/>
        <v>0</v>
      </c>
      <c r="Q329" s="1040"/>
      <c r="R329" s="1040"/>
      <c r="S329" s="1040">
        <f t="shared" si="27"/>
        <v>0</v>
      </c>
      <c r="T329" s="1040"/>
      <c r="U329" s="1040"/>
      <c r="V329" s="1041"/>
    </row>
    <row r="330" spans="1:22" x14ac:dyDescent="0.25">
      <c r="A330" s="1038"/>
      <c r="B330" s="1039"/>
      <c r="C330" s="1039"/>
      <c r="D330" s="1039"/>
      <c r="E330" s="1045" t="str">
        <f t="shared" si="24"/>
        <v/>
      </c>
      <c r="F330" s="1046"/>
      <c r="G330" s="1046"/>
      <c r="H330" s="1046"/>
      <c r="I330" s="1046"/>
      <c r="J330" s="1047"/>
      <c r="K330" s="134"/>
      <c r="L330" s="62" t="str">
        <f t="shared" si="25"/>
        <v/>
      </c>
      <c r="M330" s="14"/>
      <c r="N330" s="89">
        <f t="array" ref="N330">SUM(IF((CsDJ[JEV Number]=TRIM($T298))*(CsDJ[Account Code]=TRIM(K330)),CsDJ[Debit]))</f>
        <v>0</v>
      </c>
      <c r="O330" s="89">
        <f t="array" ref="O330">SUM(IF((CsDJ[JEV Number]=TRIM($T298))*(CsDJ[Account Code]=TRIM(K330)),CsDJ[Credit]))</f>
        <v>0</v>
      </c>
      <c r="P330" s="1040">
        <f t="shared" si="26"/>
        <v>0</v>
      </c>
      <c r="Q330" s="1040"/>
      <c r="R330" s="1040"/>
      <c r="S330" s="1040">
        <f t="shared" si="27"/>
        <v>0</v>
      </c>
      <c r="T330" s="1040"/>
      <c r="U330" s="1040"/>
      <c r="V330" s="1041"/>
    </row>
    <row r="331" spans="1:22" x14ac:dyDescent="0.25">
      <c r="A331" s="1038"/>
      <c r="B331" s="1039"/>
      <c r="C331" s="1039"/>
      <c r="D331" s="1039"/>
      <c r="E331" s="1045" t="str">
        <f t="shared" si="24"/>
        <v/>
      </c>
      <c r="F331" s="1046"/>
      <c r="G331" s="1046"/>
      <c r="H331" s="1046"/>
      <c r="I331" s="1046"/>
      <c r="J331" s="1047"/>
      <c r="K331" s="134"/>
      <c r="L331" s="62" t="str">
        <f t="shared" si="25"/>
        <v/>
      </c>
      <c r="M331" s="14"/>
      <c r="N331" s="89">
        <f t="array" ref="N331">SUM(IF((CsDJ[JEV Number]=TRIM($T298))*(CsDJ[Account Code]=TRIM(K331)),CsDJ[Debit]))</f>
        <v>0</v>
      </c>
      <c r="O331" s="89">
        <f t="array" ref="O331">SUM(IF((CsDJ[JEV Number]=TRIM($T298))*(CsDJ[Account Code]=TRIM(K331)),CsDJ[Credit]))</f>
        <v>0</v>
      </c>
      <c r="P331" s="1040">
        <f t="shared" si="26"/>
        <v>0</v>
      </c>
      <c r="Q331" s="1040"/>
      <c r="R331" s="1040"/>
      <c r="S331" s="1040">
        <f t="shared" si="27"/>
        <v>0</v>
      </c>
      <c r="T331" s="1040"/>
      <c r="U331" s="1040"/>
      <c r="V331" s="1041"/>
    </row>
    <row r="332" spans="1:22" x14ac:dyDescent="0.25">
      <c r="A332" s="1038"/>
      <c r="B332" s="1039"/>
      <c r="C332" s="1039"/>
      <c r="D332" s="1039"/>
      <c r="E332" s="1108" t="s">
        <v>468</v>
      </c>
      <c r="F332" s="1109"/>
      <c r="G332" s="1109"/>
      <c r="H332" s="1109"/>
      <c r="I332" s="1109"/>
      <c r="J332" s="1110"/>
      <c r="K332" s="133"/>
      <c r="L332" s="62" t="str">
        <f t="shared" si="25"/>
        <v/>
      </c>
      <c r="M332" s="14"/>
      <c r="N332" s="89">
        <f t="array" ref="N332">SUM(IF((CsDJ[JEV Number]=TRIM($T298))*(CsDJ[Account Code]=TRIM(K332)),CsDJ[Debit]))</f>
        <v>0</v>
      </c>
      <c r="O332" s="89">
        <f t="array" ref="O332">SUM(IF((CsDJ[JEV Number]=TRIM($T298))*(CsDJ[Account Code]=TRIM(K332)),CsDJ[Credit]))</f>
        <v>0</v>
      </c>
      <c r="P332" s="1040">
        <f t="shared" si="26"/>
        <v>0</v>
      </c>
      <c r="Q332" s="1040"/>
      <c r="R332" s="1040"/>
      <c r="S332" s="1040">
        <f t="shared" si="27"/>
        <v>0</v>
      </c>
      <c r="T332" s="1040"/>
      <c r="U332" s="1040"/>
      <c r="V332" s="1041"/>
    </row>
    <row r="333" spans="1:22" x14ac:dyDescent="0.25">
      <c r="A333" s="1038"/>
      <c r="B333" s="1039"/>
      <c r="C333" s="1039"/>
      <c r="D333" s="1039"/>
      <c r="E333" s="1048" t="s">
        <v>457</v>
      </c>
      <c r="F333" s="1049"/>
      <c r="G333" s="1049"/>
      <c r="H333" s="1049"/>
      <c r="I333" s="1051">
        <f>T299</f>
        <v>0</v>
      </c>
      <c r="J333" s="1052"/>
      <c r="K333" s="133"/>
      <c r="L333" s="62" t="str">
        <f t="shared" si="25"/>
        <v/>
      </c>
      <c r="M333" s="14"/>
      <c r="N333" s="89">
        <f t="array" ref="N333">SUM(IF((CsDJ[JEV Number]=TRIM($T298))*(CsDJ[Account Code]=TRIM(K333)),CsDJ[Debit]))</f>
        <v>0</v>
      </c>
      <c r="O333" s="89">
        <f t="array" ref="O333">SUM(IF((CsDJ[JEV Number]=TRIM($T298))*(CsDJ[Account Code]=TRIM(K333)),CsDJ[Credit]))</f>
        <v>0</v>
      </c>
      <c r="P333" s="1040">
        <f t="shared" si="26"/>
        <v>0</v>
      </c>
      <c r="Q333" s="1040"/>
      <c r="R333" s="1040"/>
      <c r="S333" s="1040">
        <f t="shared" si="27"/>
        <v>0</v>
      </c>
      <c r="T333" s="1040"/>
      <c r="U333" s="1040"/>
      <c r="V333" s="1041"/>
    </row>
    <row r="334" spans="1:22" x14ac:dyDescent="0.25">
      <c r="A334" s="1038"/>
      <c r="B334" s="1039"/>
      <c r="C334" s="1039"/>
      <c r="D334" s="1039"/>
      <c r="E334" s="1048" t="s">
        <v>458</v>
      </c>
      <c r="F334" s="1049"/>
      <c r="G334" s="1049"/>
      <c r="H334" s="1049"/>
      <c r="I334" s="1106">
        <f>IF(T298=0,0,(IF(LOOKUP(T298,CsDJ[JEV Number],CsDJ[Sort Code])="1","MA. VIVIAN C. SALAS",IF(LOOKUP(T298,CsDJ[JEV Number],CsDJ[Sort Code])="2","LUZ R. DE COZAR",IF(LOOKUP(T298,CsDJ[JEV Number],CsDJ[Sort Code])="3","MINEONETTE A. DELA CRUZ",IF(LOOKUP(T298,CsDJ[JEV Number],CsDJ[Sort Code])="4","RESELLA B. LOPEZ"))))))</f>
        <v>0</v>
      </c>
      <c r="J334" s="1107"/>
      <c r="K334" s="133"/>
      <c r="L334" s="62" t="str">
        <f t="shared" si="25"/>
        <v/>
      </c>
      <c r="M334" s="14"/>
      <c r="N334" s="89">
        <f t="array" ref="N334">SUM(IF((CsDJ[JEV Number]=TRIM($T298))*(CsDJ[Account Code]=TRIM(K334)),CsDJ[Debit]))</f>
        <v>0</v>
      </c>
      <c r="O334" s="89">
        <f t="array" ref="O334">SUM(IF((CsDJ[JEV Number]=TRIM($T298))*(CsDJ[Account Code]=TRIM(K334)),CsDJ[Credit]))</f>
        <v>0</v>
      </c>
      <c r="P334" s="1040">
        <f t="shared" si="26"/>
        <v>0</v>
      </c>
      <c r="Q334" s="1040"/>
      <c r="R334" s="1040"/>
      <c r="S334" s="1040">
        <f t="shared" si="27"/>
        <v>0</v>
      </c>
      <c r="T334" s="1040"/>
      <c r="U334" s="1040"/>
      <c r="V334" s="1041"/>
    </row>
    <row r="335" spans="1:22" x14ac:dyDescent="0.25">
      <c r="A335" s="1038"/>
      <c r="B335" s="1039"/>
      <c r="C335" s="1039"/>
      <c r="D335" s="1039"/>
      <c r="E335" s="1048" t="s">
        <v>459</v>
      </c>
      <c r="F335" s="1049"/>
      <c r="G335" s="1049"/>
      <c r="H335" s="1049"/>
      <c r="I335" s="1043">
        <f>IF(I334="Ma. Vivian C. Salas","Regional Office", IF(I334="Luz R. De Cozar","BANE IMO", IF(I334="Mineonette A. Dela Cruz","PAMBAT IMO", IF(I334="Resella B. Lopez","TARZAM IMO",0))))</f>
        <v>0</v>
      </c>
      <c r="J335" s="1044"/>
      <c r="K335" s="133"/>
      <c r="L335" s="62" t="str">
        <f t="shared" si="25"/>
        <v/>
      </c>
      <c r="M335" s="14"/>
      <c r="N335" s="89">
        <f t="array" ref="N335">SUM(IF((CsDJ[JEV Number]=TRIM($T298))*(CsDJ[Account Code]=TRIM(K335)),CsDJ[Debit]))</f>
        <v>0</v>
      </c>
      <c r="O335" s="89">
        <f t="array" ref="O335">SUM(IF((CsDJ[JEV Number]=TRIM($T298))*(CsDJ[Account Code]=TRIM(K335)),CsDJ[Credit]))</f>
        <v>0</v>
      </c>
      <c r="P335" s="1040">
        <f t="shared" si="26"/>
        <v>0</v>
      </c>
      <c r="Q335" s="1040"/>
      <c r="R335" s="1040"/>
      <c r="S335" s="1040">
        <f t="shared" si="27"/>
        <v>0</v>
      </c>
      <c r="T335" s="1040"/>
      <c r="U335" s="1040"/>
      <c r="V335" s="1041"/>
    </row>
    <row r="336" spans="1:22" x14ac:dyDescent="0.25">
      <c r="A336" s="1038"/>
      <c r="B336" s="1039"/>
      <c r="C336" s="1039"/>
      <c r="D336" s="1039"/>
      <c r="E336" s="1048"/>
      <c r="F336" s="1049"/>
      <c r="G336" s="1049"/>
      <c r="H336" s="1049"/>
      <c r="I336" s="1049"/>
      <c r="J336" s="1050"/>
      <c r="K336" s="133"/>
      <c r="L336" s="62" t="str">
        <f t="shared" si="25"/>
        <v/>
      </c>
      <c r="M336" s="14"/>
      <c r="N336" s="89">
        <f t="array" ref="N336">SUM(IF((CsDJ[JEV Number]=TRIM($T298))*(CsDJ[Account Code]=TRIM(K336)),CsDJ[Debit]))</f>
        <v>0</v>
      </c>
      <c r="O336" s="89">
        <f t="array" ref="O336">SUM(IF((CsDJ[JEV Number]=TRIM($T298))*(CsDJ[Account Code]=TRIM(K336)),CsDJ[Credit]))</f>
        <v>0</v>
      </c>
      <c r="P336" s="1040">
        <f t="shared" si="26"/>
        <v>0</v>
      </c>
      <c r="Q336" s="1040"/>
      <c r="R336" s="1040"/>
      <c r="S336" s="1040">
        <f t="shared" si="27"/>
        <v>0</v>
      </c>
      <c r="T336" s="1040"/>
      <c r="U336" s="1040"/>
      <c r="V336" s="1041"/>
    </row>
    <row r="337" spans="1:22" ht="16.5" thickBot="1" x14ac:dyDescent="0.3">
      <c r="A337" s="1091"/>
      <c r="B337" s="1092"/>
      <c r="C337" s="1092"/>
      <c r="D337" s="1092"/>
      <c r="E337" s="1092"/>
      <c r="F337" s="1092"/>
      <c r="G337" s="1092"/>
      <c r="H337" s="1092"/>
      <c r="I337" s="1092"/>
      <c r="J337" s="1092"/>
      <c r="K337" s="1092"/>
      <c r="L337" s="1092"/>
      <c r="M337" s="1093"/>
      <c r="N337" s="88"/>
      <c r="O337" s="88"/>
      <c r="P337" s="1094">
        <f>SUM(P307:R336)</f>
        <v>0</v>
      </c>
      <c r="Q337" s="1094"/>
      <c r="R337" s="1094"/>
      <c r="S337" s="1094">
        <f>SUM(S307:V336)</f>
        <v>0</v>
      </c>
      <c r="T337" s="1094"/>
      <c r="U337" s="1094"/>
      <c r="V337" s="1095"/>
    </row>
    <row r="338" spans="1:22" x14ac:dyDescent="0.25">
      <c r="A338" s="63"/>
      <c r="B338" s="64"/>
      <c r="C338" s="64"/>
      <c r="D338" s="64"/>
      <c r="E338" s="64"/>
      <c r="F338" s="64"/>
      <c r="G338" s="64"/>
      <c r="H338" s="64"/>
      <c r="I338" s="65"/>
      <c r="J338" s="64"/>
      <c r="K338" s="66"/>
      <c r="L338" s="64"/>
      <c r="M338" s="65"/>
      <c r="N338" s="64"/>
      <c r="O338" s="64"/>
      <c r="P338" s="1090"/>
      <c r="Q338" s="1090"/>
      <c r="R338" s="1090"/>
      <c r="S338" s="1090"/>
      <c r="T338" s="1090"/>
      <c r="U338" s="1090"/>
      <c r="V338" s="1096"/>
    </row>
    <row r="339" spans="1:22" x14ac:dyDescent="0.25">
      <c r="A339" s="67" t="s">
        <v>460</v>
      </c>
      <c r="B339"/>
      <c r="C339"/>
      <c r="D339"/>
      <c r="E339"/>
      <c r="F339"/>
      <c r="G339"/>
      <c r="H339"/>
      <c r="I339" s="68" t="s">
        <v>353</v>
      </c>
      <c r="J339" s="69"/>
      <c r="K339" s="69"/>
      <c r="L339"/>
      <c r="M339" s="68" t="s">
        <v>461</v>
      </c>
      <c r="N339" s="69"/>
      <c r="O339" s="69"/>
      <c r="P339" s="70"/>
      <c r="Q339" s="70"/>
      <c r="R339" s="70"/>
      <c r="S339" s="70"/>
      <c r="T339" s="70"/>
      <c r="U339" s="70"/>
      <c r="V339" s="71"/>
    </row>
    <row r="340" spans="1:22" x14ac:dyDescent="0.25">
      <c r="A340" s="37"/>
      <c r="B340"/>
      <c r="C340"/>
      <c r="D340"/>
      <c r="E340"/>
      <c r="F340"/>
      <c r="G340"/>
      <c r="H340"/>
      <c r="I340" s="72"/>
      <c r="J340"/>
      <c r="K340"/>
      <c r="L340"/>
      <c r="M340" s="72"/>
      <c r="N340"/>
      <c r="O340"/>
      <c r="P340"/>
      <c r="Q340"/>
      <c r="R340"/>
      <c r="S340"/>
      <c r="T340"/>
      <c r="U340"/>
      <c r="V340" s="73"/>
    </row>
    <row r="341" spans="1:22" x14ac:dyDescent="0.25">
      <c r="A341" s="74" t="s">
        <v>462</v>
      </c>
      <c r="B341" s="75"/>
      <c r="C341" s="75"/>
      <c r="D341" s="75"/>
      <c r="E341" s="75"/>
      <c r="F341" s="75"/>
      <c r="G341" s="75"/>
      <c r="H341" s="76"/>
      <c r="I341" s="77" t="s">
        <v>380</v>
      </c>
      <c r="J341" s="75"/>
      <c r="K341" s="75"/>
      <c r="L341" s="76"/>
      <c r="M341" s="77" t="s">
        <v>3</v>
      </c>
      <c r="N341" s="75"/>
      <c r="O341" s="75"/>
      <c r="P341" s="75"/>
      <c r="Q341" s="75"/>
      <c r="R341" s="75"/>
      <c r="S341" s="75"/>
      <c r="T341" s="75"/>
      <c r="U341" s="75"/>
      <c r="V341" s="78"/>
    </row>
    <row r="342" spans="1:22" x14ac:dyDescent="0.25">
      <c r="A342" s="79" t="s">
        <v>463</v>
      </c>
      <c r="B342" s="80"/>
      <c r="C342" s="80"/>
      <c r="D342" s="80"/>
      <c r="E342" s="80"/>
      <c r="F342" s="80"/>
      <c r="G342" s="80"/>
      <c r="H342" s="80"/>
      <c r="I342" s="81" t="s">
        <v>381</v>
      </c>
      <c r="J342" s="80"/>
      <c r="K342" s="80"/>
      <c r="L342" s="80"/>
      <c r="M342" s="81" t="s">
        <v>464</v>
      </c>
      <c r="N342" s="80"/>
      <c r="O342" s="80"/>
      <c r="P342" s="82"/>
      <c r="Q342" s="82"/>
      <c r="R342" s="82"/>
      <c r="S342" s="82"/>
      <c r="T342" s="82"/>
      <c r="U342" s="82"/>
      <c r="V342" s="83"/>
    </row>
    <row r="343" spans="1:22" ht="16.5" thickBot="1" x14ac:dyDescent="0.3">
      <c r="A343" s="84" t="s">
        <v>465</v>
      </c>
      <c r="B343" s="43"/>
      <c r="C343" s="43"/>
      <c r="D343" s="43"/>
      <c r="E343" s="43"/>
      <c r="F343" s="43"/>
      <c r="G343" s="43"/>
      <c r="H343" s="43"/>
      <c r="I343" s="85"/>
      <c r="J343" s="43"/>
      <c r="K343" s="43"/>
      <c r="L343" s="43"/>
      <c r="M343" s="85"/>
      <c r="N343" s="43"/>
      <c r="O343" s="43"/>
      <c r="P343" s="43"/>
      <c r="Q343" s="43"/>
      <c r="R343" s="43"/>
      <c r="S343" s="43"/>
      <c r="T343" s="43"/>
      <c r="U343" s="43"/>
      <c r="V343" s="44"/>
    </row>
    <row r="344" spans="1:22" ht="22.5" x14ac:dyDescent="0.25">
      <c r="A344" s="31" t="s">
        <v>441</v>
      </c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3"/>
      <c r="R344" s="1053">
        <f>+P384-S384</f>
        <v>0</v>
      </c>
      <c r="S344" s="1054"/>
      <c r="T344" s="1054"/>
      <c r="U344" s="1054"/>
      <c r="V344" s="1055"/>
    </row>
    <row r="345" spans="1:22" x14ac:dyDescent="0.25">
      <c r="A345" s="34" t="s">
        <v>442</v>
      </c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6"/>
      <c r="R345" s="37" t="s">
        <v>443</v>
      </c>
      <c r="S345"/>
      <c r="T345" s="1056"/>
      <c r="U345" s="1056"/>
      <c r="V345" s="1057"/>
    </row>
    <row r="346" spans="1:22" x14ac:dyDescent="0.25">
      <c r="A346" s="38" t="s">
        <v>444</v>
      </c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6"/>
      <c r="R346" s="37" t="s">
        <v>0</v>
      </c>
      <c r="S346"/>
      <c r="T346" s="1058">
        <f>IF(T345=0,0,(LOOKUP(T345,CsDJ[JEV Number],CsDJ[Date])))</f>
        <v>0</v>
      </c>
      <c r="U346" s="1058"/>
      <c r="V346" s="1059"/>
    </row>
    <row r="347" spans="1:22" ht="16.5" thickBot="1" x14ac:dyDescent="0.3">
      <c r="A347" s="39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1"/>
      <c r="R347" s="42"/>
      <c r="S347" s="43"/>
      <c r="T347" s="43"/>
      <c r="U347" s="43"/>
      <c r="V347" s="44"/>
    </row>
    <row r="348" spans="1:22" x14ac:dyDescent="0.25">
      <c r="A348" s="45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7"/>
      <c r="M348" s="46"/>
      <c r="N348" s="46"/>
      <c r="O348" s="46"/>
      <c r="P348" s="46"/>
      <c r="Q348" s="46"/>
      <c r="R348" s="46"/>
      <c r="S348" s="46"/>
      <c r="T348" s="46"/>
      <c r="U348" s="46"/>
      <c r="V348" s="48"/>
    </row>
    <row r="349" spans="1:22" x14ac:dyDescent="0.25">
      <c r="A349" s="49"/>
      <c r="B349" s="1060"/>
      <c r="C349" s="1060"/>
      <c r="D349" s="50" t="s">
        <v>445</v>
      </c>
      <c r="H349" s="51"/>
      <c r="I349" s="25" t="s">
        <v>447</v>
      </c>
      <c r="J349" s="132" t="s">
        <v>446</v>
      </c>
      <c r="K349" s="52" t="s">
        <v>448</v>
      </c>
      <c r="L349" s="52"/>
      <c r="Q349" s="1060"/>
      <c r="R349" s="1060"/>
      <c r="S349" s="50" t="s">
        <v>449</v>
      </c>
      <c r="T349" s="50"/>
      <c r="U349" s="50"/>
      <c r="V349" s="53"/>
    </row>
    <row r="350" spans="1:22" ht="16.5" thickBot="1" x14ac:dyDescent="0.3">
      <c r="A350" s="54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6"/>
      <c r="M350" s="55"/>
      <c r="N350" s="55"/>
      <c r="O350" s="55"/>
      <c r="P350" s="55"/>
      <c r="Q350" s="55"/>
      <c r="R350" s="55"/>
      <c r="S350" s="55"/>
      <c r="T350" s="55"/>
      <c r="U350" s="55"/>
      <c r="V350" s="57"/>
    </row>
    <row r="351" spans="1:22" x14ac:dyDescent="0.25">
      <c r="A351" s="1061" t="s">
        <v>397</v>
      </c>
      <c r="B351" s="1062"/>
      <c r="C351" s="1062"/>
      <c r="D351" s="1063"/>
      <c r="E351" s="1070" t="s">
        <v>450</v>
      </c>
      <c r="F351" s="1070"/>
      <c r="G351" s="1070"/>
      <c r="H351" s="1070"/>
      <c r="I351" s="1070"/>
      <c r="J351" s="1070"/>
      <c r="K351" s="1070"/>
      <c r="L351" s="1070"/>
      <c r="M351" s="1070"/>
      <c r="N351" s="1070"/>
      <c r="O351" s="1070"/>
      <c r="P351" s="1070"/>
      <c r="Q351" s="1070"/>
      <c r="R351" s="1070"/>
      <c r="S351" s="1070"/>
      <c r="T351" s="1070"/>
      <c r="U351" s="1070"/>
      <c r="V351" s="1071"/>
    </row>
    <row r="352" spans="1:22" x14ac:dyDescent="0.25">
      <c r="A352" s="1064"/>
      <c r="B352" s="1065"/>
      <c r="C352" s="1065"/>
      <c r="D352" s="1066"/>
      <c r="E352" s="1072" t="s">
        <v>451</v>
      </c>
      <c r="F352" s="1072"/>
      <c r="G352" s="1072"/>
      <c r="H352" s="1072"/>
      <c r="I352" s="1072"/>
      <c r="J352" s="1072"/>
      <c r="K352" s="1074" t="s">
        <v>378</v>
      </c>
      <c r="L352" s="1074"/>
      <c r="M352" s="1072" t="s">
        <v>452</v>
      </c>
      <c r="N352" s="1075" t="s">
        <v>453</v>
      </c>
      <c r="O352" s="1076"/>
      <c r="P352" s="1076"/>
      <c r="Q352" s="1076"/>
      <c r="R352" s="1076"/>
      <c r="S352" s="1076"/>
      <c r="T352" s="1076"/>
      <c r="U352" s="1076"/>
      <c r="V352" s="1077"/>
    </row>
    <row r="353" spans="1:22" ht="16.5" customHeight="1" thickBot="1" x14ac:dyDescent="0.3">
      <c r="A353" s="1067"/>
      <c r="B353" s="1068"/>
      <c r="C353" s="1068"/>
      <c r="D353" s="1069"/>
      <c r="E353" s="1073"/>
      <c r="F353" s="1073"/>
      <c r="G353" s="1073"/>
      <c r="H353" s="1073"/>
      <c r="I353" s="1073"/>
      <c r="J353" s="1073"/>
      <c r="K353" s="58" t="s">
        <v>454</v>
      </c>
      <c r="L353" s="58" t="s">
        <v>455</v>
      </c>
      <c r="M353" s="1073"/>
      <c r="N353" s="87" t="s">
        <v>466</v>
      </c>
      <c r="O353" s="87" t="s">
        <v>467</v>
      </c>
      <c r="P353" s="1078" t="s">
        <v>1</v>
      </c>
      <c r="Q353" s="1079"/>
      <c r="R353" s="1080"/>
      <c r="S353" s="1078" t="s">
        <v>2</v>
      </c>
      <c r="T353" s="1079"/>
      <c r="U353" s="1079"/>
      <c r="V353" s="1081"/>
    </row>
    <row r="354" spans="1:22" ht="19.5" x14ac:dyDescent="0.3">
      <c r="A354" s="1082">
        <f>P384-S384</f>
        <v>0</v>
      </c>
      <c r="B354" s="1083"/>
      <c r="C354" s="1083"/>
      <c r="D354" s="1083"/>
      <c r="E354" s="1084" t="str">
        <f>Account!$G$1</f>
        <v>FUND 501 CARP</v>
      </c>
      <c r="F354" s="1085"/>
      <c r="G354" s="1085"/>
      <c r="H354" s="1085"/>
      <c r="I354" s="1085"/>
      <c r="J354" s="1086"/>
      <c r="K354" s="59"/>
      <c r="L354" s="59"/>
      <c r="M354" s="60"/>
      <c r="N354" s="60"/>
      <c r="O354" s="60"/>
      <c r="P354" s="1087"/>
      <c r="Q354" s="1087"/>
      <c r="R354" s="1087"/>
      <c r="S354" s="1087"/>
      <c r="T354" s="1087"/>
      <c r="U354" s="1087"/>
      <c r="V354" s="1088"/>
    </row>
    <row r="355" spans="1:22" x14ac:dyDescent="0.25">
      <c r="A355" s="1038"/>
      <c r="B355" s="1039"/>
      <c r="C355" s="1039"/>
      <c r="D355" s="1039"/>
      <c r="E355" s="1039"/>
      <c r="F355" s="1039"/>
      <c r="G355" s="1039"/>
      <c r="H355" s="1039"/>
      <c r="I355" s="1039"/>
      <c r="J355" s="1039"/>
      <c r="K355" s="61"/>
      <c r="L355" s="61"/>
      <c r="M355" s="14"/>
      <c r="N355" s="14"/>
      <c r="O355" s="14"/>
      <c r="P355" s="1039"/>
      <c r="Q355" s="1039"/>
      <c r="R355" s="1039"/>
      <c r="S355" s="1039"/>
      <c r="T355" s="1039"/>
      <c r="U355" s="1039"/>
      <c r="V355" s="1089"/>
    </row>
    <row r="356" spans="1:22" x14ac:dyDescent="0.25">
      <c r="A356" s="1038"/>
      <c r="B356" s="1039"/>
      <c r="C356" s="1039"/>
      <c r="D356" s="1039"/>
      <c r="E356" s="1045" t="str">
        <f t="shared" ref="E356:E378" si="28">IF(K356=0,"",(VLOOKUP((TRIM(K356)),Code,2,)))</f>
        <v/>
      </c>
      <c r="F356" s="1046"/>
      <c r="G356" s="1046"/>
      <c r="H356" s="1046"/>
      <c r="I356" s="1046"/>
      <c r="J356" s="1047"/>
      <c r="K356" s="133"/>
      <c r="L356" s="62" t="str">
        <f t="shared" ref="L356:L383" si="29">IF(K356=0,"",VLOOKUP((TRIM(K356)),Code,3,))</f>
        <v/>
      </c>
      <c r="M356" s="14"/>
      <c r="N356" s="89">
        <f t="array" ref="N356">SUM(IF((CsDJ[JEV Number]=TRIM($T345))*(CsDJ[Account Code]=TRIM(K356)),CsDJ[Debit]))</f>
        <v>0</v>
      </c>
      <c r="O356" s="89">
        <f t="array" ref="O356">SUM(IF((CsDJ[JEV Number]=TRIM($T345))*(CsDJ[Account Code]=TRIM(K356)),CsDJ[Credit]))</f>
        <v>0</v>
      </c>
      <c r="P356" s="1040">
        <f>N356</f>
        <v>0</v>
      </c>
      <c r="Q356" s="1040"/>
      <c r="R356" s="1040"/>
      <c r="S356" s="1040">
        <f>O356</f>
        <v>0</v>
      </c>
      <c r="T356" s="1040"/>
      <c r="U356" s="1040"/>
      <c r="V356" s="1041"/>
    </row>
    <row r="357" spans="1:22" x14ac:dyDescent="0.25">
      <c r="A357" s="1038"/>
      <c r="B357" s="1039"/>
      <c r="C357" s="1039"/>
      <c r="D357" s="1039"/>
      <c r="E357" s="1045" t="str">
        <f t="shared" si="28"/>
        <v/>
      </c>
      <c r="F357" s="1046"/>
      <c r="G357" s="1046"/>
      <c r="H357" s="1046"/>
      <c r="I357" s="1046"/>
      <c r="J357" s="1047"/>
      <c r="K357" s="133"/>
      <c r="L357" s="62" t="str">
        <f t="shared" si="29"/>
        <v/>
      </c>
      <c r="M357" s="14"/>
      <c r="N357" s="89">
        <f t="array" ref="N357">SUM(IF((CsDJ[JEV Number]=TRIM($T345))*(CsDJ[Account Code]=TRIM(K357)),CsDJ[Debit]))</f>
        <v>0</v>
      </c>
      <c r="O357" s="89">
        <f t="array" ref="O357">SUM(IF((CsDJ[JEV Number]=TRIM($T345))*(CsDJ[Account Code]=TRIM(K357)),CsDJ[Credit]))</f>
        <v>0</v>
      </c>
      <c r="P357" s="1040">
        <f>N357</f>
        <v>0</v>
      </c>
      <c r="Q357" s="1040"/>
      <c r="R357" s="1040"/>
      <c r="S357" s="1040">
        <f>O357</f>
        <v>0</v>
      </c>
      <c r="T357" s="1040"/>
      <c r="U357" s="1040"/>
      <c r="V357" s="1041"/>
    </row>
    <row r="358" spans="1:22" x14ac:dyDescent="0.25">
      <c r="A358" s="1038"/>
      <c r="B358" s="1039"/>
      <c r="C358" s="1039"/>
      <c r="D358" s="1039"/>
      <c r="E358" s="1045" t="str">
        <f t="shared" si="28"/>
        <v/>
      </c>
      <c r="F358" s="1046"/>
      <c r="G358" s="1046"/>
      <c r="H358" s="1046"/>
      <c r="I358" s="1046"/>
      <c r="J358" s="1047"/>
      <c r="K358" s="133"/>
      <c r="L358" s="62" t="str">
        <f t="shared" si="29"/>
        <v/>
      </c>
      <c r="M358" s="14"/>
      <c r="N358" s="89">
        <f t="array" ref="N358">SUM(IF((CsDJ[JEV Number]=TRIM($T345))*(CsDJ[Account Code]=TRIM(K358)),CsDJ[Debit]))</f>
        <v>0</v>
      </c>
      <c r="O358" s="89">
        <f t="array" ref="O358">SUM(IF((CsDJ[JEV Number]=TRIM($T345))*(CsDJ[Account Code]=TRIM(K358)),CsDJ[Credit]))</f>
        <v>0</v>
      </c>
      <c r="P358" s="1040">
        <f t="shared" ref="P358:P383" si="30">N358</f>
        <v>0</v>
      </c>
      <c r="Q358" s="1040"/>
      <c r="R358" s="1040"/>
      <c r="S358" s="1040">
        <f t="shared" ref="S358:S383" si="31">O358</f>
        <v>0</v>
      </c>
      <c r="T358" s="1040"/>
      <c r="U358" s="1040"/>
      <c r="V358" s="1041"/>
    </row>
    <row r="359" spans="1:22" x14ac:dyDescent="0.25">
      <c r="A359" s="1038"/>
      <c r="B359" s="1039"/>
      <c r="C359" s="1039"/>
      <c r="D359" s="1039"/>
      <c r="E359" s="1045" t="str">
        <f t="shared" si="28"/>
        <v/>
      </c>
      <c r="F359" s="1046"/>
      <c r="G359" s="1046"/>
      <c r="H359" s="1046"/>
      <c r="I359" s="1046"/>
      <c r="J359" s="1047"/>
      <c r="K359" s="133"/>
      <c r="L359" s="62" t="str">
        <f t="shared" si="29"/>
        <v/>
      </c>
      <c r="M359" s="14"/>
      <c r="N359" s="89">
        <f t="array" ref="N359">SUM(IF((CsDJ[JEV Number]=TRIM($T345))*(CsDJ[Account Code]=TRIM(K359)),CsDJ[Debit]))</f>
        <v>0</v>
      </c>
      <c r="O359" s="89">
        <f t="array" ref="O359">SUM(IF((CsDJ[JEV Number]=TRIM($T345))*(CsDJ[Account Code]=TRIM(K359)),CsDJ[Credit]))</f>
        <v>0</v>
      </c>
      <c r="P359" s="1040">
        <f t="shared" si="30"/>
        <v>0</v>
      </c>
      <c r="Q359" s="1040"/>
      <c r="R359" s="1040"/>
      <c r="S359" s="1040">
        <f t="shared" si="31"/>
        <v>0</v>
      </c>
      <c r="T359" s="1040"/>
      <c r="U359" s="1040"/>
      <c r="V359" s="1041"/>
    </row>
    <row r="360" spans="1:22" x14ac:dyDescent="0.25">
      <c r="A360" s="1038"/>
      <c r="B360" s="1039"/>
      <c r="C360" s="1039"/>
      <c r="D360" s="1039"/>
      <c r="E360" s="1045" t="str">
        <f t="shared" si="28"/>
        <v/>
      </c>
      <c r="F360" s="1046"/>
      <c r="G360" s="1046"/>
      <c r="H360" s="1046"/>
      <c r="I360" s="1046"/>
      <c r="J360" s="1047"/>
      <c r="K360" s="133"/>
      <c r="L360" s="62" t="str">
        <f t="shared" si="29"/>
        <v/>
      </c>
      <c r="M360" s="14"/>
      <c r="N360" s="89">
        <f t="array" ref="N360">SUM(IF((CsDJ[JEV Number]=TRIM($T345))*(CsDJ[Account Code]=TRIM(K360)),CsDJ[Debit]))</f>
        <v>0</v>
      </c>
      <c r="O360" s="89">
        <f t="array" ref="O360">SUM(IF((CsDJ[JEV Number]=TRIM($T345))*(CsDJ[Account Code]=TRIM(K360)),CsDJ[Credit]))</f>
        <v>0</v>
      </c>
      <c r="P360" s="1040">
        <f t="shared" si="30"/>
        <v>0</v>
      </c>
      <c r="Q360" s="1040"/>
      <c r="R360" s="1040"/>
      <c r="S360" s="1040">
        <f t="shared" si="31"/>
        <v>0</v>
      </c>
      <c r="T360" s="1040"/>
      <c r="U360" s="1040"/>
      <c r="V360" s="1041"/>
    </row>
    <row r="361" spans="1:22" x14ac:dyDescent="0.25">
      <c r="A361" s="1038"/>
      <c r="B361" s="1039"/>
      <c r="C361" s="1039"/>
      <c r="D361" s="1039"/>
      <c r="E361" s="1045" t="str">
        <f t="shared" si="28"/>
        <v/>
      </c>
      <c r="F361" s="1046"/>
      <c r="G361" s="1046"/>
      <c r="H361" s="1046"/>
      <c r="I361" s="1046"/>
      <c r="J361" s="1047"/>
      <c r="K361" s="133"/>
      <c r="L361" s="62" t="str">
        <f t="shared" si="29"/>
        <v/>
      </c>
      <c r="M361" s="14"/>
      <c r="N361" s="89">
        <f t="array" ref="N361">SUM(IF((CsDJ[JEV Number]=TRIM($T345))*(CsDJ[Account Code]=TRIM(K361)),CsDJ[Debit]))</f>
        <v>0</v>
      </c>
      <c r="O361" s="89">
        <f t="array" ref="O361">SUM(IF((CsDJ[JEV Number]=TRIM($T345))*(CsDJ[Account Code]=TRIM(K361)),CsDJ[Credit]))</f>
        <v>0</v>
      </c>
      <c r="P361" s="1040">
        <f t="shared" si="30"/>
        <v>0</v>
      </c>
      <c r="Q361" s="1040"/>
      <c r="R361" s="1040"/>
      <c r="S361" s="1040">
        <f t="shared" si="31"/>
        <v>0</v>
      </c>
      <c r="T361" s="1040"/>
      <c r="U361" s="1040"/>
      <c r="V361" s="1041"/>
    </row>
    <row r="362" spans="1:22" x14ac:dyDescent="0.25">
      <c r="A362" s="1038"/>
      <c r="B362" s="1039"/>
      <c r="C362" s="1039"/>
      <c r="D362" s="1039"/>
      <c r="E362" s="1045" t="str">
        <f t="shared" si="28"/>
        <v/>
      </c>
      <c r="F362" s="1046"/>
      <c r="G362" s="1046"/>
      <c r="H362" s="1046"/>
      <c r="I362" s="1046"/>
      <c r="J362" s="1047"/>
      <c r="K362" s="133"/>
      <c r="L362" s="62" t="str">
        <f t="shared" si="29"/>
        <v/>
      </c>
      <c r="M362" s="14"/>
      <c r="N362" s="89">
        <f t="array" ref="N362">SUM(IF((CsDJ[JEV Number]=TRIM($T345))*(CsDJ[Account Code]=TRIM(K362)),CsDJ[Debit]))</f>
        <v>0</v>
      </c>
      <c r="O362" s="89">
        <f t="array" ref="O362">SUM(IF((CsDJ[JEV Number]=TRIM($T345))*(CsDJ[Account Code]=TRIM(K362)),CsDJ[Credit]))</f>
        <v>0</v>
      </c>
      <c r="P362" s="1040">
        <f t="shared" si="30"/>
        <v>0</v>
      </c>
      <c r="Q362" s="1040"/>
      <c r="R362" s="1040"/>
      <c r="S362" s="1040">
        <f t="shared" si="31"/>
        <v>0</v>
      </c>
      <c r="T362" s="1040"/>
      <c r="U362" s="1040"/>
      <c r="V362" s="1041"/>
    </row>
    <row r="363" spans="1:22" x14ac:dyDescent="0.25">
      <c r="A363" s="1038"/>
      <c r="B363" s="1039"/>
      <c r="C363" s="1039"/>
      <c r="D363" s="1039"/>
      <c r="E363" s="1045" t="str">
        <f t="shared" si="28"/>
        <v/>
      </c>
      <c r="F363" s="1046"/>
      <c r="G363" s="1046"/>
      <c r="H363" s="1046"/>
      <c r="I363" s="1046"/>
      <c r="J363" s="1047"/>
      <c r="K363" s="133"/>
      <c r="L363" s="62" t="str">
        <f t="shared" si="29"/>
        <v/>
      </c>
      <c r="M363" s="14"/>
      <c r="N363" s="89">
        <f t="array" ref="N363">SUM(IF((CsDJ[JEV Number]=TRIM($T345))*(CsDJ[Account Code]=TRIM(K363)),CsDJ[Debit]))</f>
        <v>0</v>
      </c>
      <c r="O363" s="89">
        <f t="array" ref="O363">SUM(IF((CsDJ[JEV Number]=TRIM($T345))*(CsDJ[Account Code]=TRIM(K363)),CsDJ[Credit]))</f>
        <v>0</v>
      </c>
      <c r="P363" s="1040">
        <f t="shared" si="30"/>
        <v>0</v>
      </c>
      <c r="Q363" s="1040"/>
      <c r="R363" s="1040"/>
      <c r="S363" s="1040">
        <f t="shared" si="31"/>
        <v>0</v>
      </c>
      <c r="T363" s="1040"/>
      <c r="U363" s="1040"/>
      <c r="V363" s="1041"/>
    </row>
    <row r="364" spans="1:22" x14ac:dyDescent="0.25">
      <c r="A364" s="1038"/>
      <c r="B364" s="1039"/>
      <c r="C364" s="1039"/>
      <c r="D364" s="1039"/>
      <c r="E364" s="1045" t="str">
        <f t="shared" si="28"/>
        <v/>
      </c>
      <c r="F364" s="1046"/>
      <c r="G364" s="1046"/>
      <c r="H364" s="1046"/>
      <c r="I364" s="1046"/>
      <c r="J364" s="1047"/>
      <c r="K364" s="134"/>
      <c r="L364" s="62" t="str">
        <f t="shared" si="29"/>
        <v/>
      </c>
      <c r="M364" s="14"/>
      <c r="N364" s="89">
        <f t="array" ref="N364">SUM(IF((CsDJ[JEV Number]=TRIM($T345))*(CsDJ[Account Code]=TRIM(K364)),CsDJ[Debit]))</f>
        <v>0</v>
      </c>
      <c r="O364" s="89">
        <f t="array" ref="O364">SUM(IF((CsDJ[JEV Number]=TRIM($T345))*(CsDJ[Account Code]=TRIM(K364)),CsDJ[Credit]))</f>
        <v>0</v>
      </c>
      <c r="P364" s="1040">
        <f t="shared" si="30"/>
        <v>0</v>
      </c>
      <c r="Q364" s="1040"/>
      <c r="R364" s="1040"/>
      <c r="S364" s="1040">
        <f t="shared" si="31"/>
        <v>0</v>
      </c>
      <c r="T364" s="1040"/>
      <c r="U364" s="1040"/>
      <c r="V364" s="1041"/>
    </row>
    <row r="365" spans="1:22" x14ac:dyDescent="0.25">
      <c r="A365" s="1038"/>
      <c r="B365" s="1039"/>
      <c r="C365" s="1039"/>
      <c r="D365" s="1039"/>
      <c r="E365" s="1045" t="str">
        <f t="shared" si="28"/>
        <v/>
      </c>
      <c r="F365" s="1046"/>
      <c r="G365" s="1046"/>
      <c r="H365" s="1046"/>
      <c r="I365" s="1046"/>
      <c r="J365" s="1047"/>
      <c r="K365" s="134"/>
      <c r="L365" s="62" t="str">
        <f t="shared" si="29"/>
        <v/>
      </c>
      <c r="M365" s="14"/>
      <c r="N365" s="89">
        <f t="array" ref="N365">SUM(IF((CsDJ[JEV Number]=TRIM($T345))*(CsDJ[Account Code]=TRIM(K365)),CsDJ[Debit]))</f>
        <v>0</v>
      </c>
      <c r="O365" s="89">
        <f t="array" ref="O365">SUM(IF((CsDJ[JEV Number]=TRIM($T345))*(CsDJ[Account Code]=TRIM(K365)),CsDJ[Credit]))</f>
        <v>0</v>
      </c>
      <c r="P365" s="1040">
        <f t="shared" si="30"/>
        <v>0</v>
      </c>
      <c r="Q365" s="1040"/>
      <c r="R365" s="1040"/>
      <c r="S365" s="1040">
        <f t="shared" si="31"/>
        <v>0</v>
      </c>
      <c r="T365" s="1040"/>
      <c r="U365" s="1040"/>
      <c r="V365" s="1041"/>
    </row>
    <row r="366" spans="1:22" x14ac:dyDescent="0.25">
      <c r="A366" s="1038"/>
      <c r="B366" s="1039"/>
      <c r="C366" s="1039"/>
      <c r="D366" s="1039"/>
      <c r="E366" s="1045" t="str">
        <f t="shared" si="28"/>
        <v/>
      </c>
      <c r="F366" s="1046"/>
      <c r="G366" s="1046"/>
      <c r="H366" s="1046"/>
      <c r="I366" s="1046"/>
      <c r="J366" s="1047"/>
      <c r="K366" s="134"/>
      <c r="L366" s="62" t="str">
        <f t="shared" si="29"/>
        <v/>
      </c>
      <c r="M366" s="14"/>
      <c r="N366" s="89">
        <f t="array" ref="N366">SUM(IF((CsDJ[JEV Number]=TRIM($T345))*(CsDJ[Account Code]=TRIM(K366)),CsDJ[Debit]))</f>
        <v>0</v>
      </c>
      <c r="O366" s="89">
        <f t="array" ref="O366">SUM(IF((CsDJ[JEV Number]=TRIM($T345))*(CsDJ[Account Code]=TRIM(K366)),CsDJ[Credit]))</f>
        <v>0</v>
      </c>
      <c r="P366" s="1040">
        <f t="shared" si="30"/>
        <v>0</v>
      </c>
      <c r="Q366" s="1040"/>
      <c r="R366" s="1040"/>
      <c r="S366" s="1040">
        <f t="shared" si="31"/>
        <v>0</v>
      </c>
      <c r="T366" s="1040"/>
      <c r="U366" s="1040"/>
      <c r="V366" s="1041"/>
    </row>
    <row r="367" spans="1:22" x14ac:dyDescent="0.25">
      <c r="A367" s="1038"/>
      <c r="B367" s="1039"/>
      <c r="C367" s="1039"/>
      <c r="D367" s="1039"/>
      <c r="E367" s="1045" t="str">
        <f t="shared" si="28"/>
        <v/>
      </c>
      <c r="F367" s="1046"/>
      <c r="G367" s="1046"/>
      <c r="H367" s="1046"/>
      <c r="I367" s="1046"/>
      <c r="J367" s="1047"/>
      <c r="K367" s="134"/>
      <c r="L367" s="62" t="str">
        <f t="shared" si="29"/>
        <v/>
      </c>
      <c r="M367" s="14"/>
      <c r="N367" s="89">
        <f t="array" ref="N367">SUM(IF((CsDJ[JEV Number]=TRIM($T345))*(CsDJ[Account Code]=TRIM(K367)),CsDJ[Debit]))</f>
        <v>0</v>
      </c>
      <c r="O367" s="89">
        <f t="array" ref="O367">SUM(IF((CsDJ[JEV Number]=TRIM($T345))*(CsDJ[Account Code]=TRIM(K367)),CsDJ[Credit]))</f>
        <v>0</v>
      </c>
      <c r="P367" s="1040">
        <f t="shared" si="30"/>
        <v>0</v>
      </c>
      <c r="Q367" s="1040"/>
      <c r="R367" s="1040"/>
      <c r="S367" s="1040">
        <f t="shared" si="31"/>
        <v>0</v>
      </c>
      <c r="T367" s="1040"/>
      <c r="U367" s="1040"/>
      <c r="V367" s="1041"/>
    </row>
    <row r="368" spans="1:22" x14ac:dyDescent="0.25">
      <c r="A368" s="1038"/>
      <c r="B368" s="1039"/>
      <c r="C368" s="1039"/>
      <c r="D368" s="1039"/>
      <c r="E368" s="1045" t="str">
        <f t="shared" si="28"/>
        <v/>
      </c>
      <c r="F368" s="1046"/>
      <c r="G368" s="1046"/>
      <c r="H368" s="1046"/>
      <c r="I368" s="1046"/>
      <c r="J368" s="1047"/>
      <c r="K368" s="134"/>
      <c r="L368" s="62" t="str">
        <f t="shared" si="29"/>
        <v/>
      </c>
      <c r="M368" s="14"/>
      <c r="N368" s="89">
        <f t="array" ref="N368">SUM(IF((CsDJ[JEV Number]=TRIM($T345))*(CsDJ[Account Code]=TRIM(K368)),CsDJ[Debit]))</f>
        <v>0</v>
      </c>
      <c r="O368" s="89">
        <f t="array" ref="O368">SUM(IF((CsDJ[JEV Number]=TRIM($T345))*(CsDJ[Account Code]=TRIM(K368)),CsDJ[Credit]))</f>
        <v>0</v>
      </c>
      <c r="P368" s="1040">
        <f t="shared" si="30"/>
        <v>0</v>
      </c>
      <c r="Q368" s="1040"/>
      <c r="R368" s="1040"/>
      <c r="S368" s="1040">
        <f t="shared" si="31"/>
        <v>0</v>
      </c>
      <c r="T368" s="1040"/>
      <c r="U368" s="1040"/>
      <c r="V368" s="1041"/>
    </row>
    <row r="369" spans="1:22" x14ac:dyDescent="0.25">
      <c r="A369" s="1038"/>
      <c r="B369" s="1039"/>
      <c r="C369" s="1039"/>
      <c r="D369" s="1039"/>
      <c r="E369" s="1045" t="str">
        <f t="shared" si="28"/>
        <v/>
      </c>
      <c r="F369" s="1046"/>
      <c r="G369" s="1046"/>
      <c r="H369" s="1046"/>
      <c r="I369" s="1046"/>
      <c r="J369" s="1047"/>
      <c r="K369" s="134"/>
      <c r="L369" s="62" t="str">
        <f t="shared" si="29"/>
        <v/>
      </c>
      <c r="M369" s="14"/>
      <c r="N369" s="89">
        <f t="array" ref="N369">SUM(IF((CsDJ[JEV Number]=TRIM($T345))*(CsDJ[Account Code]=TRIM(K369)),CsDJ[Debit]))</f>
        <v>0</v>
      </c>
      <c r="O369" s="89">
        <f t="array" ref="O369">SUM(IF((CsDJ[JEV Number]=TRIM($T345))*(CsDJ[Account Code]=TRIM(K369)),CsDJ[Credit]))</f>
        <v>0</v>
      </c>
      <c r="P369" s="1040">
        <f t="shared" si="30"/>
        <v>0</v>
      </c>
      <c r="Q369" s="1040"/>
      <c r="R369" s="1040"/>
      <c r="S369" s="1040">
        <f t="shared" si="31"/>
        <v>0</v>
      </c>
      <c r="T369" s="1040"/>
      <c r="U369" s="1040"/>
      <c r="V369" s="1041"/>
    </row>
    <row r="370" spans="1:22" x14ac:dyDescent="0.25">
      <c r="A370" s="1038"/>
      <c r="B370" s="1039"/>
      <c r="C370" s="1039"/>
      <c r="D370" s="1039"/>
      <c r="E370" s="1045" t="str">
        <f t="shared" si="28"/>
        <v/>
      </c>
      <c r="F370" s="1046"/>
      <c r="G370" s="1046"/>
      <c r="H370" s="1046"/>
      <c r="I370" s="1046"/>
      <c r="J370" s="1047"/>
      <c r="K370" s="134"/>
      <c r="L370" s="62" t="str">
        <f t="shared" si="29"/>
        <v/>
      </c>
      <c r="M370" s="14"/>
      <c r="N370" s="89">
        <f t="array" ref="N370">SUM(IF((CsDJ[JEV Number]=TRIM($T345))*(CsDJ[Account Code]=TRIM(K370)),CsDJ[Debit]))</f>
        <v>0</v>
      </c>
      <c r="O370" s="89">
        <f t="array" ref="O370">SUM(IF((CsDJ[JEV Number]=TRIM($T345))*(CsDJ[Account Code]=TRIM(K370)),CsDJ[Credit]))</f>
        <v>0</v>
      </c>
      <c r="P370" s="1040">
        <f t="shared" si="30"/>
        <v>0</v>
      </c>
      <c r="Q370" s="1040"/>
      <c r="R370" s="1040"/>
      <c r="S370" s="1040">
        <f t="shared" si="31"/>
        <v>0</v>
      </c>
      <c r="T370" s="1040"/>
      <c r="U370" s="1040"/>
      <c r="V370" s="1041"/>
    </row>
    <row r="371" spans="1:22" x14ac:dyDescent="0.25">
      <c r="A371" s="1038"/>
      <c r="B371" s="1039"/>
      <c r="C371" s="1039"/>
      <c r="D371" s="1039"/>
      <c r="E371" s="1045" t="str">
        <f t="shared" si="28"/>
        <v/>
      </c>
      <c r="F371" s="1046"/>
      <c r="G371" s="1046"/>
      <c r="H371" s="1046"/>
      <c r="I371" s="1046"/>
      <c r="J371" s="1047"/>
      <c r="K371" s="134"/>
      <c r="L371" s="62" t="str">
        <f t="shared" si="29"/>
        <v/>
      </c>
      <c r="M371" s="14"/>
      <c r="N371" s="89">
        <f t="array" ref="N371">SUM(IF((CsDJ[JEV Number]=TRIM($T345))*(CsDJ[Account Code]=TRIM(K371)),CsDJ[Debit]))</f>
        <v>0</v>
      </c>
      <c r="O371" s="89">
        <f t="array" ref="O371">SUM(IF((CsDJ[JEV Number]=TRIM($T345))*(CsDJ[Account Code]=TRIM(K371)),CsDJ[Credit]))</f>
        <v>0</v>
      </c>
      <c r="P371" s="1040">
        <f t="shared" si="30"/>
        <v>0</v>
      </c>
      <c r="Q371" s="1040"/>
      <c r="R371" s="1040"/>
      <c r="S371" s="1040">
        <f t="shared" si="31"/>
        <v>0</v>
      </c>
      <c r="T371" s="1040"/>
      <c r="U371" s="1040"/>
      <c r="V371" s="1041"/>
    </row>
    <row r="372" spans="1:22" x14ac:dyDescent="0.25">
      <c r="A372" s="1038"/>
      <c r="B372" s="1039"/>
      <c r="C372" s="1039"/>
      <c r="D372" s="1039"/>
      <c r="E372" s="1045" t="str">
        <f t="shared" si="28"/>
        <v/>
      </c>
      <c r="F372" s="1046"/>
      <c r="G372" s="1046"/>
      <c r="H372" s="1046"/>
      <c r="I372" s="1046"/>
      <c r="J372" s="1047"/>
      <c r="K372" s="134"/>
      <c r="L372" s="62" t="str">
        <f t="shared" si="29"/>
        <v/>
      </c>
      <c r="M372" s="14"/>
      <c r="N372" s="89">
        <f t="array" ref="N372">SUM(IF((CsDJ[JEV Number]=TRIM($T345))*(CsDJ[Account Code]=TRIM(K372)),CsDJ[Debit]))</f>
        <v>0</v>
      </c>
      <c r="O372" s="89">
        <f t="array" ref="O372">SUM(IF((CsDJ[JEV Number]=TRIM($T345))*(CsDJ[Account Code]=TRIM(K372)),CsDJ[Credit]))</f>
        <v>0</v>
      </c>
      <c r="P372" s="1040">
        <f t="shared" si="30"/>
        <v>0</v>
      </c>
      <c r="Q372" s="1040"/>
      <c r="R372" s="1040"/>
      <c r="S372" s="1040">
        <f t="shared" si="31"/>
        <v>0</v>
      </c>
      <c r="T372" s="1040"/>
      <c r="U372" s="1040"/>
      <c r="V372" s="1041"/>
    </row>
    <row r="373" spans="1:22" x14ac:dyDescent="0.25">
      <c r="A373" s="1038"/>
      <c r="B373" s="1039"/>
      <c r="C373" s="1039"/>
      <c r="D373" s="1039"/>
      <c r="E373" s="1045" t="str">
        <f t="shared" si="28"/>
        <v/>
      </c>
      <c r="F373" s="1046"/>
      <c r="G373" s="1046"/>
      <c r="H373" s="1046"/>
      <c r="I373" s="1046"/>
      <c r="J373" s="1047"/>
      <c r="K373" s="134"/>
      <c r="L373" s="62" t="str">
        <f t="shared" si="29"/>
        <v/>
      </c>
      <c r="M373" s="14"/>
      <c r="N373" s="89">
        <f t="array" ref="N373">SUM(IF((CsDJ[JEV Number]=TRIM($T345))*(CsDJ[Account Code]=TRIM(K373)),CsDJ[Debit]))</f>
        <v>0</v>
      </c>
      <c r="O373" s="89">
        <f t="array" ref="O373">SUM(IF((CsDJ[JEV Number]=TRIM($T345))*(CsDJ[Account Code]=TRIM(K373)),CsDJ[Credit]))</f>
        <v>0</v>
      </c>
      <c r="P373" s="1040">
        <f t="shared" si="30"/>
        <v>0</v>
      </c>
      <c r="Q373" s="1040"/>
      <c r="R373" s="1040"/>
      <c r="S373" s="1040">
        <f t="shared" si="31"/>
        <v>0</v>
      </c>
      <c r="T373" s="1040"/>
      <c r="U373" s="1040"/>
      <c r="V373" s="1041"/>
    </row>
    <row r="374" spans="1:22" x14ac:dyDescent="0.25">
      <c r="A374" s="1038"/>
      <c r="B374" s="1039"/>
      <c r="C374" s="1039"/>
      <c r="D374" s="1039"/>
      <c r="E374" s="1045" t="str">
        <f t="shared" si="28"/>
        <v/>
      </c>
      <c r="F374" s="1046"/>
      <c r="G374" s="1046"/>
      <c r="H374" s="1046"/>
      <c r="I374" s="1046"/>
      <c r="J374" s="1047"/>
      <c r="K374" s="134"/>
      <c r="L374" s="62" t="str">
        <f t="shared" si="29"/>
        <v/>
      </c>
      <c r="M374" s="14"/>
      <c r="N374" s="89">
        <f t="array" ref="N374">SUM(IF((CsDJ[JEV Number]=TRIM($T345))*(CsDJ[Account Code]=TRIM(K374)),CsDJ[Debit]))</f>
        <v>0</v>
      </c>
      <c r="O374" s="89">
        <f t="array" ref="O374">SUM(IF((CsDJ[JEV Number]=TRIM($T345))*(CsDJ[Account Code]=TRIM(K374)),CsDJ[Credit]))</f>
        <v>0</v>
      </c>
      <c r="P374" s="1040">
        <f t="shared" si="30"/>
        <v>0</v>
      </c>
      <c r="Q374" s="1040"/>
      <c r="R374" s="1040"/>
      <c r="S374" s="1040">
        <f t="shared" si="31"/>
        <v>0</v>
      </c>
      <c r="T374" s="1040"/>
      <c r="U374" s="1040"/>
      <c r="V374" s="1041"/>
    </row>
    <row r="375" spans="1:22" x14ac:dyDescent="0.25">
      <c r="A375" s="1038"/>
      <c r="B375" s="1039"/>
      <c r="C375" s="1039"/>
      <c r="D375" s="1039"/>
      <c r="E375" s="1045" t="str">
        <f t="shared" si="28"/>
        <v/>
      </c>
      <c r="F375" s="1046"/>
      <c r="G375" s="1046"/>
      <c r="H375" s="1046"/>
      <c r="I375" s="1046"/>
      <c r="J375" s="1047"/>
      <c r="K375" s="134"/>
      <c r="L375" s="62" t="str">
        <f t="shared" si="29"/>
        <v/>
      </c>
      <c r="M375" s="14"/>
      <c r="N375" s="89">
        <f t="array" ref="N375">SUM(IF((CsDJ[JEV Number]=TRIM($T345))*(CsDJ[Account Code]=TRIM(K375)),CsDJ[Debit]))</f>
        <v>0</v>
      </c>
      <c r="O375" s="89">
        <f t="array" ref="O375">SUM(IF((CsDJ[JEV Number]=TRIM($T345))*(CsDJ[Account Code]=TRIM(K375)),CsDJ[Credit]))</f>
        <v>0</v>
      </c>
      <c r="P375" s="1040">
        <f t="shared" si="30"/>
        <v>0</v>
      </c>
      <c r="Q375" s="1040"/>
      <c r="R375" s="1040"/>
      <c r="S375" s="1040">
        <f t="shared" si="31"/>
        <v>0</v>
      </c>
      <c r="T375" s="1040"/>
      <c r="U375" s="1040"/>
      <c r="V375" s="1041"/>
    </row>
    <row r="376" spans="1:22" x14ac:dyDescent="0.25">
      <c r="A376" s="1038"/>
      <c r="B376" s="1039"/>
      <c r="C376" s="1039"/>
      <c r="D376" s="1039"/>
      <c r="E376" s="1045" t="str">
        <f t="shared" si="28"/>
        <v/>
      </c>
      <c r="F376" s="1046"/>
      <c r="G376" s="1046"/>
      <c r="H376" s="1046"/>
      <c r="I376" s="1046"/>
      <c r="J376" s="1047"/>
      <c r="K376" s="134"/>
      <c r="L376" s="62" t="str">
        <f t="shared" si="29"/>
        <v/>
      </c>
      <c r="M376" s="14"/>
      <c r="N376" s="89">
        <f t="array" ref="N376">SUM(IF((CsDJ[JEV Number]=TRIM($T345))*(CsDJ[Account Code]=TRIM(K376)),CsDJ[Debit]))</f>
        <v>0</v>
      </c>
      <c r="O376" s="89">
        <f t="array" ref="O376">SUM(IF((CsDJ[JEV Number]=TRIM($T345))*(CsDJ[Account Code]=TRIM(K376)),CsDJ[Credit]))</f>
        <v>0</v>
      </c>
      <c r="P376" s="1040">
        <f t="shared" si="30"/>
        <v>0</v>
      </c>
      <c r="Q376" s="1040"/>
      <c r="R376" s="1040"/>
      <c r="S376" s="1040">
        <f t="shared" si="31"/>
        <v>0</v>
      </c>
      <c r="T376" s="1040"/>
      <c r="U376" s="1040"/>
      <c r="V376" s="1041"/>
    </row>
    <row r="377" spans="1:22" x14ac:dyDescent="0.25">
      <c r="A377" s="1038"/>
      <c r="B377" s="1039"/>
      <c r="C377" s="1039"/>
      <c r="D377" s="1039"/>
      <c r="E377" s="1045" t="str">
        <f t="shared" si="28"/>
        <v/>
      </c>
      <c r="F377" s="1046"/>
      <c r="G377" s="1046"/>
      <c r="H377" s="1046"/>
      <c r="I377" s="1046"/>
      <c r="J377" s="1047"/>
      <c r="K377" s="134"/>
      <c r="L377" s="62" t="str">
        <f t="shared" si="29"/>
        <v/>
      </c>
      <c r="M377" s="14"/>
      <c r="N377" s="89">
        <f t="array" ref="N377">SUM(IF((CsDJ[JEV Number]=TRIM($T345))*(CsDJ[Account Code]=TRIM(K377)),CsDJ[Debit]))</f>
        <v>0</v>
      </c>
      <c r="O377" s="89">
        <f t="array" ref="O377">SUM(IF((CsDJ[JEV Number]=TRIM($T345))*(CsDJ[Account Code]=TRIM(K377)),CsDJ[Credit]))</f>
        <v>0</v>
      </c>
      <c r="P377" s="1040">
        <f t="shared" si="30"/>
        <v>0</v>
      </c>
      <c r="Q377" s="1040"/>
      <c r="R377" s="1040"/>
      <c r="S377" s="1040">
        <f t="shared" si="31"/>
        <v>0</v>
      </c>
      <c r="T377" s="1040"/>
      <c r="U377" s="1040"/>
      <c r="V377" s="1041"/>
    </row>
    <row r="378" spans="1:22" x14ac:dyDescent="0.25">
      <c r="A378" s="1038"/>
      <c r="B378" s="1039"/>
      <c r="C378" s="1039"/>
      <c r="D378" s="1039"/>
      <c r="E378" s="1045" t="str">
        <f t="shared" si="28"/>
        <v/>
      </c>
      <c r="F378" s="1046"/>
      <c r="G378" s="1046"/>
      <c r="H378" s="1046"/>
      <c r="I378" s="1046"/>
      <c r="J378" s="1047"/>
      <c r="K378" s="134"/>
      <c r="L378" s="62" t="str">
        <f t="shared" si="29"/>
        <v/>
      </c>
      <c r="M378" s="14"/>
      <c r="N378" s="89">
        <f t="array" ref="N378">SUM(IF((CsDJ[JEV Number]=TRIM($T345))*(CsDJ[Account Code]=TRIM(K378)),CsDJ[Debit]))</f>
        <v>0</v>
      </c>
      <c r="O378" s="89">
        <f t="array" ref="O378">SUM(IF((CsDJ[JEV Number]=TRIM($T345))*(CsDJ[Account Code]=TRIM(K378)),CsDJ[Credit]))</f>
        <v>0</v>
      </c>
      <c r="P378" s="1040">
        <f t="shared" si="30"/>
        <v>0</v>
      </c>
      <c r="Q378" s="1040"/>
      <c r="R378" s="1040"/>
      <c r="S378" s="1040">
        <f t="shared" si="31"/>
        <v>0</v>
      </c>
      <c r="T378" s="1040"/>
      <c r="U378" s="1040"/>
      <c r="V378" s="1041"/>
    </row>
    <row r="379" spans="1:22" x14ac:dyDescent="0.25">
      <c r="A379" s="1038"/>
      <c r="B379" s="1039"/>
      <c r="C379" s="1039"/>
      <c r="D379" s="1039"/>
      <c r="E379" s="1108" t="s">
        <v>468</v>
      </c>
      <c r="F379" s="1109"/>
      <c r="G379" s="1109"/>
      <c r="H379" s="1109"/>
      <c r="I379" s="1109"/>
      <c r="J379" s="1110"/>
      <c r="K379" s="133"/>
      <c r="L379" s="62" t="str">
        <f t="shared" si="29"/>
        <v/>
      </c>
      <c r="M379" s="14"/>
      <c r="N379" s="89">
        <f t="array" ref="N379">SUM(IF((CsDJ[JEV Number]=TRIM($T345))*(CsDJ[Account Code]=TRIM(K379)),CsDJ[Debit]))</f>
        <v>0</v>
      </c>
      <c r="O379" s="89">
        <f t="array" ref="O379">SUM(IF((CsDJ[JEV Number]=TRIM($T345))*(CsDJ[Account Code]=TRIM(K379)),CsDJ[Credit]))</f>
        <v>0</v>
      </c>
      <c r="P379" s="1040">
        <f t="shared" si="30"/>
        <v>0</v>
      </c>
      <c r="Q379" s="1040"/>
      <c r="R379" s="1040"/>
      <c r="S379" s="1040">
        <f t="shared" si="31"/>
        <v>0</v>
      </c>
      <c r="T379" s="1040"/>
      <c r="U379" s="1040"/>
      <c r="V379" s="1041"/>
    </row>
    <row r="380" spans="1:22" x14ac:dyDescent="0.25">
      <c r="A380" s="1038"/>
      <c r="B380" s="1039"/>
      <c r="C380" s="1039"/>
      <c r="D380" s="1039"/>
      <c r="E380" s="1048" t="s">
        <v>457</v>
      </c>
      <c r="F380" s="1049"/>
      <c r="G380" s="1049"/>
      <c r="H380" s="1049"/>
      <c r="I380" s="1051">
        <f>T346</f>
        <v>0</v>
      </c>
      <c r="J380" s="1052"/>
      <c r="K380" s="133"/>
      <c r="L380" s="62" t="str">
        <f t="shared" si="29"/>
        <v/>
      </c>
      <c r="M380" s="14"/>
      <c r="N380" s="89">
        <f t="array" ref="N380">SUM(IF((CsDJ[JEV Number]=TRIM($T345))*(CsDJ[Account Code]=TRIM(K380)),CsDJ[Debit]))</f>
        <v>0</v>
      </c>
      <c r="O380" s="89">
        <f t="array" ref="O380">SUM(IF((CsDJ[JEV Number]=TRIM($T345))*(CsDJ[Account Code]=TRIM(K380)),CsDJ[Credit]))</f>
        <v>0</v>
      </c>
      <c r="P380" s="1040">
        <f t="shared" si="30"/>
        <v>0</v>
      </c>
      <c r="Q380" s="1040"/>
      <c r="R380" s="1040"/>
      <c r="S380" s="1040">
        <f t="shared" si="31"/>
        <v>0</v>
      </c>
      <c r="T380" s="1040"/>
      <c r="U380" s="1040"/>
      <c r="V380" s="1041"/>
    </row>
    <row r="381" spans="1:22" x14ac:dyDescent="0.25">
      <c r="A381" s="1038"/>
      <c r="B381" s="1039"/>
      <c r="C381" s="1039"/>
      <c r="D381" s="1039"/>
      <c r="E381" s="1048" t="s">
        <v>458</v>
      </c>
      <c r="F381" s="1049"/>
      <c r="G381" s="1049"/>
      <c r="H381" s="1049"/>
      <c r="I381" s="1106">
        <f>IF(T345=0,0,(IF(LOOKUP(T345,CsDJ[JEV Number],CsDJ[Sort Code])="1","MA. VIVIAN C. SALAS",IF(LOOKUP(T345,CsDJ[JEV Number],CsDJ[Sort Code])="2","LUZ R. DE COZAR",IF(LOOKUP(T345,CsDJ[JEV Number],CsDJ[Sort Code])="3","MINEONETTE A. DELA CRUZ",IF(LOOKUP(T345,CsDJ[JEV Number],CsDJ[Sort Code])="4","RESELLA B. LOPEZ"))))))</f>
        <v>0</v>
      </c>
      <c r="J381" s="1107"/>
      <c r="K381" s="133"/>
      <c r="L381" s="62" t="str">
        <f t="shared" si="29"/>
        <v/>
      </c>
      <c r="M381" s="14"/>
      <c r="N381" s="89">
        <f t="array" ref="N381">SUM(IF((CsDJ[JEV Number]=TRIM($T345))*(CsDJ[Account Code]=TRIM(K381)),CsDJ[Debit]))</f>
        <v>0</v>
      </c>
      <c r="O381" s="89">
        <f t="array" ref="O381">SUM(IF((CsDJ[JEV Number]=TRIM($T345))*(CsDJ[Account Code]=TRIM(K381)),CsDJ[Credit]))</f>
        <v>0</v>
      </c>
      <c r="P381" s="1040">
        <f t="shared" si="30"/>
        <v>0</v>
      </c>
      <c r="Q381" s="1040"/>
      <c r="R381" s="1040"/>
      <c r="S381" s="1040">
        <f t="shared" si="31"/>
        <v>0</v>
      </c>
      <c r="T381" s="1040"/>
      <c r="U381" s="1040"/>
      <c r="V381" s="1041"/>
    </row>
    <row r="382" spans="1:22" x14ac:dyDescent="0.25">
      <c r="A382" s="1038"/>
      <c r="B382" s="1039"/>
      <c r="C382" s="1039"/>
      <c r="D382" s="1039"/>
      <c r="E382" s="1048" t="s">
        <v>459</v>
      </c>
      <c r="F382" s="1049"/>
      <c r="G382" s="1049"/>
      <c r="H382" s="1049"/>
      <c r="I382" s="1043">
        <f>IF(I381="Ma. Vivian C. Salas","Regional Office", IF(I381="Luz R. De Cozar","BANE IMO", IF(I381="Mineonette A. Dela Cruz","PAMBAT IMO", IF(I381="Resella B. Lopez","TARZAM IMO",0))))</f>
        <v>0</v>
      </c>
      <c r="J382" s="1044"/>
      <c r="K382" s="133"/>
      <c r="L382" s="62" t="str">
        <f t="shared" si="29"/>
        <v/>
      </c>
      <c r="M382" s="14"/>
      <c r="N382" s="89">
        <f t="array" ref="N382">SUM(IF((CsDJ[JEV Number]=TRIM($T345))*(CsDJ[Account Code]=TRIM(K382)),CsDJ[Debit]))</f>
        <v>0</v>
      </c>
      <c r="O382" s="89">
        <f t="array" ref="O382">SUM(IF((CsDJ[JEV Number]=TRIM($T345))*(CsDJ[Account Code]=TRIM(K382)),CsDJ[Credit]))</f>
        <v>0</v>
      </c>
      <c r="P382" s="1040">
        <f t="shared" si="30"/>
        <v>0</v>
      </c>
      <c r="Q382" s="1040"/>
      <c r="R382" s="1040"/>
      <c r="S382" s="1040">
        <f t="shared" si="31"/>
        <v>0</v>
      </c>
      <c r="T382" s="1040"/>
      <c r="U382" s="1040"/>
      <c r="V382" s="1041"/>
    </row>
    <row r="383" spans="1:22" x14ac:dyDescent="0.25">
      <c r="A383" s="1038"/>
      <c r="B383" s="1039"/>
      <c r="C383" s="1039"/>
      <c r="D383" s="1039"/>
      <c r="E383" s="1048"/>
      <c r="F383" s="1049"/>
      <c r="G383" s="1049"/>
      <c r="H383" s="1049"/>
      <c r="I383" s="1049"/>
      <c r="J383" s="1050"/>
      <c r="K383" s="133"/>
      <c r="L383" s="62" t="str">
        <f t="shared" si="29"/>
        <v/>
      </c>
      <c r="M383" s="14"/>
      <c r="N383" s="89">
        <f t="array" ref="N383">SUM(IF((CsDJ[JEV Number]=TRIM($T345))*(CsDJ[Account Code]=TRIM(K383)),CsDJ[Debit]))</f>
        <v>0</v>
      </c>
      <c r="O383" s="89">
        <f t="array" ref="O383">SUM(IF((CsDJ[JEV Number]=TRIM($T345))*(CsDJ[Account Code]=TRIM(K383)),CsDJ[Credit]))</f>
        <v>0</v>
      </c>
      <c r="P383" s="1040">
        <f t="shared" si="30"/>
        <v>0</v>
      </c>
      <c r="Q383" s="1040"/>
      <c r="R383" s="1040"/>
      <c r="S383" s="1040">
        <f t="shared" si="31"/>
        <v>0</v>
      </c>
      <c r="T383" s="1040"/>
      <c r="U383" s="1040"/>
      <c r="V383" s="1041"/>
    </row>
    <row r="384" spans="1:22" ht="16.5" thickBot="1" x14ac:dyDescent="0.3">
      <c r="A384" s="1091"/>
      <c r="B384" s="1092"/>
      <c r="C384" s="1092"/>
      <c r="D384" s="1092"/>
      <c r="E384" s="1092"/>
      <c r="F384" s="1092"/>
      <c r="G384" s="1092"/>
      <c r="H384" s="1092"/>
      <c r="I384" s="1092"/>
      <c r="J384" s="1092"/>
      <c r="K384" s="1092"/>
      <c r="L384" s="1092"/>
      <c r="M384" s="1093"/>
      <c r="N384" s="88"/>
      <c r="O384" s="88"/>
      <c r="P384" s="1094">
        <f>SUM(P354:R383)</f>
        <v>0</v>
      </c>
      <c r="Q384" s="1094"/>
      <c r="R384" s="1094"/>
      <c r="S384" s="1094">
        <f>SUM(S354:V383)</f>
        <v>0</v>
      </c>
      <c r="T384" s="1094"/>
      <c r="U384" s="1094"/>
      <c r="V384" s="1095"/>
    </row>
    <row r="385" spans="1:22" x14ac:dyDescent="0.25">
      <c r="A385" s="63"/>
      <c r="B385" s="64"/>
      <c r="C385" s="64"/>
      <c r="D385" s="64"/>
      <c r="E385" s="64"/>
      <c r="F385" s="64"/>
      <c r="G385" s="64"/>
      <c r="H385" s="64"/>
      <c r="I385" s="65"/>
      <c r="J385" s="64"/>
      <c r="K385" s="66"/>
      <c r="L385" s="64"/>
      <c r="M385" s="65"/>
      <c r="N385" s="64"/>
      <c r="O385" s="64"/>
      <c r="P385" s="1090"/>
      <c r="Q385" s="1090"/>
      <c r="R385" s="1090"/>
      <c r="S385" s="1090"/>
      <c r="T385" s="1090"/>
      <c r="U385" s="1090"/>
      <c r="V385" s="1096"/>
    </row>
    <row r="386" spans="1:22" x14ac:dyDescent="0.25">
      <c r="A386" s="67" t="s">
        <v>460</v>
      </c>
      <c r="B386"/>
      <c r="C386"/>
      <c r="D386"/>
      <c r="E386"/>
      <c r="F386"/>
      <c r="G386"/>
      <c r="H386"/>
      <c r="I386" s="68" t="s">
        <v>353</v>
      </c>
      <c r="J386" s="69"/>
      <c r="K386" s="69"/>
      <c r="L386"/>
      <c r="M386" s="68" t="s">
        <v>461</v>
      </c>
      <c r="N386" s="69"/>
      <c r="O386" s="69"/>
      <c r="P386" s="70"/>
      <c r="Q386" s="70"/>
      <c r="R386" s="70"/>
      <c r="S386" s="70"/>
      <c r="T386" s="70"/>
      <c r="U386" s="70"/>
      <c r="V386" s="71"/>
    </row>
    <row r="387" spans="1:22" x14ac:dyDescent="0.25">
      <c r="A387" s="37"/>
      <c r="B387"/>
      <c r="C387"/>
      <c r="D387"/>
      <c r="E387"/>
      <c r="F387"/>
      <c r="G387"/>
      <c r="H387"/>
      <c r="I387" s="72"/>
      <c r="J387"/>
      <c r="K387"/>
      <c r="L387"/>
      <c r="M387" s="72"/>
      <c r="N387"/>
      <c r="O387"/>
      <c r="P387"/>
      <c r="Q387"/>
      <c r="R387"/>
      <c r="S387"/>
      <c r="T387"/>
      <c r="U387"/>
      <c r="V387" s="73"/>
    </row>
    <row r="388" spans="1:22" x14ac:dyDescent="0.25">
      <c r="A388" s="74" t="s">
        <v>462</v>
      </c>
      <c r="B388" s="75"/>
      <c r="C388" s="75"/>
      <c r="D388" s="75"/>
      <c r="E388" s="75"/>
      <c r="F388" s="75"/>
      <c r="G388" s="75"/>
      <c r="H388" s="76"/>
      <c r="I388" s="77" t="s">
        <v>380</v>
      </c>
      <c r="J388" s="75"/>
      <c r="K388" s="75"/>
      <c r="L388" s="76"/>
      <c r="M388" s="77" t="s">
        <v>3</v>
      </c>
      <c r="N388" s="75"/>
      <c r="O388" s="75"/>
      <c r="P388" s="75"/>
      <c r="Q388" s="75"/>
      <c r="R388" s="75"/>
      <c r="S388" s="75"/>
      <c r="T388" s="75"/>
      <c r="U388" s="75"/>
      <c r="V388" s="78"/>
    </row>
    <row r="389" spans="1:22" x14ac:dyDescent="0.25">
      <c r="A389" s="79" t="s">
        <v>463</v>
      </c>
      <c r="B389" s="80"/>
      <c r="C389" s="80"/>
      <c r="D389" s="80"/>
      <c r="E389" s="80"/>
      <c r="F389" s="80"/>
      <c r="G389" s="80"/>
      <c r="H389" s="80"/>
      <c r="I389" s="81" t="s">
        <v>381</v>
      </c>
      <c r="J389" s="80"/>
      <c r="K389" s="80"/>
      <c r="L389" s="80"/>
      <c r="M389" s="81" t="s">
        <v>464</v>
      </c>
      <c r="N389" s="80"/>
      <c r="O389" s="80"/>
      <c r="P389" s="82"/>
      <c r="Q389" s="82"/>
      <c r="R389" s="82"/>
      <c r="S389" s="82"/>
      <c r="T389" s="82"/>
      <c r="U389" s="82"/>
      <c r="V389" s="83"/>
    </row>
    <row r="390" spans="1:22" ht="16.5" thickBot="1" x14ac:dyDescent="0.3">
      <c r="A390" s="84" t="s">
        <v>465</v>
      </c>
      <c r="B390" s="43"/>
      <c r="C390" s="43"/>
      <c r="D390" s="43"/>
      <c r="E390" s="43"/>
      <c r="F390" s="43"/>
      <c r="G390" s="43"/>
      <c r="H390" s="43"/>
      <c r="I390" s="85"/>
      <c r="J390" s="43"/>
      <c r="K390" s="43"/>
      <c r="L390" s="43"/>
      <c r="M390" s="85"/>
      <c r="N390" s="43"/>
      <c r="O390" s="43"/>
      <c r="P390" s="43"/>
      <c r="Q390" s="43"/>
      <c r="R390" s="43"/>
      <c r="S390" s="43"/>
      <c r="T390" s="43"/>
      <c r="U390" s="43"/>
      <c r="V390" s="44"/>
    </row>
    <row r="391" spans="1:22" ht="22.5" x14ac:dyDescent="0.25">
      <c r="A391" s="31" t="s">
        <v>441</v>
      </c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3"/>
      <c r="R391" s="1053">
        <f>+P431-S431</f>
        <v>0</v>
      </c>
      <c r="S391" s="1054"/>
      <c r="T391" s="1054"/>
      <c r="U391" s="1054"/>
      <c r="V391" s="1055"/>
    </row>
    <row r="392" spans="1:22" x14ac:dyDescent="0.25">
      <c r="A392" s="34" t="s">
        <v>442</v>
      </c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6"/>
      <c r="R392" s="37" t="s">
        <v>443</v>
      </c>
      <c r="S392"/>
      <c r="T392" s="1056"/>
      <c r="U392" s="1056"/>
      <c r="V392" s="1057"/>
    </row>
    <row r="393" spans="1:22" x14ac:dyDescent="0.25">
      <c r="A393" s="38" t="s">
        <v>444</v>
      </c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6"/>
      <c r="R393" s="37" t="s">
        <v>0</v>
      </c>
      <c r="S393"/>
      <c r="T393" s="1058">
        <f>IF(T392=0,0,(LOOKUP(T392,CsDJ[JEV Number],CsDJ[Date])))</f>
        <v>0</v>
      </c>
      <c r="U393" s="1058"/>
      <c r="V393" s="1059"/>
    </row>
    <row r="394" spans="1:22" ht="16.5" thickBot="1" x14ac:dyDescent="0.3">
      <c r="A394" s="39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1"/>
      <c r="R394" s="42"/>
      <c r="S394" s="43"/>
      <c r="T394" s="43"/>
      <c r="U394" s="43"/>
      <c r="V394" s="44"/>
    </row>
    <row r="395" spans="1:22" x14ac:dyDescent="0.25">
      <c r="A395" s="45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7"/>
      <c r="M395" s="46"/>
      <c r="N395" s="46"/>
      <c r="O395" s="46"/>
      <c r="P395" s="46"/>
      <c r="Q395" s="46"/>
      <c r="R395" s="46"/>
      <c r="S395" s="46"/>
      <c r="T395" s="46"/>
      <c r="U395" s="46"/>
      <c r="V395" s="48"/>
    </row>
    <row r="396" spans="1:22" x14ac:dyDescent="0.25">
      <c r="A396" s="49"/>
      <c r="B396" s="1060"/>
      <c r="C396" s="1060"/>
      <c r="D396" s="50" t="s">
        <v>445</v>
      </c>
      <c r="H396" s="51"/>
      <c r="I396" s="25" t="s">
        <v>447</v>
      </c>
      <c r="J396" s="132" t="s">
        <v>446</v>
      </c>
      <c r="K396" s="52" t="s">
        <v>448</v>
      </c>
      <c r="L396" s="52"/>
      <c r="Q396" s="1060"/>
      <c r="R396" s="1060"/>
      <c r="S396" s="50" t="s">
        <v>449</v>
      </c>
      <c r="T396" s="50"/>
      <c r="U396" s="50"/>
      <c r="V396" s="53"/>
    </row>
    <row r="397" spans="1:22" ht="16.5" thickBot="1" x14ac:dyDescent="0.3">
      <c r="A397" s="54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6"/>
      <c r="M397" s="55"/>
      <c r="N397" s="55"/>
      <c r="O397" s="55"/>
      <c r="P397" s="55"/>
      <c r="Q397" s="55"/>
      <c r="R397" s="55"/>
      <c r="S397" s="55"/>
      <c r="T397" s="55"/>
      <c r="U397" s="55"/>
      <c r="V397" s="57"/>
    </row>
    <row r="398" spans="1:22" x14ac:dyDescent="0.25">
      <c r="A398" s="1061" t="s">
        <v>397</v>
      </c>
      <c r="B398" s="1062"/>
      <c r="C398" s="1062"/>
      <c r="D398" s="1063"/>
      <c r="E398" s="1070" t="s">
        <v>450</v>
      </c>
      <c r="F398" s="1070"/>
      <c r="G398" s="1070"/>
      <c r="H398" s="1070"/>
      <c r="I398" s="1070"/>
      <c r="J398" s="1070"/>
      <c r="K398" s="1070"/>
      <c r="L398" s="1070"/>
      <c r="M398" s="1070"/>
      <c r="N398" s="1070"/>
      <c r="O398" s="1070"/>
      <c r="P398" s="1070"/>
      <c r="Q398" s="1070"/>
      <c r="R398" s="1070"/>
      <c r="S398" s="1070"/>
      <c r="T398" s="1070"/>
      <c r="U398" s="1070"/>
      <c r="V398" s="1071"/>
    </row>
    <row r="399" spans="1:22" x14ac:dyDescent="0.25">
      <c r="A399" s="1064"/>
      <c r="B399" s="1065"/>
      <c r="C399" s="1065"/>
      <c r="D399" s="1066"/>
      <c r="E399" s="1072" t="s">
        <v>451</v>
      </c>
      <c r="F399" s="1072"/>
      <c r="G399" s="1072"/>
      <c r="H399" s="1072"/>
      <c r="I399" s="1072"/>
      <c r="J399" s="1072"/>
      <c r="K399" s="1074" t="s">
        <v>378</v>
      </c>
      <c r="L399" s="1074"/>
      <c r="M399" s="1072" t="s">
        <v>452</v>
      </c>
      <c r="N399" s="1075" t="s">
        <v>453</v>
      </c>
      <c r="O399" s="1076"/>
      <c r="P399" s="1076"/>
      <c r="Q399" s="1076"/>
      <c r="R399" s="1076"/>
      <c r="S399" s="1076"/>
      <c r="T399" s="1076"/>
      <c r="U399" s="1076"/>
      <c r="V399" s="1077"/>
    </row>
    <row r="400" spans="1:22" ht="16.5" customHeight="1" thickBot="1" x14ac:dyDescent="0.3">
      <c r="A400" s="1067"/>
      <c r="B400" s="1068"/>
      <c r="C400" s="1068"/>
      <c r="D400" s="1069"/>
      <c r="E400" s="1073"/>
      <c r="F400" s="1073"/>
      <c r="G400" s="1073"/>
      <c r="H400" s="1073"/>
      <c r="I400" s="1073"/>
      <c r="J400" s="1073"/>
      <c r="K400" s="58" t="s">
        <v>454</v>
      </c>
      <c r="L400" s="58" t="s">
        <v>455</v>
      </c>
      <c r="M400" s="1073"/>
      <c r="N400" s="87" t="s">
        <v>466</v>
      </c>
      <c r="O400" s="87" t="s">
        <v>467</v>
      </c>
      <c r="P400" s="1078" t="s">
        <v>1</v>
      </c>
      <c r="Q400" s="1079"/>
      <c r="R400" s="1080"/>
      <c r="S400" s="1078" t="s">
        <v>2</v>
      </c>
      <c r="T400" s="1079"/>
      <c r="U400" s="1079"/>
      <c r="V400" s="1081"/>
    </row>
    <row r="401" spans="1:22" ht="19.5" x14ac:dyDescent="0.3">
      <c r="A401" s="1082">
        <f>P431-S431</f>
        <v>0</v>
      </c>
      <c r="B401" s="1083"/>
      <c r="C401" s="1083"/>
      <c r="D401" s="1083"/>
      <c r="E401" s="1084" t="str">
        <f>Account!$G$1</f>
        <v>FUND 501 CARP</v>
      </c>
      <c r="F401" s="1085"/>
      <c r="G401" s="1085"/>
      <c r="H401" s="1085"/>
      <c r="I401" s="1085"/>
      <c r="J401" s="1086"/>
      <c r="K401" s="59"/>
      <c r="L401" s="59"/>
      <c r="M401" s="60"/>
      <c r="N401" s="60"/>
      <c r="O401" s="60"/>
      <c r="P401" s="1087"/>
      <c r="Q401" s="1087"/>
      <c r="R401" s="1087"/>
      <c r="S401" s="1087"/>
      <c r="T401" s="1087"/>
      <c r="U401" s="1087"/>
      <c r="V401" s="1088"/>
    </row>
    <row r="402" spans="1:22" x14ac:dyDescent="0.25">
      <c r="A402" s="1038"/>
      <c r="B402" s="1039"/>
      <c r="C402" s="1039"/>
      <c r="D402" s="1039"/>
      <c r="E402" s="1039"/>
      <c r="F402" s="1039"/>
      <c r="G402" s="1039"/>
      <c r="H402" s="1039"/>
      <c r="I402" s="1039"/>
      <c r="J402" s="1039"/>
      <c r="K402" s="61"/>
      <c r="L402" s="61"/>
      <c r="M402" s="14"/>
      <c r="N402" s="14"/>
      <c r="O402" s="14"/>
      <c r="P402" s="1039"/>
      <c r="Q402" s="1039"/>
      <c r="R402" s="1039"/>
      <c r="S402" s="1039"/>
      <c r="T402" s="1039"/>
      <c r="U402" s="1039"/>
      <c r="V402" s="1089"/>
    </row>
    <row r="403" spans="1:22" x14ac:dyDescent="0.25">
      <c r="A403" s="1038"/>
      <c r="B403" s="1039"/>
      <c r="C403" s="1039"/>
      <c r="D403" s="1039"/>
      <c r="E403" s="1045" t="str">
        <f t="shared" ref="E403:E425" si="32">IF(K403=0,"",(VLOOKUP((TRIM(K403)),Code,2,)))</f>
        <v/>
      </c>
      <c r="F403" s="1046"/>
      <c r="G403" s="1046"/>
      <c r="H403" s="1046"/>
      <c r="I403" s="1046"/>
      <c r="J403" s="1047"/>
      <c r="K403" s="133"/>
      <c r="L403" s="62" t="str">
        <f t="shared" ref="L403:L430" si="33">IF(K403=0,"",VLOOKUP((TRIM(K403)),Code,3,))</f>
        <v/>
      </c>
      <c r="M403" s="14"/>
      <c r="N403" s="89">
        <f t="array" ref="N403">SUM(IF((CsDJ[JEV Number]=TRIM($T392))*(CsDJ[Account Code]=TRIM(K403)),CsDJ[Debit]))</f>
        <v>0</v>
      </c>
      <c r="O403" s="89">
        <f t="array" ref="O403">SUM(IF((CsDJ[JEV Number]=TRIM($T392))*(CsDJ[Account Code]=TRIM(K403)),CsDJ[Credit]))</f>
        <v>0</v>
      </c>
      <c r="P403" s="1040">
        <f>N403</f>
        <v>0</v>
      </c>
      <c r="Q403" s="1040"/>
      <c r="R403" s="1040"/>
      <c r="S403" s="1040">
        <f>O403</f>
        <v>0</v>
      </c>
      <c r="T403" s="1040"/>
      <c r="U403" s="1040"/>
      <c r="V403" s="1041"/>
    </row>
    <row r="404" spans="1:22" x14ac:dyDescent="0.25">
      <c r="A404" s="1038"/>
      <c r="B404" s="1039"/>
      <c r="C404" s="1039"/>
      <c r="D404" s="1039"/>
      <c r="E404" s="1045" t="str">
        <f t="shared" si="32"/>
        <v/>
      </c>
      <c r="F404" s="1046"/>
      <c r="G404" s="1046"/>
      <c r="H404" s="1046"/>
      <c r="I404" s="1046"/>
      <c r="J404" s="1047"/>
      <c r="K404" s="133"/>
      <c r="L404" s="62" t="str">
        <f t="shared" si="33"/>
        <v/>
      </c>
      <c r="M404" s="14"/>
      <c r="N404" s="89">
        <f t="array" ref="N404">SUM(IF((CsDJ[JEV Number]=TRIM($T392))*(CsDJ[Account Code]=TRIM(K404)),CsDJ[Debit]))</f>
        <v>0</v>
      </c>
      <c r="O404" s="89">
        <f t="array" ref="O404">SUM(IF((CsDJ[JEV Number]=TRIM($T392))*(CsDJ[Account Code]=TRIM(K404)),CsDJ[Credit]))</f>
        <v>0</v>
      </c>
      <c r="P404" s="1040">
        <f>N404</f>
        <v>0</v>
      </c>
      <c r="Q404" s="1040"/>
      <c r="R404" s="1040"/>
      <c r="S404" s="1040">
        <f>O404</f>
        <v>0</v>
      </c>
      <c r="T404" s="1040"/>
      <c r="U404" s="1040"/>
      <c r="V404" s="1041"/>
    </row>
    <row r="405" spans="1:22" x14ac:dyDescent="0.25">
      <c r="A405" s="1038"/>
      <c r="B405" s="1039"/>
      <c r="C405" s="1039"/>
      <c r="D405" s="1039"/>
      <c r="E405" s="1045" t="str">
        <f t="shared" si="32"/>
        <v/>
      </c>
      <c r="F405" s="1046"/>
      <c r="G405" s="1046"/>
      <c r="H405" s="1046"/>
      <c r="I405" s="1046"/>
      <c r="J405" s="1047"/>
      <c r="K405" s="133"/>
      <c r="L405" s="62" t="str">
        <f t="shared" si="33"/>
        <v/>
      </c>
      <c r="M405" s="14"/>
      <c r="N405" s="89">
        <f t="array" ref="N405">SUM(IF((CsDJ[JEV Number]=TRIM($T392))*(CsDJ[Account Code]=TRIM(K405)),CsDJ[Debit]))</f>
        <v>0</v>
      </c>
      <c r="O405" s="89">
        <f t="array" ref="O405">SUM(IF((CsDJ[JEV Number]=TRIM($T392))*(CsDJ[Account Code]=TRIM(K405)),CsDJ[Credit]))</f>
        <v>0</v>
      </c>
      <c r="P405" s="1040">
        <f t="shared" ref="P405:P430" si="34">N405</f>
        <v>0</v>
      </c>
      <c r="Q405" s="1040"/>
      <c r="R405" s="1040"/>
      <c r="S405" s="1040">
        <f t="shared" ref="S405:S430" si="35">O405</f>
        <v>0</v>
      </c>
      <c r="T405" s="1040"/>
      <c r="U405" s="1040"/>
      <c r="V405" s="1041"/>
    </row>
    <row r="406" spans="1:22" x14ac:dyDescent="0.25">
      <c r="A406" s="1038"/>
      <c r="B406" s="1039"/>
      <c r="C406" s="1039"/>
      <c r="D406" s="1039"/>
      <c r="E406" s="1045" t="str">
        <f t="shared" si="32"/>
        <v/>
      </c>
      <c r="F406" s="1046"/>
      <c r="G406" s="1046"/>
      <c r="H406" s="1046"/>
      <c r="I406" s="1046"/>
      <c r="J406" s="1047"/>
      <c r="K406" s="133"/>
      <c r="L406" s="62" t="str">
        <f t="shared" si="33"/>
        <v/>
      </c>
      <c r="M406" s="14"/>
      <c r="N406" s="89">
        <f t="array" ref="N406">SUM(IF((CsDJ[JEV Number]=TRIM($T392))*(CsDJ[Account Code]=TRIM(K406)),CsDJ[Debit]))</f>
        <v>0</v>
      </c>
      <c r="O406" s="89">
        <f t="array" ref="O406">SUM(IF((CsDJ[JEV Number]=TRIM($T392))*(CsDJ[Account Code]=TRIM(K406)),CsDJ[Credit]))</f>
        <v>0</v>
      </c>
      <c r="P406" s="1040">
        <f t="shared" si="34"/>
        <v>0</v>
      </c>
      <c r="Q406" s="1040"/>
      <c r="R406" s="1040"/>
      <c r="S406" s="1040">
        <f t="shared" si="35"/>
        <v>0</v>
      </c>
      <c r="T406" s="1040"/>
      <c r="U406" s="1040"/>
      <c r="V406" s="1041"/>
    </row>
    <row r="407" spans="1:22" x14ac:dyDescent="0.25">
      <c r="A407" s="1038"/>
      <c r="B407" s="1039"/>
      <c r="C407" s="1039"/>
      <c r="D407" s="1039"/>
      <c r="E407" s="1045" t="str">
        <f t="shared" si="32"/>
        <v/>
      </c>
      <c r="F407" s="1046"/>
      <c r="G407" s="1046"/>
      <c r="H407" s="1046"/>
      <c r="I407" s="1046"/>
      <c r="J407" s="1047"/>
      <c r="K407" s="133"/>
      <c r="L407" s="62" t="str">
        <f t="shared" si="33"/>
        <v/>
      </c>
      <c r="M407" s="14"/>
      <c r="N407" s="89">
        <f t="array" ref="N407">SUM(IF((CsDJ[JEV Number]=TRIM($T392))*(CsDJ[Account Code]=TRIM(K407)),CsDJ[Debit]))</f>
        <v>0</v>
      </c>
      <c r="O407" s="89">
        <f t="array" ref="O407">SUM(IF((CsDJ[JEV Number]=TRIM($T392))*(CsDJ[Account Code]=TRIM(K407)),CsDJ[Credit]))</f>
        <v>0</v>
      </c>
      <c r="P407" s="1040">
        <f t="shared" si="34"/>
        <v>0</v>
      </c>
      <c r="Q407" s="1040"/>
      <c r="R407" s="1040"/>
      <c r="S407" s="1040">
        <f t="shared" si="35"/>
        <v>0</v>
      </c>
      <c r="T407" s="1040"/>
      <c r="U407" s="1040"/>
      <c r="V407" s="1041"/>
    </row>
    <row r="408" spans="1:22" x14ac:dyDescent="0.25">
      <c r="A408" s="1038"/>
      <c r="B408" s="1039"/>
      <c r="C408" s="1039"/>
      <c r="D408" s="1039"/>
      <c r="E408" s="1045" t="str">
        <f t="shared" si="32"/>
        <v/>
      </c>
      <c r="F408" s="1046"/>
      <c r="G408" s="1046"/>
      <c r="H408" s="1046"/>
      <c r="I408" s="1046"/>
      <c r="J408" s="1047"/>
      <c r="K408" s="133"/>
      <c r="L408" s="62" t="str">
        <f t="shared" si="33"/>
        <v/>
      </c>
      <c r="M408" s="14"/>
      <c r="N408" s="89">
        <f t="array" ref="N408">SUM(IF((CsDJ[JEV Number]=TRIM($T392))*(CsDJ[Account Code]=TRIM(K408)),CsDJ[Debit]))</f>
        <v>0</v>
      </c>
      <c r="O408" s="89">
        <f t="array" ref="O408">SUM(IF((CsDJ[JEV Number]=TRIM($T392))*(CsDJ[Account Code]=TRIM(K408)),CsDJ[Credit]))</f>
        <v>0</v>
      </c>
      <c r="P408" s="1040">
        <f t="shared" si="34"/>
        <v>0</v>
      </c>
      <c r="Q408" s="1040"/>
      <c r="R408" s="1040"/>
      <c r="S408" s="1040">
        <f t="shared" si="35"/>
        <v>0</v>
      </c>
      <c r="T408" s="1040"/>
      <c r="U408" s="1040"/>
      <c r="V408" s="1041"/>
    </row>
    <row r="409" spans="1:22" x14ac:dyDescent="0.25">
      <c r="A409" s="1038"/>
      <c r="B409" s="1039"/>
      <c r="C409" s="1039"/>
      <c r="D409" s="1039"/>
      <c r="E409" s="1045" t="str">
        <f t="shared" si="32"/>
        <v/>
      </c>
      <c r="F409" s="1046"/>
      <c r="G409" s="1046"/>
      <c r="H409" s="1046"/>
      <c r="I409" s="1046"/>
      <c r="J409" s="1047"/>
      <c r="K409" s="133"/>
      <c r="L409" s="62" t="str">
        <f t="shared" si="33"/>
        <v/>
      </c>
      <c r="M409" s="14"/>
      <c r="N409" s="89">
        <f t="array" ref="N409">SUM(IF((CsDJ[JEV Number]=TRIM($T392))*(CsDJ[Account Code]=TRIM(K409)),CsDJ[Debit]))</f>
        <v>0</v>
      </c>
      <c r="O409" s="89">
        <f t="array" ref="O409">SUM(IF((CsDJ[JEV Number]=TRIM($T392))*(CsDJ[Account Code]=TRIM(K409)),CsDJ[Credit]))</f>
        <v>0</v>
      </c>
      <c r="P409" s="1040">
        <f t="shared" si="34"/>
        <v>0</v>
      </c>
      <c r="Q409" s="1040"/>
      <c r="R409" s="1040"/>
      <c r="S409" s="1040">
        <f t="shared" si="35"/>
        <v>0</v>
      </c>
      <c r="T409" s="1040"/>
      <c r="U409" s="1040"/>
      <c r="V409" s="1041"/>
    </row>
    <row r="410" spans="1:22" x14ac:dyDescent="0.25">
      <c r="A410" s="1038"/>
      <c r="B410" s="1039"/>
      <c r="C410" s="1039"/>
      <c r="D410" s="1039"/>
      <c r="E410" s="1045" t="str">
        <f t="shared" si="32"/>
        <v/>
      </c>
      <c r="F410" s="1046"/>
      <c r="G410" s="1046"/>
      <c r="H410" s="1046"/>
      <c r="I410" s="1046"/>
      <c r="J410" s="1047"/>
      <c r="K410" s="133"/>
      <c r="L410" s="62" t="str">
        <f t="shared" si="33"/>
        <v/>
      </c>
      <c r="M410" s="14"/>
      <c r="N410" s="89">
        <f t="array" ref="N410">SUM(IF((CsDJ[JEV Number]=TRIM($T392))*(CsDJ[Account Code]=TRIM(K410)),CsDJ[Debit]))</f>
        <v>0</v>
      </c>
      <c r="O410" s="89">
        <f t="array" ref="O410">SUM(IF((CsDJ[JEV Number]=TRIM($T392))*(CsDJ[Account Code]=TRIM(K410)),CsDJ[Credit]))</f>
        <v>0</v>
      </c>
      <c r="P410" s="1040">
        <f t="shared" si="34"/>
        <v>0</v>
      </c>
      <c r="Q410" s="1040"/>
      <c r="R410" s="1040"/>
      <c r="S410" s="1040">
        <f t="shared" si="35"/>
        <v>0</v>
      </c>
      <c r="T410" s="1040"/>
      <c r="U410" s="1040"/>
      <c r="V410" s="1041"/>
    </row>
    <row r="411" spans="1:22" x14ac:dyDescent="0.25">
      <c r="A411" s="1038"/>
      <c r="B411" s="1039"/>
      <c r="C411" s="1039"/>
      <c r="D411" s="1039"/>
      <c r="E411" s="1045" t="str">
        <f t="shared" si="32"/>
        <v/>
      </c>
      <c r="F411" s="1046"/>
      <c r="G411" s="1046"/>
      <c r="H411" s="1046"/>
      <c r="I411" s="1046"/>
      <c r="J411" s="1047"/>
      <c r="K411" s="134"/>
      <c r="L411" s="62" t="str">
        <f t="shared" si="33"/>
        <v/>
      </c>
      <c r="M411" s="14"/>
      <c r="N411" s="89">
        <f t="array" ref="N411">SUM(IF((CsDJ[JEV Number]=TRIM($T392))*(CsDJ[Account Code]=TRIM(K411)),CsDJ[Debit]))</f>
        <v>0</v>
      </c>
      <c r="O411" s="89">
        <f t="array" ref="O411">SUM(IF((CsDJ[JEV Number]=TRIM($T392))*(CsDJ[Account Code]=TRIM(K411)),CsDJ[Credit]))</f>
        <v>0</v>
      </c>
      <c r="P411" s="1040">
        <f t="shared" si="34"/>
        <v>0</v>
      </c>
      <c r="Q411" s="1040"/>
      <c r="R411" s="1040"/>
      <c r="S411" s="1040">
        <f t="shared" si="35"/>
        <v>0</v>
      </c>
      <c r="T411" s="1040"/>
      <c r="U411" s="1040"/>
      <c r="V411" s="1041"/>
    </row>
    <row r="412" spans="1:22" x14ac:dyDescent="0.25">
      <c r="A412" s="1038"/>
      <c r="B412" s="1039"/>
      <c r="C412" s="1039"/>
      <c r="D412" s="1039"/>
      <c r="E412" s="1045" t="str">
        <f t="shared" si="32"/>
        <v/>
      </c>
      <c r="F412" s="1046"/>
      <c r="G412" s="1046"/>
      <c r="H412" s="1046"/>
      <c r="I412" s="1046"/>
      <c r="J412" s="1047"/>
      <c r="K412" s="134"/>
      <c r="L412" s="62" t="str">
        <f t="shared" si="33"/>
        <v/>
      </c>
      <c r="M412" s="14"/>
      <c r="N412" s="89">
        <f t="array" ref="N412">SUM(IF((CsDJ[JEV Number]=TRIM($T392))*(CsDJ[Account Code]=TRIM(K412)),CsDJ[Debit]))</f>
        <v>0</v>
      </c>
      <c r="O412" s="89">
        <f t="array" ref="O412">SUM(IF((CsDJ[JEV Number]=TRIM($T392))*(CsDJ[Account Code]=TRIM(K412)),CsDJ[Credit]))</f>
        <v>0</v>
      </c>
      <c r="P412" s="1040">
        <f t="shared" si="34"/>
        <v>0</v>
      </c>
      <c r="Q412" s="1040"/>
      <c r="R412" s="1040"/>
      <c r="S412" s="1040">
        <f t="shared" si="35"/>
        <v>0</v>
      </c>
      <c r="T412" s="1040"/>
      <c r="U412" s="1040"/>
      <c r="V412" s="1041"/>
    </row>
    <row r="413" spans="1:22" x14ac:dyDescent="0.25">
      <c r="A413" s="1038"/>
      <c r="B413" s="1039"/>
      <c r="C413" s="1039"/>
      <c r="D413" s="1039"/>
      <c r="E413" s="1045" t="str">
        <f t="shared" si="32"/>
        <v/>
      </c>
      <c r="F413" s="1046"/>
      <c r="G413" s="1046"/>
      <c r="H413" s="1046"/>
      <c r="I413" s="1046"/>
      <c r="J413" s="1047"/>
      <c r="K413" s="134"/>
      <c r="L413" s="62" t="str">
        <f t="shared" si="33"/>
        <v/>
      </c>
      <c r="M413" s="14"/>
      <c r="N413" s="89">
        <f t="array" ref="N413">SUM(IF((CsDJ[JEV Number]=TRIM($T392))*(CsDJ[Account Code]=TRIM(K413)),CsDJ[Debit]))</f>
        <v>0</v>
      </c>
      <c r="O413" s="89">
        <f t="array" ref="O413">SUM(IF((CsDJ[JEV Number]=TRIM($T392))*(CsDJ[Account Code]=TRIM(K413)),CsDJ[Credit]))</f>
        <v>0</v>
      </c>
      <c r="P413" s="1040">
        <f t="shared" si="34"/>
        <v>0</v>
      </c>
      <c r="Q413" s="1040"/>
      <c r="R413" s="1040"/>
      <c r="S413" s="1040">
        <f t="shared" si="35"/>
        <v>0</v>
      </c>
      <c r="T413" s="1040"/>
      <c r="U413" s="1040"/>
      <c r="V413" s="1041"/>
    </row>
    <row r="414" spans="1:22" x14ac:dyDescent="0.25">
      <c r="A414" s="1038"/>
      <c r="B414" s="1039"/>
      <c r="C414" s="1039"/>
      <c r="D414" s="1039"/>
      <c r="E414" s="1045" t="str">
        <f t="shared" si="32"/>
        <v/>
      </c>
      <c r="F414" s="1046"/>
      <c r="G414" s="1046"/>
      <c r="H414" s="1046"/>
      <c r="I414" s="1046"/>
      <c r="J414" s="1047"/>
      <c r="K414" s="134"/>
      <c r="L414" s="62" t="str">
        <f t="shared" si="33"/>
        <v/>
      </c>
      <c r="M414" s="14"/>
      <c r="N414" s="89">
        <f t="array" ref="N414">SUM(IF((CsDJ[JEV Number]=TRIM($T392))*(CsDJ[Account Code]=TRIM(K414)),CsDJ[Debit]))</f>
        <v>0</v>
      </c>
      <c r="O414" s="89">
        <f t="array" ref="O414">SUM(IF((CsDJ[JEV Number]=TRIM($T392))*(CsDJ[Account Code]=TRIM(K414)),CsDJ[Credit]))</f>
        <v>0</v>
      </c>
      <c r="P414" s="1040">
        <f t="shared" si="34"/>
        <v>0</v>
      </c>
      <c r="Q414" s="1040"/>
      <c r="R414" s="1040"/>
      <c r="S414" s="1040">
        <f t="shared" si="35"/>
        <v>0</v>
      </c>
      <c r="T414" s="1040"/>
      <c r="U414" s="1040"/>
      <c r="V414" s="1041"/>
    </row>
    <row r="415" spans="1:22" x14ac:dyDescent="0.25">
      <c r="A415" s="1038"/>
      <c r="B415" s="1039"/>
      <c r="C415" s="1039"/>
      <c r="D415" s="1039"/>
      <c r="E415" s="1045" t="str">
        <f t="shared" si="32"/>
        <v/>
      </c>
      <c r="F415" s="1046"/>
      <c r="G415" s="1046"/>
      <c r="H415" s="1046"/>
      <c r="I415" s="1046"/>
      <c r="J415" s="1047"/>
      <c r="K415" s="134"/>
      <c r="L415" s="62" t="str">
        <f t="shared" si="33"/>
        <v/>
      </c>
      <c r="M415" s="14"/>
      <c r="N415" s="89">
        <f t="array" ref="N415">SUM(IF((CsDJ[JEV Number]=TRIM($T392))*(CsDJ[Account Code]=TRIM(K415)),CsDJ[Debit]))</f>
        <v>0</v>
      </c>
      <c r="O415" s="89">
        <f t="array" ref="O415">SUM(IF((CsDJ[JEV Number]=TRIM($T392))*(CsDJ[Account Code]=TRIM(K415)),CsDJ[Credit]))</f>
        <v>0</v>
      </c>
      <c r="P415" s="1040">
        <f t="shared" si="34"/>
        <v>0</v>
      </c>
      <c r="Q415" s="1040"/>
      <c r="R415" s="1040"/>
      <c r="S415" s="1040">
        <f t="shared" si="35"/>
        <v>0</v>
      </c>
      <c r="T415" s="1040"/>
      <c r="U415" s="1040"/>
      <c r="V415" s="1041"/>
    </row>
    <row r="416" spans="1:22" x14ac:dyDescent="0.25">
      <c r="A416" s="1038"/>
      <c r="B416" s="1039"/>
      <c r="C416" s="1039"/>
      <c r="D416" s="1039"/>
      <c r="E416" s="1045" t="str">
        <f t="shared" si="32"/>
        <v/>
      </c>
      <c r="F416" s="1046"/>
      <c r="G416" s="1046"/>
      <c r="H416" s="1046"/>
      <c r="I416" s="1046"/>
      <c r="J416" s="1047"/>
      <c r="K416" s="134"/>
      <c r="L416" s="62" t="str">
        <f t="shared" si="33"/>
        <v/>
      </c>
      <c r="M416" s="14"/>
      <c r="N416" s="89">
        <f t="array" ref="N416">SUM(IF((CsDJ[JEV Number]=TRIM($T392))*(CsDJ[Account Code]=TRIM(K416)),CsDJ[Debit]))</f>
        <v>0</v>
      </c>
      <c r="O416" s="89">
        <f t="array" ref="O416">SUM(IF((CsDJ[JEV Number]=TRIM($T392))*(CsDJ[Account Code]=TRIM(K416)),CsDJ[Credit]))</f>
        <v>0</v>
      </c>
      <c r="P416" s="1040">
        <f t="shared" si="34"/>
        <v>0</v>
      </c>
      <c r="Q416" s="1040"/>
      <c r="R416" s="1040"/>
      <c r="S416" s="1040">
        <f t="shared" si="35"/>
        <v>0</v>
      </c>
      <c r="T416" s="1040"/>
      <c r="U416" s="1040"/>
      <c r="V416" s="1041"/>
    </row>
    <row r="417" spans="1:22" x14ac:dyDescent="0.25">
      <c r="A417" s="1038"/>
      <c r="B417" s="1039"/>
      <c r="C417" s="1039"/>
      <c r="D417" s="1039"/>
      <c r="E417" s="1045" t="str">
        <f t="shared" si="32"/>
        <v/>
      </c>
      <c r="F417" s="1046"/>
      <c r="G417" s="1046"/>
      <c r="H417" s="1046"/>
      <c r="I417" s="1046"/>
      <c r="J417" s="1047"/>
      <c r="K417" s="134"/>
      <c r="L417" s="62" t="str">
        <f t="shared" si="33"/>
        <v/>
      </c>
      <c r="M417" s="14"/>
      <c r="N417" s="89">
        <f t="array" ref="N417">SUM(IF((CsDJ[JEV Number]=TRIM($T392))*(CsDJ[Account Code]=TRIM(K417)),CsDJ[Debit]))</f>
        <v>0</v>
      </c>
      <c r="O417" s="89">
        <f t="array" ref="O417">SUM(IF((CsDJ[JEV Number]=TRIM($T392))*(CsDJ[Account Code]=TRIM(K417)),CsDJ[Credit]))</f>
        <v>0</v>
      </c>
      <c r="P417" s="1040">
        <f t="shared" si="34"/>
        <v>0</v>
      </c>
      <c r="Q417" s="1040"/>
      <c r="R417" s="1040"/>
      <c r="S417" s="1040">
        <f t="shared" si="35"/>
        <v>0</v>
      </c>
      <c r="T417" s="1040"/>
      <c r="U417" s="1040"/>
      <c r="V417" s="1041"/>
    </row>
    <row r="418" spans="1:22" x14ac:dyDescent="0.25">
      <c r="A418" s="1038"/>
      <c r="B418" s="1039"/>
      <c r="C418" s="1039"/>
      <c r="D418" s="1039"/>
      <c r="E418" s="1045" t="str">
        <f t="shared" si="32"/>
        <v/>
      </c>
      <c r="F418" s="1046"/>
      <c r="G418" s="1046"/>
      <c r="H418" s="1046"/>
      <c r="I418" s="1046"/>
      <c r="J418" s="1047"/>
      <c r="K418" s="134"/>
      <c r="L418" s="62" t="str">
        <f t="shared" si="33"/>
        <v/>
      </c>
      <c r="M418" s="14"/>
      <c r="N418" s="89">
        <f t="array" ref="N418">SUM(IF((CsDJ[JEV Number]=TRIM($T392))*(CsDJ[Account Code]=TRIM(K418)),CsDJ[Debit]))</f>
        <v>0</v>
      </c>
      <c r="O418" s="89">
        <f t="array" ref="O418">SUM(IF((CsDJ[JEV Number]=TRIM($T392))*(CsDJ[Account Code]=TRIM(K418)),CsDJ[Credit]))</f>
        <v>0</v>
      </c>
      <c r="P418" s="1040">
        <f t="shared" si="34"/>
        <v>0</v>
      </c>
      <c r="Q418" s="1040"/>
      <c r="R418" s="1040"/>
      <c r="S418" s="1040">
        <f t="shared" si="35"/>
        <v>0</v>
      </c>
      <c r="T418" s="1040"/>
      <c r="U418" s="1040"/>
      <c r="V418" s="1041"/>
    </row>
    <row r="419" spans="1:22" x14ac:dyDescent="0.25">
      <c r="A419" s="1038"/>
      <c r="B419" s="1039"/>
      <c r="C419" s="1039"/>
      <c r="D419" s="1039"/>
      <c r="E419" s="1045" t="str">
        <f t="shared" si="32"/>
        <v/>
      </c>
      <c r="F419" s="1046"/>
      <c r="G419" s="1046"/>
      <c r="H419" s="1046"/>
      <c r="I419" s="1046"/>
      <c r="J419" s="1047"/>
      <c r="K419" s="134"/>
      <c r="L419" s="62" t="str">
        <f t="shared" si="33"/>
        <v/>
      </c>
      <c r="M419" s="14"/>
      <c r="N419" s="89">
        <f t="array" ref="N419">SUM(IF((CsDJ[JEV Number]=TRIM($T392))*(CsDJ[Account Code]=TRIM(K419)),CsDJ[Debit]))</f>
        <v>0</v>
      </c>
      <c r="O419" s="89">
        <f t="array" ref="O419">SUM(IF((CsDJ[JEV Number]=TRIM($T392))*(CsDJ[Account Code]=TRIM(K419)),CsDJ[Credit]))</f>
        <v>0</v>
      </c>
      <c r="P419" s="1040">
        <f t="shared" si="34"/>
        <v>0</v>
      </c>
      <c r="Q419" s="1040"/>
      <c r="R419" s="1040"/>
      <c r="S419" s="1040">
        <f t="shared" si="35"/>
        <v>0</v>
      </c>
      <c r="T419" s="1040"/>
      <c r="U419" s="1040"/>
      <c r="V419" s="1041"/>
    </row>
    <row r="420" spans="1:22" x14ac:dyDescent="0.25">
      <c r="A420" s="1038"/>
      <c r="B420" s="1039"/>
      <c r="C420" s="1039"/>
      <c r="D420" s="1039"/>
      <c r="E420" s="1045" t="str">
        <f t="shared" si="32"/>
        <v/>
      </c>
      <c r="F420" s="1046"/>
      <c r="G420" s="1046"/>
      <c r="H420" s="1046"/>
      <c r="I420" s="1046"/>
      <c r="J420" s="1047"/>
      <c r="K420" s="134"/>
      <c r="L420" s="62" t="str">
        <f t="shared" si="33"/>
        <v/>
      </c>
      <c r="M420" s="14"/>
      <c r="N420" s="89">
        <f t="array" ref="N420">SUM(IF((CsDJ[JEV Number]=TRIM($T392))*(CsDJ[Account Code]=TRIM(K420)),CsDJ[Debit]))</f>
        <v>0</v>
      </c>
      <c r="O420" s="89">
        <f t="array" ref="O420">SUM(IF((CsDJ[JEV Number]=TRIM($T392))*(CsDJ[Account Code]=TRIM(K420)),CsDJ[Credit]))</f>
        <v>0</v>
      </c>
      <c r="P420" s="1040">
        <f t="shared" si="34"/>
        <v>0</v>
      </c>
      <c r="Q420" s="1040"/>
      <c r="R420" s="1040"/>
      <c r="S420" s="1040">
        <f t="shared" si="35"/>
        <v>0</v>
      </c>
      <c r="T420" s="1040"/>
      <c r="U420" s="1040"/>
      <c r="V420" s="1041"/>
    </row>
    <row r="421" spans="1:22" x14ac:dyDescent="0.25">
      <c r="A421" s="1038"/>
      <c r="B421" s="1039"/>
      <c r="C421" s="1039"/>
      <c r="D421" s="1039"/>
      <c r="E421" s="1045" t="str">
        <f t="shared" si="32"/>
        <v/>
      </c>
      <c r="F421" s="1046"/>
      <c r="G421" s="1046"/>
      <c r="H421" s="1046"/>
      <c r="I421" s="1046"/>
      <c r="J421" s="1047"/>
      <c r="K421" s="134"/>
      <c r="L421" s="62" t="str">
        <f t="shared" si="33"/>
        <v/>
      </c>
      <c r="M421" s="14"/>
      <c r="N421" s="89">
        <f t="array" ref="N421">SUM(IF((CsDJ[JEV Number]=TRIM($T392))*(CsDJ[Account Code]=TRIM(K421)),CsDJ[Debit]))</f>
        <v>0</v>
      </c>
      <c r="O421" s="89">
        <f t="array" ref="O421">SUM(IF((CsDJ[JEV Number]=TRIM($T392))*(CsDJ[Account Code]=TRIM(K421)),CsDJ[Credit]))</f>
        <v>0</v>
      </c>
      <c r="P421" s="1040">
        <f t="shared" si="34"/>
        <v>0</v>
      </c>
      <c r="Q421" s="1040"/>
      <c r="R421" s="1040"/>
      <c r="S421" s="1040">
        <f t="shared" si="35"/>
        <v>0</v>
      </c>
      <c r="T421" s="1040"/>
      <c r="U421" s="1040"/>
      <c r="V421" s="1041"/>
    </row>
    <row r="422" spans="1:22" x14ac:dyDescent="0.25">
      <c r="A422" s="1038"/>
      <c r="B422" s="1039"/>
      <c r="C422" s="1039"/>
      <c r="D422" s="1039"/>
      <c r="E422" s="1045" t="str">
        <f t="shared" si="32"/>
        <v/>
      </c>
      <c r="F422" s="1046"/>
      <c r="G422" s="1046"/>
      <c r="H422" s="1046"/>
      <c r="I422" s="1046"/>
      <c r="J422" s="1047"/>
      <c r="K422" s="134"/>
      <c r="L422" s="62" t="str">
        <f t="shared" si="33"/>
        <v/>
      </c>
      <c r="M422" s="14"/>
      <c r="N422" s="89">
        <f t="array" ref="N422">SUM(IF((CsDJ[JEV Number]=TRIM($T392))*(CsDJ[Account Code]=TRIM(K422)),CsDJ[Debit]))</f>
        <v>0</v>
      </c>
      <c r="O422" s="89">
        <f t="array" ref="O422">SUM(IF((CsDJ[JEV Number]=TRIM($T392))*(CsDJ[Account Code]=TRIM(K422)),CsDJ[Credit]))</f>
        <v>0</v>
      </c>
      <c r="P422" s="1040">
        <f t="shared" si="34"/>
        <v>0</v>
      </c>
      <c r="Q422" s="1040"/>
      <c r="R422" s="1040"/>
      <c r="S422" s="1040">
        <f t="shared" si="35"/>
        <v>0</v>
      </c>
      <c r="T422" s="1040"/>
      <c r="U422" s="1040"/>
      <c r="V422" s="1041"/>
    </row>
    <row r="423" spans="1:22" x14ac:dyDescent="0.25">
      <c r="A423" s="1038"/>
      <c r="B423" s="1039"/>
      <c r="C423" s="1039"/>
      <c r="D423" s="1039"/>
      <c r="E423" s="1045" t="str">
        <f t="shared" si="32"/>
        <v/>
      </c>
      <c r="F423" s="1046"/>
      <c r="G423" s="1046"/>
      <c r="H423" s="1046"/>
      <c r="I423" s="1046"/>
      <c r="J423" s="1047"/>
      <c r="K423" s="134"/>
      <c r="L423" s="62" t="str">
        <f t="shared" si="33"/>
        <v/>
      </c>
      <c r="M423" s="14"/>
      <c r="N423" s="89">
        <f t="array" ref="N423">SUM(IF((CsDJ[JEV Number]=TRIM($T392))*(CsDJ[Account Code]=TRIM(K423)),CsDJ[Debit]))</f>
        <v>0</v>
      </c>
      <c r="O423" s="89">
        <f t="array" ref="O423">SUM(IF((CsDJ[JEV Number]=TRIM($T392))*(CsDJ[Account Code]=TRIM(K423)),CsDJ[Credit]))</f>
        <v>0</v>
      </c>
      <c r="P423" s="1040">
        <f t="shared" si="34"/>
        <v>0</v>
      </c>
      <c r="Q423" s="1040"/>
      <c r="R423" s="1040"/>
      <c r="S423" s="1040">
        <f t="shared" si="35"/>
        <v>0</v>
      </c>
      <c r="T423" s="1040"/>
      <c r="U423" s="1040"/>
      <c r="V423" s="1041"/>
    </row>
    <row r="424" spans="1:22" x14ac:dyDescent="0.25">
      <c r="A424" s="1038"/>
      <c r="B424" s="1039"/>
      <c r="C424" s="1039"/>
      <c r="D424" s="1039"/>
      <c r="E424" s="1045" t="str">
        <f t="shared" si="32"/>
        <v/>
      </c>
      <c r="F424" s="1046"/>
      <c r="G424" s="1046"/>
      <c r="H424" s="1046"/>
      <c r="I424" s="1046"/>
      <c r="J424" s="1047"/>
      <c r="K424" s="134"/>
      <c r="L424" s="62" t="str">
        <f t="shared" si="33"/>
        <v/>
      </c>
      <c r="M424" s="14"/>
      <c r="N424" s="89">
        <f t="array" ref="N424">SUM(IF((CsDJ[JEV Number]=TRIM($T392))*(CsDJ[Account Code]=TRIM(K424)),CsDJ[Debit]))</f>
        <v>0</v>
      </c>
      <c r="O424" s="89">
        <f t="array" ref="O424">SUM(IF((CsDJ[JEV Number]=TRIM($T392))*(CsDJ[Account Code]=TRIM(K424)),CsDJ[Credit]))</f>
        <v>0</v>
      </c>
      <c r="P424" s="1040">
        <f t="shared" si="34"/>
        <v>0</v>
      </c>
      <c r="Q424" s="1040"/>
      <c r="R424" s="1040"/>
      <c r="S424" s="1040">
        <f t="shared" si="35"/>
        <v>0</v>
      </c>
      <c r="T424" s="1040"/>
      <c r="U424" s="1040"/>
      <c r="V424" s="1041"/>
    </row>
    <row r="425" spans="1:22" x14ac:dyDescent="0.25">
      <c r="A425" s="1038"/>
      <c r="B425" s="1039"/>
      <c r="C425" s="1039"/>
      <c r="D425" s="1039"/>
      <c r="E425" s="1045" t="str">
        <f t="shared" si="32"/>
        <v/>
      </c>
      <c r="F425" s="1046"/>
      <c r="G425" s="1046"/>
      <c r="H425" s="1046"/>
      <c r="I425" s="1046"/>
      <c r="J425" s="1047"/>
      <c r="K425" s="134"/>
      <c r="L425" s="62" t="str">
        <f t="shared" si="33"/>
        <v/>
      </c>
      <c r="M425" s="14"/>
      <c r="N425" s="89">
        <f t="array" ref="N425">SUM(IF((CsDJ[JEV Number]=TRIM($T392))*(CsDJ[Account Code]=TRIM(K425)),CsDJ[Debit]))</f>
        <v>0</v>
      </c>
      <c r="O425" s="89">
        <f t="array" ref="O425">SUM(IF((CsDJ[JEV Number]=TRIM($T392))*(CsDJ[Account Code]=TRIM(K425)),CsDJ[Credit]))</f>
        <v>0</v>
      </c>
      <c r="P425" s="1040">
        <f t="shared" si="34"/>
        <v>0</v>
      </c>
      <c r="Q425" s="1040"/>
      <c r="R425" s="1040"/>
      <c r="S425" s="1040">
        <f t="shared" si="35"/>
        <v>0</v>
      </c>
      <c r="T425" s="1040"/>
      <c r="U425" s="1040"/>
      <c r="V425" s="1041"/>
    </row>
    <row r="426" spans="1:22" x14ac:dyDescent="0.25">
      <c r="A426" s="1038"/>
      <c r="B426" s="1039"/>
      <c r="C426" s="1039"/>
      <c r="D426" s="1039"/>
      <c r="E426" s="1108" t="s">
        <v>468</v>
      </c>
      <c r="F426" s="1109"/>
      <c r="G426" s="1109"/>
      <c r="H426" s="1109"/>
      <c r="I426" s="1109"/>
      <c r="J426" s="1110"/>
      <c r="K426" s="133"/>
      <c r="L426" s="62" t="str">
        <f t="shared" si="33"/>
        <v/>
      </c>
      <c r="M426" s="14"/>
      <c r="N426" s="89">
        <f t="array" ref="N426">SUM(IF((CsDJ[JEV Number]=TRIM($T392))*(CsDJ[Account Code]=TRIM(K426)),CsDJ[Debit]))</f>
        <v>0</v>
      </c>
      <c r="O426" s="89">
        <f t="array" ref="O426">SUM(IF((CsDJ[JEV Number]=TRIM($T392))*(CsDJ[Account Code]=TRIM(K426)),CsDJ[Credit]))</f>
        <v>0</v>
      </c>
      <c r="P426" s="1040">
        <f t="shared" si="34"/>
        <v>0</v>
      </c>
      <c r="Q426" s="1040"/>
      <c r="R426" s="1040"/>
      <c r="S426" s="1040">
        <f t="shared" si="35"/>
        <v>0</v>
      </c>
      <c r="T426" s="1040"/>
      <c r="U426" s="1040"/>
      <c r="V426" s="1041"/>
    </row>
    <row r="427" spans="1:22" x14ac:dyDescent="0.25">
      <c r="A427" s="1038"/>
      <c r="B427" s="1039"/>
      <c r="C427" s="1039"/>
      <c r="D427" s="1039"/>
      <c r="E427" s="1048" t="s">
        <v>457</v>
      </c>
      <c r="F427" s="1049"/>
      <c r="G427" s="1049"/>
      <c r="H427" s="1049"/>
      <c r="I427" s="1051">
        <f>T393</f>
        <v>0</v>
      </c>
      <c r="J427" s="1052"/>
      <c r="K427" s="133"/>
      <c r="L427" s="62" t="str">
        <f t="shared" si="33"/>
        <v/>
      </c>
      <c r="M427" s="14"/>
      <c r="N427" s="89">
        <f t="array" ref="N427">SUM(IF((CsDJ[JEV Number]=TRIM($T392))*(CsDJ[Account Code]=TRIM(K427)),CsDJ[Debit]))</f>
        <v>0</v>
      </c>
      <c r="O427" s="89">
        <f t="array" ref="O427">SUM(IF((CsDJ[JEV Number]=TRIM($T392))*(CsDJ[Account Code]=TRIM(K427)),CsDJ[Credit]))</f>
        <v>0</v>
      </c>
      <c r="P427" s="1040">
        <f t="shared" si="34"/>
        <v>0</v>
      </c>
      <c r="Q427" s="1040"/>
      <c r="R427" s="1040"/>
      <c r="S427" s="1040">
        <f t="shared" si="35"/>
        <v>0</v>
      </c>
      <c r="T427" s="1040"/>
      <c r="U427" s="1040"/>
      <c r="V427" s="1041"/>
    </row>
    <row r="428" spans="1:22" x14ac:dyDescent="0.25">
      <c r="A428" s="1038"/>
      <c r="B428" s="1039"/>
      <c r="C428" s="1039"/>
      <c r="D428" s="1039"/>
      <c r="E428" s="1048" t="s">
        <v>458</v>
      </c>
      <c r="F428" s="1049"/>
      <c r="G428" s="1049"/>
      <c r="H428" s="1049"/>
      <c r="I428" s="1106">
        <f>IF(T392=0,0,(IF(LOOKUP(T392,CsDJ[JEV Number],CsDJ[Sort Code])="1","MA. VIVIAN C. SALAS",IF(LOOKUP(T392,CsDJ[JEV Number],CsDJ[Sort Code])="2","LUZ R. DE COZAR",IF(LOOKUP(T392,CsDJ[JEV Number],CsDJ[Sort Code])="3","MINEONETTE A. DELA CRUZ",IF(LOOKUP(T392,CsDJ[JEV Number],CsDJ[Sort Code])="4","RESELLA B. LOPEZ"))))))</f>
        <v>0</v>
      </c>
      <c r="J428" s="1107"/>
      <c r="K428" s="133"/>
      <c r="L428" s="62" t="str">
        <f t="shared" si="33"/>
        <v/>
      </c>
      <c r="M428" s="14"/>
      <c r="N428" s="89">
        <f t="array" ref="N428">SUM(IF((CsDJ[JEV Number]=TRIM($T392))*(CsDJ[Account Code]=TRIM(K428)),CsDJ[Debit]))</f>
        <v>0</v>
      </c>
      <c r="O428" s="89">
        <f t="array" ref="O428">SUM(IF((CsDJ[JEV Number]=TRIM($T392))*(CsDJ[Account Code]=TRIM(K428)),CsDJ[Credit]))</f>
        <v>0</v>
      </c>
      <c r="P428" s="1040">
        <f t="shared" si="34"/>
        <v>0</v>
      </c>
      <c r="Q428" s="1040"/>
      <c r="R428" s="1040"/>
      <c r="S428" s="1040">
        <f t="shared" si="35"/>
        <v>0</v>
      </c>
      <c r="T428" s="1040"/>
      <c r="U428" s="1040"/>
      <c r="V428" s="1041"/>
    </row>
    <row r="429" spans="1:22" x14ac:dyDescent="0.25">
      <c r="A429" s="1038"/>
      <c r="B429" s="1039"/>
      <c r="C429" s="1039"/>
      <c r="D429" s="1039"/>
      <c r="E429" s="1048" t="s">
        <v>459</v>
      </c>
      <c r="F429" s="1049"/>
      <c r="G429" s="1049"/>
      <c r="H429" s="1049"/>
      <c r="I429" s="1043">
        <f>IF(I428="Ma. Vivian C. Salas","Regional Office", IF(I428="Luz R. De Cozar","BANE IMO", IF(I428="Mineonette A. Dela Cruz","PAMBAT IMO", IF(I428="Resella B. Lopez","TARZAM IMO",0))))</f>
        <v>0</v>
      </c>
      <c r="J429" s="1044"/>
      <c r="K429" s="133"/>
      <c r="L429" s="62" t="str">
        <f t="shared" si="33"/>
        <v/>
      </c>
      <c r="M429" s="14"/>
      <c r="N429" s="89">
        <f t="array" ref="N429">SUM(IF((CsDJ[JEV Number]=TRIM($T392))*(CsDJ[Account Code]=TRIM(K429)),CsDJ[Debit]))</f>
        <v>0</v>
      </c>
      <c r="O429" s="89">
        <f t="array" ref="O429">SUM(IF((CsDJ[JEV Number]=TRIM($T392))*(CsDJ[Account Code]=TRIM(K429)),CsDJ[Credit]))</f>
        <v>0</v>
      </c>
      <c r="P429" s="1040">
        <f t="shared" si="34"/>
        <v>0</v>
      </c>
      <c r="Q429" s="1040"/>
      <c r="R429" s="1040"/>
      <c r="S429" s="1040">
        <f t="shared" si="35"/>
        <v>0</v>
      </c>
      <c r="T429" s="1040"/>
      <c r="U429" s="1040"/>
      <c r="V429" s="1041"/>
    </row>
    <row r="430" spans="1:22" x14ac:dyDescent="0.25">
      <c r="A430" s="1038"/>
      <c r="B430" s="1039"/>
      <c r="C430" s="1039"/>
      <c r="D430" s="1039"/>
      <c r="E430" s="1048"/>
      <c r="F430" s="1049"/>
      <c r="G430" s="1049"/>
      <c r="H430" s="1049"/>
      <c r="I430" s="1049"/>
      <c r="J430" s="1050"/>
      <c r="K430" s="133"/>
      <c r="L430" s="62" t="str">
        <f t="shared" si="33"/>
        <v/>
      </c>
      <c r="M430" s="14"/>
      <c r="N430" s="89">
        <f t="array" ref="N430">SUM(IF((CsDJ[JEV Number]=TRIM($T392))*(CsDJ[Account Code]=TRIM(K430)),CsDJ[Debit]))</f>
        <v>0</v>
      </c>
      <c r="O430" s="89">
        <f t="array" ref="O430">SUM(IF((CsDJ[JEV Number]=TRIM($T392))*(CsDJ[Account Code]=TRIM(K430)),CsDJ[Credit]))</f>
        <v>0</v>
      </c>
      <c r="P430" s="1040">
        <f t="shared" si="34"/>
        <v>0</v>
      </c>
      <c r="Q430" s="1040"/>
      <c r="R430" s="1040"/>
      <c r="S430" s="1040">
        <f t="shared" si="35"/>
        <v>0</v>
      </c>
      <c r="T430" s="1040"/>
      <c r="U430" s="1040"/>
      <c r="V430" s="1041"/>
    </row>
    <row r="431" spans="1:22" ht="16.5" thickBot="1" x14ac:dyDescent="0.3">
      <c r="A431" s="1091"/>
      <c r="B431" s="1092"/>
      <c r="C431" s="1092"/>
      <c r="D431" s="1092"/>
      <c r="E431" s="1092"/>
      <c r="F431" s="1092"/>
      <c r="G431" s="1092"/>
      <c r="H431" s="1092"/>
      <c r="I431" s="1092"/>
      <c r="J431" s="1092"/>
      <c r="K431" s="1092"/>
      <c r="L431" s="1092"/>
      <c r="M431" s="1093"/>
      <c r="N431" s="88"/>
      <c r="O431" s="88"/>
      <c r="P431" s="1094">
        <f>SUM(P401:R430)</f>
        <v>0</v>
      </c>
      <c r="Q431" s="1094"/>
      <c r="R431" s="1094"/>
      <c r="S431" s="1094">
        <f>SUM(S401:V430)</f>
        <v>0</v>
      </c>
      <c r="T431" s="1094"/>
      <c r="U431" s="1094"/>
      <c r="V431" s="1095"/>
    </row>
    <row r="432" spans="1:22" x14ac:dyDescent="0.25">
      <c r="A432" s="63"/>
      <c r="B432" s="64"/>
      <c r="C432" s="64"/>
      <c r="D432" s="64"/>
      <c r="E432" s="64"/>
      <c r="F432" s="64"/>
      <c r="G432" s="64"/>
      <c r="H432" s="64"/>
      <c r="I432" s="65"/>
      <c r="J432" s="64"/>
      <c r="K432" s="66"/>
      <c r="L432" s="64"/>
      <c r="M432" s="65"/>
      <c r="N432" s="64"/>
      <c r="O432" s="64"/>
      <c r="P432" s="1090"/>
      <c r="Q432" s="1090"/>
      <c r="R432" s="1090"/>
      <c r="S432" s="1090"/>
      <c r="T432" s="1090"/>
      <c r="U432" s="1090"/>
      <c r="V432" s="1096"/>
    </row>
    <row r="433" spans="1:22" x14ac:dyDescent="0.25">
      <c r="A433" s="67" t="s">
        <v>460</v>
      </c>
      <c r="B433"/>
      <c r="C433"/>
      <c r="D433"/>
      <c r="E433"/>
      <c r="F433"/>
      <c r="G433"/>
      <c r="H433"/>
      <c r="I433" s="68" t="s">
        <v>353</v>
      </c>
      <c r="J433" s="69"/>
      <c r="K433" s="69"/>
      <c r="L433"/>
      <c r="M433" s="68" t="s">
        <v>461</v>
      </c>
      <c r="N433" s="69"/>
      <c r="O433" s="69"/>
      <c r="P433" s="70"/>
      <c r="Q433" s="70"/>
      <c r="R433" s="70"/>
      <c r="S433" s="70"/>
      <c r="T433" s="70"/>
      <c r="U433" s="70"/>
      <c r="V433" s="71"/>
    </row>
    <row r="434" spans="1:22" x14ac:dyDescent="0.25">
      <c r="A434" s="37"/>
      <c r="B434"/>
      <c r="C434"/>
      <c r="D434"/>
      <c r="E434"/>
      <c r="F434"/>
      <c r="G434"/>
      <c r="H434"/>
      <c r="I434" s="72"/>
      <c r="J434"/>
      <c r="K434"/>
      <c r="L434"/>
      <c r="M434" s="72"/>
      <c r="N434"/>
      <c r="O434"/>
      <c r="P434"/>
      <c r="Q434"/>
      <c r="R434"/>
      <c r="S434"/>
      <c r="T434"/>
      <c r="U434"/>
      <c r="V434" s="73"/>
    </row>
    <row r="435" spans="1:22" x14ac:dyDescent="0.25">
      <c r="A435" s="74" t="s">
        <v>462</v>
      </c>
      <c r="B435" s="75"/>
      <c r="C435" s="75"/>
      <c r="D435" s="75"/>
      <c r="E435" s="75"/>
      <c r="F435" s="75"/>
      <c r="G435" s="75"/>
      <c r="H435" s="76"/>
      <c r="I435" s="77" t="s">
        <v>380</v>
      </c>
      <c r="J435" s="75"/>
      <c r="K435" s="75"/>
      <c r="L435" s="76"/>
      <c r="M435" s="77" t="s">
        <v>3</v>
      </c>
      <c r="N435" s="75"/>
      <c r="O435" s="75"/>
      <c r="P435" s="75"/>
      <c r="Q435" s="75"/>
      <c r="R435" s="75"/>
      <c r="S435" s="75"/>
      <c r="T435" s="75"/>
      <c r="U435" s="75"/>
      <c r="V435" s="78"/>
    </row>
    <row r="436" spans="1:22" x14ac:dyDescent="0.25">
      <c r="A436" s="79" t="s">
        <v>463</v>
      </c>
      <c r="B436" s="80"/>
      <c r="C436" s="80"/>
      <c r="D436" s="80"/>
      <c r="E436" s="80"/>
      <c r="F436" s="80"/>
      <c r="G436" s="80"/>
      <c r="H436" s="80"/>
      <c r="I436" s="81" t="s">
        <v>381</v>
      </c>
      <c r="J436" s="80"/>
      <c r="K436" s="80"/>
      <c r="L436" s="80"/>
      <c r="M436" s="81" t="s">
        <v>464</v>
      </c>
      <c r="N436" s="80"/>
      <c r="O436" s="80"/>
      <c r="P436" s="82"/>
      <c r="Q436" s="82"/>
      <c r="R436" s="82"/>
      <c r="S436" s="82"/>
      <c r="T436" s="82"/>
      <c r="U436" s="82"/>
      <c r="V436" s="83"/>
    </row>
    <row r="437" spans="1:22" ht="16.5" thickBot="1" x14ac:dyDescent="0.3">
      <c r="A437" s="84" t="s">
        <v>465</v>
      </c>
      <c r="B437" s="43"/>
      <c r="C437" s="43"/>
      <c r="D437" s="43"/>
      <c r="E437" s="43"/>
      <c r="F437" s="43"/>
      <c r="G437" s="43"/>
      <c r="H437" s="43"/>
      <c r="I437" s="85"/>
      <c r="J437" s="43"/>
      <c r="K437" s="43"/>
      <c r="L437" s="43"/>
      <c r="M437" s="85"/>
      <c r="N437" s="43"/>
      <c r="O437" s="43"/>
      <c r="P437" s="43"/>
      <c r="Q437" s="43"/>
      <c r="R437" s="43"/>
      <c r="S437" s="43"/>
      <c r="T437" s="43"/>
      <c r="U437" s="43"/>
      <c r="V437" s="44"/>
    </row>
    <row r="438" spans="1:22" ht="22.5" x14ac:dyDescent="0.25">
      <c r="A438" s="31" t="s">
        <v>441</v>
      </c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3"/>
      <c r="R438" s="1053">
        <f>+P478-S478</f>
        <v>0</v>
      </c>
      <c r="S438" s="1054"/>
      <c r="T438" s="1054"/>
      <c r="U438" s="1054"/>
      <c r="V438" s="1055"/>
    </row>
    <row r="439" spans="1:22" x14ac:dyDescent="0.25">
      <c r="A439" s="34" t="s">
        <v>442</v>
      </c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6"/>
      <c r="R439" s="37" t="s">
        <v>443</v>
      </c>
      <c r="S439"/>
      <c r="T439" s="1056"/>
      <c r="U439" s="1056"/>
      <c r="V439" s="1057"/>
    </row>
    <row r="440" spans="1:22" x14ac:dyDescent="0.25">
      <c r="A440" s="38" t="s">
        <v>444</v>
      </c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6"/>
      <c r="R440" s="37" t="s">
        <v>0</v>
      </c>
      <c r="S440"/>
      <c r="T440" s="1058">
        <f>IF(T439=0,0,(LOOKUP(T439,CsDJ[JEV Number],CsDJ[Date])))</f>
        <v>0</v>
      </c>
      <c r="U440" s="1058"/>
      <c r="V440" s="1059"/>
    </row>
    <row r="441" spans="1:22" ht="16.5" thickBot="1" x14ac:dyDescent="0.3">
      <c r="A441" s="39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1"/>
      <c r="R441" s="42"/>
      <c r="S441" s="43"/>
      <c r="T441" s="43"/>
      <c r="U441" s="43"/>
      <c r="V441" s="44"/>
    </row>
    <row r="442" spans="1:22" x14ac:dyDescent="0.25">
      <c r="A442" s="45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7"/>
      <c r="M442" s="46"/>
      <c r="N442" s="46"/>
      <c r="O442" s="46"/>
      <c r="P442" s="46"/>
      <c r="Q442" s="46"/>
      <c r="R442" s="46"/>
      <c r="S442" s="46"/>
      <c r="T442" s="46"/>
      <c r="U442" s="46"/>
      <c r="V442" s="48"/>
    </row>
    <row r="443" spans="1:22" x14ac:dyDescent="0.25">
      <c r="A443" s="49"/>
      <c r="B443" s="1060"/>
      <c r="C443" s="1060"/>
      <c r="D443" s="50" t="s">
        <v>445</v>
      </c>
      <c r="H443" s="51"/>
      <c r="I443" s="25" t="s">
        <v>447</v>
      </c>
      <c r="J443" s="132" t="s">
        <v>446</v>
      </c>
      <c r="K443" s="52" t="s">
        <v>448</v>
      </c>
      <c r="L443" s="52"/>
      <c r="Q443" s="1060"/>
      <c r="R443" s="1060"/>
      <c r="S443" s="50" t="s">
        <v>449</v>
      </c>
      <c r="T443" s="50"/>
      <c r="U443" s="50"/>
      <c r="V443" s="53"/>
    </row>
    <row r="444" spans="1:22" ht="16.5" thickBot="1" x14ac:dyDescent="0.3">
      <c r="A444" s="54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6"/>
      <c r="M444" s="55"/>
      <c r="N444" s="55"/>
      <c r="O444" s="55"/>
      <c r="P444" s="55"/>
      <c r="Q444" s="55"/>
      <c r="R444" s="55"/>
      <c r="S444" s="55"/>
      <c r="T444" s="55"/>
      <c r="U444" s="55"/>
      <c r="V444" s="57"/>
    </row>
    <row r="445" spans="1:22" x14ac:dyDescent="0.25">
      <c r="A445" s="1061" t="s">
        <v>397</v>
      </c>
      <c r="B445" s="1062"/>
      <c r="C445" s="1062"/>
      <c r="D445" s="1063"/>
      <c r="E445" s="1070" t="s">
        <v>450</v>
      </c>
      <c r="F445" s="1070"/>
      <c r="G445" s="1070"/>
      <c r="H445" s="1070"/>
      <c r="I445" s="1070"/>
      <c r="J445" s="1070"/>
      <c r="K445" s="1070"/>
      <c r="L445" s="1070"/>
      <c r="M445" s="1070"/>
      <c r="N445" s="1070"/>
      <c r="O445" s="1070"/>
      <c r="P445" s="1070"/>
      <c r="Q445" s="1070"/>
      <c r="R445" s="1070"/>
      <c r="S445" s="1070"/>
      <c r="T445" s="1070"/>
      <c r="U445" s="1070"/>
      <c r="V445" s="1071"/>
    </row>
    <row r="446" spans="1:22" x14ac:dyDescent="0.25">
      <c r="A446" s="1064"/>
      <c r="B446" s="1065"/>
      <c r="C446" s="1065"/>
      <c r="D446" s="1066"/>
      <c r="E446" s="1072" t="s">
        <v>451</v>
      </c>
      <c r="F446" s="1072"/>
      <c r="G446" s="1072"/>
      <c r="H446" s="1072"/>
      <c r="I446" s="1072"/>
      <c r="J446" s="1072"/>
      <c r="K446" s="1074" t="s">
        <v>378</v>
      </c>
      <c r="L446" s="1074"/>
      <c r="M446" s="1072" t="s">
        <v>452</v>
      </c>
      <c r="N446" s="1075" t="s">
        <v>453</v>
      </c>
      <c r="O446" s="1076"/>
      <c r="P446" s="1076"/>
      <c r="Q446" s="1076"/>
      <c r="R446" s="1076"/>
      <c r="S446" s="1076"/>
      <c r="T446" s="1076"/>
      <c r="U446" s="1076"/>
      <c r="V446" s="1077"/>
    </row>
    <row r="447" spans="1:22" ht="16.5" customHeight="1" thickBot="1" x14ac:dyDescent="0.3">
      <c r="A447" s="1067"/>
      <c r="B447" s="1068"/>
      <c r="C447" s="1068"/>
      <c r="D447" s="1069"/>
      <c r="E447" s="1073"/>
      <c r="F447" s="1073"/>
      <c r="G447" s="1073"/>
      <c r="H447" s="1073"/>
      <c r="I447" s="1073"/>
      <c r="J447" s="1073"/>
      <c r="K447" s="58" t="s">
        <v>454</v>
      </c>
      <c r="L447" s="58" t="s">
        <v>455</v>
      </c>
      <c r="M447" s="1073"/>
      <c r="N447" s="87" t="s">
        <v>466</v>
      </c>
      <c r="O447" s="87" t="s">
        <v>467</v>
      </c>
      <c r="P447" s="1078" t="s">
        <v>1</v>
      </c>
      <c r="Q447" s="1079"/>
      <c r="R447" s="1080"/>
      <c r="S447" s="1078" t="s">
        <v>2</v>
      </c>
      <c r="T447" s="1079"/>
      <c r="U447" s="1079"/>
      <c r="V447" s="1081"/>
    </row>
    <row r="448" spans="1:22" ht="19.5" x14ac:dyDescent="0.3">
      <c r="A448" s="1082">
        <f>P478-S478</f>
        <v>0</v>
      </c>
      <c r="B448" s="1083"/>
      <c r="C448" s="1083"/>
      <c r="D448" s="1083"/>
      <c r="E448" s="1084" t="str">
        <f>Account!$G$1</f>
        <v>FUND 501 CARP</v>
      </c>
      <c r="F448" s="1085"/>
      <c r="G448" s="1085"/>
      <c r="H448" s="1085"/>
      <c r="I448" s="1085"/>
      <c r="J448" s="1086"/>
      <c r="K448" s="59"/>
      <c r="L448" s="59"/>
      <c r="M448" s="60"/>
      <c r="N448" s="60"/>
      <c r="O448" s="60"/>
      <c r="P448" s="1087"/>
      <c r="Q448" s="1087"/>
      <c r="R448" s="1087"/>
      <c r="S448" s="1087"/>
      <c r="T448" s="1087"/>
      <c r="U448" s="1087"/>
      <c r="V448" s="1088"/>
    </row>
    <row r="449" spans="1:22" x14ac:dyDescent="0.25">
      <c r="A449" s="1038"/>
      <c r="B449" s="1039"/>
      <c r="C449" s="1039"/>
      <c r="D449" s="1039"/>
      <c r="E449" s="1039"/>
      <c r="F449" s="1039"/>
      <c r="G449" s="1039"/>
      <c r="H449" s="1039"/>
      <c r="I449" s="1039"/>
      <c r="J449" s="1039"/>
      <c r="K449" s="61"/>
      <c r="L449" s="61"/>
      <c r="M449" s="14"/>
      <c r="N449" s="14"/>
      <c r="O449" s="14"/>
      <c r="P449" s="1039"/>
      <c r="Q449" s="1039"/>
      <c r="R449" s="1039"/>
      <c r="S449" s="1039"/>
      <c r="T449" s="1039"/>
      <c r="U449" s="1039"/>
      <c r="V449" s="1089"/>
    </row>
    <row r="450" spans="1:22" x14ac:dyDescent="0.25">
      <c r="A450" s="1038"/>
      <c r="B450" s="1039"/>
      <c r="C450" s="1039"/>
      <c r="D450" s="1039"/>
      <c r="E450" s="1045" t="str">
        <f t="shared" ref="E450:E472" si="36">IF(K450=0,"",(VLOOKUP((TRIM(K450)),Code,2,)))</f>
        <v/>
      </c>
      <c r="F450" s="1046"/>
      <c r="G450" s="1046"/>
      <c r="H450" s="1046"/>
      <c r="I450" s="1046"/>
      <c r="J450" s="1047"/>
      <c r="K450" s="133"/>
      <c r="L450" s="62" t="str">
        <f t="shared" ref="L450:L477" si="37">IF(K450=0,"",VLOOKUP((TRIM(K450)),Code,3,))</f>
        <v/>
      </c>
      <c r="M450" s="14"/>
      <c r="N450" s="89">
        <f t="array" ref="N450">SUM(IF((CsDJ[JEV Number]=TRIM($T439))*(CsDJ[Account Code]=TRIM(K450)),CsDJ[Debit]))</f>
        <v>0</v>
      </c>
      <c r="O450" s="89">
        <f t="array" ref="O450">SUM(IF((CsDJ[JEV Number]=TRIM($T439))*(CsDJ[Account Code]=TRIM(K450)),CsDJ[Credit]))</f>
        <v>0</v>
      </c>
      <c r="P450" s="1040">
        <f>N450</f>
        <v>0</v>
      </c>
      <c r="Q450" s="1040"/>
      <c r="R450" s="1040"/>
      <c r="S450" s="1040">
        <f>O450</f>
        <v>0</v>
      </c>
      <c r="T450" s="1040"/>
      <c r="U450" s="1040"/>
      <c r="V450" s="1041"/>
    </row>
    <row r="451" spans="1:22" x14ac:dyDescent="0.25">
      <c r="A451" s="1038"/>
      <c r="B451" s="1039"/>
      <c r="C451" s="1039"/>
      <c r="D451" s="1039"/>
      <c r="E451" s="1045" t="str">
        <f t="shared" si="36"/>
        <v/>
      </c>
      <c r="F451" s="1046"/>
      <c r="G451" s="1046"/>
      <c r="H451" s="1046"/>
      <c r="I451" s="1046"/>
      <c r="J451" s="1047"/>
      <c r="K451" s="133"/>
      <c r="L451" s="62" t="str">
        <f t="shared" si="37"/>
        <v/>
      </c>
      <c r="M451" s="14"/>
      <c r="N451" s="89">
        <f t="array" ref="N451">SUM(IF((CsDJ[JEV Number]=TRIM($T439))*(CsDJ[Account Code]=TRIM(K451)),CsDJ[Debit]))</f>
        <v>0</v>
      </c>
      <c r="O451" s="89">
        <f t="array" ref="O451">SUM(IF((CsDJ[JEV Number]=TRIM($T439))*(CsDJ[Account Code]=TRIM(K451)),CsDJ[Credit]))</f>
        <v>0</v>
      </c>
      <c r="P451" s="1040">
        <f>N451</f>
        <v>0</v>
      </c>
      <c r="Q451" s="1040"/>
      <c r="R451" s="1040"/>
      <c r="S451" s="1040">
        <f>O451</f>
        <v>0</v>
      </c>
      <c r="T451" s="1040"/>
      <c r="U451" s="1040"/>
      <c r="V451" s="1041"/>
    </row>
    <row r="452" spans="1:22" x14ac:dyDescent="0.25">
      <c r="A452" s="1038"/>
      <c r="B452" s="1039"/>
      <c r="C452" s="1039"/>
      <c r="D452" s="1039"/>
      <c r="E452" s="1045" t="str">
        <f t="shared" si="36"/>
        <v/>
      </c>
      <c r="F452" s="1046"/>
      <c r="G452" s="1046"/>
      <c r="H452" s="1046"/>
      <c r="I452" s="1046"/>
      <c r="J452" s="1047"/>
      <c r="K452" s="133"/>
      <c r="L452" s="62" t="str">
        <f t="shared" si="37"/>
        <v/>
      </c>
      <c r="M452" s="14"/>
      <c r="N452" s="89">
        <f t="array" ref="N452">SUM(IF((CsDJ[JEV Number]=TRIM($T439))*(CsDJ[Account Code]=TRIM(K452)),CsDJ[Debit]))</f>
        <v>0</v>
      </c>
      <c r="O452" s="89">
        <f t="array" ref="O452">SUM(IF((CsDJ[JEV Number]=TRIM($T439))*(CsDJ[Account Code]=TRIM(K452)),CsDJ[Credit]))</f>
        <v>0</v>
      </c>
      <c r="P452" s="1040">
        <f t="shared" ref="P452:P477" si="38">N452</f>
        <v>0</v>
      </c>
      <c r="Q452" s="1040"/>
      <c r="R452" s="1040"/>
      <c r="S452" s="1040">
        <f t="shared" ref="S452:S477" si="39">O452</f>
        <v>0</v>
      </c>
      <c r="T452" s="1040"/>
      <c r="U452" s="1040"/>
      <c r="V452" s="1041"/>
    </row>
    <row r="453" spans="1:22" x14ac:dyDescent="0.25">
      <c r="A453" s="1038"/>
      <c r="B453" s="1039"/>
      <c r="C453" s="1039"/>
      <c r="D453" s="1039"/>
      <c r="E453" s="1045" t="str">
        <f t="shared" si="36"/>
        <v/>
      </c>
      <c r="F453" s="1046"/>
      <c r="G453" s="1046"/>
      <c r="H453" s="1046"/>
      <c r="I453" s="1046"/>
      <c r="J453" s="1047"/>
      <c r="K453" s="133"/>
      <c r="L453" s="62" t="str">
        <f t="shared" si="37"/>
        <v/>
      </c>
      <c r="M453" s="14"/>
      <c r="N453" s="89">
        <f t="array" ref="N453">SUM(IF((CsDJ[JEV Number]=TRIM($T439))*(CsDJ[Account Code]=TRIM(K453)),CsDJ[Debit]))</f>
        <v>0</v>
      </c>
      <c r="O453" s="89">
        <f t="array" ref="O453">SUM(IF((CsDJ[JEV Number]=TRIM($T439))*(CsDJ[Account Code]=TRIM(K453)),CsDJ[Credit]))</f>
        <v>0</v>
      </c>
      <c r="P453" s="1040">
        <f t="shared" si="38"/>
        <v>0</v>
      </c>
      <c r="Q453" s="1040"/>
      <c r="R453" s="1040"/>
      <c r="S453" s="1040">
        <f t="shared" si="39"/>
        <v>0</v>
      </c>
      <c r="T453" s="1040"/>
      <c r="U453" s="1040"/>
      <c r="V453" s="1041"/>
    </row>
    <row r="454" spans="1:22" x14ac:dyDescent="0.25">
      <c r="A454" s="1038"/>
      <c r="B454" s="1039"/>
      <c r="C454" s="1039"/>
      <c r="D454" s="1039"/>
      <c r="E454" s="1045" t="str">
        <f t="shared" si="36"/>
        <v/>
      </c>
      <c r="F454" s="1046"/>
      <c r="G454" s="1046"/>
      <c r="H454" s="1046"/>
      <c r="I454" s="1046"/>
      <c r="J454" s="1047"/>
      <c r="K454" s="133"/>
      <c r="L454" s="62" t="str">
        <f t="shared" si="37"/>
        <v/>
      </c>
      <c r="M454" s="14"/>
      <c r="N454" s="89">
        <f t="array" ref="N454">SUM(IF((CsDJ[JEV Number]=TRIM($T439))*(CsDJ[Account Code]=TRIM(K454)),CsDJ[Debit]))</f>
        <v>0</v>
      </c>
      <c r="O454" s="89">
        <f t="array" ref="O454">SUM(IF((CsDJ[JEV Number]=TRIM($T439))*(CsDJ[Account Code]=TRIM(K454)),CsDJ[Credit]))</f>
        <v>0</v>
      </c>
      <c r="P454" s="1040">
        <f t="shared" si="38"/>
        <v>0</v>
      </c>
      <c r="Q454" s="1040"/>
      <c r="R454" s="1040"/>
      <c r="S454" s="1040">
        <f t="shared" si="39"/>
        <v>0</v>
      </c>
      <c r="T454" s="1040"/>
      <c r="U454" s="1040"/>
      <c r="V454" s="1041"/>
    </row>
    <row r="455" spans="1:22" x14ac:dyDescent="0.25">
      <c r="A455" s="1038"/>
      <c r="B455" s="1039"/>
      <c r="C455" s="1039"/>
      <c r="D455" s="1039"/>
      <c r="E455" s="1045" t="str">
        <f t="shared" si="36"/>
        <v/>
      </c>
      <c r="F455" s="1046"/>
      <c r="G455" s="1046"/>
      <c r="H455" s="1046"/>
      <c r="I455" s="1046"/>
      <c r="J455" s="1047"/>
      <c r="K455" s="133"/>
      <c r="L455" s="62" t="str">
        <f t="shared" si="37"/>
        <v/>
      </c>
      <c r="M455" s="14"/>
      <c r="N455" s="89">
        <f t="array" ref="N455">SUM(IF((CsDJ[JEV Number]=TRIM($T439))*(CsDJ[Account Code]=TRIM(K455)),CsDJ[Debit]))</f>
        <v>0</v>
      </c>
      <c r="O455" s="89">
        <f t="array" ref="O455">SUM(IF((CsDJ[JEV Number]=TRIM($T439))*(CsDJ[Account Code]=TRIM(K455)),CsDJ[Credit]))</f>
        <v>0</v>
      </c>
      <c r="P455" s="1040">
        <f t="shared" si="38"/>
        <v>0</v>
      </c>
      <c r="Q455" s="1040"/>
      <c r="R455" s="1040"/>
      <c r="S455" s="1040">
        <f t="shared" si="39"/>
        <v>0</v>
      </c>
      <c r="T455" s="1040"/>
      <c r="U455" s="1040"/>
      <c r="V455" s="1041"/>
    </row>
    <row r="456" spans="1:22" x14ac:dyDescent="0.25">
      <c r="A456" s="1038"/>
      <c r="B456" s="1039"/>
      <c r="C456" s="1039"/>
      <c r="D456" s="1039"/>
      <c r="E456" s="1045" t="str">
        <f t="shared" si="36"/>
        <v/>
      </c>
      <c r="F456" s="1046"/>
      <c r="G456" s="1046"/>
      <c r="H456" s="1046"/>
      <c r="I456" s="1046"/>
      <c r="J456" s="1047"/>
      <c r="K456" s="133"/>
      <c r="L456" s="62" t="str">
        <f t="shared" si="37"/>
        <v/>
      </c>
      <c r="M456" s="14"/>
      <c r="N456" s="89">
        <f t="array" ref="N456">SUM(IF((CsDJ[JEV Number]=TRIM($T439))*(CsDJ[Account Code]=TRIM(K456)),CsDJ[Debit]))</f>
        <v>0</v>
      </c>
      <c r="O456" s="89">
        <f t="array" ref="O456">SUM(IF((CsDJ[JEV Number]=TRIM($T439))*(CsDJ[Account Code]=TRIM(K456)),CsDJ[Credit]))</f>
        <v>0</v>
      </c>
      <c r="P456" s="1040">
        <f t="shared" si="38"/>
        <v>0</v>
      </c>
      <c r="Q456" s="1040"/>
      <c r="R456" s="1040"/>
      <c r="S456" s="1040">
        <f t="shared" si="39"/>
        <v>0</v>
      </c>
      <c r="T456" s="1040"/>
      <c r="U456" s="1040"/>
      <c r="V456" s="1041"/>
    </row>
    <row r="457" spans="1:22" x14ac:dyDescent="0.25">
      <c r="A457" s="1038"/>
      <c r="B457" s="1039"/>
      <c r="C457" s="1039"/>
      <c r="D457" s="1039"/>
      <c r="E457" s="1045" t="str">
        <f t="shared" si="36"/>
        <v/>
      </c>
      <c r="F457" s="1046"/>
      <c r="G457" s="1046"/>
      <c r="H457" s="1046"/>
      <c r="I457" s="1046"/>
      <c r="J457" s="1047"/>
      <c r="K457" s="133"/>
      <c r="L457" s="62" t="str">
        <f t="shared" si="37"/>
        <v/>
      </c>
      <c r="M457" s="14"/>
      <c r="N457" s="89">
        <f t="array" ref="N457">SUM(IF((CsDJ[JEV Number]=TRIM($T439))*(CsDJ[Account Code]=TRIM(K457)),CsDJ[Debit]))</f>
        <v>0</v>
      </c>
      <c r="O457" s="89">
        <f t="array" ref="O457">SUM(IF((CsDJ[JEV Number]=TRIM($T439))*(CsDJ[Account Code]=TRIM(K457)),CsDJ[Credit]))</f>
        <v>0</v>
      </c>
      <c r="P457" s="1040">
        <f t="shared" si="38"/>
        <v>0</v>
      </c>
      <c r="Q457" s="1040"/>
      <c r="R457" s="1040"/>
      <c r="S457" s="1040">
        <f t="shared" si="39"/>
        <v>0</v>
      </c>
      <c r="T457" s="1040"/>
      <c r="U457" s="1040"/>
      <c r="V457" s="1041"/>
    </row>
    <row r="458" spans="1:22" x14ac:dyDescent="0.25">
      <c r="A458" s="1038"/>
      <c r="B458" s="1039"/>
      <c r="C458" s="1039"/>
      <c r="D458" s="1039"/>
      <c r="E458" s="1045" t="str">
        <f t="shared" si="36"/>
        <v/>
      </c>
      <c r="F458" s="1046"/>
      <c r="G458" s="1046"/>
      <c r="H458" s="1046"/>
      <c r="I458" s="1046"/>
      <c r="J458" s="1047"/>
      <c r="K458" s="134"/>
      <c r="L458" s="62" t="str">
        <f t="shared" si="37"/>
        <v/>
      </c>
      <c r="M458" s="14"/>
      <c r="N458" s="89">
        <f t="array" ref="N458">SUM(IF((CsDJ[JEV Number]=TRIM($T439))*(CsDJ[Account Code]=TRIM(K458)),CsDJ[Debit]))</f>
        <v>0</v>
      </c>
      <c r="O458" s="89">
        <f t="array" ref="O458">SUM(IF((CsDJ[JEV Number]=TRIM($T439))*(CsDJ[Account Code]=TRIM(K458)),CsDJ[Credit]))</f>
        <v>0</v>
      </c>
      <c r="P458" s="1040">
        <f t="shared" si="38"/>
        <v>0</v>
      </c>
      <c r="Q458" s="1040"/>
      <c r="R458" s="1040"/>
      <c r="S458" s="1040">
        <f t="shared" si="39"/>
        <v>0</v>
      </c>
      <c r="T458" s="1040"/>
      <c r="U458" s="1040"/>
      <c r="V458" s="1041"/>
    </row>
    <row r="459" spans="1:22" x14ac:dyDescent="0.25">
      <c r="A459" s="1038"/>
      <c r="B459" s="1039"/>
      <c r="C459" s="1039"/>
      <c r="D459" s="1039"/>
      <c r="E459" s="1045" t="str">
        <f t="shared" si="36"/>
        <v/>
      </c>
      <c r="F459" s="1046"/>
      <c r="G459" s="1046"/>
      <c r="H459" s="1046"/>
      <c r="I459" s="1046"/>
      <c r="J459" s="1047"/>
      <c r="K459" s="134"/>
      <c r="L459" s="62" t="str">
        <f t="shared" si="37"/>
        <v/>
      </c>
      <c r="M459" s="14"/>
      <c r="N459" s="89">
        <f t="array" ref="N459">SUM(IF((CsDJ[JEV Number]=TRIM($T439))*(CsDJ[Account Code]=TRIM(K459)),CsDJ[Debit]))</f>
        <v>0</v>
      </c>
      <c r="O459" s="89">
        <f t="array" ref="O459">SUM(IF((CsDJ[JEV Number]=TRIM($T439))*(CsDJ[Account Code]=TRIM(K459)),CsDJ[Credit]))</f>
        <v>0</v>
      </c>
      <c r="P459" s="1040">
        <f t="shared" si="38"/>
        <v>0</v>
      </c>
      <c r="Q459" s="1040"/>
      <c r="R459" s="1040"/>
      <c r="S459" s="1040">
        <f t="shared" si="39"/>
        <v>0</v>
      </c>
      <c r="T459" s="1040"/>
      <c r="U459" s="1040"/>
      <c r="V459" s="1041"/>
    </row>
    <row r="460" spans="1:22" x14ac:dyDescent="0.25">
      <c r="A460" s="1038"/>
      <c r="B460" s="1039"/>
      <c r="C460" s="1039"/>
      <c r="D460" s="1039"/>
      <c r="E460" s="1045" t="str">
        <f t="shared" si="36"/>
        <v/>
      </c>
      <c r="F460" s="1046"/>
      <c r="G460" s="1046"/>
      <c r="H460" s="1046"/>
      <c r="I460" s="1046"/>
      <c r="J460" s="1047"/>
      <c r="K460" s="134"/>
      <c r="L460" s="62" t="str">
        <f t="shared" si="37"/>
        <v/>
      </c>
      <c r="M460" s="14"/>
      <c r="N460" s="89">
        <f t="array" ref="N460">SUM(IF((CsDJ[JEV Number]=TRIM($T439))*(CsDJ[Account Code]=TRIM(K460)),CsDJ[Debit]))</f>
        <v>0</v>
      </c>
      <c r="O460" s="89">
        <f t="array" ref="O460">SUM(IF((CsDJ[JEV Number]=TRIM($T439))*(CsDJ[Account Code]=TRIM(K460)),CsDJ[Credit]))</f>
        <v>0</v>
      </c>
      <c r="P460" s="1040">
        <f t="shared" si="38"/>
        <v>0</v>
      </c>
      <c r="Q460" s="1040"/>
      <c r="R460" s="1040"/>
      <c r="S460" s="1040">
        <f t="shared" si="39"/>
        <v>0</v>
      </c>
      <c r="T460" s="1040"/>
      <c r="U460" s="1040"/>
      <c r="V460" s="1041"/>
    </row>
    <row r="461" spans="1:22" x14ac:dyDescent="0.25">
      <c r="A461" s="1038"/>
      <c r="B461" s="1039"/>
      <c r="C461" s="1039"/>
      <c r="D461" s="1039"/>
      <c r="E461" s="1045" t="str">
        <f t="shared" si="36"/>
        <v/>
      </c>
      <c r="F461" s="1046"/>
      <c r="G461" s="1046"/>
      <c r="H461" s="1046"/>
      <c r="I461" s="1046"/>
      <c r="J461" s="1047"/>
      <c r="K461" s="134"/>
      <c r="L461" s="62" t="str">
        <f t="shared" si="37"/>
        <v/>
      </c>
      <c r="M461" s="14"/>
      <c r="N461" s="89">
        <f t="array" ref="N461">SUM(IF((CsDJ[JEV Number]=TRIM($T439))*(CsDJ[Account Code]=TRIM(K461)),CsDJ[Debit]))</f>
        <v>0</v>
      </c>
      <c r="O461" s="89">
        <f t="array" ref="O461">SUM(IF((CsDJ[JEV Number]=TRIM($T439))*(CsDJ[Account Code]=TRIM(K461)),CsDJ[Credit]))</f>
        <v>0</v>
      </c>
      <c r="P461" s="1040">
        <f t="shared" si="38"/>
        <v>0</v>
      </c>
      <c r="Q461" s="1040"/>
      <c r="R461" s="1040"/>
      <c r="S461" s="1040">
        <f t="shared" si="39"/>
        <v>0</v>
      </c>
      <c r="T461" s="1040"/>
      <c r="U461" s="1040"/>
      <c r="V461" s="1041"/>
    </row>
    <row r="462" spans="1:22" x14ac:dyDescent="0.25">
      <c r="A462" s="1038"/>
      <c r="B462" s="1039"/>
      <c r="C462" s="1039"/>
      <c r="D462" s="1039"/>
      <c r="E462" s="1045" t="str">
        <f t="shared" si="36"/>
        <v/>
      </c>
      <c r="F462" s="1046"/>
      <c r="G462" s="1046"/>
      <c r="H462" s="1046"/>
      <c r="I462" s="1046"/>
      <c r="J462" s="1047"/>
      <c r="K462" s="134"/>
      <c r="L462" s="62" t="str">
        <f t="shared" si="37"/>
        <v/>
      </c>
      <c r="M462" s="14"/>
      <c r="N462" s="89">
        <f t="array" ref="N462">SUM(IF((CsDJ[JEV Number]=TRIM($T439))*(CsDJ[Account Code]=TRIM(K462)),CsDJ[Debit]))</f>
        <v>0</v>
      </c>
      <c r="O462" s="89">
        <f t="array" ref="O462">SUM(IF((CsDJ[JEV Number]=TRIM($T439))*(CsDJ[Account Code]=TRIM(K462)),CsDJ[Credit]))</f>
        <v>0</v>
      </c>
      <c r="P462" s="1040">
        <f t="shared" si="38"/>
        <v>0</v>
      </c>
      <c r="Q462" s="1040"/>
      <c r="R462" s="1040"/>
      <c r="S462" s="1040">
        <f t="shared" si="39"/>
        <v>0</v>
      </c>
      <c r="T462" s="1040"/>
      <c r="U462" s="1040"/>
      <c r="V462" s="1041"/>
    </row>
    <row r="463" spans="1:22" x14ac:dyDescent="0.25">
      <c r="A463" s="1038"/>
      <c r="B463" s="1039"/>
      <c r="C463" s="1039"/>
      <c r="D463" s="1039"/>
      <c r="E463" s="1045" t="str">
        <f t="shared" si="36"/>
        <v/>
      </c>
      <c r="F463" s="1046"/>
      <c r="G463" s="1046"/>
      <c r="H463" s="1046"/>
      <c r="I463" s="1046"/>
      <c r="J463" s="1047"/>
      <c r="K463" s="134"/>
      <c r="L463" s="62" t="str">
        <f t="shared" si="37"/>
        <v/>
      </c>
      <c r="M463" s="14"/>
      <c r="N463" s="89">
        <f t="array" ref="N463">SUM(IF((CsDJ[JEV Number]=TRIM($T439))*(CsDJ[Account Code]=TRIM(K463)),CsDJ[Debit]))</f>
        <v>0</v>
      </c>
      <c r="O463" s="89">
        <f t="array" ref="O463">SUM(IF((CsDJ[JEV Number]=TRIM($T439))*(CsDJ[Account Code]=TRIM(K463)),CsDJ[Credit]))</f>
        <v>0</v>
      </c>
      <c r="P463" s="1040">
        <f t="shared" si="38"/>
        <v>0</v>
      </c>
      <c r="Q463" s="1040"/>
      <c r="R463" s="1040"/>
      <c r="S463" s="1040">
        <f t="shared" si="39"/>
        <v>0</v>
      </c>
      <c r="T463" s="1040"/>
      <c r="U463" s="1040"/>
      <c r="V463" s="1041"/>
    </row>
    <row r="464" spans="1:22" x14ac:dyDescent="0.25">
      <c r="A464" s="1038"/>
      <c r="B464" s="1039"/>
      <c r="C464" s="1039"/>
      <c r="D464" s="1039"/>
      <c r="E464" s="1045" t="str">
        <f t="shared" si="36"/>
        <v/>
      </c>
      <c r="F464" s="1046"/>
      <c r="G464" s="1046"/>
      <c r="H464" s="1046"/>
      <c r="I464" s="1046"/>
      <c r="J464" s="1047"/>
      <c r="K464" s="134"/>
      <c r="L464" s="62" t="str">
        <f t="shared" si="37"/>
        <v/>
      </c>
      <c r="M464" s="14"/>
      <c r="N464" s="89">
        <f t="array" ref="N464">SUM(IF((CsDJ[JEV Number]=TRIM($T439))*(CsDJ[Account Code]=TRIM(K464)),CsDJ[Debit]))</f>
        <v>0</v>
      </c>
      <c r="O464" s="89">
        <f t="array" ref="O464">SUM(IF((CsDJ[JEV Number]=TRIM($T439))*(CsDJ[Account Code]=TRIM(K464)),CsDJ[Credit]))</f>
        <v>0</v>
      </c>
      <c r="P464" s="1040">
        <f t="shared" si="38"/>
        <v>0</v>
      </c>
      <c r="Q464" s="1040"/>
      <c r="R464" s="1040"/>
      <c r="S464" s="1040">
        <f t="shared" si="39"/>
        <v>0</v>
      </c>
      <c r="T464" s="1040"/>
      <c r="U464" s="1040"/>
      <c r="V464" s="1041"/>
    </row>
    <row r="465" spans="1:22" x14ac:dyDescent="0.25">
      <c r="A465" s="1038"/>
      <c r="B465" s="1039"/>
      <c r="C465" s="1039"/>
      <c r="D465" s="1039"/>
      <c r="E465" s="1045" t="str">
        <f t="shared" si="36"/>
        <v/>
      </c>
      <c r="F465" s="1046"/>
      <c r="G465" s="1046"/>
      <c r="H465" s="1046"/>
      <c r="I465" s="1046"/>
      <c r="J465" s="1047"/>
      <c r="K465" s="134"/>
      <c r="L465" s="62" t="str">
        <f t="shared" si="37"/>
        <v/>
      </c>
      <c r="M465" s="14"/>
      <c r="N465" s="89">
        <f t="array" ref="N465">SUM(IF((CsDJ[JEV Number]=TRIM($T439))*(CsDJ[Account Code]=TRIM(K465)),CsDJ[Debit]))</f>
        <v>0</v>
      </c>
      <c r="O465" s="89">
        <f t="array" ref="O465">SUM(IF((CsDJ[JEV Number]=TRIM($T439))*(CsDJ[Account Code]=TRIM(K465)),CsDJ[Credit]))</f>
        <v>0</v>
      </c>
      <c r="P465" s="1040">
        <f t="shared" si="38"/>
        <v>0</v>
      </c>
      <c r="Q465" s="1040"/>
      <c r="R465" s="1040"/>
      <c r="S465" s="1040">
        <f t="shared" si="39"/>
        <v>0</v>
      </c>
      <c r="T465" s="1040"/>
      <c r="U465" s="1040"/>
      <c r="V465" s="1041"/>
    </row>
    <row r="466" spans="1:22" x14ac:dyDescent="0.25">
      <c r="A466" s="1038"/>
      <c r="B466" s="1039"/>
      <c r="C466" s="1039"/>
      <c r="D466" s="1039"/>
      <c r="E466" s="1045" t="str">
        <f t="shared" si="36"/>
        <v/>
      </c>
      <c r="F466" s="1046"/>
      <c r="G466" s="1046"/>
      <c r="H466" s="1046"/>
      <c r="I466" s="1046"/>
      <c r="J466" s="1047"/>
      <c r="K466" s="134"/>
      <c r="L466" s="62" t="str">
        <f t="shared" si="37"/>
        <v/>
      </c>
      <c r="M466" s="14"/>
      <c r="N466" s="89">
        <f t="array" ref="N466">SUM(IF((CsDJ[JEV Number]=TRIM($T439))*(CsDJ[Account Code]=TRIM(K466)),CsDJ[Debit]))</f>
        <v>0</v>
      </c>
      <c r="O466" s="89">
        <f t="array" ref="O466">SUM(IF((CsDJ[JEV Number]=TRIM($T439))*(CsDJ[Account Code]=TRIM(K466)),CsDJ[Credit]))</f>
        <v>0</v>
      </c>
      <c r="P466" s="1040">
        <f t="shared" si="38"/>
        <v>0</v>
      </c>
      <c r="Q466" s="1040"/>
      <c r="R466" s="1040"/>
      <c r="S466" s="1040">
        <f t="shared" si="39"/>
        <v>0</v>
      </c>
      <c r="T466" s="1040"/>
      <c r="U466" s="1040"/>
      <c r="V466" s="1041"/>
    </row>
    <row r="467" spans="1:22" x14ac:dyDescent="0.25">
      <c r="A467" s="1038"/>
      <c r="B467" s="1039"/>
      <c r="C467" s="1039"/>
      <c r="D467" s="1039"/>
      <c r="E467" s="1045" t="str">
        <f t="shared" si="36"/>
        <v/>
      </c>
      <c r="F467" s="1046"/>
      <c r="G467" s="1046"/>
      <c r="H467" s="1046"/>
      <c r="I467" s="1046"/>
      <c r="J467" s="1047"/>
      <c r="K467" s="134"/>
      <c r="L467" s="62" t="str">
        <f t="shared" si="37"/>
        <v/>
      </c>
      <c r="M467" s="14"/>
      <c r="N467" s="89">
        <f t="array" ref="N467">SUM(IF((CsDJ[JEV Number]=TRIM($T439))*(CsDJ[Account Code]=TRIM(K467)),CsDJ[Debit]))</f>
        <v>0</v>
      </c>
      <c r="O467" s="89">
        <f t="array" ref="O467">SUM(IF((CsDJ[JEV Number]=TRIM($T439))*(CsDJ[Account Code]=TRIM(K467)),CsDJ[Credit]))</f>
        <v>0</v>
      </c>
      <c r="P467" s="1040">
        <f t="shared" si="38"/>
        <v>0</v>
      </c>
      <c r="Q467" s="1040"/>
      <c r="R467" s="1040"/>
      <c r="S467" s="1040">
        <f t="shared" si="39"/>
        <v>0</v>
      </c>
      <c r="T467" s="1040"/>
      <c r="U467" s="1040"/>
      <c r="V467" s="1041"/>
    </row>
    <row r="468" spans="1:22" x14ac:dyDescent="0.25">
      <c r="A468" s="1038"/>
      <c r="B468" s="1039"/>
      <c r="C468" s="1039"/>
      <c r="D468" s="1039"/>
      <c r="E468" s="1045" t="str">
        <f t="shared" si="36"/>
        <v/>
      </c>
      <c r="F468" s="1046"/>
      <c r="G468" s="1046"/>
      <c r="H468" s="1046"/>
      <c r="I468" s="1046"/>
      <c r="J468" s="1047"/>
      <c r="K468" s="134"/>
      <c r="L468" s="62" t="str">
        <f t="shared" si="37"/>
        <v/>
      </c>
      <c r="M468" s="14"/>
      <c r="N468" s="89">
        <f t="array" ref="N468">SUM(IF((CsDJ[JEV Number]=TRIM($T439))*(CsDJ[Account Code]=TRIM(K468)),CsDJ[Debit]))</f>
        <v>0</v>
      </c>
      <c r="O468" s="89">
        <f t="array" ref="O468">SUM(IF((CsDJ[JEV Number]=TRIM($T439))*(CsDJ[Account Code]=TRIM(K468)),CsDJ[Credit]))</f>
        <v>0</v>
      </c>
      <c r="P468" s="1040">
        <f t="shared" si="38"/>
        <v>0</v>
      </c>
      <c r="Q468" s="1040"/>
      <c r="R468" s="1040"/>
      <c r="S468" s="1040">
        <f t="shared" si="39"/>
        <v>0</v>
      </c>
      <c r="T468" s="1040"/>
      <c r="U468" s="1040"/>
      <c r="V468" s="1041"/>
    </row>
    <row r="469" spans="1:22" x14ac:dyDescent="0.25">
      <c r="A469" s="1038"/>
      <c r="B469" s="1039"/>
      <c r="C469" s="1039"/>
      <c r="D469" s="1039"/>
      <c r="E469" s="1045" t="str">
        <f t="shared" si="36"/>
        <v/>
      </c>
      <c r="F469" s="1046"/>
      <c r="G469" s="1046"/>
      <c r="H469" s="1046"/>
      <c r="I469" s="1046"/>
      <c r="J469" s="1047"/>
      <c r="K469" s="134"/>
      <c r="L469" s="62" t="str">
        <f t="shared" si="37"/>
        <v/>
      </c>
      <c r="M469" s="14"/>
      <c r="N469" s="89">
        <f t="array" ref="N469">SUM(IF((CsDJ[JEV Number]=TRIM($T439))*(CsDJ[Account Code]=TRIM(K469)),CsDJ[Debit]))</f>
        <v>0</v>
      </c>
      <c r="O469" s="89">
        <f t="array" ref="O469">SUM(IF((CsDJ[JEV Number]=TRIM($T439))*(CsDJ[Account Code]=TRIM(K469)),CsDJ[Credit]))</f>
        <v>0</v>
      </c>
      <c r="P469" s="1040">
        <f t="shared" si="38"/>
        <v>0</v>
      </c>
      <c r="Q469" s="1040"/>
      <c r="R469" s="1040"/>
      <c r="S469" s="1040">
        <f t="shared" si="39"/>
        <v>0</v>
      </c>
      <c r="T469" s="1040"/>
      <c r="U469" s="1040"/>
      <c r="V469" s="1041"/>
    </row>
    <row r="470" spans="1:22" x14ac:dyDescent="0.25">
      <c r="A470" s="1038"/>
      <c r="B470" s="1039"/>
      <c r="C470" s="1039"/>
      <c r="D470" s="1039"/>
      <c r="E470" s="1045" t="str">
        <f t="shared" si="36"/>
        <v/>
      </c>
      <c r="F470" s="1046"/>
      <c r="G470" s="1046"/>
      <c r="H470" s="1046"/>
      <c r="I470" s="1046"/>
      <c r="J470" s="1047"/>
      <c r="K470" s="134"/>
      <c r="L470" s="62" t="str">
        <f t="shared" si="37"/>
        <v/>
      </c>
      <c r="M470" s="14"/>
      <c r="N470" s="89">
        <f t="array" ref="N470">SUM(IF((CsDJ[JEV Number]=TRIM($T439))*(CsDJ[Account Code]=TRIM(K470)),CsDJ[Debit]))</f>
        <v>0</v>
      </c>
      <c r="O470" s="89">
        <f t="array" ref="O470">SUM(IF((CsDJ[JEV Number]=TRIM($T439))*(CsDJ[Account Code]=TRIM(K470)),CsDJ[Credit]))</f>
        <v>0</v>
      </c>
      <c r="P470" s="1040">
        <f t="shared" si="38"/>
        <v>0</v>
      </c>
      <c r="Q470" s="1040"/>
      <c r="R470" s="1040"/>
      <c r="S470" s="1040">
        <f t="shared" si="39"/>
        <v>0</v>
      </c>
      <c r="T470" s="1040"/>
      <c r="U470" s="1040"/>
      <c r="V470" s="1041"/>
    </row>
    <row r="471" spans="1:22" x14ac:dyDescent="0.25">
      <c r="A471" s="1038"/>
      <c r="B471" s="1039"/>
      <c r="C471" s="1039"/>
      <c r="D471" s="1039"/>
      <c r="E471" s="1045" t="str">
        <f t="shared" si="36"/>
        <v/>
      </c>
      <c r="F471" s="1046"/>
      <c r="G471" s="1046"/>
      <c r="H471" s="1046"/>
      <c r="I471" s="1046"/>
      <c r="J471" s="1047"/>
      <c r="K471" s="134"/>
      <c r="L471" s="62" t="str">
        <f t="shared" si="37"/>
        <v/>
      </c>
      <c r="M471" s="14"/>
      <c r="N471" s="89">
        <f t="array" ref="N471">SUM(IF((CsDJ[JEV Number]=TRIM($T439))*(CsDJ[Account Code]=TRIM(K471)),CsDJ[Debit]))</f>
        <v>0</v>
      </c>
      <c r="O471" s="89">
        <f t="array" ref="O471">SUM(IF((CsDJ[JEV Number]=TRIM($T439))*(CsDJ[Account Code]=TRIM(K471)),CsDJ[Credit]))</f>
        <v>0</v>
      </c>
      <c r="P471" s="1040">
        <f t="shared" si="38"/>
        <v>0</v>
      </c>
      <c r="Q471" s="1040"/>
      <c r="R471" s="1040"/>
      <c r="S471" s="1040">
        <f t="shared" si="39"/>
        <v>0</v>
      </c>
      <c r="T471" s="1040"/>
      <c r="U471" s="1040"/>
      <c r="V471" s="1041"/>
    </row>
    <row r="472" spans="1:22" x14ac:dyDescent="0.25">
      <c r="A472" s="1038"/>
      <c r="B472" s="1039"/>
      <c r="C472" s="1039"/>
      <c r="D472" s="1039"/>
      <c r="E472" s="1045" t="str">
        <f t="shared" si="36"/>
        <v/>
      </c>
      <c r="F472" s="1046"/>
      <c r="G472" s="1046"/>
      <c r="H472" s="1046"/>
      <c r="I472" s="1046"/>
      <c r="J472" s="1047"/>
      <c r="K472" s="134"/>
      <c r="L472" s="62" t="str">
        <f t="shared" si="37"/>
        <v/>
      </c>
      <c r="M472" s="14"/>
      <c r="N472" s="89">
        <f t="array" ref="N472">SUM(IF((CsDJ[JEV Number]=TRIM($T439))*(CsDJ[Account Code]=TRIM(K472)),CsDJ[Debit]))</f>
        <v>0</v>
      </c>
      <c r="O472" s="89">
        <f t="array" ref="O472">SUM(IF((CsDJ[JEV Number]=TRIM($T439))*(CsDJ[Account Code]=TRIM(K472)),CsDJ[Credit]))</f>
        <v>0</v>
      </c>
      <c r="P472" s="1040">
        <f t="shared" si="38"/>
        <v>0</v>
      </c>
      <c r="Q472" s="1040"/>
      <c r="R472" s="1040"/>
      <c r="S472" s="1040">
        <f t="shared" si="39"/>
        <v>0</v>
      </c>
      <c r="T472" s="1040"/>
      <c r="U472" s="1040"/>
      <c r="V472" s="1041"/>
    </row>
    <row r="473" spans="1:22" x14ac:dyDescent="0.25">
      <c r="A473" s="1038"/>
      <c r="B473" s="1039"/>
      <c r="C473" s="1039"/>
      <c r="D473" s="1039"/>
      <c r="E473" s="1108" t="s">
        <v>468</v>
      </c>
      <c r="F473" s="1109"/>
      <c r="G473" s="1109"/>
      <c r="H473" s="1109"/>
      <c r="I473" s="1109"/>
      <c r="J473" s="1110"/>
      <c r="K473" s="133"/>
      <c r="L473" s="62" t="str">
        <f t="shared" si="37"/>
        <v/>
      </c>
      <c r="M473" s="14"/>
      <c r="N473" s="89">
        <f t="array" ref="N473">SUM(IF((CsDJ[JEV Number]=TRIM($T439))*(CsDJ[Account Code]=TRIM(K473)),CsDJ[Debit]))</f>
        <v>0</v>
      </c>
      <c r="O473" s="89">
        <f t="array" ref="O473">SUM(IF((CsDJ[JEV Number]=TRIM($T439))*(CsDJ[Account Code]=TRIM(K473)),CsDJ[Credit]))</f>
        <v>0</v>
      </c>
      <c r="P473" s="1040">
        <f t="shared" si="38"/>
        <v>0</v>
      </c>
      <c r="Q473" s="1040"/>
      <c r="R473" s="1040"/>
      <c r="S473" s="1040">
        <f t="shared" si="39"/>
        <v>0</v>
      </c>
      <c r="T473" s="1040"/>
      <c r="U473" s="1040"/>
      <c r="V473" s="1041"/>
    </row>
    <row r="474" spans="1:22" x14ac:dyDescent="0.25">
      <c r="A474" s="1038"/>
      <c r="B474" s="1039"/>
      <c r="C474" s="1039"/>
      <c r="D474" s="1039"/>
      <c r="E474" s="1048" t="s">
        <v>457</v>
      </c>
      <c r="F474" s="1049"/>
      <c r="G474" s="1049"/>
      <c r="H474" s="1049"/>
      <c r="I474" s="1051">
        <f>T440</f>
        <v>0</v>
      </c>
      <c r="J474" s="1052"/>
      <c r="K474" s="133"/>
      <c r="L474" s="62" t="str">
        <f t="shared" si="37"/>
        <v/>
      </c>
      <c r="M474" s="14"/>
      <c r="N474" s="89">
        <f t="array" ref="N474">SUM(IF((CsDJ[JEV Number]=TRIM($T439))*(CsDJ[Account Code]=TRIM(K474)),CsDJ[Debit]))</f>
        <v>0</v>
      </c>
      <c r="O474" s="89">
        <f t="array" ref="O474">SUM(IF((CsDJ[JEV Number]=TRIM($T439))*(CsDJ[Account Code]=TRIM(K474)),CsDJ[Credit]))</f>
        <v>0</v>
      </c>
      <c r="P474" s="1040">
        <f t="shared" si="38"/>
        <v>0</v>
      </c>
      <c r="Q474" s="1040"/>
      <c r="R474" s="1040"/>
      <c r="S474" s="1040">
        <f t="shared" si="39"/>
        <v>0</v>
      </c>
      <c r="T474" s="1040"/>
      <c r="U474" s="1040"/>
      <c r="V474" s="1041"/>
    </row>
    <row r="475" spans="1:22" x14ac:dyDescent="0.25">
      <c r="A475" s="1038"/>
      <c r="B475" s="1039"/>
      <c r="C475" s="1039"/>
      <c r="D475" s="1039"/>
      <c r="E475" s="1048" t="s">
        <v>458</v>
      </c>
      <c r="F475" s="1049"/>
      <c r="G475" s="1049"/>
      <c r="H475" s="1049"/>
      <c r="I475" s="1106">
        <f>IF(T439=0,0,(IF(LOOKUP(T439,CsDJ[JEV Number],CsDJ[Sort Code])="1","MA. VIVIAN C. SALAS",IF(LOOKUP(T439,CsDJ[JEV Number],CsDJ[Sort Code])="2","LUZ R. DE COZAR",IF(LOOKUP(T439,CsDJ[JEV Number],CsDJ[Sort Code])="3","MINEONETTE A. DELA CRUZ",IF(LOOKUP(T439,CsDJ[JEV Number],CsDJ[Sort Code])="4","RESELLA B. LOPEZ"))))))</f>
        <v>0</v>
      </c>
      <c r="J475" s="1107"/>
      <c r="K475" s="133"/>
      <c r="L475" s="62" t="str">
        <f t="shared" si="37"/>
        <v/>
      </c>
      <c r="M475" s="14"/>
      <c r="N475" s="89">
        <f t="array" ref="N475">SUM(IF((CsDJ[JEV Number]=TRIM($T439))*(CsDJ[Account Code]=TRIM(K475)),CsDJ[Debit]))</f>
        <v>0</v>
      </c>
      <c r="O475" s="89">
        <f t="array" ref="O475">SUM(IF((CsDJ[JEV Number]=TRIM($T439))*(CsDJ[Account Code]=TRIM(K475)),CsDJ[Credit]))</f>
        <v>0</v>
      </c>
      <c r="P475" s="1040">
        <f t="shared" si="38"/>
        <v>0</v>
      </c>
      <c r="Q475" s="1040"/>
      <c r="R475" s="1040"/>
      <c r="S475" s="1040">
        <f t="shared" si="39"/>
        <v>0</v>
      </c>
      <c r="T475" s="1040"/>
      <c r="U475" s="1040"/>
      <c r="V475" s="1041"/>
    </row>
    <row r="476" spans="1:22" x14ac:dyDescent="0.25">
      <c r="A476" s="1038"/>
      <c r="B476" s="1039"/>
      <c r="C476" s="1039"/>
      <c r="D476" s="1039"/>
      <c r="E476" s="1048" t="s">
        <v>459</v>
      </c>
      <c r="F476" s="1049"/>
      <c r="G476" s="1049"/>
      <c r="H476" s="1049"/>
      <c r="I476" s="1043">
        <f>IF(I475="Ma. Vivian C. Salas","Regional Office", IF(I475="Luz R. De Cozar","BANE IMO", IF(I475="Mineonette A. Dela Cruz","PAMBAT IMO", IF(I475="Resella B. Lopez","TARZAM IMO",0))))</f>
        <v>0</v>
      </c>
      <c r="J476" s="1044"/>
      <c r="K476" s="133"/>
      <c r="L476" s="62" t="str">
        <f t="shared" si="37"/>
        <v/>
      </c>
      <c r="M476" s="14"/>
      <c r="N476" s="89">
        <f t="array" ref="N476">SUM(IF((CsDJ[JEV Number]=TRIM($T439))*(CsDJ[Account Code]=TRIM(K476)),CsDJ[Debit]))</f>
        <v>0</v>
      </c>
      <c r="O476" s="89">
        <f t="array" ref="O476">SUM(IF((CsDJ[JEV Number]=TRIM($T439))*(CsDJ[Account Code]=TRIM(K476)),CsDJ[Credit]))</f>
        <v>0</v>
      </c>
      <c r="P476" s="1040">
        <f t="shared" si="38"/>
        <v>0</v>
      </c>
      <c r="Q476" s="1040"/>
      <c r="R476" s="1040"/>
      <c r="S476" s="1040">
        <f t="shared" si="39"/>
        <v>0</v>
      </c>
      <c r="T476" s="1040"/>
      <c r="U476" s="1040"/>
      <c r="V476" s="1041"/>
    </row>
    <row r="477" spans="1:22" x14ac:dyDescent="0.25">
      <c r="A477" s="1038"/>
      <c r="B477" s="1039"/>
      <c r="C477" s="1039"/>
      <c r="D477" s="1039"/>
      <c r="E477" s="1048"/>
      <c r="F477" s="1049"/>
      <c r="G477" s="1049"/>
      <c r="H477" s="1049"/>
      <c r="I477" s="1049"/>
      <c r="J477" s="1050"/>
      <c r="K477" s="133"/>
      <c r="L477" s="62" t="str">
        <f t="shared" si="37"/>
        <v/>
      </c>
      <c r="M477" s="14"/>
      <c r="N477" s="89">
        <f t="array" ref="N477">SUM(IF((CsDJ[JEV Number]=TRIM($T439))*(CsDJ[Account Code]=TRIM(K477)),CsDJ[Debit]))</f>
        <v>0</v>
      </c>
      <c r="O477" s="89">
        <f t="array" ref="O477">SUM(IF((CsDJ[JEV Number]=TRIM($T439))*(CsDJ[Account Code]=TRIM(K477)),CsDJ[Credit]))</f>
        <v>0</v>
      </c>
      <c r="P477" s="1040">
        <f t="shared" si="38"/>
        <v>0</v>
      </c>
      <c r="Q477" s="1040"/>
      <c r="R477" s="1040"/>
      <c r="S477" s="1040">
        <f t="shared" si="39"/>
        <v>0</v>
      </c>
      <c r="T477" s="1040"/>
      <c r="U477" s="1040"/>
      <c r="V477" s="1041"/>
    </row>
    <row r="478" spans="1:22" ht="16.5" thickBot="1" x14ac:dyDescent="0.3">
      <c r="A478" s="1091"/>
      <c r="B478" s="1092"/>
      <c r="C478" s="1092"/>
      <c r="D478" s="1092"/>
      <c r="E478" s="1092"/>
      <c r="F478" s="1092"/>
      <c r="G478" s="1092"/>
      <c r="H478" s="1092"/>
      <c r="I478" s="1092"/>
      <c r="J478" s="1092"/>
      <c r="K478" s="1092"/>
      <c r="L478" s="1092"/>
      <c r="M478" s="1093"/>
      <c r="N478" s="88"/>
      <c r="O478" s="88"/>
      <c r="P478" s="1094">
        <f>SUM(P448:R477)</f>
        <v>0</v>
      </c>
      <c r="Q478" s="1094"/>
      <c r="R478" s="1094"/>
      <c r="S478" s="1094">
        <f>SUM(S448:V477)</f>
        <v>0</v>
      </c>
      <c r="T478" s="1094"/>
      <c r="U478" s="1094"/>
      <c r="V478" s="1095"/>
    </row>
    <row r="479" spans="1:22" x14ac:dyDescent="0.25">
      <c r="A479" s="63"/>
      <c r="B479" s="64"/>
      <c r="C479" s="64"/>
      <c r="D479" s="64"/>
      <c r="E479" s="64"/>
      <c r="F479" s="64"/>
      <c r="G479" s="64"/>
      <c r="H479" s="64"/>
      <c r="I479" s="65"/>
      <c r="J479" s="64"/>
      <c r="K479" s="66"/>
      <c r="L479" s="64"/>
      <c r="M479" s="65"/>
      <c r="N479" s="64"/>
      <c r="O479" s="64"/>
      <c r="P479" s="1090"/>
      <c r="Q479" s="1090"/>
      <c r="R479" s="1090"/>
      <c r="S479" s="1090"/>
      <c r="T479" s="1090"/>
      <c r="U479" s="1090"/>
      <c r="V479" s="1096"/>
    </row>
    <row r="480" spans="1:22" x14ac:dyDescent="0.25">
      <c r="A480" s="67" t="s">
        <v>460</v>
      </c>
      <c r="B480"/>
      <c r="C480"/>
      <c r="D480"/>
      <c r="E480"/>
      <c r="F480"/>
      <c r="G480"/>
      <c r="H480"/>
      <c r="I480" s="68" t="s">
        <v>353</v>
      </c>
      <c r="J480" s="69"/>
      <c r="K480" s="69"/>
      <c r="L480"/>
      <c r="M480" s="68" t="s">
        <v>461</v>
      </c>
      <c r="N480" s="69"/>
      <c r="O480" s="69"/>
      <c r="P480" s="70"/>
      <c r="Q480" s="70"/>
      <c r="R480" s="70"/>
      <c r="S480" s="70"/>
      <c r="T480" s="70"/>
      <c r="U480" s="70"/>
      <c r="V480" s="71"/>
    </row>
    <row r="481" spans="1:22" x14ac:dyDescent="0.25">
      <c r="A481" s="37"/>
      <c r="B481"/>
      <c r="C481"/>
      <c r="D481"/>
      <c r="E481"/>
      <c r="F481"/>
      <c r="G481"/>
      <c r="H481"/>
      <c r="I481" s="72"/>
      <c r="J481"/>
      <c r="K481"/>
      <c r="L481"/>
      <c r="M481" s="72"/>
      <c r="N481"/>
      <c r="O481"/>
      <c r="P481"/>
      <c r="Q481"/>
      <c r="R481"/>
      <c r="S481"/>
      <c r="T481"/>
      <c r="U481"/>
      <c r="V481" s="73"/>
    </row>
    <row r="482" spans="1:22" x14ac:dyDescent="0.25">
      <c r="A482" s="74" t="s">
        <v>462</v>
      </c>
      <c r="B482" s="75"/>
      <c r="C482" s="75"/>
      <c r="D482" s="75"/>
      <c r="E482" s="75"/>
      <c r="F482" s="75"/>
      <c r="G482" s="75"/>
      <c r="H482" s="76"/>
      <c r="I482" s="77" t="s">
        <v>380</v>
      </c>
      <c r="J482" s="75"/>
      <c r="K482" s="75"/>
      <c r="L482" s="76"/>
      <c r="M482" s="77" t="s">
        <v>3</v>
      </c>
      <c r="N482" s="75"/>
      <c r="O482" s="75"/>
      <c r="P482" s="75"/>
      <c r="Q482" s="75"/>
      <c r="R482" s="75"/>
      <c r="S482" s="75"/>
      <c r="T482" s="75"/>
      <c r="U482" s="75"/>
      <c r="V482" s="78"/>
    </row>
    <row r="483" spans="1:22" x14ac:dyDescent="0.25">
      <c r="A483" s="79" t="s">
        <v>463</v>
      </c>
      <c r="B483" s="80"/>
      <c r="C483" s="80"/>
      <c r="D483" s="80"/>
      <c r="E483" s="80"/>
      <c r="F483" s="80"/>
      <c r="G483" s="80"/>
      <c r="H483" s="80"/>
      <c r="I483" s="81" t="s">
        <v>381</v>
      </c>
      <c r="J483" s="80"/>
      <c r="K483" s="80"/>
      <c r="L483" s="80"/>
      <c r="M483" s="81" t="s">
        <v>464</v>
      </c>
      <c r="N483" s="80"/>
      <c r="O483" s="80"/>
      <c r="P483" s="82"/>
      <c r="Q483" s="82"/>
      <c r="R483" s="82"/>
      <c r="S483" s="82"/>
      <c r="T483" s="82"/>
      <c r="U483" s="82"/>
      <c r="V483" s="83"/>
    </row>
    <row r="484" spans="1:22" ht="16.5" thickBot="1" x14ac:dyDescent="0.3">
      <c r="A484" s="84" t="s">
        <v>465</v>
      </c>
      <c r="B484" s="43"/>
      <c r="C484" s="43"/>
      <c r="D484" s="43"/>
      <c r="E484" s="43"/>
      <c r="F484" s="43"/>
      <c r="G484" s="43"/>
      <c r="H484" s="43"/>
      <c r="I484" s="85"/>
      <c r="J484" s="43"/>
      <c r="K484" s="43"/>
      <c r="L484" s="43"/>
      <c r="M484" s="85"/>
      <c r="N484" s="43"/>
      <c r="O484" s="43"/>
      <c r="P484" s="43"/>
      <c r="Q484" s="43"/>
      <c r="R484" s="43"/>
      <c r="S484" s="43"/>
      <c r="T484" s="43"/>
      <c r="U484" s="43"/>
      <c r="V484" s="44"/>
    </row>
    <row r="485" spans="1:22" ht="22.5" x14ac:dyDescent="0.25">
      <c r="A485" s="31" t="s">
        <v>441</v>
      </c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3"/>
      <c r="R485" s="1053">
        <f>+P525-S525</f>
        <v>0</v>
      </c>
      <c r="S485" s="1054"/>
      <c r="T485" s="1054"/>
      <c r="U485" s="1054"/>
      <c r="V485" s="1055"/>
    </row>
    <row r="486" spans="1:22" x14ac:dyDescent="0.25">
      <c r="A486" s="34" t="s">
        <v>442</v>
      </c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6"/>
      <c r="R486" s="37" t="s">
        <v>443</v>
      </c>
      <c r="S486"/>
      <c r="T486" s="1056"/>
      <c r="U486" s="1056"/>
      <c r="V486" s="1057"/>
    </row>
    <row r="487" spans="1:22" x14ac:dyDescent="0.25">
      <c r="A487" s="38" t="s">
        <v>444</v>
      </c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6"/>
      <c r="R487" s="37" t="s">
        <v>0</v>
      </c>
      <c r="S487"/>
      <c r="T487" s="1058">
        <f>IF(T486=0,0,(LOOKUP(T486,CsDJ[JEV Number],CsDJ[Date])))</f>
        <v>0</v>
      </c>
      <c r="U487" s="1058"/>
      <c r="V487" s="1059"/>
    </row>
    <row r="488" spans="1:22" ht="16.5" thickBot="1" x14ac:dyDescent="0.3">
      <c r="A488" s="39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1"/>
      <c r="R488" s="42"/>
      <c r="S488" s="43"/>
      <c r="T488" s="43"/>
      <c r="U488" s="43"/>
      <c r="V488" s="44"/>
    </row>
    <row r="489" spans="1:22" x14ac:dyDescent="0.25">
      <c r="A489" s="45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7"/>
      <c r="M489" s="46"/>
      <c r="N489" s="46"/>
      <c r="O489" s="46"/>
      <c r="P489" s="46"/>
      <c r="Q489" s="46"/>
      <c r="R489" s="46"/>
      <c r="S489" s="46"/>
      <c r="T489" s="46"/>
      <c r="U489" s="46"/>
      <c r="V489" s="48"/>
    </row>
    <row r="490" spans="1:22" x14ac:dyDescent="0.25">
      <c r="A490" s="49"/>
      <c r="B490" s="1060"/>
      <c r="C490" s="1060"/>
      <c r="D490" s="50" t="s">
        <v>445</v>
      </c>
      <c r="H490" s="51"/>
      <c r="I490" s="25" t="s">
        <v>447</v>
      </c>
      <c r="J490" s="132" t="s">
        <v>446</v>
      </c>
      <c r="K490" s="52" t="s">
        <v>448</v>
      </c>
      <c r="L490" s="52"/>
      <c r="Q490" s="1060"/>
      <c r="R490" s="1060"/>
      <c r="S490" s="50" t="s">
        <v>449</v>
      </c>
      <c r="T490" s="50"/>
      <c r="U490" s="50"/>
      <c r="V490" s="53"/>
    </row>
    <row r="491" spans="1:22" ht="16.5" thickBot="1" x14ac:dyDescent="0.3">
      <c r="A491" s="54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6"/>
      <c r="M491" s="55"/>
      <c r="N491" s="55"/>
      <c r="O491" s="55"/>
      <c r="P491" s="55"/>
      <c r="Q491" s="55"/>
      <c r="R491" s="55"/>
      <c r="S491" s="55"/>
      <c r="T491" s="55"/>
      <c r="U491" s="55"/>
      <c r="V491" s="57"/>
    </row>
    <row r="492" spans="1:22" x14ac:dyDescent="0.25">
      <c r="A492" s="1061" t="s">
        <v>397</v>
      </c>
      <c r="B492" s="1062"/>
      <c r="C492" s="1062"/>
      <c r="D492" s="1063"/>
      <c r="E492" s="1070" t="s">
        <v>450</v>
      </c>
      <c r="F492" s="1070"/>
      <c r="G492" s="1070"/>
      <c r="H492" s="1070"/>
      <c r="I492" s="1070"/>
      <c r="J492" s="1070"/>
      <c r="K492" s="1070"/>
      <c r="L492" s="1070"/>
      <c r="M492" s="1070"/>
      <c r="N492" s="1070"/>
      <c r="O492" s="1070"/>
      <c r="P492" s="1070"/>
      <c r="Q492" s="1070"/>
      <c r="R492" s="1070"/>
      <c r="S492" s="1070"/>
      <c r="T492" s="1070"/>
      <c r="U492" s="1070"/>
      <c r="V492" s="1071"/>
    </row>
    <row r="493" spans="1:22" x14ac:dyDescent="0.25">
      <c r="A493" s="1064"/>
      <c r="B493" s="1065"/>
      <c r="C493" s="1065"/>
      <c r="D493" s="1066"/>
      <c r="E493" s="1072" t="s">
        <v>451</v>
      </c>
      <c r="F493" s="1072"/>
      <c r="G493" s="1072"/>
      <c r="H493" s="1072"/>
      <c r="I493" s="1072"/>
      <c r="J493" s="1072"/>
      <c r="K493" s="1074" t="s">
        <v>378</v>
      </c>
      <c r="L493" s="1074"/>
      <c r="M493" s="1072" t="s">
        <v>452</v>
      </c>
      <c r="N493" s="1075" t="s">
        <v>453</v>
      </c>
      <c r="O493" s="1076"/>
      <c r="P493" s="1076"/>
      <c r="Q493" s="1076"/>
      <c r="R493" s="1076"/>
      <c r="S493" s="1076"/>
      <c r="T493" s="1076"/>
      <c r="U493" s="1076"/>
      <c r="V493" s="1077"/>
    </row>
    <row r="494" spans="1:22" ht="16.5" customHeight="1" thickBot="1" x14ac:dyDescent="0.3">
      <c r="A494" s="1067"/>
      <c r="B494" s="1068"/>
      <c r="C494" s="1068"/>
      <c r="D494" s="1069"/>
      <c r="E494" s="1073"/>
      <c r="F494" s="1073"/>
      <c r="G494" s="1073"/>
      <c r="H494" s="1073"/>
      <c r="I494" s="1073"/>
      <c r="J494" s="1073"/>
      <c r="K494" s="58" t="s">
        <v>454</v>
      </c>
      <c r="L494" s="58" t="s">
        <v>455</v>
      </c>
      <c r="M494" s="1073"/>
      <c r="N494" s="87" t="s">
        <v>466</v>
      </c>
      <c r="O494" s="87" t="s">
        <v>467</v>
      </c>
      <c r="P494" s="1078" t="s">
        <v>1</v>
      </c>
      <c r="Q494" s="1079"/>
      <c r="R494" s="1080"/>
      <c r="S494" s="1078" t="s">
        <v>2</v>
      </c>
      <c r="T494" s="1079"/>
      <c r="U494" s="1079"/>
      <c r="V494" s="1081"/>
    </row>
    <row r="495" spans="1:22" ht="19.5" x14ac:dyDescent="0.3">
      <c r="A495" s="1082">
        <f>P525-S525</f>
        <v>0</v>
      </c>
      <c r="B495" s="1083"/>
      <c r="C495" s="1083"/>
      <c r="D495" s="1083"/>
      <c r="E495" s="1084" t="str">
        <f>Account!$G$1</f>
        <v>FUND 501 CARP</v>
      </c>
      <c r="F495" s="1085"/>
      <c r="G495" s="1085"/>
      <c r="H495" s="1085"/>
      <c r="I495" s="1085"/>
      <c r="J495" s="1086"/>
      <c r="K495" s="59"/>
      <c r="L495" s="59"/>
      <c r="M495" s="60"/>
      <c r="N495" s="60"/>
      <c r="O495" s="60"/>
      <c r="P495" s="1087"/>
      <c r="Q495" s="1087"/>
      <c r="R495" s="1087"/>
      <c r="S495" s="1087"/>
      <c r="T495" s="1087"/>
      <c r="U495" s="1087"/>
      <c r="V495" s="1088"/>
    </row>
    <row r="496" spans="1:22" x14ac:dyDescent="0.25">
      <c r="A496" s="1038"/>
      <c r="B496" s="1039"/>
      <c r="C496" s="1039"/>
      <c r="D496" s="1039"/>
      <c r="E496" s="1039"/>
      <c r="F496" s="1039"/>
      <c r="G496" s="1039"/>
      <c r="H496" s="1039"/>
      <c r="I496" s="1039"/>
      <c r="J496" s="1039"/>
      <c r="K496" s="61"/>
      <c r="L496" s="61"/>
      <c r="M496" s="14"/>
      <c r="N496" s="14"/>
      <c r="O496" s="14"/>
      <c r="P496" s="1039"/>
      <c r="Q496" s="1039"/>
      <c r="R496" s="1039"/>
      <c r="S496" s="1039"/>
      <c r="T496" s="1039"/>
      <c r="U496" s="1039"/>
      <c r="V496" s="1089"/>
    </row>
    <row r="497" spans="1:22" x14ac:dyDescent="0.25">
      <c r="A497" s="1038"/>
      <c r="B497" s="1039"/>
      <c r="C497" s="1039"/>
      <c r="D497" s="1039"/>
      <c r="E497" s="1045" t="str">
        <f t="shared" ref="E497:E519" si="40">IF(K497=0,"",(VLOOKUP((TRIM(K497)),Code,2,)))</f>
        <v/>
      </c>
      <c r="F497" s="1046"/>
      <c r="G497" s="1046"/>
      <c r="H497" s="1046"/>
      <c r="I497" s="1046"/>
      <c r="J497" s="1047"/>
      <c r="K497" s="133"/>
      <c r="L497" s="62" t="str">
        <f t="shared" ref="L497:L524" si="41">IF(K497=0,"",VLOOKUP((TRIM(K497)),Code,3,))</f>
        <v/>
      </c>
      <c r="M497" s="14"/>
      <c r="N497" s="89">
        <f t="array" ref="N497">SUM(IF((CsDJ[JEV Number]=TRIM($T486))*(CsDJ[Account Code]=TRIM(K497)),CsDJ[Debit]))</f>
        <v>0</v>
      </c>
      <c r="O497" s="89">
        <f t="array" ref="O497">SUM(IF((CsDJ[JEV Number]=TRIM($T486))*(CsDJ[Account Code]=TRIM(K497)),CsDJ[Credit]))</f>
        <v>0</v>
      </c>
      <c r="P497" s="1040">
        <f>N497</f>
        <v>0</v>
      </c>
      <c r="Q497" s="1040"/>
      <c r="R497" s="1040"/>
      <c r="S497" s="1040">
        <f>O497</f>
        <v>0</v>
      </c>
      <c r="T497" s="1040"/>
      <c r="U497" s="1040"/>
      <c r="V497" s="1041"/>
    </row>
    <row r="498" spans="1:22" x14ac:dyDescent="0.25">
      <c r="A498" s="1038"/>
      <c r="B498" s="1039"/>
      <c r="C498" s="1039"/>
      <c r="D498" s="1039"/>
      <c r="E498" s="1045" t="str">
        <f t="shared" si="40"/>
        <v/>
      </c>
      <c r="F498" s="1046"/>
      <c r="G498" s="1046"/>
      <c r="H498" s="1046"/>
      <c r="I498" s="1046"/>
      <c r="J498" s="1047"/>
      <c r="K498" s="133"/>
      <c r="L498" s="62" t="str">
        <f t="shared" si="41"/>
        <v/>
      </c>
      <c r="M498" s="14"/>
      <c r="N498" s="89">
        <f t="array" ref="N498">SUM(IF((CsDJ[JEV Number]=TRIM($T486))*(CsDJ[Account Code]=TRIM(K498)),CsDJ[Debit]))</f>
        <v>0</v>
      </c>
      <c r="O498" s="89">
        <f t="array" ref="O498">SUM(IF((CsDJ[JEV Number]=TRIM($T486))*(CsDJ[Account Code]=TRIM(K498)),CsDJ[Credit]))</f>
        <v>0</v>
      </c>
      <c r="P498" s="1040">
        <f>N498</f>
        <v>0</v>
      </c>
      <c r="Q498" s="1040"/>
      <c r="R498" s="1040"/>
      <c r="S498" s="1040">
        <f>O498</f>
        <v>0</v>
      </c>
      <c r="T498" s="1040"/>
      <c r="U498" s="1040"/>
      <c r="V498" s="1041"/>
    </row>
    <row r="499" spans="1:22" x14ac:dyDescent="0.25">
      <c r="A499" s="1038"/>
      <c r="B499" s="1039"/>
      <c r="C499" s="1039"/>
      <c r="D499" s="1039"/>
      <c r="E499" s="1045" t="str">
        <f t="shared" si="40"/>
        <v/>
      </c>
      <c r="F499" s="1046"/>
      <c r="G499" s="1046"/>
      <c r="H499" s="1046"/>
      <c r="I499" s="1046"/>
      <c r="J499" s="1047"/>
      <c r="K499" s="133"/>
      <c r="L499" s="62" t="str">
        <f t="shared" si="41"/>
        <v/>
      </c>
      <c r="M499" s="14"/>
      <c r="N499" s="89">
        <f t="array" ref="N499">SUM(IF((CsDJ[JEV Number]=TRIM($T486))*(CsDJ[Account Code]=TRIM(K499)),CsDJ[Debit]))</f>
        <v>0</v>
      </c>
      <c r="O499" s="89">
        <f t="array" ref="O499">SUM(IF((CsDJ[JEV Number]=TRIM($T486))*(CsDJ[Account Code]=TRIM(K499)),CsDJ[Credit]))</f>
        <v>0</v>
      </c>
      <c r="P499" s="1040">
        <f t="shared" ref="P499:P524" si="42">N499</f>
        <v>0</v>
      </c>
      <c r="Q499" s="1040"/>
      <c r="R499" s="1040"/>
      <c r="S499" s="1040">
        <f t="shared" ref="S499:S524" si="43">O499</f>
        <v>0</v>
      </c>
      <c r="T499" s="1040"/>
      <c r="U499" s="1040"/>
      <c r="V499" s="1041"/>
    </row>
    <row r="500" spans="1:22" x14ac:dyDescent="0.25">
      <c r="A500" s="1038"/>
      <c r="B500" s="1039"/>
      <c r="C500" s="1039"/>
      <c r="D500" s="1039"/>
      <c r="E500" s="1045" t="str">
        <f t="shared" si="40"/>
        <v/>
      </c>
      <c r="F500" s="1046"/>
      <c r="G500" s="1046"/>
      <c r="H500" s="1046"/>
      <c r="I500" s="1046"/>
      <c r="J500" s="1047"/>
      <c r="K500" s="133"/>
      <c r="L500" s="62" t="str">
        <f t="shared" si="41"/>
        <v/>
      </c>
      <c r="M500" s="14"/>
      <c r="N500" s="89">
        <f t="array" ref="N500">SUM(IF((CsDJ[JEV Number]=TRIM($T486))*(CsDJ[Account Code]=TRIM(K500)),CsDJ[Debit]))</f>
        <v>0</v>
      </c>
      <c r="O500" s="89">
        <f t="array" ref="O500">SUM(IF((CsDJ[JEV Number]=TRIM($T486))*(CsDJ[Account Code]=TRIM(K500)),CsDJ[Credit]))</f>
        <v>0</v>
      </c>
      <c r="P500" s="1040">
        <f t="shared" si="42"/>
        <v>0</v>
      </c>
      <c r="Q500" s="1040"/>
      <c r="R500" s="1040"/>
      <c r="S500" s="1040">
        <f t="shared" si="43"/>
        <v>0</v>
      </c>
      <c r="T500" s="1040"/>
      <c r="U500" s="1040"/>
      <c r="V500" s="1041"/>
    </row>
    <row r="501" spans="1:22" x14ac:dyDescent="0.25">
      <c r="A501" s="1038"/>
      <c r="B501" s="1039"/>
      <c r="C501" s="1039"/>
      <c r="D501" s="1039"/>
      <c r="E501" s="1045" t="str">
        <f t="shared" si="40"/>
        <v/>
      </c>
      <c r="F501" s="1046"/>
      <c r="G501" s="1046"/>
      <c r="H501" s="1046"/>
      <c r="I501" s="1046"/>
      <c r="J501" s="1047"/>
      <c r="K501" s="133"/>
      <c r="L501" s="62" t="str">
        <f t="shared" si="41"/>
        <v/>
      </c>
      <c r="M501" s="14"/>
      <c r="N501" s="89">
        <f t="array" ref="N501">SUM(IF((CsDJ[JEV Number]=TRIM($T486))*(CsDJ[Account Code]=TRIM(K501)),CsDJ[Debit]))</f>
        <v>0</v>
      </c>
      <c r="O501" s="89">
        <f t="array" ref="O501">SUM(IF((CsDJ[JEV Number]=TRIM($T486))*(CsDJ[Account Code]=TRIM(K501)),CsDJ[Credit]))</f>
        <v>0</v>
      </c>
      <c r="P501" s="1040">
        <f t="shared" si="42"/>
        <v>0</v>
      </c>
      <c r="Q501" s="1040"/>
      <c r="R501" s="1040"/>
      <c r="S501" s="1040">
        <f t="shared" si="43"/>
        <v>0</v>
      </c>
      <c r="T501" s="1040"/>
      <c r="U501" s="1040"/>
      <c r="V501" s="1041"/>
    </row>
    <row r="502" spans="1:22" x14ac:dyDescent="0.25">
      <c r="A502" s="1038"/>
      <c r="B502" s="1039"/>
      <c r="C502" s="1039"/>
      <c r="D502" s="1039"/>
      <c r="E502" s="1045" t="str">
        <f t="shared" si="40"/>
        <v/>
      </c>
      <c r="F502" s="1046"/>
      <c r="G502" s="1046"/>
      <c r="H502" s="1046"/>
      <c r="I502" s="1046"/>
      <c r="J502" s="1047"/>
      <c r="K502" s="133"/>
      <c r="L502" s="62" t="str">
        <f t="shared" si="41"/>
        <v/>
      </c>
      <c r="M502" s="14"/>
      <c r="N502" s="89">
        <f t="array" ref="N502">SUM(IF((CsDJ[JEV Number]=TRIM($T486))*(CsDJ[Account Code]=TRIM(K502)),CsDJ[Debit]))</f>
        <v>0</v>
      </c>
      <c r="O502" s="89">
        <f t="array" ref="O502">SUM(IF((CsDJ[JEV Number]=TRIM($T486))*(CsDJ[Account Code]=TRIM(K502)),CsDJ[Credit]))</f>
        <v>0</v>
      </c>
      <c r="P502" s="1040">
        <f t="shared" si="42"/>
        <v>0</v>
      </c>
      <c r="Q502" s="1040"/>
      <c r="R502" s="1040"/>
      <c r="S502" s="1040">
        <f t="shared" si="43"/>
        <v>0</v>
      </c>
      <c r="T502" s="1040"/>
      <c r="U502" s="1040"/>
      <c r="V502" s="1041"/>
    </row>
    <row r="503" spans="1:22" x14ac:dyDescent="0.25">
      <c r="A503" s="1038"/>
      <c r="B503" s="1039"/>
      <c r="C503" s="1039"/>
      <c r="D503" s="1039"/>
      <c r="E503" s="1045" t="str">
        <f t="shared" si="40"/>
        <v/>
      </c>
      <c r="F503" s="1046"/>
      <c r="G503" s="1046"/>
      <c r="H503" s="1046"/>
      <c r="I503" s="1046"/>
      <c r="J503" s="1047"/>
      <c r="K503" s="133"/>
      <c r="L503" s="62" t="str">
        <f t="shared" si="41"/>
        <v/>
      </c>
      <c r="M503" s="14"/>
      <c r="N503" s="89">
        <f t="array" ref="N503">SUM(IF((CsDJ[JEV Number]=TRIM($T486))*(CsDJ[Account Code]=TRIM(K503)),CsDJ[Debit]))</f>
        <v>0</v>
      </c>
      <c r="O503" s="89">
        <f t="array" ref="O503">SUM(IF((CsDJ[JEV Number]=TRIM($T486))*(CsDJ[Account Code]=TRIM(K503)),CsDJ[Credit]))</f>
        <v>0</v>
      </c>
      <c r="P503" s="1040">
        <f t="shared" si="42"/>
        <v>0</v>
      </c>
      <c r="Q503" s="1040"/>
      <c r="R503" s="1040"/>
      <c r="S503" s="1040">
        <f t="shared" si="43"/>
        <v>0</v>
      </c>
      <c r="T503" s="1040"/>
      <c r="U503" s="1040"/>
      <c r="V503" s="1041"/>
    </row>
    <row r="504" spans="1:22" x14ac:dyDescent="0.25">
      <c r="A504" s="1038"/>
      <c r="B504" s="1039"/>
      <c r="C504" s="1039"/>
      <c r="D504" s="1039"/>
      <c r="E504" s="1045" t="str">
        <f t="shared" si="40"/>
        <v/>
      </c>
      <c r="F504" s="1046"/>
      <c r="G504" s="1046"/>
      <c r="H504" s="1046"/>
      <c r="I504" s="1046"/>
      <c r="J504" s="1047"/>
      <c r="K504" s="133"/>
      <c r="L504" s="62" t="str">
        <f t="shared" si="41"/>
        <v/>
      </c>
      <c r="M504" s="14"/>
      <c r="N504" s="89">
        <f t="array" ref="N504">SUM(IF((CsDJ[JEV Number]=TRIM($T486))*(CsDJ[Account Code]=TRIM(K504)),CsDJ[Debit]))</f>
        <v>0</v>
      </c>
      <c r="O504" s="89">
        <f t="array" ref="O504">SUM(IF((CsDJ[JEV Number]=TRIM($T486))*(CsDJ[Account Code]=TRIM(K504)),CsDJ[Credit]))</f>
        <v>0</v>
      </c>
      <c r="P504" s="1040">
        <f t="shared" si="42"/>
        <v>0</v>
      </c>
      <c r="Q504" s="1040"/>
      <c r="R504" s="1040"/>
      <c r="S504" s="1040">
        <f t="shared" si="43"/>
        <v>0</v>
      </c>
      <c r="T504" s="1040"/>
      <c r="U504" s="1040"/>
      <c r="V504" s="1041"/>
    </row>
    <row r="505" spans="1:22" x14ac:dyDescent="0.25">
      <c r="A505" s="1038"/>
      <c r="B505" s="1039"/>
      <c r="C505" s="1039"/>
      <c r="D505" s="1039"/>
      <c r="E505" s="1045" t="str">
        <f t="shared" si="40"/>
        <v/>
      </c>
      <c r="F505" s="1046"/>
      <c r="G505" s="1046"/>
      <c r="H505" s="1046"/>
      <c r="I505" s="1046"/>
      <c r="J505" s="1047"/>
      <c r="K505" s="134"/>
      <c r="L505" s="62" t="str">
        <f t="shared" si="41"/>
        <v/>
      </c>
      <c r="M505" s="14"/>
      <c r="N505" s="89">
        <f t="array" ref="N505">SUM(IF((CsDJ[JEV Number]=TRIM($T486))*(CsDJ[Account Code]=TRIM(K505)),CsDJ[Debit]))</f>
        <v>0</v>
      </c>
      <c r="O505" s="89">
        <f t="array" ref="O505">SUM(IF((CsDJ[JEV Number]=TRIM($T486))*(CsDJ[Account Code]=TRIM(K505)),CsDJ[Credit]))</f>
        <v>0</v>
      </c>
      <c r="P505" s="1040">
        <f t="shared" si="42"/>
        <v>0</v>
      </c>
      <c r="Q505" s="1040"/>
      <c r="R505" s="1040"/>
      <c r="S505" s="1040">
        <f t="shared" si="43"/>
        <v>0</v>
      </c>
      <c r="T505" s="1040"/>
      <c r="U505" s="1040"/>
      <c r="V505" s="1041"/>
    </row>
    <row r="506" spans="1:22" x14ac:dyDescent="0.25">
      <c r="A506" s="1038"/>
      <c r="B506" s="1039"/>
      <c r="C506" s="1039"/>
      <c r="D506" s="1039"/>
      <c r="E506" s="1045" t="str">
        <f t="shared" si="40"/>
        <v/>
      </c>
      <c r="F506" s="1046"/>
      <c r="G506" s="1046"/>
      <c r="H506" s="1046"/>
      <c r="I506" s="1046"/>
      <c r="J506" s="1047"/>
      <c r="K506" s="134"/>
      <c r="L506" s="62" t="str">
        <f t="shared" si="41"/>
        <v/>
      </c>
      <c r="M506" s="14"/>
      <c r="N506" s="89">
        <f t="array" ref="N506">SUM(IF((CsDJ[JEV Number]=TRIM($T486))*(CsDJ[Account Code]=TRIM(K506)),CsDJ[Debit]))</f>
        <v>0</v>
      </c>
      <c r="O506" s="89">
        <f t="array" ref="O506">SUM(IF((CsDJ[JEV Number]=TRIM($T486))*(CsDJ[Account Code]=TRIM(K506)),CsDJ[Credit]))</f>
        <v>0</v>
      </c>
      <c r="P506" s="1040">
        <f t="shared" si="42"/>
        <v>0</v>
      </c>
      <c r="Q506" s="1040"/>
      <c r="R506" s="1040"/>
      <c r="S506" s="1040">
        <f t="shared" si="43"/>
        <v>0</v>
      </c>
      <c r="T506" s="1040"/>
      <c r="U506" s="1040"/>
      <c r="V506" s="1041"/>
    </row>
    <row r="507" spans="1:22" x14ac:dyDescent="0.25">
      <c r="A507" s="1038"/>
      <c r="B507" s="1039"/>
      <c r="C507" s="1039"/>
      <c r="D507" s="1039"/>
      <c r="E507" s="1045" t="str">
        <f t="shared" si="40"/>
        <v/>
      </c>
      <c r="F507" s="1046"/>
      <c r="G507" s="1046"/>
      <c r="H507" s="1046"/>
      <c r="I507" s="1046"/>
      <c r="J507" s="1047"/>
      <c r="K507" s="134"/>
      <c r="L507" s="62" t="str">
        <f t="shared" si="41"/>
        <v/>
      </c>
      <c r="M507" s="14"/>
      <c r="N507" s="89">
        <f t="array" ref="N507">SUM(IF((CsDJ[JEV Number]=TRIM($T486))*(CsDJ[Account Code]=TRIM(K507)),CsDJ[Debit]))</f>
        <v>0</v>
      </c>
      <c r="O507" s="89">
        <f t="array" ref="O507">SUM(IF((CsDJ[JEV Number]=TRIM($T486))*(CsDJ[Account Code]=TRIM(K507)),CsDJ[Credit]))</f>
        <v>0</v>
      </c>
      <c r="P507" s="1040">
        <f t="shared" si="42"/>
        <v>0</v>
      </c>
      <c r="Q507" s="1040"/>
      <c r="R507" s="1040"/>
      <c r="S507" s="1040">
        <f t="shared" si="43"/>
        <v>0</v>
      </c>
      <c r="T507" s="1040"/>
      <c r="U507" s="1040"/>
      <c r="V507" s="1041"/>
    </row>
    <row r="508" spans="1:22" x14ac:dyDescent="0.25">
      <c r="A508" s="1038"/>
      <c r="B508" s="1039"/>
      <c r="C508" s="1039"/>
      <c r="D508" s="1039"/>
      <c r="E508" s="1045" t="str">
        <f t="shared" si="40"/>
        <v/>
      </c>
      <c r="F508" s="1046"/>
      <c r="G508" s="1046"/>
      <c r="H508" s="1046"/>
      <c r="I508" s="1046"/>
      <c r="J508" s="1047"/>
      <c r="K508" s="134"/>
      <c r="L508" s="62" t="str">
        <f t="shared" si="41"/>
        <v/>
      </c>
      <c r="M508" s="14"/>
      <c r="N508" s="89">
        <f t="array" ref="N508">SUM(IF((CsDJ[JEV Number]=TRIM($T486))*(CsDJ[Account Code]=TRIM(K508)),CsDJ[Debit]))</f>
        <v>0</v>
      </c>
      <c r="O508" s="89">
        <f t="array" ref="O508">SUM(IF((CsDJ[JEV Number]=TRIM($T486))*(CsDJ[Account Code]=TRIM(K508)),CsDJ[Credit]))</f>
        <v>0</v>
      </c>
      <c r="P508" s="1040">
        <f t="shared" si="42"/>
        <v>0</v>
      </c>
      <c r="Q508" s="1040"/>
      <c r="R508" s="1040"/>
      <c r="S508" s="1040">
        <f t="shared" si="43"/>
        <v>0</v>
      </c>
      <c r="T508" s="1040"/>
      <c r="U508" s="1040"/>
      <c r="V508" s="1041"/>
    </row>
    <row r="509" spans="1:22" x14ac:dyDescent="0.25">
      <c r="A509" s="1038"/>
      <c r="B509" s="1039"/>
      <c r="C509" s="1039"/>
      <c r="D509" s="1039"/>
      <c r="E509" s="1045" t="str">
        <f t="shared" si="40"/>
        <v/>
      </c>
      <c r="F509" s="1046"/>
      <c r="G509" s="1046"/>
      <c r="H509" s="1046"/>
      <c r="I509" s="1046"/>
      <c r="J509" s="1047"/>
      <c r="K509" s="134"/>
      <c r="L509" s="62" t="str">
        <f t="shared" si="41"/>
        <v/>
      </c>
      <c r="M509" s="14"/>
      <c r="N509" s="89">
        <f t="array" ref="N509">SUM(IF((CsDJ[JEV Number]=TRIM($T486))*(CsDJ[Account Code]=TRIM(K509)),CsDJ[Debit]))</f>
        <v>0</v>
      </c>
      <c r="O509" s="89">
        <f t="array" ref="O509">SUM(IF((CsDJ[JEV Number]=TRIM($T486))*(CsDJ[Account Code]=TRIM(K509)),CsDJ[Credit]))</f>
        <v>0</v>
      </c>
      <c r="P509" s="1040">
        <f t="shared" si="42"/>
        <v>0</v>
      </c>
      <c r="Q509" s="1040"/>
      <c r="R509" s="1040"/>
      <c r="S509" s="1040">
        <f t="shared" si="43"/>
        <v>0</v>
      </c>
      <c r="T509" s="1040"/>
      <c r="U509" s="1040"/>
      <c r="V509" s="1041"/>
    </row>
    <row r="510" spans="1:22" x14ac:dyDescent="0.25">
      <c r="A510" s="1038"/>
      <c r="B510" s="1039"/>
      <c r="C510" s="1039"/>
      <c r="D510" s="1039"/>
      <c r="E510" s="1045" t="str">
        <f t="shared" si="40"/>
        <v/>
      </c>
      <c r="F510" s="1046"/>
      <c r="G510" s="1046"/>
      <c r="H510" s="1046"/>
      <c r="I510" s="1046"/>
      <c r="J510" s="1047"/>
      <c r="K510" s="134"/>
      <c r="L510" s="62" t="str">
        <f t="shared" si="41"/>
        <v/>
      </c>
      <c r="M510" s="14"/>
      <c r="N510" s="89">
        <f t="array" ref="N510">SUM(IF((CsDJ[JEV Number]=TRIM($T486))*(CsDJ[Account Code]=TRIM(K510)),CsDJ[Debit]))</f>
        <v>0</v>
      </c>
      <c r="O510" s="89">
        <f t="array" ref="O510">SUM(IF((CsDJ[JEV Number]=TRIM($T486))*(CsDJ[Account Code]=TRIM(K510)),CsDJ[Credit]))</f>
        <v>0</v>
      </c>
      <c r="P510" s="1040">
        <f t="shared" si="42"/>
        <v>0</v>
      </c>
      <c r="Q510" s="1040"/>
      <c r="R510" s="1040"/>
      <c r="S510" s="1040">
        <f t="shared" si="43"/>
        <v>0</v>
      </c>
      <c r="T510" s="1040"/>
      <c r="U510" s="1040"/>
      <c r="V510" s="1041"/>
    </row>
    <row r="511" spans="1:22" x14ac:dyDescent="0.25">
      <c r="A511" s="1038"/>
      <c r="B511" s="1039"/>
      <c r="C511" s="1039"/>
      <c r="D511" s="1039"/>
      <c r="E511" s="1045" t="str">
        <f t="shared" si="40"/>
        <v/>
      </c>
      <c r="F511" s="1046"/>
      <c r="G511" s="1046"/>
      <c r="H511" s="1046"/>
      <c r="I511" s="1046"/>
      <c r="J511" s="1047"/>
      <c r="K511" s="134"/>
      <c r="L511" s="62" t="str">
        <f t="shared" si="41"/>
        <v/>
      </c>
      <c r="M511" s="14"/>
      <c r="N511" s="89">
        <f t="array" ref="N511">SUM(IF((CsDJ[JEV Number]=TRIM($T486))*(CsDJ[Account Code]=TRIM(K511)),CsDJ[Debit]))</f>
        <v>0</v>
      </c>
      <c r="O511" s="89">
        <f t="array" ref="O511">SUM(IF((CsDJ[JEV Number]=TRIM($T486))*(CsDJ[Account Code]=TRIM(K511)),CsDJ[Credit]))</f>
        <v>0</v>
      </c>
      <c r="P511" s="1040">
        <f t="shared" si="42"/>
        <v>0</v>
      </c>
      <c r="Q511" s="1040"/>
      <c r="R511" s="1040"/>
      <c r="S511" s="1040">
        <f t="shared" si="43"/>
        <v>0</v>
      </c>
      <c r="T511" s="1040"/>
      <c r="U511" s="1040"/>
      <c r="V511" s="1041"/>
    </row>
    <row r="512" spans="1:22" x14ac:dyDescent="0.25">
      <c r="A512" s="1038"/>
      <c r="B512" s="1039"/>
      <c r="C512" s="1039"/>
      <c r="D512" s="1039"/>
      <c r="E512" s="1045" t="str">
        <f t="shared" si="40"/>
        <v/>
      </c>
      <c r="F512" s="1046"/>
      <c r="G512" s="1046"/>
      <c r="H512" s="1046"/>
      <c r="I512" s="1046"/>
      <c r="J512" s="1047"/>
      <c r="K512" s="134"/>
      <c r="L512" s="62" t="str">
        <f t="shared" si="41"/>
        <v/>
      </c>
      <c r="M512" s="14"/>
      <c r="N512" s="89">
        <f t="array" ref="N512">SUM(IF((CsDJ[JEV Number]=TRIM($T486))*(CsDJ[Account Code]=TRIM(K512)),CsDJ[Debit]))</f>
        <v>0</v>
      </c>
      <c r="O512" s="89">
        <f t="array" ref="O512">SUM(IF((CsDJ[JEV Number]=TRIM($T486))*(CsDJ[Account Code]=TRIM(K512)),CsDJ[Credit]))</f>
        <v>0</v>
      </c>
      <c r="P512" s="1040">
        <f t="shared" si="42"/>
        <v>0</v>
      </c>
      <c r="Q512" s="1040"/>
      <c r="R512" s="1040"/>
      <c r="S512" s="1040">
        <f t="shared" si="43"/>
        <v>0</v>
      </c>
      <c r="T512" s="1040"/>
      <c r="U512" s="1040"/>
      <c r="V512" s="1041"/>
    </row>
    <row r="513" spans="1:22" x14ac:dyDescent="0.25">
      <c r="A513" s="1038"/>
      <c r="B513" s="1039"/>
      <c r="C513" s="1039"/>
      <c r="D513" s="1039"/>
      <c r="E513" s="1045" t="str">
        <f t="shared" si="40"/>
        <v/>
      </c>
      <c r="F513" s="1046"/>
      <c r="G513" s="1046"/>
      <c r="H513" s="1046"/>
      <c r="I513" s="1046"/>
      <c r="J513" s="1047"/>
      <c r="K513" s="134"/>
      <c r="L513" s="62" t="str">
        <f t="shared" si="41"/>
        <v/>
      </c>
      <c r="M513" s="14"/>
      <c r="N513" s="89">
        <f t="array" ref="N513">SUM(IF((CsDJ[JEV Number]=TRIM($T486))*(CsDJ[Account Code]=TRIM(K513)),CsDJ[Debit]))</f>
        <v>0</v>
      </c>
      <c r="O513" s="89">
        <f t="array" ref="O513">SUM(IF((CsDJ[JEV Number]=TRIM($T486))*(CsDJ[Account Code]=TRIM(K513)),CsDJ[Credit]))</f>
        <v>0</v>
      </c>
      <c r="P513" s="1040">
        <f t="shared" si="42"/>
        <v>0</v>
      </c>
      <c r="Q513" s="1040"/>
      <c r="R513" s="1040"/>
      <c r="S513" s="1040">
        <f t="shared" si="43"/>
        <v>0</v>
      </c>
      <c r="T513" s="1040"/>
      <c r="U513" s="1040"/>
      <c r="V513" s="1041"/>
    </row>
    <row r="514" spans="1:22" x14ac:dyDescent="0.25">
      <c r="A514" s="1038"/>
      <c r="B514" s="1039"/>
      <c r="C514" s="1039"/>
      <c r="D514" s="1039"/>
      <c r="E514" s="1045" t="str">
        <f t="shared" si="40"/>
        <v/>
      </c>
      <c r="F514" s="1046"/>
      <c r="G514" s="1046"/>
      <c r="H514" s="1046"/>
      <c r="I514" s="1046"/>
      <c r="J514" s="1047"/>
      <c r="K514" s="134"/>
      <c r="L514" s="62" t="str">
        <f t="shared" si="41"/>
        <v/>
      </c>
      <c r="M514" s="14"/>
      <c r="N514" s="89">
        <f t="array" ref="N514">SUM(IF((CsDJ[JEV Number]=TRIM($T486))*(CsDJ[Account Code]=TRIM(K514)),CsDJ[Debit]))</f>
        <v>0</v>
      </c>
      <c r="O514" s="89">
        <f t="array" ref="O514">SUM(IF((CsDJ[JEV Number]=TRIM($T486))*(CsDJ[Account Code]=TRIM(K514)),CsDJ[Credit]))</f>
        <v>0</v>
      </c>
      <c r="P514" s="1040">
        <f t="shared" si="42"/>
        <v>0</v>
      </c>
      <c r="Q514" s="1040"/>
      <c r="R514" s="1040"/>
      <c r="S514" s="1040">
        <f t="shared" si="43"/>
        <v>0</v>
      </c>
      <c r="T514" s="1040"/>
      <c r="U514" s="1040"/>
      <c r="V514" s="1041"/>
    </row>
    <row r="515" spans="1:22" x14ac:dyDescent="0.25">
      <c r="A515" s="1038"/>
      <c r="B515" s="1039"/>
      <c r="C515" s="1039"/>
      <c r="D515" s="1039"/>
      <c r="E515" s="1045" t="str">
        <f t="shared" si="40"/>
        <v/>
      </c>
      <c r="F515" s="1046"/>
      <c r="G515" s="1046"/>
      <c r="H515" s="1046"/>
      <c r="I515" s="1046"/>
      <c r="J515" s="1047"/>
      <c r="K515" s="134"/>
      <c r="L515" s="62" t="str">
        <f t="shared" si="41"/>
        <v/>
      </c>
      <c r="M515" s="14"/>
      <c r="N515" s="89">
        <f t="array" ref="N515">SUM(IF((CsDJ[JEV Number]=TRIM($T486))*(CsDJ[Account Code]=TRIM(K515)),CsDJ[Debit]))</f>
        <v>0</v>
      </c>
      <c r="O515" s="89">
        <f t="array" ref="O515">SUM(IF((CsDJ[JEV Number]=TRIM($T486))*(CsDJ[Account Code]=TRIM(K515)),CsDJ[Credit]))</f>
        <v>0</v>
      </c>
      <c r="P515" s="1040">
        <f t="shared" si="42"/>
        <v>0</v>
      </c>
      <c r="Q515" s="1040"/>
      <c r="R515" s="1040"/>
      <c r="S515" s="1040">
        <f t="shared" si="43"/>
        <v>0</v>
      </c>
      <c r="T515" s="1040"/>
      <c r="U515" s="1040"/>
      <c r="V515" s="1041"/>
    </row>
    <row r="516" spans="1:22" x14ac:dyDescent="0.25">
      <c r="A516" s="1038"/>
      <c r="B516" s="1039"/>
      <c r="C516" s="1039"/>
      <c r="D516" s="1039"/>
      <c r="E516" s="1045" t="str">
        <f t="shared" si="40"/>
        <v/>
      </c>
      <c r="F516" s="1046"/>
      <c r="G516" s="1046"/>
      <c r="H516" s="1046"/>
      <c r="I516" s="1046"/>
      <c r="J516" s="1047"/>
      <c r="K516" s="134"/>
      <c r="L516" s="62" t="str">
        <f t="shared" si="41"/>
        <v/>
      </c>
      <c r="M516" s="14"/>
      <c r="N516" s="89">
        <f t="array" ref="N516">SUM(IF((CsDJ[JEV Number]=TRIM($T486))*(CsDJ[Account Code]=TRIM(K516)),CsDJ[Debit]))</f>
        <v>0</v>
      </c>
      <c r="O516" s="89">
        <f t="array" ref="O516">SUM(IF((CsDJ[JEV Number]=TRIM($T486))*(CsDJ[Account Code]=TRIM(K516)),CsDJ[Credit]))</f>
        <v>0</v>
      </c>
      <c r="P516" s="1040">
        <f t="shared" si="42"/>
        <v>0</v>
      </c>
      <c r="Q516" s="1040"/>
      <c r="R516" s="1040"/>
      <c r="S516" s="1040">
        <f t="shared" si="43"/>
        <v>0</v>
      </c>
      <c r="T516" s="1040"/>
      <c r="U516" s="1040"/>
      <c r="V516" s="1041"/>
    </row>
    <row r="517" spans="1:22" x14ac:dyDescent="0.25">
      <c r="A517" s="1038"/>
      <c r="B517" s="1039"/>
      <c r="C517" s="1039"/>
      <c r="D517" s="1039"/>
      <c r="E517" s="1045" t="str">
        <f t="shared" si="40"/>
        <v/>
      </c>
      <c r="F517" s="1046"/>
      <c r="G517" s="1046"/>
      <c r="H517" s="1046"/>
      <c r="I517" s="1046"/>
      <c r="J517" s="1047"/>
      <c r="K517" s="134"/>
      <c r="L517" s="62" t="str">
        <f t="shared" si="41"/>
        <v/>
      </c>
      <c r="M517" s="14"/>
      <c r="N517" s="89">
        <f t="array" ref="N517">SUM(IF((CsDJ[JEV Number]=TRIM($T486))*(CsDJ[Account Code]=TRIM(K517)),CsDJ[Debit]))</f>
        <v>0</v>
      </c>
      <c r="O517" s="89">
        <f t="array" ref="O517">SUM(IF((CsDJ[JEV Number]=TRIM($T486))*(CsDJ[Account Code]=TRIM(K517)),CsDJ[Credit]))</f>
        <v>0</v>
      </c>
      <c r="P517" s="1040">
        <f t="shared" si="42"/>
        <v>0</v>
      </c>
      <c r="Q517" s="1040"/>
      <c r="R517" s="1040"/>
      <c r="S517" s="1040">
        <f t="shared" si="43"/>
        <v>0</v>
      </c>
      <c r="T517" s="1040"/>
      <c r="U517" s="1040"/>
      <c r="V517" s="1041"/>
    </row>
    <row r="518" spans="1:22" x14ac:dyDescent="0.25">
      <c r="A518" s="1038"/>
      <c r="B518" s="1039"/>
      <c r="C518" s="1039"/>
      <c r="D518" s="1039"/>
      <c r="E518" s="1045" t="str">
        <f t="shared" si="40"/>
        <v/>
      </c>
      <c r="F518" s="1046"/>
      <c r="G518" s="1046"/>
      <c r="H518" s="1046"/>
      <c r="I518" s="1046"/>
      <c r="J518" s="1047"/>
      <c r="K518" s="134"/>
      <c r="L518" s="62" t="str">
        <f t="shared" si="41"/>
        <v/>
      </c>
      <c r="M518" s="14"/>
      <c r="N518" s="89">
        <f t="array" ref="N518">SUM(IF((CsDJ[JEV Number]=TRIM($T486))*(CsDJ[Account Code]=TRIM(K518)),CsDJ[Debit]))</f>
        <v>0</v>
      </c>
      <c r="O518" s="89">
        <f t="array" ref="O518">SUM(IF((CsDJ[JEV Number]=TRIM($T486))*(CsDJ[Account Code]=TRIM(K518)),CsDJ[Credit]))</f>
        <v>0</v>
      </c>
      <c r="P518" s="1040">
        <f t="shared" si="42"/>
        <v>0</v>
      </c>
      <c r="Q518" s="1040"/>
      <c r="R518" s="1040"/>
      <c r="S518" s="1040">
        <f t="shared" si="43"/>
        <v>0</v>
      </c>
      <c r="T518" s="1040"/>
      <c r="U518" s="1040"/>
      <c r="V518" s="1041"/>
    </row>
    <row r="519" spans="1:22" x14ac:dyDescent="0.25">
      <c r="A519" s="1038"/>
      <c r="B519" s="1039"/>
      <c r="C519" s="1039"/>
      <c r="D519" s="1039"/>
      <c r="E519" s="1045" t="str">
        <f t="shared" si="40"/>
        <v/>
      </c>
      <c r="F519" s="1046"/>
      <c r="G519" s="1046"/>
      <c r="H519" s="1046"/>
      <c r="I519" s="1046"/>
      <c r="J519" s="1047"/>
      <c r="K519" s="134"/>
      <c r="L519" s="62" t="str">
        <f t="shared" si="41"/>
        <v/>
      </c>
      <c r="M519" s="14"/>
      <c r="N519" s="89">
        <f t="array" ref="N519">SUM(IF((CsDJ[JEV Number]=TRIM($T486))*(CsDJ[Account Code]=TRIM(K519)),CsDJ[Debit]))</f>
        <v>0</v>
      </c>
      <c r="O519" s="89">
        <f t="array" ref="O519">SUM(IF((CsDJ[JEV Number]=TRIM($T486))*(CsDJ[Account Code]=TRIM(K519)),CsDJ[Credit]))</f>
        <v>0</v>
      </c>
      <c r="P519" s="1040">
        <f t="shared" si="42"/>
        <v>0</v>
      </c>
      <c r="Q519" s="1040"/>
      <c r="R519" s="1040"/>
      <c r="S519" s="1040">
        <f t="shared" si="43"/>
        <v>0</v>
      </c>
      <c r="T519" s="1040"/>
      <c r="U519" s="1040"/>
      <c r="V519" s="1041"/>
    </row>
    <row r="520" spans="1:22" x14ac:dyDescent="0.25">
      <c r="A520" s="1038"/>
      <c r="B520" s="1039"/>
      <c r="C520" s="1039"/>
      <c r="D520" s="1039"/>
      <c r="E520" s="1108" t="s">
        <v>468</v>
      </c>
      <c r="F520" s="1109"/>
      <c r="G520" s="1109"/>
      <c r="H520" s="1109"/>
      <c r="I520" s="1109"/>
      <c r="J520" s="1110"/>
      <c r="K520" s="133"/>
      <c r="L520" s="62" t="str">
        <f t="shared" si="41"/>
        <v/>
      </c>
      <c r="M520" s="14"/>
      <c r="N520" s="89">
        <f t="array" ref="N520">SUM(IF((CsDJ[JEV Number]=TRIM($T486))*(CsDJ[Account Code]=TRIM(K520)),CsDJ[Debit]))</f>
        <v>0</v>
      </c>
      <c r="O520" s="89">
        <f t="array" ref="O520">SUM(IF((CsDJ[JEV Number]=TRIM($T486))*(CsDJ[Account Code]=TRIM(K520)),CsDJ[Credit]))</f>
        <v>0</v>
      </c>
      <c r="P520" s="1040">
        <f t="shared" si="42"/>
        <v>0</v>
      </c>
      <c r="Q520" s="1040"/>
      <c r="R520" s="1040"/>
      <c r="S520" s="1040">
        <f t="shared" si="43"/>
        <v>0</v>
      </c>
      <c r="T520" s="1040"/>
      <c r="U520" s="1040"/>
      <c r="V520" s="1041"/>
    </row>
    <row r="521" spans="1:22" x14ac:dyDescent="0.25">
      <c r="A521" s="1038"/>
      <c r="B521" s="1039"/>
      <c r="C521" s="1039"/>
      <c r="D521" s="1039"/>
      <c r="E521" s="1048" t="s">
        <v>457</v>
      </c>
      <c r="F521" s="1049"/>
      <c r="G521" s="1049"/>
      <c r="H521" s="1049"/>
      <c r="I521" s="1051">
        <f>T487</f>
        <v>0</v>
      </c>
      <c r="J521" s="1052"/>
      <c r="K521" s="133"/>
      <c r="L521" s="62" t="str">
        <f t="shared" si="41"/>
        <v/>
      </c>
      <c r="M521" s="14"/>
      <c r="N521" s="89">
        <f t="array" ref="N521">SUM(IF((CsDJ[JEV Number]=TRIM($T486))*(CsDJ[Account Code]=TRIM(K521)),CsDJ[Debit]))</f>
        <v>0</v>
      </c>
      <c r="O521" s="89">
        <f t="array" ref="O521">SUM(IF((CsDJ[JEV Number]=TRIM($T486))*(CsDJ[Account Code]=TRIM(K521)),CsDJ[Credit]))</f>
        <v>0</v>
      </c>
      <c r="P521" s="1040">
        <f t="shared" si="42"/>
        <v>0</v>
      </c>
      <c r="Q521" s="1040"/>
      <c r="R521" s="1040"/>
      <c r="S521" s="1040">
        <f t="shared" si="43"/>
        <v>0</v>
      </c>
      <c r="T521" s="1040"/>
      <c r="U521" s="1040"/>
      <c r="V521" s="1041"/>
    </row>
    <row r="522" spans="1:22" x14ac:dyDescent="0.25">
      <c r="A522" s="1038"/>
      <c r="B522" s="1039"/>
      <c r="C522" s="1039"/>
      <c r="D522" s="1039"/>
      <c r="E522" s="1048" t="s">
        <v>458</v>
      </c>
      <c r="F522" s="1049"/>
      <c r="G522" s="1049"/>
      <c r="H522" s="1049"/>
      <c r="I522" s="1106">
        <f>IF(T486=0,0,(IF(LOOKUP(T486,CsDJ[JEV Number],CsDJ[Sort Code])="1","MA. VIVIAN C. SALAS",IF(LOOKUP(T486,CsDJ[JEV Number],CsDJ[Sort Code])="2","LUZ R. DE COZAR",IF(LOOKUP(T486,CsDJ[JEV Number],CsDJ[Sort Code])="3","MINEONETTE A. DELA CRUZ",IF(LOOKUP(T486,CsDJ[JEV Number],CsDJ[Sort Code])="4","RESELLA B. LOPEZ"))))))</f>
        <v>0</v>
      </c>
      <c r="J522" s="1107"/>
      <c r="K522" s="133"/>
      <c r="L522" s="62" t="str">
        <f t="shared" si="41"/>
        <v/>
      </c>
      <c r="M522" s="14"/>
      <c r="N522" s="89">
        <f t="array" ref="N522">SUM(IF((CsDJ[JEV Number]=TRIM($T486))*(CsDJ[Account Code]=TRIM(K522)),CsDJ[Debit]))</f>
        <v>0</v>
      </c>
      <c r="O522" s="89">
        <f t="array" ref="O522">SUM(IF((CsDJ[JEV Number]=TRIM($T486))*(CsDJ[Account Code]=TRIM(K522)),CsDJ[Credit]))</f>
        <v>0</v>
      </c>
      <c r="P522" s="1040">
        <f t="shared" si="42"/>
        <v>0</v>
      </c>
      <c r="Q522" s="1040"/>
      <c r="R522" s="1040"/>
      <c r="S522" s="1040">
        <f t="shared" si="43"/>
        <v>0</v>
      </c>
      <c r="T522" s="1040"/>
      <c r="U522" s="1040"/>
      <c r="V522" s="1041"/>
    </row>
    <row r="523" spans="1:22" x14ac:dyDescent="0.25">
      <c r="A523" s="1038"/>
      <c r="B523" s="1039"/>
      <c r="C523" s="1039"/>
      <c r="D523" s="1039"/>
      <c r="E523" s="1048" t="s">
        <v>459</v>
      </c>
      <c r="F523" s="1049"/>
      <c r="G523" s="1049"/>
      <c r="H523" s="1049"/>
      <c r="I523" s="1043">
        <f>IF(I522="Ma. Vivian C. Salas","Regional Office", IF(I522="Luz R. De Cozar","BANE IMO", IF(I522="Mineonette A. Dela Cruz","PAMBAT IMO", IF(I522="Resella B. Lopez","TARZAM IMO",0))))</f>
        <v>0</v>
      </c>
      <c r="J523" s="1044"/>
      <c r="K523" s="133"/>
      <c r="L523" s="62" t="str">
        <f t="shared" si="41"/>
        <v/>
      </c>
      <c r="M523" s="14"/>
      <c r="N523" s="89">
        <f t="array" ref="N523">SUM(IF((CsDJ[JEV Number]=TRIM($T486))*(CsDJ[Account Code]=TRIM(K523)),CsDJ[Debit]))</f>
        <v>0</v>
      </c>
      <c r="O523" s="89">
        <f t="array" ref="O523">SUM(IF((CsDJ[JEV Number]=TRIM($T486))*(CsDJ[Account Code]=TRIM(K523)),CsDJ[Credit]))</f>
        <v>0</v>
      </c>
      <c r="P523" s="1040">
        <f t="shared" si="42"/>
        <v>0</v>
      </c>
      <c r="Q523" s="1040"/>
      <c r="R523" s="1040"/>
      <c r="S523" s="1040">
        <f t="shared" si="43"/>
        <v>0</v>
      </c>
      <c r="T523" s="1040"/>
      <c r="U523" s="1040"/>
      <c r="V523" s="1041"/>
    </row>
    <row r="524" spans="1:22" x14ac:dyDescent="0.25">
      <c r="A524" s="1038"/>
      <c r="B524" s="1039"/>
      <c r="C524" s="1039"/>
      <c r="D524" s="1039"/>
      <c r="E524" s="1048"/>
      <c r="F524" s="1049"/>
      <c r="G524" s="1049"/>
      <c r="H524" s="1049"/>
      <c r="I524" s="1049"/>
      <c r="J524" s="1050"/>
      <c r="K524" s="133"/>
      <c r="L524" s="62" t="str">
        <f t="shared" si="41"/>
        <v/>
      </c>
      <c r="M524" s="14"/>
      <c r="N524" s="89">
        <f t="array" ref="N524">SUM(IF((CsDJ[JEV Number]=TRIM($T486))*(CsDJ[Account Code]=TRIM(K524)),CsDJ[Debit]))</f>
        <v>0</v>
      </c>
      <c r="O524" s="89">
        <f t="array" ref="O524">SUM(IF((CsDJ[JEV Number]=TRIM($T486))*(CsDJ[Account Code]=TRIM(K524)),CsDJ[Credit]))</f>
        <v>0</v>
      </c>
      <c r="P524" s="1040">
        <f t="shared" si="42"/>
        <v>0</v>
      </c>
      <c r="Q524" s="1040"/>
      <c r="R524" s="1040"/>
      <c r="S524" s="1040">
        <f t="shared" si="43"/>
        <v>0</v>
      </c>
      <c r="T524" s="1040"/>
      <c r="U524" s="1040"/>
      <c r="V524" s="1041"/>
    </row>
    <row r="525" spans="1:22" ht="16.5" thickBot="1" x14ac:dyDescent="0.3">
      <c r="A525" s="1091"/>
      <c r="B525" s="1092"/>
      <c r="C525" s="1092"/>
      <c r="D525" s="1092"/>
      <c r="E525" s="1092"/>
      <c r="F525" s="1092"/>
      <c r="G525" s="1092"/>
      <c r="H525" s="1092"/>
      <c r="I525" s="1092"/>
      <c r="J525" s="1092"/>
      <c r="K525" s="1092"/>
      <c r="L525" s="1092"/>
      <c r="M525" s="1093"/>
      <c r="N525" s="88"/>
      <c r="O525" s="88"/>
      <c r="P525" s="1094">
        <f>SUM(P495:R524)</f>
        <v>0</v>
      </c>
      <c r="Q525" s="1094"/>
      <c r="R525" s="1094"/>
      <c r="S525" s="1094">
        <f>SUM(S495:V524)</f>
        <v>0</v>
      </c>
      <c r="T525" s="1094"/>
      <c r="U525" s="1094"/>
      <c r="V525" s="1095"/>
    </row>
    <row r="526" spans="1:22" x14ac:dyDescent="0.25">
      <c r="A526" s="63"/>
      <c r="B526" s="64"/>
      <c r="C526" s="64"/>
      <c r="D526" s="64"/>
      <c r="E526" s="64"/>
      <c r="F526" s="64"/>
      <c r="G526" s="64"/>
      <c r="H526" s="64"/>
      <c r="I526" s="65"/>
      <c r="J526" s="64"/>
      <c r="K526" s="66"/>
      <c r="L526" s="64"/>
      <c r="M526" s="65"/>
      <c r="N526" s="64"/>
      <c r="O526" s="64"/>
      <c r="P526" s="1090"/>
      <c r="Q526" s="1090"/>
      <c r="R526" s="1090"/>
      <c r="S526" s="1090"/>
      <c r="T526" s="1090"/>
      <c r="U526" s="1090"/>
      <c r="V526" s="1096"/>
    </row>
    <row r="527" spans="1:22" x14ac:dyDescent="0.25">
      <c r="A527" s="67" t="s">
        <v>460</v>
      </c>
      <c r="B527"/>
      <c r="C527"/>
      <c r="D527"/>
      <c r="E527"/>
      <c r="F527"/>
      <c r="G527"/>
      <c r="H527"/>
      <c r="I527" s="68" t="s">
        <v>353</v>
      </c>
      <c r="J527" s="69"/>
      <c r="K527" s="69"/>
      <c r="L527"/>
      <c r="M527" s="68" t="s">
        <v>461</v>
      </c>
      <c r="N527" s="69"/>
      <c r="O527" s="69"/>
      <c r="P527" s="70"/>
      <c r="Q527" s="70"/>
      <c r="R527" s="70"/>
      <c r="S527" s="70"/>
      <c r="T527" s="70"/>
      <c r="U527" s="70"/>
      <c r="V527" s="71"/>
    </row>
    <row r="528" spans="1:22" x14ac:dyDescent="0.25">
      <c r="A528" s="37"/>
      <c r="B528"/>
      <c r="C528"/>
      <c r="D528"/>
      <c r="E528"/>
      <c r="F528"/>
      <c r="G528"/>
      <c r="H528"/>
      <c r="I528" s="72"/>
      <c r="J528"/>
      <c r="K528"/>
      <c r="L528"/>
      <c r="M528" s="72"/>
      <c r="N528"/>
      <c r="O528"/>
      <c r="P528"/>
      <c r="Q528"/>
      <c r="R528"/>
      <c r="S528"/>
      <c r="T528"/>
      <c r="U528"/>
      <c r="V528" s="73"/>
    </row>
    <row r="529" spans="1:22" x14ac:dyDescent="0.25">
      <c r="A529" s="74" t="s">
        <v>462</v>
      </c>
      <c r="B529" s="75"/>
      <c r="C529" s="75"/>
      <c r="D529" s="75"/>
      <c r="E529" s="75"/>
      <c r="F529" s="75"/>
      <c r="G529" s="75"/>
      <c r="H529" s="76"/>
      <c r="I529" s="77" t="s">
        <v>380</v>
      </c>
      <c r="J529" s="75"/>
      <c r="K529" s="75"/>
      <c r="L529" s="76"/>
      <c r="M529" s="77" t="s">
        <v>3</v>
      </c>
      <c r="N529" s="75"/>
      <c r="O529" s="75"/>
      <c r="P529" s="75"/>
      <c r="Q529" s="75"/>
      <c r="R529" s="75"/>
      <c r="S529" s="75"/>
      <c r="T529" s="75"/>
      <c r="U529" s="75"/>
      <c r="V529" s="78"/>
    </row>
    <row r="530" spans="1:22" x14ac:dyDescent="0.25">
      <c r="A530" s="79" t="s">
        <v>463</v>
      </c>
      <c r="B530" s="80"/>
      <c r="C530" s="80"/>
      <c r="D530" s="80"/>
      <c r="E530" s="80"/>
      <c r="F530" s="80"/>
      <c r="G530" s="80"/>
      <c r="H530" s="80"/>
      <c r="I530" s="81" t="s">
        <v>381</v>
      </c>
      <c r="J530" s="80"/>
      <c r="K530" s="80"/>
      <c r="L530" s="80"/>
      <c r="M530" s="81" t="s">
        <v>464</v>
      </c>
      <c r="N530" s="80"/>
      <c r="O530" s="80"/>
      <c r="P530" s="82"/>
      <c r="Q530" s="82"/>
      <c r="R530" s="82"/>
      <c r="S530" s="82"/>
      <c r="T530" s="82"/>
      <c r="U530" s="82"/>
      <c r="V530" s="83"/>
    </row>
    <row r="531" spans="1:22" ht="16.5" thickBot="1" x14ac:dyDescent="0.3">
      <c r="A531" s="84" t="s">
        <v>465</v>
      </c>
      <c r="B531" s="43"/>
      <c r="C531" s="43"/>
      <c r="D531" s="43"/>
      <c r="E531" s="43"/>
      <c r="F531" s="43"/>
      <c r="G531" s="43"/>
      <c r="H531" s="43"/>
      <c r="I531" s="85"/>
      <c r="J531" s="43"/>
      <c r="K531" s="43"/>
      <c r="L531" s="43"/>
      <c r="M531" s="85"/>
      <c r="N531" s="43"/>
      <c r="O531" s="43"/>
      <c r="P531" s="43"/>
      <c r="Q531" s="43"/>
      <c r="R531" s="43"/>
      <c r="S531" s="43"/>
      <c r="T531" s="43"/>
      <c r="U531" s="43"/>
      <c r="V531" s="44"/>
    </row>
    <row r="532" spans="1:22" ht="22.5" x14ac:dyDescent="0.25">
      <c r="A532" s="31" t="s">
        <v>441</v>
      </c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3"/>
      <c r="R532" s="1053">
        <f>+P572-S572</f>
        <v>0</v>
      </c>
      <c r="S532" s="1054"/>
      <c r="T532" s="1054"/>
      <c r="U532" s="1054"/>
      <c r="V532" s="1055"/>
    </row>
    <row r="533" spans="1:22" x14ac:dyDescent="0.25">
      <c r="A533" s="34" t="s">
        <v>442</v>
      </c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6"/>
      <c r="R533" s="37" t="s">
        <v>443</v>
      </c>
      <c r="S533"/>
      <c r="T533" s="1056"/>
      <c r="U533" s="1056"/>
      <c r="V533" s="1057"/>
    </row>
    <row r="534" spans="1:22" x14ac:dyDescent="0.25">
      <c r="A534" s="38" t="s">
        <v>444</v>
      </c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6"/>
      <c r="R534" s="37" t="s">
        <v>0</v>
      </c>
      <c r="S534"/>
      <c r="T534" s="1058">
        <f>IF(T533=0,0,(LOOKUP(T533,CsDJ[JEV Number],CsDJ[Date])))</f>
        <v>0</v>
      </c>
      <c r="U534" s="1058"/>
      <c r="V534" s="1059"/>
    </row>
    <row r="535" spans="1:22" ht="16.5" thickBot="1" x14ac:dyDescent="0.3">
      <c r="A535" s="39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1"/>
      <c r="R535" s="42"/>
      <c r="S535" s="43"/>
      <c r="T535" s="43"/>
      <c r="U535" s="43"/>
      <c r="V535" s="44"/>
    </row>
    <row r="536" spans="1:22" x14ac:dyDescent="0.25">
      <c r="A536" s="45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7"/>
      <c r="M536" s="46"/>
      <c r="N536" s="46"/>
      <c r="O536" s="46"/>
      <c r="P536" s="46"/>
      <c r="Q536" s="46"/>
      <c r="R536" s="46"/>
      <c r="S536" s="46"/>
      <c r="T536" s="46"/>
      <c r="U536" s="46"/>
      <c r="V536" s="48"/>
    </row>
    <row r="537" spans="1:22" x14ac:dyDescent="0.25">
      <c r="A537" s="49"/>
      <c r="B537" s="1060"/>
      <c r="C537" s="1060"/>
      <c r="D537" s="50" t="s">
        <v>445</v>
      </c>
      <c r="H537" s="51"/>
      <c r="I537" s="25" t="s">
        <v>447</v>
      </c>
      <c r="J537" s="132" t="s">
        <v>446</v>
      </c>
      <c r="K537" s="52" t="s">
        <v>448</v>
      </c>
      <c r="L537" s="52"/>
      <c r="Q537" s="1060"/>
      <c r="R537" s="1060"/>
      <c r="S537" s="50" t="s">
        <v>449</v>
      </c>
      <c r="T537" s="50"/>
      <c r="U537" s="50"/>
      <c r="V537" s="53"/>
    </row>
    <row r="538" spans="1:22" ht="16.5" thickBot="1" x14ac:dyDescent="0.3">
      <c r="A538" s="54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6"/>
      <c r="M538" s="55"/>
      <c r="N538" s="55"/>
      <c r="O538" s="55"/>
      <c r="P538" s="55"/>
      <c r="Q538" s="55"/>
      <c r="R538" s="55"/>
      <c r="S538" s="55"/>
      <c r="T538" s="55"/>
      <c r="U538" s="55"/>
      <c r="V538" s="57"/>
    </row>
    <row r="539" spans="1:22" x14ac:dyDescent="0.25">
      <c r="A539" s="1061" t="s">
        <v>397</v>
      </c>
      <c r="B539" s="1062"/>
      <c r="C539" s="1062"/>
      <c r="D539" s="1063"/>
      <c r="E539" s="1070" t="s">
        <v>450</v>
      </c>
      <c r="F539" s="1070"/>
      <c r="G539" s="1070"/>
      <c r="H539" s="1070"/>
      <c r="I539" s="1070"/>
      <c r="J539" s="1070"/>
      <c r="K539" s="1070"/>
      <c r="L539" s="1070"/>
      <c r="M539" s="1070"/>
      <c r="N539" s="1070"/>
      <c r="O539" s="1070"/>
      <c r="P539" s="1070"/>
      <c r="Q539" s="1070"/>
      <c r="R539" s="1070"/>
      <c r="S539" s="1070"/>
      <c r="T539" s="1070"/>
      <c r="U539" s="1070"/>
      <c r="V539" s="1071"/>
    </row>
    <row r="540" spans="1:22" x14ac:dyDescent="0.25">
      <c r="A540" s="1064"/>
      <c r="B540" s="1065"/>
      <c r="C540" s="1065"/>
      <c r="D540" s="1066"/>
      <c r="E540" s="1072" t="s">
        <v>451</v>
      </c>
      <c r="F540" s="1072"/>
      <c r="G540" s="1072"/>
      <c r="H540" s="1072"/>
      <c r="I540" s="1072"/>
      <c r="J540" s="1072"/>
      <c r="K540" s="1074" t="s">
        <v>378</v>
      </c>
      <c r="L540" s="1074"/>
      <c r="M540" s="1072" t="s">
        <v>452</v>
      </c>
      <c r="N540" s="1075" t="s">
        <v>453</v>
      </c>
      <c r="O540" s="1076"/>
      <c r="P540" s="1076"/>
      <c r="Q540" s="1076"/>
      <c r="R540" s="1076"/>
      <c r="S540" s="1076"/>
      <c r="T540" s="1076"/>
      <c r="U540" s="1076"/>
      <c r="V540" s="1077"/>
    </row>
    <row r="541" spans="1:22" ht="16.5" customHeight="1" thickBot="1" x14ac:dyDescent="0.3">
      <c r="A541" s="1067"/>
      <c r="B541" s="1068"/>
      <c r="C541" s="1068"/>
      <c r="D541" s="1069"/>
      <c r="E541" s="1073"/>
      <c r="F541" s="1073"/>
      <c r="G541" s="1073"/>
      <c r="H541" s="1073"/>
      <c r="I541" s="1073"/>
      <c r="J541" s="1073"/>
      <c r="K541" s="58" t="s">
        <v>454</v>
      </c>
      <c r="L541" s="58" t="s">
        <v>455</v>
      </c>
      <c r="M541" s="1073"/>
      <c r="N541" s="87" t="s">
        <v>466</v>
      </c>
      <c r="O541" s="87" t="s">
        <v>467</v>
      </c>
      <c r="P541" s="1078" t="s">
        <v>1</v>
      </c>
      <c r="Q541" s="1079"/>
      <c r="R541" s="1080"/>
      <c r="S541" s="1078" t="s">
        <v>2</v>
      </c>
      <c r="T541" s="1079"/>
      <c r="U541" s="1079"/>
      <c r="V541" s="1081"/>
    </row>
    <row r="542" spans="1:22" ht="19.5" x14ac:dyDescent="0.3">
      <c r="A542" s="1082">
        <f>P572-S572</f>
        <v>0</v>
      </c>
      <c r="B542" s="1083"/>
      <c r="C542" s="1083"/>
      <c r="D542" s="1083"/>
      <c r="E542" s="1084" t="str">
        <f>Account!$G$1</f>
        <v>FUND 501 CARP</v>
      </c>
      <c r="F542" s="1085"/>
      <c r="G542" s="1085"/>
      <c r="H542" s="1085"/>
      <c r="I542" s="1085"/>
      <c r="J542" s="1086"/>
      <c r="K542" s="59"/>
      <c r="L542" s="59"/>
      <c r="M542" s="60"/>
      <c r="N542" s="60"/>
      <c r="O542" s="60"/>
      <c r="P542" s="1087"/>
      <c r="Q542" s="1087"/>
      <c r="R542" s="1087"/>
      <c r="S542" s="1087"/>
      <c r="T542" s="1087"/>
      <c r="U542" s="1087"/>
      <c r="V542" s="1088"/>
    </row>
    <row r="543" spans="1:22" x14ac:dyDescent="0.25">
      <c r="A543" s="1038"/>
      <c r="B543" s="1039"/>
      <c r="C543" s="1039"/>
      <c r="D543" s="1039"/>
      <c r="E543" s="1039"/>
      <c r="F543" s="1039"/>
      <c r="G543" s="1039"/>
      <c r="H543" s="1039"/>
      <c r="I543" s="1039"/>
      <c r="J543" s="1039"/>
      <c r="K543" s="61"/>
      <c r="L543" s="61"/>
      <c r="M543" s="14"/>
      <c r="N543" s="14"/>
      <c r="O543" s="14"/>
      <c r="P543" s="1039"/>
      <c r="Q543" s="1039"/>
      <c r="R543" s="1039"/>
      <c r="S543" s="1039"/>
      <c r="T543" s="1039"/>
      <c r="U543" s="1039"/>
      <c r="V543" s="1089"/>
    </row>
    <row r="544" spans="1:22" x14ac:dyDescent="0.25">
      <c r="A544" s="1038"/>
      <c r="B544" s="1039"/>
      <c r="C544" s="1039"/>
      <c r="D544" s="1039"/>
      <c r="E544" s="1045" t="str">
        <f t="shared" ref="E544:E566" si="44">IF(K544=0,"",(VLOOKUP((TRIM(K544)),Code,2,)))</f>
        <v/>
      </c>
      <c r="F544" s="1046"/>
      <c r="G544" s="1046"/>
      <c r="H544" s="1046"/>
      <c r="I544" s="1046"/>
      <c r="J544" s="1047"/>
      <c r="K544" s="133"/>
      <c r="L544" s="62" t="str">
        <f t="shared" ref="L544:L571" si="45">IF(K544=0,"",VLOOKUP((TRIM(K544)),Code,3,))</f>
        <v/>
      </c>
      <c r="M544" s="14"/>
      <c r="N544" s="89">
        <f t="array" ref="N544">SUM(IF((CsDJ[JEV Number]=TRIM($T533))*(CsDJ[Account Code]=TRIM(K544)),CsDJ[Debit]))</f>
        <v>0</v>
      </c>
      <c r="O544" s="89">
        <f t="array" ref="O544">SUM(IF((CsDJ[JEV Number]=TRIM($T533))*(CsDJ[Account Code]=TRIM(K544)),CsDJ[Credit]))</f>
        <v>0</v>
      </c>
      <c r="P544" s="1040">
        <f>N544</f>
        <v>0</v>
      </c>
      <c r="Q544" s="1040"/>
      <c r="R544" s="1040"/>
      <c r="S544" s="1040">
        <f>O544</f>
        <v>0</v>
      </c>
      <c r="T544" s="1040"/>
      <c r="U544" s="1040"/>
      <c r="V544" s="1041"/>
    </row>
    <row r="545" spans="1:22" x14ac:dyDescent="0.25">
      <c r="A545" s="1038"/>
      <c r="B545" s="1039"/>
      <c r="C545" s="1039"/>
      <c r="D545" s="1039"/>
      <c r="E545" s="1045" t="str">
        <f t="shared" si="44"/>
        <v/>
      </c>
      <c r="F545" s="1046"/>
      <c r="G545" s="1046"/>
      <c r="H545" s="1046"/>
      <c r="I545" s="1046"/>
      <c r="J545" s="1047"/>
      <c r="K545" s="133"/>
      <c r="L545" s="62" t="str">
        <f t="shared" si="45"/>
        <v/>
      </c>
      <c r="M545" s="14"/>
      <c r="N545" s="89">
        <f t="array" ref="N545">SUM(IF((CsDJ[JEV Number]=TRIM($T533))*(CsDJ[Account Code]=TRIM(K545)),CsDJ[Debit]))</f>
        <v>0</v>
      </c>
      <c r="O545" s="89">
        <f t="array" ref="O545">SUM(IF((CsDJ[JEV Number]=TRIM($T533))*(CsDJ[Account Code]=TRIM(K545)),CsDJ[Credit]))</f>
        <v>0</v>
      </c>
      <c r="P545" s="1040">
        <f>N545</f>
        <v>0</v>
      </c>
      <c r="Q545" s="1040"/>
      <c r="R545" s="1040"/>
      <c r="S545" s="1040">
        <f>O545</f>
        <v>0</v>
      </c>
      <c r="T545" s="1040"/>
      <c r="U545" s="1040"/>
      <c r="V545" s="1041"/>
    </row>
    <row r="546" spans="1:22" x14ac:dyDescent="0.25">
      <c r="A546" s="1038"/>
      <c r="B546" s="1039"/>
      <c r="C546" s="1039"/>
      <c r="D546" s="1039"/>
      <c r="E546" s="1045" t="str">
        <f t="shared" si="44"/>
        <v/>
      </c>
      <c r="F546" s="1046"/>
      <c r="G546" s="1046"/>
      <c r="H546" s="1046"/>
      <c r="I546" s="1046"/>
      <c r="J546" s="1047"/>
      <c r="K546" s="133"/>
      <c r="L546" s="62" t="str">
        <f t="shared" si="45"/>
        <v/>
      </c>
      <c r="M546" s="14"/>
      <c r="N546" s="89">
        <f t="array" ref="N546">SUM(IF((CsDJ[JEV Number]=TRIM($T533))*(CsDJ[Account Code]=TRIM(K546)),CsDJ[Debit]))</f>
        <v>0</v>
      </c>
      <c r="O546" s="89">
        <f t="array" ref="O546">SUM(IF((CsDJ[JEV Number]=TRIM($T533))*(CsDJ[Account Code]=TRIM(K546)),CsDJ[Credit]))</f>
        <v>0</v>
      </c>
      <c r="P546" s="1040">
        <f t="shared" ref="P546:P571" si="46">N546</f>
        <v>0</v>
      </c>
      <c r="Q546" s="1040"/>
      <c r="R546" s="1040"/>
      <c r="S546" s="1040">
        <f t="shared" ref="S546:S571" si="47">O546</f>
        <v>0</v>
      </c>
      <c r="T546" s="1040"/>
      <c r="U546" s="1040"/>
      <c r="V546" s="1041"/>
    </row>
    <row r="547" spans="1:22" x14ac:dyDescent="0.25">
      <c r="A547" s="1038"/>
      <c r="B547" s="1039"/>
      <c r="C547" s="1039"/>
      <c r="D547" s="1039"/>
      <c r="E547" s="1045" t="str">
        <f t="shared" si="44"/>
        <v/>
      </c>
      <c r="F547" s="1046"/>
      <c r="G547" s="1046"/>
      <c r="H547" s="1046"/>
      <c r="I547" s="1046"/>
      <c r="J547" s="1047"/>
      <c r="K547" s="133"/>
      <c r="L547" s="62" t="str">
        <f t="shared" si="45"/>
        <v/>
      </c>
      <c r="M547" s="14"/>
      <c r="N547" s="89">
        <f t="array" ref="N547">SUM(IF((CsDJ[JEV Number]=TRIM($T533))*(CsDJ[Account Code]=TRIM(K547)),CsDJ[Debit]))</f>
        <v>0</v>
      </c>
      <c r="O547" s="89">
        <f t="array" ref="O547">SUM(IF((CsDJ[JEV Number]=TRIM($T533))*(CsDJ[Account Code]=TRIM(K547)),CsDJ[Credit]))</f>
        <v>0</v>
      </c>
      <c r="P547" s="1040">
        <f t="shared" si="46"/>
        <v>0</v>
      </c>
      <c r="Q547" s="1040"/>
      <c r="R547" s="1040"/>
      <c r="S547" s="1040">
        <f t="shared" si="47"/>
        <v>0</v>
      </c>
      <c r="T547" s="1040"/>
      <c r="U547" s="1040"/>
      <c r="V547" s="1041"/>
    </row>
    <row r="548" spans="1:22" x14ac:dyDescent="0.25">
      <c r="A548" s="1038"/>
      <c r="B548" s="1039"/>
      <c r="C548" s="1039"/>
      <c r="D548" s="1039"/>
      <c r="E548" s="1045" t="str">
        <f t="shared" si="44"/>
        <v/>
      </c>
      <c r="F548" s="1046"/>
      <c r="G548" s="1046"/>
      <c r="H548" s="1046"/>
      <c r="I548" s="1046"/>
      <c r="J548" s="1047"/>
      <c r="K548" s="133"/>
      <c r="L548" s="62" t="str">
        <f t="shared" si="45"/>
        <v/>
      </c>
      <c r="M548" s="14"/>
      <c r="N548" s="89">
        <f t="array" ref="N548">SUM(IF((CsDJ[JEV Number]=TRIM($T533))*(CsDJ[Account Code]=TRIM(K548)),CsDJ[Debit]))</f>
        <v>0</v>
      </c>
      <c r="O548" s="89">
        <f t="array" ref="O548">SUM(IF((CsDJ[JEV Number]=TRIM($T533))*(CsDJ[Account Code]=TRIM(K548)),CsDJ[Credit]))</f>
        <v>0</v>
      </c>
      <c r="P548" s="1040">
        <f t="shared" si="46"/>
        <v>0</v>
      </c>
      <c r="Q548" s="1040"/>
      <c r="R548" s="1040"/>
      <c r="S548" s="1040">
        <f t="shared" si="47"/>
        <v>0</v>
      </c>
      <c r="T548" s="1040"/>
      <c r="U548" s="1040"/>
      <c r="V548" s="1041"/>
    </row>
    <row r="549" spans="1:22" x14ac:dyDescent="0.25">
      <c r="A549" s="1038"/>
      <c r="B549" s="1039"/>
      <c r="C549" s="1039"/>
      <c r="D549" s="1039"/>
      <c r="E549" s="1045" t="str">
        <f t="shared" si="44"/>
        <v/>
      </c>
      <c r="F549" s="1046"/>
      <c r="G549" s="1046"/>
      <c r="H549" s="1046"/>
      <c r="I549" s="1046"/>
      <c r="J549" s="1047"/>
      <c r="K549" s="133"/>
      <c r="L549" s="62" t="str">
        <f t="shared" si="45"/>
        <v/>
      </c>
      <c r="M549" s="14"/>
      <c r="N549" s="89">
        <f t="array" ref="N549">SUM(IF((CsDJ[JEV Number]=TRIM($T533))*(CsDJ[Account Code]=TRIM(K549)),CsDJ[Debit]))</f>
        <v>0</v>
      </c>
      <c r="O549" s="89">
        <f t="array" ref="O549">SUM(IF((CsDJ[JEV Number]=TRIM($T533))*(CsDJ[Account Code]=TRIM(K549)),CsDJ[Credit]))</f>
        <v>0</v>
      </c>
      <c r="P549" s="1040">
        <f t="shared" si="46"/>
        <v>0</v>
      </c>
      <c r="Q549" s="1040"/>
      <c r="R549" s="1040"/>
      <c r="S549" s="1040">
        <f t="shared" si="47"/>
        <v>0</v>
      </c>
      <c r="T549" s="1040"/>
      <c r="U549" s="1040"/>
      <c r="V549" s="1041"/>
    </row>
    <row r="550" spans="1:22" x14ac:dyDescent="0.25">
      <c r="A550" s="1038"/>
      <c r="B550" s="1039"/>
      <c r="C550" s="1039"/>
      <c r="D550" s="1039"/>
      <c r="E550" s="1045" t="str">
        <f t="shared" si="44"/>
        <v/>
      </c>
      <c r="F550" s="1046"/>
      <c r="G550" s="1046"/>
      <c r="H550" s="1046"/>
      <c r="I550" s="1046"/>
      <c r="J550" s="1047"/>
      <c r="K550" s="133"/>
      <c r="L550" s="62" t="str">
        <f t="shared" si="45"/>
        <v/>
      </c>
      <c r="M550" s="14"/>
      <c r="N550" s="89">
        <f t="array" ref="N550">SUM(IF((CsDJ[JEV Number]=TRIM($T533))*(CsDJ[Account Code]=TRIM(K550)),CsDJ[Debit]))</f>
        <v>0</v>
      </c>
      <c r="O550" s="89">
        <f t="array" ref="O550">SUM(IF((CsDJ[JEV Number]=TRIM($T533))*(CsDJ[Account Code]=TRIM(K550)),CsDJ[Credit]))</f>
        <v>0</v>
      </c>
      <c r="P550" s="1040">
        <f t="shared" si="46"/>
        <v>0</v>
      </c>
      <c r="Q550" s="1040"/>
      <c r="R550" s="1040"/>
      <c r="S550" s="1040">
        <f t="shared" si="47"/>
        <v>0</v>
      </c>
      <c r="T550" s="1040"/>
      <c r="U550" s="1040"/>
      <c r="V550" s="1041"/>
    </row>
    <row r="551" spans="1:22" x14ac:dyDescent="0.25">
      <c r="A551" s="1038"/>
      <c r="B551" s="1039"/>
      <c r="C551" s="1039"/>
      <c r="D551" s="1039"/>
      <c r="E551" s="1045" t="str">
        <f t="shared" si="44"/>
        <v/>
      </c>
      <c r="F551" s="1046"/>
      <c r="G551" s="1046"/>
      <c r="H551" s="1046"/>
      <c r="I551" s="1046"/>
      <c r="J551" s="1047"/>
      <c r="K551" s="133"/>
      <c r="L551" s="62" t="str">
        <f t="shared" si="45"/>
        <v/>
      </c>
      <c r="M551" s="14"/>
      <c r="N551" s="89">
        <f t="array" ref="N551">SUM(IF((CsDJ[JEV Number]=TRIM($T533))*(CsDJ[Account Code]=TRIM(K551)),CsDJ[Debit]))</f>
        <v>0</v>
      </c>
      <c r="O551" s="89">
        <f t="array" ref="O551">SUM(IF((CsDJ[JEV Number]=TRIM($T533))*(CsDJ[Account Code]=TRIM(K551)),CsDJ[Credit]))</f>
        <v>0</v>
      </c>
      <c r="P551" s="1040">
        <f t="shared" si="46"/>
        <v>0</v>
      </c>
      <c r="Q551" s="1040"/>
      <c r="R551" s="1040"/>
      <c r="S551" s="1040">
        <f t="shared" si="47"/>
        <v>0</v>
      </c>
      <c r="T551" s="1040"/>
      <c r="U551" s="1040"/>
      <c r="V551" s="1041"/>
    </row>
    <row r="552" spans="1:22" x14ac:dyDescent="0.25">
      <c r="A552" s="1038"/>
      <c r="B552" s="1039"/>
      <c r="C552" s="1039"/>
      <c r="D552" s="1039"/>
      <c r="E552" s="1045" t="str">
        <f t="shared" si="44"/>
        <v/>
      </c>
      <c r="F552" s="1046"/>
      <c r="G552" s="1046"/>
      <c r="H552" s="1046"/>
      <c r="I552" s="1046"/>
      <c r="J552" s="1047"/>
      <c r="K552" s="134"/>
      <c r="L552" s="62" t="str">
        <f t="shared" si="45"/>
        <v/>
      </c>
      <c r="M552" s="14"/>
      <c r="N552" s="89">
        <f t="array" ref="N552">SUM(IF((CsDJ[JEV Number]=TRIM($T533))*(CsDJ[Account Code]=TRIM(K552)),CsDJ[Debit]))</f>
        <v>0</v>
      </c>
      <c r="O552" s="89">
        <f t="array" ref="O552">SUM(IF((CsDJ[JEV Number]=TRIM($T533))*(CsDJ[Account Code]=TRIM(K552)),CsDJ[Credit]))</f>
        <v>0</v>
      </c>
      <c r="P552" s="1040">
        <f t="shared" si="46"/>
        <v>0</v>
      </c>
      <c r="Q552" s="1040"/>
      <c r="R552" s="1040"/>
      <c r="S552" s="1040">
        <f t="shared" si="47"/>
        <v>0</v>
      </c>
      <c r="T552" s="1040"/>
      <c r="U552" s="1040"/>
      <c r="V552" s="1041"/>
    </row>
    <row r="553" spans="1:22" x14ac:dyDescent="0.25">
      <c r="A553" s="1038"/>
      <c r="B553" s="1039"/>
      <c r="C553" s="1039"/>
      <c r="D553" s="1039"/>
      <c r="E553" s="1045" t="str">
        <f t="shared" si="44"/>
        <v/>
      </c>
      <c r="F553" s="1046"/>
      <c r="G553" s="1046"/>
      <c r="H553" s="1046"/>
      <c r="I553" s="1046"/>
      <c r="J553" s="1047"/>
      <c r="K553" s="134"/>
      <c r="L553" s="62" t="str">
        <f t="shared" si="45"/>
        <v/>
      </c>
      <c r="M553" s="14"/>
      <c r="N553" s="89">
        <f t="array" ref="N553">SUM(IF((CsDJ[JEV Number]=TRIM($T533))*(CsDJ[Account Code]=TRIM(K553)),CsDJ[Debit]))</f>
        <v>0</v>
      </c>
      <c r="O553" s="89">
        <f t="array" ref="O553">SUM(IF((CsDJ[JEV Number]=TRIM($T533))*(CsDJ[Account Code]=TRIM(K553)),CsDJ[Credit]))</f>
        <v>0</v>
      </c>
      <c r="P553" s="1040">
        <f t="shared" si="46"/>
        <v>0</v>
      </c>
      <c r="Q553" s="1040"/>
      <c r="R553" s="1040"/>
      <c r="S553" s="1040">
        <f t="shared" si="47"/>
        <v>0</v>
      </c>
      <c r="T553" s="1040"/>
      <c r="U553" s="1040"/>
      <c r="V553" s="1041"/>
    </row>
    <row r="554" spans="1:22" x14ac:dyDescent="0.25">
      <c r="A554" s="1038"/>
      <c r="B554" s="1039"/>
      <c r="C554" s="1039"/>
      <c r="D554" s="1039"/>
      <c r="E554" s="1045" t="str">
        <f t="shared" si="44"/>
        <v/>
      </c>
      <c r="F554" s="1046"/>
      <c r="G554" s="1046"/>
      <c r="H554" s="1046"/>
      <c r="I554" s="1046"/>
      <c r="J554" s="1047"/>
      <c r="K554" s="134"/>
      <c r="L554" s="62" t="str">
        <f t="shared" si="45"/>
        <v/>
      </c>
      <c r="M554" s="14"/>
      <c r="N554" s="89">
        <f t="array" ref="N554">SUM(IF((CsDJ[JEV Number]=TRIM($T533))*(CsDJ[Account Code]=TRIM(K554)),CsDJ[Debit]))</f>
        <v>0</v>
      </c>
      <c r="O554" s="89">
        <f t="array" ref="O554">SUM(IF((CsDJ[JEV Number]=TRIM($T533))*(CsDJ[Account Code]=TRIM(K554)),CsDJ[Credit]))</f>
        <v>0</v>
      </c>
      <c r="P554" s="1040">
        <f t="shared" si="46"/>
        <v>0</v>
      </c>
      <c r="Q554" s="1040"/>
      <c r="R554" s="1040"/>
      <c r="S554" s="1040">
        <f t="shared" si="47"/>
        <v>0</v>
      </c>
      <c r="T554" s="1040"/>
      <c r="U554" s="1040"/>
      <c r="V554" s="1041"/>
    </row>
    <row r="555" spans="1:22" x14ac:dyDescent="0.25">
      <c r="A555" s="1038"/>
      <c r="B555" s="1039"/>
      <c r="C555" s="1039"/>
      <c r="D555" s="1039"/>
      <c r="E555" s="1045" t="str">
        <f t="shared" si="44"/>
        <v/>
      </c>
      <c r="F555" s="1046"/>
      <c r="G555" s="1046"/>
      <c r="H555" s="1046"/>
      <c r="I555" s="1046"/>
      <c r="J555" s="1047"/>
      <c r="K555" s="134"/>
      <c r="L555" s="62" t="str">
        <f t="shared" si="45"/>
        <v/>
      </c>
      <c r="M555" s="14"/>
      <c r="N555" s="89">
        <f t="array" ref="N555">SUM(IF((CsDJ[JEV Number]=TRIM($T533))*(CsDJ[Account Code]=TRIM(K555)),CsDJ[Debit]))</f>
        <v>0</v>
      </c>
      <c r="O555" s="89">
        <f t="array" ref="O555">SUM(IF((CsDJ[JEV Number]=TRIM($T533))*(CsDJ[Account Code]=TRIM(K555)),CsDJ[Credit]))</f>
        <v>0</v>
      </c>
      <c r="P555" s="1040">
        <f t="shared" si="46"/>
        <v>0</v>
      </c>
      <c r="Q555" s="1040"/>
      <c r="R555" s="1040"/>
      <c r="S555" s="1040">
        <f t="shared" si="47"/>
        <v>0</v>
      </c>
      <c r="T555" s="1040"/>
      <c r="U555" s="1040"/>
      <c r="V555" s="1041"/>
    </row>
    <row r="556" spans="1:22" x14ac:dyDescent="0.25">
      <c r="A556" s="1038"/>
      <c r="B556" s="1039"/>
      <c r="C556" s="1039"/>
      <c r="D556" s="1039"/>
      <c r="E556" s="1045" t="str">
        <f t="shared" si="44"/>
        <v/>
      </c>
      <c r="F556" s="1046"/>
      <c r="G556" s="1046"/>
      <c r="H556" s="1046"/>
      <c r="I556" s="1046"/>
      <c r="J556" s="1047"/>
      <c r="K556" s="134"/>
      <c r="L556" s="62" t="str">
        <f t="shared" si="45"/>
        <v/>
      </c>
      <c r="M556" s="14"/>
      <c r="N556" s="89">
        <f t="array" ref="N556">SUM(IF((CsDJ[JEV Number]=TRIM($T533))*(CsDJ[Account Code]=TRIM(K556)),CsDJ[Debit]))</f>
        <v>0</v>
      </c>
      <c r="O556" s="89">
        <f t="array" ref="O556">SUM(IF((CsDJ[JEV Number]=TRIM($T533))*(CsDJ[Account Code]=TRIM(K556)),CsDJ[Credit]))</f>
        <v>0</v>
      </c>
      <c r="P556" s="1040">
        <f t="shared" si="46"/>
        <v>0</v>
      </c>
      <c r="Q556" s="1040"/>
      <c r="R556" s="1040"/>
      <c r="S556" s="1040">
        <f t="shared" si="47"/>
        <v>0</v>
      </c>
      <c r="T556" s="1040"/>
      <c r="U556" s="1040"/>
      <c r="V556" s="1041"/>
    </row>
    <row r="557" spans="1:22" x14ac:dyDescent="0.25">
      <c r="A557" s="1038"/>
      <c r="B557" s="1039"/>
      <c r="C557" s="1039"/>
      <c r="D557" s="1039"/>
      <c r="E557" s="1045" t="str">
        <f t="shared" si="44"/>
        <v/>
      </c>
      <c r="F557" s="1046"/>
      <c r="G557" s="1046"/>
      <c r="H557" s="1046"/>
      <c r="I557" s="1046"/>
      <c r="J557" s="1047"/>
      <c r="K557" s="134"/>
      <c r="L557" s="62" t="str">
        <f t="shared" si="45"/>
        <v/>
      </c>
      <c r="M557" s="14"/>
      <c r="N557" s="89">
        <f t="array" ref="N557">SUM(IF((CsDJ[JEV Number]=TRIM($T533))*(CsDJ[Account Code]=TRIM(K557)),CsDJ[Debit]))</f>
        <v>0</v>
      </c>
      <c r="O557" s="89">
        <f t="array" ref="O557">SUM(IF((CsDJ[JEV Number]=TRIM($T533))*(CsDJ[Account Code]=TRIM(K557)),CsDJ[Credit]))</f>
        <v>0</v>
      </c>
      <c r="P557" s="1040">
        <f t="shared" si="46"/>
        <v>0</v>
      </c>
      <c r="Q557" s="1040"/>
      <c r="R557" s="1040"/>
      <c r="S557" s="1040">
        <f t="shared" si="47"/>
        <v>0</v>
      </c>
      <c r="T557" s="1040"/>
      <c r="U557" s="1040"/>
      <c r="V557" s="1041"/>
    </row>
    <row r="558" spans="1:22" x14ac:dyDescent="0.25">
      <c r="A558" s="1038"/>
      <c r="B558" s="1039"/>
      <c r="C558" s="1039"/>
      <c r="D558" s="1039"/>
      <c r="E558" s="1045" t="str">
        <f t="shared" si="44"/>
        <v/>
      </c>
      <c r="F558" s="1046"/>
      <c r="G558" s="1046"/>
      <c r="H558" s="1046"/>
      <c r="I558" s="1046"/>
      <c r="J558" s="1047"/>
      <c r="K558" s="134"/>
      <c r="L558" s="62" t="str">
        <f t="shared" si="45"/>
        <v/>
      </c>
      <c r="M558" s="14"/>
      <c r="N558" s="89">
        <f t="array" ref="N558">SUM(IF((CsDJ[JEV Number]=TRIM($T533))*(CsDJ[Account Code]=TRIM(K558)),CsDJ[Debit]))</f>
        <v>0</v>
      </c>
      <c r="O558" s="89">
        <f t="array" ref="O558">SUM(IF((CsDJ[JEV Number]=TRIM($T533))*(CsDJ[Account Code]=TRIM(K558)),CsDJ[Credit]))</f>
        <v>0</v>
      </c>
      <c r="P558" s="1040">
        <f t="shared" si="46"/>
        <v>0</v>
      </c>
      <c r="Q558" s="1040"/>
      <c r="R558" s="1040"/>
      <c r="S558" s="1040">
        <f t="shared" si="47"/>
        <v>0</v>
      </c>
      <c r="T558" s="1040"/>
      <c r="U558" s="1040"/>
      <c r="V558" s="1041"/>
    </row>
    <row r="559" spans="1:22" x14ac:dyDescent="0.25">
      <c r="A559" s="1038"/>
      <c r="B559" s="1039"/>
      <c r="C559" s="1039"/>
      <c r="D559" s="1039"/>
      <c r="E559" s="1045" t="str">
        <f t="shared" si="44"/>
        <v/>
      </c>
      <c r="F559" s="1046"/>
      <c r="G559" s="1046"/>
      <c r="H559" s="1046"/>
      <c r="I559" s="1046"/>
      <c r="J559" s="1047"/>
      <c r="K559" s="134"/>
      <c r="L559" s="62" t="str">
        <f t="shared" si="45"/>
        <v/>
      </c>
      <c r="M559" s="14"/>
      <c r="N559" s="89">
        <f t="array" ref="N559">SUM(IF((CsDJ[JEV Number]=TRIM($T533))*(CsDJ[Account Code]=TRIM(K559)),CsDJ[Debit]))</f>
        <v>0</v>
      </c>
      <c r="O559" s="89">
        <f t="array" ref="O559">SUM(IF((CsDJ[JEV Number]=TRIM($T533))*(CsDJ[Account Code]=TRIM(K559)),CsDJ[Credit]))</f>
        <v>0</v>
      </c>
      <c r="P559" s="1040">
        <f t="shared" si="46"/>
        <v>0</v>
      </c>
      <c r="Q559" s="1040"/>
      <c r="R559" s="1040"/>
      <c r="S559" s="1040">
        <f t="shared" si="47"/>
        <v>0</v>
      </c>
      <c r="T559" s="1040"/>
      <c r="U559" s="1040"/>
      <c r="V559" s="1041"/>
    </row>
    <row r="560" spans="1:22" x14ac:dyDescent="0.25">
      <c r="A560" s="1038"/>
      <c r="B560" s="1039"/>
      <c r="C560" s="1039"/>
      <c r="D560" s="1039"/>
      <c r="E560" s="1045" t="str">
        <f t="shared" si="44"/>
        <v/>
      </c>
      <c r="F560" s="1046"/>
      <c r="G560" s="1046"/>
      <c r="H560" s="1046"/>
      <c r="I560" s="1046"/>
      <c r="J560" s="1047"/>
      <c r="K560" s="134"/>
      <c r="L560" s="62" t="str">
        <f t="shared" si="45"/>
        <v/>
      </c>
      <c r="M560" s="14"/>
      <c r="N560" s="89">
        <f t="array" ref="N560">SUM(IF((CsDJ[JEV Number]=TRIM($T533))*(CsDJ[Account Code]=TRIM(K560)),CsDJ[Debit]))</f>
        <v>0</v>
      </c>
      <c r="O560" s="89">
        <f t="array" ref="O560">SUM(IF((CsDJ[JEV Number]=TRIM($T533))*(CsDJ[Account Code]=TRIM(K560)),CsDJ[Credit]))</f>
        <v>0</v>
      </c>
      <c r="P560" s="1040">
        <f t="shared" si="46"/>
        <v>0</v>
      </c>
      <c r="Q560" s="1040"/>
      <c r="R560" s="1040"/>
      <c r="S560" s="1040">
        <f t="shared" si="47"/>
        <v>0</v>
      </c>
      <c r="T560" s="1040"/>
      <c r="U560" s="1040"/>
      <c r="V560" s="1041"/>
    </row>
    <row r="561" spans="1:22" x14ac:dyDescent="0.25">
      <c r="A561" s="1038"/>
      <c r="B561" s="1039"/>
      <c r="C561" s="1039"/>
      <c r="D561" s="1039"/>
      <c r="E561" s="1045" t="str">
        <f t="shared" si="44"/>
        <v/>
      </c>
      <c r="F561" s="1046"/>
      <c r="G561" s="1046"/>
      <c r="H561" s="1046"/>
      <c r="I561" s="1046"/>
      <c r="J561" s="1047"/>
      <c r="K561" s="134"/>
      <c r="L561" s="62" t="str">
        <f t="shared" si="45"/>
        <v/>
      </c>
      <c r="M561" s="14"/>
      <c r="N561" s="89">
        <f t="array" ref="N561">SUM(IF((CsDJ[JEV Number]=TRIM($T533))*(CsDJ[Account Code]=TRIM(K561)),CsDJ[Debit]))</f>
        <v>0</v>
      </c>
      <c r="O561" s="89">
        <f t="array" ref="O561">SUM(IF((CsDJ[JEV Number]=TRIM($T533))*(CsDJ[Account Code]=TRIM(K561)),CsDJ[Credit]))</f>
        <v>0</v>
      </c>
      <c r="P561" s="1040">
        <f t="shared" si="46"/>
        <v>0</v>
      </c>
      <c r="Q561" s="1040"/>
      <c r="R561" s="1040"/>
      <c r="S561" s="1040">
        <f t="shared" si="47"/>
        <v>0</v>
      </c>
      <c r="T561" s="1040"/>
      <c r="U561" s="1040"/>
      <c r="V561" s="1041"/>
    </row>
    <row r="562" spans="1:22" x14ac:dyDescent="0.25">
      <c r="A562" s="1038"/>
      <c r="B562" s="1039"/>
      <c r="C562" s="1039"/>
      <c r="D562" s="1039"/>
      <c r="E562" s="1045" t="str">
        <f t="shared" si="44"/>
        <v/>
      </c>
      <c r="F562" s="1046"/>
      <c r="G562" s="1046"/>
      <c r="H562" s="1046"/>
      <c r="I562" s="1046"/>
      <c r="J562" s="1047"/>
      <c r="K562" s="134"/>
      <c r="L562" s="62" t="str">
        <f t="shared" si="45"/>
        <v/>
      </c>
      <c r="M562" s="14"/>
      <c r="N562" s="89">
        <f t="array" ref="N562">SUM(IF((CsDJ[JEV Number]=TRIM($T533))*(CsDJ[Account Code]=TRIM(K562)),CsDJ[Debit]))</f>
        <v>0</v>
      </c>
      <c r="O562" s="89">
        <f t="array" ref="O562">SUM(IF((CsDJ[JEV Number]=TRIM($T533))*(CsDJ[Account Code]=TRIM(K562)),CsDJ[Credit]))</f>
        <v>0</v>
      </c>
      <c r="P562" s="1040">
        <f t="shared" si="46"/>
        <v>0</v>
      </c>
      <c r="Q562" s="1040"/>
      <c r="R562" s="1040"/>
      <c r="S562" s="1040">
        <f t="shared" si="47"/>
        <v>0</v>
      </c>
      <c r="T562" s="1040"/>
      <c r="U562" s="1040"/>
      <c r="V562" s="1041"/>
    </row>
    <row r="563" spans="1:22" x14ac:dyDescent="0.25">
      <c r="A563" s="1038"/>
      <c r="B563" s="1039"/>
      <c r="C563" s="1039"/>
      <c r="D563" s="1039"/>
      <c r="E563" s="1045" t="str">
        <f t="shared" si="44"/>
        <v/>
      </c>
      <c r="F563" s="1046"/>
      <c r="G563" s="1046"/>
      <c r="H563" s="1046"/>
      <c r="I563" s="1046"/>
      <c r="J563" s="1047"/>
      <c r="K563" s="134"/>
      <c r="L563" s="62" t="str">
        <f t="shared" si="45"/>
        <v/>
      </c>
      <c r="M563" s="14"/>
      <c r="N563" s="89">
        <f t="array" ref="N563">SUM(IF((CsDJ[JEV Number]=TRIM($T533))*(CsDJ[Account Code]=TRIM(K563)),CsDJ[Debit]))</f>
        <v>0</v>
      </c>
      <c r="O563" s="89">
        <f t="array" ref="O563">SUM(IF((CsDJ[JEV Number]=TRIM($T533))*(CsDJ[Account Code]=TRIM(K563)),CsDJ[Credit]))</f>
        <v>0</v>
      </c>
      <c r="P563" s="1040">
        <f t="shared" si="46"/>
        <v>0</v>
      </c>
      <c r="Q563" s="1040"/>
      <c r="R563" s="1040"/>
      <c r="S563" s="1040">
        <f t="shared" si="47"/>
        <v>0</v>
      </c>
      <c r="T563" s="1040"/>
      <c r="U563" s="1040"/>
      <c r="V563" s="1041"/>
    </row>
    <row r="564" spans="1:22" x14ac:dyDescent="0.25">
      <c r="A564" s="1038"/>
      <c r="B564" s="1039"/>
      <c r="C564" s="1039"/>
      <c r="D564" s="1039"/>
      <c r="E564" s="1045" t="str">
        <f t="shared" si="44"/>
        <v/>
      </c>
      <c r="F564" s="1046"/>
      <c r="G564" s="1046"/>
      <c r="H564" s="1046"/>
      <c r="I564" s="1046"/>
      <c r="J564" s="1047"/>
      <c r="K564" s="134"/>
      <c r="L564" s="62" t="str">
        <f t="shared" si="45"/>
        <v/>
      </c>
      <c r="M564" s="14"/>
      <c r="N564" s="89">
        <f t="array" ref="N564">SUM(IF((CsDJ[JEV Number]=TRIM($T533))*(CsDJ[Account Code]=TRIM(K564)),CsDJ[Debit]))</f>
        <v>0</v>
      </c>
      <c r="O564" s="89">
        <f t="array" ref="O564">SUM(IF((CsDJ[JEV Number]=TRIM($T533))*(CsDJ[Account Code]=TRIM(K564)),CsDJ[Credit]))</f>
        <v>0</v>
      </c>
      <c r="P564" s="1040">
        <f t="shared" si="46"/>
        <v>0</v>
      </c>
      <c r="Q564" s="1040"/>
      <c r="R564" s="1040"/>
      <c r="S564" s="1040">
        <f t="shared" si="47"/>
        <v>0</v>
      </c>
      <c r="T564" s="1040"/>
      <c r="U564" s="1040"/>
      <c r="V564" s="1041"/>
    </row>
    <row r="565" spans="1:22" x14ac:dyDescent="0.25">
      <c r="A565" s="1038"/>
      <c r="B565" s="1039"/>
      <c r="C565" s="1039"/>
      <c r="D565" s="1039"/>
      <c r="E565" s="1045" t="str">
        <f t="shared" si="44"/>
        <v/>
      </c>
      <c r="F565" s="1046"/>
      <c r="G565" s="1046"/>
      <c r="H565" s="1046"/>
      <c r="I565" s="1046"/>
      <c r="J565" s="1047"/>
      <c r="K565" s="134"/>
      <c r="L565" s="62" t="str">
        <f t="shared" si="45"/>
        <v/>
      </c>
      <c r="M565" s="14"/>
      <c r="N565" s="89">
        <f t="array" ref="N565">SUM(IF((CsDJ[JEV Number]=TRIM($T533))*(CsDJ[Account Code]=TRIM(K565)),CsDJ[Debit]))</f>
        <v>0</v>
      </c>
      <c r="O565" s="89">
        <f t="array" ref="O565">SUM(IF((CsDJ[JEV Number]=TRIM($T533))*(CsDJ[Account Code]=TRIM(K565)),CsDJ[Credit]))</f>
        <v>0</v>
      </c>
      <c r="P565" s="1040">
        <f t="shared" si="46"/>
        <v>0</v>
      </c>
      <c r="Q565" s="1040"/>
      <c r="R565" s="1040"/>
      <c r="S565" s="1040">
        <f t="shared" si="47"/>
        <v>0</v>
      </c>
      <c r="T565" s="1040"/>
      <c r="U565" s="1040"/>
      <c r="V565" s="1041"/>
    </row>
    <row r="566" spans="1:22" x14ac:dyDescent="0.25">
      <c r="A566" s="1038"/>
      <c r="B566" s="1039"/>
      <c r="C566" s="1039"/>
      <c r="D566" s="1039"/>
      <c r="E566" s="1045" t="str">
        <f t="shared" si="44"/>
        <v/>
      </c>
      <c r="F566" s="1046"/>
      <c r="G566" s="1046"/>
      <c r="H566" s="1046"/>
      <c r="I566" s="1046"/>
      <c r="J566" s="1047"/>
      <c r="K566" s="134"/>
      <c r="L566" s="62" t="str">
        <f t="shared" si="45"/>
        <v/>
      </c>
      <c r="M566" s="14"/>
      <c r="N566" s="89">
        <f t="array" ref="N566">SUM(IF((CsDJ[JEV Number]=TRIM($T533))*(CsDJ[Account Code]=TRIM(K566)),CsDJ[Debit]))</f>
        <v>0</v>
      </c>
      <c r="O566" s="89">
        <f t="array" ref="O566">SUM(IF((CsDJ[JEV Number]=TRIM($T533))*(CsDJ[Account Code]=TRIM(K566)),CsDJ[Credit]))</f>
        <v>0</v>
      </c>
      <c r="P566" s="1040">
        <f t="shared" si="46"/>
        <v>0</v>
      </c>
      <c r="Q566" s="1040"/>
      <c r="R566" s="1040"/>
      <c r="S566" s="1040">
        <f t="shared" si="47"/>
        <v>0</v>
      </c>
      <c r="T566" s="1040"/>
      <c r="U566" s="1040"/>
      <c r="V566" s="1041"/>
    </row>
    <row r="567" spans="1:22" x14ac:dyDescent="0.25">
      <c r="A567" s="1038"/>
      <c r="B567" s="1039"/>
      <c r="C567" s="1039"/>
      <c r="D567" s="1039"/>
      <c r="E567" s="1108" t="s">
        <v>468</v>
      </c>
      <c r="F567" s="1109"/>
      <c r="G567" s="1109"/>
      <c r="H567" s="1109"/>
      <c r="I567" s="1109"/>
      <c r="J567" s="1110"/>
      <c r="K567" s="133"/>
      <c r="L567" s="62" t="str">
        <f t="shared" si="45"/>
        <v/>
      </c>
      <c r="M567" s="14"/>
      <c r="N567" s="89">
        <f t="array" ref="N567">SUM(IF((CsDJ[JEV Number]=TRIM($T533))*(CsDJ[Account Code]=TRIM(K567)),CsDJ[Debit]))</f>
        <v>0</v>
      </c>
      <c r="O567" s="89">
        <f t="array" ref="O567">SUM(IF((CsDJ[JEV Number]=TRIM($T533))*(CsDJ[Account Code]=TRIM(K567)),CsDJ[Credit]))</f>
        <v>0</v>
      </c>
      <c r="P567" s="1040">
        <f t="shared" si="46"/>
        <v>0</v>
      </c>
      <c r="Q567" s="1040"/>
      <c r="R567" s="1040"/>
      <c r="S567" s="1040">
        <f t="shared" si="47"/>
        <v>0</v>
      </c>
      <c r="T567" s="1040"/>
      <c r="U567" s="1040"/>
      <c r="V567" s="1041"/>
    </row>
    <row r="568" spans="1:22" x14ac:dyDescent="0.25">
      <c r="A568" s="1038"/>
      <c r="B568" s="1039"/>
      <c r="C568" s="1039"/>
      <c r="D568" s="1039"/>
      <c r="E568" s="1048" t="s">
        <v>457</v>
      </c>
      <c r="F568" s="1049"/>
      <c r="G568" s="1049"/>
      <c r="H568" s="1049"/>
      <c r="I568" s="1051">
        <f>T534</f>
        <v>0</v>
      </c>
      <c r="J568" s="1052"/>
      <c r="K568" s="133"/>
      <c r="L568" s="62" t="str">
        <f t="shared" si="45"/>
        <v/>
      </c>
      <c r="M568" s="14"/>
      <c r="N568" s="89">
        <f t="array" ref="N568">SUM(IF((CsDJ[JEV Number]=TRIM($T533))*(CsDJ[Account Code]=TRIM(K568)),CsDJ[Debit]))</f>
        <v>0</v>
      </c>
      <c r="O568" s="89">
        <f t="array" ref="O568">SUM(IF((CsDJ[JEV Number]=TRIM($T533))*(CsDJ[Account Code]=TRIM(K568)),CsDJ[Credit]))</f>
        <v>0</v>
      </c>
      <c r="P568" s="1040">
        <f t="shared" si="46"/>
        <v>0</v>
      </c>
      <c r="Q568" s="1040"/>
      <c r="R568" s="1040"/>
      <c r="S568" s="1040">
        <f t="shared" si="47"/>
        <v>0</v>
      </c>
      <c r="T568" s="1040"/>
      <c r="U568" s="1040"/>
      <c r="V568" s="1041"/>
    </row>
    <row r="569" spans="1:22" x14ac:dyDescent="0.25">
      <c r="A569" s="1038"/>
      <c r="B569" s="1039"/>
      <c r="C569" s="1039"/>
      <c r="D569" s="1039"/>
      <c r="E569" s="1048" t="s">
        <v>458</v>
      </c>
      <c r="F569" s="1049"/>
      <c r="G569" s="1049"/>
      <c r="H569" s="1049"/>
      <c r="I569" s="1106">
        <f>IF(T533=0,0,(IF(LOOKUP(T533,CsDJ[JEV Number],CsDJ[Sort Code])="1","MA. VIVIAN C. SALAS",IF(LOOKUP(T533,CsDJ[JEV Number],CsDJ[Sort Code])="2","LUZ R. DE COZAR",IF(LOOKUP(T533,CsDJ[JEV Number],CsDJ[Sort Code])="3","MINEONETTE A. DELA CRUZ",IF(LOOKUP(T533,CsDJ[JEV Number],CsDJ[Sort Code])="4","RESELLA B. LOPEZ"))))))</f>
        <v>0</v>
      </c>
      <c r="J569" s="1107"/>
      <c r="K569" s="133"/>
      <c r="L569" s="62" t="str">
        <f t="shared" si="45"/>
        <v/>
      </c>
      <c r="M569" s="14"/>
      <c r="N569" s="89">
        <f t="array" ref="N569">SUM(IF((CsDJ[JEV Number]=TRIM($T533))*(CsDJ[Account Code]=TRIM(K569)),CsDJ[Debit]))</f>
        <v>0</v>
      </c>
      <c r="O569" s="89">
        <f t="array" ref="O569">SUM(IF((CsDJ[JEV Number]=TRIM($T533))*(CsDJ[Account Code]=TRIM(K569)),CsDJ[Credit]))</f>
        <v>0</v>
      </c>
      <c r="P569" s="1040">
        <f t="shared" si="46"/>
        <v>0</v>
      </c>
      <c r="Q569" s="1040"/>
      <c r="R569" s="1040"/>
      <c r="S569" s="1040">
        <f t="shared" si="47"/>
        <v>0</v>
      </c>
      <c r="T569" s="1040"/>
      <c r="U569" s="1040"/>
      <c r="V569" s="1041"/>
    </row>
    <row r="570" spans="1:22" x14ac:dyDescent="0.25">
      <c r="A570" s="1038"/>
      <c r="B570" s="1039"/>
      <c r="C570" s="1039"/>
      <c r="D570" s="1039"/>
      <c r="E570" s="1048" t="s">
        <v>459</v>
      </c>
      <c r="F570" s="1049"/>
      <c r="G570" s="1049"/>
      <c r="H570" s="1049"/>
      <c r="I570" s="1043">
        <f>IF(I569="Ma. Vivian C. Salas","Regional Office", IF(I569="Luz R. De Cozar","BANE IMO", IF(I569="Mineonette A. Dela Cruz","PAMBAT IMO", IF(I569="Resella B. Lopez","TARZAM IMO",0))))</f>
        <v>0</v>
      </c>
      <c r="J570" s="1044"/>
      <c r="K570" s="133"/>
      <c r="L570" s="62" t="str">
        <f t="shared" si="45"/>
        <v/>
      </c>
      <c r="M570" s="14"/>
      <c r="N570" s="89">
        <f t="array" ref="N570">SUM(IF((CsDJ[JEV Number]=TRIM($T533))*(CsDJ[Account Code]=TRIM(K570)),CsDJ[Debit]))</f>
        <v>0</v>
      </c>
      <c r="O570" s="89">
        <f t="array" ref="O570">SUM(IF((CsDJ[JEV Number]=TRIM($T533))*(CsDJ[Account Code]=TRIM(K570)),CsDJ[Credit]))</f>
        <v>0</v>
      </c>
      <c r="P570" s="1040">
        <f t="shared" si="46"/>
        <v>0</v>
      </c>
      <c r="Q570" s="1040"/>
      <c r="R570" s="1040"/>
      <c r="S570" s="1040">
        <f t="shared" si="47"/>
        <v>0</v>
      </c>
      <c r="T570" s="1040"/>
      <c r="U570" s="1040"/>
      <c r="V570" s="1041"/>
    </row>
    <row r="571" spans="1:22" x14ac:dyDescent="0.25">
      <c r="A571" s="1038"/>
      <c r="B571" s="1039"/>
      <c r="C571" s="1039"/>
      <c r="D571" s="1039"/>
      <c r="E571" s="1048"/>
      <c r="F571" s="1049"/>
      <c r="G571" s="1049"/>
      <c r="H571" s="1049"/>
      <c r="I571" s="1049"/>
      <c r="J571" s="1050"/>
      <c r="K571" s="133"/>
      <c r="L571" s="62" t="str">
        <f t="shared" si="45"/>
        <v/>
      </c>
      <c r="M571" s="14"/>
      <c r="N571" s="89">
        <f t="array" ref="N571">SUM(IF((CsDJ[JEV Number]=TRIM($T533))*(CsDJ[Account Code]=TRIM(K571)),CsDJ[Debit]))</f>
        <v>0</v>
      </c>
      <c r="O571" s="89">
        <f t="array" ref="O571">SUM(IF((CsDJ[JEV Number]=TRIM($T533))*(CsDJ[Account Code]=TRIM(K571)),CsDJ[Credit]))</f>
        <v>0</v>
      </c>
      <c r="P571" s="1040">
        <f t="shared" si="46"/>
        <v>0</v>
      </c>
      <c r="Q571" s="1040"/>
      <c r="R571" s="1040"/>
      <c r="S571" s="1040">
        <f t="shared" si="47"/>
        <v>0</v>
      </c>
      <c r="T571" s="1040"/>
      <c r="U571" s="1040"/>
      <c r="V571" s="1041"/>
    </row>
    <row r="572" spans="1:22" ht="16.5" thickBot="1" x14ac:dyDescent="0.3">
      <c r="A572" s="1091"/>
      <c r="B572" s="1092"/>
      <c r="C572" s="1092"/>
      <c r="D572" s="1092"/>
      <c r="E572" s="1092"/>
      <c r="F572" s="1092"/>
      <c r="G572" s="1092"/>
      <c r="H572" s="1092"/>
      <c r="I572" s="1092"/>
      <c r="J572" s="1092"/>
      <c r="K572" s="1092"/>
      <c r="L572" s="1092"/>
      <c r="M572" s="1093"/>
      <c r="N572" s="88"/>
      <c r="O572" s="88"/>
      <c r="P572" s="1094">
        <f>SUM(P542:R571)</f>
        <v>0</v>
      </c>
      <c r="Q572" s="1094"/>
      <c r="R572" s="1094"/>
      <c r="S572" s="1094">
        <f>SUM(S542:V571)</f>
        <v>0</v>
      </c>
      <c r="T572" s="1094"/>
      <c r="U572" s="1094"/>
      <c r="V572" s="1095"/>
    </row>
    <row r="573" spans="1:22" x14ac:dyDescent="0.25">
      <c r="A573" s="63"/>
      <c r="B573" s="64"/>
      <c r="C573" s="64"/>
      <c r="D573" s="64"/>
      <c r="E573" s="64"/>
      <c r="F573" s="64"/>
      <c r="G573" s="64"/>
      <c r="H573" s="64"/>
      <c r="I573" s="65"/>
      <c r="J573" s="64"/>
      <c r="K573" s="66"/>
      <c r="L573" s="64"/>
      <c r="M573" s="65"/>
      <c r="N573" s="64"/>
      <c r="O573" s="64"/>
      <c r="P573" s="1090"/>
      <c r="Q573" s="1090"/>
      <c r="R573" s="1090"/>
      <c r="S573" s="1090"/>
      <c r="T573" s="1090"/>
      <c r="U573" s="1090"/>
      <c r="V573" s="1096"/>
    </row>
    <row r="574" spans="1:22" x14ac:dyDescent="0.25">
      <c r="A574" s="67" t="s">
        <v>460</v>
      </c>
      <c r="B574"/>
      <c r="C574"/>
      <c r="D574"/>
      <c r="E574"/>
      <c r="F574"/>
      <c r="G574"/>
      <c r="H574"/>
      <c r="I574" s="68" t="s">
        <v>353</v>
      </c>
      <c r="J574" s="69"/>
      <c r="K574" s="69"/>
      <c r="L574"/>
      <c r="M574" s="68" t="s">
        <v>461</v>
      </c>
      <c r="N574" s="69"/>
      <c r="O574" s="69"/>
      <c r="P574" s="70"/>
      <c r="Q574" s="70"/>
      <c r="R574" s="70"/>
      <c r="S574" s="70"/>
      <c r="T574" s="70"/>
      <c r="U574" s="70"/>
      <c r="V574" s="71"/>
    </row>
    <row r="575" spans="1:22" x14ac:dyDescent="0.25">
      <c r="A575" s="37"/>
      <c r="B575"/>
      <c r="C575"/>
      <c r="D575"/>
      <c r="E575"/>
      <c r="F575"/>
      <c r="G575"/>
      <c r="H575"/>
      <c r="I575" s="72"/>
      <c r="J575"/>
      <c r="K575"/>
      <c r="L575"/>
      <c r="M575" s="72"/>
      <c r="N575"/>
      <c r="O575"/>
      <c r="P575"/>
      <c r="Q575"/>
      <c r="R575"/>
      <c r="S575"/>
      <c r="T575"/>
      <c r="U575"/>
      <c r="V575" s="73"/>
    </row>
    <row r="576" spans="1:22" x14ac:dyDescent="0.25">
      <c r="A576" s="74" t="s">
        <v>462</v>
      </c>
      <c r="B576" s="75"/>
      <c r="C576" s="75"/>
      <c r="D576" s="75"/>
      <c r="E576" s="75"/>
      <c r="F576" s="75"/>
      <c r="G576" s="75"/>
      <c r="H576" s="76"/>
      <c r="I576" s="77" t="s">
        <v>380</v>
      </c>
      <c r="J576" s="75"/>
      <c r="K576" s="75"/>
      <c r="L576" s="76"/>
      <c r="M576" s="77" t="s">
        <v>3</v>
      </c>
      <c r="N576" s="75"/>
      <c r="O576" s="75"/>
      <c r="P576" s="75"/>
      <c r="Q576" s="75"/>
      <c r="R576" s="75"/>
      <c r="S576" s="75"/>
      <c r="T576" s="75"/>
      <c r="U576" s="75"/>
      <c r="V576" s="78"/>
    </row>
    <row r="577" spans="1:22" x14ac:dyDescent="0.25">
      <c r="A577" s="79" t="s">
        <v>463</v>
      </c>
      <c r="B577" s="80"/>
      <c r="C577" s="80"/>
      <c r="D577" s="80"/>
      <c r="E577" s="80"/>
      <c r="F577" s="80"/>
      <c r="G577" s="80"/>
      <c r="H577" s="80"/>
      <c r="I577" s="81" t="s">
        <v>381</v>
      </c>
      <c r="J577" s="80"/>
      <c r="K577" s="80"/>
      <c r="L577" s="80"/>
      <c r="M577" s="81" t="s">
        <v>464</v>
      </c>
      <c r="N577" s="80"/>
      <c r="O577" s="80"/>
      <c r="P577" s="82"/>
      <c r="Q577" s="82"/>
      <c r="R577" s="82"/>
      <c r="S577" s="82"/>
      <c r="T577" s="82"/>
      <c r="U577" s="82"/>
      <c r="V577" s="83"/>
    </row>
    <row r="578" spans="1:22" ht="16.5" thickBot="1" x14ac:dyDescent="0.3">
      <c r="A578" s="84" t="s">
        <v>465</v>
      </c>
      <c r="B578" s="43"/>
      <c r="C578" s="43"/>
      <c r="D578" s="43"/>
      <c r="E578" s="43"/>
      <c r="F578" s="43"/>
      <c r="G578" s="43"/>
      <c r="H578" s="43"/>
      <c r="I578" s="85"/>
      <c r="J578" s="43"/>
      <c r="K578" s="43"/>
      <c r="L578" s="43"/>
      <c r="M578" s="85"/>
      <c r="N578" s="43"/>
      <c r="O578" s="43"/>
      <c r="P578" s="43"/>
      <c r="Q578" s="43"/>
      <c r="R578" s="43"/>
      <c r="S578" s="43"/>
      <c r="T578" s="43"/>
      <c r="U578" s="43"/>
      <c r="V578" s="44"/>
    </row>
    <row r="579" spans="1:22" ht="22.5" x14ac:dyDescent="0.25">
      <c r="A579" s="31" t="s">
        <v>441</v>
      </c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3"/>
      <c r="R579" s="1053">
        <f>+P619-S619</f>
        <v>0</v>
      </c>
      <c r="S579" s="1054"/>
      <c r="T579" s="1054"/>
      <c r="U579" s="1054"/>
      <c r="V579" s="1055"/>
    </row>
    <row r="580" spans="1:22" x14ac:dyDescent="0.25">
      <c r="A580" s="34" t="s">
        <v>442</v>
      </c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6"/>
      <c r="R580" s="37" t="s">
        <v>443</v>
      </c>
      <c r="S580"/>
      <c r="T580" s="1056"/>
      <c r="U580" s="1056"/>
      <c r="V580" s="1057"/>
    </row>
    <row r="581" spans="1:22" x14ac:dyDescent="0.25">
      <c r="A581" s="38" t="s">
        <v>444</v>
      </c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6"/>
      <c r="R581" s="37" t="s">
        <v>0</v>
      </c>
      <c r="S581"/>
      <c r="T581" s="1058">
        <f>IF(T580=0,0,(LOOKUP(T580,CsDJ[JEV Number],CsDJ[Date])))</f>
        <v>0</v>
      </c>
      <c r="U581" s="1058"/>
      <c r="V581" s="1059"/>
    </row>
    <row r="582" spans="1:22" ht="16.5" thickBot="1" x14ac:dyDescent="0.3">
      <c r="A582" s="39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1"/>
      <c r="R582" s="42"/>
      <c r="S582" s="43"/>
      <c r="T582" s="43"/>
      <c r="U582" s="43"/>
      <c r="V582" s="44"/>
    </row>
    <row r="583" spans="1:22" x14ac:dyDescent="0.25">
      <c r="A583" s="45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7"/>
      <c r="M583" s="46"/>
      <c r="N583" s="46"/>
      <c r="O583" s="46"/>
      <c r="P583" s="46"/>
      <c r="Q583" s="46"/>
      <c r="R583" s="46"/>
      <c r="S583" s="46"/>
      <c r="T583" s="46"/>
      <c r="U583" s="46"/>
      <c r="V583" s="48"/>
    </row>
    <row r="584" spans="1:22" x14ac:dyDescent="0.25">
      <c r="A584" s="49"/>
      <c r="B584" s="1060"/>
      <c r="C584" s="1060"/>
      <c r="D584" s="50" t="s">
        <v>445</v>
      </c>
      <c r="H584" s="51"/>
      <c r="I584" s="25" t="s">
        <v>447</v>
      </c>
      <c r="J584" s="132" t="s">
        <v>446</v>
      </c>
      <c r="K584" s="52" t="s">
        <v>448</v>
      </c>
      <c r="L584" s="52"/>
      <c r="Q584" s="1060"/>
      <c r="R584" s="1060"/>
      <c r="S584" s="50" t="s">
        <v>449</v>
      </c>
      <c r="T584" s="50"/>
      <c r="U584" s="50"/>
      <c r="V584" s="53"/>
    </row>
    <row r="585" spans="1:22" ht="16.5" thickBot="1" x14ac:dyDescent="0.3">
      <c r="A585" s="54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6"/>
      <c r="M585" s="55"/>
      <c r="N585" s="55"/>
      <c r="O585" s="55"/>
      <c r="P585" s="55"/>
      <c r="Q585" s="55"/>
      <c r="R585" s="55"/>
      <c r="S585" s="55"/>
      <c r="T585" s="55"/>
      <c r="U585" s="55"/>
      <c r="V585" s="57"/>
    </row>
    <row r="586" spans="1:22" x14ac:dyDescent="0.25">
      <c r="A586" s="1061" t="s">
        <v>397</v>
      </c>
      <c r="B586" s="1062"/>
      <c r="C586" s="1062"/>
      <c r="D586" s="1063"/>
      <c r="E586" s="1070" t="s">
        <v>450</v>
      </c>
      <c r="F586" s="1070"/>
      <c r="G586" s="1070"/>
      <c r="H586" s="1070"/>
      <c r="I586" s="1070"/>
      <c r="J586" s="1070"/>
      <c r="K586" s="1070"/>
      <c r="L586" s="1070"/>
      <c r="M586" s="1070"/>
      <c r="N586" s="1070"/>
      <c r="O586" s="1070"/>
      <c r="P586" s="1070"/>
      <c r="Q586" s="1070"/>
      <c r="R586" s="1070"/>
      <c r="S586" s="1070"/>
      <c r="T586" s="1070"/>
      <c r="U586" s="1070"/>
      <c r="V586" s="1071"/>
    </row>
    <row r="587" spans="1:22" x14ac:dyDescent="0.25">
      <c r="A587" s="1064"/>
      <c r="B587" s="1065"/>
      <c r="C587" s="1065"/>
      <c r="D587" s="1066"/>
      <c r="E587" s="1072" t="s">
        <v>451</v>
      </c>
      <c r="F587" s="1072"/>
      <c r="G587" s="1072"/>
      <c r="H587" s="1072"/>
      <c r="I587" s="1072"/>
      <c r="J587" s="1072"/>
      <c r="K587" s="1074" t="s">
        <v>378</v>
      </c>
      <c r="L587" s="1074"/>
      <c r="M587" s="1072" t="s">
        <v>452</v>
      </c>
      <c r="N587" s="1075" t="s">
        <v>453</v>
      </c>
      <c r="O587" s="1076"/>
      <c r="P587" s="1076"/>
      <c r="Q587" s="1076"/>
      <c r="R587" s="1076"/>
      <c r="S587" s="1076"/>
      <c r="T587" s="1076"/>
      <c r="U587" s="1076"/>
      <c r="V587" s="1077"/>
    </row>
    <row r="588" spans="1:22" ht="16.5" customHeight="1" thickBot="1" x14ac:dyDescent="0.3">
      <c r="A588" s="1067"/>
      <c r="B588" s="1068"/>
      <c r="C588" s="1068"/>
      <c r="D588" s="1069"/>
      <c r="E588" s="1073"/>
      <c r="F588" s="1073"/>
      <c r="G588" s="1073"/>
      <c r="H588" s="1073"/>
      <c r="I588" s="1073"/>
      <c r="J588" s="1073"/>
      <c r="K588" s="58" t="s">
        <v>454</v>
      </c>
      <c r="L588" s="58" t="s">
        <v>455</v>
      </c>
      <c r="M588" s="1073"/>
      <c r="N588" s="87" t="s">
        <v>466</v>
      </c>
      <c r="O588" s="87" t="s">
        <v>467</v>
      </c>
      <c r="P588" s="1078" t="s">
        <v>1</v>
      </c>
      <c r="Q588" s="1079"/>
      <c r="R588" s="1080"/>
      <c r="S588" s="1078" t="s">
        <v>2</v>
      </c>
      <c r="T588" s="1079"/>
      <c r="U588" s="1079"/>
      <c r="V588" s="1081"/>
    </row>
    <row r="589" spans="1:22" ht="19.5" x14ac:dyDescent="0.3">
      <c r="A589" s="1082">
        <f>P619-S619</f>
        <v>0</v>
      </c>
      <c r="B589" s="1083"/>
      <c r="C589" s="1083"/>
      <c r="D589" s="1083"/>
      <c r="E589" s="1084" t="str">
        <f>Account!$G$1</f>
        <v>FUND 501 CARP</v>
      </c>
      <c r="F589" s="1085"/>
      <c r="G589" s="1085"/>
      <c r="H589" s="1085"/>
      <c r="I589" s="1085"/>
      <c r="J589" s="1086"/>
      <c r="K589" s="59"/>
      <c r="L589" s="59"/>
      <c r="M589" s="60"/>
      <c r="N589" s="60"/>
      <c r="O589" s="60"/>
      <c r="P589" s="1087"/>
      <c r="Q589" s="1087"/>
      <c r="R589" s="1087"/>
      <c r="S589" s="1087"/>
      <c r="T589" s="1087"/>
      <c r="U589" s="1087"/>
      <c r="V589" s="1088"/>
    </row>
    <row r="590" spans="1:22" x14ac:dyDescent="0.25">
      <c r="A590" s="1038"/>
      <c r="B590" s="1039"/>
      <c r="C590" s="1039"/>
      <c r="D590" s="1039"/>
      <c r="E590" s="1039"/>
      <c r="F590" s="1039"/>
      <c r="G590" s="1039"/>
      <c r="H590" s="1039"/>
      <c r="I590" s="1039"/>
      <c r="J590" s="1039"/>
      <c r="K590" s="61"/>
      <c r="L590" s="61"/>
      <c r="M590" s="14"/>
      <c r="N590" s="14"/>
      <c r="O590" s="14"/>
      <c r="P590" s="1039"/>
      <c r="Q590" s="1039"/>
      <c r="R590" s="1039"/>
      <c r="S590" s="1039"/>
      <c r="T590" s="1039"/>
      <c r="U590" s="1039"/>
      <c r="V590" s="1089"/>
    </row>
    <row r="591" spans="1:22" x14ac:dyDescent="0.25">
      <c r="A591" s="1038"/>
      <c r="B591" s="1039"/>
      <c r="C591" s="1039"/>
      <c r="D591" s="1039"/>
      <c r="E591" s="1045" t="str">
        <f t="shared" ref="E591:E613" si="48">IF(K591=0,"",(VLOOKUP((TRIM(K591)),Code,2,)))</f>
        <v/>
      </c>
      <c r="F591" s="1046"/>
      <c r="G591" s="1046"/>
      <c r="H591" s="1046"/>
      <c r="I591" s="1046"/>
      <c r="J591" s="1047"/>
      <c r="K591" s="133"/>
      <c r="L591" s="62" t="str">
        <f t="shared" ref="L591:L618" si="49">IF(K591=0,"",VLOOKUP((TRIM(K591)),Code,3,))</f>
        <v/>
      </c>
      <c r="M591" s="14"/>
      <c r="N591" s="89">
        <f t="array" ref="N591">SUM(IF((CsDJ[JEV Number]=TRIM($T580))*(CsDJ[Account Code]=TRIM(K591)),CsDJ[Debit]))</f>
        <v>0</v>
      </c>
      <c r="O591" s="89">
        <f t="array" ref="O591">SUM(IF((CsDJ[JEV Number]=TRIM($T580))*(CsDJ[Account Code]=TRIM(K591)),CsDJ[Credit]))</f>
        <v>0</v>
      </c>
      <c r="P591" s="1040">
        <f>N591</f>
        <v>0</v>
      </c>
      <c r="Q591" s="1040"/>
      <c r="R591" s="1040"/>
      <c r="S591" s="1040">
        <f>O591</f>
        <v>0</v>
      </c>
      <c r="T591" s="1040"/>
      <c r="U591" s="1040"/>
      <c r="V591" s="1041"/>
    </row>
    <row r="592" spans="1:22" x14ac:dyDescent="0.25">
      <c r="A592" s="1038"/>
      <c r="B592" s="1039"/>
      <c r="C592" s="1039"/>
      <c r="D592" s="1039"/>
      <c r="E592" s="1045" t="str">
        <f t="shared" si="48"/>
        <v/>
      </c>
      <c r="F592" s="1046"/>
      <c r="G592" s="1046"/>
      <c r="H592" s="1046"/>
      <c r="I592" s="1046"/>
      <c r="J592" s="1047"/>
      <c r="K592" s="133"/>
      <c r="L592" s="62" t="str">
        <f t="shared" si="49"/>
        <v/>
      </c>
      <c r="M592" s="14"/>
      <c r="N592" s="89">
        <f t="array" ref="N592">SUM(IF((CsDJ[JEV Number]=TRIM($T580))*(CsDJ[Account Code]=TRIM(K592)),CsDJ[Debit]))</f>
        <v>0</v>
      </c>
      <c r="O592" s="89">
        <f t="array" ref="O592">SUM(IF((CsDJ[JEV Number]=TRIM($T580))*(CsDJ[Account Code]=TRIM(K592)),CsDJ[Credit]))</f>
        <v>0</v>
      </c>
      <c r="P592" s="1040">
        <f>N592</f>
        <v>0</v>
      </c>
      <c r="Q592" s="1040"/>
      <c r="R592" s="1040"/>
      <c r="S592" s="1040">
        <f>O592</f>
        <v>0</v>
      </c>
      <c r="T592" s="1040"/>
      <c r="U592" s="1040"/>
      <c r="V592" s="1041"/>
    </row>
    <row r="593" spans="1:22" x14ac:dyDescent="0.25">
      <c r="A593" s="1038"/>
      <c r="B593" s="1039"/>
      <c r="C593" s="1039"/>
      <c r="D593" s="1039"/>
      <c r="E593" s="1045" t="str">
        <f t="shared" si="48"/>
        <v/>
      </c>
      <c r="F593" s="1046"/>
      <c r="G593" s="1046"/>
      <c r="H593" s="1046"/>
      <c r="I593" s="1046"/>
      <c r="J593" s="1047"/>
      <c r="K593" s="133"/>
      <c r="L593" s="62" t="str">
        <f t="shared" si="49"/>
        <v/>
      </c>
      <c r="M593" s="14"/>
      <c r="N593" s="89">
        <f t="array" ref="N593">SUM(IF((CsDJ[JEV Number]=TRIM($T580))*(CsDJ[Account Code]=TRIM(K593)),CsDJ[Debit]))</f>
        <v>0</v>
      </c>
      <c r="O593" s="89">
        <f t="array" ref="O593">SUM(IF((CsDJ[JEV Number]=TRIM($T580))*(CsDJ[Account Code]=TRIM(K593)),CsDJ[Credit]))</f>
        <v>0</v>
      </c>
      <c r="P593" s="1040">
        <f t="shared" ref="P593:P618" si="50">N593</f>
        <v>0</v>
      </c>
      <c r="Q593" s="1040"/>
      <c r="R593" s="1040"/>
      <c r="S593" s="1040">
        <f t="shared" ref="S593:S618" si="51">O593</f>
        <v>0</v>
      </c>
      <c r="T593" s="1040"/>
      <c r="U593" s="1040"/>
      <c r="V593" s="1041"/>
    </row>
    <row r="594" spans="1:22" x14ac:dyDescent="0.25">
      <c r="A594" s="1038"/>
      <c r="B594" s="1039"/>
      <c r="C594" s="1039"/>
      <c r="D594" s="1039"/>
      <c r="E594" s="1045" t="str">
        <f t="shared" si="48"/>
        <v/>
      </c>
      <c r="F594" s="1046"/>
      <c r="G594" s="1046"/>
      <c r="H594" s="1046"/>
      <c r="I594" s="1046"/>
      <c r="J594" s="1047"/>
      <c r="K594" s="133"/>
      <c r="L594" s="62" t="str">
        <f t="shared" si="49"/>
        <v/>
      </c>
      <c r="M594" s="14"/>
      <c r="N594" s="89">
        <f t="array" ref="N594">SUM(IF((CsDJ[JEV Number]=TRIM($T580))*(CsDJ[Account Code]=TRIM(K594)),CsDJ[Debit]))</f>
        <v>0</v>
      </c>
      <c r="O594" s="89">
        <f t="array" ref="O594">SUM(IF((CsDJ[JEV Number]=TRIM($T580))*(CsDJ[Account Code]=TRIM(K594)),CsDJ[Credit]))</f>
        <v>0</v>
      </c>
      <c r="P594" s="1040">
        <f t="shared" si="50"/>
        <v>0</v>
      </c>
      <c r="Q594" s="1040"/>
      <c r="R594" s="1040"/>
      <c r="S594" s="1040">
        <f t="shared" si="51"/>
        <v>0</v>
      </c>
      <c r="T594" s="1040"/>
      <c r="U594" s="1040"/>
      <c r="V594" s="1041"/>
    </row>
    <row r="595" spans="1:22" x14ac:dyDescent="0.25">
      <c r="A595" s="1038"/>
      <c r="B595" s="1039"/>
      <c r="C595" s="1039"/>
      <c r="D595" s="1039"/>
      <c r="E595" s="1045" t="str">
        <f t="shared" si="48"/>
        <v/>
      </c>
      <c r="F595" s="1046"/>
      <c r="G595" s="1046"/>
      <c r="H595" s="1046"/>
      <c r="I595" s="1046"/>
      <c r="J595" s="1047"/>
      <c r="K595" s="133"/>
      <c r="L595" s="62" t="str">
        <f t="shared" si="49"/>
        <v/>
      </c>
      <c r="M595" s="14"/>
      <c r="N595" s="89">
        <f t="array" ref="N595">SUM(IF((CsDJ[JEV Number]=TRIM($T580))*(CsDJ[Account Code]=TRIM(K595)),CsDJ[Debit]))</f>
        <v>0</v>
      </c>
      <c r="O595" s="89">
        <f t="array" ref="O595">SUM(IF((CsDJ[JEV Number]=TRIM($T580))*(CsDJ[Account Code]=TRIM(K595)),CsDJ[Credit]))</f>
        <v>0</v>
      </c>
      <c r="P595" s="1040">
        <f t="shared" si="50"/>
        <v>0</v>
      </c>
      <c r="Q595" s="1040"/>
      <c r="R595" s="1040"/>
      <c r="S595" s="1040">
        <f t="shared" si="51"/>
        <v>0</v>
      </c>
      <c r="T595" s="1040"/>
      <c r="U595" s="1040"/>
      <c r="V595" s="1041"/>
    </row>
    <row r="596" spans="1:22" x14ac:dyDescent="0.25">
      <c r="A596" s="1038"/>
      <c r="B596" s="1039"/>
      <c r="C596" s="1039"/>
      <c r="D596" s="1039"/>
      <c r="E596" s="1045" t="str">
        <f t="shared" si="48"/>
        <v/>
      </c>
      <c r="F596" s="1046"/>
      <c r="G596" s="1046"/>
      <c r="H596" s="1046"/>
      <c r="I596" s="1046"/>
      <c r="J596" s="1047"/>
      <c r="K596" s="133"/>
      <c r="L596" s="62" t="str">
        <f t="shared" si="49"/>
        <v/>
      </c>
      <c r="M596" s="14"/>
      <c r="N596" s="89">
        <f t="array" ref="N596">SUM(IF((CsDJ[JEV Number]=TRIM($T580))*(CsDJ[Account Code]=TRIM(K596)),CsDJ[Debit]))</f>
        <v>0</v>
      </c>
      <c r="O596" s="89">
        <f t="array" ref="O596">SUM(IF((CsDJ[JEV Number]=TRIM($T580))*(CsDJ[Account Code]=TRIM(K596)),CsDJ[Credit]))</f>
        <v>0</v>
      </c>
      <c r="P596" s="1040">
        <f t="shared" si="50"/>
        <v>0</v>
      </c>
      <c r="Q596" s="1040"/>
      <c r="R596" s="1040"/>
      <c r="S596" s="1040">
        <f t="shared" si="51"/>
        <v>0</v>
      </c>
      <c r="T596" s="1040"/>
      <c r="U596" s="1040"/>
      <c r="V596" s="1041"/>
    </row>
    <row r="597" spans="1:22" x14ac:dyDescent="0.25">
      <c r="A597" s="1038"/>
      <c r="B597" s="1039"/>
      <c r="C597" s="1039"/>
      <c r="D597" s="1039"/>
      <c r="E597" s="1045" t="str">
        <f t="shared" si="48"/>
        <v/>
      </c>
      <c r="F597" s="1046"/>
      <c r="G597" s="1046"/>
      <c r="H597" s="1046"/>
      <c r="I597" s="1046"/>
      <c r="J597" s="1047"/>
      <c r="K597" s="133"/>
      <c r="L597" s="62" t="str">
        <f t="shared" si="49"/>
        <v/>
      </c>
      <c r="M597" s="14"/>
      <c r="N597" s="89">
        <f t="array" ref="N597">SUM(IF((CsDJ[JEV Number]=TRIM($T580))*(CsDJ[Account Code]=TRIM(K597)),CsDJ[Debit]))</f>
        <v>0</v>
      </c>
      <c r="O597" s="89">
        <f t="array" ref="O597">SUM(IF((CsDJ[JEV Number]=TRIM($T580))*(CsDJ[Account Code]=TRIM(K597)),CsDJ[Credit]))</f>
        <v>0</v>
      </c>
      <c r="P597" s="1040">
        <f t="shared" si="50"/>
        <v>0</v>
      </c>
      <c r="Q597" s="1040"/>
      <c r="R597" s="1040"/>
      <c r="S597" s="1040">
        <f t="shared" si="51"/>
        <v>0</v>
      </c>
      <c r="T597" s="1040"/>
      <c r="U597" s="1040"/>
      <c r="V597" s="1041"/>
    </row>
    <row r="598" spans="1:22" x14ac:dyDescent="0.25">
      <c r="A598" s="1038"/>
      <c r="B598" s="1039"/>
      <c r="C598" s="1039"/>
      <c r="D598" s="1039"/>
      <c r="E598" s="1045" t="str">
        <f t="shared" si="48"/>
        <v/>
      </c>
      <c r="F598" s="1046"/>
      <c r="G598" s="1046"/>
      <c r="H598" s="1046"/>
      <c r="I598" s="1046"/>
      <c r="J598" s="1047"/>
      <c r="K598" s="133"/>
      <c r="L598" s="62" t="str">
        <f t="shared" si="49"/>
        <v/>
      </c>
      <c r="M598" s="14"/>
      <c r="N598" s="89">
        <f t="array" ref="N598">SUM(IF((CsDJ[JEV Number]=TRIM($T580))*(CsDJ[Account Code]=TRIM(K598)),CsDJ[Debit]))</f>
        <v>0</v>
      </c>
      <c r="O598" s="89">
        <f t="array" ref="O598">SUM(IF((CsDJ[JEV Number]=TRIM($T580))*(CsDJ[Account Code]=TRIM(K598)),CsDJ[Credit]))</f>
        <v>0</v>
      </c>
      <c r="P598" s="1040">
        <f t="shared" si="50"/>
        <v>0</v>
      </c>
      <c r="Q598" s="1040"/>
      <c r="R598" s="1040"/>
      <c r="S598" s="1040">
        <f t="shared" si="51"/>
        <v>0</v>
      </c>
      <c r="T598" s="1040"/>
      <c r="U598" s="1040"/>
      <c r="V598" s="1041"/>
    </row>
    <row r="599" spans="1:22" x14ac:dyDescent="0.25">
      <c r="A599" s="1038"/>
      <c r="B599" s="1039"/>
      <c r="C599" s="1039"/>
      <c r="D599" s="1039"/>
      <c r="E599" s="1045" t="str">
        <f t="shared" si="48"/>
        <v/>
      </c>
      <c r="F599" s="1046"/>
      <c r="G599" s="1046"/>
      <c r="H599" s="1046"/>
      <c r="I599" s="1046"/>
      <c r="J599" s="1047"/>
      <c r="K599" s="134"/>
      <c r="L599" s="62" t="str">
        <f t="shared" si="49"/>
        <v/>
      </c>
      <c r="M599" s="14"/>
      <c r="N599" s="89">
        <f t="array" ref="N599">SUM(IF((CsDJ[JEV Number]=TRIM($T580))*(CsDJ[Account Code]=TRIM(K599)),CsDJ[Debit]))</f>
        <v>0</v>
      </c>
      <c r="O599" s="89">
        <f t="array" ref="O599">SUM(IF((CsDJ[JEV Number]=TRIM($T580))*(CsDJ[Account Code]=TRIM(K599)),CsDJ[Credit]))</f>
        <v>0</v>
      </c>
      <c r="P599" s="1040">
        <f t="shared" si="50"/>
        <v>0</v>
      </c>
      <c r="Q599" s="1040"/>
      <c r="R599" s="1040"/>
      <c r="S599" s="1040">
        <f t="shared" si="51"/>
        <v>0</v>
      </c>
      <c r="T599" s="1040"/>
      <c r="U599" s="1040"/>
      <c r="V599" s="1041"/>
    </row>
    <row r="600" spans="1:22" x14ac:dyDescent="0.25">
      <c r="A600" s="1038"/>
      <c r="B600" s="1039"/>
      <c r="C600" s="1039"/>
      <c r="D600" s="1039"/>
      <c r="E600" s="1045" t="str">
        <f t="shared" si="48"/>
        <v/>
      </c>
      <c r="F600" s="1046"/>
      <c r="G600" s="1046"/>
      <c r="H600" s="1046"/>
      <c r="I600" s="1046"/>
      <c r="J600" s="1047"/>
      <c r="K600" s="134"/>
      <c r="L600" s="62" t="str">
        <f t="shared" si="49"/>
        <v/>
      </c>
      <c r="M600" s="14"/>
      <c r="N600" s="89">
        <f t="array" ref="N600">SUM(IF((CsDJ[JEV Number]=TRIM($T580))*(CsDJ[Account Code]=TRIM(K600)),CsDJ[Debit]))</f>
        <v>0</v>
      </c>
      <c r="O600" s="89">
        <f t="array" ref="O600">SUM(IF((CsDJ[JEV Number]=TRIM($T580))*(CsDJ[Account Code]=TRIM(K600)),CsDJ[Credit]))</f>
        <v>0</v>
      </c>
      <c r="P600" s="1040">
        <f t="shared" si="50"/>
        <v>0</v>
      </c>
      <c r="Q600" s="1040"/>
      <c r="R600" s="1040"/>
      <c r="S600" s="1040">
        <f t="shared" si="51"/>
        <v>0</v>
      </c>
      <c r="T600" s="1040"/>
      <c r="U600" s="1040"/>
      <c r="V600" s="1041"/>
    </row>
    <row r="601" spans="1:22" x14ac:dyDescent="0.25">
      <c r="A601" s="1038"/>
      <c r="B601" s="1039"/>
      <c r="C601" s="1039"/>
      <c r="D601" s="1039"/>
      <c r="E601" s="1045" t="str">
        <f t="shared" si="48"/>
        <v/>
      </c>
      <c r="F601" s="1046"/>
      <c r="G601" s="1046"/>
      <c r="H601" s="1046"/>
      <c r="I601" s="1046"/>
      <c r="J601" s="1047"/>
      <c r="K601" s="134"/>
      <c r="L601" s="62" t="str">
        <f t="shared" si="49"/>
        <v/>
      </c>
      <c r="M601" s="14"/>
      <c r="N601" s="89">
        <f t="array" ref="N601">SUM(IF((CsDJ[JEV Number]=TRIM($T580))*(CsDJ[Account Code]=TRIM(K601)),CsDJ[Debit]))</f>
        <v>0</v>
      </c>
      <c r="O601" s="89">
        <f t="array" ref="O601">SUM(IF((CsDJ[JEV Number]=TRIM($T580))*(CsDJ[Account Code]=TRIM(K601)),CsDJ[Credit]))</f>
        <v>0</v>
      </c>
      <c r="P601" s="1040">
        <f t="shared" si="50"/>
        <v>0</v>
      </c>
      <c r="Q601" s="1040"/>
      <c r="R601" s="1040"/>
      <c r="S601" s="1040">
        <f t="shared" si="51"/>
        <v>0</v>
      </c>
      <c r="T601" s="1040"/>
      <c r="U601" s="1040"/>
      <c r="V601" s="1041"/>
    </row>
    <row r="602" spans="1:22" x14ac:dyDescent="0.25">
      <c r="A602" s="1038"/>
      <c r="B602" s="1039"/>
      <c r="C602" s="1039"/>
      <c r="D602" s="1039"/>
      <c r="E602" s="1045" t="str">
        <f t="shared" si="48"/>
        <v/>
      </c>
      <c r="F602" s="1046"/>
      <c r="G602" s="1046"/>
      <c r="H602" s="1046"/>
      <c r="I602" s="1046"/>
      <c r="J602" s="1047"/>
      <c r="K602" s="134"/>
      <c r="L602" s="62" t="str">
        <f t="shared" si="49"/>
        <v/>
      </c>
      <c r="M602" s="14"/>
      <c r="N602" s="89">
        <f t="array" ref="N602">SUM(IF((CsDJ[JEV Number]=TRIM($T580))*(CsDJ[Account Code]=TRIM(K602)),CsDJ[Debit]))</f>
        <v>0</v>
      </c>
      <c r="O602" s="89">
        <f t="array" ref="O602">SUM(IF((CsDJ[JEV Number]=TRIM($T580))*(CsDJ[Account Code]=TRIM(K602)),CsDJ[Credit]))</f>
        <v>0</v>
      </c>
      <c r="P602" s="1040">
        <f t="shared" si="50"/>
        <v>0</v>
      </c>
      <c r="Q602" s="1040"/>
      <c r="R602" s="1040"/>
      <c r="S602" s="1040">
        <f t="shared" si="51"/>
        <v>0</v>
      </c>
      <c r="T602" s="1040"/>
      <c r="U602" s="1040"/>
      <c r="V602" s="1041"/>
    </row>
    <row r="603" spans="1:22" x14ac:dyDescent="0.25">
      <c r="A603" s="1038"/>
      <c r="B603" s="1039"/>
      <c r="C603" s="1039"/>
      <c r="D603" s="1039"/>
      <c r="E603" s="1045" t="str">
        <f t="shared" si="48"/>
        <v/>
      </c>
      <c r="F603" s="1046"/>
      <c r="G603" s="1046"/>
      <c r="H603" s="1046"/>
      <c r="I603" s="1046"/>
      <c r="J603" s="1047"/>
      <c r="K603" s="134"/>
      <c r="L603" s="62" t="str">
        <f t="shared" si="49"/>
        <v/>
      </c>
      <c r="M603" s="14"/>
      <c r="N603" s="89">
        <f t="array" ref="N603">SUM(IF((CsDJ[JEV Number]=TRIM($T580))*(CsDJ[Account Code]=TRIM(K603)),CsDJ[Debit]))</f>
        <v>0</v>
      </c>
      <c r="O603" s="89">
        <f t="array" ref="O603">SUM(IF((CsDJ[JEV Number]=TRIM($T580))*(CsDJ[Account Code]=TRIM(K603)),CsDJ[Credit]))</f>
        <v>0</v>
      </c>
      <c r="P603" s="1040">
        <f t="shared" si="50"/>
        <v>0</v>
      </c>
      <c r="Q603" s="1040"/>
      <c r="R603" s="1040"/>
      <c r="S603" s="1040">
        <f t="shared" si="51"/>
        <v>0</v>
      </c>
      <c r="T603" s="1040"/>
      <c r="U603" s="1040"/>
      <c r="V603" s="1041"/>
    </row>
    <row r="604" spans="1:22" x14ac:dyDescent="0.25">
      <c r="A604" s="1038"/>
      <c r="B604" s="1039"/>
      <c r="C604" s="1039"/>
      <c r="D604" s="1039"/>
      <c r="E604" s="1045" t="str">
        <f t="shared" si="48"/>
        <v/>
      </c>
      <c r="F604" s="1046"/>
      <c r="G604" s="1046"/>
      <c r="H604" s="1046"/>
      <c r="I604" s="1046"/>
      <c r="J604" s="1047"/>
      <c r="K604" s="134"/>
      <c r="L604" s="62" t="str">
        <f t="shared" si="49"/>
        <v/>
      </c>
      <c r="M604" s="14"/>
      <c r="N604" s="89">
        <f t="array" ref="N604">SUM(IF((CsDJ[JEV Number]=TRIM($T580))*(CsDJ[Account Code]=TRIM(K604)),CsDJ[Debit]))</f>
        <v>0</v>
      </c>
      <c r="O604" s="89">
        <f t="array" ref="O604">SUM(IF((CsDJ[JEV Number]=TRIM($T580))*(CsDJ[Account Code]=TRIM(K604)),CsDJ[Credit]))</f>
        <v>0</v>
      </c>
      <c r="P604" s="1040">
        <f t="shared" si="50"/>
        <v>0</v>
      </c>
      <c r="Q604" s="1040"/>
      <c r="R604" s="1040"/>
      <c r="S604" s="1040">
        <f t="shared" si="51"/>
        <v>0</v>
      </c>
      <c r="T604" s="1040"/>
      <c r="U604" s="1040"/>
      <c r="V604" s="1041"/>
    </row>
    <row r="605" spans="1:22" x14ac:dyDescent="0.25">
      <c r="A605" s="1038"/>
      <c r="B605" s="1039"/>
      <c r="C605" s="1039"/>
      <c r="D605" s="1039"/>
      <c r="E605" s="1045" t="str">
        <f t="shared" si="48"/>
        <v/>
      </c>
      <c r="F605" s="1046"/>
      <c r="G605" s="1046"/>
      <c r="H605" s="1046"/>
      <c r="I605" s="1046"/>
      <c r="J605" s="1047"/>
      <c r="K605" s="134"/>
      <c r="L605" s="62" t="str">
        <f t="shared" si="49"/>
        <v/>
      </c>
      <c r="M605" s="14"/>
      <c r="N605" s="89">
        <f t="array" ref="N605">SUM(IF((CsDJ[JEV Number]=TRIM($T580))*(CsDJ[Account Code]=TRIM(K605)),CsDJ[Debit]))</f>
        <v>0</v>
      </c>
      <c r="O605" s="89">
        <f t="array" ref="O605">SUM(IF((CsDJ[JEV Number]=TRIM($T580))*(CsDJ[Account Code]=TRIM(K605)),CsDJ[Credit]))</f>
        <v>0</v>
      </c>
      <c r="P605" s="1040">
        <f t="shared" si="50"/>
        <v>0</v>
      </c>
      <c r="Q605" s="1040"/>
      <c r="R605" s="1040"/>
      <c r="S605" s="1040">
        <f t="shared" si="51"/>
        <v>0</v>
      </c>
      <c r="T605" s="1040"/>
      <c r="U605" s="1040"/>
      <c r="V605" s="1041"/>
    </row>
    <row r="606" spans="1:22" x14ac:dyDescent="0.25">
      <c r="A606" s="1038"/>
      <c r="B606" s="1039"/>
      <c r="C606" s="1039"/>
      <c r="D606" s="1039"/>
      <c r="E606" s="1045" t="str">
        <f t="shared" si="48"/>
        <v/>
      </c>
      <c r="F606" s="1046"/>
      <c r="G606" s="1046"/>
      <c r="H606" s="1046"/>
      <c r="I606" s="1046"/>
      <c r="J606" s="1047"/>
      <c r="K606" s="134"/>
      <c r="L606" s="62" t="str">
        <f t="shared" si="49"/>
        <v/>
      </c>
      <c r="M606" s="14"/>
      <c r="N606" s="89">
        <f t="array" ref="N606">SUM(IF((CsDJ[JEV Number]=TRIM($T580))*(CsDJ[Account Code]=TRIM(K606)),CsDJ[Debit]))</f>
        <v>0</v>
      </c>
      <c r="O606" s="89">
        <f t="array" ref="O606">SUM(IF((CsDJ[JEV Number]=TRIM($T580))*(CsDJ[Account Code]=TRIM(K606)),CsDJ[Credit]))</f>
        <v>0</v>
      </c>
      <c r="P606" s="1040">
        <f t="shared" si="50"/>
        <v>0</v>
      </c>
      <c r="Q606" s="1040"/>
      <c r="R606" s="1040"/>
      <c r="S606" s="1040">
        <f t="shared" si="51"/>
        <v>0</v>
      </c>
      <c r="T606" s="1040"/>
      <c r="U606" s="1040"/>
      <c r="V606" s="1041"/>
    </row>
    <row r="607" spans="1:22" x14ac:dyDescent="0.25">
      <c r="A607" s="1038"/>
      <c r="B607" s="1039"/>
      <c r="C607" s="1039"/>
      <c r="D607" s="1039"/>
      <c r="E607" s="1045" t="str">
        <f t="shared" si="48"/>
        <v/>
      </c>
      <c r="F607" s="1046"/>
      <c r="G607" s="1046"/>
      <c r="H607" s="1046"/>
      <c r="I607" s="1046"/>
      <c r="J607" s="1047"/>
      <c r="K607" s="134"/>
      <c r="L607" s="62" t="str">
        <f t="shared" si="49"/>
        <v/>
      </c>
      <c r="M607" s="14"/>
      <c r="N607" s="89">
        <f t="array" ref="N607">SUM(IF((CsDJ[JEV Number]=TRIM($T580))*(CsDJ[Account Code]=TRIM(K607)),CsDJ[Debit]))</f>
        <v>0</v>
      </c>
      <c r="O607" s="89">
        <f t="array" ref="O607">SUM(IF((CsDJ[JEV Number]=TRIM($T580))*(CsDJ[Account Code]=TRIM(K607)),CsDJ[Credit]))</f>
        <v>0</v>
      </c>
      <c r="P607" s="1040">
        <f t="shared" si="50"/>
        <v>0</v>
      </c>
      <c r="Q607" s="1040"/>
      <c r="R607" s="1040"/>
      <c r="S607" s="1040">
        <f t="shared" si="51"/>
        <v>0</v>
      </c>
      <c r="T607" s="1040"/>
      <c r="U607" s="1040"/>
      <c r="V607" s="1041"/>
    </row>
    <row r="608" spans="1:22" x14ac:dyDescent="0.25">
      <c r="A608" s="1038"/>
      <c r="B608" s="1039"/>
      <c r="C608" s="1039"/>
      <c r="D608" s="1039"/>
      <c r="E608" s="1045" t="str">
        <f t="shared" si="48"/>
        <v/>
      </c>
      <c r="F608" s="1046"/>
      <c r="G608" s="1046"/>
      <c r="H608" s="1046"/>
      <c r="I608" s="1046"/>
      <c r="J608" s="1047"/>
      <c r="K608" s="134"/>
      <c r="L608" s="62" t="str">
        <f t="shared" si="49"/>
        <v/>
      </c>
      <c r="M608" s="14"/>
      <c r="N608" s="89">
        <f t="array" ref="N608">SUM(IF((CsDJ[JEV Number]=TRIM($T580))*(CsDJ[Account Code]=TRIM(K608)),CsDJ[Debit]))</f>
        <v>0</v>
      </c>
      <c r="O608" s="89">
        <f t="array" ref="O608">SUM(IF((CsDJ[JEV Number]=TRIM($T580))*(CsDJ[Account Code]=TRIM(K608)),CsDJ[Credit]))</f>
        <v>0</v>
      </c>
      <c r="P608" s="1040">
        <f t="shared" si="50"/>
        <v>0</v>
      </c>
      <c r="Q608" s="1040"/>
      <c r="R608" s="1040"/>
      <c r="S608" s="1040">
        <f t="shared" si="51"/>
        <v>0</v>
      </c>
      <c r="T608" s="1040"/>
      <c r="U608" s="1040"/>
      <c r="V608" s="1041"/>
    </row>
    <row r="609" spans="1:22" x14ac:dyDescent="0.25">
      <c r="A609" s="1038"/>
      <c r="B609" s="1039"/>
      <c r="C609" s="1039"/>
      <c r="D609" s="1039"/>
      <c r="E609" s="1045" t="str">
        <f t="shared" si="48"/>
        <v/>
      </c>
      <c r="F609" s="1046"/>
      <c r="G609" s="1046"/>
      <c r="H609" s="1046"/>
      <c r="I609" s="1046"/>
      <c r="J609" s="1047"/>
      <c r="K609" s="134"/>
      <c r="L609" s="62" t="str">
        <f t="shared" si="49"/>
        <v/>
      </c>
      <c r="M609" s="14"/>
      <c r="N609" s="89">
        <f t="array" ref="N609">SUM(IF((CsDJ[JEV Number]=TRIM($T580))*(CsDJ[Account Code]=TRIM(K609)),CsDJ[Debit]))</f>
        <v>0</v>
      </c>
      <c r="O609" s="89">
        <f t="array" ref="O609">SUM(IF((CsDJ[JEV Number]=TRIM($T580))*(CsDJ[Account Code]=TRIM(K609)),CsDJ[Credit]))</f>
        <v>0</v>
      </c>
      <c r="P609" s="1040">
        <f t="shared" si="50"/>
        <v>0</v>
      </c>
      <c r="Q609" s="1040"/>
      <c r="R609" s="1040"/>
      <c r="S609" s="1040">
        <f t="shared" si="51"/>
        <v>0</v>
      </c>
      <c r="T609" s="1040"/>
      <c r="U609" s="1040"/>
      <c r="V609" s="1041"/>
    </row>
    <row r="610" spans="1:22" x14ac:dyDescent="0.25">
      <c r="A610" s="1038"/>
      <c r="B610" s="1039"/>
      <c r="C610" s="1039"/>
      <c r="D610" s="1039"/>
      <c r="E610" s="1045" t="str">
        <f t="shared" si="48"/>
        <v/>
      </c>
      <c r="F610" s="1046"/>
      <c r="G610" s="1046"/>
      <c r="H610" s="1046"/>
      <c r="I610" s="1046"/>
      <c r="J610" s="1047"/>
      <c r="K610" s="134"/>
      <c r="L610" s="62" t="str">
        <f t="shared" si="49"/>
        <v/>
      </c>
      <c r="M610" s="14"/>
      <c r="N610" s="89">
        <f t="array" ref="N610">SUM(IF((CsDJ[JEV Number]=TRIM($T580))*(CsDJ[Account Code]=TRIM(K610)),CsDJ[Debit]))</f>
        <v>0</v>
      </c>
      <c r="O610" s="89">
        <f t="array" ref="O610">SUM(IF((CsDJ[JEV Number]=TRIM($T580))*(CsDJ[Account Code]=TRIM(K610)),CsDJ[Credit]))</f>
        <v>0</v>
      </c>
      <c r="P610" s="1040">
        <f t="shared" si="50"/>
        <v>0</v>
      </c>
      <c r="Q610" s="1040"/>
      <c r="R610" s="1040"/>
      <c r="S610" s="1040">
        <f t="shared" si="51"/>
        <v>0</v>
      </c>
      <c r="T610" s="1040"/>
      <c r="U610" s="1040"/>
      <c r="V610" s="1041"/>
    </row>
    <row r="611" spans="1:22" x14ac:dyDescent="0.25">
      <c r="A611" s="1038"/>
      <c r="B611" s="1039"/>
      <c r="C611" s="1039"/>
      <c r="D611" s="1039"/>
      <c r="E611" s="1045" t="str">
        <f t="shared" si="48"/>
        <v/>
      </c>
      <c r="F611" s="1046"/>
      <c r="G611" s="1046"/>
      <c r="H611" s="1046"/>
      <c r="I611" s="1046"/>
      <c r="J611" s="1047"/>
      <c r="K611" s="134"/>
      <c r="L611" s="62" t="str">
        <f t="shared" si="49"/>
        <v/>
      </c>
      <c r="M611" s="14"/>
      <c r="N611" s="89">
        <f t="array" ref="N611">SUM(IF((CsDJ[JEV Number]=TRIM($T580))*(CsDJ[Account Code]=TRIM(K611)),CsDJ[Debit]))</f>
        <v>0</v>
      </c>
      <c r="O611" s="89">
        <f t="array" ref="O611">SUM(IF((CsDJ[JEV Number]=TRIM($T580))*(CsDJ[Account Code]=TRIM(K611)),CsDJ[Credit]))</f>
        <v>0</v>
      </c>
      <c r="P611" s="1040">
        <f t="shared" si="50"/>
        <v>0</v>
      </c>
      <c r="Q611" s="1040"/>
      <c r="R611" s="1040"/>
      <c r="S611" s="1040">
        <f t="shared" si="51"/>
        <v>0</v>
      </c>
      <c r="T611" s="1040"/>
      <c r="U611" s="1040"/>
      <c r="V611" s="1041"/>
    </row>
    <row r="612" spans="1:22" x14ac:dyDescent="0.25">
      <c r="A612" s="1038"/>
      <c r="B612" s="1039"/>
      <c r="C612" s="1039"/>
      <c r="D612" s="1039"/>
      <c r="E612" s="1045" t="str">
        <f t="shared" si="48"/>
        <v/>
      </c>
      <c r="F612" s="1046"/>
      <c r="G612" s="1046"/>
      <c r="H612" s="1046"/>
      <c r="I612" s="1046"/>
      <c r="J612" s="1047"/>
      <c r="K612" s="134"/>
      <c r="L612" s="62" t="str">
        <f t="shared" si="49"/>
        <v/>
      </c>
      <c r="M612" s="14"/>
      <c r="N612" s="89">
        <f t="array" ref="N612">SUM(IF((CsDJ[JEV Number]=TRIM($T580))*(CsDJ[Account Code]=TRIM(K612)),CsDJ[Debit]))</f>
        <v>0</v>
      </c>
      <c r="O612" s="89">
        <f t="array" ref="O612">SUM(IF((CsDJ[JEV Number]=TRIM($T580))*(CsDJ[Account Code]=TRIM(K612)),CsDJ[Credit]))</f>
        <v>0</v>
      </c>
      <c r="P612" s="1040">
        <f t="shared" si="50"/>
        <v>0</v>
      </c>
      <c r="Q612" s="1040"/>
      <c r="R612" s="1040"/>
      <c r="S612" s="1040">
        <f t="shared" si="51"/>
        <v>0</v>
      </c>
      <c r="T612" s="1040"/>
      <c r="U612" s="1040"/>
      <c r="V612" s="1041"/>
    </row>
    <row r="613" spans="1:22" x14ac:dyDescent="0.25">
      <c r="A613" s="1038"/>
      <c r="B613" s="1039"/>
      <c r="C613" s="1039"/>
      <c r="D613" s="1039"/>
      <c r="E613" s="1045" t="str">
        <f t="shared" si="48"/>
        <v/>
      </c>
      <c r="F613" s="1046"/>
      <c r="G613" s="1046"/>
      <c r="H613" s="1046"/>
      <c r="I613" s="1046"/>
      <c r="J613" s="1047"/>
      <c r="K613" s="134"/>
      <c r="L613" s="62" t="str">
        <f t="shared" si="49"/>
        <v/>
      </c>
      <c r="M613" s="14"/>
      <c r="N613" s="89">
        <f t="array" ref="N613">SUM(IF((CsDJ[JEV Number]=TRIM($T580))*(CsDJ[Account Code]=TRIM(K613)),CsDJ[Debit]))</f>
        <v>0</v>
      </c>
      <c r="O613" s="89">
        <f t="array" ref="O613">SUM(IF((CsDJ[JEV Number]=TRIM($T580))*(CsDJ[Account Code]=TRIM(K613)),CsDJ[Credit]))</f>
        <v>0</v>
      </c>
      <c r="P613" s="1040">
        <f t="shared" si="50"/>
        <v>0</v>
      </c>
      <c r="Q613" s="1040"/>
      <c r="R613" s="1040"/>
      <c r="S613" s="1040">
        <f t="shared" si="51"/>
        <v>0</v>
      </c>
      <c r="T613" s="1040"/>
      <c r="U613" s="1040"/>
      <c r="V613" s="1041"/>
    </row>
    <row r="614" spans="1:22" x14ac:dyDescent="0.25">
      <c r="A614" s="1038"/>
      <c r="B614" s="1039"/>
      <c r="C614" s="1039"/>
      <c r="D614" s="1039"/>
      <c r="E614" s="1108" t="s">
        <v>468</v>
      </c>
      <c r="F614" s="1109"/>
      <c r="G614" s="1109"/>
      <c r="H614" s="1109"/>
      <c r="I614" s="1109"/>
      <c r="J614" s="1110"/>
      <c r="K614" s="133"/>
      <c r="L614" s="62" t="str">
        <f t="shared" si="49"/>
        <v/>
      </c>
      <c r="M614" s="14"/>
      <c r="N614" s="89">
        <f t="array" ref="N614">SUM(IF((CsDJ[JEV Number]=TRIM($T580))*(CsDJ[Account Code]=TRIM(K614)),CsDJ[Debit]))</f>
        <v>0</v>
      </c>
      <c r="O614" s="89">
        <f t="array" ref="O614">SUM(IF((CsDJ[JEV Number]=TRIM($T580))*(CsDJ[Account Code]=TRIM(K614)),CsDJ[Credit]))</f>
        <v>0</v>
      </c>
      <c r="P614" s="1040">
        <f t="shared" si="50"/>
        <v>0</v>
      </c>
      <c r="Q614" s="1040"/>
      <c r="R614" s="1040"/>
      <c r="S614" s="1040">
        <f t="shared" si="51"/>
        <v>0</v>
      </c>
      <c r="T614" s="1040"/>
      <c r="U614" s="1040"/>
      <c r="V614" s="1041"/>
    </row>
    <row r="615" spans="1:22" x14ac:dyDescent="0.25">
      <c r="A615" s="1038"/>
      <c r="B615" s="1039"/>
      <c r="C615" s="1039"/>
      <c r="D615" s="1039"/>
      <c r="E615" s="1048" t="s">
        <v>457</v>
      </c>
      <c r="F615" s="1049"/>
      <c r="G615" s="1049"/>
      <c r="H615" s="1049"/>
      <c r="I615" s="1051">
        <f>T581</f>
        <v>0</v>
      </c>
      <c r="J615" s="1052"/>
      <c r="K615" s="133"/>
      <c r="L615" s="62" t="str">
        <f t="shared" si="49"/>
        <v/>
      </c>
      <c r="M615" s="14"/>
      <c r="N615" s="89">
        <f t="array" ref="N615">SUM(IF((CsDJ[JEV Number]=TRIM($T580))*(CsDJ[Account Code]=TRIM(K615)),CsDJ[Debit]))</f>
        <v>0</v>
      </c>
      <c r="O615" s="89">
        <f t="array" ref="O615">SUM(IF((CsDJ[JEV Number]=TRIM($T580))*(CsDJ[Account Code]=TRIM(K615)),CsDJ[Credit]))</f>
        <v>0</v>
      </c>
      <c r="P615" s="1040">
        <f t="shared" si="50"/>
        <v>0</v>
      </c>
      <c r="Q615" s="1040"/>
      <c r="R615" s="1040"/>
      <c r="S615" s="1040">
        <f t="shared" si="51"/>
        <v>0</v>
      </c>
      <c r="T615" s="1040"/>
      <c r="U615" s="1040"/>
      <c r="V615" s="1041"/>
    </row>
    <row r="616" spans="1:22" x14ac:dyDescent="0.25">
      <c r="A616" s="1038"/>
      <c r="B616" s="1039"/>
      <c r="C616" s="1039"/>
      <c r="D616" s="1039"/>
      <c r="E616" s="1048" t="s">
        <v>458</v>
      </c>
      <c r="F616" s="1049"/>
      <c r="G616" s="1049"/>
      <c r="H616" s="1049"/>
      <c r="I616" s="1106">
        <f>IF(T580=0,0,(IF(LOOKUP(T580,CsDJ[JEV Number],CsDJ[Sort Code])="1","MA. VIVIAN C. SALAS",IF(LOOKUP(T580,CsDJ[JEV Number],CsDJ[Sort Code])="2","LUZ R. DE COZAR",IF(LOOKUP(T580,CsDJ[JEV Number],CsDJ[Sort Code])="3","MINEONETTE A. DELA CRUZ",IF(LOOKUP(T580,CsDJ[JEV Number],CsDJ[Sort Code])="4","RESELLA B. LOPEZ"))))))</f>
        <v>0</v>
      </c>
      <c r="J616" s="1107"/>
      <c r="K616" s="133"/>
      <c r="L616" s="62" t="str">
        <f t="shared" si="49"/>
        <v/>
      </c>
      <c r="M616" s="14"/>
      <c r="N616" s="89">
        <f t="array" ref="N616">SUM(IF((CsDJ[JEV Number]=TRIM($T580))*(CsDJ[Account Code]=TRIM(K616)),CsDJ[Debit]))</f>
        <v>0</v>
      </c>
      <c r="O616" s="89">
        <f t="array" ref="O616">SUM(IF((CsDJ[JEV Number]=TRIM($T580))*(CsDJ[Account Code]=TRIM(K616)),CsDJ[Credit]))</f>
        <v>0</v>
      </c>
      <c r="P616" s="1040">
        <f t="shared" si="50"/>
        <v>0</v>
      </c>
      <c r="Q616" s="1040"/>
      <c r="R616" s="1040"/>
      <c r="S616" s="1040">
        <f t="shared" si="51"/>
        <v>0</v>
      </c>
      <c r="T616" s="1040"/>
      <c r="U616" s="1040"/>
      <c r="V616" s="1041"/>
    </row>
    <row r="617" spans="1:22" x14ac:dyDescent="0.25">
      <c r="A617" s="1038"/>
      <c r="B617" s="1039"/>
      <c r="C617" s="1039"/>
      <c r="D617" s="1039"/>
      <c r="E617" s="1048" t="s">
        <v>459</v>
      </c>
      <c r="F617" s="1049"/>
      <c r="G617" s="1049"/>
      <c r="H617" s="1049"/>
      <c r="I617" s="1043">
        <f>IF(I616="Ma. Vivian C. Salas","Regional Office", IF(I616="Luz R. De Cozar","BANE IMO", IF(I616="Mineonette A. Dela Cruz","PAMBAT IMO", IF(I616="Resella B. Lopez","TARZAM IMO",0))))</f>
        <v>0</v>
      </c>
      <c r="J617" s="1044"/>
      <c r="K617" s="133"/>
      <c r="L617" s="62" t="str">
        <f t="shared" si="49"/>
        <v/>
      </c>
      <c r="M617" s="14"/>
      <c r="N617" s="89">
        <f t="array" ref="N617">SUM(IF((CsDJ[JEV Number]=TRIM($T580))*(CsDJ[Account Code]=TRIM(K617)),CsDJ[Debit]))</f>
        <v>0</v>
      </c>
      <c r="O617" s="89">
        <f t="array" ref="O617">SUM(IF((CsDJ[JEV Number]=TRIM($T580))*(CsDJ[Account Code]=TRIM(K617)),CsDJ[Credit]))</f>
        <v>0</v>
      </c>
      <c r="P617" s="1040">
        <f t="shared" si="50"/>
        <v>0</v>
      </c>
      <c r="Q617" s="1040"/>
      <c r="R617" s="1040"/>
      <c r="S617" s="1040">
        <f t="shared" si="51"/>
        <v>0</v>
      </c>
      <c r="T617" s="1040"/>
      <c r="U617" s="1040"/>
      <c r="V617" s="1041"/>
    </row>
    <row r="618" spans="1:22" x14ac:dyDescent="0.25">
      <c r="A618" s="1038"/>
      <c r="B618" s="1039"/>
      <c r="C618" s="1039"/>
      <c r="D618" s="1039"/>
      <c r="E618" s="1048"/>
      <c r="F618" s="1049"/>
      <c r="G618" s="1049"/>
      <c r="H618" s="1049"/>
      <c r="I618" s="1049"/>
      <c r="J618" s="1050"/>
      <c r="K618" s="133"/>
      <c r="L618" s="62" t="str">
        <f t="shared" si="49"/>
        <v/>
      </c>
      <c r="M618" s="14"/>
      <c r="N618" s="89">
        <f t="array" ref="N618">SUM(IF((CsDJ[JEV Number]=TRIM($T580))*(CsDJ[Account Code]=TRIM(K618)),CsDJ[Debit]))</f>
        <v>0</v>
      </c>
      <c r="O618" s="89">
        <f t="array" ref="O618">SUM(IF((CsDJ[JEV Number]=TRIM($T580))*(CsDJ[Account Code]=TRIM(K618)),CsDJ[Credit]))</f>
        <v>0</v>
      </c>
      <c r="P618" s="1040">
        <f t="shared" si="50"/>
        <v>0</v>
      </c>
      <c r="Q618" s="1040"/>
      <c r="R618" s="1040"/>
      <c r="S618" s="1040">
        <f t="shared" si="51"/>
        <v>0</v>
      </c>
      <c r="T618" s="1040"/>
      <c r="U618" s="1040"/>
      <c r="V618" s="1041"/>
    </row>
    <row r="619" spans="1:22" ht="16.5" thickBot="1" x14ac:dyDescent="0.3">
      <c r="A619" s="1091"/>
      <c r="B619" s="1092"/>
      <c r="C619" s="1092"/>
      <c r="D619" s="1092"/>
      <c r="E619" s="1092"/>
      <c r="F619" s="1092"/>
      <c r="G619" s="1092"/>
      <c r="H619" s="1092"/>
      <c r="I619" s="1092"/>
      <c r="J619" s="1092"/>
      <c r="K619" s="1092"/>
      <c r="L619" s="1092"/>
      <c r="M619" s="1093"/>
      <c r="N619" s="88"/>
      <c r="O619" s="88"/>
      <c r="P619" s="1094">
        <f>SUM(P589:R618)</f>
        <v>0</v>
      </c>
      <c r="Q619" s="1094"/>
      <c r="R619" s="1094"/>
      <c r="S619" s="1094">
        <f>SUM(S589:V618)</f>
        <v>0</v>
      </c>
      <c r="T619" s="1094"/>
      <c r="U619" s="1094"/>
      <c r="V619" s="1095"/>
    </row>
    <row r="620" spans="1:22" x14ac:dyDescent="0.25">
      <c r="A620" s="63"/>
      <c r="B620" s="64"/>
      <c r="C620" s="64"/>
      <c r="D620" s="64"/>
      <c r="E620" s="64"/>
      <c r="F620" s="64"/>
      <c r="G620" s="64"/>
      <c r="H620" s="64"/>
      <c r="I620" s="65"/>
      <c r="J620" s="64"/>
      <c r="K620" s="66"/>
      <c r="L620" s="64"/>
      <c r="M620" s="65"/>
      <c r="N620" s="64"/>
      <c r="O620" s="64"/>
      <c r="P620" s="1090"/>
      <c r="Q620" s="1090"/>
      <c r="R620" s="1090"/>
      <c r="S620" s="1090"/>
      <c r="T620" s="1090"/>
      <c r="U620" s="1090"/>
      <c r="V620" s="1096"/>
    </row>
    <row r="621" spans="1:22" x14ac:dyDescent="0.25">
      <c r="A621" s="67" t="s">
        <v>460</v>
      </c>
      <c r="B621"/>
      <c r="C621"/>
      <c r="D621"/>
      <c r="E621"/>
      <c r="F621"/>
      <c r="G621"/>
      <c r="H621"/>
      <c r="I621" s="68" t="s">
        <v>353</v>
      </c>
      <c r="J621" s="69"/>
      <c r="K621" s="69"/>
      <c r="L621"/>
      <c r="M621" s="68" t="s">
        <v>461</v>
      </c>
      <c r="N621" s="69"/>
      <c r="O621" s="69"/>
      <c r="P621" s="70"/>
      <c r="Q621" s="70"/>
      <c r="R621" s="70"/>
      <c r="S621" s="70"/>
      <c r="T621" s="70"/>
      <c r="U621" s="70"/>
      <c r="V621" s="71"/>
    </row>
    <row r="622" spans="1:22" x14ac:dyDescent="0.25">
      <c r="A622" s="37"/>
      <c r="B622"/>
      <c r="C622"/>
      <c r="D622"/>
      <c r="E622"/>
      <c r="F622"/>
      <c r="G622"/>
      <c r="H622"/>
      <c r="I622" s="72"/>
      <c r="J622"/>
      <c r="K622"/>
      <c r="L622"/>
      <c r="M622" s="72"/>
      <c r="N622"/>
      <c r="O622"/>
      <c r="P622"/>
      <c r="Q622"/>
      <c r="R622"/>
      <c r="S622"/>
      <c r="T622"/>
      <c r="U622"/>
      <c r="V622" s="73"/>
    </row>
    <row r="623" spans="1:22" x14ac:dyDescent="0.25">
      <c r="A623" s="74" t="s">
        <v>462</v>
      </c>
      <c r="B623" s="75"/>
      <c r="C623" s="75"/>
      <c r="D623" s="75"/>
      <c r="E623" s="75"/>
      <c r="F623" s="75"/>
      <c r="G623" s="75"/>
      <c r="H623" s="76"/>
      <c r="I623" s="77" t="s">
        <v>380</v>
      </c>
      <c r="J623" s="75"/>
      <c r="K623" s="75"/>
      <c r="L623" s="76"/>
      <c r="M623" s="77" t="s">
        <v>3</v>
      </c>
      <c r="N623" s="75"/>
      <c r="O623" s="75"/>
      <c r="P623" s="75"/>
      <c r="Q623" s="75"/>
      <c r="R623" s="75"/>
      <c r="S623" s="75"/>
      <c r="T623" s="75"/>
      <c r="U623" s="75"/>
      <c r="V623" s="78"/>
    </row>
    <row r="624" spans="1:22" x14ac:dyDescent="0.25">
      <c r="A624" s="79" t="s">
        <v>463</v>
      </c>
      <c r="B624" s="80"/>
      <c r="C624" s="80"/>
      <c r="D624" s="80"/>
      <c r="E624" s="80"/>
      <c r="F624" s="80"/>
      <c r="G624" s="80"/>
      <c r="H624" s="80"/>
      <c r="I624" s="81" t="s">
        <v>381</v>
      </c>
      <c r="J624" s="80"/>
      <c r="K624" s="80"/>
      <c r="L624" s="80"/>
      <c r="M624" s="81" t="s">
        <v>464</v>
      </c>
      <c r="N624" s="80"/>
      <c r="O624" s="80"/>
      <c r="P624" s="82"/>
      <c r="Q624" s="82"/>
      <c r="R624" s="82"/>
      <c r="S624" s="82"/>
      <c r="T624" s="82"/>
      <c r="U624" s="82"/>
      <c r="V624" s="83"/>
    </row>
    <row r="625" spans="1:22" ht="16.5" thickBot="1" x14ac:dyDescent="0.3">
      <c r="A625" s="84" t="s">
        <v>465</v>
      </c>
      <c r="B625" s="43"/>
      <c r="C625" s="43"/>
      <c r="D625" s="43"/>
      <c r="E625" s="43"/>
      <c r="F625" s="43"/>
      <c r="G625" s="43"/>
      <c r="H625" s="43"/>
      <c r="I625" s="85"/>
      <c r="J625" s="43"/>
      <c r="K625" s="43"/>
      <c r="L625" s="43"/>
      <c r="M625" s="85"/>
      <c r="N625" s="43"/>
      <c r="O625" s="43"/>
      <c r="P625" s="43"/>
      <c r="Q625" s="43"/>
      <c r="R625" s="43"/>
      <c r="S625" s="43"/>
      <c r="T625" s="43"/>
      <c r="U625" s="43"/>
      <c r="V625" s="44"/>
    </row>
    <row r="626" spans="1:22" ht="22.5" x14ac:dyDescent="0.25">
      <c r="A626" s="31" t="s">
        <v>441</v>
      </c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3"/>
      <c r="R626" s="1053">
        <f>+P666-S666</f>
        <v>0</v>
      </c>
      <c r="S626" s="1054"/>
      <c r="T626" s="1054"/>
      <c r="U626" s="1054"/>
      <c r="V626" s="1055"/>
    </row>
    <row r="627" spans="1:22" x14ac:dyDescent="0.25">
      <c r="A627" s="34" t="s">
        <v>442</v>
      </c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6"/>
      <c r="R627" s="37" t="s">
        <v>443</v>
      </c>
      <c r="S627"/>
      <c r="T627" s="1056"/>
      <c r="U627" s="1056"/>
      <c r="V627" s="1057"/>
    </row>
    <row r="628" spans="1:22" x14ac:dyDescent="0.25">
      <c r="A628" s="38" t="s">
        <v>444</v>
      </c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6"/>
      <c r="R628" s="37" t="s">
        <v>0</v>
      </c>
      <c r="S628"/>
      <c r="T628" s="1058">
        <f>IF(T627=0,0,(LOOKUP(T627,CsDJ[JEV Number],CsDJ[Date])))</f>
        <v>0</v>
      </c>
      <c r="U628" s="1058"/>
      <c r="V628" s="1059"/>
    </row>
    <row r="629" spans="1:22" ht="16.5" thickBot="1" x14ac:dyDescent="0.3">
      <c r="A629" s="39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1"/>
      <c r="R629" s="42"/>
      <c r="S629" s="43"/>
      <c r="T629" s="43"/>
      <c r="U629" s="43"/>
      <c r="V629" s="44"/>
    </row>
    <row r="630" spans="1:22" x14ac:dyDescent="0.25">
      <c r="A630" s="45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7"/>
      <c r="M630" s="46"/>
      <c r="N630" s="46"/>
      <c r="O630" s="46"/>
      <c r="P630" s="46"/>
      <c r="Q630" s="46"/>
      <c r="R630" s="46"/>
      <c r="S630" s="46"/>
      <c r="T630" s="46"/>
      <c r="U630" s="46"/>
      <c r="V630" s="48"/>
    </row>
    <row r="631" spans="1:22" x14ac:dyDescent="0.25">
      <c r="A631" s="49"/>
      <c r="B631" s="1060"/>
      <c r="C631" s="1060"/>
      <c r="D631" s="50" t="s">
        <v>445</v>
      </c>
      <c r="H631" s="51"/>
      <c r="I631" s="25" t="s">
        <v>447</v>
      </c>
      <c r="J631" s="132" t="s">
        <v>446</v>
      </c>
      <c r="K631" s="52" t="s">
        <v>448</v>
      </c>
      <c r="L631" s="52"/>
      <c r="Q631" s="1060"/>
      <c r="R631" s="1060"/>
      <c r="S631" s="50" t="s">
        <v>449</v>
      </c>
      <c r="T631" s="50"/>
      <c r="U631" s="50"/>
      <c r="V631" s="53"/>
    </row>
    <row r="632" spans="1:22" ht="16.5" thickBot="1" x14ac:dyDescent="0.3">
      <c r="A632" s="54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6"/>
      <c r="M632" s="55"/>
      <c r="N632" s="55"/>
      <c r="O632" s="55"/>
      <c r="P632" s="55"/>
      <c r="Q632" s="55"/>
      <c r="R632" s="55"/>
      <c r="S632" s="55"/>
      <c r="T632" s="55"/>
      <c r="U632" s="55"/>
      <c r="V632" s="57"/>
    </row>
    <row r="633" spans="1:22" x14ac:dyDescent="0.25">
      <c r="A633" s="1061" t="s">
        <v>397</v>
      </c>
      <c r="B633" s="1062"/>
      <c r="C633" s="1062"/>
      <c r="D633" s="1063"/>
      <c r="E633" s="1070" t="s">
        <v>450</v>
      </c>
      <c r="F633" s="1070"/>
      <c r="G633" s="1070"/>
      <c r="H633" s="1070"/>
      <c r="I633" s="1070"/>
      <c r="J633" s="1070"/>
      <c r="K633" s="1070"/>
      <c r="L633" s="1070"/>
      <c r="M633" s="1070"/>
      <c r="N633" s="1070"/>
      <c r="O633" s="1070"/>
      <c r="P633" s="1070"/>
      <c r="Q633" s="1070"/>
      <c r="R633" s="1070"/>
      <c r="S633" s="1070"/>
      <c r="T633" s="1070"/>
      <c r="U633" s="1070"/>
      <c r="V633" s="1071"/>
    </row>
    <row r="634" spans="1:22" x14ac:dyDescent="0.25">
      <c r="A634" s="1064"/>
      <c r="B634" s="1065"/>
      <c r="C634" s="1065"/>
      <c r="D634" s="1066"/>
      <c r="E634" s="1072" t="s">
        <v>451</v>
      </c>
      <c r="F634" s="1072"/>
      <c r="G634" s="1072"/>
      <c r="H634" s="1072"/>
      <c r="I634" s="1072"/>
      <c r="J634" s="1072"/>
      <c r="K634" s="1074" t="s">
        <v>378</v>
      </c>
      <c r="L634" s="1074"/>
      <c r="M634" s="1072" t="s">
        <v>452</v>
      </c>
      <c r="N634" s="1075" t="s">
        <v>453</v>
      </c>
      <c r="O634" s="1076"/>
      <c r="P634" s="1076"/>
      <c r="Q634" s="1076"/>
      <c r="R634" s="1076"/>
      <c r="S634" s="1076"/>
      <c r="T634" s="1076"/>
      <c r="U634" s="1076"/>
      <c r="V634" s="1077"/>
    </row>
    <row r="635" spans="1:22" ht="16.5" customHeight="1" thickBot="1" x14ac:dyDescent="0.3">
      <c r="A635" s="1067"/>
      <c r="B635" s="1068"/>
      <c r="C635" s="1068"/>
      <c r="D635" s="1069"/>
      <c r="E635" s="1073"/>
      <c r="F635" s="1073"/>
      <c r="G635" s="1073"/>
      <c r="H635" s="1073"/>
      <c r="I635" s="1073"/>
      <c r="J635" s="1073"/>
      <c r="K635" s="58" t="s">
        <v>454</v>
      </c>
      <c r="L635" s="58" t="s">
        <v>455</v>
      </c>
      <c r="M635" s="1073"/>
      <c r="N635" s="87" t="s">
        <v>466</v>
      </c>
      <c r="O635" s="87" t="s">
        <v>467</v>
      </c>
      <c r="P635" s="1078" t="s">
        <v>1</v>
      </c>
      <c r="Q635" s="1079"/>
      <c r="R635" s="1080"/>
      <c r="S635" s="1078" t="s">
        <v>2</v>
      </c>
      <c r="T635" s="1079"/>
      <c r="U635" s="1079"/>
      <c r="V635" s="1081"/>
    </row>
    <row r="636" spans="1:22" ht="19.5" x14ac:dyDescent="0.3">
      <c r="A636" s="1082">
        <f>P666-S666</f>
        <v>0</v>
      </c>
      <c r="B636" s="1083"/>
      <c r="C636" s="1083"/>
      <c r="D636" s="1083"/>
      <c r="E636" s="1084" t="str">
        <f>Account!$G$1</f>
        <v>FUND 501 CARP</v>
      </c>
      <c r="F636" s="1085"/>
      <c r="G636" s="1085"/>
      <c r="H636" s="1085"/>
      <c r="I636" s="1085"/>
      <c r="J636" s="1086"/>
      <c r="K636" s="59"/>
      <c r="L636" s="59"/>
      <c r="M636" s="60"/>
      <c r="N636" s="60"/>
      <c r="O636" s="60"/>
      <c r="P636" s="1087"/>
      <c r="Q636" s="1087"/>
      <c r="R636" s="1087"/>
      <c r="S636" s="1087"/>
      <c r="T636" s="1087"/>
      <c r="U636" s="1087"/>
      <c r="V636" s="1088"/>
    </row>
    <row r="637" spans="1:22" x14ac:dyDescent="0.25">
      <c r="A637" s="1038"/>
      <c r="B637" s="1039"/>
      <c r="C637" s="1039"/>
      <c r="D637" s="1039"/>
      <c r="E637" s="1039"/>
      <c r="F637" s="1039"/>
      <c r="G637" s="1039"/>
      <c r="H637" s="1039"/>
      <c r="I637" s="1039"/>
      <c r="J637" s="1039"/>
      <c r="K637" s="61"/>
      <c r="L637" s="61"/>
      <c r="M637" s="14"/>
      <c r="N637" s="14"/>
      <c r="O637" s="14"/>
      <c r="P637" s="1039"/>
      <c r="Q637" s="1039"/>
      <c r="R637" s="1039"/>
      <c r="S637" s="1039"/>
      <c r="T637" s="1039"/>
      <c r="U637" s="1039"/>
      <c r="V637" s="1089"/>
    </row>
    <row r="638" spans="1:22" x14ac:dyDescent="0.25">
      <c r="A638" s="1038"/>
      <c r="B638" s="1039"/>
      <c r="C638" s="1039"/>
      <c r="D638" s="1039"/>
      <c r="E638" s="1045" t="str">
        <f t="shared" ref="E638:E660" si="52">IF(K638=0,"",(VLOOKUP((TRIM(K638)),Code,2,)))</f>
        <v/>
      </c>
      <c r="F638" s="1046"/>
      <c r="G638" s="1046"/>
      <c r="H638" s="1046"/>
      <c r="I638" s="1046"/>
      <c r="J638" s="1047"/>
      <c r="K638" s="133"/>
      <c r="L638" s="62" t="str">
        <f t="shared" ref="L638:L665" si="53">IF(K638=0,"",VLOOKUP((TRIM(K638)),Code,3,))</f>
        <v/>
      </c>
      <c r="M638" s="14"/>
      <c r="N638" s="89">
        <f t="array" ref="N638">SUM(IF((CsDJ[JEV Number]=TRIM($T627))*(CsDJ[Account Code]=TRIM(K638)),CsDJ[Debit]))</f>
        <v>0</v>
      </c>
      <c r="O638" s="89">
        <f t="array" ref="O638">SUM(IF((CsDJ[JEV Number]=TRIM($T627))*(CsDJ[Account Code]=TRIM(K638)),CsDJ[Credit]))</f>
        <v>0</v>
      </c>
      <c r="P638" s="1040">
        <f>N638</f>
        <v>0</v>
      </c>
      <c r="Q638" s="1040"/>
      <c r="R638" s="1040"/>
      <c r="S638" s="1040">
        <f>O638</f>
        <v>0</v>
      </c>
      <c r="T638" s="1040"/>
      <c r="U638" s="1040"/>
      <c r="V638" s="1041"/>
    </row>
    <row r="639" spans="1:22" x14ac:dyDescent="0.25">
      <c r="A639" s="1038"/>
      <c r="B639" s="1039"/>
      <c r="C639" s="1039"/>
      <c r="D639" s="1039"/>
      <c r="E639" s="1045" t="str">
        <f t="shared" si="52"/>
        <v/>
      </c>
      <c r="F639" s="1046"/>
      <c r="G639" s="1046"/>
      <c r="H639" s="1046"/>
      <c r="I639" s="1046"/>
      <c r="J639" s="1047"/>
      <c r="K639" s="133"/>
      <c r="L639" s="62" t="str">
        <f t="shared" si="53"/>
        <v/>
      </c>
      <c r="M639" s="14"/>
      <c r="N639" s="89">
        <f t="array" ref="N639">SUM(IF((CsDJ[JEV Number]=TRIM($T627))*(CsDJ[Account Code]=TRIM(K639)),CsDJ[Debit]))</f>
        <v>0</v>
      </c>
      <c r="O639" s="89">
        <f t="array" ref="O639">SUM(IF((CsDJ[JEV Number]=TRIM($T627))*(CsDJ[Account Code]=TRIM(K639)),CsDJ[Credit]))</f>
        <v>0</v>
      </c>
      <c r="P639" s="1040">
        <f>N639</f>
        <v>0</v>
      </c>
      <c r="Q639" s="1040"/>
      <c r="R639" s="1040"/>
      <c r="S639" s="1040">
        <f>O639</f>
        <v>0</v>
      </c>
      <c r="T639" s="1040"/>
      <c r="U639" s="1040"/>
      <c r="V639" s="1041"/>
    </row>
    <row r="640" spans="1:22" x14ac:dyDescent="0.25">
      <c r="A640" s="1038"/>
      <c r="B640" s="1039"/>
      <c r="C640" s="1039"/>
      <c r="D640" s="1039"/>
      <c r="E640" s="1045" t="str">
        <f t="shared" si="52"/>
        <v/>
      </c>
      <c r="F640" s="1046"/>
      <c r="G640" s="1046"/>
      <c r="H640" s="1046"/>
      <c r="I640" s="1046"/>
      <c r="J640" s="1047"/>
      <c r="K640" s="133"/>
      <c r="L640" s="62" t="str">
        <f t="shared" si="53"/>
        <v/>
      </c>
      <c r="M640" s="14"/>
      <c r="N640" s="89">
        <f t="array" ref="N640">SUM(IF((CsDJ[JEV Number]=TRIM($T627))*(CsDJ[Account Code]=TRIM(K640)),CsDJ[Debit]))</f>
        <v>0</v>
      </c>
      <c r="O640" s="89">
        <f t="array" ref="O640">SUM(IF((CsDJ[JEV Number]=TRIM($T627))*(CsDJ[Account Code]=TRIM(K640)),CsDJ[Credit]))</f>
        <v>0</v>
      </c>
      <c r="P640" s="1040">
        <f t="shared" ref="P640:P665" si="54">N640</f>
        <v>0</v>
      </c>
      <c r="Q640" s="1040"/>
      <c r="R640" s="1040"/>
      <c r="S640" s="1040">
        <f t="shared" ref="S640:S665" si="55">O640</f>
        <v>0</v>
      </c>
      <c r="T640" s="1040"/>
      <c r="U640" s="1040"/>
      <c r="V640" s="1041"/>
    </row>
    <row r="641" spans="1:22" x14ac:dyDescent="0.25">
      <c r="A641" s="1038"/>
      <c r="B641" s="1039"/>
      <c r="C641" s="1039"/>
      <c r="D641" s="1039"/>
      <c r="E641" s="1045" t="str">
        <f t="shared" si="52"/>
        <v/>
      </c>
      <c r="F641" s="1046"/>
      <c r="G641" s="1046"/>
      <c r="H641" s="1046"/>
      <c r="I641" s="1046"/>
      <c r="J641" s="1047"/>
      <c r="K641" s="133"/>
      <c r="L641" s="62" t="str">
        <f t="shared" si="53"/>
        <v/>
      </c>
      <c r="M641" s="14"/>
      <c r="N641" s="89">
        <f t="array" ref="N641">SUM(IF((CsDJ[JEV Number]=TRIM($T627))*(CsDJ[Account Code]=TRIM(K641)),CsDJ[Debit]))</f>
        <v>0</v>
      </c>
      <c r="O641" s="89">
        <f t="array" ref="O641">SUM(IF((CsDJ[JEV Number]=TRIM($T627))*(CsDJ[Account Code]=TRIM(K641)),CsDJ[Credit]))</f>
        <v>0</v>
      </c>
      <c r="P641" s="1040">
        <f t="shared" si="54"/>
        <v>0</v>
      </c>
      <c r="Q641" s="1040"/>
      <c r="R641" s="1040"/>
      <c r="S641" s="1040">
        <f t="shared" si="55"/>
        <v>0</v>
      </c>
      <c r="T641" s="1040"/>
      <c r="U641" s="1040"/>
      <c r="V641" s="1041"/>
    </row>
    <row r="642" spans="1:22" x14ac:dyDescent="0.25">
      <c r="A642" s="1038"/>
      <c r="B642" s="1039"/>
      <c r="C642" s="1039"/>
      <c r="D642" s="1039"/>
      <c r="E642" s="1045" t="str">
        <f t="shared" si="52"/>
        <v/>
      </c>
      <c r="F642" s="1046"/>
      <c r="G642" s="1046"/>
      <c r="H642" s="1046"/>
      <c r="I642" s="1046"/>
      <c r="J642" s="1047"/>
      <c r="K642" s="133"/>
      <c r="L642" s="62" t="str">
        <f t="shared" si="53"/>
        <v/>
      </c>
      <c r="M642" s="14"/>
      <c r="N642" s="89">
        <f t="array" ref="N642">SUM(IF((CsDJ[JEV Number]=TRIM($T627))*(CsDJ[Account Code]=TRIM(K642)),CsDJ[Debit]))</f>
        <v>0</v>
      </c>
      <c r="O642" s="89">
        <f t="array" ref="O642">SUM(IF((CsDJ[JEV Number]=TRIM($T627))*(CsDJ[Account Code]=TRIM(K642)),CsDJ[Credit]))</f>
        <v>0</v>
      </c>
      <c r="P642" s="1040">
        <f t="shared" si="54"/>
        <v>0</v>
      </c>
      <c r="Q642" s="1040"/>
      <c r="R642" s="1040"/>
      <c r="S642" s="1040">
        <f t="shared" si="55"/>
        <v>0</v>
      </c>
      <c r="T642" s="1040"/>
      <c r="U642" s="1040"/>
      <c r="V642" s="1041"/>
    </row>
    <row r="643" spans="1:22" x14ac:dyDescent="0.25">
      <c r="A643" s="1038"/>
      <c r="B643" s="1039"/>
      <c r="C643" s="1039"/>
      <c r="D643" s="1039"/>
      <c r="E643" s="1045" t="str">
        <f t="shared" si="52"/>
        <v/>
      </c>
      <c r="F643" s="1046"/>
      <c r="G643" s="1046"/>
      <c r="H643" s="1046"/>
      <c r="I643" s="1046"/>
      <c r="J643" s="1047"/>
      <c r="K643" s="133"/>
      <c r="L643" s="62" t="str">
        <f t="shared" si="53"/>
        <v/>
      </c>
      <c r="M643" s="14"/>
      <c r="N643" s="89">
        <f t="array" ref="N643">SUM(IF((CsDJ[JEV Number]=TRIM($T627))*(CsDJ[Account Code]=TRIM(K643)),CsDJ[Debit]))</f>
        <v>0</v>
      </c>
      <c r="O643" s="89">
        <f t="array" ref="O643">SUM(IF((CsDJ[JEV Number]=TRIM($T627))*(CsDJ[Account Code]=TRIM(K643)),CsDJ[Credit]))</f>
        <v>0</v>
      </c>
      <c r="P643" s="1040">
        <f t="shared" si="54"/>
        <v>0</v>
      </c>
      <c r="Q643" s="1040"/>
      <c r="R643" s="1040"/>
      <c r="S643" s="1040">
        <f t="shared" si="55"/>
        <v>0</v>
      </c>
      <c r="T643" s="1040"/>
      <c r="U643" s="1040"/>
      <c r="V643" s="1041"/>
    </row>
    <row r="644" spans="1:22" x14ac:dyDescent="0.25">
      <c r="A644" s="1038"/>
      <c r="B644" s="1039"/>
      <c r="C644" s="1039"/>
      <c r="D644" s="1039"/>
      <c r="E644" s="1045" t="str">
        <f t="shared" si="52"/>
        <v/>
      </c>
      <c r="F644" s="1046"/>
      <c r="G644" s="1046"/>
      <c r="H644" s="1046"/>
      <c r="I644" s="1046"/>
      <c r="J644" s="1047"/>
      <c r="K644" s="133"/>
      <c r="L644" s="62" t="str">
        <f t="shared" si="53"/>
        <v/>
      </c>
      <c r="M644" s="14"/>
      <c r="N644" s="89">
        <f t="array" ref="N644">SUM(IF((CsDJ[JEV Number]=TRIM($T627))*(CsDJ[Account Code]=TRIM(K644)),CsDJ[Debit]))</f>
        <v>0</v>
      </c>
      <c r="O644" s="89">
        <f t="array" ref="O644">SUM(IF((CsDJ[JEV Number]=TRIM($T627))*(CsDJ[Account Code]=TRIM(K644)),CsDJ[Credit]))</f>
        <v>0</v>
      </c>
      <c r="P644" s="1040">
        <f t="shared" si="54"/>
        <v>0</v>
      </c>
      <c r="Q644" s="1040"/>
      <c r="R644" s="1040"/>
      <c r="S644" s="1040">
        <f t="shared" si="55"/>
        <v>0</v>
      </c>
      <c r="T644" s="1040"/>
      <c r="U644" s="1040"/>
      <c r="V644" s="1041"/>
    </row>
    <row r="645" spans="1:22" x14ac:dyDescent="0.25">
      <c r="A645" s="1038"/>
      <c r="B645" s="1039"/>
      <c r="C645" s="1039"/>
      <c r="D645" s="1039"/>
      <c r="E645" s="1045" t="str">
        <f t="shared" si="52"/>
        <v/>
      </c>
      <c r="F645" s="1046"/>
      <c r="G645" s="1046"/>
      <c r="H645" s="1046"/>
      <c r="I645" s="1046"/>
      <c r="J645" s="1047"/>
      <c r="K645" s="133"/>
      <c r="L645" s="62" t="str">
        <f t="shared" si="53"/>
        <v/>
      </c>
      <c r="M645" s="14"/>
      <c r="N645" s="89">
        <f t="array" ref="N645">SUM(IF((CsDJ[JEV Number]=TRIM($T627))*(CsDJ[Account Code]=TRIM(K645)),CsDJ[Debit]))</f>
        <v>0</v>
      </c>
      <c r="O645" s="89">
        <f t="array" ref="O645">SUM(IF((CsDJ[JEV Number]=TRIM($T627))*(CsDJ[Account Code]=TRIM(K645)),CsDJ[Credit]))</f>
        <v>0</v>
      </c>
      <c r="P645" s="1040">
        <f t="shared" si="54"/>
        <v>0</v>
      </c>
      <c r="Q645" s="1040"/>
      <c r="R645" s="1040"/>
      <c r="S645" s="1040">
        <f t="shared" si="55"/>
        <v>0</v>
      </c>
      <c r="T645" s="1040"/>
      <c r="U645" s="1040"/>
      <c r="V645" s="1041"/>
    </row>
    <row r="646" spans="1:22" x14ac:dyDescent="0.25">
      <c r="A646" s="1038"/>
      <c r="B646" s="1039"/>
      <c r="C646" s="1039"/>
      <c r="D646" s="1039"/>
      <c r="E646" s="1045" t="str">
        <f t="shared" si="52"/>
        <v/>
      </c>
      <c r="F646" s="1046"/>
      <c r="G646" s="1046"/>
      <c r="H646" s="1046"/>
      <c r="I646" s="1046"/>
      <c r="J646" s="1047"/>
      <c r="K646" s="134"/>
      <c r="L646" s="62" t="str">
        <f t="shared" si="53"/>
        <v/>
      </c>
      <c r="M646" s="14"/>
      <c r="N646" s="89">
        <f t="array" ref="N646">SUM(IF((CsDJ[JEV Number]=TRIM($T627))*(CsDJ[Account Code]=TRIM(K646)),CsDJ[Debit]))</f>
        <v>0</v>
      </c>
      <c r="O646" s="89">
        <f t="array" ref="O646">SUM(IF((CsDJ[JEV Number]=TRIM($T627))*(CsDJ[Account Code]=TRIM(K646)),CsDJ[Credit]))</f>
        <v>0</v>
      </c>
      <c r="P646" s="1040">
        <f t="shared" si="54"/>
        <v>0</v>
      </c>
      <c r="Q646" s="1040"/>
      <c r="R646" s="1040"/>
      <c r="S646" s="1040">
        <f t="shared" si="55"/>
        <v>0</v>
      </c>
      <c r="T646" s="1040"/>
      <c r="U646" s="1040"/>
      <c r="V646" s="1041"/>
    </row>
    <row r="647" spans="1:22" x14ac:dyDescent="0.25">
      <c r="A647" s="1038"/>
      <c r="B647" s="1039"/>
      <c r="C647" s="1039"/>
      <c r="D647" s="1039"/>
      <c r="E647" s="1045" t="str">
        <f t="shared" si="52"/>
        <v/>
      </c>
      <c r="F647" s="1046"/>
      <c r="G647" s="1046"/>
      <c r="H647" s="1046"/>
      <c r="I647" s="1046"/>
      <c r="J647" s="1047"/>
      <c r="K647" s="134"/>
      <c r="L647" s="62" t="str">
        <f t="shared" si="53"/>
        <v/>
      </c>
      <c r="M647" s="14"/>
      <c r="N647" s="89">
        <f t="array" ref="N647">SUM(IF((CsDJ[JEV Number]=TRIM($T627))*(CsDJ[Account Code]=TRIM(K647)),CsDJ[Debit]))</f>
        <v>0</v>
      </c>
      <c r="O647" s="89">
        <f t="array" ref="O647">SUM(IF((CsDJ[JEV Number]=TRIM($T627))*(CsDJ[Account Code]=TRIM(K647)),CsDJ[Credit]))</f>
        <v>0</v>
      </c>
      <c r="P647" s="1040">
        <f t="shared" si="54"/>
        <v>0</v>
      </c>
      <c r="Q647" s="1040"/>
      <c r="R647" s="1040"/>
      <c r="S647" s="1040">
        <f t="shared" si="55"/>
        <v>0</v>
      </c>
      <c r="T647" s="1040"/>
      <c r="U647" s="1040"/>
      <c r="V647" s="1041"/>
    </row>
    <row r="648" spans="1:22" x14ac:dyDescent="0.25">
      <c r="A648" s="1038"/>
      <c r="B648" s="1039"/>
      <c r="C648" s="1039"/>
      <c r="D648" s="1039"/>
      <c r="E648" s="1045" t="str">
        <f t="shared" si="52"/>
        <v/>
      </c>
      <c r="F648" s="1046"/>
      <c r="G648" s="1046"/>
      <c r="H648" s="1046"/>
      <c r="I648" s="1046"/>
      <c r="J648" s="1047"/>
      <c r="K648" s="134"/>
      <c r="L648" s="62" t="str">
        <f t="shared" si="53"/>
        <v/>
      </c>
      <c r="M648" s="14"/>
      <c r="N648" s="89">
        <f t="array" ref="N648">SUM(IF((CsDJ[JEV Number]=TRIM($T627))*(CsDJ[Account Code]=TRIM(K648)),CsDJ[Debit]))</f>
        <v>0</v>
      </c>
      <c r="O648" s="89">
        <f t="array" ref="O648">SUM(IF((CsDJ[JEV Number]=TRIM($T627))*(CsDJ[Account Code]=TRIM(K648)),CsDJ[Credit]))</f>
        <v>0</v>
      </c>
      <c r="P648" s="1040">
        <f t="shared" si="54"/>
        <v>0</v>
      </c>
      <c r="Q648" s="1040"/>
      <c r="R648" s="1040"/>
      <c r="S648" s="1040">
        <f t="shared" si="55"/>
        <v>0</v>
      </c>
      <c r="T648" s="1040"/>
      <c r="U648" s="1040"/>
      <c r="V648" s="1041"/>
    </row>
    <row r="649" spans="1:22" x14ac:dyDescent="0.25">
      <c r="A649" s="1038"/>
      <c r="B649" s="1039"/>
      <c r="C649" s="1039"/>
      <c r="D649" s="1039"/>
      <c r="E649" s="1045" t="str">
        <f t="shared" si="52"/>
        <v/>
      </c>
      <c r="F649" s="1046"/>
      <c r="G649" s="1046"/>
      <c r="H649" s="1046"/>
      <c r="I649" s="1046"/>
      <c r="J649" s="1047"/>
      <c r="K649" s="134"/>
      <c r="L649" s="62" t="str">
        <f t="shared" si="53"/>
        <v/>
      </c>
      <c r="M649" s="14"/>
      <c r="N649" s="89">
        <f t="array" ref="N649">SUM(IF((CsDJ[JEV Number]=TRIM($T627))*(CsDJ[Account Code]=TRIM(K649)),CsDJ[Debit]))</f>
        <v>0</v>
      </c>
      <c r="O649" s="89">
        <f t="array" ref="O649">SUM(IF((CsDJ[JEV Number]=TRIM($T627))*(CsDJ[Account Code]=TRIM(K649)),CsDJ[Credit]))</f>
        <v>0</v>
      </c>
      <c r="P649" s="1040">
        <f t="shared" si="54"/>
        <v>0</v>
      </c>
      <c r="Q649" s="1040"/>
      <c r="R649" s="1040"/>
      <c r="S649" s="1040">
        <f t="shared" si="55"/>
        <v>0</v>
      </c>
      <c r="T649" s="1040"/>
      <c r="U649" s="1040"/>
      <c r="V649" s="1041"/>
    </row>
    <row r="650" spans="1:22" x14ac:dyDescent="0.25">
      <c r="A650" s="1038"/>
      <c r="B650" s="1039"/>
      <c r="C650" s="1039"/>
      <c r="D650" s="1039"/>
      <c r="E650" s="1045" t="str">
        <f t="shared" si="52"/>
        <v/>
      </c>
      <c r="F650" s="1046"/>
      <c r="G650" s="1046"/>
      <c r="H650" s="1046"/>
      <c r="I650" s="1046"/>
      <c r="J650" s="1047"/>
      <c r="K650" s="134"/>
      <c r="L650" s="62" t="str">
        <f t="shared" si="53"/>
        <v/>
      </c>
      <c r="M650" s="14"/>
      <c r="N650" s="89">
        <f t="array" ref="N650">SUM(IF((CsDJ[JEV Number]=TRIM($T627))*(CsDJ[Account Code]=TRIM(K650)),CsDJ[Debit]))</f>
        <v>0</v>
      </c>
      <c r="O650" s="89">
        <f t="array" ref="O650">SUM(IF((CsDJ[JEV Number]=TRIM($T627))*(CsDJ[Account Code]=TRIM(K650)),CsDJ[Credit]))</f>
        <v>0</v>
      </c>
      <c r="P650" s="1040">
        <f t="shared" si="54"/>
        <v>0</v>
      </c>
      <c r="Q650" s="1040"/>
      <c r="R650" s="1040"/>
      <c r="S650" s="1040">
        <f t="shared" si="55"/>
        <v>0</v>
      </c>
      <c r="T650" s="1040"/>
      <c r="U650" s="1040"/>
      <c r="V650" s="1041"/>
    </row>
    <row r="651" spans="1:22" x14ac:dyDescent="0.25">
      <c r="A651" s="1038"/>
      <c r="B651" s="1039"/>
      <c r="C651" s="1039"/>
      <c r="D651" s="1039"/>
      <c r="E651" s="1045" t="str">
        <f t="shared" si="52"/>
        <v/>
      </c>
      <c r="F651" s="1046"/>
      <c r="G651" s="1046"/>
      <c r="H651" s="1046"/>
      <c r="I651" s="1046"/>
      <c r="J651" s="1047"/>
      <c r="K651" s="134"/>
      <c r="L651" s="62" t="str">
        <f t="shared" si="53"/>
        <v/>
      </c>
      <c r="M651" s="14"/>
      <c r="N651" s="89">
        <f t="array" ref="N651">SUM(IF((CsDJ[JEV Number]=TRIM($T627))*(CsDJ[Account Code]=TRIM(K651)),CsDJ[Debit]))</f>
        <v>0</v>
      </c>
      <c r="O651" s="89">
        <f t="array" ref="O651">SUM(IF((CsDJ[JEV Number]=TRIM($T627))*(CsDJ[Account Code]=TRIM(K651)),CsDJ[Credit]))</f>
        <v>0</v>
      </c>
      <c r="P651" s="1040">
        <f t="shared" si="54"/>
        <v>0</v>
      </c>
      <c r="Q651" s="1040"/>
      <c r="R651" s="1040"/>
      <c r="S651" s="1040">
        <f t="shared" si="55"/>
        <v>0</v>
      </c>
      <c r="T651" s="1040"/>
      <c r="U651" s="1040"/>
      <c r="V651" s="1041"/>
    </row>
    <row r="652" spans="1:22" x14ac:dyDescent="0.25">
      <c r="A652" s="1038"/>
      <c r="B652" s="1039"/>
      <c r="C652" s="1039"/>
      <c r="D652" s="1039"/>
      <c r="E652" s="1045" t="str">
        <f t="shared" si="52"/>
        <v/>
      </c>
      <c r="F652" s="1046"/>
      <c r="G652" s="1046"/>
      <c r="H652" s="1046"/>
      <c r="I652" s="1046"/>
      <c r="J652" s="1047"/>
      <c r="K652" s="134"/>
      <c r="L652" s="62" t="str">
        <f t="shared" si="53"/>
        <v/>
      </c>
      <c r="M652" s="14"/>
      <c r="N652" s="89">
        <f t="array" ref="N652">SUM(IF((CsDJ[JEV Number]=TRIM($T627))*(CsDJ[Account Code]=TRIM(K652)),CsDJ[Debit]))</f>
        <v>0</v>
      </c>
      <c r="O652" s="89">
        <f t="array" ref="O652">SUM(IF((CsDJ[JEV Number]=TRIM($T627))*(CsDJ[Account Code]=TRIM(K652)),CsDJ[Credit]))</f>
        <v>0</v>
      </c>
      <c r="P652" s="1040">
        <f t="shared" si="54"/>
        <v>0</v>
      </c>
      <c r="Q652" s="1040"/>
      <c r="R652" s="1040"/>
      <c r="S652" s="1040">
        <f t="shared" si="55"/>
        <v>0</v>
      </c>
      <c r="T652" s="1040"/>
      <c r="U652" s="1040"/>
      <c r="V652" s="1041"/>
    </row>
    <row r="653" spans="1:22" x14ac:dyDescent="0.25">
      <c r="A653" s="1038"/>
      <c r="B653" s="1039"/>
      <c r="C653" s="1039"/>
      <c r="D653" s="1039"/>
      <c r="E653" s="1045" t="str">
        <f t="shared" si="52"/>
        <v/>
      </c>
      <c r="F653" s="1046"/>
      <c r="G653" s="1046"/>
      <c r="H653" s="1046"/>
      <c r="I653" s="1046"/>
      <c r="J653" s="1047"/>
      <c r="K653" s="134"/>
      <c r="L653" s="62" t="str">
        <f t="shared" si="53"/>
        <v/>
      </c>
      <c r="M653" s="14"/>
      <c r="N653" s="89">
        <f t="array" ref="N653">SUM(IF((CsDJ[JEV Number]=TRIM($T627))*(CsDJ[Account Code]=TRIM(K653)),CsDJ[Debit]))</f>
        <v>0</v>
      </c>
      <c r="O653" s="89">
        <f t="array" ref="O653">SUM(IF((CsDJ[JEV Number]=TRIM($T627))*(CsDJ[Account Code]=TRIM(K653)),CsDJ[Credit]))</f>
        <v>0</v>
      </c>
      <c r="P653" s="1040">
        <f t="shared" si="54"/>
        <v>0</v>
      </c>
      <c r="Q653" s="1040"/>
      <c r="R653" s="1040"/>
      <c r="S653" s="1040">
        <f t="shared" si="55"/>
        <v>0</v>
      </c>
      <c r="T653" s="1040"/>
      <c r="U653" s="1040"/>
      <c r="V653" s="1041"/>
    </row>
    <row r="654" spans="1:22" x14ac:dyDescent="0.25">
      <c r="A654" s="1038"/>
      <c r="B654" s="1039"/>
      <c r="C654" s="1039"/>
      <c r="D654" s="1039"/>
      <c r="E654" s="1045" t="str">
        <f t="shared" si="52"/>
        <v/>
      </c>
      <c r="F654" s="1046"/>
      <c r="G654" s="1046"/>
      <c r="H654" s="1046"/>
      <c r="I654" s="1046"/>
      <c r="J654" s="1047"/>
      <c r="K654" s="134"/>
      <c r="L654" s="62" t="str">
        <f t="shared" si="53"/>
        <v/>
      </c>
      <c r="M654" s="14"/>
      <c r="N654" s="89">
        <f t="array" ref="N654">SUM(IF((CsDJ[JEV Number]=TRIM($T627))*(CsDJ[Account Code]=TRIM(K654)),CsDJ[Debit]))</f>
        <v>0</v>
      </c>
      <c r="O654" s="89">
        <f t="array" ref="O654">SUM(IF((CsDJ[JEV Number]=TRIM($T627))*(CsDJ[Account Code]=TRIM(K654)),CsDJ[Credit]))</f>
        <v>0</v>
      </c>
      <c r="P654" s="1040">
        <f t="shared" si="54"/>
        <v>0</v>
      </c>
      <c r="Q654" s="1040"/>
      <c r="R654" s="1040"/>
      <c r="S654" s="1040">
        <f t="shared" si="55"/>
        <v>0</v>
      </c>
      <c r="T654" s="1040"/>
      <c r="U654" s="1040"/>
      <c r="V654" s="1041"/>
    </row>
    <row r="655" spans="1:22" x14ac:dyDescent="0.25">
      <c r="A655" s="1038"/>
      <c r="B655" s="1039"/>
      <c r="C655" s="1039"/>
      <c r="D655" s="1039"/>
      <c r="E655" s="1045" t="str">
        <f t="shared" si="52"/>
        <v/>
      </c>
      <c r="F655" s="1046"/>
      <c r="G655" s="1046"/>
      <c r="H655" s="1046"/>
      <c r="I655" s="1046"/>
      <c r="J655" s="1047"/>
      <c r="K655" s="134"/>
      <c r="L655" s="62" t="str">
        <f t="shared" si="53"/>
        <v/>
      </c>
      <c r="M655" s="14"/>
      <c r="N655" s="89">
        <f t="array" ref="N655">SUM(IF((CsDJ[JEV Number]=TRIM($T627))*(CsDJ[Account Code]=TRIM(K655)),CsDJ[Debit]))</f>
        <v>0</v>
      </c>
      <c r="O655" s="89">
        <f t="array" ref="O655">SUM(IF((CsDJ[JEV Number]=TRIM($T627))*(CsDJ[Account Code]=TRIM(K655)),CsDJ[Credit]))</f>
        <v>0</v>
      </c>
      <c r="P655" s="1040">
        <f t="shared" si="54"/>
        <v>0</v>
      </c>
      <c r="Q655" s="1040"/>
      <c r="R655" s="1040"/>
      <c r="S655" s="1040">
        <f t="shared" si="55"/>
        <v>0</v>
      </c>
      <c r="T655" s="1040"/>
      <c r="U655" s="1040"/>
      <c r="V655" s="1041"/>
    </row>
    <row r="656" spans="1:22" x14ac:dyDescent="0.25">
      <c r="A656" s="1038"/>
      <c r="B656" s="1039"/>
      <c r="C656" s="1039"/>
      <c r="D656" s="1039"/>
      <c r="E656" s="1045" t="str">
        <f t="shared" si="52"/>
        <v/>
      </c>
      <c r="F656" s="1046"/>
      <c r="G656" s="1046"/>
      <c r="H656" s="1046"/>
      <c r="I656" s="1046"/>
      <c r="J656" s="1047"/>
      <c r="K656" s="134"/>
      <c r="L656" s="62" t="str">
        <f t="shared" si="53"/>
        <v/>
      </c>
      <c r="M656" s="14"/>
      <c r="N656" s="89">
        <f t="array" ref="N656">SUM(IF((CsDJ[JEV Number]=TRIM($T627))*(CsDJ[Account Code]=TRIM(K656)),CsDJ[Debit]))</f>
        <v>0</v>
      </c>
      <c r="O656" s="89">
        <f t="array" ref="O656">SUM(IF((CsDJ[JEV Number]=TRIM($T627))*(CsDJ[Account Code]=TRIM(K656)),CsDJ[Credit]))</f>
        <v>0</v>
      </c>
      <c r="P656" s="1040">
        <f t="shared" si="54"/>
        <v>0</v>
      </c>
      <c r="Q656" s="1040"/>
      <c r="R656" s="1040"/>
      <c r="S656" s="1040">
        <f t="shared" si="55"/>
        <v>0</v>
      </c>
      <c r="T656" s="1040"/>
      <c r="U656" s="1040"/>
      <c r="V656" s="1041"/>
    </row>
    <row r="657" spans="1:22" x14ac:dyDescent="0.25">
      <c r="A657" s="1038"/>
      <c r="B657" s="1039"/>
      <c r="C657" s="1039"/>
      <c r="D657" s="1039"/>
      <c r="E657" s="1045" t="str">
        <f t="shared" si="52"/>
        <v/>
      </c>
      <c r="F657" s="1046"/>
      <c r="G657" s="1046"/>
      <c r="H657" s="1046"/>
      <c r="I657" s="1046"/>
      <c r="J657" s="1047"/>
      <c r="K657" s="134"/>
      <c r="L657" s="62" t="str">
        <f t="shared" si="53"/>
        <v/>
      </c>
      <c r="M657" s="14"/>
      <c r="N657" s="89">
        <f t="array" ref="N657">SUM(IF((CsDJ[JEV Number]=TRIM($T627))*(CsDJ[Account Code]=TRIM(K657)),CsDJ[Debit]))</f>
        <v>0</v>
      </c>
      <c r="O657" s="89">
        <f t="array" ref="O657">SUM(IF((CsDJ[JEV Number]=TRIM($T627))*(CsDJ[Account Code]=TRIM(K657)),CsDJ[Credit]))</f>
        <v>0</v>
      </c>
      <c r="P657" s="1040">
        <f t="shared" si="54"/>
        <v>0</v>
      </c>
      <c r="Q657" s="1040"/>
      <c r="R657" s="1040"/>
      <c r="S657" s="1040">
        <f t="shared" si="55"/>
        <v>0</v>
      </c>
      <c r="T657" s="1040"/>
      <c r="U657" s="1040"/>
      <c r="V657" s="1041"/>
    </row>
    <row r="658" spans="1:22" x14ac:dyDescent="0.25">
      <c r="A658" s="1038"/>
      <c r="B658" s="1039"/>
      <c r="C658" s="1039"/>
      <c r="D658" s="1039"/>
      <c r="E658" s="1045" t="str">
        <f t="shared" si="52"/>
        <v/>
      </c>
      <c r="F658" s="1046"/>
      <c r="G658" s="1046"/>
      <c r="H658" s="1046"/>
      <c r="I658" s="1046"/>
      <c r="J658" s="1047"/>
      <c r="K658" s="134"/>
      <c r="L658" s="62" t="str">
        <f t="shared" si="53"/>
        <v/>
      </c>
      <c r="M658" s="14"/>
      <c r="N658" s="89">
        <f t="array" ref="N658">SUM(IF((CsDJ[JEV Number]=TRIM($T627))*(CsDJ[Account Code]=TRIM(K658)),CsDJ[Debit]))</f>
        <v>0</v>
      </c>
      <c r="O658" s="89">
        <f t="array" ref="O658">SUM(IF((CsDJ[JEV Number]=TRIM($T627))*(CsDJ[Account Code]=TRIM(K658)),CsDJ[Credit]))</f>
        <v>0</v>
      </c>
      <c r="P658" s="1040">
        <f t="shared" si="54"/>
        <v>0</v>
      </c>
      <c r="Q658" s="1040"/>
      <c r="R658" s="1040"/>
      <c r="S658" s="1040">
        <f t="shared" si="55"/>
        <v>0</v>
      </c>
      <c r="T658" s="1040"/>
      <c r="U658" s="1040"/>
      <c r="V658" s="1041"/>
    </row>
    <row r="659" spans="1:22" x14ac:dyDescent="0.25">
      <c r="A659" s="1038"/>
      <c r="B659" s="1039"/>
      <c r="C659" s="1039"/>
      <c r="D659" s="1039"/>
      <c r="E659" s="1045" t="str">
        <f t="shared" si="52"/>
        <v/>
      </c>
      <c r="F659" s="1046"/>
      <c r="G659" s="1046"/>
      <c r="H659" s="1046"/>
      <c r="I659" s="1046"/>
      <c r="J659" s="1047"/>
      <c r="K659" s="134"/>
      <c r="L659" s="62" t="str">
        <f t="shared" si="53"/>
        <v/>
      </c>
      <c r="M659" s="14"/>
      <c r="N659" s="89">
        <f t="array" ref="N659">SUM(IF((CsDJ[JEV Number]=TRIM($T627))*(CsDJ[Account Code]=TRIM(K659)),CsDJ[Debit]))</f>
        <v>0</v>
      </c>
      <c r="O659" s="89">
        <f t="array" ref="O659">SUM(IF((CsDJ[JEV Number]=TRIM($T627))*(CsDJ[Account Code]=TRIM(K659)),CsDJ[Credit]))</f>
        <v>0</v>
      </c>
      <c r="P659" s="1040">
        <f t="shared" si="54"/>
        <v>0</v>
      </c>
      <c r="Q659" s="1040"/>
      <c r="R659" s="1040"/>
      <c r="S659" s="1040">
        <f t="shared" si="55"/>
        <v>0</v>
      </c>
      <c r="T659" s="1040"/>
      <c r="U659" s="1040"/>
      <c r="V659" s="1041"/>
    </row>
    <row r="660" spans="1:22" x14ac:dyDescent="0.25">
      <c r="A660" s="1038"/>
      <c r="B660" s="1039"/>
      <c r="C660" s="1039"/>
      <c r="D660" s="1039"/>
      <c r="E660" s="1045" t="str">
        <f t="shared" si="52"/>
        <v/>
      </c>
      <c r="F660" s="1046"/>
      <c r="G660" s="1046"/>
      <c r="H660" s="1046"/>
      <c r="I660" s="1046"/>
      <c r="J660" s="1047"/>
      <c r="K660" s="134"/>
      <c r="L660" s="62" t="str">
        <f t="shared" si="53"/>
        <v/>
      </c>
      <c r="M660" s="14"/>
      <c r="N660" s="89">
        <f t="array" ref="N660">SUM(IF((CsDJ[JEV Number]=TRIM($T627))*(CsDJ[Account Code]=TRIM(K660)),CsDJ[Debit]))</f>
        <v>0</v>
      </c>
      <c r="O660" s="89">
        <f t="array" ref="O660">SUM(IF((CsDJ[JEV Number]=TRIM($T627))*(CsDJ[Account Code]=TRIM(K660)),CsDJ[Credit]))</f>
        <v>0</v>
      </c>
      <c r="P660" s="1040">
        <f t="shared" si="54"/>
        <v>0</v>
      </c>
      <c r="Q660" s="1040"/>
      <c r="R660" s="1040"/>
      <c r="S660" s="1040">
        <f t="shared" si="55"/>
        <v>0</v>
      </c>
      <c r="T660" s="1040"/>
      <c r="U660" s="1040"/>
      <c r="V660" s="1041"/>
    </row>
    <row r="661" spans="1:22" x14ac:dyDescent="0.25">
      <c r="A661" s="1038"/>
      <c r="B661" s="1039"/>
      <c r="C661" s="1039"/>
      <c r="D661" s="1039"/>
      <c r="E661" s="1108" t="s">
        <v>468</v>
      </c>
      <c r="F661" s="1109"/>
      <c r="G661" s="1109"/>
      <c r="H661" s="1109"/>
      <c r="I661" s="1109"/>
      <c r="J661" s="1110"/>
      <c r="K661" s="133"/>
      <c r="L661" s="62" t="str">
        <f t="shared" si="53"/>
        <v/>
      </c>
      <c r="M661" s="14"/>
      <c r="N661" s="89">
        <f t="array" ref="N661">SUM(IF((CsDJ[JEV Number]=TRIM($T627))*(CsDJ[Account Code]=TRIM(K661)),CsDJ[Debit]))</f>
        <v>0</v>
      </c>
      <c r="O661" s="89">
        <f t="array" ref="O661">SUM(IF((CsDJ[JEV Number]=TRIM($T627))*(CsDJ[Account Code]=TRIM(K661)),CsDJ[Credit]))</f>
        <v>0</v>
      </c>
      <c r="P661" s="1040">
        <f t="shared" si="54"/>
        <v>0</v>
      </c>
      <c r="Q661" s="1040"/>
      <c r="R661" s="1040"/>
      <c r="S661" s="1040">
        <f t="shared" si="55"/>
        <v>0</v>
      </c>
      <c r="T661" s="1040"/>
      <c r="U661" s="1040"/>
      <c r="V661" s="1041"/>
    </row>
    <row r="662" spans="1:22" x14ac:dyDescent="0.25">
      <c r="A662" s="1038"/>
      <c r="B662" s="1039"/>
      <c r="C662" s="1039"/>
      <c r="D662" s="1039"/>
      <c r="E662" s="1048" t="s">
        <v>457</v>
      </c>
      <c r="F662" s="1049"/>
      <c r="G662" s="1049"/>
      <c r="H662" s="1049"/>
      <c r="I662" s="1051">
        <f>T628</f>
        <v>0</v>
      </c>
      <c r="J662" s="1052"/>
      <c r="K662" s="133"/>
      <c r="L662" s="62" t="str">
        <f t="shared" si="53"/>
        <v/>
      </c>
      <c r="M662" s="14"/>
      <c r="N662" s="89">
        <f t="array" ref="N662">SUM(IF((CsDJ[JEV Number]=TRIM($T627))*(CsDJ[Account Code]=TRIM(K662)),CsDJ[Debit]))</f>
        <v>0</v>
      </c>
      <c r="O662" s="89">
        <f t="array" ref="O662">SUM(IF((CsDJ[JEV Number]=TRIM($T627))*(CsDJ[Account Code]=TRIM(K662)),CsDJ[Credit]))</f>
        <v>0</v>
      </c>
      <c r="P662" s="1040">
        <f t="shared" si="54"/>
        <v>0</v>
      </c>
      <c r="Q662" s="1040"/>
      <c r="R662" s="1040"/>
      <c r="S662" s="1040">
        <f t="shared" si="55"/>
        <v>0</v>
      </c>
      <c r="T662" s="1040"/>
      <c r="U662" s="1040"/>
      <c r="V662" s="1041"/>
    </row>
    <row r="663" spans="1:22" x14ac:dyDescent="0.25">
      <c r="A663" s="1038"/>
      <c r="B663" s="1039"/>
      <c r="C663" s="1039"/>
      <c r="D663" s="1039"/>
      <c r="E663" s="1048" t="s">
        <v>458</v>
      </c>
      <c r="F663" s="1049"/>
      <c r="G663" s="1049"/>
      <c r="H663" s="1049"/>
      <c r="I663" s="1106">
        <f>IF(T627=0,0,(IF(LOOKUP(T627,CsDJ[JEV Number],CsDJ[Sort Code])="1","MA. VIVIAN C. SALAS",IF(LOOKUP(T627,CsDJ[JEV Number],CsDJ[Sort Code])="2","LUZ R. DE COZAR",IF(LOOKUP(T627,CsDJ[JEV Number],CsDJ[Sort Code])="3","MINEONETTE A. DELA CRUZ",IF(LOOKUP(T627,CsDJ[JEV Number],CsDJ[Sort Code])="4","RESELLA B. LOPEZ"))))))</f>
        <v>0</v>
      </c>
      <c r="J663" s="1107"/>
      <c r="K663" s="133"/>
      <c r="L663" s="62" t="str">
        <f t="shared" si="53"/>
        <v/>
      </c>
      <c r="M663" s="14"/>
      <c r="N663" s="89">
        <f t="array" ref="N663">SUM(IF((CsDJ[JEV Number]=TRIM($T627))*(CsDJ[Account Code]=TRIM(K663)),CsDJ[Debit]))</f>
        <v>0</v>
      </c>
      <c r="O663" s="89">
        <f t="array" ref="O663">SUM(IF((CsDJ[JEV Number]=TRIM($T627))*(CsDJ[Account Code]=TRIM(K663)),CsDJ[Credit]))</f>
        <v>0</v>
      </c>
      <c r="P663" s="1040">
        <f t="shared" si="54"/>
        <v>0</v>
      </c>
      <c r="Q663" s="1040"/>
      <c r="R663" s="1040"/>
      <c r="S663" s="1040">
        <f t="shared" si="55"/>
        <v>0</v>
      </c>
      <c r="T663" s="1040"/>
      <c r="U663" s="1040"/>
      <c r="V663" s="1041"/>
    </row>
    <row r="664" spans="1:22" x14ac:dyDescent="0.25">
      <c r="A664" s="1038"/>
      <c r="B664" s="1039"/>
      <c r="C664" s="1039"/>
      <c r="D664" s="1039"/>
      <c r="E664" s="1048" t="s">
        <v>459</v>
      </c>
      <c r="F664" s="1049"/>
      <c r="G664" s="1049"/>
      <c r="H664" s="1049"/>
      <c r="I664" s="1043">
        <f>IF(I663="Ma. Vivian C. Salas","Regional Office", IF(I663="Luz R. De Cozar","BANE IMO", IF(I663="Mineonette A. Dela Cruz","PAMBAT IMO", IF(I663="Resella B. Lopez","TARZAM IMO",0))))</f>
        <v>0</v>
      </c>
      <c r="J664" s="1044"/>
      <c r="K664" s="133"/>
      <c r="L664" s="62" t="str">
        <f t="shared" si="53"/>
        <v/>
      </c>
      <c r="M664" s="14"/>
      <c r="N664" s="89">
        <f t="array" ref="N664">SUM(IF((CsDJ[JEV Number]=TRIM($T627))*(CsDJ[Account Code]=TRIM(K664)),CsDJ[Debit]))</f>
        <v>0</v>
      </c>
      <c r="O664" s="89">
        <f t="array" ref="O664">SUM(IF((CsDJ[JEV Number]=TRIM($T627))*(CsDJ[Account Code]=TRIM(K664)),CsDJ[Credit]))</f>
        <v>0</v>
      </c>
      <c r="P664" s="1040">
        <f t="shared" si="54"/>
        <v>0</v>
      </c>
      <c r="Q664" s="1040"/>
      <c r="R664" s="1040"/>
      <c r="S664" s="1040">
        <f t="shared" si="55"/>
        <v>0</v>
      </c>
      <c r="T664" s="1040"/>
      <c r="U664" s="1040"/>
      <c r="V664" s="1041"/>
    </row>
    <row r="665" spans="1:22" x14ac:dyDescent="0.25">
      <c r="A665" s="1038"/>
      <c r="B665" s="1039"/>
      <c r="C665" s="1039"/>
      <c r="D665" s="1039"/>
      <c r="E665" s="1048"/>
      <c r="F665" s="1049"/>
      <c r="G665" s="1049"/>
      <c r="H665" s="1049"/>
      <c r="I665" s="1049"/>
      <c r="J665" s="1050"/>
      <c r="K665" s="133"/>
      <c r="L665" s="62" t="str">
        <f t="shared" si="53"/>
        <v/>
      </c>
      <c r="M665" s="14"/>
      <c r="N665" s="89">
        <f t="array" ref="N665">SUM(IF((CsDJ[JEV Number]=TRIM($T627))*(CsDJ[Account Code]=TRIM(K665)),CsDJ[Debit]))</f>
        <v>0</v>
      </c>
      <c r="O665" s="89">
        <f t="array" ref="O665">SUM(IF((CsDJ[JEV Number]=TRIM($T627))*(CsDJ[Account Code]=TRIM(K665)),CsDJ[Credit]))</f>
        <v>0</v>
      </c>
      <c r="P665" s="1040">
        <f t="shared" si="54"/>
        <v>0</v>
      </c>
      <c r="Q665" s="1040"/>
      <c r="R665" s="1040"/>
      <c r="S665" s="1040">
        <f t="shared" si="55"/>
        <v>0</v>
      </c>
      <c r="T665" s="1040"/>
      <c r="U665" s="1040"/>
      <c r="V665" s="1041"/>
    </row>
    <row r="666" spans="1:22" ht="16.5" thickBot="1" x14ac:dyDescent="0.3">
      <c r="A666" s="1091"/>
      <c r="B666" s="1092"/>
      <c r="C666" s="1092"/>
      <c r="D666" s="1092"/>
      <c r="E666" s="1092"/>
      <c r="F666" s="1092"/>
      <c r="G666" s="1092"/>
      <c r="H666" s="1092"/>
      <c r="I666" s="1092"/>
      <c r="J666" s="1092"/>
      <c r="K666" s="1092"/>
      <c r="L666" s="1092"/>
      <c r="M666" s="1093"/>
      <c r="N666" s="88"/>
      <c r="O666" s="88"/>
      <c r="P666" s="1094">
        <f>SUM(P636:R665)</f>
        <v>0</v>
      </c>
      <c r="Q666" s="1094"/>
      <c r="R666" s="1094"/>
      <c r="S666" s="1094">
        <f>SUM(S636:V665)</f>
        <v>0</v>
      </c>
      <c r="T666" s="1094"/>
      <c r="U666" s="1094"/>
      <c r="V666" s="1095"/>
    </row>
    <row r="667" spans="1:22" x14ac:dyDescent="0.25">
      <c r="A667" s="63"/>
      <c r="B667" s="64"/>
      <c r="C667" s="64"/>
      <c r="D667" s="64"/>
      <c r="E667" s="64"/>
      <c r="F667" s="64"/>
      <c r="G667" s="64"/>
      <c r="H667" s="64"/>
      <c r="I667" s="65"/>
      <c r="J667" s="64"/>
      <c r="K667" s="66"/>
      <c r="L667" s="64"/>
      <c r="M667" s="65"/>
      <c r="N667" s="64"/>
      <c r="O667" s="64"/>
      <c r="P667" s="1090"/>
      <c r="Q667" s="1090"/>
      <c r="R667" s="1090"/>
      <c r="S667" s="1090"/>
      <c r="T667" s="1090"/>
      <c r="U667" s="1090"/>
      <c r="V667" s="1096"/>
    </row>
    <row r="668" spans="1:22" x14ac:dyDescent="0.25">
      <c r="A668" s="67" t="s">
        <v>460</v>
      </c>
      <c r="B668"/>
      <c r="C668"/>
      <c r="D668"/>
      <c r="E668"/>
      <c r="F668"/>
      <c r="G668"/>
      <c r="H668"/>
      <c r="I668" s="68" t="s">
        <v>353</v>
      </c>
      <c r="J668" s="69"/>
      <c r="K668" s="69"/>
      <c r="L668"/>
      <c r="M668" s="68" t="s">
        <v>461</v>
      </c>
      <c r="N668" s="69"/>
      <c r="O668" s="69"/>
      <c r="P668" s="70"/>
      <c r="Q668" s="70"/>
      <c r="R668" s="70"/>
      <c r="S668" s="70"/>
      <c r="T668" s="70"/>
      <c r="U668" s="70"/>
      <c r="V668" s="71"/>
    </row>
    <row r="669" spans="1:22" x14ac:dyDescent="0.25">
      <c r="A669" s="37"/>
      <c r="B669"/>
      <c r="C669"/>
      <c r="D669"/>
      <c r="E669"/>
      <c r="F669"/>
      <c r="G669"/>
      <c r="H669"/>
      <c r="I669" s="72"/>
      <c r="J669"/>
      <c r="K669"/>
      <c r="L669"/>
      <c r="M669" s="72"/>
      <c r="N669"/>
      <c r="O669"/>
      <c r="P669"/>
      <c r="Q669"/>
      <c r="R669"/>
      <c r="S669"/>
      <c r="T669"/>
      <c r="U669"/>
      <c r="V669" s="73"/>
    </row>
    <row r="670" spans="1:22" x14ac:dyDescent="0.25">
      <c r="A670" s="74" t="s">
        <v>462</v>
      </c>
      <c r="B670" s="75"/>
      <c r="C670" s="75"/>
      <c r="D670" s="75"/>
      <c r="E670" s="75"/>
      <c r="F670" s="75"/>
      <c r="G670" s="75"/>
      <c r="H670" s="76"/>
      <c r="I670" s="77" t="s">
        <v>380</v>
      </c>
      <c r="J670" s="75"/>
      <c r="K670" s="75"/>
      <c r="L670" s="76"/>
      <c r="M670" s="77" t="s">
        <v>3</v>
      </c>
      <c r="N670" s="75"/>
      <c r="O670" s="75"/>
      <c r="P670" s="75"/>
      <c r="Q670" s="75"/>
      <c r="R670" s="75"/>
      <c r="S670" s="75"/>
      <c r="T670" s="75"/>
      <c r="U670" s="75"/>
      <c r="V670" s="78"/>
    </row>
    <row r="671" spans="1:22" x14ac:dyDescent="0.25">
      <c r="A671" s="79" t="s">
        <v>463</v>
      </c>
      <c r="B671" s="80"/>
      <c r="C671" s="80"/>
      <c r="D671" s="80"/>
      <c r="E671" s="80"/>
      <c r="F671" s="80"/>
      <c r="G671" s="80"/>
      <c r="H671" s="80"/>
      <c r="I671" s="81" t="s">
        <v>381</v>
      </c>
      <c r="J671" s="80"/>
      <c r="K671" s="80"/>
      <c r="L671" s="80"/>
      <c r="M671" s="81" t="s">
        <v>464</v>
      </c>
      <c r="N671" s="80"/>
      <c r="O671" s="80"/>
      <c r="P671" s="82"/>
      <c r="Q671" s="82"/>
      <c r="R671" s="82"/>
      <c r="S671" s="82"/>
      <c r="T671" s="82"/>
      <c r="U671" s="82"/>
      <c r="V671" s="83"/>
    </row>
    <row r="672" spans="1:22" ht="16.5" thickBot="1" x14ac:dyDescent="0.3">
      <c r="A672" s="84" t="s">
        <v>465</v>
      </c>
      <c r="B672" s="43"/>
      <c r="C672" s="43"/>
      <c r="D672" s="43"/>
      <c r="E672" s="43"/>
      <c r="F672" s="43"/>
      <c r="G672" s="43"/>
      <c r="H672" s="43"/>
      <c r="I672" s="85"/>
      <c r="J672" s="43"/>
      <c r="K672" s="43"/>
      <c r="L672" s="43"/>
      <c r="M672" s="85"/>
      <c r="N672" s="43"/>
      <c r="O672" s="43"/>
      <c r="P672" s="43"/>
      <c r="Q672" s="43"/>
      <c r="R672" s="43"/>
      <c r="S672" s="43"/>
      <c r="T672" s="43"/>
      <c r="U672" s="43"/>
      <c r="V672" s="44"/>
    </row>
    <row r="673" spans="1:22" ht="22.5" x14ac:dyDescent="0.25">
      <c r="A673" s="31" t="s">
        <v>441</v>
      </c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3"/>
      <c r="R673" s="1053">
        <f>+P713-S713</f>
        <v>0</v>
      </c>
      <c r="S673" s="1054"/>
      <c r="T673" s="1054"/>
      <c r="U673" s="1054"/>
      <c r="V673" s="1055"/>
    </row>
    <row r="674" spans="1:22" x14ac:dyDescent="0.25">
      <c r="A674" s="34" t="s">
        <v>442</v>
      </c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6"/>
      <c r="R674" s="37" t="s">
        <v>443</v>
      </c>
      <c r="S674"/>
      <c r="T674" s="1056"/>
      <c r="U674" s="1056"/>
      <c r="V674" s="1057"/>
    </row>
    <row r="675" spans="1:22" x14ac:dyDescent="0.25">
      <c r="A675" s="38" t="s">
        <v>444</v>
      </c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6"/>
      <c r="R675" s="37" t="s">
        <v>0</v>
      </c>
      <c r="S675"/>
      <c r="T675" s="1058">
        <f>IF(T674=0,0,(LOOKUP(T674,CsDJ[JEV Number],CsDJ[Date])))</f>
        <v>0</v>
      </c>
      <c r="U675" s="1058"/>
      <c r="V675" s="1059"/>
    </row>
    <row r="676" spans="1:22" ht="16.5" thickBot="1" x14ac:dyDescent="0.3">
      <c r="A676" s="39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1"/>
      <c r="R676" s="42"/>
      <c r="S676" s="43"/>
      <c r="T676" s="43"/>
      <c r="U676" s="43"/>
      <c r="V676" s="44"/>
    </row>
    <row r="677" spans="1:22" x14ac:dyDescent="0.25">
      <c r="A677" s="45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7"/>
      <c r="M677" s="46"/>
      <c r="N677" s="46"/>
      <c r="O677" s="46"/>
      <c r="P677" s="46"/>
      <c r="Q677" s="46"/>
      <c r="R677" s="46"/>
      <c r="S677" s="46"/>
      <c r="T677" s="46"/>
      <c r="U677" s="46"/>
      <c r="V677" s="48"/>
    </row>
    <row r="678" spans="1:22" x14ac:dyDescent="0.25">
      <c r="A678" s="49"/>
      <c r="B678" s="1060"/>
      <c r="C678" s="1060"/>
      <c r="D678" s="50" t="s">
        <v>445</v>
      </c>
      <c r="H678" s="51"/>
      <c r="I678" s="25" t="s">
        <v>447</v>
      </c>
      <c r="J678" s="132" t="s">
        <v>446</v>
      </c>
      <c r="K678" s="52" t="s">
        <v>448</v>
      </c>
      <c r="L678" s="52"/>
      <c r="Q678" s="1060"/>
      <c r="R678" s="1060"/>
      <c r="S678" s="50" t="s">
        <v>449</v>
      </c>
      <c r="T678" s="50"/>
      <c r="U678" s="50"/>
      <c r="V678" s="53"/>
    </row>
    <row r="679" spans="1:22" ht="16.5" thickBot="1" x14ac:dyDescent="0.3">
      <c r="A679" s="54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6"/>
      <c r="M679" s="55"/>
      <c r="N679" s="55"/>
      <c r="O679" s="55"/>
      <c r="P679" s="55"/>
      <c r="Q679" s="55"/>
      <c r="R679" s="55"/>
      <c r="S679" s="55"/>
      <c r="T679" s="55"/>
      <c r="U679" s="55"/>
      <c r="V679" s="57"/>
    </row>
    <row r="680" spans="1:22" x14ac:dyDescent="0.25">
      <c r="A680" s="1061" t="s">
        <v>397</v>
      </c>
      <c r="B680" s="1062"/>
      <c r="C680" s="1062"/>
      <c r="D680" s="1063"/>
      <c r="E680" s="1070" t="s">
        <v>450</v>
      </c>
      <c r="F680" s="1070"/>
      <c r="G680" s="1070"/>
      <c r="H680" s="1070"/>
      <c r="I680" s="1070"/>
      <c r="J680" s="1070"/>
      <c r="K680" s="1070"/>
      <c r="L680" s="1070"/>
      <c r="M680" s="1070"/>
      <c r="N680" s="1070"/>
      <c r="O680" s="1070"/>
      <c r="P680" s="1070"/>
      <c r="Q680" s="1070"/>
      <c r="R680" s="1070"/>
      <c r="S680" s="1070"/>
      <c r="T680" s="1070"/>
      <c r="U680" s="1070"/>
      <c r="V680" s="1071"/>
    </row>
    <row r="681" spans="1:22" x14ac:dyDescent="0.25">
      <c r="A681" s="1064"/>
      <c r="B681" s="1065"/>
      <c r="C681" s="1065"/>
      <c r="D681" s="1066"/>
      <c r="E681" s="1072" t="s">
        <v>451</v>
      </c>
      <c r="F681" s="1072"/>
      <c r="G681" s="1072"/>
      <c r="H681" s="1072"/>
      <c r="I681" s="1072"/>
      <c r="J681" s="1072"/>
      <c r="K681" s="1074" t="s">
        <v>378</v>
      </c>
      <c r="L681" s="1074"/>
      <c r="M681" s="1072" t="s">
        <v>452</v>
      </c>
      <c r="N681" s="1075" t="s">
        <v>453</v>
      </c>
      <c r="O681" s="1076"/>
      <c r="P681" s="1076"/>
      <c r="Q681" s="1076"/>
      <c r="R681" s="1076"/>
      <c r="S681" s="1076"/>
      <c r="T681" s="1076"/>
      <c r="U681" s="1076"/>
      <c r="V681" s="1077"/>
    </row>
    <row r="682" spans="1:22" ht="16.5" customHeight="1" thickBot="1" x14ac:dyDescent="0.3">
      <c r="A682" s="1067"/>
      <c r="B682" s="1068"/>
      <c r="C682" s="1068"/>
      <c r="D682" s="1069"/>
      <c r="E682" s="1073"/>
      <c r="F682" s="1073"/>
      <c r="G682" s="1073"/>
      <c r="H682" s="1073"/>
      <c r="I682" s="1073"/>
      <c r="J682" s="1073"/>
      <c r="K682" s="58" t="s">
        <v>454</v>
      </c>
      <c r="L682" s="58" t="s">
        <v>455</v>
      </c>
      <c r="M682" s="1073"/>
      <c r="N682" s="87" t="s">
        <v>466</v>
      </c>
      <c r="O682" s="87" t="s">
        <v>467</v>
      </c>
      <c r="P682" s="1078" t="s">
        <v>1</v>
      </c>
      <c r="Q682" s="1079"/>
      <c r="R682" s="1080"/>
      <c r="S682" s="1078" t="s">
        <v>2</v>
      </c>
      <c r="T682" s="1079"/>
      <c r="U682" s="1079"/>
      <c r="V682" s="1081"/>
    </row>
    <row r="683" spans="1:22" ht="19.5" x14ac:dyDescent="0.3">
      <c r="A683" s="1082">
        <f>P713-S713</f>
        <v>0</v>
      </c>
      <c r="B683" s="1083"/>
      <c r="C683" s="1083"/>
      <c r="D683" s="1083"/>
      <c r="E683" s="1084" t="str">
        <f>Account!$G$1</f>
        <v>FUND 501 CARP</v>
      </c>
      <c r="F683" s="1085"/>
      <c r="G683" s="1085"/>
      <c r="H683" s="1085"/>
      <c r="I683" s="1085"/>
      <c r="J683" s="1086"/>
      <c r="K683" s="59"/>
      <c r="L683" s="59"/>
      <c r="M683" s="60"/>
      <c r="N683" s="60"/>
      <c r="O683" s="60"/>
      <c r="P683" s="1087"/>
      <c r="Q683" s="1087"/>
      <c r="R683" s="1087"/>
      <c r="S683" s="1087"/>
      <c r="T683" s="1087"/>
      <c r="U683" s="1087"/>
      <c r="V683" s="1088"/>
    </row>
    <row r="684" spans="1:22" x14ac:dyDescent="0.25">
      <c r="A684" s="1038"/>
      <c r="B684" s="1039"/>
      <c r="C684" s="1039"/>
      <c r="D684" s="1039"/>
      <c r="E684" s="1039"/>
      <c r="F684" s="1039"/>
      <c r="G684" s="1039"/>
      <c r="H684" s="1039"/>
      <c r="I684" s="1039"/>
      <c r="J684" s="1039"/>
      <c r="K684" s="61"/>
      <c r="L684" s="61"/>
      <c r="M684" s="14"/>
      <c r="N684" s="14"/>
      <c r="O684" s="14"/>
      <c r="P684" s="1039"/>
      <c r="Q684" s="1039"/>
      <c r="R684" s="1039"/>
      <c r="S684" s="1039"/>
      <c r="T684" s="1039"/>
      <c r="U684" s="1039"/>
      <c r="V684" s="1089"/>
    </row>
    <row r="685" spans="1:22" x14ac:dyDescent="0.25">
      <c r="A685" s="1038"/>
      <c r="B685" s="1039"/>
      <c r="C685" s="1039"/>
      <c r="D685" s="1039"/>
      <c r="E685" s="1045" t="str">
        <f t="shared" ref="E685:E707" si="56">IF(K685=0,"",(VLOOKUP((TRIM(K685)),Code,2,)))</f>
        <v/>
      </c>
      <c r="F685" s="1046"/>
      <c r="G685" s="1046"/>
      <c r="H685" s="1046"/>
      <c r="I685" s="1046"/>
      <c r="J685" s="1047"/>
      <c r="K685" s="133"/>
      <c r="L685" s="62" t="str">
        <f t="shared" ref="L685:L712" si="57">IF(K685=0,"",VLOOKUP((TRIM(K685)),Code,3,))</f>
        <v/>
      </c>
      <c r="M685" s="14"/>
      <c r="N685" s="89">
        <f t="array" ref="N685">SUM(IF((CsDJ[JEV Number]=TRIM($T674))*(CsDJ[Account Code]=TRIM(K685)),CsDJ[Debit]))</f>
        <v>0</v>
      </c>
      <c r="O685" s="89">
        <f t="array" ref="O685">SUM(IF((CsDJ[JEV Number]=TRIM($T674))*(CsDJ[Account Code]=TRIM(K685)),CsDJ[Credit]))</f>
        <v>0</v>
      </c>
      <c r="P685" s="1040">
        <f>N685</f>
        <v>0</v>
      </c>
      <c r="Q685" s="1040"/>
      <c r="R685" s="1040"/>
      <c r="S685" s="1040">
        <f>O685</f>
        <v>0</v>
      </c>
      <c r="T685" s="1040"/>
      <c r="U685" s="1040"/>
      <c r="V685" s="1041"/>
    </row>
    <row r="686" spans="1:22" x14ac:dyDescent="0.25">
      <c r="A686" s="1038"/>
      <c r="B686" s="1039"/>
      <c r="C686" s="1039"/>
      <c r="D686" s="1039"/>
      <c r="E686" s="1045" t="str">
        <f t="shared" si="56"/>
        <v/>
      </c>
      <c r="F686" s="1046"/>
      <c r="G686" s="1046"/>
      <c r="H686" s="1046"/>
      <c r="I686" s="1046"/>
      <c r="J686" s="1047"/>
      <c r="K686" s="133"/>
      <c r="L686" s="62" t="str">
        <f t="shared" si="57"/>
        <v/>
      </c>
      <c r="M686" s="14"/>
      <c r="N686" s="89">
        <f t="array" ref="N686">SUM(IF((CsDJ[JEV Number]=TRIM($T674))*(CsDJ[Account Code]=TRIM(K686)),CsDJ[Debit]))</f>
        <v>0</v>
      </c>
      <c r="O686" s="89">
        <f t="array" ref="O686">SUM(IF((CsDJ[JEV Number]=TRIM($T674))*(CsDJ[Account Code]=TRIM(K686)),CsDJ[Credit]))</f>
        <v>0</v>
      </c>
      <c r="P686" s="1040">
        <f>N686</f>
        <v>0</v>
      </c>
      <c r="Q686" s="1040"/>
      <c r="R686" s="1040"/>
      <c r="S686" s="1040">
        <f>O686</f>
        <v>0</v>
      </c>
      <c r="T686" s="1040"/>
      <c r="U686" s="1040"/>
      <c r="V686" s="1041"/>
    </row>
    <row r="687" spans="1:22" x14ac:dyDescent="0.25">
      <c r="A687" s="1038"/>
      <c r="B687" s="1039"/>
      <c r="C687" s="1039"/>
      <c r="D687" s="1039"/>
      <c r="E687" s="1045" t="str">
        <f t="shared" si="56"/>
        <v/>
      </c>
      <c r="F687" s="1046"/>
      <c r="G687" s="1046"/>
      <c r="H687" s="1046"/>
      <c r="I687" s="1046"/>
      <c r="J687" s="1047"/>
      <c r="K687" s="133"/>
      <c r="L687" s="62" t="str">
        <f t="shared" si="57"/>
        <v/>
      </c>
      <c r="M687" s="14"/>
      <c r="N687" s="89">
        <f t="array" ref="N687">SUM(IF((CsDJ[JEV Number]=TRIM($T674))*(CsDJ[Account Code]=TRIM(K687)),CsDJ[Debit]))</f>
        <v>0</v>
      </c>
      <c r="O687" s="89">
        <f t="array" ref="O687">SUM(IF((CsDJ[JEV Number]=TRIM($T674))*(CsDJ[Account Code]=TRIM(K687)),CsDJ[Credit]))</f>
        <v>0</v>
      </c>
      <c r="P687" s="1040">
        <f t="shared" ref="P687:P712" si="58">N687</f>
        <v>0</v>
      </c>
      <c r="Q687" s="1040"/>
      <c r="R687" s="1040"/>
      <c r="S687" s="1040">
        <f t="shared" ref="S687:S712" si="59">O687</f>
        <v>0</v>
      </c>
      <c r="T687" s="1040"/>
      <c r="U687" s="1040"/>
      <c r="V687" s="1041"/>
    </row>
    <row r="688" spans="1:22" x14ac:dyDescent="0.25">
      <c r="A688" s="1038"/>
      <c r="B688" s="1039"/>
      <c r="C688" s="1039"/>
      <c r="D688" s="1039"/>
      <c r="E688" s="1045" t="str">
        <f t="shared" si="56"/>
        <v/>
      </c>
      <c r="F688" s="1046"/>
      <c r="G688" s="1046"/>
      <c r="H688" s="1046"/>
      <c r="I688" s="1046"/>
      <c r="J688" s="1047"/>
      <c r="K688" s="133"/>
      <c r="L688" s="62" t="str">
        <f t="shared" si="57"/>
        <v/>
      </c>
      <c r="M688" s="14"/>
      <c r="N688" s="89">
        <f t="array" ref="N688">SUM(IF((CsDJ[JEV Number]=TRIM($T674))*(CsDJ[Account Code]=TRIM(K688)),CsDJ[Debit]))</f>
        <v>0</v>
      </c>
      <c r="O688" s="89">
        <f t="array" ref="O688">SUM(IF((CsDJ[JEV Number]=TRIM($T674))*(CsDJ[Account Code]=TRIM(K688)),CsDJ[Credit]))</f>
        <v>0</v>
      </c>
      <c r="P688" s="1040">
        <f t="shared" si="58"/>
        <v>0</v>
      </c>
      <c r="Q688" s="1040"/>
      <c r="R688" s="1040"/>
      <c r="S688" s="1040">
        <f t="shared" si="59"/>
        <v>0</v>
      </c>
      <c r="T688" s="1040"/>
      <c r="U688" s="1040"/>
      <c r="V688" s="1041"/>
    </row>
    <row r="689" spans="1:22" x14ac:dyDescent="0.25">
      <c r="A689" s="1038"/>
      <c r="B689" s="1039"/>
      <c r="C689" s="1039"/>
      <c r="D689" s="1039"/>
      <c r="E689" s="1045" t="str">
        <f t="shared" si="56"/>
        <v/>
      </c>
      <c r="F689" s="1046"/>
      <c r="G689" s="1046"/>
      <c r="H689" s="1046"/>
      <c r="I689" s="1046"/>
      <c r="J689" s="1047"/>
      <c r="K689" s="133"/>
      <c r="L689" s="62" t="str">
        <f t="shared" si="57"/>
        <v/>
      </c>
      <c r="M689" s="14"/>
      <c r="N689" s="89">
        <f t="array" ref="N689">SUM(IF((CsDJ[JEV Number]=TRIM($T674))*(CsDJ[Account Code]=TRIM(K689)),CsDJ[Debit]))</f>
        <v>0</v>
      </c>
      <c r="O689" s="89">
        <f t="array" ref="O689">SUM(IF((CsDJ[JEV Number]=TRIM($T674))*(CsDJ[Account Code]=TRIM(K689)),CsDJ[Credit]))</f>
        <v>0</v>
      </c>
      <c r="P689" s="1040">
        <f t="shared" si="58"/>
        <v>0</v>
      </c>
      <c r="Q689" s="1040"/>
      <c r="R689" s="1040"/>
      <c r="S689" s="1040">
        <f t="shared" si="59"/>
        <v>0</v>
      </c>
      <c r="T689" s="1040"/>
      <c r="U689" s="1040"/>
      <c r="V689" s="1041"/>
    </row>
    <row r="690" spans="1:22" x14ac:dyDescent="0.25">
      <c r="A690" s="1038"/>
      <c r="B690" s="1039"/>
      <c r="C690" s="1039"/>
      <c r="D690" s="1039"/>
      <c r="E690" s="1045" t="str">
        <f t="shared" si="56"/>
        <v/>
      </c>
      <c r="F690" s="1046"/>
      <c r="G690" s="1046"/>
      <c r="H690" s="1046"/>
      <c r="I690" s="1046"/>
      <c r="J690" s="1047"/>
      <c r="K690" s="133"/>
      <c r="L690" s="62" t="str">
        <f t="shared" si="57"/>
        <v/>
      </c>
      <c r="M690" s="14"/>
      <c r="N690" s="89">
        <f t="array" ref="N690">SUM(IF((CsDJ[JEV Number]=TRIM($T674))*(CsDJ[Account Code]=TRIM(K690)),CsDJ[Debit]))</f>
        <v>0</v>
      </c>
      <c r="O690" s="89">
        <f t="array" ref="O690">SUM(IF((CsDJ[JEV Number]=TRIM($T674))*(CsDJ[Account Code]=TRIM(K690)),CsDJ[Credit]))</f>
        <v>0</v>
      </c>
      <c r="P690" s="1040">
        <f t="shared" si="58"/>
        <v>0</v>
      </c>
      <c r="Q690" s="1040"/>
      <c r="R690" s="1040"/>
      <c r="S690" s="1040">
        <f t="shared" si="59"/>
        <v>0</v>
      </c>
      <c r="T690" s="1040"/>
      <c r="U690" s="1040"/>
      <c r="V690" s="1041"/>
    </row>
    <row r="691" spans="1:22" x14ac:dyDescent="0.25">
      <c r="A691" s="1038"/>
      <c r="B691" s="1039"/>
      <c r="C691" s="1039"/>
      <c r="D691" s="1039"/>
      <c r="E691" s="1045" t="str">
        <f t="shared" si="56"/>
        <v/>
      </c>
      <c r="F691" s="1046"/>
      <c r="G691" s="1046"/>
      <c r="H691" s="1046"/>
      <c r="I691" s="1046"/>
      <c r="J691" s="1047"/>
      <c r="K691" s="133"/>
      <c r="L691" s="62" t="str">
        <f t="shared" si="57"/>
        <v/>
      </c>
      <c r="M691" s="14"/>
      <c r="N691" s="89">
        <f t="array" ref="N691">SUM(IF((CsDJ[JEV Number]=TRIM($T674))*(CsDJ[Account Code]=TRIM(K691)),CsDJ[Debit]))</f>
        <v>0</v>
      </c>
      <c r="O691" s="89">
        <f t="array" ref="O691">SUM(IF((CsDJ[JEV Number]=TRIM($T674))*(CsDJ[Account Code]=TRIM(K691)),CsDJ[Credit]))</f>
        <v>0</v>
      </c>
      <c r="P691" s="1040">
        <f t="shared" si="58"/>
        <v>0</v>
      </c>
      <c r="Q691" s="1040"/>
      <c r="R691" s="1040"/>
      <c r="S691" s="1040">
        <f t="shared" si="59"/>
        <v>0</v>
      </c>
      <c r="T691" s="1040"/>
      <c r="U691" s="1040"/>
      <c r="V691" s="1041"/>
    </row>
    <row r="692" spans="1:22" x14ac:dyDescent="0.25">
      <c r="A692" s="1038"/>
      <c r="B692" s="1039"/>
      <c r="C692" s="1039"/>
      <c r="D692" s="1039"/>
      <c r="E692" s="1045" t="str">
        <f t="shared" si="56"/>
        <v/>
      </c>
      <c r="F692" s="1046"/>
      <c r="G692" s="1046"/>
      <c r="H692" s="1046"/>
      <c r="I692" s="1046"/>
      <c r="J692" s="1047"/>
      <c r="K692" s="133"/>
      <c r="L692" s="62" t="str">
        <f t="shared" si="57"/>
        <v/>
      </c>
      <c r="M692" s="14"/>
      <c r="N692" s="89">
        <f t="array" ref="N692">SUM(IF((CsDJ[JEV Number]=TRIM($T674))*(CsDJ[Account Code]=TRIM(K692)),CsDJ[Debit]))</f>
        <v>0</v>
      </c>
      <c r="O692" s="89">
        <f t="array" ref="O692">SUM(IF((CsDJ[JEV Number]=TRIM($T674))*(CsDJ[Account Code]=TRIM(K692)),CsDJ[Credit]))</f>
        <v>0</v>
      </c>
      <c r="P692" s="1040">
        <f t="shared" si="58"/>
        <v>0</v>
      </c>
      <c r="Q692" s="1040"/>
      <c r="R692" s="1040"/>
      <c r="S692" s="1040">
        <f t="shared" si="59"/>
        <v>0</v>
      </c>
      <c r="T692" s="1040"/>
      <c r="U692" s="1040"/>
      <c r="V692" s="1041"/>
    </row>
    <row r="693" spans="1:22" x14ac:dyDescent="0.25">
      <c r="A693" s="1038"/>
      <c r="B693" s="1039"/>
      <c r="C693" s="1039"/>
      <c r="D693" s="1039"/>
      <c r="E693" s="1045" t="str">
        <f t="shared" si="56"/>
        <v/>
      </c>
      <c r="F693" s="1046"/>
      <c r="G693" s="1046"/>
      <c r="H693" s="1046"/>
      <c r="I693" s="1046"/>
      <c r="J693" s="1047"/>
      <c r="K693" s="134"/>
      <c r="L693" s="62" t="str">
        <f t="shared" si="57"/>
        <v/>
      </c>
      <c r="M693" s="14"/>
      <c r="N693" s="89">
        <f t="array" ref="N693">SUM(IF((CsDJ[JEV Number]=TRIM($T674))*(CsDJ[Account Code]=TRIM(K693)),CsDJ[Debit]))</f>
        <v>0</v>
      </c>
      <c r="O693" s="89">
        <f t="array" ref="O693">SUM(IF((CsDJ[JEV Number]=TRIM($T674))*(CsDJ[Account Code]=TRIM(K693)),CsDJ[Credit]))</f>
        <v>0</v>
      </c>
      <c r="P693" s="1040">
        <f t="shared" si="58"/>
        <v>0</v>
      </c>
      <c r="Q693" s="1040"/>
      <c r="R693" s="1040"/>
      <c r="S693" s="1040">
        <f t="shared" si="59"/>
        <v>0</v>
      </c>
      <c r="T693" s="1040"/>
      <c r="U693" s="1040"/>
      <c r="V693" s="1041"/>
    </row>
    <row r="694" spans="1:22" x14ac:dyDescent="0.25">
      <c r="A694" s="1038"/>
      <c r="B694" s="1039"/>
      <c r="C694" s="1039"/>
      <c r="D694" s="1039"/>
      <c r="E694" s="1045" t="str">
        <f t="shared" si="56"/>
        <v/>
      </c>
      <c r="F694" s="1046"/>
      <c r="G694" s="1046"/>
      <c r="H694" s="1046"/>
      <c r="I694" s="1046"/>
      <c r="J694" s="1047"/>
      <c r="K694" s="134"/>
      <c r="L694" s="62" t="str">
        <f t="shared" si="57"/>
        <v/>
      </c>
      <c r="M694" s="14"/>
      <c r="N694" s="89">
        <f t="array" ref="N694">SUM(IF((CsDJ[JEV Number]=TRIM($T674))*(CsDJ[Account Code]=TRIM(K694)),CsDJ[Debit]))</f>
        <v>0</v>
      </c>
      <c r="O694" s="89">
        <f t="array" ref="O694">SUM(IF((CsDJ[JEV Number]=TRIM($T674))*(CsDJ[Account Code]=TRIM(K694)),CsDJ[Credit]))</f>
        <v>0</v>
      </c>
      <c r="P694" s="1040">
        <f t="shared" si="58"/>
        <v>0</v>
      </c>
      <c r="Q694" s="1040"/>
      <c r="R694" s="1040"/>
      <c r="S694" s="1040">
        <f t="shared" si="59"/>
        <v>0</v>
      </c>
      <c r="T694" s="1040"/>
      <c r="U694" s="1040"/>
      <c r="V694" s="1041"/>
    </row>
    <row r="695" spans="1:22" x14ac:dyDescent="0.25">
      <c r="A695" s="1038"/>
      <c r="B695" s="1039"/>
      <c r="C695" s="1039"/>
      <c r="D695" s="1039"/>
      <c r="E695" s="1045" t="str">
        <f t="shared" si="56"/>
        <v/>
      </c>
      <c r="F695" s="1046"/>
      <c r="G695" s="1046"/>
      <c r="H695" s="1046"/>
      <c r="I695" s="1046"/>
      <c r="J695" s="1047"/>
      <c r="K695" s="134"/>
      <c r="L695" s="62" t="str">
        <f t="shared" si="57"/>
        <v/>
      </c>
      <c r="M695" s="14"/>
      <c r="N695" s="89">
        <f t="array" ref="N695">SUM(IF((CsDJ[JEV Number]=TRIM($T674))*(CsDJ[Account Code]=TRIM(K695)),CsDJ[Debit]))</f>
        <v>0</v>
      </c>
      <c r="O695" s="89">
        <f t="array" ref="O695">SUM(IF((CsDJ[JEV Number]=TRIM($T674))*(CsDJ[Account Code]=TRIM(K695)),CsDJ[Credit]))</f>
        <v>0</v>
      </c>
      <c r="P695" s="1040">
        <f t="shared" si="58"/>
        <v>0</v>
      </c>
      <c r="Q695" s="1040"/>
      <c r="R695" s="1040"/>
      <c r="S695" s="1040">
        <f t="shared" si="59"/>
        <v>0</v>
      </c>
      <c r="T695" s="1040"/>
      <c r="U695" s="1040"/>
      <c r="V695" s="1041"/>
    </row>
    <row r="696" spans="1:22" x14ac:dyDescent="0.25">
      <c r="A696" s="1038"/>
      <c r="B696" s="1039"/>
      <c r="C696" s="1039"/>
      <c r="D696" s="1039"/>
      <c r="E696" s="1045" t="str">
        <f t="shared" si="56"/>
        <v/>
      </c>
      <c r="F696" s="1046"/>
      <c r="G696" s="1046"/>
      <c r="H696" s="1046"/>
      <c r="I696" s="1046"/>
      <c r="J696" s="1047"/>
      <c r="K696" s="134"/>
      <c r="L696" s="62" t="str">
        <f t="shared" si="57"/>
        <v/>
      </c>
      <c r="M696" s="14"/>
      <c r="N696" s="89">
        <f t="array" ref="N696">SUM(IF((CsDJ[JEV Number]=TRIM($T674))*(CsDJ[Account Code]=TRIM(K696)),CsDJ[Debit]))</f>
        <v>0</v>
      </c>
      <c r="O696" s="89">
        <f t="array" ref="O696">SUM(IF((CsDJ[JEV Number]=TRIM($T674))*(CsDJ[Account Code]=TRIM(K696)),CsDJ[Credit]))</f>
        <v>0</v>
      </c>
      <c r="P696" s="1040">
        <f t="shared" si="58"/>
        <v>0</v>
      </c>
      <c r="Q696" s="1040"/>
      <c r="R696" s="1040"/>
      <c r="S696" s="1040">
        <f t="shared" si="59"/>
        <v>0</v>
      </c>
      <c r="T696" s="1040"/>
      <c r="U696" s="1040"/>
      <c r="V696" s="1041"/>
    </row>
    <row r="697" spans="1:22" x14ac:dyDescent="0.25">
      <c r="A697" s="1038"/>
      <c r="B697" s="1039"/>
      <c r="C697" s="1039"/>
      <c r="D697" s="1039"/>
      <c r="E697" s="1045" t="str">
        <f t="shared" si="56"/>
        <v/>
      </c>
      <c r="F697" s="1046"/>
      <c r="G697" s="1046"/>
      <c r="H697" s="1046"/>
      <c r="I697" s="1046"/>
      <c r="J697" s="1047"/>
      <c r="K697" s="134"/>
      <c r="L697" s="62" t="str">
        <f t="shared" si="57"/>
        <v/>
      </c>
      <c r="M697" s="14"/>
      <c r="N697" s="89">
        <f t="array" ref="N697">SUM(IF((CsDJ[JEV Number]=TRIM($T674))*(CsDJ[Account Code]=TRIM(K697)),CsDJ[Debit]))</f>
        <v>0</v>
      </c>
      <c r="O697" s="89">
        <f t="array" ref="O697">SUM(IF((CsDJ[JEV Number]=TRIM($T674))*(CsDJ[Account Code]=TRIM(K697)),CsDJ[Credit]))</f>
        <v>0</v>
      </c>
      <c r="P697" s="1040">
        <f t="shared" si="58"/>
        <v>0</v>
      </c>
      <c r="Q697" s="1040"/>
      <c r="R697" s="1040"/>
      <c r="S697" s="1040">
        <f t="shared" si="59"/>
        <v>0</v>
      </c>
      <c r="T697" s="1040"/>
      <c r="U697" s="1040"/>
      <c r="V697" s="1041"/>
    </row>
    <row r="698" spans="1:22" x14ac:dyDescent="0.25">
      <c r="A698" s="1038"/>
      <c r="B698" s="1039"/>
      <c r="C698" s="1039"/>
      <c r="D698" s="1039"/>
      <c r="E698" s="1045" t="str">
        <f t="shared" si="56"/>
        <v/>
      </c>
      <c r="F698" s="1046"/>
      <c r="G698" s="1046"/>
      <c r="H698" s="1046"/>
      <c r="I698" s="1046"/>
      <c r="J698" s="1047"/>
      <c r="K698" s="134"/>
      <c r="L698" s="62" t="str">
        <f t="shared" si="57"/>
        <v/>
      </c>
      <c r="M698" s="14"/>
      <c r="N698" s="89">
        <f t="array" ref="N698">SUM(IF((CsDJ[JEV Number]=TRIM($T674))*(CsDJ[Account Code]=TRIM(K698)),CsDJ[Debit]))</f>
        <v>0</v>
      </c>
      <c r="O698" s="89">
        <f t="array" ref="O698">SUM(IF((CsDJ[JEV Number]=TRIM($T674))*(CsDJ[Account Code]=TRIM(K698)),CsDJ[Credit]))</f>
        <v>0</v>
      </c>
      <c r="P698" s="1040">
        <f t="shared" si="58"/>
        <v>0</v>
      </c>
      <c r="Q698" s="1040"/>
      <c r="R698" s="1040"/>
      <c r="S698" s="1040">
        <f t="shared" si="59"/>
        <v>0</v>
      </c>
      <c r="T698" s="1040"/>
      <c r="U698" s="1040"/>
      <c r="V698" s="1041"/>
    </row>
    <row r="699" spans="1:22" x14ac:dyDescent="0.25">
      <c r="A699" s="1038"/>
      <c r="B699" s="1039"/>
      <c r="C699" s="1039"/>
      <c r="D699" s="1039"/>
      <c r="E699" s="1045" t="str">
        <f t="shared" si="56"/>
        <v/>
      </c>
      <c r="F699" s="1046"/>
      <c r="G699" s="1046"/>
      <c r="H699" s="1046"/>
      <c r="I699" s="1046"/>
      <c r="J699" s="1047"/>
      <c r="K699" s="134"/>
      <c r="L699" s="62" t="str">
        <f t="shared" si="57"/>
        <v/>
      </c>
      <c r="M699" s="14"/>
      <c r="N699" s="89">
        <f t="array" ref="N699">SUM(IF((CsDJ[JEV Number]=TRIM($T674))*(CsDJ[Account Code]=TRIM(K699)),CsDJ[Debit]))</f>
        <v>0</v>
      </c>
      <c r="O699" s="89">
        <f t="array" ref="O699">SUM(IF((CsDJ[JEV Number]=TRIM($T674))*(CsDJ[Account Code]=TRIM(K699)),CsDJ[Credit]))</f>
        <v>0</v>
      </c>
      <c r="P699" s="1040">
        <f t="shared" si="58"/>
        <v>0</v>
      </c>
      <c r="Q699" s="1040"/>
      <c r="R699" s="1040"/>
      <c r="S699" s="1040">
        <f t="shared" si="59"/>
        <v>0</v>
      </c>
      <c r="T699" s="1040"/>
      <c r="U699" s="1040"/>
      <c r="V699" s="1041"/>
    </row>
    <row r="700" spans="1:22" x14ac:dyDescent="0.25">
      <c r="A700" s="1038"/>
      <c r="B700" s="1039"/>
      <c r="C700" s="1039"/>
      <c r="D700" s="1039"/>
      <c r="E700" s="1045" t="str">
        <f t="shared" si="56"/>
        <v/>
      </c>
      <c r="F700" s="1046"/>
      <c r="G700" s="1046"/>
      <c r="H700" s="1046"/>
      <c r="I700" s="1046"/>
      <c r="J700" s="1047"/>
      <c r="K700" s="134"/>
      <c r="L700" s="62" t="str">
        <f t="shared" si="57"/>
        <v/>
      </c>
      <c r="M700" s="14"/>
      <c r="N700" s="89">
        <f t="array" ref="N700">SUM(IF((CsDJ[JEV Number]=TRIM($T674))*(CsDJ[Account Code]=TRIM(K700)),CsDJ[Debit]))</f>
        <v>0</v>
      </c>
      <c r="O700" s="89">
        <f t="array" ref="O700">SUM(IF((CsDJ[JEV Number]=TRIM($T674))*(CsDJ[Account Code]=TRIM(K700)),CsDJ[Credit]))</f>
        <v>0</v>
      </c>
      <c r="P700" s="1040">
        <f t="shared" si="58"/>
        <v>0</v>
      </c>
      <c r="Q700" s="1040"/>
      <c r="R700" s="1040"/>
      <c r="S700" s="1040">
        <f t="shared" si="59"/>
        <v>0</v>
      </c>
      <c r="T700" s="1040"/>
      <c r="U700" s="1040"/>
      <c r="V700" s="1041"/>
    </row>
    <row r="701" spans="1:22" x14ac:dyDescent="0.25">
      <c r="A701" s="1038"/>
      <c r="B701" s="1039"/>
      <c r="C701" s="1039"/>
      <c r="D701" s="1039"/>
      <c r="E701" s="1045" t="str">
        <f t="shared" si="56"/>
        <v/>
      </c>
      <c r="F701" s="1046"/>
      <c r="G701" s="1046"/>
      <c r="H701" s="1046"/>
      <c r="I701" s="1046"/>
      <c r="J701" s="1047"/>
      <c r="K701" s="134"/>
      <c r="L701" s="62" t="str">
        <f t="shared" si="57"/>
        <v/>
      </c>
      <c r="M701" s="14"/>
      <c r="N701" s="89">
        <f t="array" ref="N701">SUM(IF((CsDJ[JEV Number]=TRIM($T674))*(CsDJ[Account Code]=TRIM(K701)),CsDJ[Debit]))</f>
        <v>0</v>
      </c>
      <c r="O701" s="89">
        <f t="array" ref="O701">SUM(IF((CsDJ[JEV Number]=TRIM($T674))*(CsDJ[Account Code]=TRIM(K701)),CsDJ[Credit]))</f>
        <v>0</v>
      </c>
      <c r="P701" s="1040">
        <f t="shared" si="58"/>
        <v>0</v>
      </c>
      <c r="Q701" s="1040"/>
      <c r="R701" s="1040"/>
      <c r="S701" s="1040">
        <f t="shared" si="59"/>
        <v>0</v>
      </c>
      <c r="T701" s="1040"/>
      <c r="U701" s="1040"/>
      <c r="V701" s="1041"/>
    </row>
    <row r="702" spans="1:22" x14ac:dyDescent="0.25">
      <c r="A702" s="1038"/>
      <c r="B702" s="1039"/>
      <c r="C702" s="1039"/>
      <c r="D702" s="1039"/>
      <c r="E702" s="1045" t="str">
        <f t="shared" si="56"/>
        <v/>
      </c>
      <c r="F702" s="1046"/>
      <c r="G702" s="1046"/>
      <c r="H702" s="1046"/>
      <c r="I702" s="1046"/>
      <c r="J702" s="1047"/>
      <c r="K702" s="134"/>
      <c r="L702" s="62" t="str">
        <f t="shared" si="57"/>
        <v/>
      </c>
      <c r="M702" s="14"/>
      <c r="N702" s="89">
        <f t="array" ref="N702">SUM(IF((CsDJ[JEV Number]=TRIM($T674))*(CsDJ[Account Code]=TRIM(K702)),CsDJ[Debit]))</f>
        <v>0</v>
      </c>
      <c r="O702" s="89">
        <f t="array" ref="O702">SUM(IF((CsDJ[JEV Number]=TRIM($T674))*(CsDJ[Account Code]=TRIM(K702)),CsDJ[Credit]))</f>
        <v>0</v>
      </c>
      <c r="P702" s="1040">
        <f t="shared" si="58"/>
        <v>0</v>
      </c>
      <c r="Q702" s="1040"/>
      <c r="R702" s="1040"/>
      <c r="S702" s="1040">
        <f t="shared" si="59"/>
        <v>0</v>
      </c>
      <c r="T702" s="1040"/>
      <c r="U702" s="1040"/>
      <c r="V702" s="1041"/>
    </row>
    <row r="703" spans="1:22" x14ac:dyDescent="0.25">
      <c r="A703" s="1038"/>
      <c r="B703" s="1039"/>
      <c r="C703" s="1039"/>
      <c r="D703" s="1039"/>
      <c r="E703" s="1045" t="str">
        <f t="shared" si="56"/>
        <v/>
      </c>
      <c r="F703" s="1046"/>
      <c r="G703" s="1046"/>
      <c r="H703" s="1046"/>
      <c r="I703" s="1046"/>
      <c r="J703" s="1047"/>
      <c r="K703" s="134"/>
      <c r="L703" s="62" t="str">
        <f t="shared" si="57"/>
        <v/>
      </c>
      <c r="M703" s="14"/>
      <c r="N703" s="89">
        <f t="array" ref="N703">SUM(IF((CsDJ[JEV Number]=TRIM($T674))*(CsDJ[Account Code]=TRIM(K703)),CsDJ[Debit]))</f>
        <v>0</v>
      </c>
      <c r="O703" s="89">
        <f t="array" ref="O703">SUM(IF((CsDJ[JEV Number]=TRIM($T674))*(CsDJ[Account Code]=TRIM(K703)),CsDJ[Credit]))</f>
        <v>0</v>
      </c>
      <c r="P703" s="1040">
        <f t="shared" si="58"/>
        <v>0</v>
      </c>
      <c r="Q703" s="1040"/>
      <c r="R703" s="1040"/>
      <c r="S703" s="1040">
        <f t="shared" si="59"/>
        <v>0</v>
      </c>
      <c r="T703" s="1040"/>
      <c r="U703" s="1040"/>
      <c r="V703" s="1041"/>
    </row>
    <row r="704" spans="1:22" x14ac:dyDescent="0.25">
      <c r="A704" s="1038"/>
      <c r="B704" s="1039"/>
      <c r="C704" s="1039"/>
      <c r="D704" s="1039"/>
      <c r="E704" s="1045" t="str">
        <f t="shared" si="56"/>
        <v/>
      </c>
      <c r="F704" s="1046"/>
      <c r="G704" s="1046"/>
      <c r="H704" s="1046"/>
      <c r="I704" s="1046"/>
      <c r="J704" s="1047"/>
      <c r="K704" s="134"/>
      <c r="L704" s="62" t="str">
        <f t="shared" si="57"/>
        <v/>
      </c>
      <c r="M704" s="14"/>
      <c r="N704" s="89">
        <f t="array" ref="N704">SUM(IF((CsDJ[JEV Number]=TRIM($T674))*(CsDJ[Account Code]=TRIM(K704)),CsDJ[Debit]))</f>
        <v>0</v>
      </c>
      <c r="O704" s="89">
        <f t="array" ref="O704">SUM(IF((CsDJ[JEV Number]=TRIM($T674))*(CsDJ[Account Code]=TRIM(K704)),CsDJ[Credit]))</f>
        <v>0</v>
      </c>
      <c r="P704" s="1040">
        <f t="shared" si="58"/>
        <v>0</v>
      </c>
      <c r="Q704" s="1040"/>
      <c r="R704" s="1040"/>
      <c r="S704" s="1040">
        <f t="shared" si="59"/>
        <v>0</v>
      </c>
      <c r="T704" s="1040"/>
      <c r="U704" s="1040"/>
      <c r="V704" s="1041"/>
    </row>
    <row r="705" spans="1:22" x14ac:dyDescent="0.25">
      <c r="A705" s="1038"/>
      <c r="B705" s="1039"/>
      <c r="C705" s="1039"/>
      <c r="D705" s="1039"/>
      <c r="E705" s="1045" t="str">
        <f t="shared" si="56"/>
        <v/>
      </c>
      <c r="F705" s="1046"/>
      <c r="G705" s="1046"/>
      <c r="H705" s="1046"/>
      <c r="I705" s="1046"/>
      <c r="J705" s="1047"/>
      <c r="K705" s="134"/>
      <c r="L705" s="62" t="str">
        <f t="shared" si="57"/>
        <v/>
      </c>
      <c r="M705" s="14"/>
      <c r="N705" s="89">
        <f t="array" ref="N705">SUM(IF((CsDJ[JEV Number]=TRIM($T674))*(CsDJ[Account Code]=TRIM(K705)),CsDJ[Debit]))</f>
        <v>0</v>
      </c>
      <c r="O705" s="89">
        <f t="array" ref="O705">SUM(IF((CsDJ[JEV Number]=TRIM($T674))*(CsDJ[Account Code]=TRIM(K705)),CsDJ[Credit]))</f>
        <v>0</v>
      </c>
      <c r="P705" s="1040">
        <f t="shared" si="58"/>
        <v>0</v>
      </c>
      <c r="Q705" s="1040"/>
      <c r="R705" s="1040"/>
      <c r="S705" s="1040">
        <f t="shared" si="59"/>
        <v>0</v>
      </c>
      <c r="T705" s="1040"/>
      <c r="U705" s="1040"/>
      <c r="V705" s="1041"/>
    </row>
    <row r="706" spans="1:22" x14ac:dyDescent="0.25">
      <c r="A706" s="1038"/>
      <c r="B706" s="1039"/>
      <c r="C706" s="1039"/>
      <c r="D706" s="1039"/>
      <c r="E706" s="1045" t="str">
        <f t="shared" si="56"/>
        <v/>
      </c>
      <c r="F706" s="1046"/>
      <c r="G706" s="1046"/>
      <c r="H706" s="1046"/>
      <c r="I706" s="1046"/>
      <c r="J706" s="1047"/>
      <c r="K706" s="134"/>
      <c r="L706" s="62" t="str">
        <f t="shared" si="57"/>
        <v/>
      </c>
      <c r="M706" s="14"/>
      <c r="N706" s="89">
        <f t="array" ref="N706">SUM(IF((CsDJ[JEV Number]=TRIM($T674))*(CsDJ[Account Code]=TRIM(K706)),CsDJ[Debit]))</f>
        <v>0</v>
      </c>
      <c r="O706" s="89">
        <f t="array" ref="O706">SUM(IF((CsDJ[JEV Number]=TRIM($T674))*(CsDJ[Account Code]=TRIM(K706)),CsDJ[Credit]))</f>
        <v>0</v>
      </c>
      <c r="P706" s="1040">
        <f t="shared" si="58"/>
        <v>0</v>
      </c>
      <c r="Q706" s="1040"/>
      <c r="R706" s="1040"/>
      <c r="S706" s="1040">
        <f t="shared" si="59"/>
        <v>0</v>
      </c>
      <c r="T706" s="1040"/>
      <c r="U706" s="1040"/>
      <c r="V706" s="1041"/>
    </row>
    <row r="707" spans="1:22" x14ac:dyDescent="0.25">
      <c r="A707" s="1038"/>
      <c r="B707" s="1039"/>
      <c r="C707" s="1039"/>
      <c r="D707" s="1039"/>
      <c r="E707" s="1045" t="str">
        <f t="shared" si="56"/>
        <v/>
      </c>
      <c r="F707" s="1046"/>
      <c r="G707" s="1046"/>
      <c r="H707" s="1046"/>
      <c r="I707" s="1046"/>
      <c r="J707" s="1047"/>
      <c r="K707" s="134"/>
      <c r="L707" s="62" t="str">
        <f t="shared" si="57"/>
        <v/>
      </c>
      <c r="M707" s="14"/>
      <c r="N707" s="89">
        <f t="array" ref="N707">SUM(IF((CsDJ[JEV Number]=TRIM($T674))*(CsDJ[Account Code]=TRIM(K707)),CsDJ[Debit]))</f>
        <v>0</v>
      </c>
      <c r="O707" s="89">
        <f t="array" ref="O707">SUM(IF((CsDJ[JEV Number]=TRIM($T674))*(CsDJ[Account Code]=TRIM(K707)),CsDJ[Credit]))</f>
        <v>0</v>
      </c>
      <c r="P707" s="1040">
        <f t="shared" si="58"/>
        <v>0</v>
      </c>
      <c r="Q707" s="1040"/>
      <c r="R707" s="1040"/>
      <c r="S707" s="1040">
        <f t="shared" si="59"/>
        <v>0</v>
      </c>
      <c r="T707" s="1040"/>
      <c r="U707" s="1040"/>
      <c r="V707" s="1041"/>
    </row>
    <row r="708" spans="1:22" x14ac:dyDescent="0.25">
      <c r="A708" s="1038"/>
      <c r="B708" s="1039"/>
      <c r="C708" s="1039"/>
      <c r="D708" s="1039"/>
      <c r="E708" s="1108" t="s">
        <v>468</v>
      </c>
      <c r="F708" s="1109"/>
      <c r="G708" s="1109"/>
      <c r="H708" s="1109"/>
      <c r="I708" s="1109"/>
      <c r="J708" s="1110"/>
      <c r="K708" s="133"/>
      <c r="L708" s="62" t="str">
        <f t="shared" si="57"/>
        <v/>
      </c>
      <c r="M708" s="14"/>
      <c r="N708" s="89">
        <f t="array" ref="N708">SUM(IF((CsDJ[JEV Number]=TRIM($T674))*(CsDJ[Account Code]=TRIM(K708)),CsDJ[Debit]))</f>
        <v>0</v>
      </c>
      <c r="O708" s="89">
        <f t="array" ref="O708">SUM(IF((CsDJ[JEV Number]=TRIM($T674))*(CsDJ[Account Code]=TRIM(K708)),CsDJ[Credit]))</f>
        <v>0</v>
      </c>
      <c r="P708" s="1040">
        <f t="shared" si="58"/>
        <v>0</v>
      </c>
      <c r="Q708" s="1040"/>
      <c r="R708" s="1040"/>
      <c r="S708" s="1040">
        <f t="shared" si="59"/>
        <v>0</v>
      </c>
      <c r="T708" s="1040"/>
      <c r="U708" s="1040"/>
      <c r="V708" s="1041"/>
    </row>
    <row r="709" spans="1:22" x14ac:dyDescent="0.25">
      <c r="A709" s="1038"/>
      <c r="B709" s="1039"/>
      <c r="C709" s="1039"/>
      <c r="D709" s="1039"/>
      <c r="E709" s="1048" t="s">
        <v>457</v>
      </c>
      <c r="F709" s="1049"/>
      <c r="G709" s="1049"/>
      <c r="H709" s="1049"/>
      <c r="I709" s="1051">
        <f>T675</f>
        <v>0</v>
      </c>
      <c r="J709" s="1052"/>
      <c r="K709" s="133"/>
      <c r="L709" s="62" t="str">
        <f t="shared" si="57"/>
        <v/>
      </c>
      <c r="M709" s="14"/>
      <c r="N709" s="89">
        <f t="array" ref="N709">SUM(IF((CsDJ[JEV Number]=TRIM($T674))*(CsDJ[Account Code]=TRIM(K709)),CsDJ[Debit]))</f>
        <v>0</v>
      </c>
      <c r="O709" s="89">
        <f t="array" ref="O709">SUM(IF((CsDJ[JEV Number]=TRIM($T674))*(CsDJ[Account Code]=TRIM(K709)),CsDJ[Credit]))</f>
        <v>0</v>
      </c>
      <c r="P709" s="1040">
        <f t="shared" si="58"/>
        <v>0</v>
      </c>
      <c r="Q709" s="1040"/>
      <c r="R709" s="1040"/>
      <c r="S709" s="1040">
        <f t="shared" si="59"/>
        <v>0</v>
      </c>
      <c r="T709" s="1040"/>
      <c r="U709" s="1040"/>
      <c r="V709" s="1041"/>
    </row>
    <row r="710" spans="1:22" x14ac:dyDescent="0.25">
      <c r="A710" s="1038"/>
      <c r="B710" s="1039"/>
      <c r="C710" s="1039"/>
      <c r="D710" s="1039"/>
      <c r="E710" s="1048" t="s">
        <v>458</v>
      </c>
      <c r="F710" s="1049"/>
      <c r="G710" s="1049"/>
      <c r="H710" s="1049"/>
      <c r="I710" s="1106">
        <f>IF(T674=0,0,(IF(LOOKUP(T674,CsDJ[JEV Number],CsDJ[Sort Code])="1","MA. VIVIAN C. SALAS",IF(LOOKUP(T674,CsDJ[JEV Number],CsDJ[Sort Code])="2","LUZ R. DE COZAR",IF(LOOKUP(T674,CsDJ[JEV Number],CsDJ[Sort Code])="3","MINEONETTE A. DELA CRUZ",IF(LOOKUP(T674,CsDJ[JEV Number],CsDJ[Sort Code])="4","RESELLA B. LOPEZ"))))))</f>
        <v>0</v>
      </c>
      <c r="J710" s="1107"/>
      <c r="K710" s="133"/>
      <c r="L710" s="62" t="str">
        <f t="shared" si="57"/>
        <v/>
      </c>
      <c r="M710" s="14"/>
      <c r="N710" s="89">
        <f t="array" ref="N710">SUM(IF((CsDJ[JEV Number]=TRIM($T674))*(CsDJ[Account Code]=TRIM(K710)),CsDJ[Debit]))</f>
        <v>0</v>
      </c>
      <c r="O710" s="89">
        <f t="array" ref="O710">SUM(IF((CsDJ[JEV Number]=TRIM($T674))*(CsDJ[Account Code]=TRIM(K710)),CsDJ[Credit]))</f>
        <v>0</v>
      </c>
      <c r="P710" s="1040">
        <f t="shared" si="58"/>
        <v>0</v>
      </c>
      <c r="Q710" s="1040"/>
      <c r="R710" s="1040"/>
      <c r="S710" s="1040">
        <f t="shared" si="59"/>
        <v>0</v>
      </c>
      <c r="T710" s="1040"/>
      <c r="U710" s="1040"/>
      <c r="V710" s="1041"/>
    </row>
    <row r="711" spans="1:22" x14ac:dyDescent="0.25">
      <c r="A711" s="1038"/>
      <c r="B711" s="1039"/>
      <c r="C711" s="1039"/>
      <c r="D711" s="1039"/>
      <c r="E711" s="1048" t="s">
        <v>459</v>
      </c>
      <c r="F711" s="1049"/>
      <c r="G711" s="1049"/>
      <c r="H711" s="1049"/>
      <c r="I711" s="1043">
        <f>IF(I710="Ma. Vivian C. Salas","Regional Office", IF(I710="Luz R. De Cozar","BANE IMO", IF(I710="Mineonette A. Dela Cruz","PAMBAT IMO", IF(I710="Resella B. Lopez","TARZAM IMO",0))))</f>
        <v>0</v>
      </c>
      <c r="J711" s="1044"/>
      <c r="K711" s="133"/>
      <c r="L711" s="62" t="str">
        <f t="shared" si="57"/>
        <v/>
      </c>
      <c r="M711" s="14"/>
      <c r="N711" s="89">
        <f t="array" ref="N711">SUM(IF((CsDJ[JEV Number]=TRIM($T674))*(CsDJ[Account Code]=TRIM(K711)),CsDJ[Debit]))</f>
        <v>0</v>
      </c>
      <c r="O711" s="89">
        <f t="array" ref="O711">SUM(IF((CsDJ[JEV Number]=TRIM($T674))*(CsDJ[Account Code]=TRIM(K711)),CsDJ[Credit]))</f>
        <v>0</v>
      </c>
      <c r="P711" s="1040">
        <f t="shared" si="58"/>
        <v>0</v>
      </c>
      <c r="Q711" s="1040"/>
      <c r="R711" s="1040"/>
      <c r="S711" s="1040">
        <f t="shared" si="59"/>
        <v>0</v>
      </c>
      <c r="T711" s="1040"/>
      <c r="U711" s="1040"/>
      <c r="V711" s="1041"/>
    </row>
    <row r="712" spans="1:22" x14ac:dyDescent="0.25">
      <c r="A712" s="1038"/>
      <c r="B712" s="1039"/>
      <c r="C712" s="1039"/>
      <c r="D712" s="1039"/>
      <c r="E712" s="1048"/>
      <c r="F712" s="1049"/>
      <c r="G712" s="1049"/>
      <c r="H712" s="1049"/>
      <c r="I712" s="1049"/>
      <c r="J712" s="1050"/>
      <c r="K712" s="133"/>
      <c r="L712" s="62" t="str">
        <f t="shared" si="57"/>
        <v/>
      </c>
      <c r="M712" s="14"/>
      <c r="N712" s="89">
        <f t="array" ref="N712">SUM(IF((CsDJ[JEV Number]=TRIM($T674))*(CsDJ[Account Code]=TRIM(K712)),CsDJ[Debit]))</f>
        <v>0</v>
      </c>
      <c r="O712" s="89">
        <f t="array" ref="O712">SUM(IF((CsDJ[JEV Number]=TRIM($T674))*(CsDJ[Account Code]=TRIM(K712)),CsDJ[Credit]))</f>
        <v>0</v>
      </c>
      <c r="P712" s="1040">
        <f t="shared" si="58"/>
        <v>0</v>
      </c>
      <c r="Q712" s="1040"/>
      <c r="R712" s="1040"/>
      <c r="S712" s="1040">
        <f t="shared" si="59"/>
        <v>0</v>
      </c>
      <c r="T712" s="1040"/>
      <c r="U712" s="1040"/>
      <c r="V712" s="1041"/>
    </row>
    <row r="713" spans="1:22" ht="16.5" thickBot="1" x14ac:dyDescent="0.3">
      <c r="A713" s="1091"/>
      <c r="B713" s="1092"/>
      <c r="C713" s="1092"/>
      <c r="D713" s="1092"/>
      <c r="E713" s="1092"/>
      <c r="F713" s="1092"/>
      <c r="G713" s="1092"/>
      <c r="H713" s="1092"/>
      <c r="I713" s="1092"/>
      <c r="J713" s="1092"/>
      <c r="K713" s="1092"/>
      <c r="L713" s="1092"/>
      <c r="M713" s="1093"/>
      <c r="N713" s="88"/>
      <c r="O713" s="88"/>
      <c r="P713" s="1094">
        <f>SUM(P683:R712)</f>
        <v>0</v>
      </c>
      <c r="Q713" s="1094"/>
      <c r="R713" s="1094"/>
      <c r="S713" s="1094">
        <f>SUM(S683:V712)</f>
        <v>0</v>
      </c>
      <c r="T713" s="1094"/>
      <c r="U713" s="1094"/>
      <c r="V713" s="1095"/>
    </row>
    <row r="714" spans="1:22" x14ac:dyDescent="0.25">
      <c r="A714" s="63"/>
      <c r="B714" s="64"/>
      <c r="C714" s="64"/>
      <c r="D714" s="64"/>
      <c r="E714" s="64"/>
      <c r="F714" s="64"/>
      <c r="G714" s="64"/>
      <c r="H714" s="64"/>
      <c r="I714" s="65"/>
      <c r="J714" s="64"/>
      <c r="K714" s="66"/>
      <c r="L714" s="64"/>
      <c r="M714" s="65"/>
      <c r="N714" s="64"/>
      <c r="O714" s="64"/>
      <c r="P714" s="1090"/>
      <c r="Q714" s="1090"/>
      <c r="R714" s="1090"/>
      <c r="S714" s="1090"/>
      <c r="T714" s="1090"/>
      <c r="U714" s="1090"/>
      <c r="V714" s="1096"/>
    </row>
    <row r="715" spans="1:22" x14ac:dyDescent="0.25">
      <c r="A715" s="67" t="s">
        <v>460</v>
      </c>
      <c r="B715"/>
      <c r="C715"/>
      <c r="D715"/>
      <c r="E715"/>
      <c r="F715"/>
      <c r="G715"/>
      <c r="H715"/>
      <c r="I715" s="68" t="s">
        <v>353</v>
      </c>
      <c r="J715" s="69"/>
      <c r="K715" s="69"/>
      <c r="L715"/>
      <c r="M715" s="68" t="s">
        <v>461</v>
      </c>
      <c r="N715" s="69"/>
      <c r="O715" s="69"/>
      <c r="P715" s="70"/>
      <c r="Q715" s="70"/>
      <c r="R715" s="70"/>
      <c r="S715" s="70"/>
      <c r="T715" s="70"/>
      <c r="U715" s="70"/>
      <c r="V715" s="71"/>
    </row>
    <row r="716" spans="1:22" x14ac:dyDescent="0.25">
      <c r="A716" s="37"/>
      <c r="B716"/>
      <c r="C716"/>
      <c r="D716"/>
      <c r="E716"/>
      <c r="F716"/>
      <c r="G716"/>
      <c r="H716"/>
      <c r="I716" s="72"/>
      <c r="J716"/>
      <c r="K716"/>
      <c r="L716"/>
      <c r="M716" s="72"/>
      <c r="N716"/>
      <c r="O716"/>
      <c r="P716"/>
      <c r="Q716"/>
      <c r="R716"/>
      <c r="S716"/>
      <c r="T716"/>
      <c r="U716"/>
      <c r="V716" s="73"/>
    </row>
    <row r="717" spans="1:22" x14ac:dyDescent="0.25">
      <c r="A717" s="74" t="s">
        <v>462</v>
      </c>
      <c r="B717" s="75"/>
      <c r="C717" s="75"/>
      <c r="D717" s="75"/>
      <c r="E717" s="75"/>
      <c r="F717" s="75"/>
      <c r="G717" s="75"/>
      <c r="H717" s="76"/>
      <c r="I717" s="77" t="s">
        <v>380</v>
      </c>
      <c r="J717" s="75"/>
      <c r="K717" s="75"/>
      <c r="L717" s="76"/>
      <c r="M717" s="77" t="s">
        <v>3</v>
      </c>
      <c r="N717" s="75"/>
      <c r="O717" s="75"/>
      <c r="P717" s="75"/>
      <c r="Q717" s="75"/>
      <c r="R717" s="75"/>
      <c r="S717" s="75"/>
      <c r="T717" s="75"/>
      <c r="U717" s="75"/>
      <c r="V717" s="78"/>
    </row>
    <row r="718" spans="1:22" x14ac:dyDescent="0.25">
      <c r="A718" s="79" t="s">
        <v>463</v>
      </c>
      <c r="B718" s="80"/>
      <c r="C718" s="80"/>
      <c r="D718" s="80"/>
      <c r="E718" s="80"/>
      <c r="F718" s="80"/>
      <c r="G718" s="80"/>
      <c r="H718" s="80"/>
      <c r="I718" s="81" t="s">
        <v>381</v>
      </c>
      <c r="J718" s="80"/>
      <c r="K718" s="80"/>
      <c r="L718" s="80"/>
      <c r="M718" s="81" t="s">
        <v>464</v>
      </c>
      <c r="N718" s="80"/>
      <c r="O718" s="80"/>
      <c r="P718" s="82"/>
      <c r="Q718" s="82"/>
      <c r="R718" s="82"/>
      <c r="S718" s="82"/>
      <c r="T718" s="82"/>
      <c r="U718" s="82"/>
      <c r="V718" s="83"/>
    </row>
    <row r="719" spans="1:22" ht="16.5" thickBot="1" x14ac:dyDescent="0.3">
      <c r="A719" s="84" t="s">
        <v>465</v>
      </c>
      <c r="B719" s="43"/>
      <c r="C719" s="43"/>
      <c r="D719" s="43"/>
      <c r="E719" s="43"/>
      <c r="F719" s="43"/>
      <c r="G719" s="43"/>
      <c r="H719" s="43"/>
      <c r="I719" s="85"/>
      <c r="J719" s="43"/>
      <c r="K719" s="43"/>
      <c r="L719" s="43"/>
      <c r="M719" s="85"/>
      <c r="N719" s="43"/>
      <c r="O719" s="43"/>
      <c r="P719" s="43"/>
      <c r="Q719" s="43"/>
      <c r="R719" s="43"/>
      <c r="S719" s="43"/>
      <c r="T719" s="43"/>
      <c r="U719" s="43"/>
      <c r="V719" s="44"/>
    </row>
    <row r="720" spans="1:22" ht="22.5" x14ac:dyDescent="0.25">
      <c r="A720" s="31" t="s">
        <v>441</v>
      </c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3"/>
      <c r="R720" s="1053">
        <f>+P760-S760</f>
        <v>0</v>
      </c>
      <c r="S720" s="1054"/>
      <c r="T720" s="1054"/>
      <c r="U720" s="1054"/>
      <c r="V720" s="1055"/>
    </row>
    <row r="721" spans="1:22" x14ac:dyDescent="0.25">
      <c r="A721" s="34" t="s">
        <v>442</v>
      </c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6"/>
      <c r="R721" s="37" t="s">
        <v>443</v>
      </c>
      <c r="S721"/>
      <c r="T721" s="1056"/>
      <c r="U721" s="1056"/>
      <c r="V721" s="1057"/>
    </row>
    <row r="722" spans="1:22" x14ac:dyDescent="0.25">
      <c r="A722" s="38" t="s">
        <v>444</v>
      </c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6"/>
      <c r="R722" s="37" t="s">
        <v>0</v>
      </c>
      <c r="S722"/>
      <c r="T722" s="1058">
        <f>IF(T721=0,0,(LOOKUP(T721,CsDJ[JEV Number],CsDJ[Date])))</f>
        <v>0</v>
      </c>
      <c r="U722" s="1058"/>
      <c r="V722" s="1059"/>
    </row>
    <row r="723" spans="1:22" ht="16.5" thickBot="1" x14ac:dyDescent="0.3">
      <c r="A723" s="39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1"/>
      <c r="R723" s="42"/>
      <c r="S723" s="43"/>
      <c r="T723" s="43"/>
      <c r="U723" s="43"/>
      <c r="V723" s="44"/>
    </row>
    <row r="724" spans="1:22" x14ac:dyDescent="0.25">
      <c r="A724" s="45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7"/>
      <c r="M724" s="46"/>
      <c r="N724" s="46"/>
      <c r="O724" s="46"/>
      <c r="P724" s="46"/>
      <c r="Q724" s="46"/>
      <c r="R724" s="46"/>
      <c r="S724" s="46"/>
      <c r="T724" s="46"/>
      <c r="U724" s="46"/>
      <c r="V724" s="48"/>
    </row>
    <row r="725" spans="1:22" x14ac:dyDescent="0.25">
      <c r="A725" s="49"/>
      <c r="B725" s="1060"/>
      <c r="C725" s="1060"/>
      <c r="D725" s="50" t="s">
        <v>445</v>
      </c>
      <c r="H725" s="51"/>
      <c r="I725" s="25" t="s">
        <v>447</v>
      </c>
      <c r="J725" s="132" t="s">
        <v>446</v>
      </c>
      <c r="K725" s="52" t="s">
        <v>448</v>
      </c>
      <c r="L725" s="52"/>
      <c r="Q725" s="1060"/>
      <c r="R725" s="1060"/>
      <c r="S725" s="50" t="s">
        <v>449</v>
      </c>
      <c r="T725" s="50"/>
      <c r="U725" s="50"/>
      <c r="V725" s="53"/>
    </row>
    <row r="726" spans="1:22" ht="16.5" thickBot="1" x14ac:dyDescent="0.3">
      <c r="A726" s="54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6"/>
      <c r="M726" s="55"/>
      <c r="N726" s="55"/>
      <c r="O726" s="55"/>
      <c r="P726" s="55"/>
      <c r="Q726" s="55"/>
      <c r="R726" s="55"/>
      <c r="S726" s="55"/>
      <c r="T726" s="55"/>
      <c r="U726" s="55"/>
      <c r="V726" s="57"/>
    </row>
    <row r="727" spans="1:22" x14ac:dyDescent="0.25">
      <c r="A727" s="1061" t="s">
        <v>397</v>
      </c>
      <c r="B727" s="1062"/>
      <c r="C727" s="1062"/>
      <c r="D727" s="1063"/>
      <c r="E727" s="1070" t="s">
        <v>450</v>
      </c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070"/>
      <c r="V727" s="1071"/>
    </row>
    <row r="728" spans="1:22" x14ac:dyDescent="0.25">
      <c r="A728" s="1064"/>
      <c r="B728" s="1065"/>
      <c r="C728" s="1065"/>
      <c r="D728" s="1066"/>
      <c r="E728" s="1072" t="s">
        <v>451</v>
      </c>
      <c r="F728" s="1072"/>
      <c r="G728" s="1072"/>
      <c r="H728" s="1072"/>
      <c r="I728" s="1072"/>
      <c r="J728" s="1072"/>
      <c r="K728" s="1074" t="s">
        <v>378</v>
      </c>
      <c r="L728" s="1074"/>
      <c r="M728" s="1072" t="s">
        <v>452</v>
      </c>
      <c r="N728" s="1075" t="s">
        <v>453</v>
      </c>
      <c r="O728" s="1076"/>
      <c r="P728" s="1076"/>
      <c r="Q728" s="1076"/>
      <c r="R728" s="1076"/>
      <c r="S728" s="1076"/>
      <c r="T728" s="1076"/>
      <c r="U728" s="1076"/>
      <c r="V728" s="1077"/>
    </row>
    <row r="729" spans="1:22" ht="16.5" customHeight="1" thickBot="1" x14ac:dyDescent="0.3">
      <c r="A729" s="1067"/>
      <c r="B729" s="1068"/>
      <c r="C729" s="1068"/>
      <c r="D729" s="1069"/>
      <c r="E729" s="1073"/>
      <c r="F729" s="1073"/>
      <c r="G729" s="1073"/>
      <c r="H729" s="1073"/>
      <c r="I729" s="1073"/>
      <c r="J729" s="1073"/>
      <c r="K729" s="58" t="s">
        <v>454</v>
      </c>
      <c r="L729" s="58" t="s">
        <v>455</v>
      </c>
      <c r="M729" s="1073"/>
      <c r="N729" s="87" t="s">
        <v>466</v>
      </c>
      <c r="O729" s="87" t="s">
        <v>467</v>
      </c>
      <c r="P729" s="1078" t="s">
        <v>1</v>
      </c>
      <c r="Q729" s="1079"/>
      <c r="R729" s="1080"/>
      <c r="S729" s="1078" t="s">
        <v>2</v>
      </c>
      <c r="T729" s="1079"/>
      <c r="U729" s="1079"/>
      <c r="V729" s="1081"/>
    </row>
    <row r="730" spans="1:22" ht="19.5" x14ac:dyDescent="0.3">
      <c r="A730" s="1082">
        <f>P760-S760</f>
        <v>0</v>
      </c>
      <c r="B730" s="1083"/>
      <c r="C730" s="1083"/>
      <c r="D730" s="1083"/>
      <c r="E730" s="1084" t="str">
        <f>Account!$G$1</f>
        <v>FUND 501 CARP</v>
      </c>
      <c r="F730" s="1085"/>
      <c r="G730" s="1085"/>
      <c r="H730" s="1085"/>
      <c r="I730" s="1085"/>
      <c r="J730" s="1086"/>
      <c r="K730" s="59"/>
      <c r="L730" s="59"/>
      <c r="M730" s="60"/>
      <c r="N730" s="60"/>
      <c r="O730" s="60"/>
      <c r="P730" s="1087"/>
      <c r="Q730" s="1087"/>
      <c r="R730" s="1087"/>
      <c r="S730" s="1087"/>
      <c r="T730" s="1087"/>
      <c r="U730" s="1087"/>
      <c r="V730" s="1088"/>
    </row>
    <row r="731" spans="1:22" x14ac:dyDescent="0.25">
      <c r="A731" s="1038"/>
      <c r="B731" s="1039"/>
      <c r="C731" s="1039"/>
      <c r="D731" s="1039"/>
      <c r="E731" s="1039"/>
      <c r="F731" s="1039"/>
      <c r="G731" s="1039"/>
      <c r="H731" s="1039"/>
      <c r="I731" s="1039"/>
      <c r="J731" s="1039"/>
      <c r="K731" s="61"/>
      <c r="L731" s="61"/>
      <c r="M731" s="14"/>
      <c r="N731" s="14"/>
      <c r="O731" s="14"/>
      <c r="P731" s="1039"/>
      <c r="Q731" s="1039"/>
      <c r="R731" s="1039"/>
      <c r="S731" s="1039"/>
      <c r="T731" s="1039"/>
      <c r="U731" s="1039"/>
      <c r="V731" s="1089"/>
    </row>
    <row r="732" spans="1:22" x14ac:dyDescent="0.25">
      <c r="A732" s="1038"/>
      <c r="B732" s="1039"/>
      <c r="C732" s="1039"/>
      <c r="D732" s="1039"/>
      <c r="E732" s="1045" t="str">
        <f t="shared" ref="E732:E754" si="60">IF(K732=0,"",(VLOOKUP((TRIM(K732)),Code,2,)))</f>
        <v/>
      </c>
      <c r="F732" s="1046"/>
      <c r="G732" s="1046"/>
      <c r="H732" s="1046"/>
      <c r="I732" s="1046"/>
      <c r="J732" s="1047"/>
      <c r="K732" s="133"/>
      <c r="L732" s="62" t="str">
        <f t="shared" ref="L732:L759" si="61">IF(K732=0,"",VLOOKUP((TRIM(K732)),Code,3,))</f>
        <v/>
      </c>
      <c r="M732" s="14"/>
      <c r="N732" s="89">
        <f t="array" ref="N732">SUM(IF((CsDJ[JEV Number]=TRIM($T721))*(CsDJ[Account Code]=TRIM(K732)),CsDJ[Debit]))</f>
        <v>0</v>
      </c>
      <c r="O732" s="89">
        <f t="array" ref="O732">SUM(IF((CsDJ[JEV Number]=TRIM($T721))*(CsDJ[Account Code]=TRIM(K732)),CsDJ[Credit]))</f>
        <v>0</v>
      </c>
      <c r="P732" s="1040">
        <f>N732</f>
        <v>0</v>
      </c>
      <c r="Q732" s="1040"/>
      <c r="R732" s="1040"/>
      <c r="S732" s="1040">
        <f>O732</f>
        <v>0</v>
      </c>
      <c r="T732" s="1040"/>
      <c r="U732" s="1040"/>
      <c r="V732" s="1041"/>
    </row>
    <row r="733" spans="1:22" x14ac:dyDescent="0.25">
      <c r="A733" s="1038"/>
      <c r="B733" s="1039"/>
      <c r="C733" s="1039"/>
      <c r="D733" s="1039"/>
      <c r="E733" s="1045" t="str">
        <f t="shared" si="60"/>
        <v/>
      </c>
      <c r="F733" s="1046"/>
      <c r="G733" s="1046"/>
      <c r="H733" s="1046"/>
      <c r="I733" s="1046"/>
      <c r="J733" s="1047"/>
      <c r="K733" s="133"/>
      <c r="L733" s="62" t="str">
        <f t="shared" si="61"/>
        <v/>
      </c>
      <c r="M733" s="14"/>
      <c r="N733" s="89">
        <f t="array" ref="N733">SUM(IF((CsDJ[JEV Number]=TRIM($T721))*(CsDJ[Account Code]=TRIM(K733)),CsDJ[Debit]))</f>
        <v>0</v>
      </c>
      <c r="O733" s="89">
        <f t="array" ref="O733">SUM(IF((CsDJ[JEV Number]=TRIM($T721))*(CsDJ[Account Code]=TRIM(K733)),CsDJ[Credit]))</f>
        <v>0</v>
      </c>
      <c r="P733" s="1040">
        <f>N733</f>
        <v>0</v>
      </c>
      <c r="Q733" s="1040"/>
      <c r="R733" s="1040"/>
      <c r="S733" s="1040">
        <f>O733</f>
        <v>0</v>
      </c>
      <c r="T733" s="1040"/>
      <c r="U733" s="1040"/>
      <c r="V733" s="1041"/>
    </row>
    <row r="734" spans="1:22" x14ac:dyDescent="0.25">
      <c r="A734" s="1038"/>
      <c r="B734" s="1039"/>
      <c r="C734" s="1039"/>
      <c r="D734" s="1039"/>
      <c r="E734" s="1045" t="str">
        <f t="shared" si="60"/>
        <v/>
      </c>
      <c r="F734" s="1046"/>
      <c r="G734" s="1046"/>
      <c r="H734" s="1046"/>
      <c r="I734" s="1046"/>
      <c r="J734" s="1047"/>
      <c r="K734" s="133"/>
      <c r="L734" s="62" t="str">
        <f t="shared" si="61"/>
        <v/>
      </c>
      <c r="M734" s="14"/>
      <c r="N734" s="89">
        <f t="array" ref="N734">SUM(IF((CsDJ[JEV Number]=TRIM($T721))*(CsDJ[Account Code]=TRIM(K734)),CsDJ[Debit]))</f>
        <v>0</v>
      </c>
      <c r="O734" s="89">
        <f t="array" ref="O734">SUM(IF((CsDJ[JEV Number]=TRIM($T721))*(CsDJ[Account Code]=TRIM(K734)),CsDJ[Credit]))</f>
        <v>0</v>
      </c>
      <c r="P734" s="1040">
        <f t="shared" ref="P734:P759" si="62">N734</f>
        <v>0</v>
      </c>
      <c r="Q734" s="1040"/>
      <c r="R734" s="1040"/>
      <c r="S734" s="1040">
        <f t="shared" ref="S734:S759" si="63">O734</f>
        <v>0</v>
      </c>
      <c r="T734" s="1040"/>
      <c r="U734" s="1040"/>
      <c r="V734" s="1041"/>
    </row>
    <row r="735" spans="1:22" x14ac:dyDescent="0.25">
      <c r="A735" s="1038"/>
      <c r="B735" s="1039"/>
      <c r="C735" s="1039"/>
      <c r="D735" s="1039"/>
      <c r="E735" s="1045" t="str">
        <f t="shared" si="60"/>
        <v/>
      </c>
      <c r="F735" s="1046"/>
      <c r="G735" s="1046"/>
      <c r="H735" s="1046"/>
      <c r="I735" s="1046"/>
      <c r="J735" s="1047"/>
      <c r="K735" s="133"/>
      <c r="L735" s="62" t="str">
        <f t="shared" si="61"/>
        <v/>
      </c>
      <c r="M735" s="14"/>
      <c r="N735" s="89">
        <f t="array" ref="N735">SUM(IF((CsDJ[JEV Number]=TRIM($T721))*(CsDJ[Account Code]=TRIM(K735)),CsDJ[Debit]))</f>
        <v>0</v>
      </c>
      <c r="O735" s="89">
        <f t="array" ref="O735">SUM(IF((CsDJ[JEV Number]=TRIM($T721))*(CsDJ[Account Code]=TRIM(K735)),CsDJ[Credit]))</f>
        <v>0</v>
      </c>
      <c r="P735" s="1040">
        <f t="shared" si="62"/>
        <v>0</v>
      </c>
      <c r="Q735" s="1040"/>
      <c r="R735" s="1040"/>
      <c r="S735" s="1040">
        <f t="shared" si="63"/>
        <v>0</v>
      </c>
      <c r="T735" s="1040"/>
      <c r="U735" s="1040"/>
      <c r="V735" s="1041"/>
    </row>
    <row r="736" spans="1:22" x14ac:dyDescent="0.25">
      <c r="A736" s="1038"/>
      <c r="B736" s="1039"/>
      <c r="C736" s="1039"/>
      <c r="D736" s="1039"/>
      <c r="E736" s="1045" t="str">
        <f t="shared" si="60"/>
        <v/>
      </c>
      <c r="F736" s="1046"/>
      <c r="G736" s="1046"/>
      <c r="H736" s="1046"/>
      <c r="I736" s="1046"/>
      <c r="J736" s="1047"/>
      <c r="K736" s="133"/>
      <c r="L736" s="62" t="str">
        <f t="shared" si="61"/>
        <v/>
      </c>
      <c r="M736" s="14"/>
      <c r="N736" s="89">
        <f t="array" ref="N736">SUM(IF((CsDJ[JEV Number]=TRIM($T721))*(CsDJ[Account Code]=TRIM(K736)),CsDJ[Debit]))</f>
        <v>0</v>
      </c>
      <c r="O736" s="89">
        <f t="array" ref="O736">SUM(IF((CsDJ[JEV Number]=TRIM($T721))*(CsDJ[Account Code]=TRIM(K736)),CsDJ[Credit]))</f>
        <v>0</v>
      </c>
      <c r="P736" s="1040">
        <f t="shared" si="62"/>
        <v>0</v>
      </c>
      <c r="Q736" s="1040"/>
      <c r="R736" s="1040"/>
      <c r="S736" s="1040">
        <f t="shared" si="63"/>
        <v>0</v>
      </c>
      <c r="T736" s="1040"/>
      <c r="U736" s="1040"/>
      <c r="V736" s="1041"/>
    </row>
    <row r="737" spans="1:22" x14ac:dyDescent="0.25">
      <c r="A737" s="1038"/>
      <c r="B737" s="1039"/>
      <c r="C737" s="1039"/>
      <c r="D737" s="1039"/>
      <c r="E737" s="1045" t="str">
        <f t="shared" si="60"/>
        <v/>
      </c>
      <c r="F737" s="1046"/>
      <c r="G737" s="1046"/>
      <c r="H737" s="1046"/>
      <c r="I737" s="1046"/>
      <c r="J737" s="1047"/>
      <c r="K737" s="133"/>
      <c r="L737" s="62" t="str">
        <f t="shared" si="61"/>
        <v/>
      </c>
      <c r="M737" s="14"/>
      <c r="N737" s="89">
        <f t="array" ref="N737">SUM(IF((CsDJ[JEV Number]=TRIM($T721))*(CsDJ[Account Code]=TRIM(K737)),CsDJ[Debit]))</f>
        <v>0</v>
      </c>
      <c r="O737" s="89">
        <f t="array" ref="O737">SUM(IF((CsDJ[JEV Number]=TRIM($T721))*(CsDJ[Account Code]=TRIM(K737)),CsDJ[Credit]))</f>
        <v>0</v>
      </c>
      <c r="P737" s="1040">
        <f t="shared" si="62"/>
        <v>0</v>
      </c>
      <c r="Q737" s="1040"/>
      <c r="R737" s="1040"/>
      <c r="S737" s="1040">
        <f t="shared" si="63"/>
        <v>0</v>
      </c>
      <c r="T737" s="1040"/>
      <c r="U737" s="1040"/>
      <c r="V737" s="1041"/>
    </row>
    <row r="738" spans="1:22" x14ac:dyDescent="0.25">
      <c r="A738" s="1038"/>
      <c r="B738" s="1039"/>
      <c r="C738" s="1039"/>
      <c r="D738" s="1039"/>
      <c r="E738" s="1045" t="str">
        <f t="shared" si="60"/>
        <v/>
      </c>
      <c r="F738" s="1046"/>
      <c r="G738" s="1046"/>
      <c r="H738" s="1046"/>
      <c r="I738" s="1046"/>
      <c r="J738" s="1047"/>
      <c r="K738" s="133"/>
      <c r="L738" s="62" t="str">
        <f t="shared" si="61"/>
        <v/>
      </c>
      <c r="M738" s="14"/>
      <c r="N738" s="89">
        <f t="array" ref="N738">SUM(IF((CsDJ[JEV Number]=TRIM($T721))*(CsDJ[Account Code]=TRIM(K738)),CsDJ[Debit]))</f>
        <v>0</v>
      </c>
      <c r="O738" s="89">
        <f t="array" ref="O738">SUM(IF((CsDJ[JEV Number]=TRIM($T721))*(CsDJ[Account Code]=TRIM(K738)),CsDJ[Credit]))</f>
        <v>0</v>
      </c>
      <c r="P738" s="1040">
        <f t="shared" si="62"/>
        <v>0</v>
      </c>
      <c r="Q738" s="1040"/>
      <c r="R738" s="1040"/>
      <c r="S738" s="1040">
        <f t="shared" si="63"/>
        <v>0</v>
      </c>
      <c r="T738" s="1040"/>
      <c r="U738" s="1040"/>
      <c r="V738" s="1041"/>
    </row>
    <row r="739" spans="1:22" x14ac:dyDescent="0.25">
      <c r="A739" s="1038"/>
      <c r="B739" s="1039"/>
      <c r="C739" s="1039"/>
      <c r="D739" s="1039"/>
      <c r="E739" s="1045" t="str">
        <f t="shared" si="60"/>
        <v/>
      </c>
      <c r="F739" s="1046"/>
      <c r="G739" s="1046"/>
      <c r="H739" s="1046"/>
      <c r="I739" s="1046"/>
      <c r="J739" s="1047"/>
      <c r="K739" s="133"/>
      <c r="L739" s="62" t="str">
        <f t="shared" si="61"/>
        <v/>
      </c>
      <c r="M739" s="14"/>
      <c r="N739" s="89">
        <f t="array" ref="N739">SUM(IF((CsDJ[JEV Number]=TRIM($T721))*(CsDJ[Account Code]=TRIM(K739)),CsDJ[Debit]))</f>
        <v>0</v>
      </c>
      <c r="O739" s="89">
        <f t="array" ref="O739">SUM(IF((CsDJ[JEV Number]=TRIM($T721))*(CsDJ[Account Code]=TRIM(K739)),CsDJ[Credit]))</f>
        <v>0</v>
      </c>
      <c r="P739" s="1040">
        <f t="shared" si="62"/>
        <v>0</v>
      </c>
      <c r="Q739" s="1040"/>
      <c r="R739" s="1040"/>
      <c r="S739" s="1040">
        <f t="shared" si="63"/>
        <v>0</v>
      </c>
      <c r="T739" s="1040"/>
      <c r="U739" s="1040"/>
      <c r="V739" s="1041"/>
    </row>
    <row r="740" spans="1:22" x14ac:dyDescent="0.25">
      <c r="A740" s="1038"/>
      <c r="B740" s="1039"/>
      <c r="C740" s="1039"/>
      <c r="D740" s="1039"/>
      <c r="E740" s="1045" t="str">
        <f t="shared" si="60"/>
        <v/>
      </c>
      <c r="F740" s="1046"/>
      <c r="G740" s="1046"/>
      <c r="H740" s="1046"/>
      <c r="I740" s="1046"/>
      <c r="J740" s="1047"/>
      <c r="K740" s="134"/>
      <c r="L740" s="62" t="str">
        <f t="shared" si="61"/>
        <v/>
      </c>
      <c r="M740" s="14"/>
      <c r="N740" s="89">
        <f t="array" ref="N740">SUM(IF((CsDJ[JEV Number]=TRIM($T721))*(CsDJ[Account Code]=TRIM(K740)),CsDJ[Debit]))</f>
        <v>0</v>
      </c>
      <c r="O740" s="89">
        <f t="array" ref="O740">SUM(IF((CsDJ[JEV Number]=TRIM($T721))*(CsDJ[Account Code]=TRIM(K740)),CsDJ[Credit]))</f>
        <v>0</v>
      </c>
      <c r="P740" s="1040">
        <f t="shared" si="62"/>
        <v>0</v>
      </c>
      <c r="Q740" s="1040"/>
      <c r="R740" s="1040"/>
      <c r="S740" s="1040">
        <f t="shared" si="63"/>
        <v>0</v>
      </c>
      <c r="T740" s="1040"/>
      <c r="U740" s="1040"/>
      <c r="V740" s="1041"/>
    </row>
    <row r="741" spans="1:22" x14ac:dyDescent="0.25">
      <c r="A741" s="1038"/>
      <c r="B741" s="1039"/>
      <c r="C741" s="1039"/>
      <c r="D741" s="1039"/>
      <c r="E741" s="1045" t="str">
        <f t="shared" si="60"/>
        <v/>
      </c>
      <c r="F741" s="1046"/>
      <c r="G741" s="1046"/>
      <c r="H741" s="1046"/>
      <c r="I741" s="1046"/>
      <c r="J741" s="1047"/>
      <c r="K741" s="134"/>
      <c r="L741" s="62" t="str">
        <f t="shared" si="61"/>
        <v/>
      </c>
      <c r="M741" s="14"/>
      <c r="N741" s="89">
        <f t="array" ref="N741">SUM(IF((CsDJ[JEV Number]=TRIM($T721))*(CsDJ[Account Code]=TRIM(K741)),CsDJ[Debit]))</f>
        <v>0</v>
      </c>
      <c r="O741" s="89">
        <f t="array" ref="O741">SUM(IF((CsDJ[JEV Number]=TRIM($T721))*(CsDJ[Account Code]=TRIM(K741)),CsDJ[Credit]))</f>
        <v>0</v>
      </c>
      <c r="P741" s="1040">
        <f t="shared" si="62"/>
        <v>0</v>
      </c>
      <c r="Q741" s="1040"/>
      <c r="R741" s="1040"/>
      <c r="S741" s="1040">
        <f t="shared" si="63"/>
        <v>0</v>
      </c>
      <c r="T741" s="1040"/>
      <c r="U741" s="1040"/>
      <c r="V741" s="1041"/>
    </row>
    <row r="742" spans="1:22" x14ac:dyDescent="0.25">
      <c r="A742" s="1038"/>
      <c r="B742" s="1039"/>
      <c r="C742" s="1039"/>
      <c r="D742" s="1039"/>
      <c r="E742" s="1045" t="str">
        <f t="shared" si="60"/>
        <v/>
      </c>
      <c r="F742" s="1046"/>
      <c r="G742" s="1046"/>
      <c r="H742" s="1046"/>
      <c r="I742" s="1046"/>
      <c r="J742" s="1047"/>
      <c r="K742" s="134"/>
      <c r="L742" s="62" t="str">
        <f t="shared" si="61"/>
        <v/>
      </c>
      <c r="M742" s="14"/>
      <c r="N742" s="89">
        <f t="array" ref="N742">SUM(IF((CsDJ[JEV Number]=TRIM($T721))*(CsDJ[Account Code]=TRIM(K742)),CsDJ[Debit]))</f>
        <v>0</v>
      </c>
      <c r="O742" s="89">
        <f t="array" ref="O742">SUM(IF((CsDJ[JEV Number]=TRIM($T721))*(CsDJ[Account Code]=TRIM(K742)),CsDJ[Credit]))</f>
        <v>0</v>
      </c>
      <c r="P742" s="1040">
        <f t="shared" si="62"/>
        <v>0</v>
      </c>
      <c r="Q742" s="1040"/>
      <c r="R742" s="1040"/>
      <c r="S742" s="1040">
        <f t="shared" si="63"/>
        <v>0</v>
      </c>
      <c r="T742" s="1040"/>
      <c r="U742" s="1040"/>
      <c r="V742" s="1041"/>
    </row>
    <row r="743" spans="1:22" x14ac:dyDescent="0.25">
      <c r="A743" s="1038"/>
      <c r="B743" s="1039"/>
      <c r="C743" s="1039"/>
      <c r="D743" s="1039"/>
      <c r="E743" s="1045" t="str">
        <f t="shared" si="60"/>
        <v/>
      </c>
      <c r="F743" s="1046"/>
      <c r="G743" s="1046"/>
      <c r="H743" s="1046"/>
      <c r="I743" s="1046"/>
      <c r="J743" s="1047"/>
      <c r="K743" s="134"/>
      <c r="L743" s="62" t="str">
        <f t="shared" si="61"/>
        <v/>
      </c>
      <c r="M743" s="14"/>
      <c r="N743" s="89">
        <f t="array" ref="N743">SUM(IF((CsDJ[JEV Number]=TRIM($T721))*(CsDJ[Account Code]=TRIM(K743)),CsDJ[Debit]))</f>
        <v>0</v>
      </c>
      <c r="O743" s="89">
        <f t="array" ref="O743">SUM(IF((CsDJ[JEV Number]=TRIM($T721))*(CsDJ[Account Code]=TRIM(K743)),CsDJ[Credit]))</f>
        <v>0</v>
      </c>
      <c r="P743" s="1040">
        <f t="shared" si="62"/>
        <v>0</v>
      </c>
      <c r="Q743" s="1040"/>
      <c r="R743" s="1040"/>
      <c r="S743" s="1040">
        <f t="shared" si="63"/>
        <v>0</v>
      </c>
      <c r="T743" s="1040"/>
      <c r="U743" s="1040"/>
      <c r="V743" s="1041"/>
    </row>
    <row r="744" spans="1:22" x14ac:dyDescent="0.25">
      <c r="A744" s="1038"/>
      <c r="B744" s="1039"/>
      <c r="C744" s="1039"/>
      <c r="D744" s="1039"/>
      <c r="E744" s="1045" t="str">
        <f t="shared" si="60"/>
        <v/>
      </c>
      <c r="F744" s="1046"/>
      <c r="G744" s="1046"/>
      <c r="H744" s="1046"/>
      <c r="I744" s="1046"/>
      <c r="J744" s="1047"/>
      <c r="K744" s="134"/>
      <c r="L744" s="62" t="str">
        <f t="shared" si="61"/>
        <v/>
      </c>
      <c r="M744" s="14"/>
      <c r="N744" s="89">
        <f t="array" ref="N744">SUM(IF((CsDJ[JEV Number]=TRIM($T721))*(CsDJ[Account Code]=TRIM(K744)),CsDJ[Debit]))</f>
        <v>0</v>
      </c>
      <c r="O744" s="89">
        <f t="array" ref="O744">SUM(IF((CsDJ[JEV Number]=TRIM($T721))*(CsDJ[Account Code]=TRIM(K744)),CsDJ[Credit]))</f>
        <v>0</v>
      </c>
      <c r="P744" s="1040">
        <f t="shared" si="62"/>
        <v>0</v>
      </c>
      <c r="Q744" s="1040"/>
      <c r="R744" s="1040"/>
      <c r="S744" s="1040">
        <f t="shared" si="63"/>
        <v>0</v>
      </c>
      <c r="T744" s="1040"/>
      <c r="U744" s="1040"/>
      <c r="V744" s="1041"/>
    </row>
    <row r="745" spans="1:22" x14ac:dyDescent="0.25">
      <c r="A745" s="1038"/>
      <c r="B745" s="1039"/>
      <c r="C745" s="1039"/>
      <c r="D745" s="1039"/>
      <c r="E745" s="1045" t="str">
        <f t="shared" si="60"/>
        <v/>
      </c>
      <c r="F745" s="1046"/>
      <c r="G745" s="1046"/>
      <c r="H745" s="1046"/>
      <c r="I745" s="1046"/>
      <c r="J745" s="1047"/>
      <c r="K745" s="134"/>
      <c r="L745" s="62" t="str">
        <f t="shared" si="61"/>
        <v/>
      </c>
      <c r="M745" s="14"/>
      <c r="N745" s="89">
        <f t="array" ref="N745">SUM(IF((CsDJ[JEV Number]=TRIM($T721))*(CsDJ[Account Code]=TRIM(K745)),CsDJ[Debit]))</f>
        <v>0</v>
      </c>
      <c r="O745" s="89">
        <f t="array" ref="O745">SUM(IF((CsDJ[JEV Number]=TRIM($T721))*(CsDJ[Account Code]=TRIM(K745)),CsDJ[Credit]))</f>
        <v>0</v>
      </c>
      <c r="P745" s="1040">
        <f t="shared" si="62"/>
        <v>0</v>
      </c>
      <c r="Q745" s="1040"/>
      <c r="R745" s="1040"/>
      <c r="S745" s="1040">
        <f t="shared" si="63"/>
        <v>0</v>
      </c>
      <c r="T745" s="1040"/>
      <c r="U745" s="1040"/>
      <c r="V745" s="1041"/>
    </row>
    <row r="746" spans="1:22" x14ac:dyDescent="0.25">
      <c r="A746" s="1038"/>
      <c r="B746" s="1039"/>
      <c r="C746" s="1039"/>
      <c r="D746" s="1039"/>
      <c r="E746" s="1045" t="str">
        <f t="shared" si="60"/>
        <v/>
      </c>
      <c r="F746" s="1046"/>
      <c r="G746" s="1046"/>
      <c r="H746" s="1046"/>
      <c r="I746" s="1046"/>
      <c r="J746" s="1047"/>
      <c r="K746" s="134"/>
      <c r="L746" s="62" t="str">
        <f t="shared" si="61"/>
        <v/>
      </c>
      <c r="M746" s="14"/>
      <c r="N746" s="89">
        <f t="array" ref="N746">SUM(IF((CsDJ[JEV Number]=TRIM($T721))*(CsDJ[Account Code]=TRIM(K746)),CsDJ[Debit]))</f>
        <v>0</v>
      </c>
      <c r="O746" s="89">
        <f t="array" ref="O746">SUM(IF((CsDJ[JEV Number]=TRIM($T721))*(CsDJ[Account Code]=TRIM(K746)),CsDJ[Credit]))</f>
        <v>0</v>
      </c>
      <c r="P746" s="1040">
        <f t="shared" si="62"/>
        <v>0</v>
      </c>
      <c r="Q746" s="1040"/>
      <c r="R746" s="1040"/>
      <c r="S746" s="1040">
        <f t="shared" si="63"/>
        <v>0</v>
      </c>
      <c r="T746" s="1040"/>
      <c r="U746" s="1040"/>
      <c r="V746" s="1041"/>
    </row>
    <row r="747" spans="1:22" x14ac:dyDescent="0.25">
      <c r="A747" s="1038"/>
      <c r="B747" s="1039"/>
      <c r="C747" s="1039"/>
      <c r="D747" s="1039"/>
      <c r="E747" s="1045" t="str">
        <f t="shared" si="60"/>
        <v/>
      </c>
      <c r="F747" s="1046"/>
      <c r="G747" s="1046"/>
      <c r="H747" s="1046"/>
      <c r="I747" s="1046"/>
      <c r="J747" s="1047"/>
      <c r="K747" s="134"/>
      <c r="L747" s="62" t="str">
        <f t="shared" si="61"/>
        <v/>
      </c>
      <c r="M747" s="14"/>
      <c r="N747" s="89">
        <f t="array" ref="N747">SUM(IF((CsDJ[JEV Number]=TRIM($T721))*(CsDJ[Account Code]=TRIM(K747)),CsDJ[Debit]))</f>
        <v>0</v>
      </c>
      <c r="O747" s="89">
        <f t="array" ref="O747">SUM(IF((CsDJ[JEV Number]=TRIM($T721))*(CsDJ[Account Code]=TRIM(K747)),CsDJ[Credit]))</f>
        <v>0</v>
      </c>
      <c r="P747" s="1040">
        <f t="shared" si="62"/>
        <v>0</v>
      </c>
      <c r="Q747" s="1040"/>
      <c r="R747" s="1040"/>
      <c r="S747" s="1040">
        <f t="shared" si="63"/>
        <v>0</v>
      </c>
      <c r="T747" s="1040"/>
      <c r="U747" s="1040"/>
      <c r="V747" s="1041"/>
    </row>
    <row r="748" spans="1:22" x14ac:dyDescent="0.25">
      <c r="A748" s="1038"/>
      <c r="B748" s="1039"/>
      <c r="C748" s="1039"/>
      <c r="D748" s="1039"/>
      <c r="E748" s="1045" t="str">
        <f t="shared" si="60"/>
        <v/>
      </c>
      <c r="F748" s="1046"/>
      <c r="G748" s="1046"/>
      <c r="H748" s="1046"/>
      <c r="I748" s="1046"/>
      <c r="J748" s="1047"/>
      <c r="K748" s="134"/>
      <c r="L748" s="62" t="str">
        <f t="shared" si="61"/>
        <v/>
      </c>
      <c r="M748" s="14"/>
      <c r="N748" s="89">
        <f t="array" ref="N748">SUM(IF((CsDJ[JEV Number]=TRIM($T721))*(CsDJ[Account Code]=TRIM(K748)),CsDJ[Debit]))</f>
        <v>0</v>
      </c>
      <c r="O748" s="89">
        <f t="array" ref="O748">SUM(IF((CsDJ[JEV Number]=TRIM($T721))*(CsDJ[Account Code]=TRIM(K748)),CsDJ[Credit]))</f>
        <v>0</v>
      </c>
      <c r="P748" s="1040">
        <f t="shared" si="62"/>
        <v>0</v>
      </c>
      <c r="Q748" s="1040"/>
      <c r="R748" s="1040"/>
      <c r="S748" s="1040">
        <f t="shared" si="63"/>
        <v>0</v>
      </c>
      <c r="T748" s="1040"/>
      <c r="U748" s="1040"/>
      <c r="V748" s="1041"/>
    </row>
    <row r="749" spans="1:22" x14ac:dyDescent="0.25">
      <c r="A749" s="1038"/>
      <c r="B749" s="1039"/>
      <c r="C749" s="1039"/>
      <c r="D749" s="1039"/>
      <c r="E749" s="1045" t="str">
        <f t="shared" si="60"/>
        <v/>
      </c>
      <c r="F749" s="1046"/>
      <c r="G749" s="1046"/>
      <c r="H749" s="1046"/>
      <c r="I749" s="1046"/>
      <c r="J749" s="1047"/>
      <c r="K749" s="134"/>
      <c r="L749" s="62" t="str">
        <f t="shared" si="61"/>
        <v/>
      </c>
      <c r="M749" s="14"/>
      <c r="N749" s="89">
        <f t="array" ref="N749">SUM(IF((CsDJ[JEV Number]=TRIM($T721))*(CsDJ[Account Code]=TRIM(K749)),CsDJ[Debit]))</f>
        <v>0</v>
      </c>
      <c r="O749" s="89">
        <f t="array" ref="O749">SUM(IF((CsDJ[JEV Number]=TRIM($T721))*(CsDJ[Account Code]=TRIM(K749)),CsDJ[Credit]))</f>
        <v>0</v>
      </c>
      <c r="P749" s="1040">
        <f t="shared" si="62"/>
        <v>0</v>
      </c>
      <c r="Q749" s="1040"/>
      <c r="R749" s="1040"/>
      <c r="S749" s="1040">
        <f t="shared" si="63"/>
        <v>0</v>
      </c>
      <c r="T749" s="1040"/>
      <c r="U749" s="1040"/>
      <c r="V749" s="1041"/>
    </row>
    <row r="750" spans="1:22" x14ac:dyDescent="0.25">
      <c r="A750" s="1038"/>
      <c r="B750" s="1039"/>
      <c r="C750" s="1039"/>
      <c r="D750" s="1039"/>
      <c r="E750" s="1045" t="str">
        <f t="shared" si="60"/>
        <v/>
      </c>
      <c r="F750" s="1046"/>
      <c r="G750" s="1046"/>
      <c r="H750" s="1046"/>
      <c r="I750" s="1046"/>
      <c r="J750" s="1047"/>
      <c r="K750" s="134"/>
      <c r="L750" s="62" t="str">
        <f t="shared" si="61"/>
        <v/>
      </c>
      <c r="M750" s="14"/>
      <c r="N750" s="89">
        <f t="array" ref="N750">SUM(IF((CsDJ[JEV Number]=TRIM($T721))*(CsDJ[Account Code]=TRIM(K750)),CsDJ[Debit]))</f>
        <v>0</v>
      </c>
      <c r="O750" s="89">
        <f t="array" ref="O750">SUM(IF((CsDJ[JEV Number]=TRIM($T721))*(CsDJ[Account Code]=TRIM(K750)),CsDJ[Credit]))</f>
        <v>0</v>
      </c>
      <c r="P750" s="1040">
        <f t="shared" si="62"/>
        <v>0</v>
      </c>
      <c r="Q750" s="1040"/>
      <c r="R750" s="1040"/>
      <c r="S750" s="1040">
        <f t="shared" si="63"/>
        <v>0</v>
      </c>
      <c r="T750" s="1040"/>
      <c r="U750" s="1040"/>
      <c r="V750" s="1041"/>
    </row>
    <row r="751" spans="1:22" x14ac:dyDescent="0.25">
      <c r="A751" s="1038"/>
      <c r="B751" s="1039"/>
      <c r="C751" s="1039"/>
      <c r="D751" s="1039"/>
      <c r="E751" s="1045" t="str">
        <f t="shared" si="60"/>
        <v/>
      </c>
      <c r="F751" s="1046"/>
      <c r="G751" s="1046"/>
      <c r="H751" s="1046"/>
      <c r="I751" s="1046"/>
      <c r="J751" s="1047"/>
      <c r="K751" s="134"/>
      <c r="L751" s="62" t="str">
        <f t="shared" si="61"/>
        <v/>
      </c>
      <c r="M751" s="14"/>
      <c r="N751" s="89">
        <f t="array" ref="N751">SUM(IF((CsDJ[JEV Number]=TRIM($T721))*(CsDJ[Account Code]=TRIM(K751)),CsDJ[Debit]))</f>
        <v>0</v>
      </c>
      <c r="O751" s="89">
        <f t="array" ref="O751">SUM(IF((CsDJ[JEV Number]=TRIM($T721))*(CsDJ[Account Code]=TRIM(K751)),CsDJ[Credit]))</f>
        <v>0</v>
      </c>
      <c r="P751" s="1040">
        <f t="shared" si="62"/>
        <v>0</v>
      </c>
      <c r="Q751" s="1040"/>
      <c r="R751" s="1040"/>
      <c r="S751" s="1040">
        <f t="shared" si="63"/>
        <v>0</v>
      </c>
      <c r="T751" s="1040"/>
      <c r="U751" s="1040"/>
      <c r="V751" s="1041"/>
    </row>
    <row r="752" spans="1:22" x14ac:dyDescent="0.25">
      <c r="A752" s="1038"/>
      <c r="B752" s="1039"/>
      <c r="C752" s="1039"/>
      <c r="D752" s="1039"/>
      <c r="E752" s="1045" t="str">
        <f t="shared" si="60"/>
        <v/>
      </c>
      <c r="F752" s="1046"/>
      <c r="G752" s="1046"/>
      <c r="H752" s="1046"/>
      <c r="I752" s="1046"/>
      <c r="J752" s="1047"/>
      <c r="K752" s="134"/>
      <c r="L752" s="62" t="str">
        <f t="shared" si="61"/>
        <v/>
      </c>
      <c r="M752" s="14"/>
      <c r="N752" s="89">
        <f t="array" ref="N752">SUM(IF((CsDJ[JEV Number]=TRIM($T721))*(CsDJ[Account Code]=TRIM(K752)),CsDJ[Debit]))</f>
        <v>0</v>
      </c>
      <c r="O752" s="89">
        <f t="array" ref="O752">SUM(IF((CsDJ[JEV Number]=TRIM($T721))*(CsDJ[Account Code]=TRIM(K752)),CsDJ[Credit]))</f>
        <v>0</v>
      </c>
      <c r="P752" s="1040">
        <f t="shared" si="62"/>
        <v>0</v>
      </c>
      <c r="Q752" s="1040"/>
      <c r="R752" s="1040"/>
      <c r="S752" s="1040">
        <f t="shared" si="63"/>
        <v>0</v>
      </c>
      <c r="T752" s="1040"/>
      <c r="U752" s="1040"/>
      <c r="V752" s="1041"/>
    </row>
    <row r="753" spans="1:22" x14ac:dyDescent="0.25">
      <c r="A753" s="1038"/>
      <c r="B753" s="1039"/>
      <c r="C753" s="1039"/>
      <c r="D753" s="1039"/>
      <c r="E753" s="1045" t="str">
        <f t="shared" si="60"/>
        <v/>
      </c>
      <c r="F753" s="1046"/>
      <c r="G753" s="1046"/>
      <c r="H753" s="1046"/>
      <c r="I753" s="1046"/>
      <c r="J753" s="1047"/>
      <c r="K753" s="134"/>
      <c r="L753" s="62" t="str">
        <f t="shared" si="61"/>
        <v/>
      </c>
      <c r="M753" s="14"/>
      <c r="N753" s="89">
        <f t="array" ref="N753">SUM(IF((CsDJ[JEV Number]=TRIM($T721))*(CsDJ[Account Code]=TRIM(K753)),CsDJ[Debit]))</f>
        <v>0</v>
      </c>
      <c r="O753" s="89">
        <f t="array" ref="O753">SUM(IF((CsDJ[JEV Number]=TRIM($T721))*(CsDJ[Account Code]=TRIM(K753)),CsDJ[Credit]))</f>
        <v>0</v>
      </c>
      <c r="P753" s="1040">
        <f t="shared" si="62"/>
        <v>0</v>
      </c>
      <c r="Q753" s="1040"/>
      <c r="R753" s="1040"/>
      <c r="S753" s="1040">
        <f t="shared" si="63"/>
        <v>0</v>
      </c>
      <c r="T753" s="1040"/>
      <c r="U753" s="1040"/>
      <c r="V753" s="1041"/>
    </row>
    <row r="754" spans="1:22" x14ac:dyDescent="0.25">
      <c r="A754" s="1038"/>
      <c r="B754" s="1039"/>
      <c r="C754" s="1039"/>
      <c r="D754" s="1039"/>
      <c r="E754" s="1045" t="str">
        <f t="shared" si="60"/>
        <v/>
      </c>
      <c r="F754" s="1046"/>
      <c r="G754" s="1046"/>
      <c r="H754" s="1046"/>
      <c r="I754" s="1046"/>
      <c r="J754" s="1047"/>
      <c r="K754" s="134"/>
      <c r="L754" s="62" t="str">
        <f t="shared" si="61"/>
        <v/>
      </c>
      <c r="M754" s="14"/>
      <c r="N754" s="89">
        <f t="array" ref="N754">SUM(IF((CsDJ[JEV Number]=TRIM($T721))*(CsDJ[Account Code]=TRIM(K754)),CsDJ[Debit]))</f>
        <v>0</v>
      </c>
      <c r="O754" s="89">
        <f t="array" ref="O754">SUM(IF((CsDJ[JEV Number]=TRIM($T721))*(CsDJ[Account Code]=TRIM(K754)),CsDJ[Credit]))</f>
        <v>0</v>
      </c>
      <c r="P754" s="1040">
        <f t="shared" si="62"/>
        <v>0</v>
      </c>
      <c r="Q754" s="1040"/>
      <c r="R754" s="1040"/>
      <c r="S754" s="1040">
        <f t="shared" si="63"/>
        <v>0</v>
      </c>
      <c r="T754" s="1040"/>
      <c r="U754" s="1040"/>
      <c r="V754" s="1041"/>
    </row>
    <row r="755" spans="1:22" x14ac:dyDescent="0.25">
      <c r="A755" s="1038"/>
      <c r="B755" s="1039"/>
      <c r="C755" s="1039"/>
      <c r="D755" s="1039"/>
      <c r="E755" s="1108" t="s">
        <v>468</v>
      </c>
      <c r="F755" s="1109"/>
      <c r="G755" s="1109"/>
      <c r="H755" s="1109"/>
      <c r="I755" s="1109"/>
      <c r="J755" s="1110"/>
      <c r="K755" s="133"/>
      <c r="L755" s="62" t="str">
        <f t="shared" si="61"/>
        <v/>
      </c>
      <c r="M755" s="14"/>
      <c r="N755" s="89">
        <f t="array" ref="N755">SUM(IF((CsDJ[JEV Number]=TRIM($T721))*(CsDJ[Account Code]=TRIM(K755)),CsDJ[Debit]))</f>
        <v>0</v>
      </c>
      <c r="O755" s="89">
        <f t="array" ref="O755">SUM(IF((CsDJ[JEV Number]=TRIM($T721))*(CsDJ[Account Code]=TRIM(K755)),CsDJ[Credit]))</f>
        <v>0</v>
      </c>
      <c r="P755" s="1040">
        <f t="shared" si="62"/>
        <v>0</v>
      </c>
      <c r="Q755" s="1040"/>
      <c r="R755" s="1040"/>
      <c r="S755" s="1040">
        <f t="shared" si="63"/>
        <v>0</v>
      </c>
      <c r="T755" s="1040"/>
      <c r="U755" s="1040"/>
      <c r="V755" s="1041"/>
    </row>
    <row r="756" spans="1:22" x14ac:dyDescent="0.25">
      <c r="A756" s="1038"/>
      <c r="B756" s="1039"/>
      <c r="C756" s="1039"/>
      <c r="D756" s="1039"/>
      <c r="E756" s="1048" t="s">
        <v>457</v>
      </c>
      <c r="F756" s="1049"/>
      <c r="G756" s="1049"/>
      <c r="H756" s="1049"/>
      <c r="I756" s="1051">
        <f>T722</f>
        <v>0</v>
      </c>
      <c r="J756" s="1052"/>
      <c r="K756" s="133"/>
      <c r="L756" s="62" t="str">
        <f t="shared" si="61"/>
        <v/>
      </c>
      <c r="M756" s="14"/>
      <c r="N756" s="89">
        <f t="array" ref="N756">SUM(IF((CsDJ[JEV Number]=TRIM($T721))*(CsDJ[Account Code]=TRIM(K756)),CsDJ[Debit]))</f>
        <v>0</v>
      </c>
      <c r="O756" s="89">
        <f t="array" ref="O756">SUM(IF((CsDJ[JEV Number]=TRIM($T721))*(CsDJ[Account Code]=TRIM(K756)),CsDJ[Credit]))</f>
        <v>0</v>
      </c>
      <c r="P756" s="1040">
        <f t="shared" si="62"/>
        <v>0</v>
      </c>
      <c r="Q756" s="1040"/>
      <c r="R756" s="1040"/>
      <c r="S756" s="1040">
        <f t="shared" si="63"/>
        <v>0</v>
      </c>
      <c r="T756" s="1040"/>
      <c r="U756" s="1040"/>
      <c r="V756" s="1041"/>
    </row>
    <row r="757" spans="1:22" x14ac:dyDescent="0.25">
      <c r="A757" s="1038"/>
      <c r="B757" s="1039"/>
      <c r="C757" s="1039"/>
      <c r="D757" s="1039"/>
      <c r="E757" s="1048" t="s">
        <v>458</v>
      </c>
      <c r="F757" s="1049"/>
      <c r="G757" s="1049"/>
      <c r="H757" s="1049"/>
      <c r="I757" s="1106">
        <f>IF(T721=0,0,(IF(LOOKUP(T721,CsDJ[JEV Number],CsDJ[Sort Code])="1","MA. VIVIAN C. SALAS",IF(LOOKUP(T721,CsDJ[JEV Number],CsDJ[Sort Code])="2","LUZ R. DE COZAR",IF(LOOKUP(T721,CsDJ[JEV Number],CsDJ[Sort Code])="3","MINEONETTE A. DELA CRUZ",IF(LOOKUP(T721,CsDJ[JEV Number],CsDJ[Sort Code])="4","RESELLA B. LOPEZ"))))))</f>
        <v>0</v>
      </c>
      <c r="J757" s="1107"/>
      <c r="K757" s="133"/>
      <c r="L757" s="62" t="str">
        <f t="shared" si="61"/>
        <v/>
      </c>
      <c r="M757" s="14"/>
      <c r="N757" s="89">
        <f t="array" ref="N757">SUM(IF((CsDJ[JEV Number]=TRIM($T721))*(CsDJ[Account Code]=TRIM(K757)),CsDJ[Debit]))</f>
        <v>0</v>
      </c>
      <c r="O757" s="89">
        <f t="array" ref="O757">SUM(IF((CsDJ[JEV Number]=TRIM($T721))*(CsDJ[Account Code]=TRIM(K757)),CsDJ[Credit]))</f>
        <v>0</v>
      </c>
      <c r="P757" s="1040">
        <f t="shared" si="62"/>
        <v>0</v>
      </c>
      <c r="Q757" s="1040"/>
      <c r="R757" s="1040"/>
      <c r="S757" s="1040">
        <f t="shared" si="63"/>
        <v>0</v>
      </c>
      <c r="T757" s="1040"/>
      <c r="U757" s="1040"/>
      <c r="V757" s="1041"/>
    </row>
    <row r="758" spans="1:22" x14ac:dyDescent="0.25">
      <c r="A758" s="1038"/>
      <c r="B758" s="1039"/>
      <c r="C758" s="1039"/>
      <c r="D758" s="1039"/>
      <c r="E758" s="1048" t="s">
        <v>459</v>
      </c>
      <c r="F758" s="1049"/>
      <c r="G758" s="1049"/>
      <c r="H758" s="1049"/>
      <c r="I758" s="1043">
        <f>IF(I757="Ma. Vivian C. Salas","Regional Office", IF(I757="Luz R. De Cozar","BANE IMO", IF(I757="Mineonette A. Dela Cruz","PAMBAT IMO", IF(I757="Resella B. Lopez","TARZAM IMO",0))))</f>
        <v>0</v>
      </c>
      <c r="J758" s="1044"/>
      <c r="K758" s="133"/>
      <c r="L758" s="62" t="str">
        <f t="shared" si="61"/>
        <v/>
      </c>
      <c r="M758" s="14"/>
      <c r="N758" s="89">
        <f t="array" ref="N758">SUM(IF((CsDJ[JEV Number]=TRIM($T721))*(CsDJ[Account Code]=TRIM(K758)),CsDJ[Debit]))</f>
        <v>0</v>
      </c>
      <c r="O758" s="89">
        <f t="array" ref="O758">SUM(IF((CsDJ[JEV Number]=TRIM($T721))*(CsDJ[Account Code]=TRIM(K758)),CsDJ[Credit]))</f>
        <v>0</v>
      </c>
      <c r="P758" s="1040">
        <f t="shared" si="62"/>
        <v>0</v>
      </c>
      <c r="Q758" s="1040"/>
      <c r="R758" s="1040"/>
      <c r="S758" s="1040">
        <f t="shared" si="63"/>
        <v>0</v>
      </c>
      <c r="T758" s="1040"/>
      <c r="U758" s="1040"/>
      <c r="V758" s="1041"/>
    </row>
    <row r="759" spans="1:22" x14ac:dyDescent="0.25">
      <c r="A759" s="1038"/>
      <c r="B759" s="1039"/>
      <c r="C759" s="1039"/>
      <c r="D759" s="1039"/>
      <c r="E759" s="1048"/>
      <c r="F759" s="1049"/>
      <c r="G759" s="1049"/>
      <c r="H759" s="1049"/>
      <c r="I759" s="1049"/>
      <c r="J759" s="1050"/>
      <c r="K759" s="133"/>
      <c r="L759" s="62" t="str">
        <f t="shared" si="61"/>
        <v/>
      </c>
      <c r="M759" s="14"/>
      <c r="N759" s="89">
        <f t="array" ref="N759">SUM(IF((CsDJ[JEV Number]=TRIM($T721))*(CsDJ[Account Code]=TRIM(K759)),CsDJ[Debit]))</f>
        <v>0</v>
      </c>
      <c r="O759" s="89">
        <f t="array" ref="O759">SUM(IF((CsDJ[JEV Number]=TRIM($T721))*(CsDJ[Account Code]=TRIM(K759)),CsDJ[Credit]))</f>
        <v>0</v>
      </c>
      <c r="P759" s="1040">
        <f t="shared" si="62"/>
        <v>0</v>
      </c>
      <c r="Q759" s="1040"/>
      <c r="R759" s="1040"/>
      <c r="S759" s="1040">
        <f t="shared" si="63"/>
        <v>0</v>
      </c>
      <c r="T759" s="1040"/>
      <c r="U759" s="1040"/>
      <c r="V759" s="1041"/>
    </row>
    <row r="760" spans="1:22" ht="16.5" thickBot="1" x14ac:dyDescent="0.3">
      <c r="A760" s="1091"/>
      <c r="B760" s="1092"/>
      <c r="C760" s="1092"/>
      <c r="D760" s="1092"/>
      <c r="E760" s="1092"/>
      <c r="F760" s="1092"/>
      <c r="G760" s="1092"/>
      <c r="H760" s="1092"/>
      <c r="I760" s="1092"/>
      <c r="J760" s="1092"/>
      <c r="K760" s="1092"/>
      <c r="L760" s="1092"/>
      <c r="M760" s="1093"/>
      <c r="N760" s="88"/>
      <c r="O760" s="88"/>
      <c r="P760" s="1094">
        <f>SUM(P730:R759)</f>
        <v>0</v>
      </c>
      <c r="Q760" s="1094"/>
      <c r="R760" s="1094"/>
      <c r="S760" s="1094">
        <f>SUM(S730:V759)</f>
        <v>0</v>
      </c>
      <c r="T760" s="1094"/>
      <c r="U760" s="1094"/>
      <c r="V760" s="1095"/>
    </row>
    <row r="761" spans="1:22" x14ac:dyDescent="0.25">
      <c r="A761" s="63"/>
      <c r="B761" s="64"/>
      <c r="C761" s="64"/>
      <c r="D761" s="64"/>
      <c r="E761" s="64"/>
      <c r="F761" s="64"/>
      <c r="G761" s="64"/>
      <c r="H761" s="64"/>
      <c r="I761" s="65"/>
      <c r="J761" s="64"/>
      <c r="K761" s="66"/>
      <c r="L761" s="64"/>
      <c r="M761" s="65"/>
      <c r="N761" s="64"/>
      <c r="O761" s="64"/>
      <c r="P761" s="1090"/>
      <c r="Q761" s="1090"/>
      <c r="R761" s="1090"/>
      <c r="S761" s="1090"/>
      <c r="T761" s="1090"/>
      <c r="U761" s="1090"/>
      <c r="V761" s="1096"/>
    </row>
    <row r="762" spans="1:22" x14ac:dyDescent="0.25">
      <c r="A762" s="67" t="s">
        <v>460</v>
      </c>
      <c r="B762"/>
      <c r="C762"/>
      <c r="D762"/>
      <c r="E762"/>
      <c r="F762"/>
      <c r="G762"/>
      <c r="H762"/>
      <c r="I762" s="68" t="s">
        <v>353</v>
      </c>
      <c r="J762" s="69"/>
      <c r="K762" s="69"/>
      <c r="L762"/>
      <c r="M762" s="68" t="s">
        <v>461</v>
      </c>
      <c r="N762" s="69"/>
      <c r="O762" s="69"/>
      <c r="P762" s="70"/>
      <c r="Q762" s="70"/>
      <c r="R762" s="70"/>
      <c r="S762" s="70"/>
      <c r="T762" s="70"/>
      <c r="U762" s="70"/>
      <c r="V762" s="71"/>
    </row>
    <row r="763" spans="1:22" x14ac:dyDescent="0.25">
      <c r="A763" s="37"/>
      <c r="B763"/>
      <c r="C763"/>
      <c r="D763"/>
      <c r="E763"/>
      <c r="F763"/>
      <c r="G763"/>
      <c r="H763"/>
      <c r="I763" s="72"/>
      <c r="J763"/>
      <c r="K763"/>
      <c r="L763"/>
      <c r="M763" s="72"/>
      <c r="N763"/>
      <c r="O763"/>
      <c r="P763"/>
      <c r="Q763"/>
      <c r="R763"/>
      <c r="S763"/>
      <c r="T763"/>
      <c r="U763"/>
      <c r="V763" s="73"/>
    </row>
    <row r="764" spans="1:22" x14ac:dyDescent="0.25">
      <c r="A764" s="74" t="s">
        <v>462</v>
      </c>
      <c r="B764" s="75"/>
      <c r="C764" s="75"/>
      <c r="D764" s="75"/>
      <c r="E764" s="75"/>
      <c r="F764" s="75"/>
      <c r="G764" s="75"/>
      <c r="H764" s="76"/>
      <c r="I764" s="77" t="s">
        <v>380</v>
      </c>
      <c r="J764" s="75"/>
      <c r="K764" s="75"/>
      <c r="L764" s="76"/>
      <c r="M764" s="77" t="s">
        <v>3</v>
      </c>
      <c r="N764" s="75"/>
      <c r="O764" s="75"/>
      <c r="P764" s="75"/>
      <c r="Q764" s="75"/>
      <c r="R764" s="75"/>
      <c r="S764" s="75"/>
      <c r="T764" s="75"/>
      <c r="U764" s="75"/>
      <c r="V764" s="78"/>
    </row>
    <row r="765" spans="1:22" x14ac:dyDescent="0.25">
      <c r="A765" s="79" t="s">
        <v>463</v>
      </c>
      <c r="B765" s="80"/>
      <c r="C765" s="80"/>
      <c r="D765" s="80"/>
      <c r="E765" s="80"/>
      <c r="F765" s="80"/>
      <c r="G765" s="80"/>
      <c r="H765" s="80"/>
      <c r="I765" s="81" t="s">
        <v>381</v>
      </c>
      <c r="J765" s="80"/>
      <c r="K765" s="80"/>
      <c r="L765" s="80"/>
      <c r="M765" s="81" t="s">
        <v>464</v>
      </c>
      <c r="N765" s="80"/>
      <c r="O765" s="80"/>
      <c r="P765" s="82"/>
      <c r="Q765" s="82"/>
      <c r="R765" s="82"/>
      <c r="S765" s="82"/>
      <c r="T765" s="82"/>
      <c r="U765" s="82"/>
      <c r="V765" s="83"/>
    </row>
    <row r="766" spans="1:22" ht="16.5" thickBot="1" x14ac:dyDescent="0.3">
      <c r="A766" s="84" t="s">
        <v>465</v>
      </c>
      <c r="B766" s="43"/>
      <c r="C766" s="43"/>
      <c r="D766" s="43"/>
      <c r="E766" s="43"/>
      <c r="F766" s="43"/>
      <c r="G766" s="43"/>
      <c r="H766" s="43"/>
      <c r="I766" s="85"/>
      <c r="J766" s="43"/>
      <c r="K766" s="43"/>
      <c r="L766" s="43"/>
      <c r="M766" s="85"/>
      <c r="N766" s="43"/>
      <c r="O766" s="43"/>
      <c r="P766" s="43"/>
      <c r="Q766" s="43"/>
      <c r="R766" s="43"/>
      <c r="S766" s="43"/>
      <c r="T766" s="43"/>
      <c r="U766" s="43"/>
      <c r="V766" s="44"/>
    </row>
    <row r="767" spans="1:22" ht="22.5" x14ac:dyDescent="0.25">
      <c r="A767" s="31" t="s">
        <v>441</v>
      </c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3"/>
      <c r="R767" s="1053">
        <f>+P807-S807</f>
        <v>0</v>
      </c>
      <c r="S767" s="1054"/>
      <c r="T767" s="1054"/>
      <c r="U767" s="1054"/>
      <c r="V767" s="1055"/>
    </row>
    <row r="768" spans="1:22" x14ac:dyDescent="0.25">
      <c r="A768" s="34" t="s">
        <v>442</v>
      </c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6"/>
      <c r="R768" s="37" t="s">
        <v>443</v>
      </c>
      <c r="S768"/>
      <c r="T768" s="1056"/>
      <c r="U768" s="1056"/>
      <c r="V768" s="1057"/>
    </row>
    <row r="769" spans="1:22" x14ac:dyDescent="0.25">
      <c r="A769" s="38" t="s">
        <v>444</v>
      </c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6"/>
      <c r="R769" s="37" t="s">
        <v>0</v>
      </c>
      <c r="S769"/>
      <c r="T769" s="1058">
        <f>IF(T768=0,0,(LOOKUP(T768,CsDJ[JEV Number],CsDJ[Date])))</f>
        <v>0</v>
      </c>
      <c r="U769" s="1058"/>
      <c r="V769" s="1059"/>
    </row>
    <row r="770" spans="1:22" ht="16.5" thickBot="1" x14ac:dyDescent="0.3">
      <c r="A770" s="39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1"/>
      <c r="R770" s="42"/>
      <c r="S770" s="43"/>
      <c r="T770" s="43"/>
      <c r="U770" s="43"/>
      <c r="V770" s="44"/>
    </row>
    <row r="771" spans="1:22" x14ac:dyDescent="0.25">
      <c r="A771" s="45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7"/>
      <c r="M771" s="46"/>
      <c r="N771" s="46"/>
      <c r="O771" s="46"/>
      <c r="P771" s="46"/>
      <c r="Q771" s="46"/>
      <c r="R771" s="46"/>
      <c r="S771" s="46"/>
      <c r="T771" s="46"/>
      <c r="U771" s="46"/>
      <c r="V771" s="48"/>
    </row>
    <row r="772" spans="1:22" x14ac:dyDescent="0.25">
      <c r="A772" s="49"/>
      <c r="B772" s="1060"/>
      <c r="C772" s="1060"/>
      <c r="D772" s="50" t="s">
        <v>445</v>
      </c>
      <c r="H772" s="51"/>
      <c r="I772" s="25" t="s">
        <v>447</v>
      </c>
      <c r="J772" s="132" t="s">
        <v>446</v>
      </c>
      <c r="K772" s="52" t="s">
        <v>448</v>
      </c>
      <c r="L772" s="52"/>
      <c r="Q772" s="1060"/>
      <c r="R772" s="1060"/>
      <c r="S772" s="50" t="s">
        <v>449</v>
      </c>
      <c r="T772" s="50"/>
      <c r="U772" s="50"/>
      <c r="V772" s="53"/>
    </row>
    <row r="773" spans="1:22" ht="16.5" thickBot="1" x14ac:dyDescent="0.3">
      <c r="A773" s="54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6"/>
      <c r="M773" s="55"/>
      <c r="N773" s="55"/>
      <c r="O773" s="55"/>
      <c r="P773" s="55"/>
      <c r="Q773" s="55"/>
      <c r="R773" s="55"/>
      <c r="S773" s="55"/>
      <c r="T773" s="55"/>
      <c r="U773" s="55"/>
      <c r="V773" s="57"/>
    </row>
    <row r="774" spans="1:22" x14ac:dyDescent="0.25">
      <c r="A774" s="1061" t="s">
        <v>397</v>
      </c>
      <c r="B774" s="1062"/>
      <c r="C774" s="1062"/>
      <c r="D774" s="1063"/>
      <c r="E774" s="1070" t="s">
        <v>450</v>
      </c>
      <c r="F774" s="1070"/>
      <c r="G774" s="1070"/>
      <c r="H774" s="1070"/>
      <c r="I774" s="1070"/>
      <c r="J774" s="1070"/>
      <c r="K774" s="1070"/>
      <c r="L774" s="1070"/>
      <c r="M774" s="1070"/>
      <c r="N774" s="1070"/>
      <c r="O774" s="1070"/>
      <c r="P774" s="1070"/>
      <c r="Q774" s="1070"/>
      <c r="R774" s="1070"/>
      <c r="S774" s="1070"/>
      <c r="T774" s="1070"/>
      <c r="U774" s="1070"/>
      <c r="V774" s="1071"/>
    </row>
    <row r="775" spans="1:22" x14ac:dyDescent="0.25">
      <c r="A775" s="1064"/>
      <c r="B775" s="1065"/>
      <c r="C775" s="1065"/>
      <c r="D775" s="1066"/>
      <c r="E775" s="1072" t="s">
        <v>451</v>
      </c>
      <c r="F775" s="1072"/>
      <c r="G775" s="1072"/>
      <c r="H775" s="1072"/>
      <c r="I775" s="1072"/>
      <c r="J775" s="1072"/>
      <c r="K775" s="1074" t="s">
        <v>378</v>
      </c>
      <c r="L775" s="1074"/>
      <c r="M775" s="1072" t="s">
        <v>452</v>
      </c>
      <c r="N775" s="1075" t="s">
        <v>453</v>
      </c>
      <c r="O775" s="1076"/>
      <c r="P775" s="1076"/>
      <c r="Q775" s="1076"/>
      <c r="R775" s="1076"/>
      <c r="S775" s="1076"/>
      <c r="T775" s="1076"/>
      <c r="U775" s="1076"/>
      <c r="V775" s="1077"/>
    </row>
    <row r="776" spans="1:22" ht="16.5" customHeight="1" thickBot="1" x14ac:dyDescent="0.3">
      <c r="A776" s="1067"/>
      <c r="B776" s="1068"/>
      <c r="C776" s="1068"/>
      <c r="D776" s="1069"/>
      <c r="E776" s="1073"/>
      <c r="F776" s="1073"/>
      <c r="G776" s="1073"/>
      <c r="H776" s="1073"/>
      <c r="I776" s="1073"/>
      <c r="J776" s="1073"/>
      <c r="K776" s="58" t="s">
        <v>454</v>
      </c>
      <c r="L776" s="58" t="s">
        <v>455</v>
      </c>
      <c r="M776" s="1073"/>
      <c r="N776" s="87" t="s">
        <v>466</v>
      </c>
      <c r="O776" s="87" t="s">
        <v>467</v>
      </c>
      <c r="P776" s="1078" t="s">
        <v>1</v>
      </c>
      <c r="Q776" s="1079"/>
      <c r="R776" s="1080"/>
      <c r="S776" s="1078" t="s">
        <v>2</v>
      </c>
      <c r="T776" s="1079"/>
      <c r="U776" s="1079"/>
      <c r="V776" s="1081"/>
    </row>
    <row r="777" spans="1:22" ht="19.5" x14ac:dyDescent="0.3">
      <c r="A777" s="1082">
        <f>P807-S807</f>
        <v>0</v>
      </c>
      <c r="B777" s="1083"/>
      <c r="C777" s="1083"/>
      <c r="D777" s="1083"/>
      <c r="E777" s="1084" t="str">
        <f>Account!$G$1</f>
        <v>FUND 501 CARP</v>
      </c>
      <c r="F777" s="1085"/>
      <c r="G777" s="1085"/>
      <c r="H777" s="1085"/>
      <c r="I777" s="1085"/>
      <c r="J777" s="1086"/>
      <c r="K777" s="59"/>
      <c r="L777" s="59"/>
      <c r="M777" s="60"/>
      <c r="N777" s="60"/>
      <c r="O777" s="60"/>
      <c r="P777" s="1087"/>
      <c r="Q777" s="1087"/>
      <c r="R777" s="1087"/>
      <c r="S777" s="1087"/>
      <c r="T777" s="1087"/>
      <c r="U777" s="1087"/>
      <c r="V777" s="1088"/>
    </row>
    <row r="778" spans="1:22" x14ac:dyDescent="0.25">
      <c r="A778" s="1038"/>
      <c r="B778" s="1039"/>
      <c r="C778" s="1039"/>
      <c r="D778" s="1039"/>
      <c r="E778" s="1039"/>
      <c r="F778" s="1039"/>
      <c r="G778" s="1039"/>
      <c r="H778" s="1039"/>
      <c r="I778" s="1039"/>
      <c r="J778" s="1039"/>
      <c r="K778" s="61"/>
      <c r="L778" s="61"/>
      <c r="M778" s="14"/>
      <c r="N778" s="14"/>
      <c r="O778" s="14"/>
      <c r="P778" s="1039"/>
      <c r="Q778" s="1039"/>
      <c r="R778" s="1039"/>
      <c r="S778" s="1039"/>
      <c r="T778" s="1039"/>
      <c r="U778" s="1039"/>
      <c r="V778" s="1089"/>
    </row>
    <row r="779" spans="1:22" x14ac:dyDescent="0.25">
      <c r="A779" s="1038"/>
      <c r="B779" s="1039"/>
      <c r="C779" s="1039"/>
      <c r="D779" s="1039"/>
      <c r="E779" s="1045" t="str">
        <f t="shared" ref="E779:E801" si="64">IF(K779=0,"",(VLOOKUP((TRIM(K779)),Code,2,)))</f>
        <v/>
      </c>
      <c r="F779" s="1046"/>
      <c r="G779" s="1046"/>
      <c r="H779" s="1046"/>
      <c r="I779" s="1046"/>
      <c r="J779" s="1047"/>
      <c r="K779" s="133"/>
      <c r="L779" s="62" t="str">
        <f t="shared" ref="L779:L806" si="65">IF(K779=0,"",VLOOKUP((TRIM(K779)),Code,3,))</f>
        <v/>
      </c>
      <c r="M779" s="14"/>
      <c r="N779" s="89">
        <f t="array" ref="N779">SUM(IF((CsDJ[JEV Number]=TRIM($T768))*(CsDJ[Account Code]=TRIM(K779)),CsDJ[Debit]))</f>
        <v>0</v>
      </c>
      <c r="O779" s="89">
        <f t="array" ref="O779">SUM(IF((CsDJ[JEV Number]=TRIM($T768))*(CsDJ[Account Code]=TRIM(K779)),CsDJ[Credit]))</f>
        <v>0</v>
      </c>
      <c r="P779" s="1040">
        <f>N779</f>
        <v>0</v>
      </c>
      <c r="Q779" s="1040"/>
      <c r="R779" s="1040"/>
      <c r="S779" s="1040">
        <f>O779</f>
        <v>0</v>
      </c>
      <c r="T779" s="1040"/>
      <c r="U779" s="1040"/>
      <c r="V779" s="1041"/>
    </row>
    <row r="780" spans="1:22" x14ac:dyDescent="0.25">
      <c r="A780" s="1038"/>
      <c r="B780" s="1039"/>
      <c r="C780" s="1039"/>
      <c r="D780" s="1039"/>
      <c r="E780" s="1045" t="str">
        <f t="shared" si="64"/>
        <v/>
      </c>
      <c r="F780" s="1046"/>
      <c r="G780" s="1046"/>
      <c r="H780" s="1046"/>
      <c r="I780" s="1046"/>
      <c r="J780" s="1047"/>
      <c r="K780" s="133"/>
      <c r="L780" s="62" t="str">
        <f t="shared" si="65"/>
        <v/>
      </c>
      <c r="M780" s="14"/>
      <c r="N780" s="89">
        <f t="array" ref="N780">SUM(IF((CsDJ[JEV Number]=TRIM($T768))*(CsDJ[Account Code]=TRIM(K780)),CsDJ[Debit]))</f>
        <v>0</v>
      </c>
      <c r="O780" s="89">
        <f t="array" ref="O780">SUM(IF((CsDJ[JEV Number]=TRIM($T768))*(CsDJ[Account Code]=TRIM(K780)),CsDJ[Credit]))</f>
        <v>0</v>
      </c>
      <c r="P780" s="1040">
        <f>N780</f>
        <v>0</v>
      </c>
      <c r="Q780" s="1040"/>
      <c r="R780" s="1040"/>
      <c r="S780" s="1040">
        <f>O780</f>
        <v>0</v>
      </c>
      <c r="T780" s="1040"/>
      <c r="U780" s="1040"/>
      <c r="V780" s="1041"/>
    </row>
    <row r="781" spans="1:22" x14ac:dyDescent="0.25">
      <c r="A781" s="1038"/>
      <c r="B781" s="1039"/>
      <c r="C781" s="1039"/>
      <c r="D781" s="1039"/>
      <c r="E781" s="1045" t="str">
        <f t="shared" si="64"/>
        <v/>
      </c>
      <c r="F781" s="1046"/>
      <c r="G781" s="1046"/>
      <c r="H781" s="1046"/>
      <c r="I781" s="1046"/>
      <c r="J781" s="1047"/>
      <c r="K781" s="133"/>
      <c r="L781" s="62" t="str">
        <f t="shared" si="65"/>
        <v/>
      </c>
      <c r="M781" s="14"/>
      <c r="N781" s="89">
        <f t="array" ref="N781">SUM(IF((CsDJ[JEV Number]=TRIM($T768))*(CsDJ[Account Code]=TRIM(K781)),CsDJ[Debit]))</f>
        <v>0</v>
      </c>
      <c r="O781" s="89">
        <f t="array" ref="O781">SUM(IF((CsDJ[JEV Number]=TRIM($T768))*(CsDJ[Account Code]=TRIM(K781)),CsDJ[Credit]))</f>
        <v>0</v>
      </c>
      <c r="P781" s="1040">
        <f t="shared" ref="P781:P806" si="66">N781</f>
        <v>0</v>
      </c>
      <c r="Q781" s="1040"/>
      <c r="R781" s="1040"/>
      <c r="S781" s="1040">
        <f t="shared" ref="S781:S806" si="67">O781</f>
        <v>0</v>
      </c>
      <c r="T781" s="1040"/>
      <c r="U781" s="1040"/>
      <c r="V781" s="1041"/>
    </row>
    <row r="782" spans="1:22" x14ac:dyDescent="0.25">
      <c r="A782" s="1038"/>
      <c r="B782" s="1039"/>
      <c r="C782" s="1039"/>
      <c r="D782" s="1039"/>
      <c r="E782" s="1045" t="str">
        <f t="shared" si="64"/>
        <v/>
      </c>
      <c r="F782" s="1046"/>
      <c r="G782" s="1046"/>
      <c r="H782" s="1046"/>
      <c r="I782" s="1046"/>
      <c r="J782" s="1047"/>
      <c r="K782" s="133"/>
      <c r="L782" s="62" t="str">
        <f t="shared" si="65"/>
        <v/>
      </c>
      <c r="M782" s="14"/>
      <c r="N782" s="89">
        <f t="array" ref="N782">SUM(IF((CsDJ[JEV Number]=TRIM($T768))*(CsDJ[Account Code]=TRIM(K782)),CsDJ[Debit]))</f>
        <v>0</v>
      </c>
      <c r="O782" s="89">
        <f t="array" ref="O782">SUM(IF((CsDJ[JEV Number]=TRIM($T768))*(CsDJ[Account Code]=TRIM(K782)),CsDJ[Credit]))</f>
        <v>0</v>
      </c>
      <c r="P782" s="1040">
        <f t="shared" si="66"/>
        <v>0</v>
      </c>
      <c r="Q782" s="1040"/>
      <c r="R782" s="1040"/>
      <c r="S782" s="1040">
        <f t="shared" si="67"/>
        <v>0</v>
      </c>
      <c r="T782" s="1040"/>
      <c r="U782" s="1040"/>
      <c r="V782" s="1041"/>
    </row>
    <row r="783" spans="1:22" x14ac:dyDescent="0.25">
      <c r="A783" s="1038"/>
      <c r="B783" s="1039"/>
      <c r="C783" s="1039"/>
      <c r="D783" s="1039"/>
      <c r="E783" s="1045" t="str">
        <f t="shared" si="64"/>
        <v/>
      </c>
      <c r="F783" s="1046"/>
      <c r="G783" s="1046"/>
      <c r="H783" s="1046"/>
      <c r="I783" s="1046"/>
      <c r="J783" s="1047"/>
      <c r="K783" s="133"/>
      <c r="L783" s="62" t="str">
        <f t="shared" si="65"/>
        <v/>
      </c>
      <c r="M783" s="14"/>
      <c r="N783" s="89">
        <f t="array" ref="N783">SUM(IF((CsDJ[JEV Number]=TRIM($T768))*(CsDJ[Account Code]=TRIM(K783)),CsDJ[Debit]))</f>
        <v>0</v>
      </c>
      <c r="O783" s="89">
        <f t="array" ref="O783">SUM(IF((CsDJ[JEV Number]=TRIM($T768))*(CsDJ[Account Code]=TRIM(K783)),CsDJ[Credit]))</f>
        <v>0</v>
      </c>
      <c r="P783" s="1040">
        <f t="shared" si="66"/>
        <v>0</v>
      </c>
      <c r="Q783" s="1040"/>
      <c r="R783" s="1040"/>
      <c r="S783" s="1040">
        <f t="shared" si="67"/>
        <v>0</v>
      </c>
      <c r="T783" s="1040"/>
      <c r="U783" s="1040"/>
      <c r="V783" s="1041"/>
    </row>
    <row r="784" spans="1:22" x14ac:dyDescent="0.25">
      <c r="A784" s="1038"/>
      <c r="B784" s="1039"/>
      <c r="C784" s="1039"/>
      <c r="D784" s="1039"/>
      <c r="E784" s="1045" t="str">
        <f t="shared" si="64"/>
        <v/>
      </c>
      <c r="F784" s="1046"/>
      <c r="G784" s="1046"/>
      <c r="H784" s="1046"/>
      <c r="I784" s="1046"/>
      <c r="J784" s="1047"/>
      <c r="K784" s="133"/>
      <c r="L784" s="62" t="str">
        <f t="shared" si="65"/>
        <v/>
      </c>
      <c r="M784" s="14"/>
      <c r="N784" s="89">
        <f t="array" ref="N784">SUM(IF((CsDJ[JEV Number]=TRIM($T768))*(CsDJ[Account Code]=TRIM(K784)),CsDJ[Debit]))</f>
        <v>0</v>
      </c>
      <c r="O784" s="89">
        <f t="array" ref="O784">SUM(IF((CsDJ[JEV Number]=TRIM($T768))*(CsDJ[Account Code]=TRIM(K784)),CsDJ[Credit]))</f>
        <v>0</v>
      </c>
      <c r="P784" s="1040">
        <f t="shared" si="66"/>
        <v>0</v>
      </c>
      <c r="Q784" s="1040"/>
      <c r="R784" s="1040"/>
      <c r="S784" s="1040">
        <f t="shared" si="67"/>
        <v>0</v>
      </c>
      <c r="T784" s="1040"/>
      <c r="U784" s="1040"/>
      <c r="V784" s="1041"/>
    </row>
    <row r="785" spans="1:22" x14ac:dyDescent="0.25">
      <c r="A785" s="1038"/>
      <c r="B785" s="1039"/>
      <c r="C785" s="1039"/>
      <c r="D785" s="1039"/>
      <c r="E785" s="1045" t="str">
        <f t="shared" si="64"/>
        <v/>
      </c>
      <c r="F785" s="1046"/>
      <c r="G785" s="1046"/>
      <c r="H785" s="1046"/>
      <c r="I785" s="1046"/>
      <c r="J785" s="1047"/>
      <c r="K785" s="133"/>
      <c r="L785" s="62" t="str">
        <f t="shared" si="65"/>
        <v/>
      </c>
      <c r="M785" s="14"/>
      <c r="N785" s="89">
        <f t="array" ref="N785">SUM(IF((CsDJ[JEV Number]=TRIM($T768))*(CsDJ[Account Code]=TRIM(K785)),CsDJ[Debit]))</f>
        <v>0</v>
      </c>
      <c r="O785" s="89">
        <f t="array" ref="O785">SUM(IF((CsDJ[JEV Number]=TRIM($T768))*(CsDJ[Account Code]=TRIM(K785)),CsDJ[Credit]))</f>
        <v>0</v>
      </c>
      <c r="P785" s="1040">
        <f t="shared" si="66"/>
        <v>0</v>
      </c>
      <c r="Q785" s="1040"/>
      <c r="R785" s="1040"/>
      <c r="S785" s="1040">
        <f t="shared" si="67"/>
        <v>0</v>
      </c>
      <c r="T785" s="1040"/>
      <c r="U785" s="1040"/>
      <c r="V785" s="1041"/>
    </row>
    <row r="786" spans="1:22" x14ac:dyDescent="0.25">
      <c r="A786" s="1038"/>
      <c r="B786" s="1039"/>
      <c r="C786" s="1039"/>
      <c r="D786" s="1039"/>
      <c r="E786" s="1045" t="str">
        <f t="shared" si="64"/>
        <v/>
      </c>
      <c r="F786" s="1046"/>
      <c r="G786" s="1046"/>
      <c r="H786" s="1046"/>
      <c r="I786" s="1046"/>
      <c r="J786" s="1047"/>
      <c r="K786" s="133"/>
      <c r="L786" s="62" t="str">
        <f t="shared" si="65"/>
        <v/>
      </c>
      <c r="M786" s="14"/>
      <c r="N786" s="89">
        <f t="array" ref="N786">SUM(IF((CsDJ[JEV Number]=TRIM($T768))*(CsDJ[Account Code]=TRIM(K786)),CsDJ[Debit]))</f>
        <v>0</v>
      </c>
      <c r="O786" s="89">
        <f t="array" ref="O786">SUM(IF((CsDJ[JEV Number]=TRIM($T768))*(CsDJ[Account Code]=TRIM(K786)),CsDJ[Credit]))</f>
        <v>0</v>
      </c>
      <c r="P786" s="1040">
        <f t="shared" si="66"/>
        <v>0</v>
      </c>
      <c r="Q786" s="1040"/>
      <c r="R786" s="1040"/>
      <c r="S786" s="1040">
        <f t="shared" si="67"/>
        <v>0</v>
      </c>
      <c r="T786" s="1040"/>
      <c r="U786" s="1040"/>
      <c r="V786" s="1041"/>
    </row>
    <row r="787" spans="1:22" x14ac:dyDescent="0.25">
      <c r="A787" s="1038"/>
      <c r="B787" s="1039"/>
      <c r="C787" s="1039"/>
      <c r="D787" s="1039"/>
      <c r="E787" s="1045" t="str">
        <f t="shared" si="64"/>
        <v/>
      </c>
      <c r="F787" s="1046"/>
      <c r="G787" s="1046"/>
      <c r="H787" s="1046"/>
      <c r="I787" s="1046"/>
      <c r="J787" s="1047"/>
      <c r="K787" s="134"/>
      <c r="L787" s="62" t="str">
        <f t="shared" si="65"/>
        <v/>
      </c>
      <c r="M787" s="14"/>
      <c r="N787" s="89">
        <f t="array" ref="N787">SUM(IF((CsDJ[JEV Number]=TRIM($T768))*(CsDJ[Account Code]=TRIM(K787)),CsDJ[Debit]))</f>
        <v>0</v>
      </c>
      <c r="O787" s="89">
        <f t="array" ref="O787">SUM(IF((CsDJ[JEV Number]=TRIM($T768))*(CsDJ[Account Code]=TRIM(K787)),CsDJ[Credit]))</f>
        <v>0</v>
      </c>
      <c r="P787" s="1040">
        <f t="shared" si="66"/>
        <v>0</v>
      </c>
      <c r="Q787" s="1040"/>
      <c r="R787" s="1040"/>
      <c r="S787" s="1040">
        <f t="shared" si="67"/>
        <v>0</v>
      </c>
      <c r="T787" s="1040"/>
      <c r="U787" s="1040"/>
      <c r="V787" s="1041"/>
    </row>
    <row r="788" spans="1:22" x14ac:dyDescent="0.25">
      <c r="A788" s="1038"/>
      <c r="B788" s="1039"/>
      <c r="C788" s="1039"/>
      <c r="D788" s="1039"/>
      <c r="E788" s="1045" t="str">
        <f t="shared" si="64"/>
        <v/>
      </c>
      <c r="F788" s="1046"/>
      <c r="G788" s="1046"/>
      <c r="H788" s="1046"/>
      <c r="I788" s="1046"/>
      <c r="J788" s="1047"/>
      <c r="K788" s="134"/>
      <c r="L788" s="62" t="str">
        <f t="shared" si="65"/>
        <v/>
      </c>
      <c r="M788" s="14"/>
      <c r="N788" s="89">
        <f t="array" ref="N788">SUM(IF((CsDJ[JEV Number]=TRIM($T768))*(CsDJ[Account Code]=TRIM(K788)),CsDJ[Debit]))</f>
        <v>0</v>
      </c>
      <c r="O788" s="89">
        <f t="array" ref="O788">SUM(IF((CsDJ[JEV Number]=TRIM($T768))*(CsDJ[Account Code]=TRIM(K788)),CsDJ[Credit]))</f>
        <v>0</v>
      </c>
      <c r="P788" s="1040">
        <f t="shared" si="66"/>
        <v>0</v>
      </c>
      <c r="Q788" s="1040"/>
      <c r="R788" s="1040"/>
      <c r="S788" s="1040">
        <f t="shared" si="67"/>
        <v>0</v>
      </c>
      <c r="T788" s="1040"/>
      <c r="U788" s="1040"/>
      <c r="V788" s="1041"/>
    </row>
    <row r="789" spans="1:22" x14ac:dyDescent="0.25">
      <c r="A789" s="1038"/>
      <c r="B789" s="1039"/>
      <c r="C789" s="1039"/>
      <c r="D789" s="1039"/>
      <c r="E789" s="1045" t="str">
        <f t="shared" si="64"/>
        <v/>
      </c>
      <c r="F789" s="1046"/>
      <c r="G789" s="1046"/>
      <c r="H789" s="1046"/>
      <c r="I789" s="1046"/>
      <c r="J789" s="1047"/>
      <c r="K789" s="134"/>
      <c r="L789" s="62" t="str">
        <f t="shared" si="65"/>
        <v/>
      </c>
      <c r="M789" s="14"/>
      <c r="N789" s="89">
        <f t="array" ref="N789">SUM(IF((CsDJ[JEV Number]=TRIM($T768))*(CsDJ[Account Code]=TRIM(K789)),CsDJ[Debit]))</f>
        <v>0</v>
      </c>
      <c r="O789" s="89">
        <f t="array" ref="O789">SUM(IF((CsDJ[JEV Number]=TRIM($T768))*(CsDJ[Account Code]=TRIM(K789)),CsDJ[Credit]))</f>
        <v>0</v>
      </c>
      <c r="P789" s="1040">
        <f t="shared" si="66"/>
        <v>0</v>
      </c>
      <c r="Q789" s="1040"/>
      <c r="R789" s="1040"/>
      <c r="S789" s="1040">
        <f t="shared" si="67"/>
        <v>0</v>
      </c>
      <c r="T789" s="1040"/>
      <c r="U789" s="1040"/>
      <c r="V789" s="1041"/>
    </row>
    <row r="790" spans="1:22" x14ac:dyDescent="0.25">
      <c r="A790" s="1038"/>
      <c r="B790" s="1039"/>
      <c r="C790" s="1039"/>
      <c r="D790" s="1039"/>
      <c r="E790" s="1045" t="str">
        <f t="shared" si="64"/>
        <v/>
      </c>
      <c r="F790" s="1046"/>
      <c r="G790" s="1046"/>
      <c r="H790" s="1046"/>
      <c r="I790" s="1046"/>
      <c r="J790" s="1047"/>
      <c r="K790" s="134"/>
      <c r="L790" s="62" t="str">
        <f t="shared" si="65"/>
        <v/>
      </c>
      <c r="M790" s="14"/>
      <c r="N790" s="89">
        <f t="array" ref="N790">SUM(IF((CsDJ[JEV Number]=TRIM($T768))*(CsDJ[Account Code]=TRIM(K790)),CsDJ[Debit]))</f>
        <v>0</v>
      </c>
      <c r="O790" s="89">
        <f t="array" ref="O790">SUM(IF((CsDJ[JEV Number]=TRIM($T768))*(CsDJ[Account Code]=TRIM(K790)),CsDJ[Credit]))</f>
        <v>0</v>
      </c>
      <c r="P790" s="1040">
        <f t="shared" si="66"/>
        <v>0</v>
      </c>
      <c r="Q790" s="1040"/>
      <c r="R790" s="1040"/>
      <c r="S790" s="1040">
        <f t="shared" si="67"/>
        <v>0</v>
      </c>
      <c r="T790" s="1040"/>
      <c r="U790" s="1040"/>
      <c r="V790" s="1041"/>
    </row>
    <row r="791" spans="1:22" x14ac:dyDescent="0.25">
      <c r="A791" s="1038"/>
      <c r="B791" s="1039"/>
      <c r="C791" s="1039"/>
      <c r="D791" s="1039"/>
      <c r="E791" s="1045" t="str">
        <f t="shared" si="64"/>
        <v/>
      </c>
      <c r="F791" s="1046"/>
      <c r="G791" s="1046"/>
      <c r="H791" s="1046"/>
      <c r="I791" s="1046"/>
      <c r="J791" s="1047"/>
      <c r="K791" s="134"/>
      <c r="L791" s="62" t="str">
        <f t="shared" si="65"/>
        <v/>
      </c>
      <c r="M791" s="14"/>
      <c r="N791" s="89">
        <f t="array" ref="N791">SUM(IF((CsDJ[JEV Number]=TRIM($T768))*(CsDJ[Account Code]=TRIM(K791)),CsDJ[Debit]))</f>
        <v>0</v>
      </c>
      <c r="O791" s="89">
        <f t="array" ref="O791">SUM(IF((CsDJ[JEV Number]=TRIM($T768))*(CsDJ[Account Code]=TRIM(K791)),CsDJ[Credit]))</f>
        <v>0</v>
      </c>
      <c r="P791" s="1040">
        <f t="shared" si="66"/>
        <v>0</v>
      </c>
      <c r="Q791" s="1040"/>
      <c r="R791" s="1040"/>
      <c r="S791" s="1040">
        <f t="shared" si="67"/>
        <v>0</v>
      </c>
      <c r="T791" s="1040"/>
      <c r="U791" s="1040"/>
      <c r="V791" s="1041"/>
    </row>
    <row r="792" spans="1:22" x14ac:dyDescent="0.25">
      <c r="A792" s="1038"/>
      <c r="B792" s="1039"/>
      <c r="C792" s="1039"/>
      <c r="D792" s="1039"/>
      <c r="E792" s="1045" t="str">
        <f t="shared" si="64"/>
        <v/>
      </c>
      <c r="F792" s="1046"/>
      <c r="G792" s="1046"/>
      <c r="H792" s="1046"/>
      <c r="I792" s="1046"/>
      <c r="J792" s="1047"/>
      <c r="K792" s="134"/>
      <c r="L792" s="62" t="str">
        <f t="shared" si="65"/>
        <v/>
      </c>
      <c r="M792" s="14"/>
      <c r="N792" s="89">
        <f t="array" ref="N792">SUM(IF((CsDJ[JEV Number]=TRIM($T768))*(CsDJ[Account Code]=TRIM(K792)),CsDJ[Debit]))</f>
        <v>0</v>
      </c>
      <c r="O792" s="89">
        <f t="array" ref="O792">SUM(IF((CsDJ[JEV Number]=TRIM($T768))*(CsDJ[Account Code]=TRIM(K792)),CsDJ[Credit]))</f>
        <v>0</v>
      </c>
      <c r="P792" s="1040">
        <f t="shared" si="66"/>
        <v>0</v>
      </c>
      <c r="Q792" s="1040"/>
      <c r="R792" s="1040"/>
      <c r="S792" s="1040">
        <f t="shared" si="67"/>
        <v>0</v>
      </c>
      <c r="T792" s="1040"/>
      <c r="U792" s="1040"/>
      <c r="V792" s="1041"/>
    </row>
    <row r="793" spans="1:22" x14ac:dyDescent="0.25">
      <c r="A793" s="1038"/>
      <c r="B793" s="1039"/>
      <c r="C793" s="1039"/>
      <c r="D793" s="1039"/>
      <c r="E793" s="1045" t="str">
        <f t="shared" si="64"/>
        <v/>
      </c>
      <c r="F793" s="1046"/>
      <c r="G793" s="1046"/>
      <c r="H793" s="1046"/>
      <c r="I793" s="1046"/>
      <c r="J793" s="1047"/>
      <c r="K793" s="134"/>
      <c r="L793" s="62" t="str">
        <f t="shared" si="65"/>
        <v/>
      </c>
      <c r="M793" s="14"/>
      <c r="N793" s="89">
        <f t="array" ref="N793">SUM(IF((CsDJ[JEV Number]=TRIM($T768))*(CsDJ[Account Code]=TRIM(K793)),CsDJ[Debit]))</f>
        <v>0</v>
      </c>
      <c r="O793" s="89">
        <f t="array" ref="O793">SUM(IF((CsDJ[JEV Number]=TRIM($T768))*(CsDJ[Account Code]=TRIM(K793)),CsDJ[Credit]))</f>
        <v>0</v>
      </c>
      <c r="P793" s="1040">
        <f t="shared" si="66"/>
        <v>0</v>
      </c>
      <c r="Q793" s="1040"/>
      <c r="R793" s="1040"/>
      <c r="S793" s="1040">
        <f t="shared" si="67"/>
        <v>0</v>
      </c>
      <c r="T793" s="1040"/>
      <c r="U793" s="1040"/>
      <c r="V793" s="1041"/>
    </row>
    <row r="794" spans="1:22" x14ac:dyDescent="0.25">
      <c r="A794" s="1038"/>
      <c r="B794" s="1039"/>
      <c r="C794" s="1039"/>
      <c r="D794" s="1039"/>
      <c r="E794" s="1045" t="str">
        <f t="shared" si="64"/>
        <v/>
      </c>
      <c r="F794" s="1046"/>
      <c r="G794" s="1046"/>
      <c r="H794" s="1046"/>
      <c r="I794" s="1046"/>
      <c r="J794" s="1047"/>
      <c r="K794" s="134"/>
      <c r="L794" s="62" t="str">
        <f t="shared" si="65"/>
        <v/>
      </c>
      <c r="M794" s="14"/>
      <c r="N794" s="89">
        <f t="array" ref="N794">SUM(IF((CsDJ[JEV Number]=TRIM($T768))*(CsDJ[Account Code]=TRIM(K794)),CsDJ[Debit]))</f>
        <v>0</v>
      </c>
      <c r="O794" s="89">
        <f t="array" ref="O794">SUM(IF((CsDJ[JEV Number]=TRIM($T768))*(CsDJ[Account Code]=TRIM(K794)),CsDJ[Credit]))</f>
        <v>0</v>
      </c>
      <c r="P794" s="1040">
        <f t="shared" si="66"/>
        <v>0</v>
      </c>
      <c r="Q794" s="1040"/>
      <c r="R794" s="1040"/>
      <c r="S794" s="1040">
        <f t="shared" si="67"/>
        <v>0</v>
      </c>
      <c r="T794" s="1040"/>
      <c r="U794" s="1040"/>
      <c r="V794" s="1041"/>
    </row>
    <row r="795" spans="1:22" x14ac:dyDescent="0.25">
      <c r="A795" s="1038"/>
      <c r="B795" s="1039"/>
      <c r="C795" s="1039"/>
      <c r="D795" s="1039"/>
      <c r="E795" s="1045" t="str">
        <f t="shared" si="64"/>
        <v/>
      </c>
      <c r="F795" s="1046"/>
      <c r="G795" s="1046"/>
      <c r="H795" s="1046"/>
      <c r="I795" s="1046"/>
      <c r="J795" s="1047"/>
      <c r="K795" s="134"/>
      <c r="L795" s="62" t="str">
        <f t="shared" si="65"/>
        <v/>
      </c>
      <c r="M795" s="14"/>
      <c r="N795" s="89">
        <f t="array" ref="N795">SUM(IF((CsDJ[JEV Number]=TRIM($T768))*(CsDJ[Account Code]=TRIM(K795)),CsDJ[Debit]))</f>
        <v>0</v>
      </c>
      <c r="O795" s="89">
        <f t="array" ref="O795">SUM(IF((CsDJ[JEV Number]=TRIM($T768))*(CsDJ[Account Code]=TRIM(K795)),CsDJ[Credit]))</f>
        <v>0</v>
      </c>
      <c r="P795" s="1040">
        <f t="shared" si="66"/>
        <v>0</v>
      </c>
      <c r="Q795" s="1040"/>
      <c r="R795" s="1040"/>
      <c r="S795" s="1040">
        <f t="shared" si="67"/>
        <v>0</v>
      </c>
      <c r="T795" s="1040"/>
      <c r="U795" s="1040"/>
      <c r="V795" s="1041"/>
    </row>
    <row r="796" spans="1:22" x14ac:dyDescent="0.25">
      <c r="A796" s="1038"/>
      <c r="B796" s="1039"/>
      <c r="C796" s="1039"/>
      <c r="D796" s="1039"/>
      <c r="E796" s="1045" t="str">
        <f t="shared" si="64"/>
        <v/>
      </c>
      <c r="F796" s="1046"/>
      <c r="G796" s="1046"/>
      <c r="H796" s="1046"/>
      <c r="I796" s="1046"/>
      <c r="J796" s="1047"/>
      <c r="K796" s="134"/>
      <c r="L796" s="62" t="str">
        <f t="shared" si="65"/>
        <v/>
      </c>
      <c r="M796" s="14"/>
      <c r="N796" s="89">
        <f t="array" ref="N796">SUM(IF((CsDJ[JEV Number]=TRIM($T768))*(CsDJ[Account Code]=TRIM(K796)),CsDJ[Debit]))</f>
        <v>0</v>
      </c>
      <c r="O796" s="89">
        <f t="array" ref="O796">SUM(IF((CsDJ[JEV Number]=TRIM($T768))*(CsDJ[Account Code]=TRIM(K796)),CsDJ[Credit]))</f>
        <v>0</v>
      </c>
      <c r="P796" s="1040">
        <f t="shared" si="66"/>
        <v>0</v>
      </c>
      <c r="Q796" s="1040"/>
      <c r="R796" s="1040"/>
      <c r="S796" s="1040">
        <f t="shared" si="67"/>
        <v>0</v>
      </c>
      <c r="T796" s="1040"/>
      <c r="U796" s="1040"/>
      <c r="V796" s="1041"/>
    </row>
    <row r="797" spans="1:22" x14ac:dyDescent="0.25">
      <c r="A797" s="1038"/>
      <c r="B797" s="1039"/>
      <c r="C797" s="1039"/>
      <c r="D797" s="1039"/>
      <c r="E797" s="1045" t="str">
        <f t="shared" si="64"/>
        <v/>
      </c>
      <c r="F797" s="1046"/>
      <c r="G797" s="1046"/>
      <c r="H797" s="1046"/>
      <c r="I797" s="1046"/>
      <c r="J797" s="1047"/>
      <c r="K797" s="134"/>
      <c r="L797" s="62" t="str">
        <f t="shared" si="65"/>
        <v/>
      </c>
      <c r="M797" s="14"/>
      <c r="N797" s="89">
        <f t="array" ref="N797">SUM(IF((CsDJ[JEV Number]=TRIM($T768))*(CsDJ[Account Code]=TRIM(K797)),CsDJ[Debit]))</f>
        <v>0</v>
      </c>
      <c r="O797" s="89">
        <f t="array" ref="O797">SUM(IF((CsDJ[JEV Number]=TRIM($T768))*(CsDJ[Account Code]=TRIM(K797)),CsDJ[Credit]))</f>
        <v>0</v>
      </c>
      <c r="P797" s="1040">
        <f t="shared" si="66"/>
        <v>0</v>
      </c>
      <c r="Q797" s="1040"/>
      <c r="R797" s="1040"/>
      <c r="S797" s="1040">
        <f t="shared" si="67"/>
        <v>0</v>
      </c>
      <c r="T797" s="1040"/>
      <c r="U797" s="1040"/>
      <c r="V797" s="1041"/>
    </row>
    <row r="798" spans="1:22" x14ac:dyDescent="0.25">
      <c r="A798" s="1038"/>
      <c r="B798" s="1039"/>
      <c r="C798" s="1039"/>
      <c r="D798" s="1039"/>
      <c r="E798" s="1045" t="str">
        <f t="shared" si="64"/>
        <v/>
      </c>
      <c r="F798" s="1046"/>
      <c r="G798" s="1046"/>
      <c r="H798" s="1046"/>
      <c r="I798" s="1046"/>
      <c r="J798" s="1047"/>
      <c r="K798" s="134"/>
      <c r="L798" s="62" t="str">
        <f t="shared" si="65"/>
        <v/>
      </c>
      <c r="M798" s="14"/>
      <c r="N798" s="89">
        <f t="array" ref="N798">SUM(IF((CsDJ[JEV Number]=TRIM($T768))*(CsDJ[Account Code]=TRIM(K798)),CsDJ[Debit]))</f>
        <v>0</v>
      </c>
      <c r="O798" s="89">
        <f t="array" ref="O798">SUM(IF((CsDJ[JEV Number]=TRIM($T768))*(CsDJ[Account Code]=TRIM(K798)),CsDJ[Credit]))</f>
        <v>0</v>
      </c>
      <c r="P798" s="1040">
        <f t="shared" si="66"/>
        <v>0</v>
      </c>
      <c r="Q798" s="1040"/>
      <c r="R798" s="1040"/>
      <c r="S798" s="1040">
        <f t="shared" si="67"/>
        <v>0</v>
      </c>
      <c r="T798" s="1040"/>
      <c r="U798" s="1040"/>
      <c r="V798" s="1041"/>
    </row>
    <row r="799" spans="1:22" x14ac:dyDescent="0.25">
      <c r="A799" s="1038"/>
      <c r="B799" s="1039"/>
      <c r="C799" s="1039"/>
      <c r="D799" s="1039"/>
      <c r="E799" s="1045" t="str">
        <f t="shared" si="64"/>
        <v/>
      </c>
      <c r="F799" s="1046"/>
      <c r="G799" s="1046"/>
      <c r="H799" s="1046"/>
      <c r="I799" s="1046"/>
      <c r="J799" s="1047"/>
      <c r="K799" s="134"/>
      <c r="L799" s="62" t="str">
        <f t="shared" si="65"/>
        <v/>
      </c>
      <c r="M799" s="14"/>
      <c r="N799" s="89">
        <f t="array" ref="N799">SUM(IF((CsDJ[JEV Number]=TRIM($T768))*(CsDJ[Account Code]=TRIM(K799)),CsDJ[Debit]))</f>
        <v>0</v>
      </c>
      <c r="O799" s="89">
        <f t="array" ref="O799">SUM(IF((CsDJ[JEV Number]=TRIM($T768))*(CsDJ[Account Code]=TRIM(K799)),CsDJ[Credit]))</f>
        <v>0</v>
      </c>
      <c r="P799" s="1040">
        <f t="shared" si="66"/>
        <v>0</v>
      </c>
      <c r="Q799" s="1040"/>
      <c r="R799" s="1040"/>
      <c r="S799" s="1040">
        <f t="shared" si="67"/>
        <v>0</v>
      </c>
      <c r="T799" s="1040"/>
      <c r="U799" s="1040"/>
      <c r="V799" s="1041"/>
    </row>
    <row r="800" spans="1:22" x14ac:dyDescent="0.25">
      <c r="A800" s="1038"/>
      <c r="B800" s="1039"/>
      <c r="C800" s="1039"/>
      <c r="D800" s="1039"/>
      <c r="E800" s="1045" t="str">
        <f t="shared" si="64"/>
        <v/>
      </c>
      <c r="F800" s="1046"/>
      <c r="G800" s="1046"/>
      <c r="H800" s="1046"/>
      <c r="I800" s="1046"/>
      <c r="J800" s="1047"/>
      <c r="K800" s="134"/>
      <c r="L800" s="62" t="str">
        <f t="shared" si="65"/>
        <v/>
      </c>
      <c r="M800" s="14"/>
      <c r="N800" s="89">
        <f t="array" ref="N800">SUM(IF((CsDJ[JEV Number]=TRIM($T768))*(CsDJ[Account Code]=TRIM(K800)),CsDJ[Debit]))</f>
        <v>0</v>
      </c>
      <c r="O800" s="89">
        <f t="array" ref="O800">SUM(IF((CsDJ[JEV Number]=TRIM($T768))*(CsDJ[Account Code]=TRIM(K800)),CsDJ[Credit]))</f>
        <v>0</v>
      </c>
      <c r="P800" s="1040">
        <f t="shared" si="66"/>
        <v>0</v>
      </c>
      <c r="Q800" s="1040"/>
      <c r="R800" s="1040"/>
      <c r="S800" s="1040">
        <f t="shared" si="67"/>
        <v>0</v>
      </c>
      <c r="T800" s="1040"/>
      <c r="U800" s="1040"/>
      <c r="V800" s="1041"/>
    </row>
    <row r="801" spans="1:22" x14ac:dyDescent="0.25">
      <c r="A801" s="1038"/>
      <c r="B801" s="1039"/>
      <c r="C801" s="1039"/>
      <c r="D801" s="1039"/>
      <c r="E801" s="1045" t="str">
        <f t="shared" si="64"/>
        <v/>
      </c>
      <c r="F801" s="1046"/>
      <c r="G801" s="1046"/>
      <c r="H801" s="1046"/>
      <c r="I801" s="1046"/>
      <c r="J801" s="1047"/>
      <c r="K801" s="134"/>
      <c r="L801" s="62" t="str">
        <f t="shared" si="65"/>
        <v/>
      </c>
      <c r="M801" s="14"/>
      <c r="N801" s="89">
        <f t="array" ref="N801">SUM(IF((CsDJ[JEV Number]=TRIM($T768))*(CsDJ[Account Code]=TRIM(K801)),CsDJ[Debit]))</f>
        <v>0</v>
      </c>
      <c r="O801" s="89">
        <f t="array" ref="O801">SUM(IF((CsDJ[JEV Number]=TRIM($T768))*(CsDJ[Account Code]=TRIM(K801)),CsDJ[Credit]))</f>
        <v>0</v>
      </c>
      <c r="P801" s="1040">
        <f t="shared" si="66"/>
        <v>0</v>
      </c>
      <c r="Q801" s="1040"/>
      <c r="R801" s="1040"/>
      <c r="S801" s="1040">
        <f t="shared" si="67"/>
        <v>0</v>
      </c>
      <c r="T801" s="1040"/>
      <c r="U801" s="1040"/>
      <c r="V801" s="1041"/>
    </row>
    <row r="802" spans="1:22" x14ac:dyDescent="0.25">
      <c r="A802" s="1038"/>
      <c r="B802" s="1039"/>
      <c r="C802" s="1039"/>
      <c r="D802" s="1039"/>
      <c r="E802" s="1108" t="s">
        <v>468</v>
      </c>
      <c r="F802" s="1109"/>
      <c r="G802" s="1109"/>
      <c r="H802" s="1109"/>
      <c r="I802" s="1109"/>
      <c r="J802" s="1110"/>
      <c r="K802" s="133"/>
      <c r="L802" s="62" t="str">
        <f t="shared" si="65"/>
        <v/>
      </c>
      <c r="M802" s="14"/>
      <c r="N802" s="89">
        <f t="array" ref="N802">SUM(IF((CsDJ[JEV Number]=TRIM($T768))*(CsDJ[Account Code]=TRIM(K802)),CsDJ[Debit]))</f>
        <v>0</v>
      </c>
      <c r="O802" s="89">
        <f t="array" ref="O802">SUM(IF((CsDJ[JEV Number]=TRIM($T768))*(CsDJ[Account Code]=TRIM(K802)),CsDJ[Credit]))</f>
        <v>0</v>
      </c>
      <c r="P802" s="1040">
        <f t="shared" si="66"/>
        <v>0</v>
      </c>
      <c r="Q802" s="1040"/>
      <c r="R802" s="1040"/>
      <c r="S802" s="1040">
        <f t="shared" si="67"/>
        <v>0</v>
      </c>
      <c r="T802" s="1040"/>
      <c r="U802" s="1040"/>
      <c r="V802" s="1041"/>
    </row>
    <row r="803" spans="1:22" x14ac:dyDescent="0.25">
      <c r="A803" s="1038"/>
      <c r="B803" s="1039"/>
      <c r="C803" s="1039"/>
      <c r="D803" s="1039"/>
      <c r="E803" s="1048" t="s">
        <v>457</v>
      </c>
      <c r="F803" s="1049"/>
      <c r="G803" s="1049"/>
      <c r="H803" s="1049"/>
      <c r="I803" s="1051">
        <f>T769</f>
        <v>0</v>
      </c>
      <c r="J803" s="1052"/>
      <c r="K803" s="133"/>
      <c r="L803" s="62" t="str">
        <f t="shared" si="65"/>
        <v/>
      </c>
      <c r="M803" s="14"/>
      <c r="N803" s="89">
        <f t="array" ref="N803">SUM(IF((CsDJ[JEV Number]=TRIM($T768))*(CsDJ[Account Code]=TRIM(K803)),CsDJ[Debit]))</f>
        <v>0</v>
      </c>
      <c r="O803" s="89">
        <f t="array" ref="O803">SUM(IF((CsDJ[JEV Number]=TRIM($T768))*(CsDJ[Account Code]=TRIM(K803)),CsDJ[Credit]))</f>
        <v>0</v>
      </c>
      <c r="P803" s="1040">
        <f t="shared" si="66"/>
        <v>0</v>
      </c>
      <c r="Q803" s="1040"/>
      <c r="R803" s="1040"/>
      <c r="S803" s="1040">
        <f t="shared" si="67"/>
        <v>0</v>
      </c>
      <c r="T803" s="1040"/>
      <c r="U803" s="1040"/>
      <c r="V803" s="1041"/>
    </row>
    <row r="804" spans="1:22" x14ac:dyDescent="0.25">
      <c r="A804" s="1038"/>
      <c r="B804" s="1039"/>
      <c r="C804" s="1039"/>
      <c r="D804" s="1039"/>
      <c r="E804" s="1048" t="s">
        <v>458</v>
      </c>
      <c r="F804" s="1049"/>
      <c r="G804" s="1049"/>
      <c r="H804" s="1049"/>
      <c r="I804" s="1106">
        <f>IF(T768=0,0,(IF(LOOKUP(T768,CsDJ[JEV Number],CsDJ[Sort Code])="1","MA. VIVIAN C. SALAS",IF(LOOKUP(T768,CsDJ[JEV Number],CsDJ[Sort Code])="2","LUZ R. DE COZAR",IF(LOOKUP(T768,CsDJ[JEV Number],CsDJ[Sort Code])="3","MINEONETTE A. DELA CRUZ",IF(LOOKUP(T768,CsDJ[JEV Number],CsDJ[Sort Code])="4","RESELLA B. LOPEZ"))))))</f>
        <v>0</v>
      </c>
      <c r="J804" s="1107"/>
      <c r="K804" s="133"/>
      <c r="L804" s="62" t="str">
        <f t="shared" si="65"/>
        <v/>
      </c>
      <c r="M804" s="14"/>
      <c r="N804" s="89">
        <f t="array" ref="N804">SUM(IF((CsDJ[JEV Number]=TRIM($T768))*(CsDJ[Account Code]=TRIM(K804)),CsDJ[Debit]))</f>
        <v>0</v>
      </c>
      <c r="O804" s="89">
        <f t="array" ref="O804">SUM(IF((CsDJ[JEV Number]=TRIM($T768))*(CsDJ[Account Code]=TRIM(K804)),CsDJ[Credit]))</f>
        <v>0</v>
      </c>
      <c r="P804" s="1040">
        <f t="shared" si="66"/>
        <v>0</v>
      </c>
      <c r="Q804" s="1040"/>
      <c r="R804" s="1040"/>
      <c r="S804" s="1040">
        <f t="shared" si="67"/>
        <v>0</v>
      </c>
      <c r="T804" s="1040"/>
      <c r="U804" s="1040"/>
      <c r="V804" s="1041"/>
    </row>
    <row r="805" spans="1:22" x14ac:dyDescent="0.25">
      <c r="A805" s="1038"/>
      <c r="B805" s="1039"/>
      <c r="C805" s="1039"/>
      <c r="D805" s="1039"/>
      <c r="E805" s="1048" t="s">
        <v>459</v>
      </c>
      <c r="F805" s="1049"/>
      <c r="G805" s="1049"/>
      <c r="H805" s="1049"/>
      <c r="I805" s="1043">
        <f>IF(I804="Ma. Vivian C. Salas","Regional Office", IF(I804="Luz R. De Cozar","BANE IMO", IF(I804="Mineonette A. Dela Cruz","PAMBAT IMO", IF(I804="Resella B. Lopez","TARZAM IMO",0))))</f>
        <v>0</v>
      </c>
      <c r="J805" s="1044"/>
      <c r="K805" s="133"/>
      <c r="L805" s="62" t="str">
        <f t="shared" si="65"/>
        <v/>
      </c>
      <c r="M805" s="14"/>
      <c r="N805" s="89">
        <f t="array" ref="N805">SUM(IF((CsDJ[JEV Number]=TRIM($T768))*(CsDJ[Account Code]=TRIM(K805)),CsDJ[Debit]))</f>
        <v>0</v>
      </c>
      <c r="O805" s="89">
        <f t="array" ref="O805">SUM(IF((CsDJ[JEV Number]=TRIM($T768))*(CsDJ[Account Code]=TRIM(K805)),CsDJ[Credit]))</f>
        <v>0</v>
      </c>
      <c r="P805" s="1040">
        <f t="shared" si="66"/>
        <v>0</v>
      </c>
      <c r="Q805" s="1040"/>
      <c r="R805" s="1040"/>
      <c r="S805" s="1040">
        <f t="shared" si="67"/>
        <v>0</v>
      </c>
      <c r="T805" s="1040"/>
      <c r="U805" s="1040"/>
      <c r="V805" s="1041"/>
    </row>
    <row r="806" spans="1:22" x14ac:dyDescent="0.25">
      <c r="A806" s="1038"/>
      <c r="B806" s="1039"/>
      <c r="C806" s="1039"/>
      <c r="D806" s="1039"/>
      <c r="E806" s="1048"/>
      <c r="F806" s="1049"/>
      <c r="G806" s="1049"/>
      <c r="H806" s="1049"/>
      <c r="I806" s="1049"/>
      <c r="J806" s="1050"/>
      <c r="K806" s="133"/>
      <c r="L806" s="62" t="str">
        <f t="shared" si="65"/>
        <v/>
      </c>
      <c r="M806" s="14"/>
      <c r="N806" s="89">
        <f t="array" ref="N806">SUM(IF((CsDJ[JEV Number]=TRIM($T768))*(CsDJ[Account Code]=TRIM(K806)),CsDJ[Debit]))</f>
        <v>0</v>
      </c>
      <c r="O806" s="89">
        <f t="array" ref="O806">SUM(IF((CsDJ[JEV Number]=TRIM($T768))*(CsDJ[Account Code]=TRIM(K806)),CsDJ[Credit]))</f>
        <v>0</v>
      </c>
      <c r="P806" s="1040">
        <f t="shared" si="66"/>
        <v>0</v>
      </c>
      <c r="Q806" s="1040"/>
      <c r="R806" s="1040"/>
      <c r="S806" s="1040">
        <f t="shared" si="67"/>
        <v>0</v>
      </c>
      <c r="T806" s="1040"/>
      <c r="U806" s="1040"/>
      <c r="V806" s="1041"/>
    </row>
    <row r="807" spans="1:22" ht="16.5" thickBot="1" x14ac:dyDescent="0.3">
      <c r="A807" s="1091"/>
      <c r="B807" s="1092"/>
      <c r="C807" s="1092"/>
      <c r="D807" s="1092"/>
      <c r="E807" s="1092"/>
      <c r="F807" s="1092"/>
      <c r="G807" s="1092"/>
      <c r="H807" s="1092"/>
      <c r="I807" s="1092"/>
      <c r="J807" s="1092"/>
      <c r="K807" s="1092"/>
      <c r="L807" s="1092"/>
      <c r="M807" s="1093"/>
      <c r="N807" s="88"/>
      <c r="O807" s="88"/>
      <c r="P807" s="1094">
        <f>SUM(P777:R806)</f>
        <v>0</v>
      </c>
      <c r="Q807" s="1094"/>
      <c r="R807" s="1094"/>
      <c r="S807" s="1094">
        <f>SUM(S777:V806)</f>
        <v>0</v>
      </c>
      <c r="T807" s="1094"/>
      <c r="U807" s="1094"/>
      <c r="V807" s="1095"/>
    </row>
    <row r="808" spans="1:22" x14ac:dyDescent="0.25">
      <c r="A808" s="63"/>
      <c r="B808" s="64"/>
      <c r="C808" s="64"/>
      <c r="D808" s="64"/>
      <c r="E808" s="64"/>
      <c r="F808" s="64"/>
      <c r="G808" s="64"/>
      <c r="H808" s="64"/>
      <c r="I808" s="65"/>
      <c r="J808" s="64"/>
      <c r="K808" s="66"/>
      <c r="L808" s="64"/>
      <c r="M808" s="65"/>
      <c r="N808" s="64"/>
      <c r="O808" s="64"/>
      <c r="P808" s="1090"/>
      <c r="Q808" s="1090"/>
      <c r="R808" s="1090"/>
      <c r="S808" s="1090"/>
      <c r="T808" s="1090"/>
      <c r="U808" s="1090"/>
      <c r="V808" s="1096"/>
    </row>
    <row r="809" spans="1:22" x14ac:dyDescent="0.25">
      <c r="A809" s="67" t="s">
        <v>460</v>
      </c>
      <c r="B809"/>
      <c r="C809"/>
      <c r="D809"/>
      <c r="E809"/>
      <c r="F809"/>
      <c r="G809"/>
      <c r="H809"/>
      <c r="I809" s="68" t="s">
        <v>353</v>
      </c>
      <c r="J809" s="69"/>
      <c r="K809" s="69"/>
      <c r="L809"/>
      <c r="M809" s="68" t="s">
        <v>461</v>
      </c>
      <c r="N809" s="69"/>
      <c r="O809" s="69"/>
      <c r="P809" s="70"/>
      <c r="Q809" s="70"/>
      <c r="R809" s="70"/>
      <c r="S809" s="70"/>
      <c r="T809" s="70"/>
      <c r="U809" s="70"/>
      <c r="V809" s="71"/>
    </row>
    <row r="810" spans="1:22" x14ac:dyDescent="0.25">
      <c r="A810" s="37"/>
      <c r="B810"/>
      <c r="C810"/>
      <c r="D810"/>
      <c r="E810"/>
      <c r="F810"/>
      <c r="G810"/>
      <c r="H810"/>
      <c r="I810" s="72"/>
      <c r="J810"/>
      <c r="K810"/>
      <c r="L810"/>
      <c r="M810" s="72"/>
      <c r="N810"/>
      <c r="O810"/>
      <c r="P810"/>
      <c r="Q810"/>
      <c r="R810"/>
      <c r="S810"/>
      <c r="T810"/>
      <c r="U810"/>
      <c r="V810" s="73"/>
    </row>
    <row r="811" spans="1:22" x14ac:dyDescent="0.25">
      <c r="A811" s="74" t="s">
        <v>462</v>
      </c>
      <c r="B811" s="75"/>
      <c r="C811" s="75"/>
      <c r="D811" s="75"/>
      <c r="E811" s="75"/>
      <c r="F811" s="75"/>
      <c r="G811" s="75"/>
      <c r="H811" s="76"/>
      <c r="I811" s="77" t="s">
        <v>380</v>
      </c>
      <c r="J811" s="75"/>
      <c r="K811" s="75"/>
      <c r="L811" s="76"/>
      <c r="M811" s="77" t="s">
        <v>3</v>
      </c>
      <c r="N811" s="75"/>
      <c r="O811" s="75"/>
      <c r="P811" s="75"/>
      <c r="Q811" s="75"/>
      <c r="R811" s="75"/>
      <c r="S811" s="75"/>
      <c r="T811" s="75"/>
      <c r="U811" s="75"/>
      <c r="V811" s="78"/>
    </row>
    <row r="812" spans="1:22" x14ac:dyDescent="0.25">
      <c r="A812" s="79" t="s">
        <v>463</v>
      </c>
      <c r="B812" s="80"/>
      <c r="C812" s="80"/>
      <c r="D812" s="80"/>
      <c r="E812" s="80"/>
      <c r="F812" s="80"/>
      <c r="G812" s="80"/>
      <c r="H812" s="80"/>
      <c r="I812" s="81" t="s">
        <v>381</v>
      </c>
      <c r="J812" s="80"/>
      <c r="K812" s="80"/>
      <c r="L812" s="80"/>
      <c r="M812" s="81" t="s">
        <v>464</v>
      </c>
      <c r="N812" s="80"/>
      <c r="O812" s="80"/>
      <c r="P812" s="82"/>
      <c r="Q812" s="82"/>
      <c r="R812" s="82"/>
      <c r="S812" s="82"/>
      <c r="T812" s="82"/>
      <c r="U812" s="82"/>
      <c r="V812" s="83"/>
    </row>
    <row r="813" spans="1:22" ht="16.5" thickBot="1" x14ac:dyDescent="0.3">
      <c r="A813" s="84" t="s">
        <v>465</v>
      </c>
      <c r="B813" s="43"/>
      <c r="C813" s="43"/>
      <c r="D813" s="43"/>
      <c r="E813" s="43"/>
      <c r="F813" s="43"/>
      <c r="G813" s="43"/>
      <c r="H813" s="43"/>
      <c r="I813" s="85"/>
      <c r="J813" s="43"/>
      <c r="K813" s="43"/>
      <c r="L813" s="43"/>
      <c r="M813" s="85"/>
      <c r="N813" s="43"/>
      <c r="O813" s="43"/>
      <c r="P813" s="43"/>
      <c r="Q813" s="43"/>
      <c r="R813" s="43"/>
      <c r="S813" s="43"/>
      <c r="T813" s="43"/>
      <c r="U813" s="43"/>
      <c r="V813" s="44"/>
    </row>
    <row r="814" spans="1:22" ht="22.5" x14ac:dyDescent="0.25">
      <c r="A814" s="31" t="s">
        <v>441</v>
      </c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3"/>
      <c r="R814" s="1053">
        <f>+P854-S854</f>
        <v>0</v>
      </c>
      <c r="S814" s="1054"/>
      <c r="T814" s="1054"/>
      <c r="U814" s="1054"/>
      <c r="V814" s="1055"/>
    </row>
    <row r="815" spans="1:22" x14ac:dyDescent="0.25">
      <c r="A815" s="34" t="s">
        <v>442</v>
      </c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6"/>
      <c r="R815" s="37" t="s">
        <v>443</v>
      </c>
      <c r="S815"/>
      <c r="T815" s="1056"/>
      <c r="U815" s="1056"/>
      <c r="V815" s="1057"/>
    </row>
    <row r="816" spans="1:22" x14ac:dyDescent="0.25">
      <c r="A816" s="38" t="s">
        <v>444</v>
      </c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6"/>
      <c r="R816" s="37" t="s">
        <v>0</v>
      </c>
      <c r="S816"/>
      <c r="T816" s="1058">
        <f>IF(T815=0,0,(LOOKUP(T815,CsDJ[JEV Number],CsDJ[Date])))</f>
        <v>0</v>
      </c>
      <c r="U816" s="1058"/>
      <c r="V816" s="1059"/>
    </row>
    <row r="817" spans="1:22" ht="16.5" thickBot="1" x14ac:dyDescent="0.3">
      <c r="A817" s="39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1"/>
      <c r="R817" s="42"/>
      <c r="S817" s="43"/>
      <c r="T817" s="43"/>
      <c r="U817" s="43"/>
      <c r="V817" s="44"/>
    </row>
    <row r="818" spans="1:22" x14ac:dyDescent="0.25">
      <c r="A818" s="45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7"/>
      <c r="M818" s="46"/>
      <c r="N818" s="46"/>
      <c r="O818" s="46"/>
      <c r="P818" s="46"/>
      <c r="Q818" s="46"/>
      <c r="R818" s="46"/>
      <c r="S818" s="46"/>
      <c r="T818" s="46"/>
      <c r="U818" s="46"/>
      <c r="V818" s="48"/>
    </row>
    <row r="819" spans="1:22" x14ac:dyDescent="0.25">
      <c r="A819" s="49"/>
      <c r="B819" s="1060"/>
      <c r="C819" s="1060"/>
      <c r="D819" s="50" t="s">
        <v>445</v>
      </c>
      <c r="H819" s="51"/>
      <c r="I819" s="25" t="s">
        <v>447</v>
      </c>
      <c r="J819" s="132" t="s">
        <v>446</v>
      </c>
      <c r="K819" s="52" t="s">
        <v>448</v>
      </c>
      <c r="L819" s="52"/>
      <c r="Q819" s="1060"/>
      <c r="R819" s="1060"/>
      <c r="S819" s="50" t="s">
        <v>449</v>
      </c>
      <c r="T819" s="50"/>
      <c r="U819" s="50"/>
      <c r="V819" s="53"/>
    </row>
    <row r="820" spans="1:22" ht="16.5" thickBot="1" x14ac:dyDescent="0.3">
      <c r="A820" s="54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6"/>
      <c r="M820" s="55"/>
      <c r="N820" s="55"/>
      <c r="O820" s="55"/>
      <c r="P820" s="55"/>
      <c r="Q820" s="55"/>
      <c r="R820" s="55"/>
      <c r="S820" s="55"/>
      <c r="T820" s="55"/>
      <c r="U820" s="55"/>
      <c r="V820" s="57"/>
    </row>
    <row r="821" spans="1:22" x14ac:dyDescent="0.25">
      <c r="A821" s="1061" t="s">
        <v>397</v>
      </c>
      <c r="B821" s="1062"/>
      <c r="C821" s="1062"/>
      <c r="D821" s="1063"/>
      <c r="E821" s="1070" t="s">
        <v>450</v>
      </c>
      <c r="F821" s="1070"/>
      <c r="G821" s="1070"/>
      <c r="H821" s="1070"/>
      <c r="I821" s="1070"/>
      <c r="J821" s="1070"/>
      <c r="K821" s="1070"/>
      <c r="L821" s="1070"/>
      <c r="M821" s="1070"/>
      <c r="N821" s="1070"/>
      <c r="O821" s="1070"/>
      <c r="P821" s="1070"/>
      <c r="Q821" s="1070"/>
      <c r="R821" s="1070"/>
      <c r="S821" s="1070"/>
      <c r="T821" s="1070"/>
      <c r="U821" s="1070"/>
      <c r="V821" s="1071"/>
    </row>
    <row r="822" spans="1:22" x14ac:dyDescent="0.25">
      <c r="A822" s="1064"/>
      <c r="B822" s="1065"/>
      <c r="C822" s="1065"/>
      <c r="D822" s="1066"/>
      <c r="E822" s="1072" t="s">
        <v>451</v>
      </c>
      <c r="F822" s="1072"/>
      <c r="G822" s="1072"/>
      <c r="H822" s="1072"/>
      <c r="I822" s="1072"/>
      <c r="J822" s="1072"/>
      <c r="K822" s="1074" t="s">
        <v>378</v>
      </c>
      <c r="L822" s="1074"/>
      <c r="M822" s="1072" t="s">
        <v>452</v>
      </c>
      <c r="N822" s="1075" t="s">
        <v>453</v>
      </c>
      <c r="O822" s="1076"/>
      <c r="P822" s="1076"/>
      <c r="Q822" s="1076"/>
      <c r="R822" s="1076"/>
      <c r="S822" s="1076"/>
      <c r="T822" s="1076"/>
      <c r="U822" s="1076"/>
      <c r="V822" s="1077"/>
    </row>
    <row r="823" spans="1:22" ht="16.5" customHeight="1" thickBot="1" x14ac:dyDescent="0.3">
      <c r="A823" s="1067"/>
      <c r="B823" s="1068"/>
      <c r="C823" s="1068"/>
      <c r="D823" s="1069"/>
      <c r="E823" s="1073"/>
      <c r="F823" s="1073"/>
      <c r="G823" s="1073"/>
      <c r="H823" s="1073"/>
      <c r="I823" s="1073"/>
      <c r="J823" s="1073"/>
      <c r="K823" s="58" t="s">
        <v>454</v>
      </c>
      <c r="L823" s="58" t="s">
        <v>455</v>
      </c>
      <c r="M823" s="1073"/>
      <c r="N823" s="87" t="s">
        <v>466</v>
      </c>
      <c r="O823" s="87" t="s">
        <v>467</v>
      </c>
      <c r="P823" s="1078" t="s">
        <v>1</v>
      </c>
      <c r="Q823" s="1079"/>
      <c r="R823" s="1080"/>
      <c r="S823" s="1078" t="s">
        <v>2</v>
      </c>
      <c r="T823" s="1079"/>
      <c r="U823" s="1079"/>
      <c r="V823" s="1081"/>
    </row>
    <row r="824" spans="1:22" ht="19.5" x14ac:dyDescent="0.3">
      <c r="A824" s="1082">
        <f>P854-S854</f>
        <v>0</v>
      </c>
      <c r="B824" s="1083"/>
      <c r="C824" s="1083"/>
      <c r="D824" s="1083"/>
      <c r="E824" s="1084" t="str">
        <f>Account!$G$1</f>
        <v>FUND 501 CARP</v>
      </c>
      <c r="F824" s="1085"/>
      <c r="G824" s="1085"/>
      <c r="H824" s="1085"/>
      <c r="I824" s="1085"/>
      <c r="J824" s="1086"/>
      <c r="K824" s="59"/>
      <c r="L824" s="59"/>
      <c r="M824" s="60"/>
      <c r="N824" s="60"/>
      <c r="O824" s="60"/>
      <c r="P824" s="1087"/>
      <c r="Q824" s="1087"/>
      <c r="R824" s="1087"/>
      <c r="S824" s="1087"/>
      <c r="T824" s="1087"/>
      <c r="U824" s="1087"/>
      <c r="V824" s="1088"/>
    </row>
    <row r="825" spans="1:22" x14ac:dyDescent="0.25">
      <c r="A825" s="1038"/>
      <c r="B825" s="1039"/>
      <c r="C825" s="1039"/>
      <c r="D825" s="1039"/>
      <c r="E825" s="1039"/>
      <c r="F825" s="1039"/>
      <c r="G825" s="1039"/>
      <c r="H825" s="1039"/>
      <c r="I825" s="1039"/>
      <c r="J825" s="1039"/>
      <c r="K825" s="61"/>
      <c r="L825" s="61"/>
      <c r="M825" s="14"/>
      <c r="N825" s="14"/>
      <c r="O825" s="14"/>
      <c r="P825" s="1039"/>
      <c r="Q825" s="1039"/>
      <c r="R825" s="1039"/>
      <c r="S825" s="1039"/>
      <c r="T825" s="1039"/>
      <c r="U825" s="1039"/>
      <c r="V825" s="1089"/>
    </row>
    <row r="826" spans="1:22" x14ac:dyDescent="0.25">
      <c r="A826" s="1038"/>
      <c r="B826" s="1039"/>
      <c r="C826" s="1039"/>
      <c r="D826" s="1039"/>
      <c r="E826" s="1045" t="str">
        <f t="shared" ref="E826:E848" si="68">IF(K826=0,"",(VLOOKUP((TRIM(K826)),Code,2,)))</f>
        <v/>
      </c>
      <c r="F826" s="1046"/>
      <c r="G826" s="1046"/>
      <c r="H826" s="1046"/>
      <c r="I826" s="1046"/>
      <c r="J826" s="1047"/>
      <c r="K826" s="133"/>
      <c r="L826" s="62" t="str">
        <f t="shared" ref="L826:L853" si="69">IF(K826=0,"",VLOOKUP((TRIM(K826)),Code,3,))</f>
        <v/>
      </c>
      <c r="M826" s="14"/>
      <c r="N826" s="89">
        <f t="array" ref="N826">SUM(IF((CsDJ[JEV Number]=TRIM($T815))*(CsDJ[Account Code]=TRIM(K826)),CsDJ[Debit]))</f>
        <v>0</v>
      </c>
      <c r="O826" s="89">
        <f t="array" ref="O826">SUM(IF((CsDJ[JEV Number]=TRIM($T815))*(CsDJ[Account Code]=TRIM(K826)),CsDJ[Credit]))</f>
        <v>0</v>
      </c>
      <c r="P826" s="1040">
        <f>N826</f>
        <v>0</v>
      </c>
      <c r="Q826" s="1040"/>
      <c r="R826" s="1040"/>
      <c r="S826" s="1040">
        <f>O826</f>
        <v>0</v>
      </c>
      <c r="T826" s="1040"/>
      <c r="U826" s="1040"/>
      <c r="V826" s="1041"/>
    </row>
    <row r="827" spans="1:22" x14ac:dyDescent="0.25">
      <c r="A827" s="1038"/>
      <c r="B827" s="1039"/>
      <c r="C827" s="1039"/>
      <c r="D827" s="1039"/>
      <c r="E827" s="1045" t="str">
        <f t="shared" si="68"/>
        <v/>
      </c>
      <c r="F827" s="1046"/>
      <c r="G827" s="1046"/>
      <c r="H827" s="1046"/>
      <c r="I827" s="1046"/>
      <c r="J827" s="1047"/>
      <c r="K827" s="133"/>
      <c r="L827" s="62" t="str">
        <f t="shared" si="69"/>
        <v/>
      </c>
      <c r="M827" s="14"/>
      <c r="N827" s="89">
        <f t="array" ref="N827">SUM(IF((CsDJ[JEV Number]=TRIM($T815))*(CsDJ[Account Code]=TRIM(K827)),CsDJ[Debit]))</f>
        <v>0</v>
      </c>
      <c r="O827" s="89">
        <f t="array" ref="O827">SUM(IF((CsDJ[JEV Number]=TRIM($T815))*(CsDJ[Account Code]=TRIM(K827)),CsDJ[Credit]))</f>
        <v>0</v>
      </c>
      <c r="P827" s="1040">
        <f>N827</f>
        <v>0</v>
      </c>
      <c r="Q827" s="1040"/>
      <c r="R827" s="1040"/>
      <c r="S827" s="1040">
        <f>O827</f>
        <v>0</v>
      </c>
      <c r="T827" s="1040"/>
      <c r="U827" s="1040"/>
      <c r="V827" s="1041"/>
    </row>
    <row r="828" spans="1:22" x14ac:dyDescent="0.25">
      <c r="A828" s="1038"/>
      <c r="B828" s="1039"/>
      <c r="C828" s="1039"/>
      <c r="D828" s="1039"/>
      <c r="E828" s="1045" t="str">
        <f t="shared" si="68"/>
        <v/>
      </c>
      <c r="F828" s="1046"/>
      <c r="G828" s="1046"/>
      <c r="H828" s="1046"/>
      <c r="I828" s="1046"/>
      <c r="J828" s="1047"/>
      <c r="K828" s="133"/>
      <c r="L828" s="62" t="str">
        <f t="shared" si="69"/>
        <v/>
      </c>
      <c r="M828" s="14"/>
      <c r="N828" s="89">
        <f t="array" ref="N828">SUM(IF((CsDJ[JEV Number]=TRIM($T815))*(CsDJ[Account Code]=TRIM(K828)),CsDJ[Debit]))</f>
        <v>0</v>
      </c>
      <c r="O828" s="89">
        <f t="array" ref="O828">SUM(IF((CsDJ[JEV Number]=TRIM($T815))*(CsDJ[Account Code]=TRIM(K828)),CsDJ[Credit]))</f>
        <v>0</v>
      </c>
      <c r="P828" s="1040">
        <f t="shared" ref="P828:P853" si="70">N828</f>
        <v>0</v>
      </c>
      <c r="Q828" s="1040"/>
      <c r="R828" s="1040"/>
      <c r="S828" s="1040">
        <f t="shared" ref="S828:S853" si="71">O828</f>
        <v>0</v>
      </c>
      <c r="T828" s="1040"/>
      <c r="U828" s="1040"/>
      <c r="V828" s="1041"/>
    </row>
    <row r="829" spans="1:22" x14ac:dyDescent="0.25">
      <c r="A829" s="1038"/>
      <c r="B829" s="1039"/>
      <c r="C829" s="1039"/>
      <c r="D829" s="1039"/>
      <c r="E829" s="1045" t="str">
        <f t="shared" si="68"/>
        <v/>
      </c>
      <c r="F829" s="1046"/>
      <c r="G829" s="1046"/>
      <c r="H829" s="1046"/>
      <c r="I829" s="1046"/>
      <c r="J829" s="1047"/>
      <c r="K829" s="133"/>
      <c r="L829" s="62" t="str">
        <f t="shared" si="69"/>
        <v/>
      </c>
      <c r="M829" s="14"/>
      <c r="N829" s="89">
        <f t="array" ref="N829">SUM(IF((CsDJ[JEV Number]=TRIM($T815))*(CsDJ[Account Code]=TRIM(K829)),CsDJ[Debit]))</f>
        <v>0</v>
      </c>
      <c r="O829" s="89">
        <f t="array" ref="O829">SUM(IF((CsDJ[JEV Number]=TRIM($T815))*(CsDJ[Account Code]=TRIM(K829)),CsDJ[Credit]))</f>
        <v>0</v>
      </c>
      <c r="P829" s="1040">
        <f t="shared" si="70"/>
        <v>0</v>
      </c>
      <c r="Q829" s="1040"/>
      <c r="R829" s="1040"/>
      <c r="S829" s="1040">
        <f t="shared" si="71"/>
        <v>0</v>
      </c>
      <c r="T829" s="1040"/>
      <c r="U829" s="1040"/>
      <c r="V829" s="1041"/>
    </row>
    <row r="830" spans="1:22" x14ac:dyDescent="0.25">
      <c r="A830" s="1038"/>
      <c r="B830" s="1039"/>
      <c r="C830" s="1039"/>
      <c r="D830" s="1039"/>
      <c r="E830" s="1045" t="str">
        <f t="shared" si="68"/>
        <v/>
      </c>
      <c r="F830" s="1046"/>
      <c r="G830" s="1046"/>
      <c r="H830" s="1046"/>
      <c r="I830" s="1046"/>
      <c r="J830" s="1047"/>
      <c r="K830" s="133"/>
      <c r="L830" s="62" t="str">
        <f t="shared" si="69"/>
        <v/>
      </c>
      <c r="M830" s="14"/>
      <c r="N830" s="89">
        <f t="array" ref="N830">SUM(IF((CsDJ[JEV Number]=TRIM($T815))*(CsDJ[Account Code]=TRIM(K830)),CsDJ[Debit]))</f>
        <v>0</v>
      </c>
      <c r="O830" s="89">
        <f t="array" ref="O830">SUM(IF((CsDJ[JEV Number]=TRIM($T815))*(CsDJ[Account Code]=TRIM(K830)),CsDJ[Credit]))</f>
        <v>0</v>
      </c>
      <c r="P830" s="1040">
        <f t="shared" si="70"/>
        <v>0</v>
      </c>
      <c r="Q830" s="1040"/>
      <c r="R830" s="1040"/>
      <c r="S830" s="1040">
        <f t="shared" si="71"/>
        <v>0</v>
      </c>
      <c r="T830" s="1040"/>
      <c r="U830" s="1040"/>
      <c r="V830" s="1041"/>
    </row>
    <row r="831" spans="1:22" x14ac:dyDescent="0.25">
      <c r="A831" s="1038"/>
      <c r="B831" s="1039"/>
      <c r="C831" s="1039"/>
      <c r="D831" s="1039"/>
      <c r="E831" s="1045" t="str">
        <f t="shared" si="68"/>
        <v/>
      </c>
      <c r="F831" s="1046"/>
      <c r="G831" s="1046"/>
      <c r="H831" s="1046"/>
      <c r="I831" s="1046"/>
      <c r="J831" s="1047"/>
      <c r="K831" s="133"/>
      <c r="L831" s="62" t="str">
        <f t="shared" si="69"/>
        <v/>
      </c>
      <c r="M831" s="14"/>
      <c r="N831" s="89">
        <f t="array" ref="N831">SUM(IF((CsDJ[JEV Number]=TRIM($T815))*(CsDJ[Account Code]=TRIM(K831)),CsDJ[Debit]))</f>
        <v>0</v>
      </c>
      <c r="O831" s="89">
        <f t="array" ref="O831">SUM(IF((CsDJ[JEV Number]=TRIM($T815))*(CsDJ[Account Code]=TRIM(K831)),CsDJ[Credit]))</f>
        <v>0</v>
      </c>
      <c r="P831" s="1040">
        <f t="shared" si="70"/>
        <v>0</v>
      </c>
      <c r="Q831" s="1040"/>
      <c r="R831" s="1040"/>
      <c r="S831" s="1040">
        <f t="shared" si="71"/>
        <v>0</v>
      </c>
      <c r="T831" s="1040"/>
      <c r="U831" s="1040"/>
      <c r="V831" s="1041"/>
    </row>
    <row r="832" spans="1:22" x14ac:dyDescent="0.25">
      <c r="A832" s="1038"/>
      <c r="B832" s="1039"/>
      <c r="C832" s="1039"/>
      <c r="D832" s="1039"/>
      <c r="E832" s="1045" t="str">
        <f t="shared" si="68"/>
        <v/>
      </c>
      <c r="F832" s="1046"/>
      <c r="G832" s="1046"/>
      <c r="H832" s="1046"/>
      <c r="I832" s="1046"/>
      <c r="J832" s="1047"/>
      <c r="K832" s="133"/>
      <c r="L832" s="62" t="str">
        <f t="shared" si="69"/>
        <v/>
      </c>
      <c r="M832" s="14"/>
      <c r="N832" s="89">
        <f t="array" ref="N832">SUM(IF((CsDJ[JEV Number]=TRIM($T815))*(CsDJ[Account Code]=TRIM(K832)),CsDJ[Debit]))</f>
        <v>0</v>
      </c>
      <c r="O832" s="89">
        <f t="array" ref="O832">SUM(IF((CsDJ[JEV Number]=TRIM($T815))*(CsDJ[Account Code]=TRIM(K832)),CsDJ[Credit]))</f>
        <v>0</v>
      </c>
      <c r="P832" s="1040">
        <f t="shared" si="70"/>
        <v>0</v>
      </c>
      <c r="Q832" s="1040"/>
      <c r="R832" s="1040"/>
      <c r="S832" s="1040">
        <f t="shared" si="71"/>
        <v>0</v>
      </c>
      <c r="T832" s="1040"/>
      <c r="U832" s="1040"/>
      <c r="V832" s="1041"/>
    </row>
    <row r="833" spans="1:22" x14ac:dyDescent="0.25">
      <c r="A833" s="1038"/>
      <c r="B833" s="1039"/>
      <c r="C833" s="1039"/>
      <c r="D833" s="1039"/>
      <c r="E833" s="1045" t="str">
        <f t="shared" si="68"/>
        <v/>
      </c>
      <c r="F833" s="1046"/>
      <c r="G833" s="1046"/>
      <c r="H833" s="1046"/>
      <c r="I833" s="1046"/>
      <c r="J833" s="1047"/>
      <c r="K833" s="133"/>
      <c r="L833" s="62" t="str">
        <f t="shared" si="69"/>
        <v/>
      </c>
      <c r="M833" s="14"/>
      <c r="N833" s="89">
        <f t="array" ref="N833">SUM(IF((CsDJ[JEV Number]=TRIM($T815))*(CsDJ[Account Code]=TRIM(K833)),CsDJ[Debit]))</f>
        <v>0</v>
      </c>
      <c r="O833" s="89">
        <f t="array" ref="O833">SUM(IF((CsDJ[JEV Number]=TRIM($T815))*(CsDJ[Account Code]=TRIM(K833)),CsDJ[Credit]))</f>
        <v>0</v>
      </c>
      <c r="P833" s="1040">
        <f t="shared" si="70"/>
        <v>0</v>
      </c>
      <c r="Q833" s="1040"/>
      <c r="R833" s="1040"/>
      <c r="S833" s="1040">
        <f t="shared" si="71"/>
        <v>0</v>
      </c>
      <c r="T833" s="1040"/>
      <c r="U833" s="1040"/>
      <c r="V833" s="1041"/>
    </row>
    <row r="834" spans="1:22" x14ac:dyDescent="0.25">
      <c r="A834" s="1038"/>
      <c r="B834" s="1039"/>
      <c r="C834" s="1039"/>
      <c r="D834" s="1039"/>
      <c r="E834" s="1045" t="str">
        <f t="shared" si="68"/>
        <v/>
      </c>
      <c r="F834" s="1046"/>
      <c r="G834" s="1046"/>
      <c r="H834" s="1046"/>
      <c r="I834" s="1046"/>
      <c r="J834" s="1047"/>
      <c r="K834" s="134"/>
      <c r="L834" s="62" t="str">
        <f t="shared" si="69"/>
        <v/>
      </c>
      <c r="M834" s="14"/>
      <c r="N834" s="89">
        <f t="array" ref="N834">SUM(IF((CsDJ[JEV Number]=TRIM($T815))*(CsDJ[Account Code]=TRIM(K834)),CsDJ[Debit]))</f>
        <v>0</v>
      </c>
      <c r="O834" s="89">
        <f t="array" ref="O834">SUM(IF((CsDJ[JEV Number]=TRIM($T815))*(CsDJ[Account Code]=TRIM(K834)),CsDJ[Credit]))</f>
        <v>0</v>
      </c>
      <c r="P834" s="1040">
        <f t="shared" si="70"/>
        <v>0</v>
      </c>
      <c r="Q834" s="1040"/>
      <c r="R834" s="1040"/>
      <c r="S834" s="1040">
        <f t="shared" si="71"/>
        <v>0</v>
      </c>
      <c r="T834" s="1040"/>
      <c r="U834" s="1040"/>
      <c r="V834" s="1041"/>
    </row>
    <row r="835" spans="1:22" x14ac:dyDescent="0.25">
      <c r="A835" s="1038"/>
      <c r="B835" s="1039"/>
      <c r="C835" s="1039"/>
      <c r="D835" s="1039"/>
      <c r="E835" s="1045" t="str">
        <f t="shared" si="68"/>
        <v/>
      </c>
      <c r="F835" s="1046"/>
      <c r="G835" s="1046"/>
      <c r="H835" s="1046"/>
      <c r="I835" s="1046"/>
      <c r="J835" s="1047"/>
      <c r="K835" s="134"/>
      <c r="L835" s="62" t="str">
        <f t="shared" si="69"/>
        <v/>
      </c>
      <c r="M835" s="14"/>
      <c r="N835" s="89">
        <f t="array" ref="N835">SUM(IF((CsDJ[JEV Number]=TRIM($T815))*(CsDJ[Account Code]=TRIM(K835)),CsDJ[Debit]))</f>
        <v>0</v>
      </c>
      <c r="O835" s="89">
        <f t="array" ref="O835">SUM(IF((CsDJ[JEV Number]=TRIM($T815))*(CsDJ[Account Code]=TRIM(K835)),CsDJ[Credit]))</f>
        <v>0</v>
      </c>
      <c r="P835" s="1040">
        <f t="shared" si="70"/>
        <v>0</v>
      </c>
      <c r="Q835" s="1040"/>
      <c r="R835" s="1040"/>
      <c r="S835" s="1040">
        <f t="shared" si="71"/>
        <v>0</v>
      </c>
      <c r="T835" s="1040"/>
      <c r="U835" s="1040"/>
      <c r="V835" s="1041"/>
    </row>
    <row r="836" spans="1:22" x14ac:dyDescent="0.25">
      <c r="A836" s="1038"/>
      <c r="B836" s="1039"/>
      <c r="C836" s="1039"/>
      <c r="D836" s="1039"/>
      <c r="E836" s="1045" t="str">
        <f t="shared" si="68"/>
        <v/>
      </c>
      <c r="F836" s="1046"/>
      <c r="G836" s="1046"/>
      <c r="H836" s="1046"/>
      <c r="I836" s="1046"/>
      <c r="J836" s="1047"/>
      <c r="K836" s="134"/>
      <c r="L836" s="62" t="str">
        <f t="shared" si="69"/>
        <v/>
      </c>
      <c r="M836" s="14"/>
      <c r="N836" s="89">
        <f t="array" ref="N836">SUM(IF((CsDJ[JEV Number]=TRIM($T815))*(CsDJ[Account Code]=TRIM(K836)),CsDJ[Debit]))</f>
        <v>0</v>
      </c>
      <c r="O836" s="89">
        <f t="array" ref="O836">SUM(IF((CsDJ[JEV Number]=TRIM($T815))*(CsDJ[Account Code]=TRIM(K836)),CsDJ[Credit]))</f>
        <v>0</v>
      </c>
      <c r="P836" s="1040">
        <f t="shared" si="70"/>
        <v>0</v>
      </c>
      <c r="Q836" s="1040"/>
      <c r="R836" s="1040"/>
      <c r="S836" s="1040">
        <f t="shared" si="71"/>
        <v>0</v>
      </c>
      <c r="T836" s="1040"/>
      <c r="U836" s="1040"/>
      <c r="V836" s="1041"/>
    </row>
    <row r="837" spans="1:22" x14ac:dyDescent="0.25">
      <c r="A837" s="1038"/>
      <c r="B837" s="1039"/>
      <c r="C837" s="1039"/>
      <c r="D837" s="1039"/>
      <c r="E837" s="1045" t="str">
        <f t="shared" si="68"/>
        <v/>
      </c>
      <c r="F837" s="1046"/>
      <c r="G837" s="1046"/>
      <c r="H837" s="1046"/>
      <c r="I837" s="1046"/>
      <c r="J837" s="1047"/>
      <c r="K837" s="134"/>
      <c r="L837" s="62" t="str">
        <f t="shared" si="69"/>
        <v/>
      </c>
      <c r="M837" s="14"/>
      <c r="N837" s="89">
        <f t="array" ref="N837">SUM(IF((CsDJ[JEV Number]=TRIM($T815))*(CsDJ[Account Code]=TRIM(K837)),CsDJ[Debit]))</f>
        <v>0</v>
      </c>
      <c r="O837" s="89">
        <f t="array" ref="O837">SUM(IF((CsDJ[JEV Number]=TRIM($T815))*(CsDJ[Account Code]=TRIM(K837)),CsDJ[Credit]))</f>
        <v>0</v>
      </c>
      <c r="P837" s="1040">
        <f t="shared" si="70"/>
        <v>0</v>
      </c>
      <c r="Q837" s="1040"/>
      <c r="R837" s="1040"/>
      <c r="S837" s="1040">
        <f t="shared" si="71"/>
        <v>0</v>
      </c>
      <c r="T837" s="1040"/>
      <c r="U837" s="1040"/>
      <c r="V837" s="1041"/>
    </row>
    <row r="838" spans="1:22" x14ac:dyDescent="0.25">
      <c r="A838" s="1038"/>
      <c r="B838" s="1039"/>
      <c r="C838" s="1039"/>
      <c r="D838" s="1039"/>
      <c r="E838" s="1045" t="str">
        <f t="shared" si="68"/>
        <v/>
      </c>
      <c r="F838" s="1046"/>
      <c r="G838" s="1046"/>
      <c r="H838" s="1046"/>
      <c r="I838" s="1046"/>
      <c r="J838" s="1047"/>
      <c r="K838" s="134"/>
      <c r="L838" s="62" t="str">
        <f t="shared" si="69"/>
        <v/>
      </c>
      <c r="M838" s="14"/>
      <c r="N838" s="89">
        <f t="array" ref="N838">SUM(IF((CsDJ[JEV Number]=TRIM($T815))*(CsDJ[Account Code]=TRIM(K838)),CsDJ[Debit]))</f>
        <v>0</v>
      </c>
      <c r="O838" s="89">
        <f t="array" ref="O838">SUM(IF((CsDJ[JEV Number]=TRIM($T815))*(CsDJ[Account Code]=TRIM(K838)),CsDJ[Credit]))</f>
        <v>0</v>
      </c>
      <c r="P838" s="1040">
        <f t="shared" si="70"/>
        <v>0</v>
      </c>
      <c r="Q838" s="1040"/>
      <c r="R838" s="1040"/>
      <c r="S838" s="1040">
        <f t="shared" si="71"/>
        <v>0</v>
      </c>
      <c r="T838" s="1040"/>
      <c r="U838" s="1040"/>
      <c r="V838" s="1041"/>
    </row>
    <row r="839" spans="1:22" x14ac:dyDescent="0.25">
      <c r="A839" s="1038"/>
      <c r="B839" s="1039"/>
      <c r="C839" s="1039"/>
      <c r="D839" s="1039"/>
      <c r="E839" s="1045" t="str">
        <f t="shared" si="68"/>
        <v/>
      </c>
      <c r="F839" s="1046"/>
      <c r="G839" s="1046"/>
      <c r="H839" s="1046"/>
      <c r="I839" s="1046"/>
      <c r="J839" s="1047"/>
      <c r="K839" s="134"/>
      <c r="L839" s="62" t="str">
        <f t="shared" si="69"/>
        <v/>
      </c>
      <c r="M839" s="14"/>
      <c r="N839" s="89">
        <f t="array" ref="N839">SUM(IF((CsDJ[JEV Number]=TRIM($T815))*(CsDJ[Account Code]=TRIM(K839)),CsDJ[Debit]))</f>
        <v>0</v>
      </c>
      <c r="O839" s="89">
        <f t="array" ref="O839">SUM(IF((CsDJ[JEV Number]=TRIM($T815))*(CsDJ[Account Code]=TRIM(K839)),CsDJ[Credit]))</f>
        <v>0</v>
      </c>
      <c r="P839" s="1040">
        <f t="shared" si="70"/>
        <v>0</v>
      </c>
      <c r="Q839" s="1040"/>
      <c r="R839" s="1040"/>
      <c r="S839" s="1040">
        <f t="shared" si="71"/>
        <v>0</v>
      </c>
      <c r="T839" s="1040"/>
      <c r="U839" s="1040"/>
      <c r="V839" s="1041"/>
    </row>
    <row r="840" spans="1:22" x14ac:dyDescent="0.25">
      <c r="A840" s="1038"/>
      <c r="B840" s="1039"/>
      <c r="C840" s="1039"/>
      <c r="D840" s="1039"/>
      <c r="E840" s="1045" t="str">
        <f t="shared" si="68"/>
        <v/>
      </c>
      <c r="F840" s="1046"/>
      <c r="G840" s="1046"/>
      <c r="H840" s="1046"/>
      <c r="I840" s="1046"/>
      <c r="J840" s="1047"/>
      <c r="K840" s="134"/>
      <c r="L840" s="62" t="str">
        <f t="shared" si="69"/>
        <v/>
      </c>
      <c r="M840" s="14"/>
      <c r="N840" s="89">
        <f t="array" ref="N840">SUM(IF((CsDJ[JEV Number]=TRIM($T815))*(CsDJ[Account Code]=TRIM(K840)),CsDJ[Debit]))</f>
        <v>0</v>
      </c>
      <c r="O840" s="89">
        <f t="array" ref="O840">SUM(IF((CsDJ[JEV Number]=TRIM($T815))*(CsDJ[Account Code]=TRIM(K840)),CsDJ[Credit]))</f>
        <v>0</v>
      </c>
      <c r="P840" s="1040">
        <f t="shared" si="70"/>
        <v>0</v>
      </c>
      <c r="Q840" s="1040"/>
      <c r="R840" s="1040"/>
      <c r="S840" s="1040">
        <f t="shared" si="71"/>
        <v>0</v>
      </c>
      <c r="T840" s="1040"/>
      <c r="U840" s="1040"/>
      <c r="V840" s="1041"/>
    </row>
    <row r="841" spans="1:22" x14ac:dyDescent="0.25">
      <c r="A841" s="1038"/>
      <c r="B841" s="1039"/>
      <c r="C841" s="1039"/>
      <c r="D841" s="1039"/>
      <c r="E841" s="1045" t="str">
        <f t="shared" si="68"/>
        <v/>
      </c>
      <c r="F841" s="1046"/>
      <c r="G841" s="1046"/>
      <c r="H841" s="1046"/>
      <c r="I841" s="1046"/>
      <c r="J841" s="1047"/>
      <c r="K841" s="134"/>
      <c r="L841" s="62" t="str">
        <f t="shared" si="69"/>
        <v/>
      </c>
      <c r="M841" s="14"/>
      <c r="N841" s="89">
        <f t="array" ref="N841">SUM(IF((CsDJ[JEV Number]=TRIM($T815))*(CsDJ[Account Code]=TRIM(K841)),CsDJ[Debit]))</f>
        <v>0</v>
      </c>
      <c r="O841" s="89">
        <f t="array" ref="O841">SUM(IF((CsDJ[JEV Number]=TRIM($T815))*(CsDJ[Account Code]=TRIM(K841)),CsDJ[Credit]))</f>
        <v>0</v>
      </c>
      <c r="P841" s="1040">
        <f t="shared" si="70"/>
        <v>0</v>
      </c>
      <c r="Q841" s="1040"/>
      <c r="R841" s="1040"/>
      <c r="S841" s="1040">
        <f t="shared" si="71"/>
        <v>0</v>
      </c>
      <c r="T841" s="1040"/>
      <c r="U841" s="1040"/>
      <c r="V841" s="1041"/>
    </row>
    <row r="842" spans="1:22" x14ac:dyDescent="0.25">
      <c r="A842" s="1038"/>
      <c r="B842" s="1039"/>
      <c r="C842" s="1039"/>
      <c r="D842" s="1039"/>
      <c r="E842" s="1045" t="str">
        <f t="shared" si="68"/>
        <v/>
      </c>
      <c r="F842" s="1046"/>
      <c r="G842" s="1046"/>
      <c r="H842" s="1046"/>
      <c r="I842" s="1046"/>
      <c r="J842" s="1047"/>
      <c r="K842" s="134"/>
      <c r="L842" s="62" t="str">
        <f t="shared" si="69"/>
        <v/>
      </c>
      <c r="M842" s="14"/>
      <c r="N842" s="89">
        <f t="array" ref="N842">SUM(IF((CsDJ[JEV Number]=TRIM($T815))*(CsDJ[Account Code]=TRIM(K842)),CsDJ[Debit]))</f>
        <v>0</v>
      </c>
      <c r="O842" s="89">
        <f t="array" ref="O842">SUM(IF((CsDJ[JEV Number]=TRIM($T815))*(CsDJ[Account Code]=TRIM(K842)),CsDJ[Credit]))</f>
        <v>0</v>
      </c>
      <c r="P842" s="1040">
        <f t="shared" si="70"/>
        <v>0</v>
      </c>
      <c r="Q842" s="1040"/>
      <c r="R842" s="1040"/>
      <c r="S842" s="1040">
        <f t="shared" si="71"/>
        <v>0</v>
      </c>
      <c r="T842" s="1040"/>
      <c r="U842" s="1040"/>
      <c r="V842" s="1041"/>
    </row>
    <row r="843" spans="1:22" x14ac:dyDescent="0.25">
      <c r="A843" s="1038"/>
      <c r="B843" s="1039"/>
      <c r="C843" s="1039"/>
      <c r="D843" s="1039"/>
      <c r="E843" s="1045" t="str">
        <f t="shared" si="68"/>
        <v/>
      </c>
      <c r="F843" s="1046"/>
      <c r="G843" s="1046"/>
      <c r="H843" s="1046"/>
      <c r="I843" s="1046"/>
      <c r="J843" s="1047"/>
      <c r="K843" s="134"/>
      <c r="L843" s="62" t="str">
        <f t="shared" si="69"/>
        <v/>
      </c>
      <c r="M843" s="14"/>
      <c r="N843" s="89">
        <f t="array" ref="N843">SUM(IF((CsDJ[JEV Number]=TRIM($T815))*(CsDJ[Account Code]=TRIM(K843)),CsDJ[Debit]))</f>
        <v>0</v>
      </c>
      <c r="O843" s="89">
        <f t="array" ref="O843">SUM(IF((CsDJ[JEV Number]=TRIM($T815))*(CsDJ[Account Code]=TRIM(K843)),CsDJ[Credit]))</f>
        <v>0</v>
      </c>
      <c r="P843" s="1040">
        <f t="shared" si="70"/>
        <v>0</v>
      </c>
      <c r="Q843" s="1040"/>
      <c r="R843" s="1040"/>
      <c r="S843" s="1040">
        <f t="shared" si="71"/>
        <v>0</v>
      </c>
      <c r="T843" s="1040"/>
      <c r="U843" s="1040"/>
      <c r="V843" s="1041"/>
    </row>
    <row r="844" spans="1:22" x14ac:dyDescent="0.25">
      <c r="A844" s="1038"/>
      <c r="B844" s="1039"/>
      <c r="C844" s="1039"/>
      <c r="D844" s="1039"/>
      <c r="E844" s="1045" t="str">
        <f t="shared" si="68"/>
        <v/>
      </c>
      <c r="F844" s="1046"/>
      <c r="G844" s="1046"/>
      <c r="H844" s="1046"/>
      <c r="I844" s="1046"/>
      <c r="J844" s="1047"/>
      <c r="K844" s="134"/>
      <c r="L844" s="62" t="str">
        <f t="shared" si="69"/>
        <v/>
      </c>
      <c r="M844" s="14"/>
      <c r="N844" s="89">
        <f t="array" ref="N844">SUM(IF((CsDJ[JEV Number]=TRIM($T815))*(CsDJ[Account Code]=TRIM(K844)),CsDJ[Debit]))</f>
        <v>0</v>
      </c>
      <c r="O844" s="89">
        <f t="array" ref="O844">SUM(IF((CsDJ[JEV Number]=TRIM($T815))*(CsDJ[Account Code]=TRIM(K844)),CsDJ[Credit]))</f>
        <v>0</v>
      </c>
      <c r="P844" s="1040">
        <f t="shared" si="70"/>
        <v>0</v>
      </c>
      <c r="Q844" s="1040"/>
      <c r="R844" s="1040"/>
      <c r="S844" s="1040">
        <f t="shared" si="71"/>
        <v>0</v>
      </c>
      <c r="T844" s="1040"/>
      <c r="U844" s="1040"/>
      <c r="V844" s="1041"/>
    </row>
    <row r="845" spans="1:22" x14ac:dyDescent="0.25">
      <c r="A845" s="1038"/>
      <c r="B845" s="1039"/>
      <c r="C845" s="1039"/>
      <c r="D845" s="1039"/>
      <c r="E845" s="1045" t="str">
        <f t="shared" si="68"/>
        <v/>
      </c>
      <c r="F845" s="1046"/>
      <c r="G845" s="1046"/>
      <c r="H845" s="1046"/>
      <c r="I845" s="1046"/>
      <c r="J845" s="1047"/>
      <c r="K845" s="134"/>
      <c r="L845" s="62" t="str">
        <f t="shared" si="69"/>
        <v/>
      </c>
      <c r="M845" s="14"/>
      <c r="N845" s="89">
        <f t="array" ref="N845">SUM(IF((CsDJ[JEV Number]=TRIM($T815))*(CsDJ[Account Code]=TRIM(K845)),CsDJ[Debit]))</f>
        <v>0</v>
      </c>
      <c r="O845" s="89">
        <f t="array" ref="O845">SUM(IF((CsDJ[JEV Number]=TRIM($T815))*(CsDJ[Account Code]=TRIM(K845)),CsDJ[Credit]))</f>
        <v>0</v>
      </c>
      <c r="P845" s="1040">
        <f t="shared" si="70"/>
        <v>0</v>
      </c>
      <c r="Q845" s="1040"/>
      <c r="R845" s="1040"/>
      <c r="S845" s="1040">
        <f t="shared" si="71"/>
        <v>0</v>
      </c>
      <c r="T845" s="1040"/>
      <c r="U845" s="1040"/>
      <c r="V845" s="1041"/>
    </row>
    <row r="846" spans="1:22" x14ac:dyDescent="0.25">
      <c r="A846" s="1038"/>
      <c r="B846" s="1039"/>
      <c r="C846" s="1039"/>
      <c r="D846" s="1039"/>
      <c r="E846" s="1045" t="str">
        <f t="shared" si="68"/>
        <v/>
      </c>
      <c r="F846" s="1046"/>
      <c r="G846" s="1046"/>
      <c r="H846" s="1046"/>
      <c r="I846" s="1046"/>
      <c r="J846" s="1047"/>
      <c r="K846" s="134"/>
      <c r="L846" s="62" t="str">
        <f t="shared" si="69"/>
        <v/>
      </c>
      <c r="M846" s="14"/>
      <c r="N846" s="89">
        <f t="array" ref="N846">SUM(IF((CsDJ[JEV Number]=TRIM($T815))*(CsDJ[Account Code]=TRIM(K846)),CsDJ[Debit]))</f>
        <v>0</v>
      </c>
      <c r="O846" s="89">
        <f t="array" ref="O846">SUM(IF((CsDJ[JEV Number]=TRIM($T815))*(CsDJ[Account Code]=TRIM(K846)),CsDJ[Credit]))</f>
        <v>0</v>
      </c>
      <c r="P846" s="1040">
        <f t="shared" si="70"/>
        <v>0</v>
      </c>
      <c r="Q846" s="1040"/>
      <c r="R846" s="1040"/>
      <c r="S846" s="1040">
        <f t="shared" si="71"/>
        <v>0</v>
      </c>
      <c r="T846" s="1040"/>
      <c r="U846" s="1040"/>
      <c r="V846" s="1041"/>
    </row>
    <row r="847" spans="1:22" x14ac:dyDescent="0.25">
      <c r="A847" s="1038"/>
      <c r="B847" s="1039"/>
      <c r="C847" s="1039"/>
      <c r="D847" s="1039"/>
      <c r="E847" s="1045" t="str">
        <f t="shared" si="68"/>
        <v/>
      </c>
      <c r="F847" s="1046"/>
      <c r="G847" s="1046"/>
      <c r="H847" s="1046"/>
      <c r="I847" s="1046"/>
      <c r="J847" s="1047"/>
      <c r="K847" s="134"/>
      <c r="L847" s="62" t="str">
        <f t="shared" si="69"/>
        <v/>
      </c>
      <c r="M847" s="14"/>
      <c r="N847" s="89">
        <f t="array" ref="N847">SUM(IF((CsDJ[JEV Number]=TRIM($T815))*(CsDJ[Account Code]=TRIM(K847)),CsDJ[Debit]))</f>
        <v>0</v>
      </c>
      <c r="O847" s="89">
        <f t="array" ref="O847">SUM(IF((CsDJ[JEV Number]=TRIM($T815))*(CsDJ[Account Code]=TRIM(K847)),CsDJ[Credit]))</f>
        <v>0</v>
      </c>
      <c r="P847" s="1040">
        <f t="shared" si="70"/>
        <v>0</v>
      </c>
      <c r="Q847" s="1040"/>
      <c r="R847" s="1040"/>
      <c r="S847" s="1040">
        <f t="shared" si="71"/>
        <v>0</v>
      </c>
      <c r="T847" s="1040"/>
      <c r="U847" s="1040"/>
      <c r="V847" s="1041"/>
    </row>
    <row r="848" spans="1:22" x14ac:dyDescent="0.25">
      <c r="A848" s="1038"/>
      <c r="B848" s="1039"/>
      <c r="C848" s="1039"/>
      <c r="D848" s="1039"/>
      <c r="E848" s="1045" t="str">
        <f t="shared" si="68"/>
        <v/>
      </c>
      <c r="F848" s="1046"/>
      <c r="G848" s="1046"/>
      <c r="H848" s="1046"/>
      <c r="I848" s="1046"/>
      <c r="J848" s="1047"/>
      <c r="K848" s="134"/>
      <c r="L848" s="62" t="str">
        <f t="shared" si="69"/>
        <v/>
      </c>
      <c r="M848" s="14"/>
      <c r="N848" s="89">
        <f t="array" ref="N848">SUM(IF((CsDJ[JEV Number]=TRIM($T815))*(CsDJ[Account Code]=TRIM(K848)),CsDJ[Debit]))</f>
        <v>0</v>
      </c>
      <c r="O848" s="89">
        <f t="array" ref="O848">SUM(IF((CsDJ[JEV Number]=TRIM($T815))*(CsDJ[Account Code]=TRIM(K848)),CsDJ[Credit]))</f>
        <v>0</v>
      </c>
      <c r="P848" s="1040">
        <f t="shared" si="70"/>
        <v>0</v>
      </c>
      <c r="Q848" s="1040"/>
      <c r="R848" s="1040"/>
      <c r="S848" s="1040">
        <f t="shared" si="71"/>
        <v>0</v>
      </c>
      <c r="T848" s="1040"/>
      <c r="U848" s="1040"/>
      <c r="V848" s="1041"/>
    </row>
    <row r="849" spans="1:22" x14ac:dyDescent="0.25">
      <c r="A849" s="1038"/>
      <c r="B849" s="1039"/>
      <c r="C849" s="1039"/>
      <c r="D849" s="1039"/>
      <c r="E849" s="1108" t="s">
        <v>468</v>
      </c>
      <c r="F849" s="1109"/>
      <c r="G849" s="1109"/>
      <c r="H849" s="1109"/>
      <c r="I849" s="1109"/>
      <c r="J849" s="1110"/>
      <c r="K849" s="133"/>
      <c r="L849" s="62" t="str">
        <f t="shared" si="69"/>
        <v/>
      </c>
      <c r="M849" s="14"/>
      <c r="N849" s="89">
        <f t="array" ref="N849">SUM(IF((CsDJ[JEV Number]=TRIM($T815))*(CsDJ[Account Code]=TRIM(K849)),CsDJ[Debit]))</f>
        <v>0</v>
      </c>
      <c r="O849" s="89">
        <f t="array" ref="O849">SUM(IF((CsDJ[JEV Number]=TRIM($T815))*(CsDJ[Account Code]=TRIM(K849)),CsDJ[Credit]))</f>
        <v>0</v>
      </c>
      <c r="P849" s="1040">
        <f t="shared" si="70"/>
        <v>0</v>
      </c>
      <c r="Q849" s="1040"/>
      <c r="R849" s="1040"/>
      <c r="S849" s="1040">
        <f t="shared" si="71"/>
        <v>0</v>
      </c>
      <c r="T849" s="1040"/>
      <c r="U849" s="1040"/>
      <c r="V849" s="1041"/>
    </row>
    <row r="850" spans="1:22" x14ac:dyDescent="0.25">
      <c r="A850" s="1038"/>
      <c r="B850" s="1039"/>
      <c r="C850" s="1039"/>
      <c r="D850" s="1039"/>
      <c r="E850" s="1048" t="s">
        <v>457</v>
      </c>
      <c r="F850" s="1049"/>
      <c r="G850" s="1049"/>
      <c r="H850" s="1049"/>
      <c r="I850" s="1051">
        <f>T816</f>
        <v>0</v>
      </c>
      <c r="J850" s="1052"/>
      <c r="K850" s="133"/>
      <c r="L850" s="62" t="str">
        <f t="shared" si="69"/>
        <v/>
      </c>
      <c r="M850" s="14"/>
      <c r="N850" s="89">
        <f t="array" ref="N850">SUM(IF((CsDJ[JEV Number]=TRIM($T815))*(CsDJ[Account Code]=TRIM(K850)),CsDJ[Debit]))</f>
        <v>0</v>
      </c>
      <c r="O850" s="89">
        <f t="array" ref="O850">SUM(IF((CsDJ[JEV Number]=TRIM($T815))*(CsDJ[Account Code]=TRIM(K850)),CsDJ[Credit]))</f>
        <v>0</v>
      </c>
      <c r="P850" s="1040">
        <f t="shared" si="70"/>
        <v>0</v>
      </c>
      <c r="Q850" s="1040"/>
      <c r="R850" s="1040"/>
      <c r="S850" s="1040">
        <f t="shared" si="71"/>
        <v>0</v>
      </c>
      <c r="T850" s="1040"/>
      <c r="U850" s="1040"/>
      <c r="V850" s="1041"/>
    </row>
    <row r="851" spans="1:22" x14ac:dyDescent="0.25">
      <c r="A851" s="1038"/>
      <c r="B851" s="1039"/>
      <c r="C851" s="1039"/>
      <c r="D851" s="1039"/>
      <c r="E851" s="1048" t="s">
        <v>458</v>
      </c>
      <c r="F851" s="1049"/>
      <c r="G851" s="1049"/>
      <c r="H851" s="1049"/>
      <c r="I851" s="1106">
        <f>IF(T815=0,0,(IF(LOOKUP(T815,CsDJ[JEV Number],CsDJ[Sort Code])="1","MA. VIVIAN C. SALAS",IF(LOOKUP(T815,CsDJ[JEV Number],CsDJ[Sort Code])="2","LUZ R. DE COZAR",IF(LOOKUP(T815,CsDJ[JEV Number],CsDJ[Sort Code])="3","MINEONETTE A. DELA CRUZ",IF(LOOKUP(T815,CsDJ[JEV Number],CsDJ[Sort Code])="4","RESELLA B. LOPEZ"))))))</f>
        <v>0</v>
      </c>
      <c r="J851" s="1107"/>
      <c r="K851" s="133"/>
      <c r="L851" s="62" t="str">
        <f t="shared" si="69"/>
        <v/>
      </c>
      <c r="M851" s="14"/>
      <c r="N851" s="89">
        <f t="array" ref="N851">SUM(IF((CsDJ[JEV Number]=TRIM($T815))*(CsDJ[Account Code]=TRIM(K851)),CsDJ[Debit]))</f>
        <v>0</v>
      </c>
      <c r="O851" s="89">
        <f t="array" ref="O851">SUM(IF((CsDJ[JEV Number]=TRIM($T815))*(CsDJ[Account Code]=TRIM(K851)),CsDJ[Credit]))</f>
        <v>0</v>
      </c>
      <c r="P851" s="1040">
        <f t="shared" si="70"/>
        <v>0</v>
      </c>
      <c r="Q851" s="1040"/>
      <c r="R851" s="1040"/>
      <c r="S851" s="1040">
        <f t="shared" si="71"/>
        <v>0</v>
      </c>
      <c r="T851" s="1040"/>
      <c r="U851" s="1040"/>
      <c r="V851" s="1041"/>
    </row>
    <row r="852" spans="1:22" x14ac:dyDescent="0.25">
      <c r="A852" s="1038"/>
      <c r="B852" s="1039"/>
      <c r="C852" s="1039"/>
      <c r="D852" s="1039"/>
      <c r="E852" s="1048" t="s">
        <v>459</v>
      </c>
      <c r="F852" s="1049"/>
      <c r="G852" s="1049"/>
      <c r="H852" s="1049"/>
      <c r="I852" s="1043">
        <f>IF(I851="Ma. Vivian C. Salas","Regional Office", IF(I851="Luz R. De Cozar","BANE IMO", IF(I851="Mineonette A. Dela Cruz","PAMBAT IMO", IF(I851="Resella B. Lopez","TARZAM IMO",0))))</f>
        <v>0</v>
      </c>
      <c r="J852" s="1044"/>
      <c r="K852" s="133"/>
      <c r="L852" s="62" t="str">
        <f t="shared" si="69"/>
        <v/>
      </c>
      <c r="M852" s="14"/>
      <c r="N852" s="89">
        <f t="array" ref="N852">SUM(IF((CsDJ[JEV Number]=TRIM($T815))*(CsDJ[Account Code]=TRIM(K852)),CsDJ[Debit]))</f>
        <v>0</v>
      </c>
      <c r="O852" s="89">
        <f t="array" ref="O852">SUM(IF((CsDJ[JEV Number]=TRIM($T815))*(CsDJ[Account Code]=TRIM(K852)),CsDJ[Credit]))</f>
        <v>0</v>
      </c>
      <c r="P852" s="1040">
        <f t="shared" si="70"/>
        <v>0</v>
      </c>
      <c r="Q852" s="1040"/>
      <c r="R852" s="1040"/>
      <c r="S852" s="1040">
        <f t="shared" si="71"/>
        <v>0</v>
      </c>
      <c r="T852" s="1040"/>
      <c r="U852" s="1040"/>
      <c r="V852" s="1041"/>
    </row>
    <row r="853" spans="1:22" x14ac:dyDescent="0.25">
      <c r="A853" s="1038"/>
      <c r="B853" s="1039"/>
      <c r="C853" s="1039"/>
      <c r="D853" s="1039"/>
      <c r="E853" s="1048"/>
      <c r="F853" s="1049"/>
      <c r="G853" s="1049"/>
      <c r="H853" s="1049"/>
      <c r="I853" s="1049"/>
      <c r="J853" s="1050"/>
      <c r="K853" s="133"/>
      <c r="L853" s="62" t="str">
        <f t="shared" si="69"/>
        <v/>
      </c>
      <c r="M853" s="14"/>
      <c r="N853" s="89">
        <f t="array" ref="N853">SUM(IF((CsDJ[JEV Number]=TRIM($T815))*(CsDJ[Account Code]=TRIM(K853)),CsDJ[Debit]))</f>
        <v>0</v>
      </c>
      <c r="O853" s="89">
        <f t="array" ref="O853">SUM(IF((CsDJ[JEV Number]=TRIM($T815))*(CsDJ[Account Code]=TRIM(K853)),CsDJ[Credit]))</f>
        <v>0</v>
      </c>
      <c r="P853" s="1040">
        <f t="shared" si="70"/>
        <v>0</v>
      </c>
      <c r="Q853" s="1040"/>
      <c r="R853" s="1040"/>
      <c r="S853" s="1040">
        <f t="shared" si="71"/>
        <v>0</v>
      </c>
      <c r="T853" s="1040"/>
      <c r="U853" s="1040"/>
      <c r="V853" s="1041"/>
    </row>
    <row r="854" spans="1:22" ht="16.5" thickBot="1" x14ac:dyDescent="0.3">
      <c r="A854" s="1091"/>
      <c r="B854" s="1092"/>
      <c r="C854" s="1092"/>
      <c r="D854" s="1092"/>
      <c r="E854" s="1092"/>
      <c r="F854" s="1092"/>
      <c r="G854" s="1092"/>
      <c r="H854" s="1092"/>
      <c r="I854" s="1092"/>
      <c r="J854" s="1092"/>
      <c r="K854" s="1092"/>
      <c r="L854" s="1092"/>
      <c r="M854" s="1093"/>
      <c r="N854" s="88"/>
      <c r="O854" s="88"/>
      <c r="P854" s="1094">
        <f>SUM(P824:R853)</f>
        <v>0</v>
      </c>
      <c r="Q854" s="1094"/>
      <c r="R854" s="1094"/>
      <c r="S854" s="1094">
        <f>SUM(S824:V853)</f>
        <v>0</v>
      </c>
      <c r="T854" s="1094"/>
      <c r="U854" s="1094"/>
      <c r="V854" s="1095"/>
    </row>
    <row r="855" spans="1:22" x14ac:dyDescent="0.25">
      <c r="A855" s="63"/>
      <c r="B855" s="64"/>
      <c r="C855" s="64"/>
      <c r="D855" s="64"/>
      <c r="E855" s="64"/>
      <c r="F855" s="64"/>
      <c r="G855" s="64"/>
      <c r="H855" s="64"/>
      <c r="I855" s="65"/>
      <c r="J855" s="64"/>
      <c r="K855" s="66"/>
      <c r="L855" s="64"/>
      <c r="M855" s="65"/>
      <c r="N855" s="64"/>
      <c r="O855" s="64"/>
      <c r="P855" s="1090"/>
      <c r="Q855" s="1090"/>
      <c r="R855" s="1090"/>
      <c r="S855" s="1090"/>
      <c r="T855" s="1090"/>
      <c r="U855" s="1090"/>
      <c r="V855" s="1096"/>
    </row>
    <row r="856" spans="1:22" x14ac:dyDescent="0.25">
      <c r="A856" s="67" t="s">
        <v>460</v>
      </c>
      <c r="B856"/>
      <c r="C856"/>
      <c r="D856"/>
      <c r="E856"/>
      <c r="F856"/>
      <c r="G856"/>
      <c r="H856"/>
      <c r="I856" s="68" t="s">
        <v>353</v>
      </c>
      <c r="J856" s="69"/>
      <c r="K856" s="69"/>
      <c r="L856"/>
      <c r="M856" s="68" t="s">
        <v>461</v>
      </c>
      <c r="N856" s="69"/>
      <c r="O856" s="69"/>
      <c r="P856" s="70"/>
      <c r="Q856" s="70"/>
      <c r="R856" s="70"/>
      <c r="S856" s="70"/>
      <c r="T856" s="70"/>
      <c r="U856" s="70"/>
      <c r="V856" s="71"/>
    </row>
    <row r="857" spans="1:22" x14ac:dyDescent="0.25">
      <c r="A857" s="37"/>
      <c r="B857"/>
      <c r="C857"/>
      <c r="D857"/>
      <c r="E857"/>
      <c r="F857"/>
      <c r="G857"/>
      <c r="H857"/>
      <c r="I857" s="72"/>
      <c r="J857"/>
      <c r="K857"/>
      <c r="L857"/>
      <c r="M857" s="72"/>
      <c r="N857"/>
      <c r="O857"/>
      <c r="P857"/>
      <c r="Q857"/>
      <c r="R857"/>
      <c r="S857"/>
      <c r="T857"/>
      <c r="U857"/>
      <c r="V857" s="73"/>
    </row>
    <row r="858" spans="1:22" x14ac:dyDescent="0.25">
      <c r="A858" s="74" t="s">
        <v>462</v>
      </c>
      <c r="B858" s="75"/>
      <c r="C858" s="75"/>
      <c r="D858" s="75"/>
      <c r="E858" s="75"/>
      <c r="F858" s="75"/>
      <c r="G858" s="75"/>
      <c r="H858" s="76"/>
      <c r="I858" s="77" t="s">
        <v>380</v>
      </c>
      <c r="J858" s="75"/>
      <c r="K858" s="75"/>
      <c r="L858" s="76"/>
      <c r="M858" s="77" t="s">
        <v>3</v>
      </c>
      <c r="N858" s="75"/>
      <c r="O858" s="75"/>
      <c r="P858" s="75"/>
      <c r="Q858" s="75"/>
      <c r="R858" s="75"/>
      <c r="S858" s="75"/>
      <c r="T858" s="75"/>
      <c r="U858" s="75"/>
      <c r="V858" s="78"/>
    </row>
    <row r="859" spans="1:22" x14ac:dyDescent="0.25">
      <c r="A859" s="79" t="s">
        <v>463</v>
      </c>
      <c r="B859" s="80"/>
      <c r="C859" s="80"/>
      <c r="D859" s="80"/>
      <c r="E859" s="80"/>
      <c r="F859" s="80"/>
      <c r="G859" s="80"/>
      <c r="H859" s="80"/>
      <c r="I859" s="81" t="s">
        <v>381</v>
      </c>
      <c r="J859" s="80"/>
      <c r="K859" s="80"/>
      <c r="L859" s="80"/>
      <c r="M859" s="81" t="s">
        <v>464</v>
      </c>
      <c r="N859" s="80"/>
      <c r="O859" s="80"/>
      <c r="P859" s="82"/>
      <c r="Q859" s="82"/>
      <c r="R859" s="82"/>
      <c r="S859" s="82"/>
      <c r="T859" s="82"/>
      <c r="U859" s="82"/>
      <c r="V859" s="83"/>
    </row>
    <row r="860" spans="1:22" ht="16.5" thickBot="1" x14ac:dyDescent="0.3">
      <c r="A860" s="84" t="s">
        <v>465</v>
      </c>
      <c r="B860" s="43"/>
      <c r="C860" s="43"/>
      <c r="D860" s="43"/>
      <c r="E860" s="43"/>
      <c r="F860" s="43"/>
      <c r="G860" s="43"/>
      <c r="H860" s="43"/>
      <c r="I860" s="85"/>
      <c r="J860" s="43"/>
      <c r="K860" s="43"/>
      <c r="L860" s="43"/>
      <c r="M860" s="85"/>
      <c r="N860" s="43"/>
      <c r="O860" s="43"/>
      <c r="P860" s="43"/>
      <c r="Q860" s="43"/>
      <c r="R860" s="43"/>
      <c r="S860" s="43"/>
      <c r="T860" s="43"/>
      <c r="U860" s="43"/>
      <c r="V860" s="44"/>
    </row>
    <row r="861" spans="1:22" ht="22.5" x14ac:dyDescent="0.25">
      <c r="A861" s="31" t="s">
        <v>441</v>
      </c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3"/>
      <c r="R861" s="1053">
        <f>+P901-S901</f>
        <v>0</v>
      </c>
      <c r="S861" s="1054"/>
      <c r="T861" s="1054"/>
      <c r="U861" s="1054"/>
      <c r="V861" s="1055"/>
    </row>
    <row r="862" spans="1:22" x14ac:dyDescent="0.25">
      <c r="A862" s="34" t="s">
        <v>442</v>
      </c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6"/>
      <c r="R862" s="37" t="s">
        <v>443</v>
      </c>
      <c r="S862"/>
      <c r="T862" s="1056"/>
      <c r="U862" s="1056"/>
      <c r="V862" s="1057"/>
    </row>
    <row r="863" spans="1:22" x14ac:dyDescent="0.25">
      <c r="A863" s="38" t="s">
        <v>444</v>
      </c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6"/>
      <c r="R863" s="37" t="s">
        <v>0</v>
      </c>
      <c r="S863"/>
      <c r="T863" s="1058">
        <f>IF(T862=0,0,(LOOKUP(T862,CsDJ[JEV Number],CsDJ[Date])))</f>
        <v>0</v>
      </c>
      <c r="U863" s="1058"/>
      <c r="V863" s="1059"/>
    </row>
    <row r="864" spans="1:22" ht="16.5" thickBot="1" x14ac:dyDescent="0.3">
      <c r="A864" s="39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1"/>
      <c r="R864" s="42"/>
      <c r="S864" s="43"/>
      <c r="T864" s="43"/>
      <c r="U864" s="43"/>
      <c r="V864" s="44"/>
    </row>
    <row r="865" spans="1:22" x14ac:dyDescent="0.25">
      <c r="A865" s="45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7"/>
      <c r="M865" s="46"/>
      <c r="N865" s="46"/>
      <c r="O865" s="46"/>
      <c r="P865" s="46"/>
      <c r="Q865" s="46"/>
      <c r="R865" s="46"/>
      <c r="S865" s="46"/>
      <c r="T865" s="46"/>
      <c r="U865" s="46"/>
      <c r="V865" s="48"/>
    </row>
    <row r="866" spans="1:22" x14ac:dyDescent="0.25">
      <c r="A866" s="49"/>
      <c r="B866" s="1060"/>
      <c r="C866" s="1060"/>
      <c r="D866" s="50" t="s">
        <v>445</v>
      </c>
      <c r="H866" s="51"/>
      <c r="I866" s="25" t="s">
        <v>447</v>
      </c>
      <c r="J866" s="132" t="s">
        <v>446</v>
      </c>
      <c r="K866" s="52" t="s">
        <v>448</v>
      </c>
      <c r="L866" s="52"/>
      <c r="Q866" s="1060"/>
      <c r="R866" s="1060"/>
      <c r="S866" s="50" t="s">
        <v>449</v>
      </c>
      <c r="T866" s="50"/>
      <c r="U866" s="50"/>
      <c r="V866" s="53"/>
    </row>
    <row r="867" spans="1:22" ht="16.5" thickBot="1" x14ac:dyDescent="0.3">
      <c r="A867" s="54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6"/>
      <c r="M867" s="55"/>
      <c r="N867" s="55"/>
      <c r="O867" s="55"/>
      <c r="P867" s="55"/>
      <c r="Q867" s="55"/>
      <c r="R867" s="55"/>
      <c r="S867" s="55"/>
      <c r="T867" s="55"/>
      <c r="U867" s="55"/>
      <c r="V867" s="57"/>
    </row>
    <row r="868" spans="1:22" x14ac:dyDescent="0.25">
      <c r="A868" s="1061" t="s">
        <v>397</v>
      </c>
      <c r="B868" s="1062"/>
      <c r="C868" s="1062"/>
      <c r="D868" s="1063"/>
      <c r="E868" s="1070" t="s">
        <v>450</v>
      </c>
      <c r="F868" s="1070"/>
      <c r="G868" s="1070"/>
      <c r="H868" s="1070"/>
      <c r="I868" s="1070"/>
      <c r="J868" s="1070"/>
      <c r="K868" s="1070"/>
      <c r="L868" s="1070"/>
      <c r="M868" s="1070"/>
      <c r="N868" s="1070"/>
      <c r="O868" s="1070"/>
      <c r="P868" s="1070"/>
      <c r="Q868" s="1070"/>
      <c r="R868" s="1070"/>
      <c r="S868" s="1070"/>
      <c r="T868" s="1070"/>
      <c r="U868" s="1070"/>
      <c r="V868" s="1071"/>
    </row>
    <row r="869" spans="1:22" x14ac:dyDescent="0.25">
      <c r="A869" s="1064"/>
      <c r="B869" s="1065"/>
      <c r="C869" s="1065"/>
      <c r="D869" s="1066"/>
      <c r="E869" s="1072" t="s">
        <v>451</v>
      </c>
      <c r="F869" s="1072"/>
      <c r="G869" s="1072"/>
      <c r="H869" s="1072"/>
      <c r="I869" s="1072"/>
      <c r="J869" s="1072"/>
      <c r="K869" s="1074" t="s">
        <v>378</v>
      </c>
      <c r="L869" s="1074"/>
      <c r="M869" s="1072" t="s">
        <v>452</v>
      </c>
      <c r="N869" s="1075" t="s">
        <v>453</v>
      </c>
      <c r="O869" s="1076"/>
      <c r="P869" s="1076"/>
      <c r="Q869" s="1076"/>
      <c r="R869" s="1076"/>
      <c r="S869" s="1076"/>
      <c r="T869" s="1076"/>
      <c r="U869" s="1076"/>
      <c r="V869" s="1077"/>
    </row>
    <row r="870" spans="1:22" ht="16.5" customHeight="1" thickBot="1" x14ac:dyDescent="0.3">
      <c r="A870" s="1067"/>
      <c r="B870" s="1068"/>
      <c r="C870" s="1068"/>
      <c r="D870" s="1069"/>
      <c r="E870" s="1073"/>
      <c r="F870" s="1073"/>
      <c r="G870" s="1073"/>
      <c r="H870" s="1073"/>
      <c r="I870" s="1073"/>
      <c r="J870" s="1073"/>
      <c r="K870" s="58" t="s">
        <v>454</v>
      </c>
      <c r="L870" s="58" t="s">
        <v>455</v>
      </c>
      <c r="M870" s="1073"/>
      <c r="N870" s="87" t="s">
        <v>466</v>
      </c>
      <c r="O870" s="87" t="s">
        <v>467</v>
      </c>
      <c r="P870" s="1078" t="s">
        <v>1</v>
      </c>
      <c r="Q870" s="1079"/>
      <c r="R870" s="1080"/>
      <c r="S870" s="1078" t="s">
        <v>2</v>
      </c>
      <c r="T870" s="1079"/>
      <c r="U870" s="1079"/>
      <c r="V870" s="1081"/>
    </row>
    <row r="871" spans="1:22" ht="19.5" x14ac:dyDescent="0.3">
      <c r="A871" s="1082">
        <f>P901-S901</f>
        <v>0</v>
      </c>
      <c r="B871" s="1083"/>
      <c r="C871" s="1083"/>
      <c r="D871" s="1083"/>
      <c r="E871" s="1084" t="str">
        <f>Account!$G$1</f>
        <v>FUND 501 CARP</v>
      </c>
      <c r="F871" s="1085"/>
      <c r="G871" s="1085"/>
      <c r="H871" s="1085"/>
      <c r="I871" s="1085"/>
      <c r="J871" s="1086"/>
      <c r="K871" s="59"/>
      <c r="L871" s="59"/>
      <c r="M871" s="60"/>
      <c r="N871" s="60"/>
      <c r="O871" s="60"/>
      <c r="P871" s="1087"/>
      <c r="Q871" s="1087"/>
      <c r="R871" s="1087"/>
      <c r="S871" s="1087"/>
      <c r="T871" s="1087"/>
      <c r="U871" s="1087"/>
      <c r="V871" s="1088"/>
    </row>
    <row r="872" spans="1:22" x14ac:dyDescent="0.25">
      <c r="A872" s="1038"/>
      <c r="B872" s="1039"/>
      <c r="C872" s="1039"/>
      <c r="D872" s="1039"/>
      <c r="E872" s="1039"/>
      <c r="F872" s="1039"/>
      <c r="G872" s="1039"/>
      <c r="H872" s="1039"/>
      <c r="I872" s="1039"/>
      <c r="J872" s="1039"/>
      <c r="K872" s="61"/>
      <c r="L872" s="61"/>
      <c r="M872" s="14"/>
      <c r="N872" s="14"/>
      <c r="O872" s="14"/>
      <c r="P872" s="1039"/>
      <c r="Q872" s="1039"/>
      <c r="R872" s="1039"/>
      <c r="S872" s="1039"/>
      <c r="T872" s="1039"/>
      <c r="U872" s="1039"/>
      <c r="V872" s="1089"/>
    </row>
    <row r="873" spans="1:22" x14ac:dyDescent="0.25">
      <c r="A873" s="1038"/>
      <c r="B873" s="1039"/>
      <c r="C873" s="1039"/>
      <c r="D873" s="1039"/>
      <c r="E873" s="1045" t="str">
        <f t="shared" ref="E873:E895" si="72">IF(K873=0,"",(VLOOKUP((TRIM(K873)),Code,2,)))</f>
        <v/>
      </c>
      <c r="F873" s="1046"/>
      <c r="G873" s="1046"/>
      <c r="H873" s="1046"/>
      <c r="I873" s="1046"/>
      <c r="J873" s="1047"/>
      <c r="K873" s="133"/>
      <c r="L873" s="62" t="str">
        <f t="shared" ref="L873:L900" si="73">IF(K873=0,"",VLOOKUP((TRIM(K873)),Code,3,))</f>
        <v/>
      </c>
      <c r="M873" s="14"/>
      <c r="N873" s="89">
        <f t="array" ref="N873">SUM(IF((CsDJ[JEV Number]=TRIM($T862))*(CsDJ[Account Code]=TRIM(K873)),CsDJ[Debit]))</f>
        <v>0</v>
      </c>
      <c r="O873" s="89">
        <f t="array" ref="O873">SUM(IF((CsDJ[JEV Number]=TRIM($T862))*(CsDJ[Account Code]=TRIM(K873)),CsDJ[Credit]))</f>
        <v>0</v>
      </c>
      <c r="P873" s="1040">
        <f>N873</f>
        <v>0</v>
      </c>
      <c r="Q873" s="1040"/>
      <c r="R873" s="1040"/>
      <c r="S873" s="1040">
        <f>O873</f>
        <v>0</v>
      </c>
      <c r="T873" s="1040"/>
      <c r="U873" s="1040"/>
      <c r="V873" s="1041"/>
    </row>
    <row r="874" spans="1:22" x14ac:dyDescent="0.25">
      <c r="A874" s="1038"/>
      <c r="B874" s="1039"/>
      <c r="C874" s="1039"/>
      <c r="D874" s="1039"/>
      <c r="E874" s="1045" t="str">
        <f t="shared" si="72"/>
        <v/>
      </c>
      <c r="F874" s="1046"/>
      <c r="G874" s="1046"/>
      <c r="H874" s="1046"/>
      <c r="I874" s="1046"/>
      <c r="J874" s="1047"/>
      <c r="K874" s="133"/>
      <c r="L874" s="62" t="str">
        <f t="shared" si="73"/>
        <v/>
      </c>
      <c r="M874" s="14"/>
      <c r="N874" s="89">
        <f t="array" ref="N874">SUM(IF((CsDJ[JEV Number]=TRIM($T862))*(CsDJ[Account Code]=TRIM(K874)),CsDJ[Debit]))</f>
        <v>0</v>
      </c>
      <c r="O874" s="89">
        <f t="array" ref="O874">SUM(IF((CsDJ[JEV Number]=TRIM($T862))*(CsDJ[Account Code]=TRIM(K874)),CsDJ[Credit]))</f>
        <v>0</v>
      </c>
      <c r="P874" s="1040">
        <f>N874</f>
        <v>0</v>
      </c>
      <c r="Q874" s="1040"/>
      <c r="R874" s="1040"/>
      <c r="S874" s="1040">
        <f>O874</f>
        <v>0</v>
      </c>
      <c r="T874" s="1040"/>
      <c r="U874" s="1040"/>
      <c r="V874" s="1041"/>
    </row>
    <row r="875" spans="1:22" x14ac:dyDescent="0.25">
      <c r="A875" s="1038"/>
      <c r="B875" s="1039"/>
      <c r="C875" s="1039"/>
      <c r="D875" s="1039"/>
      <c r="E875" s="1045" t="str">
        <f t="shared" si="72"/>
        <v/>
      </c>
      <c r="F875" s="1046"/>
      <c r="G875" s="1046"/>
      <c r="H875" s="1046"/>
      <c r="I875" s="1046"/>
      <c r="J875" s="1047"/>
      <c r="K875" s="133"/>
      <c r="L875" s="62" t="str">
        <f t="shared" si="73"/>
        <v/>
      </c>
      <c r="M875" s="14"/>
      <c r="N875" s="89">
        <f t="array" ref="N875">SUM(IF((CsDJ[JEV Number]=TRIM($T862))*(CsDJ[Account Code]=TRIM(K875)),CsDJ[Debit]))</f>
        <v>0</v>
      </c>
      <c r="O875" s="89">
        <f t="array" ref="O875">SUM(IF((CsDJ[JEV Number]=TRIM($T862))*(CsDJ[Account Code]=TRIM(K875)),CsDJ[Credit]))</f>
        <v>0</v>
      </c>
      <c r="P875" s="1040">
        <f t="shared" ref="P875:P900" si="74">N875</f>
        <v>0</v>
      </c>
      <c r="Q875" s="1040"/>
      <c r="R875" s="1040"/>
      <c r="S875" s="1040">
        <f t="shared" ref="S875:S900" si="75">O875</f>
        <v>0</v>
      </c>
      <c r="T875" s="1040"/>
      <c r="U875" s="1040"/>
      <c r="V875" s="1041"/>
    </row>
    <row r="876" spans="1:22" x14ac:dyDescent="0.25">
      <c r="A876" s="1038"/>
      <c r="B876" s="1039"/>
      <c r="C876" s="1039"/>
      <c r="D876" s="1039"/>
      <c r="E876" s="1045" t="str">
        <f t="shared" si="72"/>
        <v/>
      </c>
      <c r="F876" s="1046"/>
      <c r="G876" s="1046"/>
      <c r="H876" s="1046"/>
      <c r="I876" s="1046"/>
      <c r="J876" s="1047"/>
      <c r="K876" s="133"/>
      <c r="L876" s="62" t="str">
        <f t="shared" si="73"/>
        <v/>
      </c>
      <c r="M876" s="14"/>
      <c r="N876" s="89">
        <f t="array" ref="N876">SUM(IF((CsDJ[JEV Number]=TRIM($T862))*(CsDJ[Account Code]=TRIM(K876)),CsDJ[Debit]))</f>
        <v>0</v>
      </c>
      <c r="O876" s="89">
        <f t="array" ref="O876">SUM(IF((CsDJ[JEV Number]=TRIM($T862))*(CsDJ[Account Code]=TRIM(K876)),CsDJ[Credit]))</f>
        <v>0</v>
      </c>
      <c r="P876" s="1040">
        <f t="shared" si="74"/>
        <v>0</v>
      </c>
      <c r="Q876" s="1040"/>
      <c r="R876" s="1040"/>
      <c r="S876" s="1040">
        <f t="shared" si="75"/>
        <v>0</v>
      </c>
      <c r="T876" s="1040"/>
      <c r="U876" s="1040"/>
      <c r="V876" s="1041"/>
    </row>
    <row r="877" spans="1:22" x14ac:dyDescent="0.25">
      <c r="A877" s="1038"/>
      <c r="B877" s="1039"/>
      <c r="C877" s="1039"/>
      <c r="D877" s="1039"/>
      <c r="E877" s="1045" t="str">
        <f t="shared" si="72"/>
        <v/>
      </c>
      <c r="F877" s="1046"/>
      <c r="G877" s="1046"/>
      <c r="H877" s="1046"/>
      <c r="I877" s="1046"/>
      <c r="J877" s="1047"/>
      <c r="K877" s="133"/>
      <c r="L877" s="62" t="str">
        <f t="shared" si="73"/>
        <v/>
      </c>
      <c r="M877" s="14"/>
      <c r="N877" s="89">
        <f t="array" ref="N877">SUM(IF((CsDJ[JEV Number]=TRIM($T862))*(CsDJ[Account Code]=TRIM(K877)),CsDJ[Debit]))</f>
        <v>0</v>
      </c>
      <c r="O877" s="89">
        <f t="array" ref="O877">SUM(IF((CsDJ[JEV Number]=TRIM($T862))*(CsDJ[Account Code]=TRIM(K877)),CsDJ[Credit]))</f>
        <v>0</v>
      </c>
      <c r="P877" s="1040">
        <f t="shared" si="74"/>
        <v>0</v>
      </c>
      <c r="Q877" s="1040"/>
      <c r="R877" s="1040"/>
      <c r="S877" s="1040">
        <f t="shared" si="75"/>
        <v>0</v>
      </c>
      <c r="T877" s="1040"/>
      <c r="U877" s="1040"/>
      <c r="V877" s="1041"/>
    </row>
    <row r="878" spans="1:22" x14ac:dyDescent="0.25">
      <c r="A878" s="1038"/>
      <c r="B878" s="1039"/>
      <c r="C878" s="1039"/>
      <c r="D878" s="1039"/>
      <c r="E878" s="1045" t="str">
        <f t="shared" si="72"/>
        <v/>
      </c>
      <c r="F878" s="1046"/>
      <c r="G878" s="1046"/>
      <c r="H878" s="1046"/>
      <c r="I878" s="1046"/>
      <c r="J878" s="1047"/>
      <c r="K878" s="133"/>
      <c r="L878" s="62" t="str">
        <f t="shared" si="73"/>
        <v/>
      </c>
      <c r="M878" s="14"/>
      <c r="N878" s="89">
        <f t="array" ref="N878">SUM(IF((CsDJ[JEV Number]=TRIM($T862))*(CsDJ[Account Code]=TRIM(K878)),CsDJ[Debit]))</f>
        <v>0</v>
      </c>
      <c r="O878" s="89">
        <f t="array" ref="O878">SUM(IF((CsDJ[JEV Number]=TRIM($T862))*(CsDJ[Account Code]=TRIM(K878)),CsDJ[Credit]))</f>
        <v>0</v>
      </c>
      <c r="P878" s="1040">
        <f t="shared" si="74"/>
        <v>0</v>
      </c>
      <c r="Q878" s="1040"/>
      <c r="R878" s="1040"/>
      <c r="S878" s="1040">
        <f t="shared" si="75"/>
        <v>0</v>
      </c>
      <c r="T878" s="1040"/>
      <c r="U878" s="1040"/>
      <c r="V878" s="1041"/>
    </row>
    <row r="879" spans="1:22" x14ac:dyDescent="0.25">
      <c r="A879" s="1038"/>
      <c r="B879" s="1039"/>
      <c r="C879" s="1039"/>
      <c r="D879" s="1039"/>
      <c r="E879" s="1045" t="str">
        <f t="shared" si="72"/>
        <v/>
      </c>
      <c r="F879" s="1046"/>
      <c r="G879" s="1046"/>
      <c r="H879" s="1046"/>
      <c r="I879" s="1046"/>
      <c r="J879" s="1047"/>
      <c r="K879" s="133"/>
      <c r="L879" s="62" t="str">
        <f t="shared" si="73"/>
        <v/>
      </c>
      <c r="M879" s="14"/>
      <c r="N879" s="89">
        <f t="array" ref="N879">SUM(IF((CsDJ[JEV Number]=TRIM($T862))*(CsDJ[Account Code]=TRIM(K879)),CsDJ[Debit]))</f>
        <v>0</v>
      </c>
      <c r="O879" s="89">
        <f t="array" ref="O879">SUM(IF((CsDJ[JEV Number]=TRIM($T862))*(CsDJ[Account Code]=TRIM(K879)),CsDJ[Credit]))</f>
        <v>0</v>
      </c>
      <c r="P879" s="1040">
        <f t="shared" si="74"/>
        <v>0</v>
      </c>
      <c r="Q879" s="1040"/>
      <c r="R879" s="1040"/>
      <c r="S879" s="1040">
        <f t="shared" si="75"/>
        <v>0</v>
      </c>
      <c r="T879" s="1040"/>
      <c r="U879" s="1040"/>
      <c r="V879" s="1041"/>
    </row>
    <row r="880" spans="1:22" x14ac:dyDescent="0.25">
      <c r="A880" s="1038"/>
      <c r="B880" s="1039"/>
      <c r="C880" s="1039"/>
      <c r="D880" s="1039"/>
      <c r="E880" s="1045" t="str">
        <f t="shared" si="72"/>
        <v/>
      </c>
      <c r="F880" s="1046"/>
      <c r="G880" s="1046"/>
      <c r="H880" s="1046"/>
      <c r="I880" s="1046"/>
      <c r="J880" s="1047"/>
      <c r="K880" s="133"/>
      <c r="L880" s="62" t="str">
        <f t="shared" si="73"/>
        <v/>
      </c>
      <c r="M880" s="14"/>
      <c r="N880" s="89">
        <f t="array" ref="N880">SUM(IF((CsDJ[JEV Number]=TRIM($T862))*(CsDJ[Account Code]=TRIM(K880)),CsDJ[Debit]))</f>
        <v>0</v>
      </c>
      <c r="O880" s="89">
        <f t="array" ref="O880">SUM(IF((CsDJ[JEV Number]=TRIM($T862))*(CsDJ[Account Code]=TRIM(K880)),CsDJ[Credit]))</f>
        <v>0</v>
      </c>
      <c r="P880" s="1040">
        <f t="shared" si="74"/>
        <v>0</v>
      </c>
      <c r="Q880" s="1040"/>
      <c r="R880" s="1040"/>
      <c r="S880" s="1040">
        <f t="shared" si="75"/>
        <v>0</v>
      </c>
      <c r="T880" s="1040"/>
      <c r="U880" s="1040"/>
      <c r="V880" s="1041"/>
    </row>
    <row r="881" spans="1:22" x14ac:dyDescent="0.25">
      <c r="A881" s="1038"/>
      <c r="B881" s="1039"/>
      <c r="C881" s="1039"/>
      <c r="D881" s="1039"/>
      <c r="E881" s="1045" t="str">
        <f t="shared" si="72"/>
        <v/>
      </c>
      <c r="F881" s="1046"/>
      <c r="G881" s="1046"/>
      <c r="H881" s="1046"/>
      <c r="I881" s="1046"/>
      <c r="J881" s="1047"/>
      <c r="K881" s="134"/>
      <c r="L881" s="62" t="str">
        <f t="shared" si="73"/>
        <v/>
      </c>
      <c r="M881" s="14"/>
      <c r="N881" s="89">
        <f t="array" ref="N881">SUM(IF((CsDJ[JEV Number]=TRIM($T862))*(CsDJ[Account Code]=TRIM(K881)),CsDJ[Debit]))</f>
        <v>0</v>
      </c>
      <c r="O881" s="89">
        <f t="array" ref="O881">SUM(IF((CsDJ[JEV Number]=TRIM($T862))*(CsDJ[Account Code]=TRIM(K881)),CsDJ[Credit]))</f>
        <v>0</v>
      </c>
      <c r="P881" s="1040">
        <f t="shared" si="74"/>
        <v>0</v>
      </c>
      <c r="Q881" s="1040"/>
      <c r="R881" s="1040"/>
      <c r="S881" s="1040">
        <f t="shared" si="75"/>
        <v>0</v>
      </c>
      <c r="T881" s="1040"/>
      <c r="U881" s="1040"/>
      <c r="V881" s="1041"/>
    </row>
    <row r="882" spans="1:22" x14ac:dyDescent="0.25">
      <c r="A882" s="1038"/>
      <c r="B882" s="1039"/>
      <c r="C882" s="1039"/>
      <c r="D882" s="1039"/>
      <c r="E882" s="1045" t="str">
        <f t="shared" si="72"/>
        <v/>
      </c>
      <c r="F882" s="1046"/>
      <c r="G882" s="1046"/>
      <c r="H882" s="1046"/>
      <c r="I882" s="1046"/>
      <c r="J882" s="1047"/>
      <c r="K882" s="134"/>
      <c r="L882" s="62" t="str">
        <f t="shared" si="73"/>
        <v/>
      </c>
      <c r="M882" s="14"/>
      <c r="N882" s="89">
        <f t="array" ref="N882">SUM(IF((CsDJ[JEV Number]=TRIM($T862))*(CsDJ[Account Code]=TRIM(K882)),CsDJ[Debit]))</f>
        <v>0</v>
      </c>
      <c r="O882" s="89">
        <f t="array" ref="O882">SUM(IF((CsDJ[JEV Number]=TRIM($T862))*(CsDJ[Account Code]=TRIM(K882)),CsDJ[Credit]))</f>
        <v>0</v>
      </c>
      <c r="P882" s="1040">
        <f t="shared" si="74"/>
        <v>0</v>
      </c>
      <c r="Q882" s="1040"/>
      <c r="R882" s="1040"/>
      <c r="S882" s="1040">
        <f t="shared" si="75"/>
        <v>0</v>
      </c>
      <c r="T882" s="1040"/>
      <c r="U882" s="1040"/>
      <c r="V882" s="1041"/>
    </row>
    <row r="883" spans="1:22" x14ac:dyDescent="0.25">
      <c r="A883" s="1038"/>
      <c r="B883" s="1039"/>
      <c r="C883" s="1039"/>
      <c r="D883" s="1039"/>
      <c r="E883" s="1045" t="str">
        <f t="shared" si="72"/>
        <v/>
      </c>
      <c r="F883" s="1046"/>
      <c r="G883" s="1046"/>
      <c r="H883" s="1046"/>
      <c r="I883" s="1046"/>
      <c r="J883" s="1047"/>
      <c r="K883" s="134"/>
      <c r="L883" s="62" t="str">
        <f t="shared" si="73"/>
        <v/>
      </c>
      <c r="M883" s="14"/>
      <c r="N883" s="89">
        <f t="array" ref="N883">SUM(IF((CsDJ[JEV Number]=TRIM($T862))*(CsDJ[Account Code]=TRIM(K883)),CsDJ[Debit]))</f>
        <v>0</v>
      </c>
      <c r="O883" s="89">
        <f t="array" ref="O883">SUM(IF((CsDJ[JEV Number]=TRIM($T862))*(CsDJ[Account Code]=TRIM(K883)),CsDJ[Credit]))</f>
        <v>0</v>
      </c>
      <c r="P883" s="1040">
        <f t="shared" si="74"/>
        <v>0</v>
      </c>
      <c r="Q883" s="1040"/>
      <c r="R883" s="1040"/>
      <c r="S883" s="1040">
        <f t="shared" si="75"/>
        <v>0</v>
      </c>
      <c r="T883" s="1040"/>
      <c r="U883" s="1040"/>
      <c r="V883" s="1041"/>
    </row>
    <row r="884" spans="1:22" x14ac:dyDescent="0.25">
      <c r="A884" s="1038"/>
      <c r="B884" s="1039"/>
      <c r="C884" s="1039"/>
      <c r="D884" s="1039"/>
      <c r="E884" s="1045" t="str">
        <f t="shared" si="72"/>
        <v/>
      </c>
      <c r="F884" s="1046"/>
      <c r="G884" s="1046"/>
      <c r="H884" s="1046"/>
      <c r="I884" s="1046"/>
      <c r="J884" s="1047"/>
      <c r="K884" s="134"/>
      <c r="L884" s="62" t="str">
        <f t="shared" si="73"/>
        <v/>
      </c>
      <c r="M884" s="14"/>
      <c r="N884" s="89">
        <f t="array" ref="N884">SUM(IF((CsDJ[JEV Number]=TRIM($T862))*(CsDJ[Account Code]=TRIM(K884)),CsDJ[Debit]))</f>
        <v>0</v>
      </c>
      <c r="O884" s="89">
        <f t="array" ref="O884">SUM(IF((CsDJ[JEV Number]=TRIM($T862))*(CsDJ[Account Code]=TRIM(K884)),CsDJ[Credit]))</f>
        <v>0</v>
      </c>
      <c r="P884" s="1040">
        <f t="shared" si="74"/>
        <v>0</v>
      </c>
      <c r="Q884" s="1040"/>
      <c r="R884" s="1040"/>
      <c r="S884" s="1040">
        <f t="shared" si="75"/>
        <v>0</v>
      </c>
      <c r="T884" s="1040"/>
      <c r="U884" s="1040"/>
      <c r="V884" s="1041"/>
    </row>
    <row r="885" spans="1:22" x14ac:dyDescent="0.25">
      <c r="A885" s="1038"/>
      <c r="B885" s="1039"/>
      <c r="C885" s="1039"/>
      <c r="D885" s="1039"/>
      <c r="E885" s="1045" t="str">
        <f t="shared" si="72"/>
        <v/>
      </c>
      <c r="F885" s="1046"/>
      <c r="G885" s="1046"/>
      <c r="H885" s="1046"/>
      <c r="I885" s="1046"/>
      <c r="J885" s="1047"/>
      <c r="K885" s="134"/>
      <c r="L885" s="62" t="str">
        <f t="shared" si="73"/>
        <v/>
      </c>
      <c r="M885" s="14"/>
      <c r="N885" s="89">
        <f t="array" ref="N885">SUM(IF((CsDJ[JEV Number]=TRIM($T862))*(CsDJ[Account Code]=TRIM(K885)),CsDJ[Debit]))</f>
        <v>0</v>
      </c>
      <c r="O885" s="89">
        <f t="array" ref="O885">SUM(IF((CsDJ[JEV Number]=TRIM($T862))*(CsDJ[Account Code]=TRIM(K885)),CsDJ[Credit]))</f>
        <v>0</v>
      </c>
      <c r="P885" s="1040">
        <f t="shared" si="74"/>
        <v>0</v>
      </c>
      <c r="Q885" s="1040"/>
      <c r="R885" s="1040"/>
      <c r="S885" s="1040">
        <f t="shared" si="75"/>
        <v>0</v>
      </c>
      <c r="T885" s="1040"/>
      <c r="U885" s="1040"/>
      <c r="V885" s="1041"/>
    </row>
    <row r="886" spans="1:22" x14ac:dyDescent="0.25">
      <c r="A886" s="1038"/>
      <c r="B886" s="1039"/>
      <c r="C886" s="1039"/>
      <c r="D886" s="1039"/>
      <c r="E886" s="1045" t="str">
        <f t="shared" si="72"/>
        <v/>
      </c>
      <c r="F886" s="1046"/>
      <c r="G886" s="1046"/>
      <c r="H886" s="1046"/>
      <c r="I886" s="1046"/>
      <c r="J886" s="1047"/>
      <c r="K886" s="134"/>
      <c r="L886" s="62" t="str">
        <f t="shared" si="73"/>
        <v/>
      </c>
      <c r="M886" s="14"/>
      <c r="N886" s="89">
        <f t="array" ref="N886">SUM(IF((CsDJ[JEV Number]=TRIM($T862))*(CsDJ[Account Code]=TRIM(K886)),CsDJ[Debit]))</f>
        <v>0</v>
      </c>
      <c r="O886" s="89">
        <f t="array" ref="O886">SUM(IF((CsDJ[JEV Number]=TRIM($T862))*(CsDJ[Account Code]=TRIM(K886)),CsDJ[Credit]))</f>
        <v>0</v>
      </c>
      <c r="P886" s="1040">
        <f t="shared" si="74"/>
        <v>0</v>
      </c>
      <c r="Q886" s="1040"/>
      <c r="R886" s="1040"/>
      <c r="S886" s="1040">
        <f t="shared" si="75"/>
        <v>0</v>
      </c>
      <c r="T886" s="1040"/>
      <c r="U886" s="1040"/>
      <c r="V886" s="1041"/>
    </row>
    <row r="887" spans="1:22" x14ac:dyDescent="0.25">
      <c r="A887" s="1038"/>
      <c r="B887" s="1039"/>
      <c r="C887" s="1039"/>
      <c r="D887" s="1039"/>
      <c r="E887" s="1045" t="str">
        <f t="shared" si="72"/>
        <v/>
      </c>
      <c r="F887" s="1046"/>
      <c r="G887" s="1046"/>
      <c r="H887" s="1046"/>
      <c r="I887" s="1046"/>
      <c r="J887" s="1047"/>
      <c r="K887" s="134"/>
      <c r="L887" s="62" t="str">
        <f t="shared" si="73"/>
        <v/>
      </c>
      <c r="M887" s="14"/>
      <c r="N887" s="89">
        <f t="array" ref="N887">SUM(IF((CsDJ[JEV Number]=TRIM($T862))*(CsDJ[Account Code]=TRIM(K887)),CsDJ[Debit]))</f>
        <v>0</v>
      </c>
      <c r="O887" s="89">
        <f t="array" ref="O887">SUM(IF((CsDJ[JEV Number]=TRIM($T862))*(CsDJ[Account Code]=TRIM(K887)),CsDJ[Credit]))</f>
        <v>0</v>
      </c>
      <c r="P887" s="1040">
        <f t="shared" si="74"/>
        <v>0</v>
      </c>
      <c r="Q887" s="1040"/>
      <c r="R887" s="1040"/>
      <c r="S887" s="1040">
        <f t="shared" si="75"/>
        <v>0</v>
      </c>
      <c r="T887" s="1040"/>
      <c r="U887" s="1040"/>
      <c r="V887" s="1041"/>
    </row>
    <row r="888" spans="1:22" x14ac:dyDescent="0.25">
      <c r="A888" s="1038"/>
      <c r="B888" s="1039"/>
      <c r="C888" s="1039"/>
      <c r="D888" s="1039"/>
      <c r="E888" s="1045" t="str">
        <f t="shared" si="72"/>
        <v/>
      </c>
      <c r="F888" s="1046"/>
      <c r="G888" s="1046"/>
      <c r="H888" s="1046"/>
      <c r="I888" s="1046"/>
      <c r="J888" s="1047"/>
      <c r="K888" s="134"/>
      <c r="L888" s="62" t="str">
        <f t="shared" si="73"/>
        <v/>
      </c>
      <c r="M888" s="14"/>
      <c r="N888" s="89">
        <f t="array" ref="N888">SUM(IF((CsDJ[JEV Number]=TRIM($T862))*(CsDJ[Account Code]=TRIM(K888)),CsDJ[Debit]))</f>
        <v>0</v>
      </c>
      <c r="O888" s="89">
        <f t="array" ref="O888">SUM(IF((CsDJ[JEV Number]=TRIM($T862))*(CsDJ[Account Code]=TRIM(K888)),CsDJ[Credit]))</f>
        <v>0</v>
      </c>
      <c r="P888" s="1040">
        <f t="shared" si="74"/>
        <v>0</v>
      </c>
      <c r="Q888" s="1040"/>
      <c r="R888" s="1040"/>
      <c r="S888" s="1040">
        <f t="shared" si="75"/>
        <v>0</v>
      </c>
      <c r="T888" s="1040"/>
      <c r="U888" s="1040"/>
      <c r="V888" s="1041"/>
    </row>
    <row r="889" spans="1:22" x14ac:dyDescent="0.25">
      <c r="A889" s="1038"/>
      <c r="B889" s="1039"/>
      <c r="C889" s="1039"/>
      <c r="D889" s="1039"/>
      <c r="E889" s="1045" t="str">
        <f t="shared" si="72"/>
        <v/>
      </c>
      <c r="F889" s="1046"/>
      <c r="G889" s="1046"/>
      <c r="H889" s="1046"/>
      <c r="I889" s="1046"/>
      <c r="J889" s="1047"/>
      <c r="K889" s="134"/>
      <c r="L889" s="62" t="str">
        <f t="shared" si="73"/>
        <v/>
      </c>
      <c r="M889" s="14"/>
      <c r="N889" s="89">
        <f t="array" ref="N889">SUM(IF((CsDJ[JEV Number]=TRIM($T862))*(CsDJ[Account Code]=TRIM(K889)),CsDJ[Debit]))</f>
        <v>0</v>
      </c>
      <c r="O889" s="89">
        <f t="array" ref="O889">SUM(IF((CsDJ[JEV Number]=TRIM($T862))*(CsDJ[Account Code]=TRIM(K889)),CsDJ[Credit]))</f>
        <v>0</v>
      </c>
      <c r="P889" s="1040">
        <f t="shared" si="74"/>
        <v>0</v>
      </c>
      <c r="Q889" s="1040"/>
      <c r="R889" s="1040"/>
      <c r="S889" s="1040">
        <f t="shared" si="75"/>
        <v>0</v>
      </c>
      <c r="T889" s="1040"/>
      <c r="U889" s="1040"/>
      <c r="V889" s="1041"/>
    </row>
    <row r="890" spans="1:22" x14ac:dyDescent="0.25">
      <c r="A890" s="1038"/>
      <c r="B890" s="1039"/>
      <c r="C890" s="1039"/>
      <c r="D890" s="1039"/>
      <c r="E890" s="1045" t="str">
        <f t="shared" si="72"/>
        <v/>
      </c>
      <c r="F890" s="1046"/>
      <c r="G890" s="1046"/>
      <c r="H890" s="1046"/>
      <c r="I890" s="1046"/>
      <c r="J890" s="1047"/>
      <c r="K890" s="134"/>
      <c r="L890" s="62" t="str">
        <f t="shared" si="73"/>
        <v/>
      </c>
      <c r="M890" s="14"/>
      <c r="N890" s="89">
        <f t="array" ref="N890">SUM(IF((CsDJ[JEV Number]=TRIM($T862))*(CsDJ[Account Code]=TRIM(K890)),CsDJ[Debit]))</f>
        <v>0</v>
      </c>
      <c r="O890" s="89">
        <f t="array" ref="O890">SUM(IF((CsDJ[JEV Number]=TRIM($T862))*(CsDJ[Account Code]=TRIM(K890)),CsDJ[Credit]))</f>
        <v>0</v>
      </c>
      <c r="P890" s="1040">
        <f t="shared" si="74"/>
        <v>0</v>
      </c>
      <c r="Q890" s="1040"/>
      <c r="R890" s="1040"/>
      <c r="S890" s="1040">
        <f t="shared" si="75"/>
        <v>0</v>
      </c>
      <c r="T890" s="1040"/>
      <c r="U890" s="1040"/>
      <c r="V890" s="1041"/>
    </row>
    <row r="891" spans="1:22" x14ac:dyDescent="0.25">
      <c r="A891" s="1038"/>
      <c r="B891" s="1039"/>
      <c r="C891" s="1039"/>
      <c r="D891" s="1039"/>
      <c r="E891" s="1045" t="str">
        <f t="shared" si="72"/>
        <v/>
      </c>
      <c r="F891" s="1046"/>
      <c r="G891" s="1046"/>
      <c r="H891" s="1046"/>
      <c r="I891" s="1046"/>
      <c r="J891" s="1047"/>
      <c r="K891" s="134"/>
      <c r="L891" s="62" t="str">
        <f t="shared" si="73"/>
        <v/>
      </c>
      <c r="M891" s="14"/>
      <c r="N891" s="89">
        <f t="array" ref="N891">SUM(IF((CsDJ[JEV Number]=TRIM($T862))*(CsDJ[Account Code]=TRIM(K891)),CsDJ[Debit]))</f>
        <v>0</v>
      </c>
      <c r="O891" s="89">
        <f t="array" ref="O891">SUM(IF((CsDJ[JEV Number]=TRIM($T862))*(CsDJ[Account Code]=TRIM(K891)),CsDJ[Credit]))</f>
        <v>0</v>
      </c>
      <c r="P891" s="1040">
        <f t="shared" si="74"/>
        <v>0</v>
      </c>
      <c r="Q891" s="1040"/>
      <c r="R891" s="1040"/>
      <c r="S891" s="1040">
        <f t="shared" si="75"/>
        <v>0</v>
      </c>
      <c r="T891" s="1040"/>
      <c r="U891" s="1040"/>
      <c r="V891" s="1041"/>
    </row>
    <row r="892" spans="1:22" x14ac:dyDescent="0.25">
      <c r="A892" s="1038"/>
      <c r="B892" s="1039"/>
      <c r="C892" s="1039"/>
      <c r="D892" s="1039"/>
      <c r="E892" s="1045" t="str">
        <f t="shared" si="72"/>
        <v/>
      </c>
      <c r="F892" s="1046"/>
      <c r="G892" s="1046"/>
      <c r="H892" s="1046"/>
      <c r="I892" s="1046"/>
      <c r="J892" s="1047"/>
      <c r="K892" s="134"/>
      <c r="L892" s="62" t="str">
        <f t="shared" si="73"/>
        <v/>
      </c>
      <c r="M892" s="14"/>
      <c r="N892" s="89">
        <f t="array" ref="N892">SUM(IF((CsDJ[JEV Number]=TRIM($T862))*(CsDJ[Account Code]=TRIM(K892)),CsDJ[Debit]))</f>
        <v>0</v>
      </c>
      <c r="O892" s="89">
        <f t="array" ref="O892">SUM(IF((CsDJ[JEV Number]=TRIM($T862))*(CsDJ[Account Code]=TRIM(K892)),CsDJ[Credit]))</f>
        <v>0</v>
      </c>
      <c r="P892" s="1040">
        <f t="shared" si="74"/>
        <v>0</v>
      </c>
      <c r="Q892" s="1040"/>
      <c r="R892" s="1040"/>
      <c r="S892" s="1040">
        <f t="shared" si="75"/>
        <v>0</v>
      </c>
      <c r="T892" s="1040"/>
      <c r="U892" s="1040"/>
      <c r="V892" s="1041"/>
    </row>
    <row r="893" spans="1:22" x14ac:dyDescent="0.25">
      <c r="A893" s="1038"/>
      <c r="B893" s="1039"/>
      <c r="C893" s="1039"/>
      <c r="D893" s="1039"/>
      <c r="E893" s="1045" t="str">
        <f t="shared" si="72"/>
        <v/>
      </c>
      <c r="F893" s="1046"/>
      <c r="G893" s="1046"/>
      <c r="H893" s="1046"/>
      <c r="I893" s="1046"/>
      <c r="J893" s="1047"/>
      <c r="K893" s="134"/>
      <c r="L893" s="62" t="str">
        <f t="shared" si="73"/>
        <v/>
      </c>
      <c r="M893" s="14"/>
      <c r="N893" s="89">
        <f t="array" ref="N893">SUM(IF((CsDJ[JEV Number]=TRIM($T862))*(CsDJ[Account Code]=TRIM(K893)),CsDJ[Debit]))</f>
        <v>0</v>
      </c>
      <c r="O893" s="89">
        <f t="array" ref="O893">SUM(IF((CsDJ[JEV Number]=TRIM($T862))*(CsDJ[Account Code]=TRIM(K893)),CsDJ[Credit]))</f>
        <v>0</v>
      </c>
      <c r="P893" s="1040">
        <f t="shared" si="74"/>
        <v>0</v>
      </c>
      <c r="Q893" s="1040"/>
      <c r="R893" s="1040"/>
      <c r="S893" s="1040">
        <f t="shared" si="75"/>
        <v>0</v>
      </c>
      <c r="T893" s="1040"/>
      <c r="U893" s="1040"/>
      <c r="V893" s="1041"/>
    </row>
    <row r="894" spans="1:22" x14ac:dyDescent="0.25">
      <c r="A894" s="1038"/>
      <c r="B894" s="1039"/>
      <c r="C894" s="1039"/>
      <c r="D894" s="1039"/>
      <c r="E894" s="1045" t="str">
        <f t="shared" si="72"/>
        <v/>
      </c>
      <c r="F894" s="1046"/>
      <c r="G894" s="1046"/>
      <c r="H894" s="1046"/>
      <c r="I894" s="1046"/>
      <c r="J894" s="1047"/>
      <c r="K894" s="134"/>
      <c r="L894" s="62" t="str">
        <f t="shared" si="73"/>
        <v/>
      </c>
      <c r="M894" s="14"/>
      <c r="N894" s="89">
        <f t="array" ref="N894">SUM(IF((CsDJ[JEV Number]=TRIM($T862))*(CsDJ[Account Code]=TRIM(K894)),CsDJ[Debit]))</f>
        <v>0</v>
      </c>
      <c r="O894" s="89">
        <f t="array" ref="O894">SUM(IF((CsDJ[JEV Number]=TRIM($T862))*(CsDJ[Account Code]=TRIM(K894)),CsDJ[Credit]))</f>
        <v>0</v>
      </c>
      <c r="P894" s="1040">
        <f t="shared" si="74"/>
        <v>0</v>
      </c>
      <c r="Q894" s="1040"/>
      <c r="R894" s="1040"/>
      <c r="S894" s="1040">
        <f t="shared" si="75"/>
        <v>0</v>
      </c>
      <c r="T894" s="1040"/>
      <c r="U894" s="1040"/>
      <c r="V894" s="1041"/>
    </row>
    <row r="895" spans="1:22" x14ac:dyDescent="0.25">
      <c r="A895" s="1038"/>
      <c r="B895" s="1039"/>
      <c r="C895" s="1039"/>
      <c r="D895" s="1039"/>
      <c r="E895" s="1045" t="str">
        <f t="shared" si="72"/>
        <v/>
      </c>
      <c r="F895" s="1046"/>
      <c r="G895" s="1046"/>
      <c r="H895" s="1046"/>
      <c r="I895" s="1046"/>
      <c r="J895" s="1047"/>
      <c r="K895" s="134"/>
      <c r="L895" s="62" t="str">
        <f t="shared" si="73"/>
        <v/>
      </c>
      <c r="M895" s="14"/>
      <c r="N895" s="89">
        <f t="array" ref="N895">SUM(IF((CsDJ[JEV Number]=TRIM($T862))*(CsDJ[Account Code]=TRIM(K895)),CsDJ[Debit]))</f>
        <v>0</v>
      </c>
      <c r="O895" s="89">
        <f t="array" ref="O895">SUM(IF((CsDJ[JEV Number]=TRIM($T862))*(CsDJ[Account Code]=TRIM(K895)),CsDJ[Credit]))</f>
        <v>0</v>
      </c>
      <c r="P895" s="1040">
        <f t="shared" si="74"/>
        <v>0</v>
      </c>
      <c r="Q895" s="1040"/>
      <c r="R895" s="1040"/>
      <c r="S895" s="1040">
        <f t="shared" si="75"/>
        <v>0</v>
      </c>
      <c r="T895" s="1040"/>
      <c r="U895" s="1040"/>
      <c r="V895" s="1041"/>
    </row>
    <row r="896" spans="1:22" x14ac:dyDescent="0.25">
      <c r="A896" s="1038"/>
      <c r="B896" s="1039"/>
      <c r="C896" s="1039"/>
      <c r="D896" s="1039"/>
      <c r="E896" s="1108" t="s">
        <v>468</v>
      </c>
      <c r="F896" s="1109"/>
      <c r="G896" s="1109"/>
      <c r="H896" s="1109"/>
      <c r="I896" s="1109"/>
      <c r="J896" s="1110"/>
      <c r="K896" s="133"/>
      <c r="L896" s="62" t="str">
        <f t="shared" si="73"/>
        <v/>
      </c>
      <c r="M896" s="14"/>
      <c r="N896" s="89">
        <f t="array" ref="N896">SUM(IF((CsDJ[JEV Number]=TRIM($T862))*(CsDJ[Account Code]=TRIM(K896)),CsDJ[Debit]))</f>
        <v>0</v>
      </c>
      <c r="O896" s="89">
        <f t="array" ref="O896">SUM(IF((CsDJ[JEV Number]=TRIM($T862))*(CsDJ[Account Code]=TRIM(K896)),CsDJ[Credit]))</f>
        <v>0</v>
      </c>
      <c r="P896" s="1040">
        <f t="shared" si="74"/>
        <v>0</v>
      </c>
      <c r="Q896" s="1040"/>
      <c r="R896" s="1040"/>
      <c r="S896" s="1040">
        <f t="shared" si="75"/>
        <v>0</v>
      </c>
      <c r="T896" s="1040"/>
      <c r="U896" s="1040"/>
      <c r="V896" s="1041"/>
    </row>
    <row r="897" spans="1:22" x14ac:dyDescent="0.25">
      <c r="A897" s="1038"/>
      <c r="B897" s="1039"/>
      <c r="C897" s="1039"/>
      <c r="D897" s="1039"/>
      <c r="E897" s="1048" t="s">
        <v>457</v>
      </c>
      <c r="F897" s="1049"/>
      <c r="G897" s="1049"/>
      <c r="H897" s="1049"/>
      <c r="I897" s="1051">
        <f>T863</f>
        <v>0</v>
      </c>
      <c r="J897" s="1052"/>
      <c r="K897" s="133"/>
      <c r="L897" s="62" t="str">
        <f t="shared" si="73"/>
        <v/>
      </c>
      <c r="M897" s="14"/>
      <c r="N897" s="89">
        <f t="array" ref="N897">SUM(IF((CsDJ[JEV Number]=TRIM($T862))*(CsDJ[Account Code]=TRIM(K897)),CsDJ[Debit]))</f>
        <v>0</v>
      </c>
      <c r="O897" s="89">
        <f t="array" ref="O897">SUM(IF((CsDJ[JEV Number]=TRIM($T862))*(CsDJ[Account Code]=TRIM(K897)),CsDJ[Credit]))</f>
        <v>0</v>
      </c>
      <c r="P897" s="1040">
        <f t="shared" si="74"/>
        <v>0</v>
      </c>
      <c r="Q897" s="1040"/>
      <c r="R897" s="1040"/>
      <c r="S897" s="1040">
        <f t="shared" si="75"/>
        <v>0</v>
      </c>
      <c r="T897" s="1040"/>
      <c r="U897" s="1040"/>
      <c r="V897" s="1041"/>
    </row>
    <row r="898" spans="1:22" x14ac:dyDescent="0.25">
      <c r="A898" s="1038"/>
      <c r="B898" s="1039"/>
      <c r="C898" s="1039"/>
      <c r="D898" s="1039"/>
      <c r="E898" s="1048" t="s">
        <v>458</v>
      </c>
      <c r="F898" s="1049"/>
      <c r="G898" s="1049"/>
      <c r="H898" s="1049"/>
      <c r="I898" s="1106">
        <f>IF(T862=0,0,(IF(LOOKUP(T862,CsDJ[JEV Number],CsDJ[Sort Code])="1","MA. VIVIAN C. SALAS",IF(LOOKUP(T862,CsDJ[JEV Number],CsDJ[Sort Code])="2","LUZ R. DE COZAR",IF(LOOKUP(T862,CsDJ[JEV Number],CsDJ[Sort Code])="3","MINEONETTE A. DELA CRUZ",IF(LOOKUP(T862,CsDJ[JEV Number],CsDJ[Sort Code])="4","RESELLA B. LOPEZ"))))))</f>
        <v>0</v>
      </c>
      <c r="J898" s="1107"/>
      <c r="K898" s="133"/>
      <c r="L898" s="62" t="str">
        <f t="shared" si="73"/>
        <v/>
      </c>
      <c r="M898" s="14"/>
      <c r="N898" s="89">
        <f t="array" ref="N898">SUM(IF((CsDJ[JEV Number]=TRIM($T862))*(CsDJ[Account Code]=TRIM(K898)),CsDJ[Debit]))</f>
        <v>0</v>
      </c>
      <c r="O898" s="89">
        <f t="array" ref="O898">SUM(IF((CsDJ[JEV Number]=TRIM($T862))*(CsDJ[Account Code]=TRIM(K898)),CsDJ[Credit]))</f>
        <v>0</v>
      </c>
      <c r="P898" s="1040">
        <f t="shared" si="74"/>
        <v>0</v>
      </c>
      <c r="Q898" s="1040"/>
      <c r="R898" s="1040"/>
      <c r="S898" s="1040">
        <f t="shared" si="75"/>
        <v>0</v>
      </c>
      <c r="T898" s="1040"/>
      <c r="U898" s="1040"/>
      <c r="V898" s="1041"/>
    </row>
    <row r="899" spans="1:22" x14ac:dyDescent="0.25">
      <c r="A899" s="1038"/>
      <c r="B899" s="1039"/>
      <c r="C899" s="1039"/>
      <c r="D899" s="1039"/>
      <c r="E899" s="1048" t="s">
        <v>459</v>
      </c>
      <c r="F899" s="1049"/>
      <c r="G899" s="1049"/>
      <c r="H899" s="1049"/>
      <c r="I899" s="1043">
        <f>IF(I898="Ma. Vivian C. Salas","Regional Office", IF(I898="Luz R. De Cozar","BANE IMO", IF(I898="Mineonette A. Dela Cruz","PAMBAT IMO", IF(I898="Resella B. Lopez","TARZAM IMO",0))))</f>
        <v>0</v>
      </c>
      <c r="J899" s="1044"/>
      <c r="K899" s="133"/>
      <c r="L899" s="62" t="str">
        <f t="shared" si="73"/>
        <v/>
      </c>
      <c r="M899" s="14"/>
      <c r="N899" s="89">
        <f t="array" ref="N899">SUM(IF((CsDJ[JEV Number]=TRIM($T862))*(CsDJ[Account Code]=TRIM(K899)),CsDJ[Debit]))</f>
        <v>0</v>
      </c>
      <c r="O899" s="89">
        <f t="array" ref="O899">SUM(IF((CsDJ[JEV Number]=TRIM($T862))*(CsDJ[Account Code]=TRIM(K899)),CsDJ[Credit]))</f>
        <v>0</v>
      </c>
      <c r="P899" s="1040">
        <f t="shared" si="74"/>
        <v>0</v>
      </c>
      <c r="Q899" s="1040"/>
      <c r="R899" s="1040"/>
      <c r="S899" s="1040">
        <f t="shared" si="75"/>
        <v>0</v>
      </c>
      <c r="T899" s="1040"/>
      <c r="U899" s="1040"/>
      <c r="V899" s="1041"/>
    </row>
    <row r="900" spans="1:22" x14ac:dyDescent="0.25">
      <c r="A900" s="1038"/>
      <c r="B900" s="1039"/>
      <c r="C900" s="1039"/>
      <c r="D900" s="1039"/>
      <c r="E900" s="1048"/>
      <c r="F900" s="1049"/>
      <c r="G900" s="1049"/>
      <c r="H900" s="1049"/>
      <c r="I900" s="1049"/>
      <c r="J900" s="1050"/>
      <c r="K900" s="133"/>
      <c r="L900" s="62" t="str">
        <f t="shared" si="73"/>
        <v/>
      </c>
      <c r="M900" s="14"/>
      <c r="N900" s="89">
        <f t="array" ref="N900">SUM(IF((CsDJ[JEV Number]=TRIM($T862))*(CsDJ[Account Code]=TRIM(K900)),CsDJ[Debit]))</f>
        <v>0</v>
      </c>
      <c r="O900" s="89">
        <f t="array" ref="O900">SUM(IF((CsDJ[JEV Number]=TRIM($T862))*(CsDJ[Account Code]=TRIM(K900)),CsDJ[Credit]))</f>
        <v>0</v>
      </c>
      <c r="P900" s="1040">
        <f t="shared" si="74"/>
        <v>0</v>
      </c>
      <c r="Q900" s="1040"/>
      <c r="R900" s="1040"/>
      <c r="S900" s="1040">
        <f t="shared" si="75"/>
        <v>0</v>
      </c>
      <c r="T900" s="1040"/>
      <c r="U900" s="1040"/>
      <c r="V900" s="1041"/>
    </row>
    <row r="901" spans="1:22" ht="16.5" thickBot="1" x14ac:dyDescent="0.3">
      <c r="A901" s="1091"/>
      <c r="B901" s="1092"/>
      <c r="C901" s="1092"/>
      <c r="D901" s="1092"/>
      <c r="E901" s="1092"/>
      <c r="F901" s="1092"/>
      <c r="G901" s="1092"/>
      <c r="H901" s="1092"/>
      <c r="I901" s="1092"/>
      <c r="J901" s="1092"/>
      <c r="K901" s="1092"/>
      <c r="L901" s="1092"/>
      <c r="M901" s="1093"/>
      <c r="N901" s="88"/>
      <c r="O901" s="88"/>
      <c r="P901" s="1094">
        <f>SUM(P871:R900)</f>
        <v>0</v>
      </c>
      <c r="Q901" s="1094"/>
      <c r="R901" s="1094"/>
      <c r="S901" s="1094">
        <f>SUM(S871:V900)</f>
        <v>0</v>
      </c>
      <c r="T901" s="1094"/>
      <c r="U901" s="1094"/>
      <c r="V901" s="1095"/>
    </row>
    <row r="902" spans="1:22" x14ac:dyDescent="0.25">
      <c r="A902" s="63"/>
      <c r="B902" s="64"/>
      <c r="C902" s="64"/>
      <c r="D902" s="64"/>
      <c r="E902" s="64"/>
      <c r="F902" s="64"/>
      <c r="G902" s="64"/>
      <c r="H902" s="64"/>
      <c r="I902" s="65"/>
      <c r="J902" s="64"/>
      <c r="K902" s="66"/>
      <c r="L902" s="64"/>
      <c r="M902" s="65"/>
      <c r="N902" s="64"/>
      <c r="O902" s="64"/>
      <c r="P902" s="1090"/>
      <c r="Q902" s="1090"/>
      <c r="R902" s="1090"/>
      <c r="S902" s="1090"/>
      <c r="T902" s="1090"/>
      <c r="U902" s="1090"/>
      <c r="V902" s="1096"/>
    </row>
    <row r="903" spans="1:22" x14ac:dyDescent="0.25">
      <c r="A903" s="67" t="s">
        <v>460</v>
      </c>
      <c r="B903"/>
      <c r="C903"/>
      <c r="D903"/>
      <c r="E903"/>
      <c r="F903"/>
      <c r="G903"/>
      <c r="H903"/>
      <c r="I903" s="68" t="s">
        <v>353</v>
      </c>
      <c r="J903" s="69"/>
      <c r="K903" s="69"/>
      <c r="L903"/>
      <c r="M903" s="68" t="s">
        <v>461</v>
      </c>
      <c r="N903" s="69"/>
      <c r="O903" s="69"/>
      <c r="P903" s="70"/>
      <c r="Q903" s="70"/>
      <c r="R903" s="70"/>
      <c r="S903" s="70"/>
      <c r="T903" s="70"/>
      <c r="U903" s="70"/>
      <c r="V903" s="71"/>
    </row>
    <row r="904" spans="1:22" x14ac:dyDescent="0.25">
      <c r="A904" s="37"/>
      <c r="B904"/>
      <c r="C904"/>
      <c r="D904"/>
      <c r="E904"/>
      <c r="F904"/>
      <c r="G904"/>
      <c r="H904"/>
      <c r="I904" s="72"/>
      <c r="J904"/>
      <c r="K904"/>
      <c r="L904"/>
      <c r="M904" s="72"/>
      <c r="N904"/>
      <c r="O904"/>
      <c r="P904"/>
      <c r="Q904"/>
      <c r="R904"/>
      <c r="S904"/>
      <c r="T904"/>
      <c r="U904"/>
      <c r="V904" s="73"/>
    </row>
    <row r="905" spans="1:22" x14ac:dyDescent="0.25">
      <c r="A905" s="74" t="s">
        <v>462</v>
      </c>
      <c r="B905" s="75"/>
      <c r="C905" s="75"/>
      <c r="D905" s="75"/>
      <c r="E905" s="75"/>
      <c r="F905" s="75"/>
      <c r="G905" s="75"/>
      <c r="H905" s="76"/>
      <c r="I905" s="77" t="s">
        <v>380</v>
      </c>
      <c r="J905" s="75"/>
      <c r="K905" s="75"/>
      <c r="L905" s="76"/>
      <c r="M905" s="77" t="s">
        <v>3</v>
      </c>
      <c r="N905" s="75"/>
      <c r="O905" s="75"/>
      <c r="P905" s="75"/>
      <c r="Q905" s="75"/>
      <c r="R905" s="75"/>
      <c r="S905" s="75"/>
      <c r="T905" s="75"/>
      <c r="U905" s="75"/>
      <c r="V905" s="78"/>
    </row>
    <row r="906" spans="1:22" x14ac:dyDescent="0.25">
      <c r="A906" s="79" t="s">
        <v>463</v>
      </c>
      <c r="B906" s="80"/>
      <c r="C906" s="80"/>
      <c r="D906" s="80"/>
      <c r="E906" s="80"/>
      <c r="F906" s="80"/>
      <c r="G906" s="80"/>
      <c r="H906" s="80"/>
      <c r="I906" s="81" t="s">
        <v>381</v>
      </c>
      <c r="J906" s="80"/>
      <c r="K906" s="80"/>
      <c r="L906" s="80"/>
      <c r="M906" s="81" t="s">
        <v>464</v>
      </c>
      <c r="N906" s="80"/>
      <c r="O906" s="80"/>
      <c r="P906" s="82"/>
      <c r="Q906" s="82"/>
      <c r="R906" s="82"/>
      <c r="S906" s="82"/>
      <c r="T906" s="82"/>
      <c r="U906" s="82"/>
      <c r="V906" s="83"/>
    </row>
    <row r="907" spans="1:22" ht="16.5" thickBot="1" x14ac:dyDescent="0.3">
      <c r="A907" s="84" t="s">
        <v>465</v>
      </c>
      <c r="B907" s="43"/>
      <c r="C907" s="43"/>
      <c r="D907" s="43"/>
      <c r="E907" s="43"/>
      <c r="F907" s="43"/>
      <c r="G907" s="43"/>
      <c r="H907" s="43"/>
      <c r="I907" s="85"/>
      <c r="J907" s="43"/>
      <c r="K907" s="43"/>
      <c r="L907" s="43"/>
      <c r="M907" s="85"/>
      <c r="N907" s="43"/>
      <c r="O907" s="43"/>
      <c r="P907" s="43"/>
      <c r="Q907" s="43"/>
      <c r="R907" s="43"/>
      <c r="S907" s="43"/>
      <c r="T907" s="43"/>
      <c r="U907" s="43"/>
      <c r="V907" s="44"/>
    </row>
    <row r="908" spans="1:22" ht="22.5" x14ac:dyDescent="0.25">
      <c r="A908" s="31" t="s">
        <v>441</v>
      </c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3"/>
      <c r="R908" s="1053">
        <f>+P948-S948</f>
        <v>0</v>
      </c>
      <c r="S908" s="1054"/>
      <c r="T908" s="1054"/>
      <c r="U908" s="1054"/>
      <c r="V908" s="1055"/>
    </row>
    <row r="909" spans="1:22" x14ac:dyDescent="0.25">
      <c r="A909" s="34" t="s">
        <v>442</v>
      </c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6"/>
      <c r="R909" s="37" t="s">
        <v>443</v>
      </c>
      <c r="S909"/>
      <c r="T909" s="1056"/>
      <c r="U909" s="1056"/>
      <c r="V909" s="1057"/>
    </row>
    <row r="910" spans="1:22" x14ac:dyDescent="0.25">
      <c r="A910" s="38" t="s">
        <v>444</v>
      </c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6"/>
      <c r="R910" s="37" t="s">
        <v>0</v>
      </c>
      <c r="S910"/>
      <c r="T910" s="1058">
        <f>IF(T909=0,0,(LOOKUP(T909,CsDJ[JEV Number],CsDJ[Date])))</f>
        <v>0</v>
      </c>
      <c r="U910" s="1058"/>
      <c r="V910" s="1059"/>
    </row>
    <row r="911" spans="1:22" ht="16.5" thickBot="1" x14ac:dyDescent="0.3">
      <c r="A911" s="39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1"/>
      <c r="R911" s="42"/>
      <c r="S911" s="43"/>
      <c r="T911" s="43"/>
      <c r="U911" s="43"/>
      <c r="V911" s="44"/>
    </row>
    <row r="912" spans="1:22" x14ac:dyDescent="0.25">
      <c r="A912" s="45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7"/>
      <c r="M912" s="46"/>
      <c r="N912" s="46"/>
      <c r="O912" s="46"/>
      <c r="P912" s="46"/>
      <c r="Q912" s="46"/>
      <c r="R912" s="46"/>
      <c r="S912" s="46"/>
      <c r="T912" s="46"/>
      <c r="U912" s="46"/>
      <c r="V912" s="48"/>
    </row>
    <row r="913" spans="1:22" x14ac:dyDescent="0.25">
      <c r="A913" s="49"/>
      <c r="B913" s="1060"/>
      <c r="C913" s="1060"/>
      <c r="D913" s="50" t="s">
        <v>445</v>
      </c>
      <c r="H913" s="51"/>
      <c r="I913" s="25" t="s">
        <v>447</v>
      </c>
      <c r="J913" s="132" t="s">
        <v>446</v>
      </c>
      <c r="K913" s="52" t="s">
        <v>448</v>
      </c>
      <c r="L913" s="52"/>
      <c r="Q913" s="1060"/>
      <c r="R913" s="1060"/>
      <c r="S913" s="50" t="s">
        <v>449</v>
      </c>
      <c r="T913" s="50"/>
      <c r="U913" s="50"/>
      <c r="V913" s="53"/>
    </row>
    <row r="914" spans="1:22" ht="16.5" thickBot="1" x14ac:dyDescent="0.3">
      <c r="A914" s="54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6"/>
      <c r="M914" s="55"/>
      <c r="N914" s="55"/>
      <c r="O914" s="55"/>
      <c r="P914" s="55"/>
      <c r="Q914" s="55"/>
      <c r="R914" s="55"/>
      <c r="S914" s="55"/>
      <c r="T914" s="55"/>
      <c r="U914" s="55"/>
      <c r="V914" s="57"/>
    </row>
    <row r="915" spans="1:22" x14ac:dyDescent="0.25">
      <c r="A915" s="1061" t="s">
        <v>397</v>
      </c>
      <c r="B915" s="1062"/>
      <c r="C915" s="1062"/>
      <c r="D915" s="1063"/>
      <c r="E915" s="1070" t="s">
        <v>450</v>
      </c>
      <c r="F915" s="1070"/>
      <c r="G915" s="1070"/>
      <c r="H915" s="1070"/>
      <c r="I915" s="1070"/>
      <c r="J915" s="1070"/>
      <c r="K915" s="1070"/>
      <c r="L915" s="1070"/>
      <c r="M915" s="1070"/>
      <c r="N915" s="1070"/>
      <c r="O915" s="1070"/>
      <c r="P915" s="1070"/>
      <c r="Q915" s="1070"/>
      <c r="R915" s="1070"/>
      <c r="S915" s="1070"/>
      <c r="T915" s="1070"/>
      <c r="U915" s="1070"/>
      <c r="V915" s="1071"/>
    </row>
    <row r="916" spans="1:22" x14ac:dyDescent="0.25">
      <c r="A916" s="1064"/>
      <c r="B916" s="1065"/>
      <c r="C916" s="1065"/>
      <c r="D916" s="1066"/>
      <c r="E916" s="1072" t="s">
        <v>451</v>
      </c>
      <c r="F916" s="1072"/>
      <c r="G916" s="1072"/>
      <c r="H916" s="1072"/>
      <c r="I916" s="1072"/>
      <c r="J916" s="1072"/>
      <c r="K916" s="1074" t="s">
        <v>378</v>
      </c>
      <c r="L916" s="1074"/>
      <c r="M916" s="1072" t="s">
        <v>452</v>
      </c>
      <c r="N916" s="1075" t="s">
        <v>453</v>
      </c>
      <c r="O916" s="1076"/>
      <c r="P916" s="1076"/>
      <c r="Q916" s="1076"/>
      <c r="R916" s="1076"/>
      <c r="S916" s="1076"/>
      <c r="T916" s="1076"/>
      <c r="U916" s="1076"/>
      <c r="V916" s="1077"/>
    </row>
    <row r="917" spans="1:22" ht="16.5" customHeight="1" thickBot="1" x14ac:dyDescent="0.3">
      <c r="A917" s="1067"/>
      <c r="B917" s="1068"/>
      <c r="C917" s="1068"/>
      <c r="D917" s="1069"/>
      <c r="E917" s="1073"/>
      <c r="F917" s="1073"/>
      <c r="G917" s="1073"/>
      <c r="H917" s="1073"/>
      <c r="I917" s="1073"/>
      <c r="J917" s="1073"/>
      <c r="K917" s="58" t="s">
        <v>454</v>
      </c>
      <c r="L917" s="58" t="s">
        <v>455</v>
      </c>
      <c r="M917" s="1073"/>
      <c r="N917" s="87" t="s">
        <v>466</v>
      </c>
      <c r="O917" s="87" t="s">
        <v>467</v>
      </c>
      <c r="P917" s="1078" t="s">
        <v>1</v>
      </c>
      <c r="Q917" s="1079"/>
      <c r="R917" s="1080"/>
      <c r="S917" s="1078" t="s">
        <v>2</v>
      </c>
      <c r="T917" s="1079"/>
      <c r="U917" s="1079"/>
      <c r="V917" s="1081"/>
    </row>
    <row r="918" spans="1:22" ht="19.5" x14ac:dyDescent="0.3">
      <c r="A918" s="1082">
        <f>P948-S948</f>
        <v>0</v>
      </c>
      <c r="B918" s="1083"/>
      <c r="C918" s="1083"/>
      <c r="D918" s="1083"/>
      <c r="E918" s="1084" t="str">
        <f>Account!$G$1</f>
        <v>FUND 501 CARP</v>
      </c>
      <c r="F918" s="1085"/>
      <c r="G918" s="1085"/>
      <c r="H918" s="1085"/>
      <c r="I918" s="1085"/>
      <c r="J918" s="1086"/>
      <c r="K918" s="59"/>
      <c r="L918" s="59"/>
      <c r="M918" s="60"/>
      <c r="N918" s="60"/>
      <c r="O918" s="60"/>
      <c r="P918" s="1087"/>
      <c r="Q918" s="1087"/>
      <c r="R918" s="1087"/>
      <c r="S918" s="1087"/>
      <c r="T918" s="1087"/>
      <c r="U918" s="1087"/>
      <c r="V918" s="1088"/>
    </row>
    <row r="919" spans="1:22" x14ac:dyDescent="0.25">
      <c r="A919" s="1038"/>
      <c r="B919" s="1039"/>
      <c r="C919" s="1039"/>
      <c r="D919" s="1039"/>
      <c r="E919" s="1039"/>
      <c r="F919" s="1039"/>
      <c r="G919" s="1039"/>
      <c r="H919" s="1039"/>
      <c r="I919" s="1039"/>
      <c r="J919" s="1039"/>
      <c r="K919" s="61"/>
      <c r="L919" s="61"/>
      <c r="M919" s="14"/>
      <c r="N919" s="14"/>
      <c r="O919" s="14"/>
      <c r="P919" s="1039"/>
      <c r="Q919" s="1039"/>
      <c r="R919" s="1039"/>
      <c r="S919" s="1039"/>
      <c r="T919" s="1039"/>
      <c r="U919" s="1039"/>
      <c r="V919" s="1089"/>
    </row>
    <row r="920" spans="1:22" x14ac:dyDescent="0.25">
      <c r="A920" s="1038"/>
      <c r="B920" s="1039"/>
      <c r="C920" s="1039"/>
      <c r="D920" s="1039"/>
      <c r="E920" s="1045" t="str">
        <f t="shared" ref="E920:E942" si="76">IF(K920=0,"",(VLOOKUP((TRIM(K920)),Code,2,)))</f>
        <v/>
      </c>
      <c r="F920" s="1046"/>
      <c r="G920" s="1046"/>
      <c r="H920" s="1046"/>
      <c r="I920" s="1046"/>
      <c r="J920" s="1047"/>
      <c r="K920" s="133"/>
      <c r="L920" s="62" t="str">
        <f t="shared" ref="L920:L947" si="77">IF(K920=0,"",VLOOKUP((TRIM(K920)),Code,3,))</f>
        <v/>
      </c>
      <c r="M920" s="14"/>
      <c r="N920" s="89">
        <f t="array" ref="N920">SUM(IF((CsDJ[JEV Number]=TRIM($T909))*(CsDJ[Account Code]=TRIM(K920)),CsDJ[Debit]))</f>
        <v>0</v>
      </c>
      <c r="O920" s="89">
        <f t="array" ref="O920">SUM(IF((CsDJ[JEV Number]=TRIM($T909))*(CsDJ[Account Code]=TRIM(K920)),CsDJ[Credit]))</f>
        <v>0</v>
      </c>
      <c r="P920" s="1040">
        <f>N920</f>
        <v>0</v>
      </c>
      <c r="Q920" s="1040"/>
      <c r="R920" s="1040"/>
      <c r="S920" s="1040">
        <f>O920</f>
        <v>0</v>
      </c>
      <c r="T920" s="1040"/>
      <c r="U920" s="1040"/>
      <c r="V920" s="1041"/>
    </row>
    <row r="921" spans="1:22" x14ac:dyDescent="0.25">
      <c r="A921" s="1038"/>
      <c r="B921" s="1039"/>
      <c r="C921" s="1039"/>
      <c r="D921" s="1039"/>
      <c r="E921" s="1045" t="str">
        <f t="shared" si="76"/>
        <v/>
      </c>
      <c r="F921" s="1046"/>
      <c r="G921" s="1046"/>
      <c r="H921" s="1046"/>
      <c r="I921" s="1046"/>
      <c r="J921" s="1047"/>
      <c r="K921" s="133"/>
      <c r="L921" s="62" t="str">
        <f t="shared" si="77"/>
        <v/>
      </c>
      <c r="M921" s="14"/>
      <c r="N921" s="89">
        <f t="array" ref="N921">SUM(IF((CsDJ[JEV Number]=TRIM($T909))*(CsDJ[Account Code]=TRIM(K921)),CsDJ[Debit]))</f>
        <v>0</v>
      </c>
      <c r="O921" s="89">
        <f t="array" ref="O921">SUM(IF((CsDJ[JEV Number]=TRIM($T909))*(CsDJ[Account Code]=TRIM(K921)),CsDJ[Credit]))</f>
        <v>0</v>
      </c>
      <c r="P921" s="1040">
        <f>N921</f>
        <v>0</v>
      </c>
      <c r="Q921" s="1040"/>
      <c r="R921" s="1040"/>
      <c r="S921" s="1040">
        <f>O921</f>
        <v>0</v>
      </c>
      <c r="T921" s="1040"/>
      <c r="U921" s="1040"/>
      <c r="V921" s="1041"/>
    </row>
    <row r="922" spans="1:22" x14ac:dyDescent="0.25">
      <c r="A922" s="1038"/>
      <c r="B922" s="1039"/>
      <c r="C922" s="1039"/>
      <c r="D922" s="1039"/>
      <c r="E922" s="1045" t="str">
        <f t="shared" si="76"/>
        <v/>
      </c>
      <c r="F922" s="1046"/>
      <c r="G922" s="1046"/>
      <c r="H922" s="1046"/>
      <c r="I922" s="1046"/>
      <c r="J922" s="1047"/>
      <c r="K922" s="133"/>
      <c r="L922" s="62" t="str">
        <f t="shared" si="77"/>
        <v/>
      </c>
      <c r="M922" s="14"/>
      <c r="N922" s="89">
        <f t="array" ref="N922">SUM(IF((CsDJ[JEV Number]=TRIM($T909))*(CsDJ[Account Code]=TRIM(K922)),CsDJ[Debit]))</f>
        <v>0</v>
      </c>
      <c r="O922" s="89">
        <f t="array" ref="O922">SUM(IF((CsDJ[JEV Number]=TRIM($T909))*(CsDJ[Account Code]=TRIM(K922)),CsDJ[Credit]))</f>
        <v>0</v>
      </c>
      <c r="P922" s="1040">
        <f t="shared" ref="P922:P947" si="78">N922</f>
        <v>0</v>
      </c>
      <c r="Q922" s="1040"/>
      <c r="R922" s="1040"/>
      <c r="S922" s="1040">
        <f t="shared" ref="S922:S947" si="79">O922</f>
        <v>0</v>
      </c>
      <c r="T922" s="1040"/>
      <c r="U922" s="1040"/>
      <c r="V922" s="1041"/>
    </row>
    <row r="923" spans="1:22" x14ac:dyDescent="0.25">
      <c r="A923" s="1038"/>
      <c r="B923" s="1039"/>
      <c r="C923" s="1039"/>
      <c r="D923" s="1039"/>
      <c r="E923" s="1045" t="str">
        <f t="shared" si="76"/>
        <v/>
      </c>
      <c r="F923" s="1046"/>
      <c r="G923" s="1046"/>
      <c r="H923" s="1046"/>
      <c r="I923" s="1046"/>
      <c r="J923" s="1047"/>
      <c r="K923" s="133"/>
      <c r="L923" s="62" t="str">
        <f t="shared" si="77"/>
        <v/>
      </c>
      <c r="M923" s="14"/>
      <c r="N923" s="89">
        <f t="array" ref="N923">SUM(IF((CsDJ[JEV Number]=TRIM($T909))*(CsDJ[Account Code]=TRIM(K923)),CsDJ[Debit]))</f>
        <v>0</v>
      </c>
      <c r="O923" s="89">
        <f t="array" ref="O923">SUM(IF((CsDJ[JEV Number]=TRIM($T909))*(CsDJ[Account Code]=TRIM(K923)),CsDJ[Credit]))</f>
        <v>0</v>
      </c>
      <c r="P923" s="1040">
        <f t="shared" si="78"/>
        <v>0</v>
      </c>
      <c r="Q923" s="1040"/>
      <c r="R923" s="1040"/>
      <c r="S923" s="1040">
        <f t="shared" si="79"/>
        <v>0</v>
      </c>
      <c r="T923" s="1040"/>
      <c r="U923" s="1040"/>
      <c r="V923" s="1041"/>
    </row>
    <row r="924" spans="1:22" x14ac:dyDescent="0.25">
      <c r="A924" s="1038"/>
      <c r="B924" s="1039"/>
      <c r="C924" s="1039"/>
      <c r="D924" s="1039"/>
      <c r="E924" s="1045" t="str">
        <f t="shared" si="76"/>
        <v/>
      </c>
      <c r="F924" s="1046"/>
      <c r="G924" s="1046"/>
      <c r="H924" s="1046"/>
      <c r="I924" s="1046"/>
      <c r="J924" s="1047"/>
      <c r="K924" s="133"/>
      <c r="L924" s="62" t="str">
        <f t="shared" si="77"/>
        <v/>
      </c>
      <c r="M924" s="14"/>
      <c r="N924" s="89">
        <f t="array" ref="N924">SUM(IF((CsDJ[JEV Number]=TRIM($T909))*(CsDJ[Account Code]=TRIM(K924)),CsDJ[Debit]))</f>
        <v>0</v>
      </c>
      <c r="O924" s="89">
        <f t="array" ref="O924">SUM(IF((CsDJ[JEV Number]=TRIM($T909))*(CsDJ[Account Code]=TRIM(K924)),CsDJ[Credit]))</f>
        <v>0</v>
      </c>
      <c r="P924" s="1040">
        <f t="shared" si="78"/>
        <v>0</v>
      </c>
      <c r="Q924" s="1040"/>
      <c r="R924" s="1040"/>
      <c r="S924" s="1040">
        <f t="shared" si="79"/>
        <v>0</v>
      </c>
      <c r="T924" s="1040"/>
      <c r="U924" s="1040"/>
      <c r="V924" s="1041"/>
    </row>
    <row r="925" spans="1:22" x14ac:dyDescent="0.25">
      <c r="A925" s="1038"/>
      <c r="B925" s="1039"/>
      <c r="C925" s="1039"/>
      <c r="D925" s="1039"/>
      <c r="E925" s="1045" t="str">
        <f t="shared" si="76"/>
        <v/>
      </c>
      <c r="F925" s="1046"/>
      <c r="G925" s="1046"/>
      <c r="H925" s="1046"/>
      <c r="I925" s="1046"/>
      <c r="J925" s="1047"/>
      <c r="K925" s="133"/>
      <c r="L925" s="62" t="str">
        <f t="shared" si="77"/>
        <v/>
      </c>
      <c r="M925" s="14"/>
      <c r="N925" s="89">
        <f t="array" ref="N925">SUM(IF((CsDJ[JEV Number]=TRIM($T909))*(CsDJ[Account Code]=TRIM(K925)),CsDJ[Debit]))</f>
        <v>0</v>
      </c>
      <c r="O925" s="89">
        <f t="array" ref="O925">SUM(IF((CsDJ[JEV Number]=TRIM($T909))*(CsDJ[Account Code]=TRIM(K925)),CsDJ[Credit]))</f>
        <v>0</v>
      </c>
      <c r="P925" s="1040">
        <f t="shared" si="78"/>
        <v>0</v>
      </c>
      <c r="Q925" s="1040"/>
      <c r="R925" s="1040"/>
      <c r="S925" s="1040">
        <f t="shared" si="79"/>
        <v>0</v>
      </c>
      <c r="T925" s="1040"/>
      <c r="U925" s="1040"/>
      <c r="V925" s="1041"/>
    </row>
    <row r="926" spans="1:22" x14ac:dyDescent="0.25">
      <c r="A926" s="1038"/>
      <c r="B926" s="1039"/>
      <c r="C926" s="1039"/>
      <c r="D926" s="1039"/>
      <c r="E926" s="1045" t="str">
        <f t="shared" si="76"/>
        <v/>
      </c>
      <c r="F926" s="1046"/>
      <c r="G926" s="1046"/>
      <c r="H926" s="1046"/>
      <c r="I926" s="1046"/>
      <c r="J926" s="1047"/>
      <c r="K926" s="133"/>
      <c r="L926" s="62" t="str">
        <f t="shared" si="77"/>
        <v/>
      </c>
      <c r="M926" s="14"/>
      <c r="N926" s="89">
        <f t="array" ref="N926">SUM(IF((CsDJ[JEV Number]=TRIM($T909))*(CsDJ[Account Code]=TRIM(K926)),CsDJ[Debit]))</f>
        <v>0</v>
      </c>
      <c r="O926" s="89">
        <f t="array" ref="O926">SUM(IF((CsDJ[JEV Number]=TRIM($T909))*(CsDJ[Account Code]=TRIM(K926)),CsDJ[Credit]))</f>
        <v>0</v>
      </c>
      <c r="P926" s="1040">
        <f t="shared" si="78"/>
        <v>0</v>
      </c>
      <c r="Q926" s="1040"/>
      <c r="R926" s="1040"/>
      <c r="S926" s="1040">
        <f t="shared" si="79"/>
        <v>0</v>
      </c>
      <c r="T926" s="1040"/>
      <c r="U926" s="1040"/>
      <c r="V926" s="1041"/>
    </row>
    <row r="927" spans="1:22" x14ac:dyDescent="0.25">
      <c r="A927" s="1038"/>
      <c r="B927" s="1039"/>
      <c r="C927" s="1039"/>
      <c r="D927" s="1039"/>
      <c r="E927" s="1045" t="str">
        <f t="shared" si="76"/>
        <v/>
      </c>
      <c r="F927" s="1046"/>
      <c r="G927" s="1046"/>
      <c r="H927" s="1046"/>
      <c r="I927" s="1046"/>
      <c r="J927" s="1047"/>
      <c r="K927" s="133"/>
      <c r="L927" s="62" t="str">
        <f t="shared" si="77"/>
        <v/>
      </c>
      <c r="M927" s="14"/>
      <c r="N927" s="89">
        <f t="array" ref="N927">SUM(IF((CsDJ[JEV Number]=TRIM($T909))*(CsDJ[Account Code]=TRIM(K927)),CsDJ[Debit]))</f>
        <v>0</v>
      </c>
      <c r="O927" s="89">
        <f t="array" ref="O927">SUM(IF((CsDJ[JEV Number]=TRIM($T909))*(CsDJ[Account Code]=TRIM(K927)),CsDJ[Credit]))</f>
        <v>0</v>
      </c>
      <c r="P927" s="1040">
        <f t="shared" si="78"/>
        <v>0</v>
      </c>
      <c r="Q927" s="1040"/>
      <c r="R927" s="1040"/>
      <c r="S927" s="1040">
        <f t="shared" si="79"/>
        <v>0</v>
      </c>
      <c r="T927" s="1040"/>
      <c r="U927" s="1040"/>
      <c r="V927" s="1041"/>
    </row>
    <row r="928" spans="1:22" x14ac:dyDescent="0.25">
      <c r="A928" s="1038"/>
      <c r="B928" s="1039"/>
      <c r="C928" s="1039"/>
      <c r="D928" s="1039"/>
      <c r="E928" s="1045" t="str">
        <f t="shared" si="76"/>
        <v/>
      </c>
      <c r="F928" s="1046"/>
      <c r="G928" s="1046"/>
      <c r="H928" s="1046"/>
      <c r="I928" s="1046"/>
      <c r="J928" s="1047"/>
      <c r="K928" s="134"/>
      <c r="L928" s="62" t="str">
        <f t="shared" si="77"/>
        <v/>
      </c>
      <c r="M928" s="14"/>
      <c r="N928" s="89">
        <f t="array" ref="N928">SUM(IF((CsDJ[JEV Number]=TRIM($T909))*(CsDJ[Account Code]=TRIM(K928)),CsDJ[Debit]))</f>
        <v>0</v>
      </c>
      <c r="O928" s="89">
        <f t="array" ref="O928">SUM(IF((CsDJ[JEV Number]=TRIM($T909))*(CsDJ[Account Code]=TRIM(K928)),CsDJ[Credit]))</f>
        <v>0</v>
      </c>
      <c r="P928" s="1040">
        <f t="shared" si="78"/>
        <v>0</v>
      </c>
      <c r="Q928" s="1040"/>
      <c r="R928" s="1040"/>
      <c r="S928" s="1040">
        <f t="shared" si="79"/>
        <v>0</v>
      </c>
      <c r="T928" s="1040"/>
      <c r="U928" s="1040"/>
      <c r="V928" s="1041"/>
    </row>
    <row r="929" spans="1:22" x14ac:dyDescent="0.25">
      <c r="A929" s="1038"/>
      <c r="B929" s="1039"/>
      <c r="C929" s="1039"/>
      <c r="D929" s="1039"/>
      <c r="E929" s="1045" t="str">
        <f t="shared" si="76"/>
        <v/>
      </c>
      <c r="F929" s="1046"/>
      <c r="G929" s="1046"/>
      <c r="H929" s="1046"/>
      <c r="I929" s="1046"/>
      <c r="J929" s="1047"/>
      <c r="K929" s="134"/>
      <c r="L929" s="62" t="str">
        <f t="shared" si="77"/>
        <v/>
      </c>
      <c r="M929" s="14"/>
      <c r="N929" s="89">
        <f t="array" ref="N929">SUM(IF((CsDJ[JEV Number]=TRIM($T909))*(CsDJ[Account Code]=TRIM(K929)),CsDJ[Debit]))</f>
        <v>0</v>
      </c>
      <c r="O929" s="89">
        <f t="array" ref="O929">SUM(IF((CsDJ[JEV Number]=TRIM($T909))*(CsDJ[Account Code]=TRIM(K929)),CsDJ[Credit]))</f>
        <v>0</v>
      </c>
      <c r="P929" s="1040">
        <f t="shared" si="78"/>
        <v>0</v>
      </c>
      <c r="Q929" s="1040"/>
      <c r="R929" s="1040"/>
      <c r="S929" s="1040">
        <f t="shared" si="79"/>
        <v>0</v>
      </c>
      <c r="T929" s="1040"/>
      <c r="U929" s="1040"/>
      <c r="V929" s="1041"/>
    </row>
    <row r="930" spans="1:22" x14ac:dyDescent="0.25">
      <c r="A930" s="1038"/>
      <c r="B930" s="1039"/>
      <c r="C930" s="1039"/>
      <c r="D930" s="1039"/>
      <c r="E930" s="1045" t="str">
        <f t="shared" si="76"/>
        <v/>
      </c>
      <c r="F930" s="1046"/>
      <c r="G930" s="1046"/>
      <c r="H930" s="1046"/>
      <c r="I930" s="1046"/>
      <c r="J930" s="1047"/>
      <c r="K930" s="134"/>
      <c r="L930" s="62" t="str">
        <f t="shared" si="77"/>
        <v/>
      </c>
      <c r="M930" s="14"/>
      <c r="N930" s="89">
        <f t="array" ref="N930">SUM(IF((CsDJ[JEV Number]=TRIM($T909))*(CsDJ[Account Code]=TRIM(K930)),CsDJ[Debit]))</f>
        <v>0</v>
      </c>
      <c r="O930" s="89">
        <f t="array" ref="O930">SUM(IF((CsDJ[JEV Number]=TRIM($T909))*(CsDJ[Account Code]=TRIM(K930)),CsDJ[Credit]))</f>
        <v>0</v>
      </c>
      <c r="P930" s="1040">
        <f t="shared" si="78"/>
        <v>0</v>
      </c>
      <c r="Q930" s="1040"/>
      <c r="R930" s="1040"/>
      <c r="S930" s="1040">
        <f t="shared" si="79"/>
        <v>0</v>
      </c>
      <c r="T930" s="1040"/>
      <c r="U930" s="1040"/>
      <c r="V930" s="1041"/>
    </row>
    <row r="931" spans="1:22" x14ac:dyDescent="0.25">
      <c r="A931" s="1038"/>
      <c r="B931" s="1039"/>
      <c r="C931" s="1039"/>
      <c r="D931" s="1039"/>
      <c r="E931" s="1045" t="str">
        <f t="shared" si="76"/>
        <v/>
      </c>
      <c r="F931" s="1046"/>
      <c r="G931" s="1046"/>
      <c r="H931" s="1046"/>
      <c r="I931" s="1046"/>
      <c r="J931" s="1047"/>
      <c r="K931" s="134"/>
      <c r="L931" s="62" t="str">
        <f t="shared" si="77"/>
        <v/>
      </c>
      <c r="M931" s="14"/>
      <c r="N931" s="89">
        <f t="array" ref="N931">SUM(IF((CsDJ[JEV Number]=TRIM($T909))*(CsDJ[Account Code]=TRIM(K931)),CsDJ[Debit]))</f>
        <v>0</v>
      </c>
      <c r="O931" s="89">
        <f t="array" ref="O931">SUM(IF((CsDJ[JEV Number]=TRIM($T909))*(CsDJ[Account Code]=TRIM(K931)),CsDJ[Credit]))</f>
        <v>0</v>
      </c>
      <c r="P931" s="1040">
        <f t="shared" si="78"/>
        <v>0</v>
      </c>
      <c r="Q931" s="1040"/>
      <c r="R931" s="1040"/>
      <c r="S931" s="1040">
        <f t="shared" si="79"/>
        <v>0</v>
      </c>
      <c r="T931" s="1040"/>
      <c r="U931" s="1040"/>
      <c r="V931" s="1041"/>
    </row>
    <row r="932" spans="1:22" x14ac:dyDescent="0.25">
      <c r="A932" s="1038"/>
      <c r="B932" s="1039"/>
      <c r="C932" s="1039"/>
      <c r="D932" s="1039"/>
      <c r="E932" s="1045" t="str">
        <f t="shared" si="76"/>
        <v/>
      </c>
      <c r="F932" s="1046"/>
      <c r="G932" s="1046"/>
      <c r="H932" s="1046"/>
      <c r="I932" s="1046"/>
      <c r="J932" s="1047"/>
      <c r="K932" s="134"/>
      <c r="L932" s="62" t="str">
        <f t="shared" si="77"/>
        <v/>
      </c>
      <c r="M932" s="14"/>
      <c r="N932" s="89">
        <f t="array" ref="N932">SUM(IF((CsDJ[JEV Number]=TRIM($T909))*(CsDJ[Account Code]=TRIM(K932)),CsDJ[Debit]))</f>
        <v>0</v>
      </c>
      <c r="O932" s="89">
        <f t="array" ref="O932">SUM(IF((CsDJ[JEV Number]=TRIM($T909))*(CsDJ[Account Code]=TRIM(K932)),CsDJ[Credit]))</f>
        <v>0</v>
      </c>
      <c r="P932" s="1040">
        <f t="shared" si="78"/>
        <v>0</v>
      </c>
      <c r="Q932" s="1040"/>
      <c r="R932" s="1040"/>
      <c r="S932" s="1040">
        <f t="shared" si="79"/>
        <v>0</v>
      </c>
      <c r="T932" s="1040"/>
      <c r="U932" s="1040"/>
      <c r="V932" s="1041"/>
    </row>
    <row r="933" spans="1:22" x14ac:dyDescent="0.25">
      <c r="A933" s="1038"/>
      <c r="B933" s="1039"/>
      <c r="C933" s="1039"/>
      <c r="D933" s="1039"/>
      <c r="E933" s="1045" t="str">
        <f t="shared" si="76"/>
        <v/>
      </c>
      <c r="F933" s="1046"/>
      <c r="G933" s="1046"/>
      <c r="H933" s="1046"/>
      <c r="I933" s="1046"/>
      <c r="J933" s="1047"/>
      <c r="K933" s="134"/>
      <c r="L933" s="62" t="str">
        <f t="shared" si="77"/>
        <v/>
      </c>
      <c r="M933" s="14"/>
      <c r="N933" s="89">
        <f t="array" ref="N933">SUM(IF((CsDJ[JEV Number]=TRIM($T909))*(CsDJ[Account Code]=TRIM(K933)),CsDJ[Debit]))</f>
        <v>0</v>
      </c>
      <c r="O933" s="89">
        <f t="array" ref="O933">SUM(IF((CsDJ[JEV Number]=TRIM($T909))*(CsDJ[Account Code]=TRIM(K933)),CsDJ[Credit]))</f>
        <v>0</v>
      </c>
      <c r="P933" s="1040">
        <f t="shared" si="78"/>
        <v>0</v>
      </c>
      <c r="Q933" s="1040"/>
      <c r="R933" s="1040"/>
      <c r="S933" s="1040">
        <f t="shared" si="79"/>
        <v>0</v>
      </c>
      <c r="T933" s="1040"/>
      <c r="U933" s="1040"/>
      <c r="V933" s="1041"/>
    </row>
    <row r="934" spans="1:22" x14ac:dyDescent="0.25">
      <c r="A934" s="1038"/>
      <c r="B934" s="1039"/>
      <c r="C934" s="1039"/>
      <c r="D934" s="1039"/>
      <c r="E934" s="1045" t="str">
        <f t="shared" si="76"/>
        <v/>
      </c>
      <c r="F934" s="1046"/>
      <c r="G934" s="1046"/>
      <c r="H934" s="1046"/>
      <c r="I934" s="1046"/>
      <c r="J934" s="1047"/>
      <c r="K934" s="134"/>
      <c r="L934" s="62" t="str">
        <f t="shared" si="77"/>
        <v/>
      </c>
      <c r="M934" s="14"/>
      <c r="N934" s="89">
        <f t="array" ref="N934">SUM(IF((CsDJ[JEV Number]=TRIM($T909))*(CsDJ[Account Code]=TRIM(K934)),CsDJ[Debit]))</f>
        <v>0</v>
      </c>
      <c r="O934" s="89">
        <f t="array" ref="O934">SUM(IF((CsDJ[JEV Number]=TRIM($T909))*(CsDJ[Account Code]=TRIM(K934)),CsDJ[Credit]))</f>
        <v>0</v>
      </c>
      <c r="P934" s="1040">
        <f t="shared" si="78"/>
        <v>0</v>
      </c>
      <c r="Q934" s="1040"/>
      <c r="R934" s="1040"/>
      <c r="S934" s="1040">
        <f t="shared" si="79"/>
        <v>0</v>
      </c>
      <c r="T934" s="1040"/>
      <c r="U934" s="1040"/>
      <c r="V934" s="1041"/>
    </row>
    <row r="935" spans="1:22" x14ac:dyDescent="0.25">
      <c r="A935" s="1038"/>
      <c r="B935" s="1039"/>
      <c r="C935" s="1039"/>
      <c r="D935" s="1039"/>
      <c r="E935" s="1045" t="str">
        <f t="shared" si="76"/>
        <v/>
      </c>
      <c r="F935" s="1046"/>
      <c r="G935" s="1046"/>
      <c r="H935" s="1046"/>
      <c r="I935" s="1046"/>
      <c r="J935" s="1047"/>
      <c r="K935" s="134"/>
      <c r="L935" s="62" t="str">
        <f t="shared" si="77"/>
        <v/>
      </c>
      <c r="M935" s="14"/>
      <c r="N935" s="89">
        <f t="array" ref="N935">SUM(IF((CsDJ[JEV Number]=TRIM($T909))*(CsDJ[Account Code]=TRIM(K935)),CsDJ[Debit]))</f>
        <v>0</v>
      </c>
      <c r="O935" s="89">
        <f t="array" ref="O935">SUM(IF((CsDJ[JEV Number]=TRIM($T909))*(CsDJ[Account Code]=TRIM(K935)),CsDJ[Credit]))</f>
        <v>0</v>
      </c>
      <c r="P935" s="1040">
        <f t="shared" si="78"/>
        <v>0</v>
      </c>
      <c r="Q935" s="1040"/>
      <c r="R935" s="1040"/>
      <c r="S935" s="1040">
        <f t="shared" si="79"/>
        <v>0</v>
      </c>
      <c r="T935" s="1040"/>
      <c r="U935" s="1040"/>
      <c r="V935" s="1041"/>
    </row>
    <row r="936" spans="1:22" x14ac:dyDescent="0.25">
      <c r="A936" s="1038"/>
      <c r="B936" s="1039"/>
      <c r="C936" s="1039"/>
      <c r="D936" s="1039"/>
      <c r="E936" s="1045" t="str">
        <f t="shared" si="76"/>
        <v/>
      </c>
      <c r="F936" s="1046"/>
      <c r="G936" s="1046"/>
      <c r="H936" s="1046"/>
      <c r="I936" s="1046"/>
      <c r="J936" s="1047"/>
      <c r="K936" s="134"/>
      <c r="L936" s="62" t="str">
        <f t="shared" si="77"/>
        <v/>
      </c>
      <c r="M936" s="14"/>
      <c r="N936" s="89">
        <f t="array" ref="N936">SUM(IF((CsDJ[JEV Number]=TRIM($T909))*(CsDJ[Account Code]=TRIM(K936)),CsDJ[Debit]))</f>
        <v>0</v>
      </c>
      <c r="O936" s="89">
        <f t="array" ref="O936">SUM(IF((CsDJ[JEV Number]=TRIM($T909))*(CsDJ[Account Code]=TRIM(K936)),CsDJ[Credit]))</f>
        <v>0</v>
      </c>
      <c r="P936" s="1040">
        <f t="shared" si="78"/>
        <v>0</v>
      </c>
      <c r="Q936" s="1040"/>
      <c r="R936" s="1040"/>
      <c r="S936" s="1040">
        <f t="shared" si="79"/>
        <v>0</v>
      </c>
      <c r="T936" s="1040"/>
      <c r="U936" s="1040"/>
      <c r="V936" s="1041"/>
    </row>
    <row r="937" spans="1:22" x14ac:dyDescent="0.25">
      <c r="A937" s="1038"/>
      <c r="B937" s="1039"/>
      <c r="C937" s="1039"/>
      <c r="D937" s="1039"/>
      <c r="E937" s="1045" t="str">
        <f t="shared" si="76"/>
        <v/>
      </c>
      <c r="F937" s="1046"/>
      <c r="G937" s="1046"/>
      <c r="H937" s="1046"/>
      <c r="I937" s="1046"/>
      <c r="J937" s="1047"/>
      <c r="K937" s="134"/>
      <c r="L937" s="62" t="str">
        <f t="shared" si="77"/>
        <v/>
      </c>
      <c r="M937" s="14"/>
      <c r="N937" s="89">
        <f t="array" ref="N937">SUM(IF((CsDJ[JEV Number]=TRIM($T909))*(CsDJ[Account Code]=TRIM(K937)),CsDJ[Debit]))</f>
        <v>0</v>
      </c>
      <c r="O937" s="89">
        <f t="array" ref="O937">SUM(IF((CsDJ[JEV Number]=TRIM($T909))*(CsDJ[Account Code]=TRIM(K937)),CsDJ[Credit]))</f>
        <v>0</v>
      </c>
      <c r="P937" s="1040">
        <f t="shared" si="78"/>
        <v>0</v>
      </c>
      <c r="Q937" s="1040"/>
      <c r="R937" s="1040"/>
      <c r="S937" s="1040">
        <f t="shared" si="79"/>
        <v>0</v>
      </c>
      <c r="T937" s="1040"/>
      <c r="U937" s="1040"/>
      <c r="V937" s="1041"/>
    </row>
    <row r="938" spans="1:22" x14ac:dyDescent="0.25">
      <c r="A938" s="1038"/>
      <c r="B938" s="1039"/>
      <c r="C938" s="1039"/>
      <c r="D938" s="1039"/>
      <c r="E938" s="1045" t="str">
        <f t="shared" si="76"/>
        <v/>
      </c>
      <c r="F938" s="1046"/>
      <c r="G938" s="1046"/>
      <c r="H938" s="1046"/>
      <c r="I938" s="1046"/>
      <c r="J938" s="1047"/>
      <c r="K938" s="134"/>
      <c r="L938" s="62" t="str">
        <f t="shared" si="77"/>
        <v/>
      </c>
      <c r="M938" s="14"/>
      <c r="N938" s="89">
        <f t="array" ref="N938">SUM(IF((CsDJ[JEV Number]=TRIM($T909))*(CsDJ[Account Code]=TRIM(K938)),CsDJ[Debit]))</f>
        <v>0</v>
      </c>
      <c r="O938" s="89">
        <f t="array" ref="O938">SUM(IF((CsDJ[JEV Number]=TRIM($T909))*(CsDJ[Account Code]=TRIM(K938)),CsDJ[Credit]))</f>
        <v>0</v>
      </c>
      <c r="P938" s="1040">
        <f t="shared" si="78"/>
        <v>0</v>
      </c>
      <c r="Q938" s="1040"/>
      <c r="R938" s="1040"/>
      <c r="S938" s="1040">
        <f t="shared" si="79"/>
        <v>0</v>
      </c>
      <c r="T938" s="1040"/>
      <c r="U938" s="1040"/>
      <c r="V938" s="1041"/>
    </row>
    <row r="939" spans="1:22" x14ac:dyDescent="0.25">
      <c r="A939" s="1038"/>
      <c r="B939" s="1039"/>
      <c r="C939" s="1039"/>
      <c r="D939" s="1039"/>
      <c r="E939" s="1045" t="str">
        <f t="shared" si="76"/>
        <v/>
      </c>
      <c r="F939" s="1046"/>
      <c r="G939" s="1046"/>
      <c r="H939" s="1046"/>
      <c r="I939" s="1046"/>
      <c r="J939" s="1047"/>
      <c r="K939" s="134"/>
      <c r="L939" s="62" t="str">
        <f t="shared" si="77"/>
        <v/>
      </c>
      <c r="M939" s="14"/>
      <c r="N939" s="89">
        <f t="array" ref="N939">SUM(IF((CsDJ[JEV Number]=TRIM($T909))*(CsDJ[Account Code]=TRIM(K939)),CsDJ[Debit]))</f>
        <v>0</v>
      </c>
      <c r="O939" s="89">
        <f t="array" ref="O939">SUM(IF((CsDJ[JEV Number]=TRIM($T909))*(CsDJ[Account Code]=TRIM(K939)),CsDJ[Credit]))</f>
        <v>0</v>
      </c>
      <c r="P939" s="1040">
        <f t="shared" si="78"/>
        <v>0</v>
      </c>
      <c r="Q939" s="1040"/>
      <c r="R939" s="1040"/>
      <c r="S939" s="1040">
        <f t="shared" si="79"/>
        <v>0</v>
      </c>
      <c r="T939" s="1040"/>
      <c r="U939" s="1040"/>
      <c r="V939" s="1041"/>
    </row>
    <row r="940" spans="1:22" x14ac:dyDescent="0.25">
      <c r="A940" s="1038"/>
      <c r="B940" s="1039"/>
      <c r="C940" s="1039"/>
      <c r="D940" s="1039"/>
      <c r="E940" s="1045" t="str">
        <f t="shared" si="76"/>
        <v/>
      </c>
      <c r="F940" s="1046"/>
      <c r="G940" s="1046"/>
      <c r="H940" s="1046"/>
      <c r="I940" s="1046"/>
      <c r="J940" s="1047"/>
      <c r="K940" s="134"/>
      <c r="L940" s="62" t="str">
        <f t="shared" si="77"/>
        <v/>
      </c>
      <c r="M940" s="14"/>
      <c r="N940" s="89">
        <f t="array" ref="N940">SUM(IF((CsDJ[JEV Number]=TRIM($T909))*(CsDJ[Account Code]=TRIM(K940)),CsDJ[Debit]))</f>
        <v>0</v>
      </c>
      <c r="O940" s="89">
        <f t="array" ref="O940">SUM(IF((CsDJ[JEV Number]=TRIM($T909))*(CsDJ[Account Code]=TRIM(K940)),CsDJ[Credit]))</f>
        <v>0</v>
      </c>
      <c r="P940" s="1040">
        <f t="shared" si="78"/>
        <v>0</v>
      </c>
      <c r="Q940" s="1040"/>
      <c r="R940" s="1040"/>
      <c r="S940" s="1040">
        <f t="shared" si="79"/>
        <v>0</v>
      </c>
      <c r="T940" s="1040"/>
      <c r="U940" s="1040"/>
      <c r="V940" s="1041"/>
    </row>
    <row r="941" spans="1:22" x14ac:dyDescent="0.25">
      <c r="A941" s="1038"/>
      <c r="B941" s="1039"/>
      <c r="C941" s="1039"/>
      <c r="D941" s="1039"/>
      <c r="E941" s="1045" t="str">
        <f t="shared" si="76"/>
        <v/>
      </c>
      <c r="F941" s="1046"/>
      <c r="G941" s="1046"/>
      <c r="H941" s="1046"/>
      <c r="I941" s="1046"/>
      <c r="J941" s="1047"/>
      <c r="K941" s="134"/>
      <c r="L941" s="62" t="str">
        <f t="shared" si="77"/>
        <v/>
      </c>
      <c r="M941" s="14"/>
      <c r="N941" s="89">
        <f t="array" ref="N941">SUM(IF((CsDJ[JEV Number]=TRIM($T909))*(CsDJ[Account Code]=TRIM(K941)),CsDJ[Debit]))</f>
        <v>0</v>
      </c>
      <c r="O941" s="89">
        <f t="array" ref="O941">SUM(IF((CsDJ[JEV Number]=TRIM($T909))*(CsDJ[Account Code]=TRIM(K941)),CsDJ[Credit]))</f>
        <v>0</v>
      </c>
      <c r="P941" s="1040">
        <f t="shared" si="78"/>
        <v>0</v>
      </c>
      <c r="Q941" s="1040"/>
      <c r="R941" s="1040"/>
      <c r="S941" s="1040">
        <f t="shared" si="79"/>
        <v>0</v>
      </c>
      <c r="T941" s="1040"/>
      <c r="U941" s="1040"/>
      <c r="V941" s="1041"/>
    </row>
    <row r="942" spans="1:22" x14ac:dyDescent="0.25">
      <c r="A942" s="1038"/>
      <c r="B942" s="1039"/>
      <c r="C942" s="1039"/>
      <c r="D942" s="1039"/>
      <c r="E942" s="1045" t="str">
        <f t="shared" si="76"/>
        <v/>
      </c>
      <c r="F942" s="1046"/>
      <c r="G942" s="1046"/>
      <c r="H942" s="1046"/>
      <c r="I942" s="1046"/>
      <c r="J942" s="1047"/>
      <c r="K942" s="134"/>
      <c r="L942" s="62" t="str">
        <f t="shared" si="77"/>
        <v/>
      </c>
      <c r="M942" s="14"/>
      <c r="N942" s="89">
        <f t="array" ref="N942">SUM(IF((CsDJ[JEV Number]=TRIM($T909))*(CsDJ[Account Code]=TRIM(K942)),CsDJ[Debit]))</f>
        <v>0</v>
      </c>
      <c r="O942" s="89">
        <f t="array" ref="O942">SUM(IF((CsDJ[JEV Number]=TRIM($T909))*(CsDJ[Account Code]=TRIM(K942)),CsDJ[Credit]))</f>
        <v>0</v>
      </c>
      <c r="P942" s="1040">
        <f t="shared" si="78"/>
        <v>0</v>
      </c>
      <c r="Q942" s="1040"/>
      <c r="R942" s="1040"/>
      <c r="S942" s="1040">
        <f t="shared" si="79"/>
        <v>0</v>
      </c>
      <c r="T942" s="1040"/>
      <c r="U942" s="1040"/>
      <c r="V942" s="1041"/>
    </row>
    <row r="943" spans="1:22" x14ac:dyDescent="0.25">
      <c r="A943" s="1038"/>
      <c r="B943" s="1039"/>
      <c r="C943" s="1039"/>
      <c r="D943" s="1039"/>
      <c r="E943" s="1108" t="s">
        <v>468</v>
      </c>
      <c r="F943" s="1109"/>
      <c r="G943" s="1109"/>
      <c r="H943" s="1109"/>
      <c r="I943" s="1109"/>
      <c r="J943" s="1110"/>
      <c r="K943" s="133"/>
      <c r="L943" s="62" t="str">
        <f t="shared" si="77"/>
        <v/>
      </c>
      <c r="M943" s="14"/>
      <c r="N943" s="89">
        <f t="array" ref="N943">SUM(IF((CsDJ[JEV Number]=TRIM($T909))*(CsDJ[Account Code]=TRIM(K943)),CsDJ[Debit]))</f>
        <v>0</v>
      </c>
      <c r="O943" s="89">
        <f t="array" ref="O943">SUM(IF((CsDJ[JEV Number]=TRIM($T909))*(CsDJ[Account Code]=TRIM(K943)),CsDJ[Credit]))</f>
        <v>0</v>
      </c>
      <c r="P943" s="1040">
        <f t="shared" si="78"/>
        <v>0</v>
      </c>
      <c r="Q943" s="1040"/>
      <c r="R943" s="1040"/>
      <c r="S943" s="1040">
        <f t="shared" si="79"/>
        <v>0</v>
      </c>
      <c r="T943" s="1040"/>
      <c r="U943" s="1040"/>
      <c r="V943" s="1041"/>
    </row>
    <row r="944" spans="1:22" x14ac:dyDescent="0.25">
      <c r="A944" s="1038"/>
      <c r="B944" s="1039"/>
      <c r="C944" s="1039"/>
      <c r="D944" s="1039"/>
      <c r="E944" s="1048" t="s">
        <v>457</v>
      </c>
      <c r="F944" s="1049"/>
      <c r="G944" s="1049"/>
      <c r="H944" s="1049"/>
      <c r="I944" s="1051">
        <f>T910</f>
        <v>0</v>
      </c>
      <c r="J944" s="1052"/>
      <c r="K944" s="133"/>
      <c r="L944" s="62" t="str">
        <f t="shared" si="77"/>
        <v/>
      </c>
      <c r="M944" s="14"/>
      <c r="N944" s="89">
        <f t="array" ref="N944">SUM(IF((CsDJ[JEV Number]=TRIM($T909))*(CsDJ[Account Code]=TRIM(K944)),CsDJ[Debit]))</f>
        <v>0</v>
      </c>
      <c r="O944" s="89">
        <f t="array" ref="O944">SUM(IF((CsDJ[JEV Number]=TRIM($T909))*(CsDJ[Account Code]=TRIM(K944)),CsDJ[Credit]))</f>
        <v>0</v>
      </c>
      <c r="P944" s="1040">
        <f t="shared" si="78"/>
        <v>0</v>
      </c>
      <c r="Q944" s="1040"/>
      <c r="R944" s="1040"/>
      <c r="S944" s="1040">
        <f t="shared" si="79"/>
        <v>0</v>
      </c>
      <c r="T944" s="1040"/>
      <c r="U944" s="1040"/>
      <c r="V944" s="1041"/>
    </row>
    <row r="945" spans="1:22" x14ac:dyDescent="0.25">
      <c r="A945" s="1038"/>
      <c r="B945" s="1039"/>
      <c r="C945" s="1039"/>
      <c r="D945" s="1039"/>
      <c r="E945" s="1048" t="s">
        <v>458</v>
      </c>
      <c r="F945" s="1049"/>
      <c r="G945" s="1049"/>
      <c r="H945" s="1049"/>
      <c r="I945" s="1106">
        <f>IF(T909=0,0,(IF(LOOKUP(T909,CsDJ[JEV Number],CsDJ[Sort Code])="1","MA. VIVIAN C. SALAS",IF(LOOKUP(T909,CsDJ[JEV Number],CsDJ[Sort Code])="2","LUZ R. DE COZAR",IF(LOOKUP(T909,CsDJ[JEV Number],CsDJ[Sort Code])="3","MINEONETTE A. DELA CRUZ",IF(LOOKUP(T909,CsDJ[JEV Number],CsDJ[Sort Code])="4","RESELLA B. LOPEZ"))))))</f>
        <v>0</v>
      </c>
      <c r="J945" s="1107"/>
      <c r="K945" s="133"/>
      <c r="L945" s="62" t="str">
        <f t="shared" si="77"/>
        <v/>
      </c>
      <c r="M945" s="14"/>
      <c r="N945" s="89">
        <f t="array" ref="N945">SUM(IF((CsDJ[JEV Number]=TRIM($T909))*(CsDJ[Account Code]=TRIM(K945)),CsDJ[Debit]))</f>
        <v>0</v>
      </c>
      <c r="O945" s="89">
        <f t="array" ref="O945">SUM(IF((CsDJ[JEV Number]=TRIM($T909))*(CsDJ[Account Code]=TRIM(K945)),CsDJ[Credit]))</f>
        <v>0</v>
      </c>
      <c r="P945" s="1040">
        <f t="shared" si="78"/>
        <v>0</v>
      </c>
      <c r="Q945" s="1040"/>
      <c r="R945" s="1040"/>
      <c r="S945" s="1040">
        <f t="shared" si="79"/>
        <v>0</v>
      </c>
      <c r="T945" s="1040"/>
      <c r="U945" s="1040"/>
      <c r="V945" s="1041"/>
    </row>
    <row r="946" spans="1:22" x14ac:dyDescent="0.25">
      <c r="A946" s="1038"/>
      <c r="B946" s="1039"/>
      <c r="C946" s="1039"/>
      <c r="D946" s="1039"/>
      <c r="E946" s="1048" t="s">
        <v>459</v>
      </c>
      <c r="F946" s="1049"/>
      <c r="G946" s="1049"/>
      <c r="H946" s="1049"/>
      <c r="I946" s="1043">
        <f>IF(I945="Ma. Vivian C. Salas","Regional Office", IF(I945="Luz R. De Cozar","BANE IMO", IF(I945="Mineonette A. Dela Cruz","PAMBAT IMO", IF(I945="Resella B. Lopez","TARZAM IMO",0))))</f>
        <v>0</v>
      </c>
      <c r="J946" s="1044"/>
      <c r="K946" s="133"/>
      <c r="L946" s="62" t="str">
        <f t="shared" si="77"/>
        <v/>
      </c>
      <c r="M946" s="14"/>
      <c r="N946" s="89">
        <f t="array" ref="N946">SUM(IF((CsDJ[JEV Number]=TRIM($T909))*(CsDJ[Account Code]=TRIM(K946)),CsDJ[Debit]))</f>
        <v>0</v>
      </c>
      <c r="O946" s="89">
        <f t="array" ref="O946">SUM(IF((CsDJ[JEV Number]=TRIM($T909))*(CsDJ[Account Code]=TRIM(K946)),CsDJ[Credit]))</f>
        <v>0</v>
      </c>
      <c r="P946" s="1040">
        <f t="shared" si="78"/>
        <v>0</v>
      </c>
      <c r="Q946" s="1040"/>
      <c r="R946" s="1040"/>
      <c r="S946" s="1040">
        <f t="shared" si="79"/>
        <v>0</v>
      </c>
      <c r="T946" s="1040"/>
      <c r="U946" s="1040"/>
      <c r="V946" s="1041"/>
    </row>
    <row r="947" spans="1:22" x14ac:dyDescent="0.25">
      <c r="A947" s="1038"/>
      <c r="B947" s="1039"/>
      <c r="C947" s="1039"/>
      <c r="D947" s="1039"/>
      <c r="E947" s="1048"/>
      <c r="F947" s="1049"/>
      <c r="G947" s="1049"/>
      <c r="H947" s="1049"/>
      <c r="I947" s="1049"/>
      <c r="J947" s="1050"/>
      <c r="K947" s="133"/>
      <c r="L947" s="62" t="str">
        <f t="shared" si="77"/>
        <v/>
      </c>
      <c r="M947" s="14"/>
      <c r="N947" s="89">
        <f t="array" ref="N947">SUM(IF((CsDJ[JEV Number]=TRIM($T909))*(CsDJ[Account Code]=TRIM(K947)),CsDJ[Debit]))</f>
        <v>0</v>
      </c>
      <c r="O947" s="89">
        <f t="array" ref="O947">SUM(IF((CsDJ[JEV Number]=TRIM($T909))*(CsDJ[Account Code]=TRIM(K947)),CsDJ[Credit]))</f>
        <v>0</v>
      </c>
      <c r="P947" s="1040">
        <f t="shared" si="78"/>
        <v>0</v>
      </c>
      <c r="Q947" s="1040"/>
      <c r="R947" s="1040"/>
      <c r="S947" s="1040">
        <f t="shared" si="79"/>
        <v>0</v>
      </c>
      <c r="T947" s="1040"/>
      <c r="U947" s="1040"/>
      <c r="V947" s="1041"/>
    </row>
    <row r="948" spans="1:22" ht="16.5" thickBot="1" x14ac:dyDescent="0.3">
      <c r="A948" s="1091"/>
      <c r="B948" s="1092"/>
      <c r="C948" s="1092"/>
      <c r="D948" s="1092"/>
      <c r="E948" s="1092"/>
      <c r="F948" s="1092"/>
      <c r="G948" s="1092"/>
      <c r="H948" s="1092"/>
      <c r="I948" s="1092"/>
      <c r="J948" s="1092"/>
      <c r="K948" s="1092"/>
      <c r="L948" s="1092"/>
      <c r="M948" s="1093"/>
      <c r="N948" s="88"/>
      <c r="O948" s="88"/>
      <c r="P948" s="1094">
        <f>SUM(P918:R947)</f>
        <v>0</v>
      </c>
      <c r="Q948" s="1094"/>
      <c r="R948" s="1094"/>
      <c r="S948" s="1094">
        <f>SUM(S918:V947)</f>
        <v>0</v>
      </c>
      <c r="T948" s="1094"/>
      <c r="U948" s="1094"/>
      <c r="V948" s="1095"/>
    </row>
    <row r="949" spans="1:22" x14ac:dyDescent="0.25">
      <c r="A949" s="63"/>
      <c r="B949" s="64"/>
      <c r="C949" s="64"/>
      <c r="D949" s="64"/>
      <c r="E949" s="64"/>
      <c r="F949" s="64"/>
      <c r="G949" s="64"/>
      <c r="H949" s="64"/>
      <c r="I949" s="65"/>
      <c r="J949" s="64"/>
      <c r="K949" s="66"/>
      <c r="L949" s="64"/>
      <c r="M949" s="65"/>
      <c r="N949" s="64"/>
      <c r="O949" s="64"/>
      <c r="P949" s="1090"/>
      <c r="Q949" s="1090"/>
      <c r="R949" s="1090"/>
      <c r="S949" s="1090"/>
      <c r="T949" s="1090"/>
      <c r="U949" s="1090"/>
      <c r="V949" s="1096"/>
    </row>
    <row r="950" spans="1:22" x14ac:dyDescent="0.25">
      <c r="A950" s="67" t="s">
        <v>460</v>
      </c>
      <c r="B950"/>
      <c r="C950"/>
      <c r="D950"/>
      <c r="E950"/>
      <c r="F950"/>
      <c r="G950"/>
      <c r="H950"/>
      <c r="I950" s="68" t="s">
        <v>353</v>
      </c>
      <c r="J950" s="69"/>
      <c r="K950" s="69"/>
      <c r="L950"/>
      <c r="M950" s="68" t="s">
        <v>461</v>
      </c>
      <c r="N950" s="69"/>
      <c r="O950" s="69"/>
      <c r="P950" s="70"/>
      <c r="Q950" s="70"/>
      <c r="R950" s="70"/>
      <c r="S950" s="70"/>
      <c r="T950" s="70"/>
      <c r="U950" s="70"/>
      <c r="V950" s="71"/>
    </row>
    <row r="951" spans="1:22" x14ac:dyDescent="0.25">
      <c r="A951" s="37"/>
      <c r="B951"/>
      <c r="C951"/>
      <c r="D951"/>
      <c r="E951"/>
      <c r="F951"/>
      <c r="G951"/>
      <c r="H951"/>
      <c r="I951" s="72"/>
      <c r="J951"/>
      <c r="K951"/>
      <c r="L951"/>
      <c r="M951" s="72"/>
      <c r="N951"/>
      <c r="O951"/>
      <c r="P951"/>
      <c r="Q951"/>
      <c r="R951"/>
      <c r="S951"/>
      <c r="T951"/>
      <c r="U951"/>
      <c r="V951" s="73"/>
    </row>
    <row r="952" spans="1:22" x14ac:dyDescent="0.25">
      <c r="A952" s="74" t="s">
        <v>462</v>
      </c>
      <c r="B952" s="75"/>
      <c r="C952" s="75"/>
      <c r="D952" s="75"/>
      <c r="E952" s="75"/>
      <c r="F952" s="75"/>
      <c r="G952" s="75"/>
      <c r="H952" s="76"/>
      <c r="I952" s="77" t="s">
        <v>380</v>
      </c>
      <c r="J952" s="75"/>
      <c r="K952" s="75"/>
      <c r="L952" s="76"/>
      <c r="M952" s="77" t="s">
        <v>3</v>
      </c>
      <c r="N952" s="75"/>
      <c r="O952" s="75"/>
      <c r="P952" s="75"/>
      <c r="Q952" s="75"/>
      <c r="R952" s="75"/>
      <c r="S952" s="75"/>
      <c r="T952" s="75"/>
      <c r="U952" s="75"/>
      <c r="V952" s="78"/>
    </row>
    <row r="953" spans="1:22" x14ac:dyDescent="0.25">
      <c r="A953" s="79" t="s">
        <v>463</v>
      </c>
      <c r="B953" s="80"/>
      <c r="C953" s="80"/>
      <c r="D953" s="80"/>
      <c r="E953" s="80"/>
      <c r="F953" s="80"/>
      <c r="G953" s="80"/>
      <c r="H953" s="80"/>
      <c r="I953" s="81" t="s">
        <v>381</v>
      </c>
      <c r="J953" s="80"/>
      <c r="K953" s="80"/>
      <c r="L953" s="80"/>
      <c r="M953" s="81" t="s">
        <v>464</v>
      </c>
      <c r="N953" s="80"/>
      <c r="O953" s="80"/>
      <c r="P953" s="82"/>
      <c r="Q953" s="82"/>
      <c r="R953" s="82"/>
      <c r="S953" s="82"/>
      <c r="T953" s="82"/>
      <c r="U953" s="82"/>
      <c r="V953" s="83"/>
    </row>
    <row r="954" spans="1:22" ht="16.5" thickBot="1" x14ac:dyDescent="0.3">
      <c r="A954" s="84" t="s">
        <v>465</v>
      </c>
      <c r="B954" s="43"/>
      <c r="C954" s="43"/>
      <c r="D954" s="43"/>
      <c r="E954" s="43"/>
      <c r="F954" s="43"/>
      <c r="G954" s="43"/>
      <c r="H954" s="43"/>
      <c r="I954" s="85"/>
      <c r="J954" s="43"/>
      <c r="K954" s="43"/>
      <c r="L954" s="43"/>
      <c r="M954" s="85"/>
      <c r="N954" s="43"/>
      <c r="O954" s="43"/>
      <c r="P954" s="43"/>
      <c r="Q954" s="43"/>
      <c r="R954" s="43"/>
      <c r="S954" s="43"/>
      <c r="T954" s="43"/>
      <c r="U954" s="43"/>
      <c r="V954" s="44"/>
    </row>
    <row r="955" spans="1:22" ht="22.5" x14ac:dyDescent="0.25">
      <c r="A955" s="31" t="s">
        <v>441</v>
      </c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3"/>
      <c r="R955" s="1053">
        <f>+P995-S995</f>
        <v>0</v>
      </c>
      <c r="S955" s="1054"/>
      <c r="T955" s="1054"/>
      <c r="U955" s="1054"/>
      <c r="V955" s="1055"/>
    </row>
    <row r="956" spans="1:22" x14ac:dyDescent="0.25">
      <c r="A956" s="34" t="s">
        <v>442</v>
      </c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6"/>
      <c r="R956" s="37" t="s">
        <v>443</v>
      </c>
      <c r="S956"/>
      <c r="T956" s="1056"/>
      <c r="U956" s="1056"/>
      <c r="V956" s="1057"/>
    </row>
    <row r="957" spans="1:22" x14ac:dyDescent="0.25">
      <c r="A957" s="38" t="s">
        <v>444</v>
      </c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6"/>
      <c r="R957" s="37" t="s">
        <v>0</v>
      </c>
      <c r="S957"/>
      <c r="T957" s="1058">
        <f>IF(T956=0,0,(LOOKUP(T956,CsDJ[JEV Number],CsDJ[Date])))</f>
        <v>0</v>
      </c>
      <c r="U957" s="1058"/>
      <c r="V957" s="1059"/>
    </row>
    <row r="958" spans="1:22" ht="16.5" thickBot="1" x14ac:dyDescent="0.3">
      <c r="A958" s="39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1"/>
      <c r="R958" s="42"/>
      <c r="S958" s="43"/>
      <c r="T958" s="43"/>
      <c r="U958" s="43"/>
      <c r="V958" s="44"/>
    </row>
    <row r="959" spans="1:22" x14ac:dyDescent="0.25">
      <c r="A959" s="45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7"/>
      <c r="M959" s="46"/>
      <c r="N959" s="46"/>
      <c r="O959" s="46"/>
      <c r="P959" s="46"/>
      <c r="Q959" s="46"/>
      <c r="R959" s="46"/>
      <c r="S959" s="46"/>
      <c r="T959" s="46"/>
      <c r="U959" s="46"/>
      <c r="V959" s="48"/>
    </row>
    <row r="960" spans="1:22" x14ac:dyDescent="0.25">
      <c r="A960" s="49"/>
      <c r="B960" s="1060"/>
      <c r="C960" s="1060"/>
      <c r="D960" s="50" t="s">
        <v>445</v>
      </c>
      <c r="H960" s="51"/>
      <c r="I960" s="25" t="s">
        <v>447</v>
      </c>
      <c r="J960" s="132" t="s">
        <v>446</v>
      </c>
      <c r="K960" s="52" t="s">
        <v>448</v>
      </c>
      <c r="L960" s="52"/>
      <c r="Q960" s="1060"/>
      <c r="R960" s="1060"/>
      <c r="S960" s="50" t="s">
        <v>449</v>
      </c>
      <c r="T960" s="50"/>
      <c r="U960" s="50"/>
      <c r="V960" s="53"/>
    </row>
    <row r="961" spans="1:22" ht="16.5" thickBot="1" x14ac:dyDescent="0.3">
      <c r="A961" s="54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6"/>
      <c r="M961" s="55"/>
      <c r="N961" s="55"/>
      <c r="O961" s="55"/>
      <c r="P961" s="55"/>
      <c r="Q961" s="55"/>
      <c r="R961" s="55"/>
      <c r="S961" s="55"/>
      <c r="T961" s="55"/>
      <c r="U961" s="55"/>
      <c r="V961" s="57"/>
    </row>
    <row r="962" spans="1:22" x14ac:dyDescent="0.25">
      <c r="A962" s="1061" t="s">
        <v>397</v>
      </c>
      <c r="B962" s="1062"/>
      <c r="C962" s="1062"/>
      <c r="D962" s="1063"/>
      <c r="E962" s="1070" t="s">
        <v>450</v>
      </c>
      <c r="F962" s="1070"/>
      <c r="G962" s="1070"/>
      <c r="H962" s="1070"/>
      <c r="I962" s="1070"/>
      <c r="J962" s="1070"/>
      <c r="K962" s="1070"/>
      <c r="L962" s="1070"/>
      <c r="M962" s="1070"/>
      <c r="N962" s="1070"/>
      <c r="O962" s="1070"/>
      <c r="P962" s="1070"/>
      <c r="Q962" s="1070"/>
      <c r="R962" s="1070"/>
      <c r="S962" s="1070"/>
      <c r="T962" s="1070"/>
      <c r="U962" s="1070"/>
      <c r="V962" s="1071"/>
    </row>
    <row r="963" spans="1:22" x14ac:dyDescent="0.25">
      <c r="A963" s="1064"/>
      <c r="B963" s="1065"/>
      <c r="C963" s="1065"/>
      <c r="D963" s="1066"/>
      <c r="E963" s="1072" t="s">
        <v>451</v>
      </c>
      <c r="F963" s="1072"/>
      <c r="G963" s="1072"/>
      <c r="H963" s="1072"/>
      <c r="I963" s="1072"/>
      <c r="J963" s="1072"/>
      <c r="K963" s="1074" t="s">
        <v>378</v>
      </c>
      <c r="L963" s="1074"/>
      <c r="M963" s="1072" t="s">
        <v>452</v>
      </c>
      <c r="N963" s="1075" t="s">
        <v>453</v>
      </c>
      <c r="O963" s="1076"/>
      <c r="P963" s="1076"/>
      <c r="Q963" s="1076"/>
      <c r="R963" s="1076"/>
      <c r="S963" s="1076"/>
      <c r="T963" s="1076"/>
      <c r="U963" s="1076"/>
      <c r="V963" s="1077"/>
    </row>
    <row r="964" spans="1:22" ht="16.5" customHeight="1" thickBot="1" x14ac:dyDescent="0.3">
      <c r="A964" s="1067"/>
      <c r="B964" s="1068"/>
      <c r="C964" s="1068"/>
      <c r="D964" s="1069"/>
      <c r="E964" s="1073"/>
      <c r="F964" s="1073"/>
      <c r="G964" s="1073"/>
      <c r="H964" s="1073"/>
      <c r="I964" s="1073"/>
      <c r="J964" s="1073"/>
      <c r="K964" s="58" t="s">
        <v>454</v>
      </c>
      <c r="L964" s="58" t="s">
        <v>455</v>
      </c>
      <c r="M964" s="1073"/>
      <c r="N964" s="87" t="s">
        <v>466</v>
      </c>
      <c r="O964" s="87" t="s">
        <v>467</v>
      </c>
      <c r="P964" s="1078" t="s">
        <v>1</v>
      </c>
      <c r="Q964" s="1079"/>
      <c r="R964" s="1080"/>
      <c r="S964" s="1078" t="s">
        <v>2</v>
      </c>
      <c r="T964" s="1079"/>
      <c r="U964" s="1079"/>
      <c r="V964" s="1081"/>
    </row>
    <row r="965" spans="1:22" ht="19.5" x14ac:dyDescent="0.3">
      <c r="A965" s="1082">
        <f>P995-S995</f>
        <v>0</v>
      </c>
      <c r="B965" s="1083"/>
      <c r="C965" s="1083"/>
      <c r="D965" s="1083"/>
      <c r="E965" s="1084" t="str">
        <f>Account!$G$1</f>
        <v>FUND 501 CARP</v>
      </c>
      <c r="F965" s="1085"/>
      <c r="G965" s="1085"/>
      <c r="H965" s="1085"/>
      <c r="I965" s="1085"/>
      <c r="J965" s="1086"/>
      <c r="K965" s="59"/>
      <c r="L965" s="59"/>
      <c r="M965" s="60"/>
      <c r="N965" s="60"/>
      <c r="O965" s="60"/>
      <c r="P965" s="1087"/>
      <c r="Q965" s="1087"/>
      <c r="R965" s="1087"/>
      <c r="S965" s="1087"/>
      <c r="T965" s="1087"/>
      <c r="U965" s="1087"/>
      <c r="V965" s="1088"/>
    </row>
    <row r="966" spans="1:22" x14ac:dyDescent="0.25">
      <c r="A966" s="1038"/>
      <c r="B966" s="1039"/>
      <c r="C966" s="1039"/>
      <c r="D966" s="1039"/>
      <c r="E966" s="1039"/>
      <c r="F966" s="1039"/>
      <c r="G966" s="1039"/>
      <c r="H966" s="1039"/>
      <c r="I966" s="1039"/>
      <c r="J966" s="1039"/>
      <c r="K966" s="61"/>
      <c r="L966" s="61"/>
      <c r="M966" s="14"/>
      <c r="N966" s="14"/>
      <c r="O966" s="14"/>
      <c r="P966" s="1039"/>
      <c r="Q966" s="1039"/>
      <c r="R966" s="1039"/>
      <c r="S966" s="1039"/>
      <c r="T966" s="1039"/>
      <c r="U966" s="1039"/>
      <c r="V966" s="1089"/>
    </row>
    <row r="967" spans="1:22" x14ac:dyDescent="0.25">
      <c r="A967" s="1038"/>
      <c r="B967" s="1039"/>
      <c r="C967" s="1039"/>
      <c r="D967" s="1039"/>
      <c r="E967" s="1045" t="str">
        <f t="shared" ref="E967:E989" si="80">IF(K967=0,"",(VLOOKUP((TRIM(K967)),Code,2,)))</f>
        <v/>
      </c>
      <c r="F967" s="1046"/>
      <c r="G967" s="1046"/>
      <c r="H967" s="1046"/>
      <c r="I967" s="1046"/>
      <c r="J967" s="1047"/>
      <c r="K967" s="133"/>
      <c r="L967" s="62" t="str">
        <f t="shared" ref="L967:L994" si="81">IF(K967=0,"",VLOOKUP((TRIM(K967)),Code,3,))</f>
        <v/>
      </c>
      <c r="M967" s="14"/>
      <c r="N967" s="89">
        <f t="array" ref="N967">SUM(IF((CsDJ[JEV Number]=TRIM($T956))*(CsDJ[Account Code]=TRIM(K967)),CsDJ[Debit]))</f>
        <v>0</v>
      </c>
      <c r="O967" s="89">
        <f t="array" ref="O967">SUM(IF((CsDJ[JEV Number]=TRIM($T956))*(CsDJ[Account Code]=TRIM(K967)),CsDJ[Credit]))</f>
        <v>0</v>
      </c>
      <c r="P967" s="1040">
        <f>N967</f>
        <v>0</v>
      </c>
      <c r="Q967" s="1040"/>
      <c r="R967" s="1040"/>
      <c r="S967" s="1040">
        <f>O967</f>
        <v>0</v>
      </c>
      <c r="T967" s="1040"/>
      <c r="U967" s="1040"/>
      <c r="V967" s="1041"/>
    </row>
    <row r="968" spans="1:22" x14ac:dyDescent="0.25">
      <c r="A968" s="1038"/>
      <c r="B968" s="1039"/>
      <c r="C968" s="1039"/>
      <c r="D968" s="1039"/>
      <c r="E968" s="1045" t="str">
        <f t="shared" si="80"/>
        <v/>
      </c>
      <c r="F968" s="1046"/>
      <c r="G968" s="1046"/>
      <c r="H968" s="1046"/>
      <c r="I968" s="1046"/>
      <c r="J968" s="1047"/>
      <c r="K968" s="133"/>
      <c r="L968" s="62" t="str">
        <f t="shared" si="81"/>
        <v/>
      </c>
      <c r="M968" s="14"/>
      <c r="N968" s="89">
        <f t="array" ref="N968">SUM(IF((CsDJ[JEV Number]=TRIM($T956))*(CsDJ[Account Code]=TRIM(K968)),CsDJ[Debit]))</f>
        <v>0</v>
      </c>
      <c r="O968" s="89">
        <f t="array" ref="O968">SUM(IF((CsDJ[JEV Number]=TRIM($T956))*(CsDJ[Account Code]=TRIM(K968)),CsDJ[Credit]))</f>
        <v>0</v>
      </c>
      <c r="P968" s="1040">
        <f>N968</f>
        <v>0</v>
      </c>
      <c r="Q968" s="1040"/>
      <c r="R968" s="1040"/>
      <c r="S968" s="1040">
        <f>O968</f>
        <v>0</v>
      </c>
      <c r="T968" s="1040"/>
      <c r="U968" s="1040"/>
      <c r="V968" s="1041"/>
    </row>
    <row r="969" spans="1:22" x14ac:dyDescent="0.25">
      <c r="A969" s="1038"/>
      <c r="B969" s="1039"/>
      <c r="C969" s="1039"/>
      <c r="D969" s="1039"/>
      <c r="E969" s="1045" t="str">
        <f t="shared" si="80"/>
        <v/>
      </c>
      <c r="F969" s="1046"/>
      <c r="G969" s="1046"/>
      <c r="H969" s="1046"/>
      <c r="I969" s="1046"/>
      <c r="J969" s="1047"/>
      <c r="K969" s="133"/>
      <c r="L969" s="62" t="str">
        <f t="shared" si="81"/>
        <v/>
      </c>
      <c r="M969" s="14"/>
      <c r="N969" s="89">
        <f t="array" ref="N969">SUM(IF((CsDJ[JEV Number]=TRIM($T956))*(CsDJ[Account Code]=TRIM(K969)),CsDJ[Debit]))</f>
        <v>0</v>
      </c>
      <c r="O969" s="89">
        <f t="array" ref="O969">SUM(IF((CsDJ[JEV Number]=TRIM($T956))*(CsDJ[Account Code]=TRIM(K969)),CsDJ[Credit]))</f>
        <v>0</v>
      </c>
      <c r="P969" s="1040">
        <f t="shared" ref="P969:P994" si="82">N969</f>
        <v>0</v>
      </c>
      <c r="Q969" s="1040"/>
      <c r="R969" s="1040"/>
      <c r="S969" s="1040">
        <f t="shared" ref="S969:S994" si="83">O969</f>
        <v>0</v>
      </c>
      <c r="T969" s="1040"/>
      <c r="U969" s="1040"/>
      <c r="V969" s="1041"/>
    </row>
    <row r="970" spans="1:22" x14ac:dyDescent="0.25">
      <c r="A970" s="1038"/>
      <c r="B970" s="1039"/>
      <c r="C970" s="1039"/>
      <c r="D970" s="1039"/>
      <c r="E970" s="1045" t="str">
        <f t="shared" si="80"/>
        <v/>
      </c>
      <c r="F970" s="1046"/>
      <c r="G970" s="1046"/>
      <c r="H970" s="1046"/>
      <c r="I970" s="1046"/>
      <c r="J970" s="1047"/>
      <c r="K970" s="133"/>
      <c r="L970" s="62" t="str">
        <f t="shared" si="81"/>
        <v/>
      </c>
      <c r="M970" s="14"/>
      <c r="N970" s="89">
        <f t="array" ref="N970">SUM(IF((CsDJ[JEV Number]=TRIM($T956))*(CsDJ[Account Code]=TRIM(K970)),CsDJ[Debit]))</f>
        <v>0</v>
      </c>
      <c r="O970" s="89">
        <f t="array" ref="O970">SUM(IF((CsDJ[JEV Number]=TRIM($T956))*(CsDJ[Account Code]=TRIM(K970)),CsDJ[Credit]))</f>
        <v>0</v>
      </c>
      <c r="P970" s="1040">
        <f t="shared" si="82"/>
        <v>0</v>
      </c>
      <c r="Q970" s="1040"/>
      <c r="R970" s="1040"/>
      <c r="S970" s="1040">
        <f t="shared" si="83"/>
        <v>0</v>
      </c>
      <c r="T970" s="1040"/>
      <c r="U970" s="1040"/>
      <c r="V970" s="1041"/>
    </row>
    <row r="971" spans="1:22" x14ac:dyDescent="0.25">
      <c r="A971" s="1038"/>
      <c r="B971" s="1039"/>
      <c r="C971" s="1039"/>
      <c r="D971" s="1039"/>
      <c r="E971" s="1045" t="str">
        <f t="shared" si="80"/>
        <v/>
      </c>
      <c r="F971" s="1046"/>
      <c r="G971" s="1046"/>
      <c r="H971" s="1046"/>
      <c r="I971" s="1046"/>
      <c r="J971" s="1047"/>
      <c r="K971" s="133"/>
      <c r="L971" s="62" t="str">
        <f t="shared" si="81"/>
        <v/>
      </c>
      <c r="M971" s="14"/>
      <c r="N971" s="89">
        <f t="array" ref="N971">SUM(IF((CsDJ[JEV Number]=TRIM($T956))*(CsDJ[Account Code]=TRIM(K971)),CsDJ[Debit]))</f>
        <v>0</v>
      </c>
      <c r="O971" s="89">
        <f t="array" ref="O971">SUM(IF((CsDJ[JEV Number]=TRIM($T956))*(CsDJ[Account Code]=TRIM(K971)),CsDJ[Credit]))</f>
        <v>0</v>
      </c>
      <c r="P971" s="1040">
        <f t="shared" si="82"/>
        <v>0</v>
      </c>
      <c r="Q971" s="1040"/>
      <c r="R971" s="1040"/>
      <c r="S971" s="1040">
        <f t="shared" si="83"/>
        <v>0</v>
      </c>
      <c r="T971" s="1040"/>
      <c r="U971" s="1040"/>
      <c r="V971" s="1041"/>
    </row>
    <row r="972" spans="1:22" x14ac:dyDescent="0.25">
      <c r="A972" s="1038"/>
      <c r="B972" s="1039"/>
      <c r="C972" s="1039"/>
      <c r="D972" s="1039"/>
      <c r="E972" s="1045" t="str">
        <f t="shared" si="80"/>
        <v/>
      </c>
      <c r="F972" s="1046"/>
      <c r="G972" s="1046"/>
      <c r="H972" s="1046"/>
      <c r="I972" s="1046"/>
      <c r="J972" s="1047"/>
      <c r="K972" s="133"/>
      <c r="L972" s="62" t="str">
        <f t="shared" si="81"/>
        <v/>
      </c>
      <c r="M972" s="14"/>
      <c r="N972" s="89">
        <f t="array" ref="N972">SUM(IF((CsDJ[JEV Number]=TRIM($T956))*(CsDJ[Account Code]=TRIM(K972)),CsDJ[Debit]))</f>
        <v>0</v>
      </c>
      <c r="O972" s="89">
        <f t="array" ref="O972">SUM(IF((CsDJ[JEV Number]=TRIM($T956))*(CsDJ[Account Code]=TRIM(K972)),CsDJ[Credit]))</f>
        <v>0</v>
      </c>
      <c r="P972" s="1040">
        <f t="shared" si="82"/>
        <v>0</v>
      </c>
      <c r="Q972" s="1040"/>
      <c r="R972" s="1040"/>
      <c r="S972" s="1040">
        <f t="shared" si="83"/>
        <v>0</v>
      </c>
      <c r="T972" s="1040"/>
      <c r="U972" s="1040"/>
      <c r="V972" s="1041"/>
    </row>
    <row r="973" spans="1:22" x14ac:dyDescent="0.25">
      <c r="A973" s="1038"/>
      <c r="B973" s="1039"/>
      <c r="C973" s="1039"/>
      <c r="D973" s="1039"/>
      <c r="E973" s="1045" t="str">
        <f t="shared" si="80"/>
        <v/>
      </c>
      <c r="F973" s="1046"/>
      <c r="G973" s="1046"/>
      <c r="H973" s="1046"/>
      <c r="I973" s="1046"/>
      <c r="J973" s="1047"/>
      <c r="K973" s="133"/>
      <c r="L973" s="62" t="str">
        <f t="shared" si="81"/>
        <v/>
      </c>
      <c r="M973" s="14"/>
      <c r="N973" s="89">
        <f t="array" ref="N973">SUM(IF((CsDJ[JEV Number]=TRIM($T956))*(CsDJ[Account Code]=TRIM(K973)),CsDJ[Debit]))</f>
        <v>0</v>
      </c>
      <c r="O973" s="89">
        <f t="array" ref="O973">SUM(IF((CsDJ[JEV Number]=TRIM($T956))*(CsDJ[Account Code]=TRIM(K973)),CsDJ[Credit]))</f>
        <v>0</v>
      </c>
      <c r="P973" s="1040">
        <f t="shared" si="82"/>
        <v>0</v>
      </c>
      <c r="Q973" s="1040"/>
      <c r="R973" s="1040"/>
      <c r="S973" s="1040">
        <f t="shared" si="83"/>
        <v>0</v>
      </c>
      <c r="T973" s="1040"/>
      <c r="U973" s="1040"/>
      <c r="V973" s="1041"/>
    </row>
    <row r="974" spans="1:22" x14ac:dyDescent="0.25">
      <c r="A974" s="1038"/>
      <c r="B974" s="1039"/>
      <c r="C974" s="1039"/>
      <c r="D974" s="1039"/>
      <c r="E974" s="1045" t="str">
        <f t="shared" si="80"/>
        <v/>
      </c>
      <c r="F974" s="1046"/>
      <c r="G974" s="1046"/>
      <c r="H974" s="1046"/>
      <c r="I974" s="1046"/>
      <c r="J974" s="1047"/>
      <c r="K974" s="133"/>
      <c r="L974" s="62" t="str">
        <f t="shared" si="81"/>
        <v/>
      </c>
      <c r="M974" s="14"/>
      <c r="N974" s="89">
        <f t="array" ref="N974">SUM(IF((CsDJ[JEV Number]=TRIM($T956))*(CsDJ[Account Code]=TRIM(K974)),CsDJ[Debit]))</f>
        <v>0</v>
      </c>
      <c r="O974" s="89">
        <f t="array" ref="O974">SUM(IF((CsDJ[JEV Number]=TRIM($T956))*(CsDJ[Account Code]=TRIM(K974)),CsDJ[Credit]))</f>
        <v>0</v>
      </c>
      <c r="P974" s="1040">
        <f t="shared" si="82"/>
        <v>0</v>
      </c>
      <c r="Q974" s="1040"/>
      <c r="R974" s="1040"/>
      <c r="S974" s="1040">
        <f t="shared" si="83"/>
        <v>0</v>
      </c>
      <c r="T974" s="1040"/>
      <c r="U974" s="1040"/>
      <c r="V974" s="1041"/>
    </row>
    <row r="975" spans="1:22" x14ac:dyDescent="0.25">
      <c r="A975" s="1038"/>
      <c r="B975" s="1039"/>
      <c r="C975" s="1039"/>
      <c r="D975" s="1039"/>
      <c r="E975" s="1045" t="str">
        <f t="shared" si="80"/>
        <v/>
      </c>
      <c r="F975" s="1046"/>
      <c r="G975" s="1046"/>
      <c r="H975" s="1046"/>
      <c r="I975" s="1046"/>
      <c r="J975" s="1047"/>
      <c r="K975" s="134"/>
      <c r="L975" s="62" t="str">
        <f t="shared" si="81"/>
        <v/>
      </c>
      <c r="M975" s="14"/>
      <c r="N975" s="89">
        <f t="array" ref="N975">SUM(IF((CsDJ[JEV Number]=TRIM($T956))*(CsDJ[Account Code]=TRIM(K975)),CsDJ[Debit]))</f>
        <v>0</v>
      </c>
      <c r="O975" s="89">
        <f t="array" ref="O975">SUM(IF((CsDJ[JEV Number]=TRIM($T956))*(CsDJ[Account Code]=TRIM(K975)),CsDJ[Credit]))</f>
        <v>0</v>
      </c>
      <c r="P975" s="1040">
        <f t="shared" si="82"/>
        <v>0</v>
      </c>
      <c r="Q975" s="1040"/>
      <c r="R975" s="1040"/>
      <c r="S975" s="1040">
        <f t="shared" si="83"/>
        <v>0</v>
      </c>
      <c r="T975" s="1040"/>
      <c r="U975" s="1040"/>
      <c r="V975" s="1041"/>
    </row>
    <row r="976" spans="1:22" x14ac:dyDescent="0.25">
      <c r="A976" s="1038"/>
      <c r="B976" s="1039"/>
      <c r="C976" s="1039"/>
      <c r="D976" s="1039"/>
      <c r="E976" s="1045" t="str">
        <f t="shared" si="80"/>
        <v/>
      </c>
      <c r="F976" s="1046"/>
      <c r="G976" s="1046"/>
      <c r="H976" s="1046"/>
      <c r="I976" s="1046"/>
      <c r="J976" s="1047"/>
      <c r="K976" s="134"/>
      <c r="L976" s="62" t="str">
        <f t="shared" si="81"/>
        <v/>
      </c>
      <c r="M976" s="14"/>
      <c r="N976" s="89">
        <f t="array" ref="N976">SUM(IF((CsDJ[JEV Number]=TRIM($T956))*(CsDJ[Account Code]=TRIM(K976)),CsDJ[Debit]))</f>
        <v>0</v>
      </c>
      <c r="O976" s="89">
        <f t="array" ref="O976">SUM(IF((CsDJ[JEV Number]=TRIM($T956))*(CsDJ[Account Code]=TRIM(K976)),CsDJ[Credit]))</f>
        <v>0</v>
      </c>
      <c r="P976" s="1040">
        <f t="shared" si="82"/>
        <v>0</v>
      </c>
      <c r="Q976" s="1040"/>
      <c r="R976" s="1040"/>
      <c r="S976" s="1040">
        <f t="shared" si="83"/>
        <v>0</v>
      </c>
      <c r="T976" s="1040"/>
      <c r="U976" s="1040"/>
      <c r="V976" s="1041"/>
    </row>
    <row r="977" spans="1:22" x14ac:dyDescent="0.25">
      <c r="A977" s="1038"/>
      <c r="B977" s="1039"/>
      <c r="C977" s="1039"/>
      <c r="D977" s="1039"/>
      <c r="E977" s="1045" t="str">
        <f t="shared" si="80"/>
        <v/>
      </c>
      <c r="F977" s="1046"/>
      <c r="G977" s="1046"/>
      <c r="H977" s="1046"/>
      <c r="I977" s="1046"/>
      <c r="J977" s="1047"/>
      <c r="K977" s="134"/>
      <c r="L977" s="62" t="str">
        <f t="shared" si="81"/>
        <v/>
      </c>
      <c r="M977" s="14"/>
      <c r="N977" s="89">
        <f t="array" ref="N977">SUM(IF((CsDJ[JEV Number]=TRIM($T956))*(CsDJ[Account Code]=TRIM(K977)),CsDJ[Debit]))</f>
        <v>0</v>
      </c>
      <c r="O977" s="89">
        <f t="array" ref="O977">SUM(IF((CsDJ[JEV Number]=TRIM($T956))*(CsDJ[Account Code]=TRIM(K977)),CsDJ[Credit]))</f>
        <v>0</v>
      </c>
      <c r="P977" s="1040">
        <f t="shared" si="82"/>
        <v>0</v>
      </c>
      <c r="Q977" s="1040"/>
      <c r="R977" s="1040"/>
      <c r="S977" s="1040">
        <f t="shared" si="83"/>
        <v>0</v>
      </c>
      <c r="T977" s="1040"/>
      <c r="U977" s="1040"/>
      <c r="V977" s="1041"/>
    </row>
    <row r="978" spans="1:22" x14ac:dyDescent="0.25">
      <c r="A978" s="1038"/>
      <c r="B978" s="1039"/>
      <c r="C978" s="1039"/>
      <c r="D978" s="1039"/>
      <c r="E978" s="1045" t="str">
        <f t="shared" si="80"/>
        <v/>
      </c>
      <c r="F978" s="1046"/>
      <c r="G978" s="1046"/>
      <c r="H978" s="1046"/>
      <c r="I978" s="1046"/>
      <c r="J978" s="1047"/>
      <c r="K978" s="134"/>
      <c r="L978" s="62" t="str">
        <f t="shared" si="81"/>
        <v/>
      </c>
      <c r="M978" s="14"/>
      <c r="N978" s="89">
        <f t="array" ref="N978">SUM(IF((CsDJ[JEV Number]=TRIM($T956))*(CsDJ[Account Code]=TRIM(K978)),CsDJ[Debit]))</f>
        <v>0</v>
      </c>
      <c r="O978" s="89">
        <f t="array" ref="O978">SUM(IF((CsDJ[JEV Number]=TRIM($T956))*(CsDJ[Account Code]=TRIM(K978)),CsDJ[Credit]))</f>
        <v>0</v>
      </c>
      <c r="P978" s="1040">
        <f t="shared" si="82"/>
        <v>0</v>
      </c>
      <c r="Q978" s="1040"/>
      <c r="R978" s="1040"/>
      <c r="S978" s="1040">
        <f t="shared" si="83"/>
        <v>0</v>
      </c>
      <c r="T978" s="1040"/>
      <c r="U978" s="1040"/>
      <c r="V978" s="1041"/>
    </row>
    <row r="979" spans="1:22" x14ac:dyDescent="0.25">
      <c r="A979" s="1038"/>
      <c r="B979" s="1039"/>
      <c r="C979" s="1039"/>
      <c r="D979" s="1039"/>
      <c r="E979" s="1045" t="str">
        <f t="shared" si="80"/>
        <v/>
      </c>
      <c r="F979" s="1046"/>
      <c r="G979" s="1046"/>
      <c r="H979" s="1046"/>
      <c r="I979" s="1046"/>
      <c r="J979" s="1047"/>
      <c r="K979" s="134"/>
      <c r="L979" s="62" t="str">
        <f t="shared" si="81"/>
        <v/>
      </c>
      <c r="M979" s="14"/>
      <c r="N979" s="89">
        <f t="array" ref="N979">SUM(IF((CsDJ[JEV Number]=TRIM($T956))*(CsDJ[Account Code]=TRIM(K979)),CsDJ[Debit]))</f>
        <v>0</v>
      </c>
      <c r="O979" s="89">
        <f t="array" ref="O979">SUM(IF((CsDJ[JEV Number]=TRIM($T956))*(CsDJ[Account Code]=TRIM(K979)),CsDJ[Credit]))</f>
        <v>0</v>
      </c>
      <c r="P979" s="1040">
        <f t="shared" si="82"/>
        <v>0</v>
      </c>
      <c r="Q979" s="1040"/>
      <c r="R979" s="1040"/>
      <c r="S979" s="1040">
        <f t="shared" si="83"/>
        <v>0</v>
      </c>
      <c r="T979" s="1040"/>
      <c r="U979" s="1040"/>
      <c r="V979" s="1041"/>
    </row>
    <row r="980" spans="1:22" x14ac:dyDescent="0.25">
      <c r="A980" s="1038"/>
      <c r="B980" s="1039"/>
      <c r="C980" s="1039"/>
      <c r="D980" s="1039"/>
      <c r="E980" s="1045" t="str">
        <f t="shared" si="80"/>
        <v/>
      </c>
      <c r="F980" s="1046"/>
      <c r="G980" s="1046"/>
      <c r="H980" s="1046"/>
      <c r="I980" s="1046"/>
      <c r="J980" s="1047"/>
      <c r="K980" s="134"/>
      <c r="L980" s="62" t="str">
        <f t="shared" si="81"/>
        <v/>
      </c>
      <c r="M980" s="14"/>
      <c r="N980" s="89">
        <f t="array" ref="N980">SUM(IF((CsDJ[JEV Number]=TRIM($T956))*(CsDJ[Account Code]=TRIM(K980)),CsDJ[Debit]))</f>
        <v>0</v>
      </c>
      <c r="O980" s="89">
        <f t="array" ref="O980">SUM(IF((CsDJ[JEV Number]=TRIM($T956))*(CsDJ[Account Code]=TRIM(K980)),CsDJ[Credit]))</f>
        <v>0</v>
      </c>
      <c r="P980" s="1040">
        <f t="shared" si="82"/>
        <v>0</v>
      </c>
      <c r="Q980" s="1040"/>
      <c r="R980" s="1040"/>
      <c r="S980" s="1040">
        <f t="shared" si="83"/>
        <v>0</v>
      </c>
      <c r="T980" s="1040"/>
      <c r="U980" s="1040"/>
      <c r="V980" s="1041"/>
    </row>
    <row r="981" spans="1:22" x14ac:dyDescent="0.25">
      <c r="A981" s="1038"/>
      <c r="B981" s="1039"/>
      <c r="C981" s="1039"/>
      <c r="D981" s="1039"/>
      <c r="E981" s="1045" t="str">
        <f t="shared" si="80"/>
        <v/>
      </c>
      <c r="F981" s="1046"/>
      <c r="G981" s="1046"/>
      <c r="H981" s="1046"/>
      <c r="I981" s="1046"/>
      <c r="J981" s="1047"/>
      <c r="K981" s="134"/>
      <c r="L981" s="62" t="str">
        <f t="shared" si="81"/>
        <v/>
      </c>
      <c r="M981" s="14"/>
      <c r="N981" s="89">
        <f t="array" ref="N981">SUM(IF((CsDJ[JEV Number]=TRIM($T956))*(CsDJ[Account Code]=TRIM(K981)),CsDJ[Debit]))</f>
        <v>0</v>
      </c>
      <c r="O981" s="89">
        <f t="array" ref="O981">SUM(IF((CsDJ[JEV Number]=TRIM($T956))*(CsDJ[Account Code]=TRIM(K981)),CsDJ[Credit]))</f>
        <v>0</v>
      </c>
      <c r="P981" s="1040">
        <f t="shared" si="82"/>
        <v>0</v>
      </c>
      <c r="Q981" s="1040"/>
      <c r="R981" s="1040"/>
      <c r="S981" s="1040">
        <f t="shared" si="83"/>
        <v>0</v>
      </c>
      <c r="T981" s="1040"/>
      <c r="U981" s="1040"/>
      <c r="V981" s="1041"/>
    </row>
    <row r="982" spans="1:22" x14ac:dyDescent="0.25">
      <c r="A982" s="1038"/>
      <c r="B982" s="1039"/>
      <c r="C982" s="1039"/>
      <c r="D982" s="1039"/>
      <c r="E982" s="1045" t="str">
        <f t="shared" si="80"/>
        <v/>
      </c>
      <c r="F982" s="1046"/>
      <c r="G982" s="1046"/>
      <c r="H982" s="1046"/>
      <c r="I982" s="1046"/>
      <c r="J982" s="1047"/>
      <c r="K982" s="134"/>
      <c r="L982" s="62" t="str">
        <f t="shared" si="81"/>
        <v/>
      </c>
      <c r="M982" s="14"/>
      <c r="N982" s="89">
        <f t="array" ref="N982">SUM(IF((CsDJ[JEV Number]=TRIM($T956))*(CsDJ[Account Code]=TRIM(K982)),CsDJ[Debit]))</f>
        <v>0</v>
      </c>
      <c r="O982" s="89">
        <f t="array" ref="O982">SUM(IF((CsDJ[JEV Number]=TRIM($T956))*(CsDJ[Account Code]=TRIM(K982)),CsDJ[Credit]))</f>
        <v>0</v>
      </c>
      <c r="P982" s="1040">
        <f t="shared" si="82"/>
        <v>0</v>
      </c>
      <c r="Q982" s="1040"/>
      <c r="R982" s="1040"/>
      <c r="S982" s="1040">
        <f t="shared" si="83"/>
        <v>0</v>
      </c>
      <c r="T982" s="1040"/>
      <c r="U982" s="1040"/>
      <c r="V982" s="1041"/>
    </row>
    <row r="983" spans="1:22" x14ac:dyDescent="0.25">
      <c r="A983" s="1038"/>
      <c r="B983" s="1039"/>
      <c r="C983" s="1039"/>
      <c r="D983" s="1039"/>
      <c r="E983" s="1045" t="str">
        <f t="shared" si="80"/>
        <v/>
      </c>
      <c r="F983" s="1046"/>
      <c r="G983" s="1046"/>
      <c r="H983" s="1046"/>
      <c r="I983" s="1046"/>
      <c r="J983" s="1047"/>
      <c r="K983" s="134"/>
      <c r="L983" s="62" t="str">
        <f t="shared" si="81"/>
        <v/>
      </c>
      <c r="M983" s="14"/>
      <c r="N983" s="89">
        <f t="array" ref="N983">SUM(IF((CsDJ[JEV Number]=TRIM($T956))*(CsDJ[Account Code]=TRIM(K983)),CsDJ[Debit]))</f>
        <v>0</v>
      </c>
      <c r="O983" s="89">
        <f t="array" ref="O983">SUM(IF((CsDJ[JEV Number]=TRIM($T956))*(CsDJ[Account Code]=TRIM(K983)),CsDJ[Credit]))</f>
        <v>0</v>
      </c>
      <c r="P983" s="1040">
        <f t="shared" si="82"/>
        <v>0</v>
      </c>
      <c r="Q983" s="1040"/>
      <c r="R983" s="1040"/>
      <c r="S983" s="1040">
        <f t="shared" si="83"/>
        <v>0</v>
      </c>
      <c r="T983" s="1040"/>
      <c r="U983" s="1040"/>
      <c r="V983" s="1041"/>
    </row>
    <row r="984" spans="1:22" x14ac:dyDescent="0.25">
      <c r="A984" s="1038"/>
      <c r="B984" s="1039"/>
      <c r="C984" s="1039"/>
      <c r="D984" s="1039"/>
      <c r="E984" s="1045" t="str">
        <f t="shared" si="80"/>
        <v/>
      </c>
      <c r="F984" s="1046"/>
      <c r="G984" s="1046"/>
      <c r="H984" s="1046"/>
      <c r="I984" s="1046"/>
      <c r="J984" s="1047"/>
      <c r="K984" s="134"/>
      <c r="L984" s="62" t="str">
        <f t="shared" si="81"/>
        <v/>
      </c>
      <c r="M984" s="14"/>
      <c r="N984" s="89">
        <f t="array" ref="N984">SUM(IF((CsDJ[JEV Number]=TRIM($T956))*(CsDJ[Account Code]=TRIM(K984)),CsDJ[Debit]))</f>
        <v>0</v>
      </c>
      <c r="O984" s="89">
        <f t="array" ref="O984">SUM(IF((CsDJ[JEV Number]=TRIM($T956))*(CsDJ[Account Code]=TRIM(K984)),CsDJ[Credit]))</f>
        <v>0</v>
      </c>
      <c r="P984" s="1040">
        <f t="shared" si="82"/>
        <v>0</v>
      </c>
      <c r="Q984" s="1040"/>
      <c r="R984" s="1040"/>
      <c r="S984" s="1040">
        <f t="shared" si="83"/>
        <v>0</v>
      </c>
      <c r="T984" s="1040"/>
      <c r="U984" s="1040"/>
      <c r="V984" s="1041"/>
    </row>
    <row r="985" spans="1:22" x14ac:dyDescent="0.25">
      <c r="A985" s="1038"/>
      <c r="B985" s="1039"/>
      <c r="C985" s="1039"/>
      <c r="D985" s="1039"/>
      <c r="E985" s="1045" t="str">
        <f t="shared" si="80"/>
        <v/>
      </c>
      <c r="F985" s="1046"/>
      <c r="G985" s="1046"/>
      <c r="H985" s="1046"/>
      <c r="I985" s="1046"/>
      <c r="J985" s="1047"/>
      <c r="K985" s="134"/>
      <c r="L985" s="62" t="str">
        <f t="shared" si="81"/>
        <v/>
      </c>
      <c r="M985" s="14"/>
      <c r="N985" s="89">
        <f t="array" ref="N985">SUM(IF((CsDJ[JEV Number]=TRIM($T956))*(CsDJ[Account Code]=TRIM(K985)),CsDJ[Debit]))</f>
        <v>0</v>
      </c>
      <c r="O985" s="89">
        <f t="array" ref="O985">SUM(IF((CsDJ[JEV Number]=TRIM($T956))*(CsDJ[Account Code]=TRIM(K985)),CsDJ[Credit]))</f>
        <v>0</v>
      </c>
      <c r="P985" s="1040">
        <f t="shared" si="82"/>
        <v>0</v>
      </c>
      <c r="Q985" s="1040"/>
      <c r="R985" s="1040"/>
      <c r="S985" s="1040">
        <f t="shared" si="83"/>
        <v>0</v>
      </c>
      <c r="T985" s="1040"/>
      <c r="U985" s="1040"/>
      <c r="V985" s="1041"/>
    </row>
    <row r="986" spans="1:22" x14ac:dyDescent="0.25">
      <c r="A986" s="1038"/>
      <c r="B986" s="1039"/>
      <c r="C986" s="1039"/>
      <c r="D986" s="1039"/>
      <c r="E986" s="1045" t="str">
        <f t="shared" si="80"/>
        <v/>
      </c>
      <c r="F986" s="1046"/>
      <c r="G986" s="1046"/>
      <c r="H986" s="1046"/>
      <c r="I986" s="1046"/>
      <c r="J986" s="1047"/>
      <c r="K986" s="134"/>
      <c r="L986" s="62" t="str">
        <f t="shared" si="81"/>
        <v/>
      </c>
      <c r="M986" s="14"/>
      <c r="N986" s="89">
        <f t="array" ref="N986">SUM(IF((CsDJ[JEV Number]=TRIM($T956))*(CsDJ[Account Code]=TRIM(K986)),CsDJ[Debit]))</f>
        <v>0</v>
      </c>
      <c r="O986" s="89">
        <f t="array" ref="O986">SUM(IF((CsDJ[JEV Number]=TRIM($T956))*(CsDJ[Account Code]=TRIM(K986)),CsDJ[Credit]))</f>
        <v>0</v>
      </c>
      <c r="P986" s="1040">
        <f t="shared" si="82"/>
        <v>0</v>
      </c>
      <c r="Q986" s="1040"/>
      <c r="R986" s="1040"/>
      <c r="S986" s="1040">
        <f t="shared" si="83"/>
        <v>0</v>
      </c>
      <c r="T986" s="1040"/>
      <c r="U986" s="1040"/>
      <c r="V986" s="1041"/>
    </row>
    <row r="987" spans="1:22" x14ac:dyDescent="0.25">
      <c r="A987" s="1038"/>
      <c r="B987" s="1039"/>
      <c r="C987" s="1039"/>
      <c r="D987" s="1039"/>
      <c r="E987" s="1045" t="str">
        <f t="shared" si="80"/>
        <v/>
      </c>
      <c r="F987" s="1046"/>
      <c r="G987" s="1046"/>
      <c r="H987" s="1046"/>
      <c r="I987" s="1046"/>
      <c r="J987" s="1047"/>
      <c r="K987" s="134"/>
      <c r="L987" s="62" t="str">
        <f t="shared" si="81"/>
        <v/>
      </c>
      <c r="M987" s="14"/>
      <c r="N987" s="89">
        <f t="array" ref="N987">SUM(IF((CsDJ[JEV Number]=TRIM($T956))*(CsDJ[Account Code]=TRIM(K987)),CsDJ[Debit]))</f>
        <v>0</v>
      </c>
      <c r="O987" s="89">
        <f t="array" ref="O987">SUM(IF((CsDJ[JEV Number]=TRIM($T956))*(CsDJ[Account Code]=TRIM(K987)),CsDJ[Credit]))</f>
        <v>0</v>
      </c>
      <c r="P987" s="1040">
        <f t="shared" si="82"/>
        <v>0</v>
      </c>
      <c r="Q987" s="1040"/>
      <c r="R987" s="1040"/>
      <c r="S987" s="1040">
        <f t="shared" si="83"/>
        <v>0</v>
      </c>
      <c r="T987" s="1040"/>
      <c r="U987" s="1040"/>
      <c r="V987" s="1041"/>
    </row>
    <row r="988" spans="1:22" x14ac:dyDescent="0.25">
      <c r="A988" s="1038"/>
      <c r="B988" s="1039"/>
      <c r="C988" s="1039"/>
      <c r="D988" s="1039"/>
      <c r="E988" s="1045" t="str">
        <f t="shared" si="80"/>
        <v/>
      </c>
      <c r="F988" s="1046"/>
      <c r="G988" s="1046"/>
      <c r="H988" s="1046"/>
      <c r="I988" s="1046"/>
      <c r="J988" s="1047"/>
      <c r="K988" s="134"/>
      <c r="L988" s="62" t="str">
        <f t="shared" si="81"/>
        <v/>
      </c>
      <c r="M988" s="14"/>
      <c r="N988" s="89">
        <f t="array" ref="N988">SUM(IF((CsDJ[JEV Number]=TRIM($T956))*(CsDJ[Account Code]=TRIM(K988)),CsDJ[Debit]))</f>
        <v>0</v>
      </c>
      <c r="O988" s="89">
        <f t="array" ref="O988">SUM(IF((CsDJ[JEV Number]=TRIM($T956))*(CsDJ[Account Code]=TRIM(K988)),CsDJ[Credit]))</f>
        <v>0</v>
      </c>
      <c r="P988" s="1040">
        <f t="shared" si="82"/>
        <v>0</v>
      </c>
      <c r="Q988" s="1040"/>
      <c r="R988" s="1040"/>
      <c r="S988" s="1040">
        <f t="shared" si="83"/>
        <v>0</v>
      </c>
      <c r="T988" s="1040"/>
      <c r="U988" s="1040"/>
      <c r="V988" s="1041"/>
    </row>
    <row r="989" spans="1:22" x14ac:dyDescent="0.25">
      <c r="A989" s="1038"/>
      <c r="B989" s="1039"/>
      <c r="C989" s="1039"/>
      <c r="D989" s="1039"/>
      <c r="E989" s="1045" t="str">
        <f t="shared" si="80"/>
        <v/>
      </c>
      <c r="F989" s="1046"/>
      <c r="G989" s="1046"/>
      <c r="H989" s="1046"/>
      <c r="I989" s="1046"/>
      <c r="J989" s="1047"/>
      <c r="K989" s="134"/>
      <c r="L989" s="62" t="str">
        <f t="shared" si="81"/>
        <v/>
      </c>
      <c r="M989" s="14"/>
      <c r="N989" s="89">
        <f t="array" ref="N989">SUM(IF((CsDJ[JEV Number]=TRIM($T956))*(CsDJ[Account Code]=TRIM(K989)),CsDJ[Debit]))</f>
        <v>0</v>
      </c>
      <c r="O989" s="89">
        <f t="array" ref="O989">SUM(IF((CsDJ[JEV Number]=TRIM($T956))*(CsDJ[Account Code]=TRIM(K989)),CsDJ[Credit]))</f>
        <v>0</v>
      </c>
      <c r="P989" s="1040">
        <f t="shared" si="82"/>
        <v>0</v>
      </c>
      <c r="Q989" s="1040"/>
      <c r="R989" s="1040"/>
      <c r="S989" s="1040">
        <f t="shared" si="83"/>
        <v>0</v>
      </c>
      <c r="T989" s="1040"/>
      <c r="U989" s="1040"/>
      <c r="V989" s="1041"/>
    </row>
    <row r="990" spans="1:22" x14ac:dyDescent="0.25">
      <c r="A990" s="1038"/>
      <c r="B990" s="1039"/>
      <c r="C990" s="1039"/>
      <c r="D990" s="1039"/>
      <c r="E990" s="1108" t="s">
        <v>468</v>
      </c>
      <c r="F990" s="1109"/>
      <c r="G990" s="1109"/>
      <c r="H990" s="1109"/>
      <c r="I990" s="1109"/>
      <c r="J990" s="1110"/>
      <c r="K990" s="133"/>
      <c r="L990" s="62" t="str">
        <f t="shared" si="81"/>
        <v/>
      </c>
      <c r="M990" s="14"/>
      <c r="N990" s="89">
        <f t="array" ref="N990">SUM(IF((CsDJ[JEV Number]=TRIM($T956))*(CsDJ[Account Code]=TRIM(K990)),CsDJ[Debit]))</f>
        <v>0</v>
      </c>
      <c r="O990" s="89">
        <f t="array" ref="O990">SUM(IF((CsDJ[JEV Number]=TRIM($T956))*(CsDJ[Account Code]=TRIM(K990)),CsDJ[Credit]))</f>
        <v>0</v>
      </c>
      <c r="P990" s="1040">
        <f t="shared" si="82"/>
        <v>0</v>
      </c>
      <c r="Q990" s="1040"/>
      <c r="R990" s="1040"/>
      <c r="S990" s="1040">
        <f t="shared" si="83"/>
        <v>0</v>
      </c>
      <c r="T990" s="1040"/>
      <c r="U990" s="1040"/>
      <c r="V990" s="1041"/>
    </row>
    <row r="991" spans="1:22" x14ac:dyDescent="0.25">
      <c r="A991" s="1038"/>
      <c r="B991" s="1039"/>
      <c r="C991" s="1039"/>
      <c r="D991" s="1039"/>
      <c r="E991" s="1048" t="s">
        <v>457</v>
      </c>
      <c r="F991" s="1049"/>
      <c r="G991" s="1049"/>
      <c r="H991" s="1049"/>
      <c r="I991" s="1051">
        <f>T957</f>
        <v>0</v>
      </c>
      <c r="J991" s="1052"/>
      <c r="K991" s="133"/>
      <c r="L991" s="62" t="str">
        <f t="shared" si="81"/>
        <v/>
      </c>
      <c r="M991" s="14"/>
      <c r="N991" s="89">
        <f t="array" ref="N991">SUM(IF((CsDJ[JEV Number]=TRIM($T956))*(CsDJ[Account Code]=TRIM(K991)),CsDJ[Debit]))</f>
        <v>0</v>
      </c>
      <c r="O991" s="89">
        <f t="array" ref="O991">SUM(IF((CsDJ[JEV Number]=TRIM($T956))*(CsDJ[Account Code]=TRIM(K991)),CsDJ[Credit]))</f>
        <v>0</v>
      </c>
      <c r="P991" s="1040">
        <f t="shared" si="82"/>
        <v>0</v>
      </c>
      <c r="Q991" s="1040"/>
      <c r="R991" s="1040"/>
      <c r="S991" s="1040">
        <f t="shared" si="83"/>
        <v>0</v>
      </c>
      <c r="T991" s="1040"/>
      <c r="U991" s="1040"/>
      <c r="V991" s="1041"/>
    </row>
    <row r="992" spans="1:22" x14ac:dyDescent="0.25">
      <c r="A992" s="1038"/>
      <c r="B992" s="1039"/>
      <c r="C992" s="1039"/>
      <c r="D992" s="1039"/>
      <c r="E992" s="1048" t="s">
        <v>458</v>
      </c>
      <c r="F992" s="1049"/>
      <c r="G992" s="1049"/>
      <c r="H992" s="1049"/>
      <c r="I992" s="1106">
        <f>IF(T956=0,0,(IF(LOOKUP(T956,CsDJ[JEV Number],CsDJ[Sort Code])="1","MA. VIVIAN C. SALAS",IF(LOOKUP(T956,CsDJ[JEV Number],CsDJ[Sort Code])="2","LUZ R. DE COZAR",IF(LOOKUP(T956,CsDJ[JEV Number],CsDJ[Sort Code])="3","MINEONETTE A. DELA CRUZ",IF(LOOKUP(T956,CsDJ[JEV Number],CsDJ[Sort Code])="4","RESELLA B. LOPEZ"))))))</f>
        <v>0</v>
      </c>
      <c r="J992" s="1107"/>
      <c r="K992" s="133"/>
      <c r="L992" s="62" t="str">
        <f t="shared" si="81"/>
        <v/>
      </c>
      <c r="M992" s="14"/>
      <c r="N992" s="89">
        <f t="array" ref="N992">SUM(IF((CsDJ[JEV Number]=TRIM($T956))*(CsDJ[Account Code]=TRIM(K992)),CsDJ[Debit]))</f>
        <v>0</v>
      </c>
      <c r="O992" s="89">
        <f t="array" ref="O992">SUM(IF((CsDJ[JEV Number]=TRIM($T956))*(CsDJ[Account Code]=TRIM(K992)),CsDJ[Credit]))</f>
        <v>0</v>
      </c>
      <c r="P992" s="1040">
        <f t="shared" si="82"/>
        <v>0</v>
      </c>
      <c r="Q992" s="1040"/>
      <c r="R992" s="1040"/>
      <c r="S992" s="1040">
        <f t="shared" si="83"/>
        <v>0</v>
      </c>
      <c r="T992" s="1040"/>
      <c r="U992" s="1040"/>
      <c r="V992" s="1041"/>
    </row>
    <row r="993" spans="1:22" x14ac:dyDescent="0.25">
      <c r="A993" s="1038"/>
      <c r="B993" s="1039"/>
      <c r="C993" s="1039"/>
      <c r="D993" s="1039"/>
      <c r="E993" s="1048" t="s">
        <v>459</v>
      </c>
      <c r="F993" s="1049"/>
      <c r="G993" s="1049"/>
      <c r="H993" s="1049"/>
      <c r="I993" s="1043">
        <f>IF(I992="Ma. Vivian C. Salas","Regional Office", IF(I992="Luz R. De Cozar","BANE IMO", IF(I992="Mineonette A. Dela Cruz","PAMBAT IMO", IF(I992="Resella B. Lopez","TARZAM IMO",0))))</f>
        <v>0</v>
      </c>
      <c r="J993" s="1044"/>
      <c r="K993" s="133"/>
      <c r="L993" s="62" t="str">
        <f t="shared" si="81"/>
        <v/>
      </c>
      <c r="M993" s="14"/>
      <c r="N993" s="89">
        <f t="array" ref="N993">SUM(IF((CsDJ[JEV Number]=TRIM($T956))*(CsDJ[Account Code]=TRIM(K993)),CsDJ[Debit]))</f>
        <v>0</v>
      </c>
      <c r="O993" s="89">
        <f t="array" ref="O993">SUM(IF((CsDJ[JEV Number]=TRIM($T956))*(CsDJ[Account Code]=TRIM(K993)),CsDJ[Credit]))</f>
        <v>0</v>
      </c>
      <c r="P993" s="1040">
        <f t="shared" si="82"/>
        <v>0</v>
      </c>
      <c r="Q993" s="1040"/>
      <c r="R993" s="1040"/>
      <c r="S993" s="1040">
        <f t="shared" si="83"/>
        <v>0</v>
      </c>
      <c r="T993" s="1040"/>
      <c r="U993" s="1040"/>
      <c r="V993" s="1041"/>
    </row>
    <row r="994" spans="1:22" x14ac:dyDescent="0.25">
      <c r="A994" s="1038"/>
      <c r="B994" s="1039"/>
      <c r="C994" s="1039"/>
      <c r="D994" s="1039"/>
      <c r="E994" s="1048"/>
      <c r="F994" s="1049"/>
      <c r="G994" s="1049"/>
      <c r="H994" s="1049"/>
      <c r="I994" s="1049"/>
      <c r="J994" s="1050"/>
      <c r="K994" s="133"/>
      <c r="L994" s="62" t="str">
        <f t="shared" si="81"/>
        <v/>
      </c>
      <c r="M994" s="14"/>
      <c r="N994" s="89">
        <f t="array" ref="N994">SUM(IF((CsDJ[JEV Number]=TRIM($T956))*(CsDJ[Account Code]=TRIM(K994)),CsDJ[Debit]))</f>
        <v>0</v>
      </c>
      <c r="O994" s="89">
        <f t="array" ref="O994">SUM(IF((CsDJ[JEV Number]=TRIM($T956))*(CsDJ[Account Code]=TRIM(K994)),CsDJ[Credit]))</f>
        <v>0</v>
      </c>
      <c r="P994" s="1040">
        <f t="shared" si="82"/>
        <v>0</v>
      </c>
      <c r="Q994" s="1040"/>
      <c r="R994" s="1040"/>
      <c r="S994" s="1040">
        <f t="shared" si="83"/>
        <v>0</v>
      </c>
      <c r="T994" s="1040"/>
      <c r="U994" s="1040"/>
      <c r="V994" s="1041"/>
    </row>
    <row r="995" spans="1:22" ht="16.5" thickBot="1" x14ac:dyDescent="0.3">
      <c r="A995" s="1091"/>
      <c r="B995" s="1092"/>
      <c r="C995" s="1092"/>
      <c r="D995" s="1092"/>
      <c r="E995" s="1092"/>
      <c r="F995" s="1092"/>
      <c r="G995" s="1092"/>
      <c r="H995" s="1092"/>
      <c r="I995" s="1092"/>
      <c r="J995" s="1092"/>
      <c r="K995" s="1092"/>
      <c r="L995" s="1092"/>
      <c r="M995" s="1093"/>
      <c r="N995" s="88"/>
      <c r="O995" s="88"/>
      <c r="P995" s="1094">
        <f>SUM(P965:R994)</f>
        <v>0</v>
      </c>
      <c r="Q995" s="1094"/>
      <c r="R995" s="1094"/>
      <c r="S995" s="1094">
        <f>SUM(S965:V994)</f>
        <v>0</v>
      </c>
      <c r="T995" s="1094"/>
      <c r="U995" s="1094"/>
      <c r="V995" s="1095"/>
    </row>
    <row r="996" spans="1:22" x14ac:dyDescent="0.25">
      <c r="A996" s="63"/>
      <c r="B996" s="64"/>
      <c r="C996" s="64"/>
      <c r="D996" s="64"/>
      <c r="E996" s="64"/>
      <c r="F996" s="64"/>
      <c r="G996" s="64"/>
      <c r="H996" s="64"/>
      <c r="I996" s="65"/>
      <c r="J996" s="64"/>
      <c r="K996" s="66"/>
      <c r="L996" s="64"/>
      <c r="M996" s="65"/>
      <c r="N996" s="64"/>
      <c r="O996" s="64"/>
      <c r="P996" s="1090"/>
      <c r="Q996" s="1090"/>
      <c r="R996" s="1090"/>
      <c r="S996" s="1090"/>
      <c r="T996" s="1090"/>
      <c r="U996" s="1090"/>
      <c r="V996" s="1096"/>
    </row>
    <row r="997" spans="1:22" x14ac:dyDescent="0.25">
      <c r="A997" s="67" t="s">
        <v>460</v>
      </c>
      <c r="B997"/>
      <c r="C997"/>
      <c r="D997"/>
      <c r="E997"/>
      <c r="F997"/>
      <c r="G997"/>
      <c r="H997"/>
      <c r="I997" s="68" t="s">
        <v>353</v>
      </c>
      <c r="J997" s="69"/>
      <c r="K997" s="69"/>
      <c r="L997"/>
      <c r="M997" s="68" t="s">
        <v>461</v>
      </c>
      <c r="N997" s="69"/>
      <c r="O997" s="69"/>
      <c r="P997" s="70"/>
      <c r="Q997" s="70"/>
      <c r="R997" s="70"/>
      <c r="S997" s="70"/>
      <c r="T997" s="70"/>
      <c r="U997" s="70"/>
      <c r="V997" s="71"/>
    </row>
    <row r="998" spans="1:22" x14ac:dyDescent="0.25">
      <c r="A998" s="37"/>
      <c r="B998"/>
      <c r="C998"/>
      <c r="D998"/>
      <c r="E998"/>
      <c r="F998"/>
      <c r="G998"/>
      <c r="H998"/>
      <c r="I998" s="72"/>
      <c r="J998"/>
      <c r="K998"/>
      <c r="L998"/>
      <c r="M998" s="72"/>
      <c r="N998"/>
      <c r="O998"/>
      <c r="P998"/>
      <c r="Q998"/>
      <c r="R998"/>
      <c r="S998"/>
      <c r="T998"/>
      <c r="U998"/>
      <c r="V998" s="73"/>
    </row>
    <row r="999" spans="1:22" x14ac:dyDescent="0.25">
      <c r="A999" s="74" t="s">
        <v>462</v>
      </c>
      <c r="B999" s="75"/>
      <c r="C999" s="75"/>
      <c r="D999" s="75"/>
      <c r="E999" s="75"/>
      <c r="F999" s="75"/>
      <c r="G999" s="75"/>
      <c r="H999" s="76"/>
      <c r="I999" s="77" t="s">
        <v>380</v>
      </c>
      <c r="J999" s="75"/>
      <c r="K999" s="75"/>
      <c r="L999" s="76"/>
      <c r="M999" s="77" t="s">
        <v>3</v>
      </c>
      <c r="N999" s="75"/>
      <c r="O999" s="75"/>
      <c r="P999" s="75"/>
      <c r="Q999" s="75"/>
      <c r="R999" s="75"/>
      <c r="S999" s="75"/>
      <c r="T999" s="75"/>
      <c r="U999" s="75"/>
      <c r="V999" s="78"/>
    </row>
    <row r="1000" spans="1:22" x14ac:dyDescent="0.25">
      <c r="A1000" s="79" t="s">
        <v>463</v>
      </c>
      <c r="B1000" s="80"/>
      <c r="C1000" s="80"/>
      <c r="D1000" s="80"/>
      <c r="E1000" s="80"/>
      <c r="F1000" s="80"/>
      <c r="G1000" s="80"/>
      <c r="H1000" s="80"/>
      <c r="I1000" s="81" t="s">
        <v>381</v>
      </c>
      <c r="J1000" s="80"/>
      <c r="K1000" s="80"/>
      <c r="L1000" s="80"/>
      <c r="M1000" s="81" t="s">
        <v>464</v>
      </c>
      <c r="N1000" s="80"/>
      <c r="O1000" s="80"/>
      <c r="P1000" s="82"/>
      <c r="Q1000" s="82"/>
      <c r="R1000" s="82"/>
      <c r="S1000" s="82"/>
      <c r="T1000" s="82"/>
      <c r="U1000" s="82"/>
      <c r="V1000" s="83"/>
    </row>
    <row r="1001" spans="1:22" ht="16.5" thickBot="1" x14ac:dyDescent="0.3">
      <c r="A1001" s="84" t="s">
        <v>465</v>
      </c>
      <c r="B1001" s="43"/>
      <c r="C1001" s="43"/>
      <c r="D1001" s="43"/>
      <c r="E1001" s="43"/>
      <c r="F1001" s="43"/>
      <c r="G1001" s="43"/>
      <c r="H1001" s="43"/>
      <c r="I1001" s="85"/>
      <c r="J1001" s="43"/>
      <c r="K1001" s="43"/>
      <c r="L1001" s="43"/>
      <c r="M1001" s="85"/>
      <c r="N1001" s="43"/>
      <c r="O1001" s="43"/>
      <c r="P1001" s="43"/>
      <c r="Q1001" s="43"/>
      <c r="R1001" s="43"/>
      <c r="S1001" s="43"/>
      <c r="T1001" s="43"/>
      <c r="U1001" s="43"/>
      <c r="V1001" s="44"/>
    </row>
    <row r="1002" spans="1:22" ht="22.5" x14ac:dyDescent="0.25">
      <c r="A1002" s="31" t="s">
        <v>441</v>
      </c>
      <c r="B1002" s="32"/>
      <c r="C1002" s="32"/>
      <c r="D1002" s="32"/>
      <c r="E1002" s="32"/>
      <c r="F1002" s="32"/>
      <c r="G1002" s="32"/>
      <c r="H1002" s="32"/>
      <c r="I1002" s="32"/>
      <c r="J1002" s="32"/>
      <c r="K1002" s="32"/>
      <c r="L1002" s="32"/>
      <c r="M1002" s="32"/>
      <c r="N1002" s="32"/>
      <c r="O1002" s="32"/>
      <c r="P1002" s="32"/>
      <c r="Q1002" s="33"/>
      <c r="R1002" s="1053">
        <f>+P1042-S1042</f>
        <v>0</v>
      </c>
      <c r="S1002" s="1054"/>
      <c r="T1002" s="1054"/>
      <c r="U1002" s="1054"/>
      <c r="V1002" s="1055"/>
    </row>
    <row r="1003" spans="1:22" x14ac:dyDescent="0.25">
      <c r="A1003" s="34" t="s">
        <v>442</v>
      </c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6"/>
      <c r="R1003" s="37" t="s">
        <v>443</v>
      </c>
      <c r="S1003"/>
      <c r="T1003" s="1056"/>
      <c r="U1003" s="1056"/>
      <c r="V1003" s="1057"/>
    </row>
    <row r="1004" spans="1:22" x14ac:dyDescent="0.25">
      <c r="A1004" s="38" t="s">
        <v>444</v>
      </c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6"/>
      <c r="R1004" s="37" t="s">
        <v>0</v>
      </c>
      <c r="S1004"/>
      <c r="T1004" s="1058">
        <f>IF(T1003=0,0,(LOOKUP(T1003,CsDJ[JEV Number],CsDJ[Date])))</f>
        <v>0</v>
      </c>
      <c r="U1004" s="1058"/>
      <c r="V1004" s="1059"/>
    </row>
    <row r="1005" spans="1:22" ht="16.5" thickBot="1" x14ac:dyDescent="0.3">
      <c r="A1005" s="39"/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1"/>
      <c r="R1005" s="42"/>
      <c r="S1005" s="43"/>
      <c r="T1005" s="43"/>
      <c r="U1005" s="43"/>
      <c r="V1005" s="44"/>
    </row>
    <row r="1006" spans="1:22" x14ac:dyDescent="0.25">
      <c r="A1006" s="45"/>
      <c r="B1006" s="46"/>
      <c r="C1006" s="46"/>
      <c r="D1006" s="46"/>
      <c r="E1006" s="46"/>
      <c r="F1006" s="46"/>
      <c r="G1006" s="46"/>
      <c r="H1006" s="46"/>
      <c r="I1006" s="46"/>
      <c r="J1006" s="46"/>
      <c r="K1006" s="46"/>
      <c r="L1006" s="47"/>
      <c r="M1006" s="46"/>
      <c r="N1006" s="46"/>
      <c r="O1006" s="46"/>
      <c r="P1006" s="46"/>
      <c r="Q1006" s="46"/>
      <c r="R1006" s="46"/>
      <c r="S1006" s="46"/>
      <c r="T1006" s="46"/>
      <c r="U1006" s="46"/>
      <c r="V1006" s="48"/>
    </row>
    <row r="1007" spans="1:22" x14ac:dyDescent="0.25">
      <c r="A1007" s="49"/>
      <c r="B1007" s="1060"/>
      <c r="C1007" s="1060"/>
      <c r="D1007" s="50" t="s">
        <v>445</v>
      </c>
      <c r="H1007" s="51"/>
      <c r="I1007" s="25" t="s">
        <v>447</v>
      </c>
      <c r="J1007" s="132" t="s">
        <v>446</v>
      </c>
      <c r="K1007" s="52" t="s">
        <v>448</v>
      </c>
      <c r="L1007" s="52"/>
      <c r="Q1007" s="1060"/>
      <c r="R1007" s="1060"/>
      <c r="S1007" s="50" t="s">
        <v>449</v>
      </c>
      <c r="T1007" s="50"/>
      <c r="U1007" s="50"/>
      <c r="V1007" s="53"/>
    </row>
    <row r="1008" spans="1:22" ht="16.5" thickBot="1" x14ac:dyDescent="0.3">
      <c r="A1008" s="54"/>
      <c r="B1008" s="55"/>
      <c r="C1008" s="55"/>
      <c r="D1008" s="55"/>
      <c r="E1008" s="55"/>
      <c r="F1008" s="55"/>
      <c r="G1008" s="55"/>
      <c r="H1008" s="55"/>
      <c r="I1008" s="55"/>
      <c r="J1008" s="55"/>
      <c r="K1008" s="55"/>
      <c r="L1008" s="56"/>
      <c r="M1008" s="55"/>
      <c r="N1008" s="55"/>
      <c r="O1008" s="55"/>
      <c r="P1008" s="55"/>
      <c r="Q1008" s="55"/>
      <c r="R1008" s="55"/>
      <c r="S1008" s="55"/>
      <c r="T1008" s="55"/>
      <c r="U1008" s="55"/>
      <c r="V1008" s="57"/>
    </row>
    <row r="1009" spans="1:22" x14ac:dyDescent="0.25">
      <c r="A1009" s="1061" t="s">
        <v>397</v>
      </c>
      <c r="B1009" s="1062"/>
      <c r="C1009" s="1062"/>
      <c r="D1009" s="1063"/>
      <c r="E1009" s="1070" t="s">
        <v>450</v>
      </c>
      <c r="F1009" s="1070"/>
      <c r="G1009" s="1070"/>
      <c r="H1009" s="1070"/>
      <c r="I1009" s="1070"/>
      <c r="J1009" s="1070"/>
      <c r="K1009" s="1070"/>
      <c r="L1009" s="1070"/>
      <c r="M1009" s="1070"/>
      <c r="N1009" s="1070"/>
      <c r="O1009" s="1070"/>
      <c r="P1009" s="1070"/>
      <c r="Q1009" s="1070"/>
      <c r="R1009" s="1070"/>
      <c r="S1009" s="1070"/>
      <c r="T1009" s="1070"/>
      <c r="U1009" s="1070"/>
      <c r="V1009" s="1071"/>
    </row>
    <row r="1010" spans="1:22" x14ac:dyDescent="0.25">
      <c r="A1010" s="1064"/>
      <c r="B1010" s="1065"/>
      <c r="C1010" s="1065"/>
      <c r="D1010" s="1066"/>
      <c r="E1010" s="1072" t="s">
        <v>451</v>
      </c>
      <c r="F1010" s="1072"/>
      <c r="G1010" s="1072"/>
      <c r="H1010" s="1072"/>
      <c r="I1010" s="1072"/>
      <c r="J1010" s="1072"/>
      <c r="K1010" s="1074" t="s">
        <v>378</v>
      </c>
      <c r="L1010" s="1074"/>
      <c r="M1010" s="1072" t="s">
        <v>452</v>
      </c>
      <c r="N1010" s="1075" t="s">
        <v>453</v>
      </c>
      <c r="O1010" s="1076"/>
      <c r="P1010" s="1076"/>
      <c r="Q1010" s="1076"/>
      <c r="R1010" s="1076"/>
      <c r="S1010" s="1076"/>
      <c r="T1010" s="1076"/>
      <c r="U1010" s="1076"/>
      <c r="V1010" s="1077"/>
    </row>
    <row r="1011" spans="1:22" ht="16.5" customHeight="1" thickBot="1" x14ac:dyDescent="0.3">
      <c r="A1011" s="1067"/>
      <c r="B1011" s="1068"/>
      <c r="C1011" s="1068"/>
      <c r="D1011" s="1069"/>
      <c r="E1011" s="1073"/>
      <c r="F1011" s="1073"/>
      <c r="G1011" s="1073"/>
      <c r="H1011" s="1073"/>
      <c r="I1011" s="1073"/>
      <c r="J1011" s="1073"/>
      <c r="K1011" s="58" t="s">
        <v>454</v>
      </c>
      <c r="L1011" s="58" t="s">
        <v>455</v>
      </c>
      <c r="M1011" s="1073"/>
      <c r="N1011" s="87" t="s">
        <v>466</v>
      </c>
      <c r="O1011" s="87" t="s">
        <v>467</v>
      </c>
      <c r="P1011" s="1078" t="s">
        <v>1</v>
      </c>
      <c r="Q1011" s="1079"/>
      <c r="R1011" s="1080"/>
      <c r="S1011" s="1078" t="s">
        <v>2</v>
      </c>
      <c r="T1011" s="1079"/>
      <c r="U1011" s="1079"/>
      <c r="V1011" s="1081"/>
    </row>
    <row r="1012" spans="1:22" ht="19.5" x14ac:dyDescent="0.3">
      <c r="A1012" s="1082">
        <f>P1042-S1042</f>
        <v>0</v>
      </c>
      <c r="B1012" s="1083"/>
      <c r="C1012" s="1083"/>
      <c r="D1012" s="1083"/>
      <c r="E1012" s="1084" t="str">
        <f>Account!$G$1</f>
        <v>FUND 501 CARP</v>
      </c>
      <c r="F1012" s="1085"/>
      <c r="G1012" s="1085"/>
      <c r="H1012" s="1085"/>
      <c r="I1012" s="1085"/>
      <c r="J1012" s="1086"/>
      <c r="K1012" s="59"/>
      <c r="L1012" s="59"/>
      <c r="M1012" s="60"/>
      <c r="N1012" s="60"/>
      <c r="O1012" s="60"/>
      <c r="P1012" s="1087"/>
      <c r="Q1012" s="1087"/>
      <c r="R1012" s="1087"/>
      <c r="S1012" s="1087"/>
      <c r="T1012" s="1087"/>
      <c r="U1012" s="1087"/>
      <c r="V1012" s="1088"/>
    </row>
    <row r="1013" spans="1:22" x14ac:dyDescent="0.25">
      <c r="A1013" s="1038"/>
      <c r="B1013" s="1039"/>
      <c r="C1013" s="1039"/>
      <c r="D1013" s="1039"/>
      <c r="E1013" s="1039"/>
      <c r="F1013" s="1039"/>
      <c r="G1013" s="1039"/>
      <c r="H1013" s="1039"/>
      <c r="I1013" s="1039"/>
      <c r="J1013" s="1039"/>
      <c r="K1013" s="61"/>
      <c r="L1013" s="61"/>
      <c r="M1013" s="14"/>
      <c r="N1013" s="14"/>
      <c r="O1013" s="14"/>
      <c r="P1013" s="1039"/>
      <c r="Q1013" s="1039"/>
      <c r="R1013" s="1039"/>
      <c r="S1013" s="1039"/>
      <c r="T1013" s="1039"/>
      <c r="U1013" s="1039"/>
      <c r="V1013" s="1089"/>
    </row>
    <row r="1014" spans="1:22" x14ac:dyDescent="0.25">
      <c r="A1014" s="1038"/>
      <c r="B1014" s="1039"/>
      <c r="C1014" s="1039"/>
      <c r="D1014" s="1039"/>
      <c r="E1014" s="1045" t="str">
        <f t="shared" ref="E1014:E1036" si="84">IF(K1014=0,"",(VLOOKUP((TRIM(K1014)),Code,2,)))</f>
        <v/>
      </c>
      <c r="F1014" s="1046"/>
      <c r="G1014" s="1046"/>
      <c r="H1014" s="1046"/>
      <c r="I1014" s="1046"/>
      <c r="J1014" s="1047"/>
      <c r="K1014" s="133"/>
      <c r="L1014" s="62" t="str">
        <f t="shared" ref="L1014:L1041" si="85">IF(K1014=0,"",VLOOKUP((TRIM(K1014)),Code,3,))</f>
        <v/>
      </c>
      <c r="M1014" s="14"/>
      <c r="N1014" s="89">
        <f t="array" ref="N1014">SUM(IF((CsDJ[JEV Number]=TRIM($T1003))*(CsDJ[Account Code]=TRIM(K1014)),CsDJ[Debit]))</f>
        <v>0</v>
      </c>
      <c r="O1014" s="89">
        <f t="array" ref="O1014">SUM(IF((CsDJ[JEV Number]=TRIM($T1003))*(CsDJ[Account Code]=TRIM(K1014)),CsDJ[Credit]))</f>
        <v>0</v>
      </c>
      <c r="P1014" s="1040">
        <f>N1014</f>
        <v>0</v>
      </c>
      <c r="Q1014" s="1040"/>
      <c r="R1014" s="1040"/>
      <c r="S1014" s="1040">
        <f>O1014</f>
        <v>0</v>
      </c>
      <c r="T1014" s="1040"/>
      <c r="U1014" s="1040"/>
      <c r="V1014" s="1041"/>
    </row>
    <row r="1015" spans="1:22" x14ac:dyDescent="0.25">
      <c r="A1015" s="1038"/>
      <c r="B1015" s="1039"/>
      <c r="C1015" s="1039"/>
      <c r="D1015" s="1039"/>
      <c r="E1015" s="1045" t="str">
        <f t="shared" si="84"/>
        <v/>
      </c>
      <c r="F1015" s="1046"/>
      <c r="G1015" s="1046"/>
      <c r="H1015" s="1046"/>
      <c r="I1015" s="1046"/>
      <c r="J1015" s="1047"/>
      <c r="K1015" s="133"/>
      <c r="L1015" s="62" t="str">
        <f t="shared" si="85"/>
        <v/>
      </c>
      <c r="M1015" s="14"/>
      <c r="N1015" s="89">
        <f t="array" ref="N1015">SUM(IF((CsDJ[JEV Number]=TRIM($T1003))*(CsDJ[Account Code]=TRIM(K1015)),CsDJ[Debit]))</f>
        <v>0</v>
      </c>
      <c r="O1015" s="89">
        <f t="array" ref="O1015">SUM(IF((CsDJ[JEV Number]=TRIM($T1003))*(CsDJ[Account Code]=TRIM(K1015)),CsDJ[Credit]))</f>
        <v>0</v>
      </c>
      <c r="P1015" s="1040">
        <f>N1015</f>
        <v>0</v>
      </c>
      <c r="Q1015" s="1040"/>
      <c r="R1015" s="1040"/>
      <c r="S1015" s="1040">
        <f>O1015</f>
        <v>0</v>
      </c>
      <c r="T1015" s="1040"/>
      <c r="U1015" s="1040"/>
      <c r="V1015" s="1041"/>
    </row>
    <row r="1016" spans="1:22" x14ac:dyDescent="0.25">
      <c r="A1016" s="1038"/>
      <c r="B1016" s="1039"/>
      <c r="C1016" s="1039"/>
      <c r="D1016" s="1039"/>
      <c r="E1016" s="1045" t="str">
        <f t="shared" si="84"/>
        <v/>
      </c>
      <c r="F1016" s="1046"/>
      <c r="G1016" s="1046"/>
      <c r="H1016" s="1046"/>
      <c r="I1016" s="1046"/>
      <c r="J1016" s="1047"/>
      <c r="K1016" s="133"/>
      <c r="L1016" s="62" t="str">
        <f t="shared" si="85"/>
        <v/>
      </c>
      <c r="M1016" s="14"/>
      <c r="N1016" s="89">
        <f t="array" ref="N1016">SUM(IF((CsDJ[JEV Number]=TRIM($T1003))*(CsDJ[Account Code]=TRIM(K1016)),CsDJ[Debit]))</f>
        <v>0</v>
      </c>
      <c r="O1016" s="89">
        <f t="array" ref="O1016">SUM(IF((CsDJ[JEV Number]=TRIM($T1003))*(CsDJ[Account Code]=TRIM(K1016)),CsDJ[Credit]))</f>
        <v>0</v>
      </c>
      <c r="P1016" s="1040">
        <f t="shared" ref="P1016:P1041" si="86">N1016</f>
        <v>0</v>
      </c>
      <c r="Q1016" s="1040"/>
      <c r="R1016" s="1040"/>
      <c r="S1016" s="1040">
        <f t="shared" ref="S1016:S1041" si="87">O1016</f>
        <v>0</v>
      </c>
      <c r="T1016" s="1040"/>
      <c r="U1016" s="1040"/>
      <c r="V1016" s="1041"/>
    </row>
    <row r="1017" spans="1:22" x14ac:dyDescent="0.25">
      <c r="A1017" s="1038"/>
      <c r="B1017" s="1039"/>
      <c r="C1017" s="1039"/>
      <c r="D1017" s="1039"/>
      <c r="E1017" s="1045" t="str">
        <f t="shared" si="84"/>
        <v/>
      </c>
      <c r="F1017" s="1046"/>
      <c r="G1017" s="1046"/>
      <c r="H1017" s="1046"/>
      <c r="I1017" s="1046"/>
      <c r="J1017" s="1047"/>
      <c r="K1017" s="133"/>
      <c r="L1017" s="62" t="str">
        <f t="shared" si="85"/>
        <v/>
      </c>
      <c r="M1017" s="14"/>
      <c r="N1017" s="89">
        <f t="array" ref="N1017">SUM(IF((CsDJ[JEV Number]=TRIM($T1003))*(CsDJ[Account Code]=TRIM(K1017)),CsDJ[Debit]))</f>
        <v>0</v>
      </c>
      <c r="O1017" s="89">
        <f t="array" ref="O1017">SUM(IF((CsDJ[JEV Number]=TRIM($T1003))*(CsDJ[Account Code]=TRIM(K1017)),CsDJ[Credit]))</f>
        <v>0</v>
      </c>
      <c r="P1017" s="1040">
        <f t="shared" si="86"/>
        <v>0</v>
      </c>
      <c r="Q1017" s="1040"/>
      <c r="R1017" s="1040"/>
      <c r="S1017" s="1040">
        <f t="shared" si="87"/>
        <v>0</v>
      </c>
      <c r="T1017" s="1040"/>
      <c r="U1017" s="1040"/>
      <c r="V1017" s="1041"/>
    </row>
    <row r="1018" spans="1:22" x14ac:dyDescent="0.25">
      <c r="A1018" s="1038"/>
      <c r="B1018" s="1039"/>
      <c r="C1018" s="1039"/>
      <c r="D1018" s="1039"/>
      <c r="E1018" s="1045" t="str">
        <f t="shared" si="84"/>
        <v/>
      </c>
      <c r="F1018" s="1046"/>
      <c r="G1018" s="1046"/>
      <c r="H1018" s="1046"/>
      <c r="I1018" s="1046"/>
      <c r="J1018" s="1047"/>
      <c r="K1018" s="133"/>
      <c r="L1018" s="62" t="str">
        <f t="shared" si="85"/>
        <v/>
      </c>
      <c r="M1018" s="14"/>
      <c r="N1018" s="89">
        <f t="array" ref="N1018">SUM(IF((CsDJ[JEV Number]=TRIM($T1003))*(CsDJ[Account Code]=TRIM(K1018)),CsDJ[Debit]))</f>
        <v>0</v>
      </c>
      <c r="O1018" s="89">
        <f t="array" ref="O1018">SUM(IF((CsDJ[JEV Number]=TRIM($T1003))*(CsDJ[Account Code]=TRIM(K1018)),CsDJ[Credit]))</f>
        <v>0</v>
      </c>
      <c r="P1018" s="1040">
        <f t="shared" si="86"/>
        <v>0</v>
      </c>
      <c r="Q1018" s="1040"/>
      <c r="R1018" s="1040"/>
      <c r="S1018" s="1040">
        <f t="shared" si="87"/>
        <v>0</v>
      </c>
      <c r="T1018" s="1040"/>
      <c r="U1018" s="1040"/>
      <c r="V1018" s="1041"/>
    </row>
    <row r="1019" spans="1:22" x14ac:dyDescent="0.25">
      <c r="A1019" s="1038"/>
      <c r="B1019" s="1039"/>
      <c r="C1019" s="1039"/>
      <c r="D1019" s="1039"/>
      <c r="E1019" s="1045" t="str">
        <f t="shared" si="84"/>
        <v/>
      </c>
      <c r="F1019" s="1046"/>
      <c r="G1019" s="1046"/>
      <c r="H1019" s="1046"/>
      <c r="I1019" s="1046"/>
      <c r="J1019" s="1047"/>
      <c r="K1019" s="133"/>
      <c r="L1019" s="62" t="str">
        <f t="shared" si="85"/>
        <v/>
      </c>
      <c r="M1019" s="14"/>
      <c r="N1019" s="89">
        <f t="array" ref="N1019">SUM(IF((CsDJ[JEV Number]=TRIM($T1003))*(CsDJ[Account Code]=TRIM(K1019)),CsDJ[Debit]))</f>
        <v>0</v>
      </c>
      <c r="O1019" s="89">
        <f t="array" ref="O1019">SUM(IF((CsDJ[JEV Number]=TRIM($T1003))*(CsDJ[Account Code]=TRIM(K1019)),CsDJ[Credit]))</f>
        <v>0</v>
      </c>
      <c r="P1019" s="1040">
        <f t="shared" si="86"/>
        <v>0</v>
      </c>
      <c r="Q1019" s="1040"/>
      <c r="R1019" s="1040"/>
      <c r="S1019" s="1040">
        <f t="shared" si="87"/>
        <v>0</v>
      </c>
      <c r="T1019" s="1040"/>
      <c r="U1019" s="1040"/>
      <c r="V1019" s="1041"/>
    </row>
    <row r="1020" spans="1:22" x14ac:dyDescent="0.25">
      <c r="A1020" s="1038"/>
      <c r="B1020" s="1039"/>
      <c r="C1020" s="1039"/>
      <c r="D1020" s="1039"/>
      <c r="E1020" s="1045" t="str">
        <f t="shared" si="84"/>
        <v/>
      </c>
      <c r="F1020" s="1046"/>
      <c r="G1020" s="1046"/>
      <c r="H1020" s="1046"/>
      <c r="I1020" s="1046"/>
      <c r="J1020" s="1047"/>
      <c r="K1020" s="133"/>
      <c r="L1020" s="62" t="str">
        <f t="shared" si="85"/>
        <v/>
      </c>
      <c r="M1020" s="14"/>
      <c r="N1020" s="89">
        <f t="array" ref="N1020">SUM(IF((CsDJ[JEV Number]=TRIM($T1003))*(CsDJ[Account Code]=TRIM(K1020)),CsDJ[Debit]))</f>
        <v>0</v>
      </c>
      <c r="O1020" s="89">
        <f t="array" ref="O1020">SUM(IF((CsDJ[JEV Number]=TRIM($T1003))*(CsDJ[Account Code]=TRIM(K1020)),CsDJ[Credit]))</f>
        <v>0</v>
      </c>
      <c r="P1020" s="1040">
        <f t="shared" si="86"/>
        <v>0</v>
      </c>
      <c r="Q1020" s="1040"/>
      <c r="R1020" s="1040"/>
      <c r="S1020" s="1040">
        <f t="shared" si="87"/>
        <v>0</v>
      </c>
      <c r="T1020" s="1040"/>
      <c r="U1020" s="1040"/>
      <c r="V1020" s="1041"/>
    </row>
    <row r="1021" spans="1:22" x14ac:dyDescent="0.25">
      <c r="A1021" s="1038"/>
      <c r="B1021" s="1039"/>
      <c r="C1021" s="1039"/>
      <c r="D1021" s="1039"/>
      <c r="E1021" s="1045" t="str">
        <f t="shared" si="84"/>
        <v/>
      </c>
      <c r="F1021" s="1046"/>
      <c r="G1021" s="1046"/>
      <c r="H1021" s="1046"/>
      <c r="I1021" s="1046"/>
      <c r="J1021" s="1047"/>
      <c r="K1021" s="133"/>
      <c r="L1021" s="62" t="str">
        <f t="shared" si="85"/>
        <v/>
      </c>
      <c r="M1021" s="14"/>
      <c r="N1021" s="89">
        <f t="array" ref="N1021">SUM(IF((CsDJ[JEV Number]=TRIM($T1003))*(CsDJ[Account Code]=TRIM(K1021)),CsDJ[Debit]))</f>
        <v>0</v>
      </c>
      <c r="O1021" s="89">
        <f t="array" ref="O1021">SUM(IF((CsDJ[JEV Number]=TRIM($T1003))*(CsDJ[Account Code]=TRIM(K1021)),CsDJ[Credit]))</f>
        <v>0</v>
      </c>
      <c r="P1021" s="1040">
        <f t="shared" si="86"/>
        <v>0</v>
      </c>
      <c r="Q1021" s="1040"/>
      <c r="R1021" s="1040"/>
      <c r="S1021" s="1040">
        <f t="shared" si="87"/>
        <v>0</v>
      </c>
      <c r="T1021" s="1040"/>
      <c r="U1021" s="1040"/>
      <c r="V1021" s="1041"/>
    </row>
    <row r="1022" spans="1:22" x14ac:dyDescent="0.25">
      <c r="A1022" s="1038"/>
      <c r="B1022" s="1039"/>
      <c r="C1022" s="1039"/>
      <c r="D1022" s="1039"/>
      <c r="E1022" s="1045" t="str">
        <f t="shared" si="84"/>
        <v/>
      </c>
      <c r="F1022" s="1046"/>
      <c r="G1022" s="1046"/>
      <c r="H1022" s="1046"/>
      <c r="I1022" s="1046"/>
      <c r="J1022" s="1047"/>
      <c r="K1022" s="134"/>
      <c r="L1022" s="62" t="str">
        <f t="shared" si="85"/>
        <v/>
      </c>
      <c r="M1022" s="14"/>
      <c r="N1022" s="89">
        <f t="array" ref="N1022">SUM(IF((CsDJ[JEV Number]=TRIM($T1003))*(CsDJ[Account Code]=TRIM(K1022)),CsDJ[Debit]))</f>
        <v>0</v>
      </c>
      <c r="O1022" s="89">
        <f t="array" ref="O1022">SUM(IF((CsDJ[JEV Number]=TRIM($T1003))*(CsDJ[Account Code]=TRIM(K1022)),CsDJ[Credit]))</f>
        <v>0</v>
      </c>
      <c r="P1022" s="1040">
        <f t="shared" si="86"/>
        <v>0</v>
      </c>
      <c r="Q1022" s="1040"/>
      <c r="R1022" s="1040"/>
      <c r="S1022" s="1040">
        <f t="shared" si="87"/>
        <v>0</v>
      </c>
      <c r="T1022" s="1040"/>
      <c r="U1022" s="1040"/>
      <c r="V1022" s="1041"/>
    </row>
    <row r="1023" spans="1:22" x14ac:dyDescent="0.25">
      <c r="A1023" s="1038"/>
      <c r="B1023" s="1039"/>
      <c r="C1023" s="1039"/>
      <c r="D1023" s="1039"/>
      <c r="E1023" s="1045" t="str">
        <f t="shared" si="84"/>
        <v/>
      </c>
      <c r="F1023" s="1046"/>
      <c r="G1023" s="1046"/>
      <c r="H1023" s="1046"/>
      <c r="I1023" s="1046"/>
      <c r="J1023" s="1047"/>
      <c r="K1023" s="134"/>
      <c r="L1023" s="62" t="str">
        <f t="shared" si="85"/>
        <v/>
      </c>
      <c r="M1023" s="14"/>
      <c r="N1023" s="89">
        <f t="array" ref="N1023">SUM(IF((CsDJ[JEV Number]=TRIM($T1003))*(CsDJ[Account Code]=TRIM(K1023)),CsDJ[Debit]))</f>
        <v>0</v>
      </c>
      <c r="O1023" s="89">
        <f t="array" ref="O1023">SUM(IF((CsDJ[JEV Number]=TRIM($T1003))*(CsDJ[Account Code]=TRIM(K1023)),CsDJ[Credit]))</f>
        <v>0</v>
      </c>
      <c r="P1023" s="1040">
        <f t="shared" si="86"/>
        <v>0</v>
      </c>
      <c r="Q1023" s="1040"/>
      <c r="R1023" s="1040"/>
      <c r="S1023" s="1040">
        <f t="shared" si="87"/>
        <v>0</v>
      </c>
      <c r="T1023" s="1040"/>
      <c r="U1023" s="1040"/>
      <c r="V1023" s="1041"/>
    </row>
    <row r="1024" spans="1:22" x14ac:dyDescent="0.25">
      <c r="A1024" s="1038"/>
      <c r="B1024" s="1039"/>
      <c r="C1024" s="1039"/>
      <c r="D1024" s="1039"/>
      <c r="E1024" s="1045" t="str">
        <f t="shared" si="84"/>
        <v/>
      </c>
      <c r="F1024" s="1046"/>
      <c r="G1024" s="1046"/>
      <c r="H1024" s="1046"/>
      <c r="I1024" s="1046"/>
      <c r="J1024" s="1047"/>
      <c r="K1024" s="134"/>
      <c r="L1024" s="62" t="str">
        <f t="shared" si="85"/>
        <v/>
      </c>
      <c r="M1024" s="14"/>
      <c r="N1024" s="89">
        <f t="array" ref="N1024">SUM(IF((CsDJ[JEV Number]=TRIM($T1003))*(CsDJ[Account Code]=TRIM(K1024)),CsDJ[Debit]))</f>
        <v>0</v>
      </c>
      <c r="O1024" s="89">
        <f t="array" ref="O1024">SUM(IF((CsDJ[JEV Number]=TRIM($T1003))*(CsDJ[Account Code]=TRIM(K1024)),CsDJ[Credit]))</f>
        <v>0</v>
      </c>
      <c r="P1024" s="1040">
        <f t="shared" si="86"/>
        <v>0</v>
      </c>
      <c r="Q1024" s="1040"/>
      <c r="R1024" s="1040"/>
      <c r="S1024" s="1040">
        <f t="shared" si="87"/>
        <v>0</v>
      </c>
      <c r="T1024" s="1040"/>
      <c r="U1024" s="1040"/>
      <c r="V1024" s="1041"/>
    </row>
    <row r="1025" spans="1:22" x14ac:dyDescent="0.25">
      <c r="A1025" s="1038"/>
      <c r="B1025" s="1039"/>
      <c r="C1025" s="1039"/>
      <c r="D1025" s="1039"/>
      <c r="E1025" s="1045" t="str">
        <f t="shared" si="84"/>
        <v/>
      </c>
      <c r="F1025" s="1046"/>
      <c r="G1025" s="1046"/>
      <c r="H1025" s="1046"/>
      <c r="I1025" s="1046"/>
      <c r="J1025" s="1047"/>
      <c r="K1025" s="134"/>
      <c r="L1025" s="62" t="str">
        <f t="shared" si="85"/>
        <v/>
      </c>
      <c r="M1025" s="14"/>
      <c r="N1025" s="89">
        <f t="array" ref="N1025">SUM(IF((CsDJ[JEV Number]=TRIM($T1003))*(CsDJ[Account Code]=TRIM(K1025)),CsDJ[Debit]))</f>
        <v>0</v>
      </c>
      <c r="O1025" s="89">
        <f t="array" ref="O1025">SUM(IF((CsDJ[JEV Number]=TRIM($T1003))*(CsDJ[Account Code]=TRIM(K1025)),CsDJ[Credit]))</f>
        <v>0</v>
      </c>
      <c r="P1025" s="1040">
        <f t="shared" si="86"/>
        <v>0</v>
      </c>
      <c r="Q1025" s="1040"/>
      <c r="R1025" s="1040"/>
      <c r="S1025" s="1040">
        <f t="shared" si="87"/>
        <v>0</v>
      </c>
      <c r="T1025" s="1040"/>
      <c r="U1025" s="1040"/>
      <c r="V1025" s="1041"/>
    </row>
    <row r="1026" spans="1:22" x14ac:dyDescent="0.25">
      <c r="A1026" s="1038"/>
      <c r="B1026" s="1039"/>
      <c r="C1026" s="1039"/>
      <c r="D1026" s="1039"/>
      <c r="E1026" s="1045" t="str">
        <f t="shared" si="84"/>
        <v/>
      </c>
      <c r="F1026" s="1046"/>
      <c r="G1026" s="1046"/>
      <c r="H1026" s="1046"/>
      <c r="I1026" s="1046"/>
      <c r="J1026" s="1047"/>
      <c r="K1026" s="134"/>
      <c r="L1026" s="62" t="str">
        <f t="shared" si="85"/>
        <v/>
      </c>
      <c r="M1026" s="14"/>
      <c r="N1026" s="89">
        <f t="array" ref="N1026">SUM(IF((CsDJ[JEV Number]=TRIM($T1003))*(CsDJ[Account Code]=TRIM(K1026)),CsDJ[Debit]))</f>
        <v>0</v>
      </c>
      <c r="O1026" s="89">
        <f t="array" ref="O1026">SUM(IF((CsDJ[JEV Number]=TRIM($T1003))*(CsDJ[Account Code]=TRIM(K1026)),CsDJ[Credit]))</f>
        <v>0</v>
      </c>
      <c r="P1026" s="1040">
        <f t="shared" si="86"/>
        <v>0</v>
      </c>
      <c r="Q1026" s="1040"/>
      <c r="R1026" s="1040"/>
      <c r="S1026" s="1040">
        <f t="shared" si="87"/>
        <v>0</v>
      </c>
      <c r="T1026" s="1040"/>
      <c r="U1026" s="1040"/>
      <c r="V1026" s="1041"/>
    </row>
    <row r="1027" spans="1:22" x14ac:dyDescent="0.25">
      <c r="A1027" s="1038"/>
      <c r="B1027" s="1039"/>
      <c r="C1027" s="1039"/>
      <c r="D1027" s="1039"/>
      <c r="E1027" s="1045" t="str">
        <f t="shared" si="84"/>
        <v/>
      </c>
      <c r="F1027" s="1046"/>
      <c r="G1027" s="1046"/>
      <c r="H1027" s="1046"/>
      <c r="I1027" s="1046"/>
      <c r="J1027" s="1047"/>
      <c r="K1027" s="134"/>
      <c r="L1027" s="62" t="str">
        <f t="shared" si="85"/>
        <v/>
      </c>
      <c r="M1027" s="14"/>
      <c r="N1027" s="89">
        <f t="array" ref="N1027">SUM(IF((CsDJ[JEV Number]=TRIM($T1003))*(CsDJ[Account Code]=TRIM(K1027)),CsDJ[Debit]))</f>
        <v>0</v>
      </c>
      <c r="O1027" s="89">
        <f t="array" ref="O1027">SUM(IF((CsDJ[JEV Number]=TRIM($T1003))*(CsDJ[Account Code]=TRIM(K1027)),CsDJ[Credit]))</f>
        <v>0</v>
      </c>
      <c r="P1027" s="1040">
        <f t="shared" si="86"/>
        <v>0</v>
      </c>
      <c r="Q1027" s="1040"/>
      <c r="R1027" s="1040"/>
      <c r="S1027" s="1040">
        <f t="shared" si="87"/>
        <v>0</v>
      </c>
      <c r="T1027" s="1040"/>
      <c r="U1027" s="1040"/>
      <c r="V1027" s="1041"/>
    </row>
    <row r="1028" spans="1:22" x14ac:dyDescent="0.25">
      <c r="A1028" s="1038"/>
      <c r="B1028" s="1039"/>
      <c r="C1028" s="1039"/>
      <c r="D1028" s="1039"/>
      <c r="E1028" s="1045" t="str">
        <f t="shared" si="84"/>
        <v/>
      </c>
      <c r="F1028" s="1046"/>
      <c r="G1028" s="1046"/>
      <c r="H1028" s="1046"/>
      <c r="I1028" s="1046"/>
      <c r="J1028" s="1047"/>
      <c r="K1028" s="134"/>
      <c r="L1028" s="62" t="str">
        <f t="shared" si="85"/>
        <v/>
      </c>
      <c r="M1028" s="14"/>
      <c r="N1028" s="89">
        <f t="array" ref="N1028">SUM(IF((CsDJ[JEV Number]=TRIM($T1003))*(CsDJ[Account Code]=TRIM(K1028)),CsDJ[Debit]))</f>
        <v>0</v>
      </c>
      <c r="O1028" s="89">
        <f t="array" ref="O1028">SUM(IF((CsDJ[JEV Number]=TRIM($T1003))*(CsDJ[Account Code]=TRIM(K1028)),CsDJ[Credit]))</f>
        <v>0</v>
      </c>
      <c r="P1028" s="1040">
        <f t="shared" si="86"/>
        <v>0</v>
      </c>
      <c r="Q1028" s="1040"/>
      <c r="R1028" s="1040"/>
      <c r="S1028" s="1040">
        <f t="shared" si="87"/>
        <v>0</v>
      </c>
      <c r="T1028" s="1040"/>
      <c r="U1028" s="1040"/>
      <c r="V1028" s="1041"/>
    </row>
    <row r="1029" spans="1:22" x14ac:dyDescent="0.25">
      <c r="A1029" s="1038"/>
      <c r="B1029" s="1039"/>
      <c r="C1029" s="1039"/>
      <c r="D1029" s="1039"/>
      <c r="E1029" s="1045" t="str">
        <f t="shared" si="84"/>
        <v/>
      </c>
      <c r="F1029" s="1046"/>
      <c r="G1029" s="1046"/>
      <c r="H1029" s="1046"/>
      <c r="I1029" s="1046"/>
      <c r="J1029" s="1047"/>
      <c r="K1029" s="134"/>
      <c r="L1029" s="62" t="str">
        <f t="shared" si="85"/>
        <v/>
      </c>
      <c r="M1029" s="14"/>
      <c r="N1029" s="89">
        <f t="array" ref="N1029">SUM(IF((CsDJ[JEV Number]=TRIM($T1003))*(CsDJ[Account Code]=TRIM(K1029)),CsDJ[Debit]))</f>
        <v>0</v>
      </c>
      <c r="O1029" s="89">
        <f t="array" ref="O1029">SUM(IF((CsDJ[JEV Number]=TRIM($T1003))*(CsDJ[Account Code]=TRIM(K1029)),CsDJ[Credit]))</f>
        <v>0</v>
      </c>
      <c r="P1029" s="1040">
        <f t="shared" si="86"/>
        <v>0</v>
      </c>
      <c r="Q1029" s="1040"/>
      <c r="R1029" s="1040"/>
      <c r="S1029" s="1040">
        <f t="shared" si="87"/>
        <v>0</v>
      </c>
      <c r="T1029" s="1040"/>
      <c r="U1029" s="1040"/>
      <c r="V1029" s="1041"/>
    </row>
    <row r="1030" spans="1:22" x14ac:dyDescent="0.25">
      <c r="A1030" s="1038"/>
      <c r="B1030" s="1039"/>
      <c r="C1030" s="1039"/>
      <c r="D1030" s="1039"/>
      <c r="E1030" s="1045" t="str">
        <f t="shared" si="84"/>
        <v/>
      </c>
      <c r="F1030" s="1046"/>
      <c r="G1030" s="1046"/>
      <c r="H1030" s="1046"/>
      <c r="I1030" s="1046"/>
      <c r="J1030" s="1047"/>
      <c r="K1030" s="134"/>
      <c r="L1030" s="62" t="str">
        <f t="shared" si="85"/>
        <v/>
      </c>
      <c r="M1030" s="14"/>
      <c r="N1030" s="89">
        <f t="array" ref="N1030">SUM(IF((CsDJ[JEV Number]=TRIM($T1003))*(CsDJ[Account Code]=TRIM(K1030)),CsDJ[Debit]))</f>
        <v>0</v>
      </c>
      <c r="O1030" s="89">
        <f t="array" ref="O1030">SUM(IF((CsDJ[JEV Number]=TRIM($T1003))*(CsDJ[Account Code]=TRIM(K1030)),CsDJ[Credit]))</f>
        <v>0</v>
      </c>
      <c r="P1030" s="1040">
        <f t="shared" si="86"/>
        <v>0</v>
      </c>
      <c r="Q1030" s="1040"/>
      <c r="R1030" s="1040"/>
      <c r="S1030" s="1040">
        <f t="shared" si="87"/>
        <v>0</v>
      </c>
      <c r="T1030" s="1040"/>
      <c r="U1030" s="1040"/>
      <c r="V1030" s="1041"/>
    </row>
    <row r="1031" spans="1:22" x14ac:dyDescent="0.25">
      <c r="A1031" s="1038"/>
      <c r="B1031" s="1039"/>
      <c r="C1031" s="1039"/>
      <c r="D1031" s="1039"/>
      <c r="E1031" s="1045" t="str">
        <f t="shared" si="84"/>
        <v/>
      </c>
      <c r="F1031" s="1046"/>
      <c r="G1031" s="1046"/>
      <c r="H1031" s="1046"/>
      <c r="I1031" s="1046"/>
      <c r="J1031" s="1047"/>
      <c r="K1031" s="134"/>
      <c r="L1031" s="62" t="str">
        <f t="shared" si="85"/>
        <v/>
      </c>
      <c r="M1031" s="14"/>
      <c r="N1031" s="89">
        <f t="array" ref="N1031">SUM(IF((CsDJ[JEV Number]=TRIM($T1003))*(CsDJ[Account Code]=TRIM(K1031)),CsDJ[Debit]))</f>
        <v>0</v>
      </c>
      <c r="O1031" s="89">
        <f t="array" ref="O1031">SUM(IF((CsDJ[JEV Number]=TRIM($T1003))*(CsDJ[Account Code]=TRIM(K1031)),CsDJ[Credit]))</f>
        <v>0</v>
      </c>
      <c r="P1031" s="1040">
        <f t="shared" si="86"/>
        <v>0</v>
      </c>
      <c r="Q1031" s="1040"/>
      <c r="R1031" s="1040"/>
      <c r="S1031" s="1040">
        <f t="shared" si="87"/>
        <v>0</v>
      </c>
      <c r="T1031" s="1040"/>
      <c r="U1031" s="1040"/>
      <c r="V1031" s="1041"/>
    </row>
    <row r="1032" spans="1:22" x14ac:dyDescent="0.25">
      <c r="A1032" s="1038"/>
      <c r="B1032" s="1039"/>
      <c r="C1032" s="1039"/>
      <c r="D1032" s="1039"/>
      <c r="E1032" s="1045" t="str">
        <f t="shared" si="84"/>
        <v/>
      </c>
      <c r="F1032" s="1046"/>
      <c r="G1032" s="1046"/>
      <c r="H1032" s="1046"/>
      <c r="I1032" s="1046"/>
      <c r="J1032" s="1047"/>
      <c r="K1032" s="134"/>
      <c r="L1032" s="62" t="str">
        <f t="shared" si="85"/>
        <v/>
      </c>
      <c r="M1032" s="14"/>
      <c r="N1032" s="89">
        <f t="array" ref="N1032">SUM(IF((CsDJ[JEV Number]=TRIM($T1003))*(CsDJ[Account Code]=TRIM(K1032)),CsDJ[Debit]))</f>
        <v>0</v>
      </c>
      <c r="O1032" s="89">
        <f t="array" ref="O1032">SUM(IF((CsDJ[JEV Number]=TRIM($T1003))*(CsDJ[Account Code]=TRIM(K1032)),CsDJ[Credit]))</f>
        <v>0</v>
      </c>
      <c r="P1032" s="1040">
        <f t="shared" si="86"/>
        <v>0</v>
      </c>
      <c r="Q1032" s="1040"/>
      <c r="R1032" s="1040"/>
      <c r="S1032" s="1040">
        <f t="shared" si="87"/>
        <v>0</v>
      </c>
      <c r="T1032" s="1040"/>
      <c r="U1032" s="1040"/>
      <c r="V1032" s="1041"/>
    </row>
    <row r="1033" spans="1:22" x14ac:dyDescent="0.25">
      <c r="A1033" s="1038"/>
      <c r="B1033" s="1039"/>
      <c r="C1033" s="1039"/>
      <c r="D1033" s="1039"/>
      <c r="E1033" s="1045" t="str">
        <f t="shared" si="84"/>
        <v/>
      </c>
      <c r="F1033" s="1046"/>
      <c r="G1033" s="1046"/>
      <c r="H1033" s="1046"/>
      <c r="I1033" s="1046"/>
      <c r="J1033" s="1047"/>
      <c r="K1033" s="134"/>
      <c r="L1033" s="62" t="str">
        <f t="shared" si="85"/>
        <v/>
      </c>
      <c r="M1033" s="14"/>
      <c r="N1033" s="89">
        <f t="array" ref="N1033">SUM(IF((CsDJ[JEV Number]=TRIM($T1003))*(CsDJ[Account Code]=TRIM(K1033)),CsDJ[Debit]))</f>
        <v>0</v>
      </c>
      <c r="O1033" s="89">
        <f t="array" ref="O1033">SUM(IF((CsDJ[JEV Number]=TRIM($T1003))*(CsDJ[Account Code]=TRIM(K1033)),CsDJ[Credit]))</f>
        <v>0</v>
      </c>
      <c r="P1033" s="1040">
        <f t="shared" si="86"/>
        <v>0</v>
      </c>
      <c r="Q1033" s="1040"/>
      <c r="R1033" s="1040"/>
      <c r="S1033" s="1040">
        <f t="shared" si="87"/>
        <v>0</v>
      </c>
      <c r="T1033" s="1040"/>
      <c r="U1033" s="1040"/>
      <c r="V1033" s="1041"/>
    </row>
    <row r="1034" spans="1:22" x14ac:dyDescent="0.25">
      <c r="A1034" s="1038"/>
      <c r="B1034" s="1039"/>
      <c r="C1034" s="1039"/>
      <c r="D1034" s="1039"/>
      <c r="E1034" s="1045" t="str">
        <f t="shared" si="84"/>
        <v/>
      </c>
      <c r="F1034" s="1046"/>
      <c r="G1034" s="1046"/>
      <c r="H1034" s="1046"/>
      <c r="I1034" s="1046"/>
      <c r="J1034" s="1047"/>
      <c r="K1034" s="134"/>
      <c r="L1034" s="62" t="str">
        <f t="shared" si="85"/>
        <v/>
      </c>
      <c r="M1034" s="14"/>
      <c r="N1034" s="89">
        <f t="array" ref="N1034">SUM(IF((CsDJ[JEV Number]=TRIM($T1003))*(CsDJ[Account Code]=TRIM(K1034)),CsDJ[Debit]))</f>
        <v>0</v>
      </c>
      <c r="O1034" s="89">
        <f t="array" ref="O1034">SUM(IF((CsDJ[JEV Number]=TRIM($T1003))*(CsDJ[Account Code]=TRIM(K1034)),CsDJ[Credit]))</f>
        <v>0</v>
      </c>
      <c r="P1034" s="1040">
        <f t="shared" si="86"/>
        <v>0</v>
      </c>
      <c r="Q1034" s="1040"/>
      <c r="R1034" s="1040"/>
      <c r="S1034" s="1040">
        <f t="shared" si="87"/>
        <v>0</v>
      </c>
      <c r="T1034" s="1040"/>
      <c r="U1034" s="1040"/>
      <c r="V1034" s="1041"/>
    </row>
    <row r="1035" spans="1:22" x14ac:dyDescent="0.25">
      <c r="A1035" s="1038"/>
      <c r="B1035" s="1039"/>
      <c r="C1035" s="1039"/>
      <c r="D1035" s="1039"/>
      <c r="E1035" s="1045" t="str">
        <f t="shared" si="84"/>
        <v/>
      </c>
      <c r="F1035" s="1046"/>
      <c r="G1035" s="1046"/>
      <c r="H1035" s="1046"/>
      <c r="I1035" s="1046"/>
      <c r="J1035" s="1047"/>
      <c r="K1035" s="134"/>
      <c r="L1035" s="62" t="str">
        <f t="shared" si="85"/>
        <v/>
      </c>
      <c r="M1035" s="14"/>
      <c r="N1035" s="89">
        <f t="array" ref="N1035">SUM(IF((CsDJ[JEV Number]=TRIM($T1003))*(CsDJ[Account Code]=TRIM(K1035)),CsDJ[Debit]))</f>
        <v>0</v>
      </c>
      <c r="O1035" s="89">
        <f t="array" ref="O1035">SUM(IF((CsDJ[JEV Number]=TRIM($T1003))*(CsDJ[Account Code]=TRIM(K1035)),CsDJ[Credit]))</f>
        <v>0</v>
      </c>
      <c r="P1035" s="1040">
        <f t="shared" si="86"/>
        <v>0</v>
      </c>
      <c r="Q1035" s="1040"/>
      <c r="R1035" s="1040"/>
      <c r="S1035" s="1040">
        <f t="shared" si="87"/>
        <v>0</v>
      </c>
      <c r="T1035" s="1040"/>
      <c r="U1035" s="1040"/>
      <c r="V1035" s="1041"/>
    </row>
    <row r="1036" spans="1:22" x14ac:dyDescent="0.25">
      <c r="A1036" s="1038"/>
      <c r="B1036" s="1039"/>
      <c r="C1036" s="1039"/>
      <c r="D1036" s="1039"/>
      <c r="E1036" s="1045" t="str">
        <f t="shared" si="84"/>
        <v/>
      </c>
      <c r="F1036" s="1046"/>
      <c r="G1036" s="1046"/>
      <c r="H1036" s="1046"/>
      <c r="I1036" s="1046"/>
      <c r="J1036" s="1047"/>
      <c r="K1036" s="134"/>
      <c r="L1036" s="62" t="str">
        <f t="shared" si="85"/>
        <v/>
      </c>
      <c r="M1036" s="14"/>
      <c r="N1036" s="89">
        <f t="array" ref="N1036">SUM(IF((CsDJ[JEV Number]=TRIM($T1003))*(CsDJ[Account Code]=TRIM(K1036)),CsDJ[Debit]))</f>
        <v>0</v>
      </c>
      <c r="O1036" s="89">
        <f t="array" ref="O1036">SUM(IF((CsDJ[JEV Number]=TRIM($T1003))*(CsDJ[Account Code]=TRIM(K1036)),CsDJ[Credit]))</f>
        <v>0</v>
      </c>
      <c r="P1036" s="1040">
        <f t="shared" si="86"/>
        <v>0</v>
      </c>
      <c r="Q1036" s="1040"/>
      <c r="R1036" s="1040"/>
      <c r="S1036" s="1040">
        <f t="shared" si="87"/>
        <v>0</v>
      </c>
      <c r="T1036" s="1040"/>
      <c r="U1036" s="1040"/>
      <c r="V1036" s="1041"/>
    </row>
    <row r="1037" spans="1:22" x14ac:dyDescent="0.25">
      <c r="A1037" s="1038"/>
      <c r="B1037" s="1039"/>
      <c r="C1037" s="1039"/>
      <c r="D1037" s="1039"/>
      <c r="E1037" s="1108" t="s">
        <v>468</v>
      </c>
      <c r="F1037" s="1109"/>
      <c r="G1037" s="1109"/>
      <c r="H1037" s="1109"/>
      <c r="I1037" s="1109"/>
      <c r="J1037" s="1110"/>
      <c r="K1037" s="133"/>
      <c r="L1037" s="62" t="str">
        <f t="shared" si="85"/>
        <v/>
      </c>
      <c r="M1037" s="14"/>
      <c r="N1037" s="89">
        <f t="array" ref="N1037">SUM(IF((CsDJ[JEV Number]=TRIM($T1003))*(CsDJ[Account Code]=TRIM(K1037)),CsDJ[Debit]))</f>
        <v>0</v>
      </c>
      <c r="O1037" s="89">
        <f t="array" ref="O1037">SUM(IF((CsDJ[JEV Number]=TRIM($T1003))*(CsDJ[Account Code]=TRIM(K1037)),CsDJ[Credit]))</f>
        <v>0</v>
      </c>
      <c r="P1037" s="1040">
        <f t="shared" si="86"/>
        <v>0</v>
      </c>
      <c r="Q1037" s="1040"/>
      <c r="R1037" s="1040"/>
      <c r="S1037" s="1040">
        <f t="shared" si="87"/>
        <v>0</v>
      </c>
      <c r="T1037" s="1040"/>
      <c r="U1037" s="1040"/>
      <c r="V1037" s="1041"/>
    </row>
    <row r="1038" spans="1:22" x14ac:dyDescent="0.25">
      <c r="A1038" s="1038"/>
      <c r="B1038" s="1039"/>
      <c r="C1038" s="1039"/>
      <c r="D1038" s="1039"/>
      <c r="E1038" s="1048" t="s">
        <v>457</v>
      </c>
      <c r="F1038" s="1049"/>
      <c r="G1038" s="1049"/>
      <c r="H1038" s="1049"/>
      <c r="I1038" s="1051">
        <f>T1004</f>
        <v>0</v>
      </c>
      <c r="J1038" s="1052"/>
      <c r="K1038" s="133"/>
      <c r="L1038" s="62" t="str">
        <f t="shared" si="85"/>
        <v/>
      </c>
      <c r="M1038" s="14"/>
      <c r="N1038" s="89">
        <f t="array" ref="N1038">SUM(IF((CsDJ[JEV Number]=TRIM($T1003))*(CsDJ[Account Code]=TRIM(K1038)),CsDJ[Debit]))</f>
        <v>0</v>
      </c>
      <c r="O1038" s="89">
        <f t="array" ref="O1038">SUM(IF((CsDJ[JEV Number]=TRIM($T1003))*(CsDJ[Account Code]=TRIM(K1038)),CsDJ[Credit]))</f>
        <v>0</v>
      </c>
      <c r="P1038" s="1040">
        <f t="shared" si="86"/>
        <v>0</v>
      </c>
      <c r="Q1038" s="1040"/>
      <c r="R1038" s="1040"/>
      <c r="S1038" s="1040">
        <f t="shared" si="87"/>
        <v>0</v>
      </c>
      <c r="T1038" s="1040"/>
      <c r="U1038" s="1040"/>
      <c r="V1038" s="1041"/>
    </row>
    <row r="1039" spans="1:22" x14ac:dyDescent="0.25">
      <c r="A1039" s="1038"/>
      <c r="B1039" s="1039"/>
      <c r="C1039" s="1039"/>
      <c r="D1039" s="1039"/>
      <c r="E1039" s="1048" t="s">
        <v>458</v>
      </c>
      <c r="F1039" s="1049"/>
      <c r="G1039" s="1049"/>
      <c r="H1039" s="1049"/>
      <c r="I1039" s="1106">
        <f>IF(T1003=0,0,(IF(LOOKUP(T1003,CsDJ[JEV Number],CsDJ[Sort Code])="1","MA. VIVIAN C. SALAS",IF(LOOKUP(T1003,CsDJ[JEV Number],CsDJ[Sort Code])="2","LUZ R. DE COZAR",IF(LOOKUP(T1003,CsDJ[JEV Number],CsDJ[Sort Code])="3","MINEONETTE A. DELA CRUZ",IF(LOOKUP(T1003,CsDJ[JEV Number],CsDJ[Sort Code])="4","RESELLA B. LOPEZ"))))))</f>
        <v>0</v>
      </c>
      <c r="J1039" s="1107"/>
      <c r="K1039" s="133"/>
      <c r="L1039" s="62" t="str">
        <f t="shared" si="85"/>
        <v/>
      </c>
      <c r="M1039" s="14"/>
      <c r="N1039" s="89">
        <f t="array" ref="N1039">SUM(IF((CsDJ[JEV Number]=TRIM($T1003))*(CsDJ[Account Code]=TRIM(K1039)),CsDJ[Debit]))</f>
        <v>0</v>
      </c>
      <c r="O1039" s="89">
        <f t="array" ref="O1039">SUM(IF((CsDJ[JEV Number]=TRIM($T1003))*(CsDJ[Account Code]=TRIM(K1039)),CsDJ[Credit]))</f>
        <v>0</v>
      </c>
      <c r="P1039" s="1040">
        <f t="shared" si="86"/>
        <v>0</v>
      </c>
      <c r="Q1039" s="1040"/>
      <c r="R1039" s="1040"/>
      <c r="S1039" s="1040">
        <f t="shared" si="87"/>
        <v>0</v>
      </c>
      <c r="T1039" s="1040"/>
      <c r="U1039" s="1040"/>
      <c r="V1039" s="1041"/>
    </row>
    <row r="1040" spans="1:22" x14ac:dyDescent="0.25">
      <c r="A1040" s="1038"/>
      <c r="B1040" s="1039"/>
      <c r="C1040" s="1039"/>
      <c r="D1040" s="1039"/>
      <c r="E1040" s="1048" t="s">
        <v>459</v>
      </c>
      <c r="F1040" s="1049"/>
      <c r="G1040" s="1049"/>
      <c r="H1040" s="1049"/>
      <c r="I1040" s="1043">
        <f>IF(I1039="Ma. Vivian C. Salas","Regional Office", IF(I1039="Luz R. De Cozar","BANE IMO", IF(I1039="Mineonette A. Dela Cruz","PAMBAT IMO", IF(I1039="Resella B. Lopez","TARZAM IMO",0))))</f>
        <v>0</v>
      </c>
      <c r="J1040" s="1044"/>
      <c r="K1040" s="133"/>
      <c r="L1040" s="62" t="str">
        <f t="shared" si="85"/>
        <v/>
      </c>
      <c r="M1040" s="14"/>
      <c r="N1040" s="89">
        <f t="array" ref="N1040">SUM(IF((CsDJ[JEV Number]=TRIM($T1003))*(CsDJ[Account Code]=TRIM(K1040)),CsDJ[Debit]))</f>
        <v>0</v>
      </c>
      <c r="O1040" s="89">
        <f t="array" ref="O1040">SUM(IF((CsDJ[JEV Number]=TRIM($T1003))*(CsDJ[Account Code]=TRIM(K1040)),CsDJ[Credit]))</f>
        <v>0</v>
      </c>
      <c r="P1040" s="1040">
        <f t="shared" si="86"/>
        <v>0</v>
      </c>
      <c r="Q1040" s="1040"/>
      <c r="R1040" s="1040"/>
      <c r="S1040" s="1040">
        <f t="shared" si="87"/>
        <v>0</v>
      </c>
      <c r="T1040" s="1040"/>
      <c r="U1040" s="1040"/>
      <c r="V1040" s="1041"/>
    </row>
    <row r="1041" spans="1:22" x14ac:dyDescent="0.25">
      <c r="A1041" s="1038"/>
      <c r="B1041" s="1039"/>
      <c r="C1041" s="1039"/>
      <c r="D1041" s="1039"/>
      <c r="E1041" s="1048"/>
      <c r="F1041" s="1049"/>
      <c r="G1041" s="1049"/>
      <c r="H1041" s="1049"/>
      <c r="I1041" s="1049"/>
      <c r="J1041" s="1050"/>
      <c r="K1041" s="133"/>
      <c r="L1041" s="62" t="str">
        <f t="shared" si="85"/>
        <v/>
      </c>
      <c r="M1041" s="14"/>
      <c r="N1041" s="89">
        <f t="array" ref="N1041">SUM(IF((CsDJ[JEV Number]=TRIM($T1003))*(CsDJ[Account Code]=TRIM(K1041)),CsDJ[Debit]))</f>
        <v>0</v>
      </c>
      <c r="O1041" s="89">
        <f t="array" ref="O1041">SUM(IF((CsDJ[JEV Number]=TRIM($T1003))*(CsDJ[Account Code]=TRIM(K1041)),CsDJ[Credit]))</f>
        <v>0</v>
      </c>
      <c r="P1041" s="1040">
        <f t="shared" si="86"/>
        <v>0</v>
      </c>
      <c r="Q1041" s="1040"/>
      <c r="R1041" s="1040"/>
      <c r="S1041" s="1040">
        <f t="shared" si="87"/>
        <v>0</v>
      </c>
      <c r="T1041" s="1040"/>
      <c r="U1041" s="1040"/>
      <c r="V1041" s="1041"/>
    </row>
    <row r="1042" spans="1:22" ht="16.5" thickBot="1" x14ac:dyDescent="0.3">
      <c r="A1042" s="1091"/>
      <c r="B1042" s="1092"/>
      <c r="C1042" s="1092"/>
      <c r="D1042" s="1092"/>
      <c r="E1042" s="1092"/>
      <c r="F1042" s="1092"/>
      <c r="G1042" s="1092"/>
      <c r="H1042" s="1092"/>
      <c r="I1042" s="1092"/>
      <c r="J1042" s="1092"/>
      <c r="K1042" s="1092"/>
      <c r="L1042" s="1092"/>
      <c r="M1042" s="1093"/>
      <c r="N1042" s="88"/>
      <c r="O1042" s="88"/>
      <c r="P1042" s="1094">
        <f>SUM(P1012:R1041)</f>
        <v>0</v>
      </c>
      <c r="Q1042" s="1094"/>
      <c r="R1042" s="1094"/>
      <c r="S1042" s="1094">
        <f>SUM(S1012:V1041)</f>
        <v>0</v>
      </c>
      <c r="T1042" s="1094"/>
      <c r="U1042" s="1094"/>
      <c r="V1042" s="1095"/>
    </row>
    <row r="1043" spans="1:22" x14ac:dyDescent="0.25">
      <c r="A1043" s="63"/>
      <c r="B1043" s="64"/>
      <c r="C1043" s="64"/>
      <c r="D1043" s="64"/>
      <c r="E1043" s="64"/>
      <c r="F1043" s="64"/>
      <c r="G1043" s="64"/>
      <c r="H1043" s="64"/>
      <c r="I1043" s="65"/>
      <c r="J1043" s="64"/>
      <c r="K1043" s="66"/>
      <c r="L1043" s="64"/>
      <c r="M1043" s="65"/>
      <c r="N1043" s="64"/>
      <c r="O1043" s="64"/>
      <c r="P1043" s="1090"/>
      <c r="Q1043" s="1090"/>
      <c r="R1043" s="1090"/>
      <c r="S1043" s="1090"/>
      <c r="T1043" s="1090"/>
      <c r="U1043" s="1090"/>
      <c r="V1043" s="1096"/>
    </row>
    <row r="1044" spans="1:22" x14ac:dyDescent="0.25">
      <c r="A1044" s="67" t="s">
        <v>460</v>
      </c>
      <c r="B1044"/>
      <c r="C1044"/>
      <c r="D1044"/>
      <c r="E1044"/>
      <c r="F1044"/>
      <c r="G1044"/>
      <c r="H1044"/>
      <c r="I1044" s="68" t="s">
        <v>353</v>
      </c>
      <c r="J1044" s="69"/>
      <c r="K1044" s="69"/>
      <c r="L1044"/>
      <c r="M1044" s="68" t="s">
        <v>461</v>
      </c>
      <c r="N1044" s="69"/>
      <c r="O1044" s="69"/>
      <c r="P1044" s="70"/>
      <c r="Q1044" s="70"/>
      <c r="R1044" s="70"/>
      <c r="S1044" s="70"/>
      <c r="T1044" s="70"/>
      <c r="U1044" s="70"/>
      <c r="V1044" s="71"/>
    </row>
    <row r="1045" spans="1:22" x14ac:dyDescent="0.25">
      <c r="A1045" s="37"/>
      <c r="B1045"/>
      <c r="C1045"/>
      <c r="D1045"/>
      <c r="E1045"/>
      <c r="F1045"/>
      <c r="G1045"/>
      <c r="H1045"/>
      <c r="I1045" s="72"/>
      <c r="J1045"/>
      <c r="K1045"/>
      <c r="L1045"/>
      <c r="M1045" s="72"/>
      <c r="N1045"/>
      <c r="O1045"/>
      <c r="P1045"/>
      <c r="Q1045"/>
      <c r="R1045"/>
      <c r="S1045"/>
      <c r="T1045"/>
      <c r="U1045"/>
      <c r="V1045" s="73"/>
    </row>
    <row r="1046" spans="1:22" x14ac:dyDescent="0.25">
      <c r="A1046" s="74" t="s">
        <v>462</v>
      </c>
      <c r="B1046" s="75"/>
      <c r="C1046" s="75"/>
      <c r="D1046" s="75"/>
      <c r="E1046" s="75"/>
      <c r="F1046" s="75"/>
      <c r="G1046" s="75"/>
      <c r="H1046" s="76"/>
      <c r="I1046" s="77" t="s">
        <v>380</v>
      </c>
      <c r="J1046" s="75"/>
      <c r="K1046" s="75"/>
      <c r="L1046" s="76"/>
      <c r="M1046" s="77" t="s">
        <v>3</v>
      </c>
      <c r="N1046" s="75"/>
      <c r="O1046" s="75"/>
      <c r="P1046" s="75"/>
      <c r="Q1046" s="75"/>
      <c r="R1046" s="75"/>
      <c r="S1046" s="75"/>
      <c r="T1046" s="75"/>
      <c r="U1046" s="75"/>
      <c r="V1046" s="78"/>
    </row>
    <row r="1047" spans="1:22" x14ac:dyDescent="0.25">
      <c r="A1047" s="79" t="s">
        <v>463</v>
      </c>
      <c r="B1047" s="80"/>
      <c r="C1047" s="80"/>
      <c r="D1047" s="80"/>
      <c r="E1047" s="80"/>
      <c r="F1047" s="80"/>
      <c r="G1047" s="80"/>
      <c r="H1047" s="80"/>
      <c r="I1047" s="81" t="s">
        <v>381</v>
      </c>
      <c r="J1047" s="80"/>
      <c r="K1047" s="80"/>
      <c r="L1047" s="80"/>
      <c r="M1047" s="81" t="s">
        <v>464</v>
      </c>
      <c r="N1047" s="80"/>
      <c r="O1047" s="80"/>
      <c r="P1047" s="82"/>
      <c r="Q1047" s="82"/>
      <c r="R1047" s="82"/>
      <c r="S1047" s="82"/>
      <c r="T1047" s="82"/>
      <c r="U1047" s="82"/>
      <c r="V1047" s="83"/>
    </row>
    <row r="1048" spans="1:22" ht="16.5" thickBot="1" x14ac:dyDescent="0.3">
      <c r="A1048" s="84" t="s">
        <v>465</v>
      </c>
      <c r="B1048" s="43"/>
      <c r="C1048" s="43"/>
      <c r="D1048" s="43"/>
      <c r="E1048" s="43"/>
      <c r="F1048" s="43"/>
      <c r="G1048" s="43"/>
      <c r="H1048" s="43"/>
      <c r="I1048" s="85"/>
      <c r="J1048" s="43"/>
      <c r="K1048" s="43"/>
      <c r="L1048" s="43"/>
      <c r="M1048" s="85"/>
      <c r="N1048" s="43"/>
      <c r="O1048" s="43"/>
      <c r="P1048" s="43"/>
      <c r="Q1048" s="43"/>
      <c r="R1048" s="43"/>
      <c r="S1048" s="43"/>
      <c r="T1048" s="43"/>
      <c r="U1048" s="43"/>
      <c r="V1048" s="44"/>
    </row>
    <row r="1049" spans="1:22" ht="22.5" x14ac:dyDescent="0.25">
      <c r="A1049" s="31" t="s">
        <v>441</v>
      </c>
      <c r="B1049" s="32"/>
      <c r="C1049" s="32"/>
      <c r="D1049" s="32"/>
      <c r="E1049" s="32"/>
      <c r="F1049" s="32"/>
      <c r="G1049" s="32"/>
      <c r="H1049" s="32"/>
      <c r="I1049" s="32"/>
      <c r="J1049" s="32"/>
      <c r="K1049" s="32"/>
      <c r="L1049" s="32"/>
      <c r="M1049" s="32"/>
      <c r="N1049" s="32"/>
      <c r="O1049" s="32"/>
      <c r="P1049" s="32"/>
      <c r="Q1049" s="33"/>
      <c r="R1049" s="1053">
        <f>+P1089-S1089</f>
        <v>0</v>
      </c>
      <c r="S1049" s="1054"/>
      <c r="T1049" s="1054"/>
      <c r="U1049" s="1054"/>
      <c r="V1049" s="1055"/>
    </row>
    <row r="1050" spans="1:22" x14ac:dyDescent="0.25">
      <c r="A1050" s="34" t="s">
        <v>442</v>
      </c>
      <c r="B1050" s="35"/>
      <c r="C1050" s="35"/>
      <c r="D1050" s="35"/>
      <c r="E1050" s="3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6"/>
      <c r="R1050" s="37" t="s">
        <v>443</v>
      </c>
      <c r="S1050"/>
      <c r="T1050" s="1056"/>
      <c r="U1050" s="1056"/>
      <c r="V1050" s="1057"/>
    </row>
    <row r="1051" spans="1:22" x14ac:dyDescent="0.25">
      <c r="A1051" s="38" t="s">
        <v>444</v>
      </c>
      <c r="B1051" s="35"/>
      <c r="C1051" s="35"/>
      <c r="D1051" s="35"/>
      <c r="E1051" s="3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6"/>
      <c r="R1051" s="37" t="s">
        <v>0</v>
      </c>
      <c r="S1051"/>
      <c r="T1051" s="1058">
        <f>IF(T1050=0,0,(LOOKUP(T1050,CsDJ[JEV Number],CsDJ[Date])))</f>
        <v>0</v>
      </c>
      <c r="U1051" s="1058"/>
      <c r="V1051" s="1059"/>
    </row>
    <row r="1052" spans="1:22" ht="16.5" thickBot="1" x14ac:dyDescent="0.3">
      <c r="A1052" s="39"/>
      <c r="B1052" s="40"/>
      <c r="C1052" s="40"/>
      <c r="D1052" s="40"/>
      <c r="E1052" s="40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1"/>
      <c r="R1052" s="42"/>
      <c r="S1052" s="43"/>
      <c r="T1052" s="43"/>
      <c r="U1052" s="43"/>
      <c r="V1052" s="44"/>
    </row>
    <row r="1053" spans="1:22" x14ac:dyDescent="0.25">
      <c r="A1053" s="45"/>
      <c r="B1053" s="46"/>
      <c r="C1053" s="46"/>
      <c r="D1053" s="46"/>
      <c r="E1053" s="46"/>
      <c r="F1053" s="46"/>
      <c r="G1053" s="46"/>
      <c r="H1053" s="46"/>
      <c r="I1053" s="46"/>
      <c r="J1053" s="46"/>
      <c r="K1053" s="46"/>
      <c r="L1053" s="47"/>
      <c r="M1053" s="46"/>
      <c r="N1053" s="46"/>
      <c r="O1053" s="46"/>
      <c r="P1053" s="46"/>
      <c r="Q1053" s="46"/>
      <c r="R1053" s="46"/>
      <c r="S1053" s="46"/>
      <c r="T1053" s="46"/>
      <c r="U1053" s="46"/>
      <c r="V1053" s="48"/>
    </row>
    <row r="1054" spans="1:22" x14ac:dyDescent="0.25">
      <c r="A1054" s="49"/>
      <c r="B1054" s="1060"/>
      <c r="C1054" s="1060"/>
      <c r="D1054" s="50" t="s">
        <v>445</v>
      </c>
      <c r="H1054" s="51"/>
      <c r="I1054" s="25" t="s">
        <v>447</v>
      </c>
      <c r="J1054" s="132" t="s">
        <v>446</v>
      </c>
      <c r="K1054" s="52" t="s">
        <v>448</v>
      </c>
      <c r="L1054" s="52"/>
      <c r="Q1054" s="1060"/>
      <c r="R1054" s="1060"/>
      <c r="S1054" s="50" t="s">
        <v>449</v>
      </c>
      <c r="T1054" s="50"/>
      <c r="U1054" s="50"/>
      <c r="V1054" s="53"/>
    </row>
    <row r="1055" spans="1:22" ht="16.5" thickBot="1" x14ac:dyDescent="0.3">
      <c r="A1055" s="54"/>
      <c r="B1055" s="55"/>
      <c r="C1055" s="55"/>
      <c r="D1055" s="55"/>
      <c r="E1055" s="55"/>
      <c r="F1055" s="55"/>
      <c r="G1055" s="55"/>
      <c r="H1055" s="55"/>
      <c r="I1055" s="55"/>
      <c r="J1055" s="55"/>
      <c r="K1055" s="55"/>
      <c r="L1055" s="56"/>
      <c r="M1055" s="55"/>
      <c r="N1055" s="55"/>
      <c r="O1055" s="55"/>
      <c r="P1055" s="55"/>
      <c r="Q1055" s="55"/>
      <c r="R1055" s="55"/>
      <c r="S1055" s="55"/>
      <c r="T1055" s="55"/>
      <c r="U1055" s="55"/>
      <c r="V1055" s="57"/>
    </row>
    <row r="1056" spans="1:22" x14ac:dyDescent="0.25">
      <c r="A1056" s="1061" t="s">
        <v>397</v>
      </c>
      <c r="B1056" s="1062"/>
      <c r="C1056" s="1062"/>
      <c r="D1056" s="1063"/>
      <c r="E1056" s="1070" t="s">
        <v>450</v>
      </c>
      <c r="F1056" s="1070"/>
      <c r="G1056" s="1070"/>
      <c r="H1056" s="1070"/>
      <c r="I1056" s="1070"/>
      <c r="J1056" s="1070"/>
      <c r="K1056" s="1070"/>
      <c r="L1056" s="1070"/>
      <c r="M1056" s="1070"/>
      <c r="N1056" s="1070"/>
      <c r="O1056" s="1070"/>
      <c r="P1056" s="1070"/>
      <c r="Q1056" s="1070"/>
      <c r="R1056" s="1070"/>
      <c r="S1056" s="1070"/>
      <c r="T1056" s="1070"/>
      <c r="U1056" s="1070"/>
      <c r="V1056" s="1071"/>
    </row>
    <row r="1057" spans="1:22" x14ac:dyDescent="0.25">
      <c r="A1057" s="1064"/>
      <c r="B1057" s="1065"/>
      <c r="C1057" s="1065"/>
      <c r="D1057" s="1066"/>
      <c r="E1057" s="1072" t="s">
        <v>451</v>
      </c>
      <c r="F1057" s="1072"/>
      <c r="G1057" s="1072"/>
      <c r="H1057" s="1072"/>
      <c r="I1057" s="1072"/>
      <c r="J1057" s="1072"/>
      <c r="K1057" s="1074" t="s">
        <v>378</v>
      </c>
      <c r="L1057" s="1074"/>
      <c r="M1057" s="1072" t="s">
        <v>452</v>
      </c>
      <c r="N1057" s="1075" t="s">
        <v>453</v>
      </c>
      <c r="O1057" s="1076"/>
      <c r="P1057" s="1076"/>
      <c r="Q1057" s="1076"/>
      <c r="R1057" s="1076"/>
      <c r="S1057" s="1076"/>
      <c r="T1057" s="1076"/>
      <c r="U1057" s="1076"/>
      <c r="V1057" s="1077"/>
    </row>
    <row r="1058" spans="1:22" ht="16.5" customHeight="1" thickBot="1" x14ac:dyDescent="0.3">
      <c r="A1058" s="1067"/>
      <c r="B1058" s="1068"/>
      <c r="C1058" s="1068"/>
      <c r="D1058" s="1069"/>
      <c r="E1058" s="1073"/>
      <c r="F1058" s="1073"/>
      <c r="G1058" s="1073"/>
      <c r="H1058" s="1073"/>
      <c r="I1058" s="1073"/>
      <c r="J1058" s="1073"/>
      <c r="K1058" s="58" t="s">
        <v>454</v>
      </c>
      <c r="L1058" s="58" t="s">
        <v>455</v>
      </c>
      <c r="M1058" s="1073"/>
      <c r="N1058" s="87" t="s">
        <v>466</v>
      </c>
      <c r="O1058" s="87" t="s">
        <v>467</v>
      </c>
      <c r="P1058" s="1078" t="s">
        <v>1</v>
      </c>
      <c r="Q1058" s="1079"/>
      <c r="R1058" s="1080"/>
      <c r="S1058" s="1078" t="s">
        <v>2</v>
      </c>
      <c r="T1058" s="1079"/>
      <c r="U1058" s="1079"/>
      <c r="V1058" s="1081"/>
    </row>
    <row r="1059" spans="1:22" ht="19.5" x14ac:dyDescent="0.3">
      <c r="A1059" s="1082">
        <f>P1089-S1089</f>
        <v>0</v>
      </c>
      <c r="B1059" s="1083"/>
      <c r="C1059" s="1083"/>
      <c r="D1059" s="1083"/>
      <c r="E1059" s="1084" t="str">
        <f>Account!$G$1</f>
        <v>FUND 501 CARP</v>
      </c>
      <c r="F1059" s="1085"/>
      <c r="G1059" s="1085"/>
      <c r="H1059" s="1085"/>
      <c r="I1059" s="1085"/>
      <c r="J1059" s="1086"/>
      <c r="K1059" s="59"/>
      <c r="L1059" s="59"/>
      <c r="M1059" s="60"/>
      <c r="N1059" s="60"/>
      <c r="O1059" s="60"/>
      <c r="P1059" s="1087"/>
      <c r="Q1059" s="1087"/>
      <c r="R1059" s="1087"/>
      <c r="S1059" s="1087"/>
      <c r="T1059" s="1087"/>
      <c r="U1059" s="1087"/>
      <c r="V1059" s="1088"/>
    </row>
    <row r="1060" spans="1:22" x14ac:dyDescent="0.25">
      <c r="A1060" s="1038"/>
      <c r="B1060" s="1039"/>
      <c r="C1060" s="1039"/>
      <c r="D1060" s="1039"/>
      <c r="E1060" s="1039"/>
      <c r="F1060" s="1039"/>
      <c r="G1060" s="1039"/>
      <c r="H1060" s="1039"/>
      <c r="I1060" s="1039"/>
      <c r="J1060" s="1039"/>
      <c r="K1060" s="61"/>
      <c r="L1060" s="61"/>
      <c r="M1060" s="14"/>
      <c r="N1060" s="14"/>
      <c r="O1060" s="14"/>
      <c r="P1060" s="1039"/>
      <c r="Q1060" s="1039"/>
      <c r="R1060" s="1039"/>
      <c r="S1060" s="1039"/>
      <c r="T1060" s="1039"/>
      <c r="U1060" s="1039"/>
      <c r="V1060" s="1089"/>
    </row>
    <row r="1061" spans="1:22" x14ac:dyDescent="0.25">
      <c r="A1061" s="1038"/>
      <c r="B1061" s="1039"/>
      <c r="C1061" s="1039"/>
      <c r="D1061" s="1039"/>
      <c r="E1061" s="1045" t="str">
        <f t="shared" ref="E1061:E1083" si="88">IF(K1061=0,"",(VLOOKUP((TRIM(K1061)),Code,2,)))</f>
        <v/>
      </c>
      <c r="F1061" s="1046"/>
      <c r="G1061" s="1046"/>
      <c r="H1061" s="1046"/>
      <c r="I1061" s="1046"/>
      <c r="J1061" s="1047"/>
      <c r="K1061" s="133"/>
      <c r="L1061" s="62" t="str">
        <f t="shared" ref="L1061:L1088" si="89">IF(K1061=0,"",VLOOKUP((TRIM(K1061)),Code,3,))</f>
        <v/>
      </c>
      <c r="M1061" s="14"/>
      <c r="N1061" s="89">
        <f t="array" ref="N1061">SUM(IF((CsDJ[JEV Number]=TRIM($T1050))*(CsDJ[Account Code]=TRIM(K1061)),CsDJ[Debit]))</f>
        <v>0</v>
      </c>
      <c r="O1061" s="89">
        <f t="array" ref="O1061">SUM(IF((CsDJ[JEV Number]=TRIM($T1050))*(CsDJ[Account Code]=TRIM(K1061)),CsDJ[Credit]))</f>
        <v>0</v>
      </c>
      <c r="P1061" s="1040">
        <f>N1061</f>
        <v>0</v>
      </c>
      <c r="Q1061" s="1040"/>
      <c r="R1061" s="1040"/>
      <c r="S1061" s="1040">
        <f>O1061</f>
        <v>0</v>
      </c>
      <c r="T1061" s="1040"/>
      <c r="U1061" s="1040"/>
      <c r="V1061" s="1041"/>
    </row>
    <row r="1062" spans="1:22" x14ac:dyDescent="0.25">
      <c r="A1062" s="1038"/>
      <c r="B1062" s="1039"/>
      <c r="C1062" s="1039"/>
      <c r="D1062" s="1039"/>
      <c r="E1062" s="1045" t="str">
        <f t="shared" si="88"/>
        <v/>
      </c>
      <c r="F1062" s="1046"/>
      <c r="G1062" s="1046"/>
      <c r="H1062" s="1046"/>
      <c r="I1062" s="1046"/>
      <c r="J1062" s="1047"/>
      <c r="K1062" s="133"/>
      <c r="L1062" s="62" t="str">
        <f t="shared" si="89"/>
        <v/>
      </c>
      <c r="M1062" s="14"/>
      <c r="N1062" s="89">
        <f t="array" ref="N1062">SUM(IF((CsDJ[JEV Number]=TRIM($T1050))*(CsDJ[Account Code]=TRIM(K1062)),CsDJ[Debit]))</f>
        <v>0</v>
      </c>
      <c r="O1062" s="89">
        <f t="array" ref="O1062">SUM(IF((CsDJ[JEV Number]=TRIM($T1050))*(CsDJ[Account Code]=TRIM(K1062)),CsDJ[Credit]))</f>
        <v>0</v>
      </c>
      <c r="P1062" s="1040">
        <f>N1062</f>
        <v>0</v>
      </c>
      <c r="Q1062" s="1040"/>
      <c r="R1062" s="1040"/>
      <c r="S1062" s="1040">
        <f>O1062</f>
        <v>0</v>
      </c>
      <c r="T1062" s="1040"/>
      <c r="U1062" s="1040"/>
      <c r="V1062" s="1041"/>
    </row>
    <row r="1063" spans="1:22" x14ac:dyDescent="0.25">
      <c r="A1063" s="1038"/>
      <c r="B1063" s="1039"/>
      <c r="C1063" s="1039"/>
      <c r="D1063" s="1039"/>
      <c r="E1063" s="1045" t="str">
        <f t="shared" si="88"/>
        <v/>
      </c>
      <c r="F1063" s="1046"/>
      <c r="G1063" s="1046"/>
      <c r="H1063" s="1046"/>
      <c r="I1063" s="1046"/>
      <c r="J1063" s="1047"/>
      <c r="K1063" s="133"/>
      <c r="L1063" s="62" t="str">
        <f t="shared" si="89"/>
        <v/>
      </c>
      <c r="M1063" s="14"/>
      <c r="N1063" s="89">
        <f t="array" ref="N1063">SUM(IF((CsDJ[JEV Number]=TRIM($T1050))*(CsDJ[Account Code]=TRIM(K1063)),CsDJ[Debit]))</f>
        <v>0</v>
      </c>
      <c r="O1063" s="89">
        <f t="array" ref="O1063">SUM(IF((CsDJ[JEV Number]=TRIM($T1050))*(CsDJ[Account Code]=TRIM(K1063)),CsDJ[Credit]))</f>
        <v>0</v>
      </c>
      <c r="P1063" s="1040">
        <f t="shared" ref="P1063:P1088" si="90">N1063</f>
        <v>0</v>
      </c>
      <c r="Q1063" s="1040"/>
      <c r="R1063" s="1040"/>
      <c r="S1063" s="1040">
        <f t="shared" ref="S1063:S1088" si="91">O1063</f>
        <v>0</v>
      </c>
      <c r="T1063" s="1040"/>
      <c r="U1063" s="1040"/>
      <c r="V1063" s="1041"/>
    </row>
    <row r="1064" spans="1:22" x14ac:dyDescent="0.25">
      <c r="A1064" s="1038"/>
      <c r="B1064" s="1039"/>
      <c r="C1064" s="1039"/>
      <c r="D1064" s="1039"/>
      <c r="E1064" s="1045" t="str">
        <f t="shared" si="88"/>
        <v/>
      </c>
      <c r="F1064" s="1046"/>
      <c r="G1064" s="1046"/>
      <c r="H1064" s="1046"/>
      <c r="I1064" s="1046"/>
      <c r="J1064" s="1047"/>
      <c r="K1064" s="133"/>
      <c r="L1064" s="62" t="str">
        <f t="shared" si="89"/>
        <v/>
      </c>
      <c r="M1064" s="14"/>
      <c r="N1064" s="89">
        <f t="array" ref="N1064">SUM(IF((CsDJ[JEV Number]=TRIM($T1050))*(CsDJ[Account Code]=TRIM(K1064)),CsDJ[Debit]))</f>
        <v>0</v>
      </c>
      <c r="O1064" s="89">
        <f t="array" ref="O1064">SUM(IF((CsDJ[JEV Number]=TRIM($T1050))*(CsDJ[Account Code]=TRIM(K1064)),CsDJ[Credit]))</f>
        <v>0</v>
      </c>
      <c r="P1064" s="1040">
        <f t="shared" si="90"/>
        <v>0</v>
      </c>
      <c r="Q1064" s="1040"/>
      <c r="R1064" s="1040"/>
      <c r="S1064" s="1040">
        <f t="shared" si="91"/>
        <v>0</v>
      </c>
      <c r="T1064" s="1040"/>
      <c r="U1064" s="1040"/>
      <c r="V1064" s="1041"/>
    </row>
    <row r="1065" spans="1:22" x14ac:dyDescent="0.25">
      <c r="A1065" s="1038"/>
      <c r="B1065" s="1039"/>
      <c r="C1065" s="1039"/>
      <c r="D1065" s="1039"/>
      <c r="E1065" s="1045" t="str">
        <f t="shared" si="88"/>
        <v/>
      </c>
      <c r="F1065" s="1046"/>
      <c r="G1065" s="1046"/>
      <c r="H1065" s="1046"/>
      <c r="I1065" s="1046"/>
      <c r="J1065" s="1047"/>
      <c r="K1065" s="133"/>
      <c r="L1065" s="62" t="str">
        <f t="shared" si="89"/>
        <v/>
      </c>
      <c r="M1065" s="14"/>
      <c r="N1065" s="89">
        <f t="array" ref="N1065">SUM(IF((CsDJ[JEV Number]=TRIM($T1050))*(CsDJ[Account Code]=TRIM(K1065)),CsDJ[Debit]))</f>
        <v>0</v>
      </c>
      <c r="O1065" s="89">
        <f t="array" ref="O1065">SUM(IF((CsDJ[JEV Number]=TRIM($T1050))*(CsDJ[Account Code]=TRIM(K1065)),CsDJ[Credit]))</f>
        <v>0</v>
      </c>
      <c r="P1065" s="1040">
        <f t="shared" si="90"/>
        <v>0</v>
      </c>
      <c r="Q1065" s="1040"/>
      <c r="R1065" s="1040"/>
      <c r="S1065" s="1040">
        <f t="shared" si="91"/>
        <v>0</v>
      </c>
      <c r="T1065" s="1040"/>
      <c r="U1065" s="1040"/>
      <c r="V1065" s="1041"/>
    </row>
    <row r="1066" spans="1:22" x14ac:dyDescent="0.25">
      <c r="A1066" s="1038"/>
      <c r="B1066" s="1039"/>
      <c r="C1066" s="1039"/>
      <c r="D1066" s="1039"/>
      <c r="E1066" s="1045" t="str">
        <f t="shared" si="88"/>
        <v/>
      </c>
      <c r="F1066" s="1046"/>
      <c r="G1066" s="1046"/>
      <c r="H1066" s="1046"/>
      <c r="I1066" s="1046"/>
      <c r="J1066" s="1047"/>
      <c r="K1066" s="133"/>
      <c r="L1066" s="62" t="str">
        <f t="shared" si="89"/>
        <v/>
      </c>
      <c r="M1066" s="14"/>
      <c r="N1066" s="89">
        <f t="array" ref="N1066">SUM(IF((CsDJ[JEV Number]=TRIM($T1050))*(CsDJ[Account Code]=TRIM(K1066)),CsDJ[Debit]))</f>
        <v>0</v>
      </c>
      <c r="O1066" s="89">
        <f t="array" ref="O1066">SUM(IF((CsDJ[JEV Number]=TRIM($T1050))*(CsDJ[Account Code]=TRIM(K1066)),CsDJ[Credit]))</f>
        <v>0</v>
      </c>
      <c r="P1066" s="1040">
        <f t="shared" si="90"/>
        <v>0</v>
      </c>
      <c r="Q1066" s="1040"/>
      <c r="R1066" s="1040"/>
      <c r="S1066" s="1040">
        <f t="shared" si="91"/>
        <v>0</v>
      </c>
      <c r="T1066" s="1040"/>
      <c r="U1066" s="1040"/>
      <c r="V1066" s="1041"/>
    </row>
    <row r="1067" spans="1:22" x14ac:dyDescent="0.25">
      <c r="A1067" s="1038"/>
      <c r="B1067" s="1039"/>
      <c r="C1067" s="1039"/>
      <c r="D1067" s="1039"/>
      <c r="E1067" s="1045" t="str">
        <f t="shared" si="88"/>
        <v/>
      </c>
      <c r="F1067" s="1046"/>
      <c r="G1067" s="1046"/>
      <c r="H1067" s="1046"/>
      <c r="I1067" s="1046"/>
      <c r="J1067" s="1047"/>
      <c r="K1067" s="133"/>
      <c r="L1067" s="62" t="str">
        <f t="shared" si="89"/>
        <v/>
      </c>
      <c r="M1067" s="14"/>
      <c r="N1067" s="89">
        <f t="array" ref="N1067">SUM(IF((CsDJ[JEV Number]=TRIM($T1050))*(CsDJ[Account Code]=TRIM(K1067)),CsDJ[Debit]))</f>
        <v>0</v>
      </c>
      <c r="O1067" s="89">
        <f t="array" ref="O1067">SUM(IF((CsDJ[JEV Number]=TRIM($T1050))*(CsDJ[Account Code]=TRIM(K1067)),CsDJ[Credit]))</f>
        <v>0</v>
      </c>
      <c r="P1067" s="1040">
        <f t="shared" si="90"/>
        <v>0</v>
      </c>
      <c r="Q1067" s="1040"/>
      <c r="R1067" s="1040"/>
      <c r="S1067" s="1040">
        <f t="shared" si="91"/>
        <v>0</v>
      </c>
      <c r="T1067" s="1040"/>
      <c r="U1067" s="1040"/>
      <c r="V1067" s="1041"/>
    </row>
    <row r="1068" spans="1:22" x14ac:dyDescent="0.25">
      <c r="A1068" s="1038"/>
      <c r="B1068" s="1039"/>
      <c r="C1068" s="1039"/>
      <c r="D1068" s="1039"/>
      <c r="E1068" s="1045" t="str">
        <f t="shared" si="88"/>
        <v/>
      </c>
      <c r="F1068" s="1046"/>
      <c r="G1068" s="1046"/>
      <c r="H1068" s="1046"/>
      <c r="I1068" s="1046"/>
      <c r="J1068" s="1047"/>
      <c r="K1068" s="133"/>
      <c r="L1068" s="62" t="str">
        <f t="shared" si="89"/>
        <v/>
      </c>
      <c r="M1068" s="14"/>
      <c r="N1068" s="89">
        <f t="array" ref="N1068">SUM(IF((CsDJ[JEV Number]=TRIM($T1050))*(CsDJ[Account Code]=TRIM(K1068)),CsDJ[Debit]))</f>
        <v>0</v>
      </c>
      <c r="O1068" s="89">
        <f t="array" ref="O1068">SUM(IF((CsDJ[JEV Number]=TRIM($T1050))*(CsDJ[Account Code]=TRIM(K1068)),CsDJ[Credit]))</f>
        <v>0</v>
      </c>
      <c r="P1068" s="1040">
        <f t="shared" si="90"/>
        <v>0</v>
      </c>
      <c r="Q1068" s="1040"/>
      <c r="R1068" s="1040"/>
      <c r="S1068" s="1040">
        <f t="shared" si="91"/>
        <v>0</v>
      </c>
      <c r="T1068" s="1040"/>
      <c r="U1068" s="1040"/>
      <c r="V1068" s="1041"/>
    </row>
    <row r="1069" spans="1:22" x14ac:dyDescent="0.25">
      <c r="A1069" s="1038"/>
      <c r="B1069" s="1039"/>
      <c r="C1069" s="1039"/>
      <c r="D1069" s="1039"/>
      <c r="E1069" s="1045" t="str">
        <f t="shared" si="88"/>
        <v/>
      </c>
      <c r="F1069" s="1046"/>
      <c r="G1069" s="1046"/>
      <c r="H1069" s="1046"/>
      <c r="I1069" s="1046"/>
      <c r="J1069" s="1047"/>
      <c r="K1069" s="134"/>
      <c r="L1069" s="62" t="str">
        <f t="shared" si="89"/>
        <v/>
      </c>
      <c r="M1069" s="14"/>
      <c r="N1069" s="89">
        <f t="array" ref="N1069">SUM(IF((CsDJ[JEV Number]=TRIM($T1050))*(CsDJ[Account Code]=TRIM(K1069)),CsDJ[Debit]))</f>
        <v>0</v>
      </c>
      <c r="O1069" s="89">
        <f t="array" ref="O1069">SUM(IF((CsDJ[JEV Number]=TRIM($T1050))*(CsDJ[Account Code]=TRIM(K1069)),CsDJ[Credit]))</f>
        <v>0</v>
      </c>
      <c r="P1069" s="1040">
        <f t="shared" si="90"/>
        <v>0</v>
      </c>
      <c r="Q1069" s="1040"/>
      <c r="R1069" s="1040"/>
      <c r="S1069" s="1040">
        <f t="shared" si="91"/>
        <v>0</v>
      </c>
      <c r="T1069" s="1040"/>
      <c r="U1069" s="1040"/>
      <c r="V1069" s="1041"/>
    </row>
    <row r="1070" spans="1:22" x14ac:dyDescent="0.25">
      <c r="A1070" s="1038"/>
      <c r="B1070" s="1039"/>
      <c r="C1070" s="1039"/>
      <c r="D1070" s="1039"/>
      <c r="E1070" s="1045" t="str">
        <f t="shared" si="88"/>
        <v/>
      </c>
      <c r="F1070" s="1046"/>
      <c r="G1070" s="1046"/>
      <c r="H1070" s="1046"/>
      <c r="I1070" s="1046"/>
      <c r="J1070" s="1047"/>
      <c r="K1070" s="134"/>
      <c r="L1070" s="62" t="str">
        <f t="shared" si="89"/>
        <v/>
      </c>
      <c r="M1070" s="14"/>
      <c r="N1070" s="89">
        <f t="array" ref="N1070">SUM(IF((CsDJ[JEV Number]=TRIM($T1050))*(CsDJ[Account Code]=TRIM(K1070)),CsDJ[Debit]))</f>
        <v>0</v>
      </c>
      <c r="O1070" s="89">
        <f t="array" ref="O1070">SUM(IF((CsDJ[JEV Number]=TRIM($T1050))*(CsDJ[Account Code]=TRIM(K1070)),CsDJ[Credit]))</f>
        <v>0</v>
      </c>
      <c r="P1070" s="1040">
        <f t="shared" si="90"/>
        <v>0</v>
      </c>
      <c r="Q1070" s="1040"/>
      <c r="R1070" s="1040"/>
      <c r="S1070" s="1040">
        <f t="shared" si="91"/>
        <v>0</v>
      </c>
      <c r="T1070" s="1040"/>
      <c r="U1070" s="1040"/>
      <c r="V1070" s="1041"/>
    </row>
    <row r="1071" spans="1:22" x14ac:dyDescent="0.25">
      <c r="A1071" s="1038"/>
      <c r="B1071" s="1039"/>
      <c r="C1071" s="1039"/>
      <c r="D1071" s="1039"/>
      <c r="E1071" s="1045" t="str">
        <f t="shared" si="88"/>
        <v/>
      </c>
      <c r="F1071" s="1046"/>
      <c r="G1071" s="1046"/>
      <c r="H1071" s="1046"/>
      <c r="I1071" s="1046"/>
      <c r="J1071" s="1047"/>
      <c r="K1071" s="134"/>
      <c r="L1071" s="62" t="str">
        <f t="shared" si="89"/>
        <v/>
      </c>
      <c r="M1071" s="14"/>
      <c r="N1071" s="89">
        <f t="array" ref="N1071">SUM(IF((CsDJ[JEV Number]=TRIM($T1050))*(CsDJ[Account Code]=TRIM(K1071)),CsDJ[Debit]))</f>
        <v>0</v>
      </c>
      <c r="O1071" s="89">
        <f t="array" ref="O1071">SUM(IF((CsDJ[JEV Number]=TRIM($T1050))*(CsDJ[Account Code]=TRIM(K1071)),CsDJ[Credit]))</f>
        <v>0</v>
      </c>
      <c r="P1071" s="1040">
        <f t="shared" si="90"/>
        <v>0</v>
      </c>
      <c r="Q1071" s="1040"/>
      <c r="R1071" s="1040"/>
      <c r="S1071" s="1040">
        <f t="shared" si="91"/>
        <v>0</v>
      </c>
      <c r="T1071" s="1040"/>
      <c r="U1071" s="1040"/>
      <c r="V1071" s="1041"/>
    </row>
    <row r="1072" spans="1:22" x14ac:dyDescent="0.25">
      <c r="A1072" s="1038"/>
      <c r="B1072" s="1039"/>
      <c r="C1072" s="1039"/>
      <c r="D1072" s="1039"/>
      <c r="E1072" s="1045" t="str">
        <f t="shared" si="88"/>
        <v/>
      </c>
      <c r="F1072" s="1046"/>
      <c r="G1072" s="1046"/>
      <c r="H1072" s="1046"/>
      <c r="I1072" s="1046"/>
      <c r="J1072" s="1047"/>
      <c r="K1072" s="134"/>
      <c r="L1072" s="62" t="str">
        <f t="shared" si="89"/>
        <v/>
      </c>
      <c r="M1072" s="14"/>
      <c r="N1072" s="89">
        <f t="array" ref="N1072">SUM(IF((CsDJ[JEV Number]=TRIM($T1050))*(CsDJ[Account Code]=TRIM(K1072)),CsDJ[Debit]))</f>
        <v>0</v>
      </c>
      <c r="O1072" s="89">
        <f t="array" ref="O1072">SUM(IF((CsDJ[JEV Number]=TRIM($T1050))*(CsDJ[Account Code]=TRIM(K1072)),CsDJ[Credit]))</f>
        <v>0</v>
      </c>
      <c r="P1072" s="1040">
        <f t="shared" si="90"/>
        <v>0</v>
      </c>
      <c r="Q1072" s="1040"/>
      <c r="R1072" s="1040"/>
      <c r="S1072" s="1040">
        <f t="shared" si="91"/>
        <v>0</v>
      </c>
      <c r="T1072" s="1040"/>
      <c r="U1072" s="1040"/>
      <c r="V1072" s="1041"/>
    </row>
    <row r="1073" spans="1:22" x14ac:dyDescent="0.25">
      <c r="A1073" s="1038"/>
      <c r="B1073" s="1039"/>
      <c r="C1073" s="1039"/>
      <c r="D1073" s="1039"/>
      <c r="E1073" s="1045" t="str">
        <f t="shared" si="88"/>
        <v/>
      </c>
      <c r="F1073" s="1046"/>
      <c r="G1073" s="1046"/>
      <c r="H1073" s="1046"/>
      <c r="I1073" s="1046"/>
      <c r="J1073" s="1047"/>
      <c r="K1073" s="134"/>
      <c r="L1073" s="62" t="str">
        <f t="shared" si="89"/>
        <v/>
      </c>
      <c r="M1073" s="14"/>
      <c r="N1073" s="89">
        <f t="array" ref="N1073">SUM(IF((CsDJ[JEV Number]=TRIM($T1050))*(CsDJ[Account Code]=TRIM(K1073)),CsDJ[Debit]))</f>
        <v>0</v>
      </c>
      <c r="O1073" s="89">
        <f t="array" ref="O1073">SUM(IF((CsDJ[JEV Number]=TRIM($T1050))*(CsDJ[Account Code]=TRIM(K1073)),CsDJ[Credit]))</f>
        <v>0</v>
      </c>
      <c r="P1073" s="1040">
        <f t="shared" si="90"/>
        <v>0</v>
      </c>
      <c r="Q1073" s="1040"/>
      <c r="R1073" s="1040"/>
      <c r="S1073" s="1040">
        <f t="shared" si="91"/>
        <v>0</v>
      </c>
      <c r="T1073" s="1040"/>
      <c r="U1073" s="1040"/>
      <c r="V1073" s="1041"/>
    </row>
    <row r="1074" spans="1:22" x14ac:dyDescent="0.25">
      <c r="A1074" s="1038"/>
      <c r="B1074" s="1039"/>
      <c r="C1074" s="1039"/>
      <c r="D1074" s="1039"/>
      <c r="E1074" s="1045" t="str">
        <f t="shared" si="88"/>
        <v/>
      </c>
      <c r="F1074" s="1046"/>
      <c r="G1074" s="1046"/>
      <c r="H1074" s="1046"/>
      <c r="I1074" s="1046"/>
      <c r="J1074" s="1047"/>
      <c r="K1074" s="134"/>
      <c r="L1074" s="62" t="str">
        <f t="shared" si="89"/>
        <v/>
      </c>
      <c r="M1074" s="14"/>
      <c r="N1074" s="89">
        <f t="array" ref="N1074">SUM(IF((CsDJ[JEV Number]=TRIM($T1050))*(CsDJ[Account Code]=TRIM(K1074)),CsDJ[Debit]))</f>
        <v>0</v>
      </c>
      <c r="O1074" s="89">
        <f t="array" ref="O1074">SUM(IF((CsDJ[JEV Number]=TRIM($T1050))*(CsDJ[Account Code]=TRIM(K1074)),CsDJ[Credit]))</f>
        <v>0</v>
      </c>
      <c r="P1074" s="1040">
        <f t="shared" si="90"/>
        <v>0</v>
      </c>
      <c r="Q1074" s="1040"/>
      <c r="R1074" s="1040"/>
      <c r="S1074" s="1040">
        <f t="shared" si="91"/>
        <v>0</v>
      </c>
      <c r="T1074" s="1040"/>
      <c r="U1074" s="1040"/>
      <c r="V1074" s="1041"/>
    </row>
    <row r="1075" spans="1:22" x14ac:dyDescent="0.25">
      <c r="A1075" s="1038"/>
      <c r="B1075" s="1039"/>
      <c r="C1075" s="1039"/>
      <c r="D1075" s="1039"/>
      <c r="E1075" s="1045" t="str">
        <f t="shared" si="88"/>
        <v/>
      </c>
      <c r="F1075" s="1046"/>
      <c r="G1075" s="1046"/>
      <c r="H1075" s="1046"/>
      <c r="I1075" s="1046"/>
      <c r="J1075" s="1047"/>
      <c r="K1075" s="134"/>
      <c r="L1075" s="62" t="str">
        <f t="shared" si="89"/>
        <v/>
      </c>
      <c r="M1075" s="14"/>
      <c r="N1075" s="89">
        <f t="array" ref="N1075">SUM(IF((CsDJ[JEV Number]=TRIM($T1050))*(CsDJ[Account Code]=TRIM(K1075)),CsDJ[Debit]))</f>
        <v>0</v>
      </c>
      <c r="O1075" s="89">
        <f t="array" ref="O1075">SUM(IF((CsDJ[JEV Number]=TRIM($T1050))*(CsDJ[Account Code]=TRIM(K1075)),CsDJ[Credit]))</f>
        <v>0</v>
      </c>
      <c r="P1075" s="1040">
        <f t="shared" si="90"/>
        <v>0</v>
      </c>
      <c r="Q1075" s="1040"/>
      <c r="R1075" s="1040"/>
      <c r="S1075" s="1040">
        <f t="shared" si="91"/>
        <v>0</v>
      </c>
      <c r="T1075" s="1040"/>
      <c r="U1075" s="1040"/>
      <c r="V1075" s="1041"/>
    </row>
    <row r="1076" spans="1:22" x14ac:dyDescent="0.25">
      <c r="A1076" s="1038"/>
      <c r="B1076" s="1039"/>
      <c r="C1076" s="1039"/>
      <c r="D1076" s="1039"/>
      <c r="E1076" s="1045" t="str">
        <f t="shared" si="88"/>
        <v/>
      </c>
      <c r="F1076" s="1046"/>
      <c r="G1076" s="1046"/>
      <c r="H1076" s="1046"/>
      <c r="I1076" s="1046"/>
      <c r="J1076" s="1047"/>
      <c r="K1076" s="134"/>
      <c r="L1076" s="62" t="str">
        <f t="shared" si="89"/>
        <v/>
      </c>
      <c r="M1076" s="14"/>
      <c r="N1076" s="89">
        <f t="array" ref="N1076">SUM(IF((CsDJ[JEV Number]=TRIM($T1050))*(CsDJ[Account Code]=TRIM(K1076)),CsDJ[Debit]))</f>
        <v>0</v>
      </c>
      <c r="O1076" s="89">
        <f t="array" ref="O1076">SUM(IF((CsDJ[JEV Number]=TRIM($T1050))*(CsDJ[Account Code]=TRIM(K1076)),CsDJ[Credit]))</f>
        <v>0</v>
      </c>
      <c r="P1076" s="1040">
        <f t="shared" si="90"/>
        <v>0</v>
      </c>
      <c r="Q1076" s="1040"/>
      <c r="R1076" s="1040"/>
      <c r="S1076" s="1040">
        <f t="shared" si="91"/>
        <v>0</v>
      </c>
      <c r="T1076" s="1040"/>
      <c r="U1076" s="1040"/>
      <c r="V1076" s="1041"/>
    </row>
    <row r="1077" spans="1:22" x14ac:dyDescent="0.25">
      <c r="A1077" s="1038"/>
      <c r="B1077" s="1039"/>
      <c r="C1077" s="1039"/>
      <c r="D1077" s="1039"/>
      <c r="E1077" s="1045" t="str">
        <f t="shared" si="88"/>
        <v/>
      </c>
      <c r="F1077" s="1046"/>
      <c r="G1077" s="1046"/>
      <c r="H1077" s="1046"/>
      <c r="I1077" s="1046"/>
      <c r="J1077" s="1047"/>
      <c r="K1077" s="134"/>
      <c r="L1077" s="62" t="str">
        <f t="shared" si="89"/>
        <v/>
      </c>
      <c r="M1077" s="14"/>
      <c r="N1077" s="89">
        <f t="array" ref="N1077">SUM(IF((CsDJ[JEV Number]=TRIM($T1050))*(CsDJ[Account Code]=TRIM(K1077)),CsDJ[Debit]))</f>
        <v>0</v>
      </c>
      <c r="O1077" s="89">
        <f t="array" ref="O1077">SUM(IF((CsDJ[JEV Number]=TRIM($T1050))*(CsDJ[Account Code]=TRIM(K1077)),CsDJ[Credit]))</f>
        <v>0</v>
      </c>
      <c r="P1077" s="1040">
        <f t="shared" si="90"/>
        <v>0</v>
      </c>
      <c r="Q1077" s="1040"/>
      <c r="R1077" s="1040"/>
      <c r="S1077" s="1040">
        <f t="shared" si="91"/>
        <v>0</v>
      </c>
      <c r="T1077" s="1040"/>
      <c r="U1077" s="1040"/>
      <c r="V1077" s="1041"/>
    </row>
    <row r="1078" spans="1:22" x14ac:dyDescent="0.25">
      <c r="A1078" s="1038"/>
      <c r="B1078" s="1039"/>
      <c r="C1078" s="1039"/>
      <c r="D1078" s="1039"/>
      <c r="E1078" s="1045" t="str">
        <f t="shared" si="88"/>
        <v/>
      </c>
      <c r="F1078" s="1046"/>
      <c r="G1078" s="1046"/>
      <c r="H1078" s="1046"/>
      <c r="I1078" s="1046"/>
      <c r="J1078" s="1047"/>
      <c r="K1078" s="134"/>
      <c r="L1078" s="62" t="str">
        <f t="shared" si="89"/>
        <v/>
      </c>
      <c r="M1078" s="14"/>
      <c r="N1078" s="89">
        <f t="array" ref="N1078">SUM(IF((CsDJ[JEV Number]=TRIM($T1050))*(CsDJ[Account Code]=TRIM(K1078)),CsDJ[Debit]))</f>
        <v>0</v>
      </c>
      <c r="O1078" s="89">
        <f t="array" ref="O1078">SUM(IF((CsDJ[JEV Number]=TRIM($T1050))*(CsDJ[Account Code]=TRIM(K1078)),CsDJ[Credit]))</f>
        <v>0</v>
      </c>
      <c r="P1078" s="1040">
        <f t="shared" si="90"/>
        <v>0</v>
      </c>
      <c r="Q1078" s="1040"/>
      <c r="R1078" s="1040"/>
      <c r="S1078" s="1040">
        <f t="shared" si="91"/>
        <v>0</v>
      </c>
      <c r="T1078" s="1040"/>
      <c r="U1078" s="1040"/>
      <c r="V1078" s="1041"/>
    </row>
    <row r="1079" spans="1:22" x14ac:dyDescent="0.25">
      <c r="A1079" s="1038"/>
      <c r="B1079" s="1039"/>
      <c r="C1079" s="1039"/>
      <c r="D1079" s="1039"/>
      <c r="E1079" s="1045" t="str">
        <f t="shared" si="88"/>
        <v/>
      </c>
      <c r="F1079" s="1046"/>
      <c r="G1079" s="1046"/>
      <c r="H1079" s="1046"/>
      <c r="I1079" s="1046"/>
      <c r="J1079" s="1047"/>
      <c r="K1079" s="134"/>
      <c r="L1079" s="62" t="str">
        <f t="shared" si="89"/>
        <v/>
      </c>
      <c r="M1079" s="14"/>
      <c r="N1079" s="89">
        <f t="array" ref="N1079">SUM(IF((CsDJ[JEV Number]=TRIM($T1050))*(CsDJ[Account Code]=TRIM(K1079)),CsDJ[Debit]))</f>
        <v>0</v>
      </c>
      <c r="O1079" s="89">
        <f t="array" ref="O1079">SUM(IF((CsDJ[JEV Number]=TRIM($T1050))*(CsDJ[Account Code]=TRIM(K1079)),CsDJ[Credit]))</f>
        <v>0</v>
      </c>
      <c r="P1079" s="1040">
        <f t="shared" si="90"/>
        <v>0</v>
      </c>
      <c r="Q1079" s="1040"/>
      <c r="R1079" s="1040"/>
      <c r="S1079" s="1040">
        <f t="shared" si="91"/>
        <v>0</v>
      </c>
      <c r="T1079" s="1040"/>
      <c r="U1079" s="1040"/>
      <c r="V1079" s="1041"/>
    </row>
    <row r="1080" spans="1:22" x14ac:dyDescent="0.25">
      <c r="A1080" s="1038"/>
      <c r="B1080" s="1039"/>
      <c r="C1080" s="1039"/>
      <c r="D1080" s="1039"/>
      <c r="E1080" s="1045" t="str">
        <f t="shared" si="88"/>
        <v/>
      </c>
      <c r="F1080" s="1046"/>
      <c r="G1080" s="1046"/>
      <c r="H1080" s="1046"/>
      <c r="I1080" s="1046"/>
      <c r="J1080" s="1047"/>
      <c r="K1080" s="134"/>
      <c r="L1080" s="62" t="str">
        <f t="shared" si="89"/>
        <v/>
      </c>
      <c r="M1080" s="14"/>
      <c r="N1080" s="89">
        <f t="array" ref="N1080">SUM(IF((CsDJ[JEV Number]=TRIM($T1050))*(CsDJ[Account Code]=TRIM(K1080)),CsDJ[Debit]))</f>
        <v>0</v>
      </c>
      <c r="O1080" s="89">
        <f t="array" ref="O1080">SUM(IF((CsDJ[JEV Number]=TRIM($T1050))*(CsDJ[Account Code]=TRIM(K1080)),CsDJ[Credit]))</f>
        <v>0</v>
      </c>
      <c r="P1080" s="1040">
        <f t="shared" si="90"/>
        <v>0</v>
      </c>
      <c r="Q1080" s="1040"/>
      <c r="R1080" s="1040"/>
      <c r="S1080" s="1040">
        <f t="shared" si="91"/>
        <v>0</v>
      </c>
      <c r="T1080" s="1040"/>
      <c r="U1080" s="1040"/>
      <c r="V1080" s="1041"/>
    </row>
    <row r="1081" spans="1:22" x14ac:dyDescent="0.25">
      <c r="A1081" s="1038"/>
      <c r="B1081" s="1039"/>
      <c r="C1081" s="1039"/>
      <c r="D1081" s="1039"/>
      <c r="E1081" s="1045" t="str">
        <f t="shared" si="88"/>
        <v/>
      </c>
      <c r="F1081" s="1046"/>
      <c r="G1081" s="1046"/>
      <c r="H1081" s="1046"/>
      <c r="I1081" s="1046"/>
      <c r="J1081" s="1047"/>
      <c r="K1081" s="134"/>
      <c r="L1081" s="62" t="str">
        <f t="shared" si="89"/>
        <v/>
      </c>
      <c r="M1081" s="14"/>
      <c r="N1081" s="89">
        <f t="array" ref="N1081">SUM(IF((CsDJ[JEV Number]=TRIM($T1050))*(CsDJ[Account Code]=TRIM(K1081)),CsDJ[Debit]))</f>
        <v>0</v>
      </c>
      <c r="O1081" s="89">
        <f t="array" ref="O1081">SUM(IF((CsDJ[JEV Number]=TRIM($T1050))*(CsDJ[Account Code]=TRIM(K1081)),CsDJ[Credit]))</f>
        <v>0</v>
      </c>
      <c r="P1081" s="1040">
        <f t="shared" si="90"/>
        <v>0</v>
      </c>
      <c r="Q1081" s="1040"/>
      <c r="R1081" s="1040"/>
      <c r="S1081" s="1040">
        <f t="shared" si="91"/>
        <v>0</v>
      </c>
      <c r="T1081" s="1040"/>
      <c r="U1081" s="1040"/>
      <c r="V1081" s="1041"/>
    </row>
    <row r="1082" spans="1:22" x14ac:dyDescent="0.25">
      <c r="A1082" s="1038"/>
      <c r="B1082" s="1039"/>
      <c r="C1082" s="1039"/>
      <c r="D1082" s="1039"/>
      <c r="E1082" s="1045" t="str">
        <f t="shared" si="88"/>
        <v/>
      </c>
      <c r="F1082" s="1046"/>
      <c r="G1082" s="1046"/>
      <c r="H1082" s="1046"/>
      <c r="I1082" s="1046"/>
      <c r="J1082" s="1047"/>
      <c r="K1082" s="134"/>
      <c r="L1082" s="62" t="str">
        <f t="shared" si="89"/>
        <v/>
      </c>
      <c r="M1082" s="14"/>
      <c r="N1082" s="89">
        <f t="array" ref="N1082">SUM(IF((CsDJ[JEV Number]=TRIM($T1050))*(CsDJ[Account Code]=TRIM(K1082)),CsDJ[Debit]))</f>
        <v>0</v>
      </c>
      <c r="O1082" s="89">
        <f t="array" ref="O1082">SUM(IF((CsDJ[JEV Number]=TRIM($T1050))*(CsDJ[Account Code]=TRIM(K1082)),CsDJ[Credit]))</f>
        <v>0</v>
      </c>
      <c r="P1082" s="1040">
        <f t="shared" si="90"/>
        <v>0</v>
      </c>
      <c r="Q1082" s="1040"/>
      <c r="R1082" s="1040"/>
      <c r="S1082" s="1040">
        <f t="shared" si="91"/>
        <v>0</v>
      </c>
      <c r="T1082" s="1040"/>
      <c r="U1082" s="1040"/>
      <c r="V1082" s="1041"/>
    </row>
    <row r="1083" spans="1:22" x14ac:dyDescent="0.25">
      <c r="A1083" s="1038"/>
      <c r="B1083" s="1039"/>
      <c r="C1083" s="1039"/>
      <c r="D1083" s="1039"/>
      <c r="E1083" s="1045" t="str">
        <f t="shared" si="88"/>
        <v/>
      </c>
      <c r="F1083" s="1046"/>
      <c r="G1083" s="1046"/>
      <c r="H1083" s="1046"/>
      <c r="I1083" s="1046"/>
      <c r="J1083" s="1047"/>
      <c r="K1083" s="134"/>
      <c r="L1083" s="62" t="str">
        <f t="shared" si="89"/>
        <v/>
      </c>
      <c r="M1083" s="14"/>
      <c r="N1083" s="89">
        <f t="array" ref="N1083">SUM(IF((CsDJ[JEV Number]=TRIM($T1050))*(CsDJ[Account Code]=TRIM(K1083)),CsDJ[Debit]))</f>
        <v>0</v>
      </c>
      <c r="O1083" s="89">
        <f t="array" ref="O1083">SUM(IF((CsDJ[JEV Number]=TRIM($T1050))*(CsDJ[Account Code]=TRIM(K1083)),CsDJ[Credit]))</f>
        <v>0</v>
      </c>
      <c r="P1083" s="1040">
        <f t="shared" si="90"/>
        <v>0</v>
      </c>
      <c r="Q1083" s="1040"/>
      <c r="R1083" s="1040"/>
      <c r="S1083" s="1040">
        <f t="shared" si="91"/>
        <v>0</v>
      </c>
      <c r="T1083" s="1040"/>
      <c r="U1083" s="1040"/>
      <c r="V1083" s="1041"/>
    </row>
    <row r="1084" spans="1:22" x14ac:dyDescent="0.25">
      <c r="A1084" s="1038"/>
      <c r="B1084" s="1039"/>
      <c r="C1084" s="1039"/>
      <c r="D1084" s="1039"/>
      <c r="E1084" s="1108" t="s">
        <v>468</v>
      </c>
      <c r="F1084" s="1109"/>
      <c r="G1084" s="1109"/>
      <c r="H1084" s="1109"/>
      <c r="I1084" s="1109"/>
      <c r="J1084" s="1110"/>
      <c r="K1084" s="133"/>
      <c r="L1084" s="62" t="str">
        <f t="shared" si="89"/>
        <v/>
      </c>
      <c r="M1084" s="14"/>
      <c r="N1084" s="89">
        <f t="array" ref="N1084">SUM(IF((CsDJ[JEV Number]=TRIM($T1050))*(CsDJ[Account Code]=TRIM(K1084)),CsDJ[Debit]))</f>
        <v>0</v>
      </c>
      <c r="O1084" s="89">
        <f t="array" ref="O1084">SUM(IF((CsDJ[JEV Number]=TRIM($T1050))*(CsDJ[Account Code]=TRIM(K1084)),CsDJ[Credit]))</f>
        <v>0</v>
      </c>
      <c r="P1084" s="1040">
        <f t="shared" si="90"/>
        <v>0</v>
      </c>
      <c r="Q1084" s="1040"/>
      <c r="R1084" s="1040"/>
      <c r="S1084" s="1040">
        <f t="shared" si="91"/>
        <v>0</v>
      </c>
      <c r="T1084" s="1040"/>
      <c r="U1084" s="1040"/>
      <c r="V1084" s="1041"/>
    </row>
    <row r="1085" spans="1:22" x14ac:dyDescent="0.25">
      <c r="A1085" s="1038"/>
      <c r="B1085" s="1039"/>
      <c r="C1085" s="1039"/>
      <c r="D1085" s="1039"/>
      <c r="E1085" s="1048" t="s">
        <v>457</v>
      </c>
      <c r="F1085" s="1049"/>
      <c r="G1085" s="1049"/>
      <c r="H1085" s="1049"/>
      <c r="I1085" s="1051">
        <f>T1051</f>
        <v>0</v>
      </c>
      <c r="J1085" s="1052"/>
      <c r="K1085" s="133"/>
      <c r="L1085" s="62" t="str">
        <f t="shared" si="89"/>
        <v/>
      </c>
      <c r="M1085" s="14"/>
      <c r="N1085" s="89">
        <f t="array" ref="N1085">SUM(IF((CsDJ[JEV Number]=TRIM($T1050))*(CsDJ[Account Code]=TRIM(K1085)),CsDJ[Debit]))</f>
        <v>0</v>
      </c>
      <c r="O1085" s="89">
        <f t="array" ref="O1085">SUM(IF((CsDJ[JEV Number]=TRIM($T1050))*(CsDJ[Account Code]=TRIM(K1085)),CsDJ[Credit]))</f>
        <v>0</v>
      </c>
      <c r="P1085" s="1040">
        <f t="shared" si="90"/>
        <v>0</v>
      </c>
      <c r="Q1085" s="1040"/>
      <c r="R1085" s="1040"/>
      <c r="S1085" s="1040">
        <f t="shared" si="91"/>
        <v>0</v>
      </c>
      <c r="T1085" s="1040"/>
      <c r="U1085" s="1040"/>
      <c r="V1085" s="1041"/>
    </row>
    <row r="1086" spans="1:22" x14ac:dyDescent="0.25">
      <c r="A1086" s="1038"/>
      <c r="B1086" s="1039"/>
      <c r="C1086" s="1039"/>
      <c r="D1086" s="1039"/>
      <c r="E1086" s="1048" t="s">
        <v>458</v>
      </c>
      <c r="F1086" s="1049"/>
      <c r="G1086" s="1049"/>
      <c r="H1086" s="1049"/>
      <c r="I1086" s="1106">
        <f>IF(T1050=0,0,(IF(LOOKUP(T1050,CsDJ[JEV Number],CsDJ[Sort Code])="1","MA. VIVIAN C. SALAS",IF(LOOKUP(T1050,CsDJ[JEV Number],CsDJ[Sort Code])="2","LUZ R. DE COZAR",IF(LOOKUP(T1050,CsDJ[JEV Number],CsDJ[Sort Code])="3","MINEONETTE A. DELA CRUZ",IF(LOOKUP(T1050,CsDJ[JEV Number],CsDJ[Sort Code])="4","RESELLA B. LOPEZ"))))))</f>
        <v>0</v>
      </c>
      <c r="J1086" s="1107"/>
      <c r="K1086" s="133"/>
      <c r="L1086" s="62" t="str">
        <f t="shared" si="89"/>
        <v/>
      </c>
      <c r="M1086" s="14"/>
      <c r="N1086" s="89">
        <f t="array" ref="N1086">SUM(IF((CsDJ[JEV Number]=TRIM($T1050))*(CsDJ[Account Code]=TRIM(K1086)),CsDJ[Debit]))</f>
        <v>0</v>
      </c>
      <c r="O1086" s="89">
        <f t="array" ref="O1086">SUM(IF((CsDJ[JEV Number]=TRIM($T1050))*(CsDJ[Account Code]=TRIM(K1086)),CsDJ[Credit]))</f>
        <v>0</v>
      </c>
      <c r="P1086" s="1040">
        <f t="shared" si="90"/>
        <v>0</v>
      </c>
      <c r="Q1086" s="1040"/>
      <c r="R1086" s="1040"/>
      <c r="S1086" s="1040">
        <f t="shared" si="91"/>
        <v>0</v>
      </c>
      <c r="T1086" s="1040"/>
      <c r="U1086" s="1040"/>
      <c r="V1086" s="1041"/>
    </row>
    <row r="1087" spans="1:22" x14ac:dyDescent="0.25">
      <c r="A1087" s="1038"/>
      <c r="B1087" s="1039"/>
      <c r="C1087" s="1039"/>
      <c r="D1087" s="1039"/>
      <c r="E1087" s="1048" t="s">
        <v>459</v>
      </c>
      <c r="F1087" s="1049"/>
      <c r="G1087" s="1049"/>
      <c r="H1087" s="1049"/>
      <c r="I1087" s="1043">
        <f>IF(I1086="Ma. Vivian C. Salas","Regional Office", IF(I1086="Luz R. De Cozar","BANE IMO", IF(I1086="Mineonette A. Dela Cruz","PAMBAT IMO", IF(I1086="Resella B. Lopez","TARZAM IMO",0))))</f>
        <v>0</v>
      </c>
      <c r="J1087" s="1044"/>
      <c r="K1087" s="133"/>
      <c r="L1087" s="62" t="str">
        <f t="shared" si="89"/>
        <v/>
      </c>
      <c r="M1087" s="14"/>
      <c r="N1087" s="89">
        <f t="array" ref="N1087">SUM(IF((CsDJ[JEV Number]=TRIM($T1050))*(CsDJ[Account Code]=TRIM(K1087)),CsDJ[Debit]))</f>
        <v>0</v>
      </c>
      <c r="O1087" s="89">
        <f t="array" ref="O1087">SUM(IF((CsDJ[JEV Number]=TRIM($T1050))*(CsDJ[Account Code]=TRIM(K1087)),CsDJ[Credit]))</f>
        <v>0</v>
      </c>
      <c r="P1087" s="1040">
        <f t="shared" si="90"/>
        <v>0</v>
      </c>
      <c r="Q1087" s="1040"/>
      <c r="R1087" s="1040"/>
      <c r="S1087" s="1040">
        <f t="shared" si="91"/>
        <v>0</v>
      </c>
      <c r="T1087" s="1040"/>
      <c r="U1087" s="1040"/>
      <c r="V1087" s="1041"/>
    </row>
    <row r="1088" spans="1:22" x14ac:dyDescent="0.25">
      <c r="A1088" s="1038"/>
      <c r="B1088" s="1039"/>
      <c r="C1088" s="1039"/>
      <c r="D1088" s="1039"/>
      <c r="E1088" s="1048"/>
      <c r="F1088" s="1049"/>
      <c r="G1088" s="1049"/>
      <c r="H1088" s="1049"/>
      <c r="I1088" s="1049"/>
      <c r="J1088" s="1050"/>
      <c r="K1088" s="133"/>
      <c r="L1088" s="62" t="str">
        <f t="shared" si="89"/>
        <v/>
      </c>
      <c r="M1088" s="14"/>
      <c r="N1088" s="89">
        <f t="array" ref="N1088">SUM(IF((CsDJ[JEV Number]=TRIM($T1050))*(CsDJ[Account Code]=TRIM(K1088)),CsDJ[Debit]))</f>
        <v>0</v>
      </c>
      <c r="O1088" s="89">
        <f t="array" ref="O1088">SUM(IF((CsDJ[JEV Number]=TRIM($T1050))*(CsDJ[Account Code]=TRIM(K1088)),CsDJ[Credit]))</f>
        <v>0</v>
      </c>
      <c r="P1088" s="1040">
        <f t="shared" si="90"/>
        <v>0</v>
      </c>
      <c r="Q1088" s="1040"/>
      <c r="R1088" s="1040"/>
      <c r="S1088" s="1040">
        <f t="shared" si="91"/>
        <v>0</v>
      </c>
      <c r="T1088" s="1040"/>
      <c r="U1088" s="1040"/>
      <c r="V1088" s="1041"/>
    </row>
    <row r="1089" spans="1:22" ht="16.5" thickBot="1" x14ac:dyDescent="0.3">
      <c r="A1089" s="1091"/>
      <c r="B1089" s="1092"/>
      <c r="C1089" s="1092"/>
      <c r="D1089" s="1092"/>
      <c r="E1089" s="1092"/>
      <c r="F1089" s="1092"/>
      <c r="G1089" s="1092"/>
      <c r="H1089" s="1092"/>
      <c r="I1089" s="1092"/>
      <c r="J1089" s="1092"/>
      <c r="K1089" s="1092"/>
      <c r="L1089" s="1092"/>
      <c r="M1089" s="1093"/>
      <c r="N1089" s="88"/>
      <c r="O1089" s="88"/>
      <c r="P1089" s="1094">
        <f>SUM(P1059:R1088)</f>
        <v>0</v>
      </c>
      <c r="Q1089" s="1094"/>
      <c r="R1089" s="1094"/>
      <c r="S1089" s="1094">
        <f>SUM(S1059:V1088)</f>
        <v>0</v>
      </c>
      <c r="T1089" s="1094"/>
      <c r="U1089" s="1094"/>
      <c r="V1089" s="1095"/>
    </row>
    <row r="1090" spans="1:22" x14ac:dyDescent="0.25">
      <c r="A1090" s="63"/>
      <c r="B1090" s="64"/>
      <c r="C1090" s="64"/>
      <c r="D1090" s="64"/>
      <c r="E1090" s="64"/>
      <c r="F1090" s="64"/>
      <c r="G1090" s="64"/>
      <c r="H1090" s="64"/>
      <c r="I1090" s="65"/>
      <c r="J1090" s="64"/>
      <c r="K1090" s="66"/>
      <c r="L1090" s="64"/>
      <c r="M1090" s="65"/>
      <c r="N1090" s="64"/>
      <c r="O1090" s="64"/>
      <c r="P1090" s="1090"/>
      <c r="Q1090" s="1090"/>
      <c r="R1090" s="1090"/>
      <c r="S1090" s="1090"/>
      <c r="T1090" s="1090"/>
      <c r="U1090" s="1090"/>
      <c r="V1090" s="1096"/>
    </row>
    <row r="1091" spans="1:22" x14ac:dyDescent="0.25">
      <c r="A1091" s="67" t="s">
        <v>460</v>
      </c>
      <c r="B1091"/>
      <c r="C1091"/>
      <c r="D1091"/>
      <c r="E1091"/>
      <c r="F1091"/>
      <c r="G1091"/>
      <c r="H1091"/>
      <c r="I1091" s="68" t="s">
        <v>353</v>
      </c>
      <c r="J1091" s="69"/>
      <c r="K1091" s="69"/>
      <c r="L1091"/>
      <c r="M1091" s="68" t="s">
        <v>461</v>
      </c>
      <c r="N1091" s="69"/>
      <c r="O1091" s="69"/>
      <c r="P1091" s="70"/>
      <c r="Q1091" s="70"/>
      <c r="R1091" s="70"/>
      <c r="S1091" s="70"/>
      <c r="T1091" s="70"/>
      <c r="U1091" s="70"/>
      <c r="V1091" s="71"/>
    </row>
    <row r="1092" spans="1:22" x14ac:dyDescent="0.25">
      <c r="A1092" s="37"/>
      <c r="B1092"/>
      <c r="C1092"/>
      <c r="D1092"/>
      <c r="E1092"/>
      <c r="F1092"/>
      <c r="G1092"/>
      <c r="H1092"/>
      <c r="I1092" s="72"/>
      <c r="J1092"/>
      <c r="K1092"/>
      <c r="L1092"/>
      <c r="M1092" s="72"/>
      <c r="N1092"/>
      <c r="O1092"/>
      <c r="P1092"/>
      <c r="Q1092"/>
      <c r="R1092"/>
      <c r="S1092"/>
      <c r="T1092"/>
      <c r="U1092"/>
      <c r="V1092" s="73"/>
    </row>
    <row r="1093" spans="1:22" x14ac:dyDescent="0.25">
      <c r="A1093" s="74" t="s">
        <v>462</v>
      </c>
      <c r="B1093" s="75"/>
      <c r="C1093" s="75"/>
      <c r="D1093" s="75"/>
      <c r="E1093" s="75"/>
      <c r="F1093" s="75"/>
      <c r="G1093" s="75"/>
      <c r="H1093" s="76"/>
      <c r="I1093" s="77" t="s">
        <v>380</v>
      </c>
      <c r="J1093" s="75"/>
      <c r="K1093" s="75"/>
      <c r="L1093" s="76"/>
      <c r="M1093" s="77" t="s">
        <v>3</v>
      </c>
      <c r="N1093" s="75"/>
      <c r="O1093" s="75"/>
      <c r="P1093" s="75"/>
      <c r="Q1093" s="75"/>
      <c r="R1093" s="75"/>
      <c r="S1093" s="75"/>
      <c r="T1093" s="75"/>
      <c r="U1093" s="75"/>
      <c r="V1093" s="78"/>
    </row>
    <row r="1094" spans="1:22" x14ac:dyDescent="0.25">
      <c r="A1094" s="79" t="s">
        <v>463</v>
      </c>
      <c r="B1094" s="80"/>
      <c r="C1094" s="80"/>
      <c r="D1094" s="80"/>
      <c r="E1094" s="80"/>
      <c r="F1094" s="80"/>
      <c r="G1094" s="80"/>
      <c r="H1094" s="80"/>
      <c r="I1094" s="81" t="s">
        <v>381</v>
      </c>
      <c r="J1094" s="80"/>
      <c r="K1094" s="80"/>
      <c r="L1094" s="80"/>
      <c r="M1094" s="81" t="s">
        <v>464</v>
      </c>
      <c r="N1094" s="80"/>
      <c r="O1094" s="80"/>
      <c r="P1094" s="82"/>
      <c r="Q1094" s="82"/>
      <c r="R1094" s="82"/>
      <c r="S1094" s="82"/>
      <c r="T1094" s="82"/>
      <c r="U1094" s="82"/>
      <c r="V1094" s="83"/>
    </row>
    <row r="1095" spans="1:22" ht="16.5" thickBot="1" x14ac:dyDescent="0.3">
      <c r="A1095" s="84" t="s">
        <v>465</v>
      </c>
      <c r="B1095" s="43"/>
      <c r="C1095" s="43"/>
      <c r="D1095" s="43"/>
      <c r="E1095" s="43"/>
      <c r="F1095" s="43"/>
      <c r="G1095" s="43"/>
      <c r="H1095" s="43"/>
      <c r="I1095" s="85"/>
      <c r="J1095" s="43"/>
      <c r="K1095" s="43"/>
      <c r="L1095" s="43"/>
      <c r="M1095" s="85"/>
      <c r="N1095" s="43"/>
      <c r="O1095" s="43"/>
      <c r="P1095" s="43"/>
      <c r="Q1095" s="43"/>
      <c r="R1095" s="43"/>
      <c r="S1095" s="43"/>
      <c r="T1095" s="43"/>
      <c r="U1095" s="43"/>
      <c r="V1095" s="44"/>
    </row>
    <row r="1096" spans="1:22" ht="22.5" x14ac:dyDescent="0.25">
      <c r="A1096" s="31" t="s">
        <v>441</v>
      </c>
      <c r="B1096" s="32"/>
      <c r="C1096" s="32"/>
      <c r="D1096" s="32"/>
      <c r="E1096" s="32"/>
      <c r="F1096" s="32"/>
      <c r="G1096" s="32"/>
      <c r="H1096" s="32"/>
      <c r="I1096" s="32"/>
      <c r="J1096" s="32"/>
      <c r="K1096" s="32"/>
      <c r="L1096" s="32"/>
      <c r="M1096" s="32"/>
      <c r="N1096" s="32"/>
      <c r="O1096" s="32"/>
      <c r="P1096" s="32"/>
      <c r="Q1096" s="33"/>
      <c r="R1096" s="1053">
        <f>+P1136-S1136</f>
        <v>0</v>
      </c>
      <c r="S1096" s="1054"/>
      <c r="T1096" s="1054"/>
      <c r="U1096" s="1054"/>
      <c r="V1096" s="1055"/>
    </row>
    <row r="1097" spans="1:22" x14ac:dyDescent="0.25">
      <c r="A1097" s="34" t="s">
        <v>442</v>
      </c>
      <c r="B1097" s="35"/>
      <c r="C1097" s="35"/>
      <c r="D1097" s="35"/>
      <c r="E1097" s="3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6"/>
      <c r="R1097" s="37" t="s">
        <v>443</v>
      </c>
      <c r="S1097"/>
      <c r="T1097" s="1056"/>
      <c r="U1097" s="1056"/>
      <c r="V1097" s="1057"/>
    </row>
    <row r="1098" spans="1:22" x14ac:dyDescent="0.25">
      <c r="A1098" s="38" t="s">
        <v>444</v>
      </c>
      <c r="B1098" s="35"/>
      <c r="C1098" s="35"/>
      <c r="D1098" s="35"/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6"/>
      <c r="R1098" s="37" t="s">
        <v>0</v>
      </c>
      <c r="S1098"/>
      <c r="T1098" s="1058">
        <f>IF(T1097=0,0,(LOOKUP(T1097,CsDJ[JEV Number],CsDJ[Date])))</f>
        <v>0</v>
      </c>
      <c r="U1098" s="1058"/>
      <c r="V1098" s="1059"/>
    </row>
    <row r="1099" spans="1:22" ht="16.5" thickBot="1" x14ac:dyDescent="0.3">
      <c r="A1099" s="39"/>
      <c r="B1099" s="40"/>
      <c r="C1099" s="40"/>
      <c r="D1099" s="40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1"/>
      <c r="R1099" s="42"/>
      <c r="S1099" s="43"/>
      <c r="T1099" s="43"/>
      <c r="U1099" s="43"/>
      <c r="V1099" s="44"/>
    </row>
    <row r="1100" spans="1:22" x14ac:dyDescent="0.25">
      <c r="A1100" s="45"/>
      <c r="B1100" s="46"/>
      <c r="C1100" s="46"/>
      <c r="D1100" s="46"/>
      <c r="E1100" s="46"/>
      <c r="F1100" s="46"/>
      <c r="G1100" s="46"/>
      <c r="H1100" s="46"/>
      <c r="I1100" s="46"/>
      <c r="J1100" s="46"/>
      <c r="K1100" s="46"/>
      <c r="L1100" s="47"/>
      <c r="M1100" s="46"/>
      <c r="N1100" s="46"/>
      <c r="O1100" s="46"/>
      <c r="P1100" s="46"/>
      <c r="Q1100" s="46"/>
      <c r="R1100" s="46"/>
      <c r="S1100" s="46"/>
      <c r="T1100" s="46"/>
      <c r="U1100" s="46"/>
      <c r="V1100" s="48"/>
    </row>
    <row r="1101" spans="1:22" x14ac:dyDescent="0.25">
      <c r="A1101" s="49"/>
      <c r="B1101" s="1060"/>
      <c r="C1101" s="1060"/>
      <c r="D1101" s="50" t="s">
        <v>445</v>
      </c>
      <c r="H1101" s="51"/>
      <c r="I1101" s="25" t="s">
        <v>447</v>
      </c>
      <c r="J1101" s="132" t="s">
        <v>446</v>
      </c>
      <c r="K1101" s="52" t="s">
        <v>448</v>
      </c>
      <c r="L1101" s="52"/>
      <c r="Q1101" s="1060"/>
      <c r="R1101" s="1060"/>
      <c r="S1101" s="50" t="s">
        <v>449</v>
      </c>
      <c r="T1101" s="50"/>
      <c r="U1101" s="50"/>
      <c r="V1101" s="53"/>
    </row>
    <row r="1102" spans="1:22" ht="16.5" thickBot="1" x14ac:dyDescent="0.3">
      <c r="A1102" s="54"/>
      <c r="B1102" s="55"/>
      <c r="C1102" s="55"/>
      <c r="D1102" s="55"/>
      <c r="E1102" s="55"/>
      <c r="F1102" s="55"/>
      <c r="G1102" s="55"/>
      <c r="H1102" s="55"/>
      <c r="I1102" s="55"/>
      <c r="J1102" s="55"/>
      <c r="K1102" s="55"/>
      <c r="L1102" s="56"/>
      <c r="M1102" s="55"/>
      <c r="N1102" s="55"/>
      <c r="O1102" s="55"/>
      <c r="P1102" s="55"/>
      <c r="Q1102" s="55"/>
      <c r="R1102" s="55"/>
      <c r="S1102" s="55"/>
      <c r="T1102" s="55"/>
      <c r="U1102" s="55"/>
      <c r="V1102" s="57"/>
    </row>
    <row r="1103" spans="1:22" x14ac:dyDescent="0.25">
      <c r="A1103" s="1061" t="s">
        <v>397</v>
      </c>
      <c r="B1103" s="1062"/>
      <c r="C1103" s="1062"/>
      <c r="D1103" s="1063"/>
      <c r="E1103" s="1070" t="s">
        <v>450</v>
      </c>
      <c r="F1103" s="1070"/>
      <c r="G1103" s="1070"/>
      <c r="H1103" s="1070"/>
      <c r="I1103" s="1070"/>
      <c r="J1103" s="1070"/>
      <c r="K1103" s="1070"/>
      <c r="L1103" s="1070"/>
      <c r="M1103" s="1070"/>
      <c r="N1103" s="1070"/>
      <c r="O1103" s="1070"/>
      <c r="P1103" s="1070"/>
      <c r="Q1103" s="1070"/>
      <c r="R1103" s="1070"/>
      <c r="S1103" s="1070"/>
      <c r="T1103" s="1070"/>
      <c r="U1103" s="1070"/>
      <c r="V1103" s="1071"/>
    </row>
    <row r="1104" spans="1:22" x14ac:dyDescent="0.25">
      <c r="A1104" s="1064"/>
      <c r="B1104" s="1065"/>
      <c r="C1104" s="1065"/>
      <c r="D1104" s="1066"/>
      <c r="E1104" s="1072" t="s">
        <v>451</v>
      </c>
      <c r="F1104" s="1072"/>
      <c r="G1104" s="1072"/>
      <c r="H1104" s="1072"/>
      <c r="I1104" s="1072"/>
      <c r="J1104" s="1072"/>
      <c r="K1104" s="1074" t="s">
        <v>378</v>
      </c>
      <c r="L1104" s="1074"/>
      <c r="M1104" s="1072" t="s">
        <v>452</v>
      </c>
      <c r="N1104" s="1075" t="s">
        <v>453</v>
      </c>
      <c r="O1104" s="1076"/>
      <c r="P1104" s="1076"/>
      <c r="Q1104" s="1076"/>
      <c r="R1104" s="1076"/>
      <c r="S1104" s="1076"/>
      <c r="T1104" s="1076"/>
      <c r="U1104" s="1076"/>
      <c r="V1104" s="1077"/>
    </row>
    <row r="1105" spans="1:22" ht="16.5" customHeight="1" thickBot="1" x14ac:dyDescent="0.3">
      <c r="A1105" s="1067"/>
      <c r="B1105" s="1068"/>
      <c r="C1105" s="1068"/>
      <c r="D1105" s="1069"/>
      <c r="E1105" s="1073"/>
      <c r="F1105" s="1073"/>
      <c r="G1105" s="1073"/>
      <c r="H1105" s="1073"/>
      <c r="I1105" s="1073"/>
      <c r="J1105" s="1073"/>
      <c r="K1105" s="58" t="s">
        <v>454</v>
      </c>
      <c r="L1105" s="58" t="s">
        <v>455</v>
      </c>
      <c r="M1105" s="1073"/>
      <c r="N1105" s="87" t="s">
        <v>466</v>
      </c>
      <c r="O1105" s="87" t="s">
        <v>467</v>
      </c>
      <c r="P1105" s="1078" t="s">
        <v>1</v>
      </c>
      <c r="Q1105" s="1079"/>
      <c r="R1105" s="1080"/>
      <c r="S1105" s="1078" t="s">
        <v>2</v>
      </c>
      <c r="T1105" s="1079"/>
      <c r="U1105" s="1079"/>
      <c r="V1105" s="1081"/>
    </row>
    <row r="1106" spans="1:22" ht="19.5" x14ac:dyDescent="0.3">
      <c r="A1106" s="1082">
        <f>P1136-S1136</f>
        <v>0</v>
      </c>
      <c r="B1106" s="1083"/>
      <c r="C1106" s="1083"/>
      <c r="D1106" s="1083"/>
      <c r="E1106" s="1084" t="str">
        <f>Account!$G$1</f>
        <v>FUND 501 CARP</v>
      </c>
      <c r="F1106" s="1085"/>
      <c r="G1106" s="1085"/>
      <c r="H1106" s="1085"/>
      <c r="I1106" s="1085"/>
      <c r="J1106" s="1086"/>
      <c r="K1106" s="59"/>
      <c r="L1106" s="59"/>
      <c r="M1106" s="60"/>
      <c r="N1106" s="60"/>
      <c r="O1106" s="60"/>
      <c r="P1106" s="1087"/>
      <c r="Q1106" s="1087"/>
      <c r="R1106" s="1087"/>
      <c r="S1106" s="1087"/>
      <c r="T1106" s="1087"/>
      <c r="U1106" s="1087"/>
      <c r="V1106" s="1088"/>
    </row>
    <row r="1107" spans="1:22" x14ac:dyDescent="0.25">
      <c r="A1107" s="1038"/>
      <c r="B1107" s="1039"/>
      <c r="C1107" s="1039"/>
      <c r="D1107" s="1039"/>
      <c r="E1107" s="1039"/>
      <c r="F1107" s="1039"/>
      <c r="G1107" s="1039"/>
      <c r="H1107" s="1039"/>
      <c r="I1107" s="1039"/>
      <c r="J1107" s="1039"/>
      <c r="K1107" s="61"/>
      <c r="L1107" s="61"/>
      <c r="M1107" s="14"/>
      <c r="N1107" s="14"/>
      <c r="O1107" s="14"/>
      <c r="P1107" s="1039"/>
      <c r="Q1107" s="1039"/>
      <c r="R1107" s="1039"/>
      <c r="S1107" s="1039"/>
      <c r="T1107" s="1039"/>
      <c r="U1107" s="1039"/>
      <c r="V1107" s="1089"/>
    </row>
    <row r="1108" spans="1:22" x14ac:dyDescent="0.25">
      <c r="A1108" s="1038"/>
      <c r="B1108" s="1039"/>
      <c r="C1108" s="1039"/>
      <c r="D1108" s="1039"/>
      <c r="E1108" s="1045" t="str">
        <f t="shared" ref="E1108:E1130" si="92">IF(K1108=0,"",(VLOOKUP((TRIM(K1108)),Code,2,)))</f>
        <v/>
      </c>
      <c r="F1108" s="1046"/>
      <c r="G1108" s="1046"/>
      <c r="H1108" s="1046"/>
      <c r="I1108" s="1046"/>
      <c r="J1108" s="1047"/>
      <c r="K1108" s="133"/>
      <c r="L1108" s="62" t="str">
        <f t="shared" ref="L1108:L1135" si="93">IF(K1108=0,"",VLOOKUP((TRIM(K1108)),Code,3,))</f>
        <v/>
      </c>
      <c r="M1108" s="14"/>
      <c r="N1108" s="89">
        <f t="array" ref="N1108">SUM(IF((CsDJ[JEV Number]=TRIM($T1097))*(CsDJ[Account Code]=TRIM(K1108)),CsDJ[Debit]))</f>
        <v>0</v>
      </c>
      <c r="O1108" s="89">
        <f t="array" ref="O1108">SUM(IF((CsDJ[JEV Number]=TRIM($T1097))*(CsDJ[Account Code]=TRIM(K1108)),CsDJ[Credit]))</f>
        <v>0</v>
      </c>
      <c r="P1108" s="1040">
        <f>N1108</f>
        <v>0</v>
      </c>
      <c r="Q1108" s="1040"/>
      <c r="R1108" s="1040"/>
      <c r="S1108" s="1040">
        <f>O1108</f>
        <v>0</v>
      </c>
      <c r="T1108" s="1040"/>
      <c r="U1108" s="1040"/>
      <c r="V1108" s="1041"/>
    </row>
    <row r="1109" spans="1:22" x14ac:dyDescent="0.25">
      <c r="A1109" s="1038"/>
      <c r="B1109" s="1039"/>
      <c r="C1109" s="1039"/>
      <c r="D1109" s="1039"/>
      <c r="E1109" s="1045" t="str">
        <f t="shared" si="92"/>
        <v/>
      </c>
      <c r="F1109" s="1046"/>
      <c r="G1109" s="1046"/>
      <c r="H1109" s="1046"/>
      <c r="I1109" s="1046"/>
      <c r="J1109" s="1047"/>
      <c r="K1109" s="133"/>
      <c r="L1109" s="62" t="str">
        <f t="shared" si="93"/>
        <v/>
      </c>
      <c r="M1109" s="14"/>
      <c r="N1109" s="89">
        <f t="array" ref="N1109">SUM(IF((CsDJ[JEV Number]=TRIM($T1097))*(CsDJ[Account Code]=TRIM(K1109)),CsDJ[Debit]))</f>
        <v>0</v>
      </c>
      <c r="O1109" s="89">
        <f t="array" ref="O1109">SUM(IF((CsDJ[JEV Number]=TRIM($T1097))*(CsDJ[Account Code]=TRIM(K1109)),CsDJ[Credit]))</f>
        <v>0</v>
      </c>
      <c r="P1109" s="1040">
        <f>N1109</f>
        <v>0</v>
      </c>
      <c r="Q1109" s="1040"/>
      <c r="R1109" s="1040"/>
      <c r="S1109" s="1040">
        <f>O1109</f>
        <v>0</v>
      </c>
      <c r="T1109" s="1040"/>
      <c r="U1109" s="1040"/>
      <c r="V1109" s="1041"/>
    </row>
    <row r="1110" spans="1:22" x14ac:dyDescent="0.25">
      <c r="A1110" s="1038"/>
      <c r="B1110" s="1039"/>
      <c r="C1110" s="1039"/>
      <c r="D1110" s="1039"/>
      <c r="E1110" s="1045" t="str">
        <f t="shared" si="92"/>
        <v/>
      </c>
      <c r="F1110" s="1046"/>
      <c r="G1110" s="1046"/>
      <c r="H1110" s="1046"/>
      <c r="I1110" s="1046"/>
      <c r="J1110" s="1047"/>
      <c r="K1110" s="133"/>
      <c r="L1110" s="62" t="str">
        <f t="shared" si="93"/>
        <v/>
      </c>
      <c r="M1110" s="14"/>
      <c r="N1110" s="89">
        <f t="array" ref="N1110">SUM(IF((CsDJ[JEV Number]=TRIM($T1097))*(CsDJ[Account Code]=TRIM(K1110)),CsDJ[Debit]))</f>
        <v>0</v>
      </c>
      <c r="O1110" s="89">
        <f t="array" ref="O1110">SUM(IF((CsDJ[JEV Number]=TRIM($T1097))*(CsDJ[Account Code]=TRIM(K1110)),CsDJ[Credit]))</f>
        <v>0</v>
      </c>
      <c r="P1110" s="1040">
        <f t="shared" ref="P1110:P1135" si="94">N1110</f>
        <v>0</v>
      </c>
      <c r="Q1110" s="1040"/>
      <c r="R1110" s="1040"/>
      <c r="S1110" s="1040">
        <f t="shared" ref="S1110:S1135" si="95">O1110</f>
        <v>0</v>
      </c>
      <c r="T1110" s="1040"/>
      <c r="U1110" s="1040"/>
      <c r="V1110" s="1041"/>
    </row>
    <row r="1111" spans="1:22" x14ac:dyDescent="0.25">
      <c r="A1111" s="1038"/>
      <c r="B1111" s="1039"/>
      <c r="C1111" s="1039"/>
      <c r="D1111" s="1039"/>
      <c r="E1111" s="1045" t="str">
        <f t="shared" si="92"/>
        <v/>
      </c>
      <c r="F1111" s="1046"/>
      <c r="G1111" s="1046"/>
      <c r="H1111" s="1046"/>
      <c r="I1111" s="1046"/>
      <c r="J1111" s="1047"/>
      <c r="K1111" s="133"/>
      <c r="L1111" s="62" t="str">
        <f t="shared" si="93"/>
        <v/>
      </c>
      <c r="M1111" s="14"/>
      <c r="N1111" s="89">
        <f t="array" ref="N1111">SUM(IF((CsDJ[JEV Number]=TRIM($T1097))*(CsDJ[Account Code]=TRIM(K1111)),CsDJ[Debit]))</f>
        <v>0</v>
      </c>
      <c r="O1111" s="89">
        <f t="array" ref="O1111">SUM(IF((CsDJ[JEV Number]=TRIM($T1097))*(CsDJ[Account Code]=TRIM(K1111)),CsDJ[Credit]))</f>
        <v>0</v>
      </c>
      <c r="P1111" s="1040">
        <f t="shared" si="94"/>
        <v>0</v>
      </c>
      <c r="Q1111" s="1040"/>
      <c r="R1111" s="1040"/>
      <c r="S1111" s="1040">
        <f t="shared" si="95"/>
        <v>0</v>
      </c>
      <c r="T1111" s="1040"/>
      <c r="U1111" s="1040"/>
      <c r="V1111" s="1041"/>
    </row>
    <row r="1112" spans="1:22" x14ac:dyDescent="0.25">
      <c r="A1112" s="1038"/>
      <c r="B1112" s="1039"/>
      <c r="C1112" s="1039"/>
      <c r="D1112" s="1039"/>
      <c r="E1112" s="1045" t="str">
        <f t="shared" si="92"/>
        <v/>
      </c>
      <c r="F1112" s="1046"/>
      <c r="G1112" s="1046"/>
      <c r="H1112" s="1046"/>
      <c r="I1112" s="1046"/>
      <c r="J1112" s="1047"/>
      <c r="K1112" s="133"/>
      <c r="L1112" s="62" t="str">
        <f t="shared" si="93"/>
        <v/>
      </c>
      <c r="M1112" s="14"/>
      <c r="N1112" s="89">
        <f t="array" ref="N1112">SUM(IF((CsDJ[JEV Number]=TRIM($T1097))*(CsDJ[Account Code]=TRIM(K1112)),CsDJ[Debit]))</f>
        <v>0</v>
      </c>
      <c r="O1112" s="89">
        <f t="array" ref="O1112">SUM(IF((CsDJ[JEV Number]=TRIM($T1097))*(CsDJ[Account Code]=TRIM(K1112)),CsDJ[Credit]))</f>
        <v>0</v>
      </c>
      <c r="P1112" s="1040">
        <f t="shared" si="94"/>
        <v>0</v>
      </c>
      <c r="Q1112" s="1040"/>
      <c r="R1112" s="1040"/>
      <c r="S1112" s="1040">
        <f t="shared" si="95"/>
        <v>0</v>
      </c>
      <c r="T1112" s="1040"/>
      <c r="U1112" s="1040"/>
      <c r="V1112" s="1041"/>
    </row>
    <row r="1113" spans="1:22" x14ac:dyDescent="0.25">
      <c r="A1113" s="1038"/>
      <c r="B1113" s="1039"/>
      <c r="C1113" s="1039"/>
      <c r="D1113" s="1039"/>
      <c r="E1113" s="1045" t="str">
        <f t="shared" si="92"/>
        <v/>
      </c>
      <c r="F1113" s="1046"/>
      <c r="G1113" s="1046"/>
      <c r="H1113" s="1046"/>
      <c r="I1113" s="1046"/>
      <c r="J1113" s="1047"/>
      <c r="K1113" s="133"/>
      <c r="L1113" s="62" t="str">
        <f t="shared" si="93"/>
        <v/>
      </c>
      <c r="M1113" s="14"/>
      <c r="N1113" s="89">
        <f t="array" ref="N1113">SUM(IF((CsDJ[JEV Number]=TRIM($T1097))*(CsDJ[Account Code]=TRIM(K1113)),CsDJ[Debit]))</f>
        <v>0</v>
      </c>
      <c r="O1113" s="89">
        <f t="array" ref="O1113">SUM(IF((CsDJ[JEV Number]=TRIM($T1097))*(CsDJ[Account Code]=TRIM(K1113)),CsDJ[Credit]))</f>
        <v>0</v>
      </c>
      <c r="P1113" s="1040">
        <f t="shared" si="94"/>
        <v>0</v>
      </c>
      <c r="Q1113" s="1040"/>
      <c r="R1113" s="1040"/>
      <c r="S1113" s="1040">
        <f t="shared" si="95"/>
        <v>0</v>
      </c>
      <c r="T1113" s="1040"/>
      <c r="U1113" s="1040"/>
      <c r="V1113" s="1041"/>
    </row>
    <row r="1114" spans="1:22" x14ac:dyDescent="0.25">
      <c r="A1114" s="1038"/>
      <c r="B1114" s="1039"/>
      <c r="C1114" s="1039"/>
      <c r="D1114" s="1039"/>
      <c r="E1114" s="1045" t="str">
        <f t="shared" si="92"/>
        <v/>
      </c>
      <c r="F1114" s="1046"/>
      <c r="G1114" s="1046"/>
      <c r="H1114" s="1046"/>
      <c r="I1114" s="1046"/>
      <c r="J1114" s="1047"/>
      <c r="K1114" s="133"/>
      <c r="L1114" s="62" t="str">
        <f t="shared" si="93"/>
        <v/>
      </c>
      <c r="M1114" s="14"/>
      <c r="N1114" s="89">
        <f t="array" ref="N1114">SUM(IF((CsDJ[JEV Number]=TRIM($T1097))*(CsDJ[Account Code]=TRIM(K1114)),CsDJ[Debit]))</f>
        <v>0</v>
      </c>
      <c r="O1114" s="89">
        <f t="array" ref="O1114">SUM(IF((CsDJ[JEV Number]=TRIM($T1097))*(CsDJ[Account Code]=TRIM(K1114)),CsDJ[Credit]))</f>
        <v>0</v>
      </c>
      <c r="P1114" s="1040">
        <f t="shared" si="94"/>
        <v>0</v>
      </c>
      <c r="Q1114" s="1040"/>
      <c r="R1114" s="1040"/>
      <c r="S1114" s="1040">
        <f t="shared" si="95"/>
        <v>0</v>
      </c>
      <c r="T1114" s="1040"/>
      <c r="U1114" s="1040"/>
      <c r="V1114" s="1041"/>
    </row>
    <row r="1115" spans="1:22" x14ac:dyDescent="0.25">
      <c r="A1115" s="1038"/>
      <c r="B1115" s="1039"/>
      <c r="C1115" s="1039"/>
      <c r="D1115" s="1039"/>
      <c r="E1115" s="1045" t="str">
        <f t="shared" si="92"/>
        <v/>
      </c>
      <c r="F1115" s="1046"/>
      <c r="G1115" s="1046"/>
      <c r="H1115" s="1046"/>
      <c r="I1115" s="1046"/>
      <c r="J1115" s="1047"/>
      <c r="K1115" s="133"/>
      <c r="L1115" s="62" t="str">
        <f t="shared" si="93"/>
        <v/>
      </c>
      <c r="M1115" s="14"/>
      <c r="N1115" s="89">
        <f t="array" ref="N1115">SUM(IF((CsDJ[JEV Number]=TRIM($T1097))*(CsDJ[Account Code]=TRIM(K1115)),CsDJ[Debit]))</f>
        <v>0</v>
      </c>
      <c r="O1115" s="89">
        <f t="array" ref="O1115">SUM(IF((CsDJ[JEV Number]=TRIM($T1097))*(CsDJ[Account Code]=TRIM(K1115)),CsDJ[Credit]))</f>
        <v>0</v>
      </c>
      <c r="P1115" s="1040">
        <f t="shared" si="94"/>
        <v>0</v>
      </c>
      <c r="Q1115" s="1040"/>
      <c r="R1115" s="1040"/>
      <c r="S1115" s="1040">
        <f t="shared" si="95"/>
        <v>0</v>
      </c>
      <c r="T1115" s="1040"/>
      <c r="U1115" s="1040"/>
      <c r="V1115" s="1041"/>
    </row>
    <row r="1116" spans="1:22" x14ac:dyDescent="0.25">
      <c r="A1116" s="1038"/>
      <c r="B1116" s="1039"/>
      <c r="C1116" s="1039"/>
      <c r="D1116" s="1039"/>
      <c r="E1116" s="1045" t="str">
        <f t="shared" si="92"/>
        <v/>
      </c>
      <c r="F1116" s="1046"/>
      <c r="G1116" s="1046"/>
      <c r="H1116" s="1046"/>
      <c r="I1116" s="1046"/>
      <c r="J1116" s="1047"/>
      <c r="K1116" s="134"/>
      <c r="L1116" s="62" t="str">
        <f t="shared" si="93"/>
        <v/>
      </c>
      <c r="M1116" s="14"/>
      <c r="N1116" s="89">
        <f t="array" ref="N1116">SUM(IF((CsDJ[JEV Number]=TRIM($T1097))*(CsDJ[Account Code]=TRIM(K1116)),CsDJ[Debit]))</f>
        <v>0</v>
      </c>
      <c r="O1116" s="89">
        <f t="array" ref="O1116">SUM(IF((CsDJ[JEV Number]=TRIM($T1097))*(CsDJ[Account Code]=TRIM(K1116)),CsDJ[Credit]))</f>
        <v>0</v>
      </c>
      <c r="P1116" s="1040">
        <f t="shared" si="94"/>
        <v>0</v>
      </c>
      <c r="Q1116" s="1040"/>
      <c r="R1116" s="1040"/>
      <c r="S1116" s="1040">
        <f t="shared" si="95"/>
        <v>0</v>
      </c>
      <c r="T1116" s="1040"/>
      <c r="U1116" s="1040"/>
      <c r="V1116" s="1041"/>
    </row>
    <row r="1117" spans="1:22" x14ac:dyDescent="0.25">
      <c r="A1117" s="1038"/>
      <c r="B1117" s="1039"/>
      <c r="C1117" s="1039"/>
      <c r="D1117" s="1039"/>
      <c r="E1117" s="1045" t="str">
        <f t="shared" si="92"/>
        <v/>
      </c>
      <c r="F1117" s="1046"/>
      <c r="G1117" s="1046"/>
      <c r="H1117" s="1046"/>
      <c r="I1117" s="1046"/>
      <c r="J1117" s="1047"/>
      <c r="K1117" s="134"/>
      <c r="L1117" s="62" t="str">
        <f t="shared" si="93"/>
        <v/>
      </c>
      <c r="M1117" s="14"/>
      <c r="N1117" s="89">
        <f t="array" ref="N1117">SUM(IF((CsDJ[JEV Number]=TRIM($T1097))*(CsDJ[Account Code]=TRIM(K1117)),CsDJ[Debit]))</f>
        <v>0</v>
      </c>
      <c r="O1117" s="89">
        <f t="array" ref="O1117">SUM(IF((CsDJ[JEV Number]=TRIM($T1097))*(CsDJ[Account Code]=TRIM(K1117)),CsDJ[Credit]))</f>
        <v>0</v>
      </c>
      <c r="P1117" s="1040">
        <f t="shared" si="94"/>
        <v>0</v>
      </c>
      <c r="Q1117" s="1040"/>
      <c r="R1117" s="1040"/>
      <c r="S1117" s="1040">
        <f t="shared" si="95"/>
        <v>0</v>
      </c>
      <c r="T1117" s="1040"/>
      <c r="U1117" s="1040"/>
      <c r="V1117" s="1041"/>
    </row>
    <row r="1118" spans="1:22" x14ac:dyDescent="0.25">
      <c r="A1118" s="1038"/>
      <c r="B1118" s="1039"/>
      <c r="C1118" s="1039"/>
      <c r="D1118" s="1039"/>
      <c r="E1118" s="1045" t="str">
        <f t="shared" si="92"/>
        <v/>
      </c>
      <c r="F1118" s="1046"/>
      <c r="G1118" s="1046"/>
      <c r="H1118" s="1046"/>
      <c r="I1118" s="1046"/>
      <c r="J1118" s="1047"/>
      <c r="K1118" s="134"/>
      <c r="L1118" s="62" t="str">
        <f t="shared" si="93"/>
        <v/>
      </c>
      <c r="M1118" s="14"/>
      <c r="N1118" s="89">
        <f t="array" ref="N1118">SUM(IF((CsDJ[JEV Number]=TRIM($T1097))*(CsDJ[Account Code]=TRIM(K1118)),CsDJ[Debit]))</f>
        <v>0</v>
      </c>
      <c r="O1118" s="89">
        <f t="array" ref="O1118">SUM(IF((CsDJ[JEV Number]=TRIM($T1097))*(CsDJ[Account Code]=TRIM(K1118)),CsDJ[Credit]))</f>
        <v>0</v>
      </c>
      <c r="P1118" s="1040">
        <f t="shared" si="94"/>
        <v>0</v>
      </c>
      <c r="Q1118" s="1040"/>
      <c r="R1118" s="1040"/>
      <c r="S1118" s="1040">
        <f t="shared" si="95"/>
        <v>0</v>
      </c>
      <c r="T1118" s="1040"/>
      <c r="U1118" s="1040"/>
      <c r="V1118" s="1041"/>
    </row>
    <row r="1119" spans="1:22" x14ac:dyDescent="0.25">
      <c r="A1119" s="1038"/>
      <c r="B1119" s="1039"/>
      <c r="C1119" s="1039"/>
      <c r="D1119" s="1039"/>
      <c r="E1119" s="1045" t="str">
        <f t="shared" si="92"/>
        <v/>
      </c>
      <c r="F1119" s="1046"/>
      <c r="G1119" s="1046"/>
      <c r="H1119" s="1046"/>
      <c r="I1119" s="1046"/>
      <c r="J1119" s="1047"/>
      <c r="K1119" s="134"/>
      <c r="L1119" s="62" t="str">
        <f t="shared" si="93"/>
        <v/>
      </c>
      <c r="M1119" s="14"/>
      <c r="N1119" s="89">
        <f t="array" ref="N1119">SUM(IF((CsDJ[JEV Number]=TRIM($T1097))*(CsDJ[Account Code]=TRIM(K1119)),CsDJ[Debit]))</f>
        <v>0</v>
      </c>
      <c r="O1119" s="89">
        <f t="array" ref="O1119">SUM(IF((CsDJ[JEV Number]=TRIM($T1097))*(CsDJ[Account Code]=TRIM(K1119)),CsDJ[Credit]))</f>
        <v>0</v>
      </c>
      <c r="P1119" s="1040">
        <f t="shared" si="94"/>
        <v>0</v>
      </c>
      <c r="Q1119" s="1040"/>
      <c r="R1119" s="1040"/>
      <c r="S1119" s="1040">
        <f t="shared" si="95"/>
        <v>0</v>
      </c>
      <c r="T1119" s="1040"/>
      <c r="U1119" s="1040"/>
      <c r="V1119" s="1041"/>
    </row>
    <row r="1120" spans="1:22" x14ac:dyDescent="0.25">
      <c r="A1120" s="1038"/>
      <c r="B1120" s="1039"/>
      <c r="C1120" s="1039"/>
      <c r="D1120" s="1039"/>
      <c r="E1120" s="1045" t="str">
        <f t="shared" si="92"/>
        <v/>
      </c>
      <c r="F1120" s="1046"/>
      <c r="G1120" s="1046"/>
      <c r="H1120" s="1046"/>
      <c r="I1120" s="1046"/>
      <c r="J1120" s="1047"/>
      <c r="K1120" s="134"/>
      <c r="L1120" s="62" t="str">
        <f t="shared" si="93"/>
        <v/>
      </c>
      <c r="M1120" s="14"/>
      <c r="N1120" s="89">
        <f t="array" ref="N1120">SUM(IF((CsDJ[JEV Number]=TRIM($T1097))*(CsDJ[Account Code]=TRIM(K1120)),CsDJ[Debit]))</f>
        <v>0</v>
      </c>
      <c r="O1120" s="89">
        <f t="array" ref="O1120">SUM(IF((CsDJ[JEV Number]=TRIM($T1097))*(CsDJ[Account Code]=TRIM(K1120)),CsDJ[Credit]))</f>
        <v>0</v>
      </c>
      <c r="P1120" s="1040">
        <f t="shared" si="94"/>
        <v>0</v>
      </c>
      <c r="Q1120" s="1040"/>
      <c r="R1120" s="1040"/>
      <c r="S1120" s="1040">
        <f t="shared" si="95"/>
        <v>0</v>
      </c>
      <c r="T1120" s="1040"/>
      <c r="U1120" s="1040"/>
      <c r="V1120" s="1041"/>
    </row>
    <row r="1121" spans="1:22" x14ac:dyDescent="0.25">
      <c r="A1121" s="1038"/>
      <c r="B1121" s="1039"/>
      <c r="C1121" s="1039"/>
      <c r="D1121" s="1039"/>
      <c r="E1121" s="1045" t="str">
        <f t="shared" si="92"/>
        <v/>
      </c>
      <c r="F1121" s="1046"/>
      <c r="G1121" s="1046"/>
      <c r="H1121" s="1046"/>
      <c r="I1121" s="1046"/>
      <c r="J1121" s="1047"/>
      <c r="K1121" s="134"/>
      <c r="L1121" s="62" t="str">
        <f t="shared" si="93"/>
        <v/>
      </c>
      <c r="M1121" s="14"/>
      <c r="N1121" s="89">
        <f t="array" ref="N1121">SUM(IF((CsDJ[JEV Number]=TRIM($T1097))*(CsDJ[Account Code]=TRIM(K1121)),CsDJ[Debit]))</f>
        <v>0</v>
      </c>
      <c r="O1121" s="89">
        <f t="array" ref="O1121">SUM(IF((CsDJ[JEV Number]=TRIM($T1097))*(CsDJ[Account Code]=TRIM(K1121)),CsDJ[Credit]))</f>
        <v>0</v>
      </c>
      <c r="P1121" s="1040">
        <f t="shared" si="94"/>
        <v>0</v>
      </c>
      <c r="Q1121" s="1040"/>
      <c r="R1121" s="1040"/>
      <c r="S1121" s="1040">
        <f t="shared" si="95"/>
        <v>0</v>
      </c>
      <c r="T1121" s="1040"/>
      <c r="U1121" s="1040"/>
      <c r="V1121" s="1041"/>
    </row>
    <row r="1122" spans="1:22" x14ac:dyDescent="0.25">
      <c r="A1122" s="1038"/>
      <c r="B1122" s="1039"/>
      <c r="C1122" s="1039"/>
      <c r="D1122" s="1039"/>
      <c r="E1122" s="1045" t="str">
        <f t="shared" si="92"/>
        <v/>
      </c>
      <c r="F1122" s="1046"/>
      <c r="G1122" s="1046"/>
      <c r="H1122" s="1046"/>
      <c r="I1122" s="1046"/>
      <c r="J1122" s="1047"/>
      <c r="K1122" s="134"/>
      <c r="L1122" s="62" t="str">
        <f t="shared" si="93"/>
        <v/>
      </c>
      <c r="M1122" s="14"/>
      <c r="N1122" s="89">
        <f t="array" ref="N1122">SUM(IF((CsDJ[JEV Number]=TRIM($T1097))*(CsDJ[Account Code]=TRIM(K1122)),CsDJ[Debit]))</f>
        <v>0</v>
      </c>
      <c r="O1122" s="89">
        <f t="array" ref="O1122">SUM(IF((CsDJ[JEV Number]=TRIM($T1097))*(CsDJ[Account Code]=TRIM(K1122)),CsDJ[Credit]))</f>
        <v>0</v>
      </c>
      <c r="P1122" s="1040">
        <f t="shared" si="94"/>
        <v>0</v>
      </c>
      <c r="Q1122" s="1040"/>
      <c r="R1122" s="1040"/>
      <c r="S1122" s="1040">
        <f t="shared" si="95"/>
        <v>0</v>
      </c>
      <c r="T1122" s="1040"/>
      <c r="U1122" s="1040"/>
      <c r="V1122" s="1041"/>
    </row>
    <row r="1123" spans="1:22" x14ac:dyDescent="0.25">
      <c r="A1123" s="1038"/>
      <c r="B1123" s="1039"/>
      <c r="C1123" s="1039"/>
      <c r="D1123" s="1039"/>
      <c r="E1123" s="1045" t="str">
        <f t="shared" si="92"/>
        <v/>
      </c>
      <c r="F1123" s="1046"/>
      <c r="G1123" s="1046"/>
      <c r="H1123" s="1046"/>
      <c r="I1123" s="1046"/>
      <c r="J1123" s="1047"/>
      <c r="K1123" s="134"/>
      <c r="L1123" s="62" t="str">
        <f t="shared" si="93"/>
        <v/>
      </c>
      <c r="M1123" s="14"/>
      <c r="N1123" s="89">
        <f t="array" ref="N1123">SUM(IF((CsDJ[JEV Number]=TRIM($T1097))*(CsDJ[Account Code]=TRIM(K1123)),CsDJ[Debit]))</f>
        <v>0</v>
      </c>
      <c r="O1123" s="89">
        <f t="array" ref="O1123">SUM(IF((CsDJ[JEV Number]=TRIM($T1097))*(CsDJ[Account Code]=TRIM(K1123)),CsDJ[Credit]))</f>
        <v>0</v>
      </c>
      <c r="P1123" s="1040">
        <f t="shared" si="94"/>
        <v>0</v>
      </c>
      <c r="Q1123" s="1040"/>
      <c r="R1123" s="1040"/>
      <c r="S1123" s="1040">
        <f t="shared" si="95"/>
        <v>0</v>
      </c>
      <c r="T1123" s="1040"/>
      <c r="U1123" s="1040"/>
      <c r="V1123" s="1041"/>
    </row>
    <row r="1124" spans="1:22" x14ac:dyDescent="0.25">
      <c r="A1124" s="1038"/>
      <c r="B1124" s="1039"/>
      <c r="C1124" s="1039"/>
      <c r="D1124" s="1039"/>
      <c r="E1124" s="1045" t="str">
        <f t="shared" si="92"/>
        <v/>
      </c>
      <c r="F1124" s="1046"/>
      <c r="G1124" s="1046"/>
      <c r="H1124" s="1046"/>
      <c r="I1124" s="1046"/>
      <c r="J1124" s="1047"/>
      <c r="K1124" s="134"/>
      <c r="L1124" s="62" t="str">
        <f t="shared" si="93"/>
        <v/>
      </c>
      <c r="M1124" s="14"/>
      <c r="N1124" s="89">
        <f t="array" ref="N1124">SUM(IF((CsDJ[JEV Number]=TRIM($T1097))*(CsDJ[Account Code]=TRIM(K1124)),CsDJ[Debit]))</f>
        <v>0</v>
      </c>
      <c r="O1124" s="89">
        <f t="array" ref="O1124">SUM(IF((CsDJ[JEV Number]=TRIM($T1097))*(CsDJ[Account Code]=TRIM(K1124)),CsDJ[Credit]))</f>
        <v>0</v>
      </c>
      <c r="P1124" s="1040">
        <f t="shared" si="94"/>
        <v>0</v>
      </c>
      <c r="Q1124" s="1040"/>
      <c r="R1124" s="1040"/>
      <c r="S1124" s="1040">
        <f t="shared" si="95"/>
        <v>0</v>
      </c>
      <c r="T1124" s="1040"/>
      <c r="U1124" s="1040"/>
      <c r="V1124" s="1041"/>
    </row>
    <row r="1125" spans="1:22" x14ac:dyDescent="0.25">
      <c r="A1125" s="1038"/>
      <c r="B1125" s="1039"/>
      <c r="C1125" s="1039"/>
      <c r="D1125" s="1039"/>
      <c r="E1125" s="1045" t="str">
        <f t="shared" si="92"/>
        <v/>
      </c>
      <c r="F1125" s="1046"/>
      <c r="G1125" s="1046"/>
      <c r="H1125" s="1046"/>
      <c r="I1125" s="1046"/>
      <c r="J1125" s="1047"/>
      <c r="K1125" s="134"/>
      <c r="L1125" s="62" t="str">
        <f t="shared" si="93"/>
        <v/>
      </c>
      <c r="M1125" s="14"/>
      <c r="N1125" s="89">
        <f t="array" ref="N1125">SUM(IF((CsDJ[JEV Number]=TRIM($T1097))*(CsDJ[Account Code]=TRIM(K1125)),CsDJ[Debit]))</f>
        <v>0</v>
      </c>
      <c r="O1125" s="89">
        <f t="array" ref="O1125">SUM(IF((CsDJ[JEV Number]=TRIM($T1097))*(CsDJ[Account Code]=TRIM(K1125)),CsDJ[Credit]))</f>
        <v>0</v>
      </c>
      <c r="P1125" s="1040">
        <f t="shared" si="94"/>
        <v>0</v>
      </c>
      <c r="Q1125" s="1040"/>
      <c r="R1125" s="1040"/>
      <c r="S1125" s="1040">
        <f t="shared" si="95"/>
        <v>0</v>
      </c>
      <c r="T1125" s="1040"/>
      <c r="U1125" s="1040"/>
      <c r="V1125" s="1041"/>
    </row>
    <row r="1126" spans="1:22" x14ac:dyDescent="0.25">
      <c r="A1126" s="1038"/>
      <c r="B1126" s="1039"/>
      <c r="C1126" s="1039"/>
      <c r="D1126" s="1039"/>
      <c r="E1126" s="1045" t="str">
        <f t="shared" si="92"/>
        <v/>
      </c>
      <c r="F1126" s="1046"/>
      <c r="G1126" s="1046"/>
      <c r="H1126" s="1046"/>
      <c r="I1126" s="1046"/>
      <c r="J1126" s="1047"/>
      <c r="K1126" s="134"/>
      <c r="L1126" s="62" t="str">
        <f t="shared" si="93"/>
        <v/>
      </c>
      <c r="M1126" s="14"/>
      <c r="N1126" s="89">
        <f t="array" ref="N1126">SUM(IF((CsDJ[JEV Number]=TRIM($T1097))*(CsDJ[Account Code]=TRIM(K1126)),CsDJ[Debit]))</f>
        <v>0</v>
      </c>
      <c r="O1126" s="89">
        <f t="array" ref="O1126">SUM(IF((CsDJ[JEV Number]=TRIM($T1097))*(CsDJ[Account Code]=TRIM(K1126)),CsDJ[Credit]))</f>
        <v>0</v>
      </c>
      <c r="P1126" s="1040">
        <f t="shared" si="94"/>
        <v>0</v>
      </c>
      <c r="Q1126" s="1040"/>
      <c r="R1126" s="1040"/>
      <c r="S1126" s="1040">
        <f t="shared" si="95"/>
        <v>0</v>
      </c>
      <c r="T1126" s="1040"/>
      <c r="U1126" s="1040"/>
      <c r="V1126" s="1041"/>
    </row>
    <row r="1127" spans="1:22" x14ac:dyDescent="0.25">
      <c r="A1127" s="1038"/>
      <c r="B1127" s="1039"/>
      <c r="C1127" s="1039"/>
      <c r="D1127" s="1039"/>
      <c r="E1127" s="1045" t="str">
        <f t="shared" si="92"/>
        <v/>
      </c>
      <c r="F1127" s="1046"/>
      <c r="G1127" s="1046"/>
      <c r="H1127" s="1046"/>
      <c r="I1127" s="1046"/>
      <c r="J1127" s="1047"/>
      <c r="K1127" s="134"/>
      <c r="L1127" s="62" t="str">
        <f t="shared" si="93"/>
        <v/>
      </c>
      <c r="M1127" s="14"/>
      <c r="N1127" s="89">
        <f t="array" ref="N1127">SUM(IF((CsDJ[JEV Number]=TRIM($T1097))*(CsDJ[Account Code]=TRIM(K1127)),CsDJ[Debit]))</f>
        <v>0</v>
      </c>
      <c r="O1127" s="89">
        <f t="array" ref="O1127">SUM(IF((CsDJ[JEV Number]=TRIM($T1097))*(CsDJ[Account Code]=TRIM(K1127)),CsDJ[Credit]))</f>
        <v>0</v>
      </c>
      <c r="P1127" s="1040">
        <f t="shared" si="94"/>
        <v>0</v>
      </c>
      <c r="Q1127" s="1040"/>
      <c r="R1127" s="1040"/>
      <c r="S1127" s="1040">
        <f t="shared" si="95"/>
        <v>0</v>
      </c>
      <c r="T1127" s="1040"/>
      <c r="U1127" s="1040"/>
      <c r="V1127" s="1041"/>
    </row>
    <row r="1128" spans="1:22" x14ac:dyDescent="0.25">
      <c r="A1128" s="1038"/>
      <c r="B1128" s="1039"/>
      <c r="C1128" s="1039"/>
      <c r="D1128" s="1039"/>
      <c r="E1128" s="1045" t="str">
        <f t="shared" si="92"/>
        <v/>
      </c>
      <c r="F1128" s="1046"/>
      <c r="G1128" s="1046"/>
      <c r="H1128" s="1046"/>
      <c r="I1128" s="1046"/>
      <c r="J1128" s="1047"/>
      <c r="K1128" s="134"/>
      <c r="L1128" s="62" t="str">
        <f t="shared" si="93"/>
        <v/>
      </c>
      <c r="M1128" s="14"/>
      <c r="N1128" s="89">
        <f t="array" ref="N1128">SUM(IF((CsDJ[JEV Number]=TRIM($T1097))*(CsDJ[Account Code]=TRIM(K1128)),CsDJ[Debit]))</f>
        <v>0</v>
      </c>
      <c r="O1128" s="89">
        <f t="array" ref="O1128">SUM(IF((CsDJ[JEV Number]=TRIM($T1097))*(CsDJ[Account Code]=TRIM(K1128)),CsDJ[Credit]))</f>
        <v>0</v>
      </c>
      <c r="P1128" s="1040">
        <f t="shared" si="94"/>
        <v>0</v>
      </c>
      <c r="Q1128" s="1040"/>
      <c r="R1128" s="1040"/>
      <c r="S1128" s="1040">
        <f t="shared" si="95"/>
        <v>0</v>
      </c>
      <c r="T1128" s="1040"/>
      <c r="U1128" s="1040"/>
      <c r="V1128" s="1041"/>
    </row>
    <row r="1129" spans="1:22" x14ac:dyDescent="0.25">
      <c r="A1129" s="1038"/>
      <c r="B1129" s="1039"/>
      <c r="C1129" s="1039"/>
      <c r="D1129" s="1039"/>
      <c r="E1129" s="1045" t="str">
        <f t="shared" si="92"/>
        <v/>
      </c>
      <c r="F1129" s="1046"/>
      <c r="G1129" s="1046"/>
      <c r="H1129" s="1046"/>
      <c r="I1129" s="1046"/>
      <c r="J1129" s="1047"/>
      <c r="K1129" s="134"/>
      <c r="L1129" s="62" t="str">
        <f t="shared" si="93"/>
        <v/>
      </c>
      <c r="M1129" s="14"/>
      <c r="N1129" s="89">
        <f t="array" ref="N1129">SUM(IF((CsDJ[JEV Number]=TRIM($T1097))*(CsDJ[Account Code]=TRIM(K1129)),CsDJ[Debit]))</f>
        <v>0</v>
      </c>
      <c r="O1129" s="89">
        <f t="array" ref="O1129">SUM(IF((CsDJ[JEV Number]=TRIM($T1097))*(CsDJ[Account Code]=TRIM(K1129)),CsDJ[Credit]))</f>
        <v>0</v>
      </c>
      <c r="P1129" s="1040">
        <f t="shared" si="94"/>
        <v>0</v>
      </c>
      <c r="Q1129" s="1040"/>
      <c r="R1129" s="1040"/>
      <c r="S1129" s="1040">
        <f t="shared" si="95"/>
        <v>0</v>
      </c>
      <c r="T1129" s="1040"/>
      <c r="U1129" s="1040"/>
      <c r="V1129" s="1041"/>
    </row>
    <row r="1130" spans="1:22" x14ac:dyDescent="0.25">
      <c r="A1130" s="1038"/>
      <c r="B1130" s="1039"/>
      <c r="C1130" s="1039"/>
      <c r="D1130" s="1039"/>
      <c r="E1130" s="1045" t="str">
        <f t="shared" si="92"/>
        <v/>
      </c>
      <c r="F1130" s="1046"/>
      <c r="G1130" s="1046"/>
      <c r="H1130" s="1046"/>
      <c r="I1130" s="1046"/>
      <c r="J1130" s="1047"/>
      <c r="K1130" s="134"/>
      <c r="L1130" s="62" t="str">
        <f t="shared" si="93"/>
        <v/>
      </c>
      <c r="M1130" s="14"/>
      <c r="N1130" s="89">
        <f t="array" ref="N1130">SUM(IF((CsDJ[JEV Number]=TRIM($T1097))*(CsDJ[Account Code]=TRIM(K1130)),CsDJ[Debit]))</f>
        <v>0</v>
      </c>
      <c r="O1130" s="89">
        <f t="array" ref="O1130">SUM(IF((CsDJ[JEV Number]=TRIM($T1097))*(CsDJ[Account Code]=TRIM(K1130)),CsDJ[Credit]))</f>
        <v>0</v>
      </c>
      <c r="P1130" s="1040">
        <f t="shared" si="94"/>
        <v>0</v>
      </c>
      <c r="Q1130" s="1040"/>
      <c r="R1130" s="1040"/>
      <c r="S1130" s="1040">
        <f t="shared" si="95"/>
        <v>0</v>
      </c>
      <c r="T1130" s="1040"/>
      <c r="U1130" s="1040"/>
      <c r="V1130" s="1041"/>
    </row>
    <row r="1131" spans="1:22" x14ac:dyDescent="0.25">
      <c r="A1131" s="1038"/>
      <c r="B1131" s="1039"/>
      <c r="C1131" s="1039"/>
      <c r="D1131" s="1039"/>
      <c r="E1131" s="1108" t="s">
        <v>468</v>
      </c>
      <c r="F1131" s="1109"/>
      <c r="G1131" s="1109"/>
      <c r="H1131" s="1109"/>
      <c r="I1131" s="1109"/>
      <c r="J1131" s="1110"/>
      <c r="K1131" s="133"/>
      <c r="L1131" s="62" t="str">
        <f t="shared" si="93"/>
        <v/>
      </c>
      <c r="M1131" s="14"/>
      <c r="N1131" s="89">
        <f t="array" ref="N1131">SUM(IF((CsDJ[JEV Number]=TRIM($T1097))*(CsDJ[Account Code]=TRIM(K1131)),CsDJ[Debit]))</f>
        <v>0</v>
      </c>
      <c r="O1131" s="89">
        <f t="array" ref="O1131">SUM(IF((CsDJ[JEV Number]=TRIM($T1097))*(CsDJ[Account Code]=TRIM(K1131)),CsDJ[Credit]))</f>
        <v>0</v>
      </c>
      <c r="P1131" s="1040">
        <f t="shared" si="94"/>
        <v>0</v>
      </c>
      <c r="Q1131" s="1040"/>
      <c r="R1131" s="1040"/>
      <c r="S1131" s="1040">
        <f t="shared" si="95"/>
        <v>0</v>
      </c>
      <c r="T1131" s="1040"/>
      <c r="U1131" s="1040"/>
      <c r="V1131" s="1041"/>
    </row>
    <row r="1132" spans="1:22" x14ac:dyDescent="0.25">
      <c r="A1132" s="1038"/>
      <c r="B1132" s="1039"/>
      <c r="C1132" s="1039"/>
      <c r="D1132" s="1039"/>
      <c r="E1132" s="1048" t="s">
        <v>457</v>
      </c>
      <c r="F1132" s="1049"/>
      <c r="G1132" s="1049"/>
      <c r="H1132" s="1049"/>
      <c r="I1132" s="1051">
        <f>T1098</f>
        <v>0</v>
      </c>
      <c r="J1132" s="1052"/>
      <c r="K1132" s="133"/>
      <c r="L1132" s="62" t="str">
        <f t="shared" si="93"/>
        <v/>
      </c>
      <c r="M1132" s="14"/>
      <c r="N1132" s="89">
        <f t="array" ref="N1132">SUM(IF((CsDJ[JEV Number]=TRIM($T1097))*(CsDJ[Account Code]=TRIM(K1132)),CsDJ[Debit]))</f>
        <v>0</v>
      </c>
      <c r="O1132" s="89">
        <f t="array" ref="O1132">SUM(IF((CsDJ[JEV Number]=TRIM($T1097))*(CsDJ[Account Code]=TRIM(K1132)),CsDJ[Credit]))</f>
        <v>0</v>
      </c>
      <c r="P1132" s="1040">
        <f t="shared" si="94"/>
        <v>0</v>
      </c>
      <c r="Q1132" s="1040"/>
      <c r="R1132" s="1040"/>
      <c r="S1132" s="1040">
        <f t="shared" si="95"/>
        <v>0</v>
      </c>
      <c r="T1132" s="1040"/>
      <c r="U1132" s="1040"/>
      <c r="V1132" s="1041"/>
    </row>
    <row r="1133" spans="1:22" x14ac:dyDescent="0.25">
      <c r="A1133" s="1038"/>
      <c r="B1133" s="1039"/>
      <c r="C1133" s="1039"/>
      <c r="D1133" s="1039"/>
      <c r="E1133" s="1048" t="s">
        <v>458</v>
      </c>
      <c r="F1133" s="1049"/>
      <c r="G1133" s="1049"/>
      <c r="H1133" s="1049"/>
      <c r="I1133" s="1106">
        <f>IF(T1097=0,0,(IF(LOOKUP(T1097,CsDJ[JEV Number],CsDJ[Sort Code])="1","MA. VIVIAN C. SALAS",IF(LOOKUP(T1097,CsDJ[JEV Number],CsDJ[Sort Code])="2","LUZ R. DE COZAR",IF(LOOKUP(T1097,CsDJ[JEV Number],CsDJ[Sort Code])="3","MINEONETTE A. DELA CRUZ",IF(LOOKUP(T1097,CsDJ[JEV Number],CsDJ[Sort Code])="4","RESELLA B. LOPEZ"))))))</f>
        <v>0</v>
      </c>
      <c r="J1133" s="1107"/>
      <c r="K1133" s="133"/>
      <c r="L1133" s="62" t="str">
        <f t="shared" si="93"/>
        <v/>
      </c>
      <c r="M1133" s="14"/>
      <c r="N1133" s="89">
        <f t="array" ref="N1133">SUM(IF((CsDJ[JEV Number]=TRIM($T1097))*(CsDJ[Account Code]=TRIM(K1133)),CsDJ[Debit]))</f>
        <v>0</v>
      </c>
      <c r="O1133" s="89">
        <f t="array" ref="O1133">SUM(IF((CsDJ[JEV Number]=TRIM($T1097))*(CsDJ[Account Code]=TRIM(K1133)),CsDJ[Credit]))</f>
        <v>0</v>
      </c>
      <c r="P1133" s="1040">
        <f t="shared" si="94"/>
        <v>0</v>
      </c>
      <c r="Q1133" s="1040"/>
      <c r="R1133" s="1040"/>
      <c r="S1133" s="1040">
        <f t="shared" si="95"/>
        <v>0</v>
      </c>
      <c r="T1133" s="1040"/>
      <c r="U1133" s="1040"/>
      <c r="V1133" s="1041"/>
    </row>
    <row r="1134" spans="1:22" x14ac:dyDescent="0.25">
      <c r="A1134" s="1038"/>
      <c r="B1134" s="1039"/>
      <c r="C1134" s="1039"/>
      <c r="D1134" s="1039"/>
      <c r="E1134" s="1048" t="s">
        <v>459</v>
      </c>
      <c r="F1134" s="1049"/>
      <c r="G1134" s="1049"/>
      <c r="H1134" s="1049"/>
      <c r="I1134" s="1043">
        <f>IF(I1133="Ma. Vivian C. Salas","Regional Office", IF(I1133="Luz R. De Cozar","BANE IMO", IF(I1133="Mineonette A. Dela Cruz","PAMBAT IMO", IF(I1133="Resella B. Lopez","TARZAM IMO",0))))</f>
        <v>0</v>
      </c>
      <c r="J1134" s="1044"/>
      <c r="K1134" s="133"/>
      <c r="L1134" s="62" t="str">
        <f t="shared" si="93"/>
        <v/>
      </c>
      <c r="M1134" s="14"/>
      <c r="N1134" s="89">
        <f t="array" ref="N1134">SUM(IF((CsDJ[JEV Number]=TRIM($T1097))*(CsDJ[Account Code]=TRIM(K1134)),CsDJ[Debit]))</f>
        <v>0</v>
      </c>
      <c r="O1134" s="89">
        <f t="array" ref="O1134">SUM(IF((CsDJ[JEV Number]=TRIM($T1097))*(CsDJ[Account Code]=TRIM(K1134)),CsDJ[Credit]))</f>
        <v>0</v>
      </c>
      <c r="P1134" s="1040">
        <f t="shared" si="94"/>
        <v>0</v>
      </c>
      <c r="Q1134" s="1040"/>
      <c r="R1134" s="1040"/>
      <c r="S1134" s="1040">
        <f t="shared" si="95"/>
        <v>0</v>
      </c>
      <c r="T1134" s="1040"/>
      <c r="U1134" s="1040"/>
      <c r="V1134" s="1041"/>
    </row>
    <row r="1135" spans="1:22" x14ac:dyDescent="0.25">
      <c r="A1135" s="1038"/>
      <c r="B1135" s="1039"/>
      <c r="C1135" s="1039"/>
      <c r="D1135" s="1039"/>
      <c r="E1135" s="1048"/>
      <c r="F1135" s="1049"/>
      <c r="G1135" s="1049"/>
      <c r="H1135" s="1049"/>
      <c r="I1135" s="1049"/>
      <c r="J1135" s="1050"/>
      <c r="K1135" s="133"/>
      <c r="L1135" s="62" t="str">
        <f t="shared" si="93"/>
        <v/>
      </c>
      <c r="M1135" s="14"/>
      <c r="N1135" s="89">
        <f t="array" ref="N1135">SUM(IF((CsDJ[JEV Number]=TRIM($T1097))*(CsDJ[Account Code]=TRIM(K1135)),CsDJ[Debit]))</f>
        <v>0</v>
      </c>
      <c r="O1135" s="89">
        <f t="array" ref="O1135">SUM(IF((CsDJ[JEV Number]=TRIM($T1097))*(CsDJ[Account Code]=TRIM(K1135)),CsDJ[Credit]))</f>
        <v>0</v>
      </c>
      <c r="P1135" s="1040">
        <f t="shared" si="94"/>
        <v>0</v>
      </c>
      <c r="Q1135" s="1040"/>
      <c r="R1135" s="1040"/>
      <c r="S1135" s="1040">
        <f t="shared" si="95"/>
        <v>0</v>
      </c>
      <c r="T1135" s="1040"/>
      <c r="U1135" s="1040"/>
      <c r="V1135" s="1041"/>
    </row>
    <row r="1136" spans="1:22" ht="16.5" thickBot="1" x14ac:dyDescent="0.3">
      <c r="A1136" s="1091"/>
      <c r="B1136" s="1092"/>
      <c r="C1136" s="1092"/>
      <c r="D1136" s="1092"/>
      <c r="E1136" s="1092"/>
      <c r="F1136" s="1092"/>
      <c r="G1136" s="1092"/>
      <c r="H1136" s="1092"/>
      <c r="I1136" s="1092"/>
      <c r="J1136" s="1092"/>
      <c r="K1136" s="1092"/>
      <c r="L1136" s="1092"/>
      <c r="M1136" s="1093"/>
      <c r="N1136" s="88"/>
      <c r="O1136" s="88"/>
      <c r="P1136" s="1094">
        <f>SUM(P1106:R1135)</f>
        <v>0</v>
      </c>
      <c r="Q1136" s="1094"/>
      <c r="R1136" s="1094"/>
      <c r="S1136" s="1094">
        <f>SUM(S1106:V1135)</f>
        <v>0</v>
      </c>
      <c r="T1136" s="1094"/>
      <c r="U1136" s="1094"/>
      <c r="V1136" s="1095"/>
    </row>
    <row r="1137" spans="1:22" x14ac:dyDescent="0.25">
      <c r="A1137" s="63"/>
      <c r="B1137" s="64"/>
      <c r="C1137" s="64"/>
      <c r="D1137" s="64"/>
      <c r="E1137" s="64"/>
      <c r="F1137" s="64"/>
      <c r="G1137" s="64"/>
      <c r="H1137" s="64"/>
      <c r="I1137" s="65"/>
      <c r="J1137" s="64"/>
      <c r="K1137" s="66"/>
      <c r="L1137" s="64"/>
      <c r="M1137" s="65"/>
      <c r="N1137" s="64"/>
      <c r="O1137" s="64"/>
      <c r="P1137" s="1090"/>
      <c r="Q1137" s="1090"/>
      <c r="R1137" s="1090"/>
      <c r="S1137" s="1090"/>
      <c r="T1137" s="1090"/>
      <c r="U1137" s="1090"/>
      <c r="V1137" s="1096"/>
    </row>
    <row r="1138" spans="1:22" x14ac:dyDescent="0.25">
      <c r="A1138" s="67" t="s">
        <v>460</v>
      </c>
      <c r="B1138"/>
      <c r="C1138"/>
      <c r="D1138"/>
      <c r="E1138"/>
      <c r="F1138"/>
      <c r="G1138"/>
      <c r="H1138"/>
      <c r="I1138" s="68" t="s">
        <v>353</v>
      </c>
      <c r="J1138" s="69"/>
      <c r="K1138" s="69"/>
      <c r="L1138"/>
      <c r="M1138" s="68" t="s">
        <v>461</v>
      </c>
      <c r="N1138" s="69"/>
      <c r="O1138" s="69"/>
      <c r="P1138" s="70"/>
      <c r="Q1138" s="70"/>
      <c r="R1138" s="70"/>
      <c r="S1138" s="70"/>
      <c r="T1138" s="70"/>
      <c r="U1138" s="70"/>
      <c r="V1138" s="71"/>
    </row>
    <row r="1139" spans="1:22" x14ac:dyDescent="0.25">
      <c r="A1139" s="37"/>
      <c r="B1139"/>
      <c r="C1139"/>
      <c r="D1139"/>
      <c r="E1139"/>
      <c r="F1139"/>
      <c r="G1139"/>
      <c r="H1139"/>
      <c r="I1139" s="72"/>
      <c r="J1139"/>
      <c r="K1139"/>
      <c r="L1139"/>
      <c r="M1139" s="72"/>
      <c r="N1139"/>
      <c r="O1139"/>
      <c r="P1139"/>
      <c r="Q1139"/>
      <c r="R1139"/>
      <c r="S1139"/>
      <c r="T1139"/>
      <c r="U1139"/>
      <c r="V1139" s="73"/>
    </row>
    <row r="1140" spans="1:22" x14ac:dyDescent="0.25">
      <c r="A1140" s="74" t="s">
        <v>462</v>
      </c>
      <c r="B1140" s="75"/>
      <c r="C1140" s="75"/>
      <c r="D1140" s="75"/>
      <c r="E1140" s="75"/>
      <c r="F1140" s="75"/>
      <c r="G1140" s="75"/>
      <c r="H1140" s="76"/>
      <c r="I1140" s="77" t="s">
        <v>380</v>
      </c>
      <c r="J1140" s="75"/>
      <c r="K1140" s="75"/>
      <c r="L1140" s="76"/>
      <c r="M1140" s="77" t="s">
        <v>3</v>
      </c>
      <c r="N1140" s="75"/>
      <c r="O1140" s="75"/>
      <c r="P1140" s="75"/>
      <c r="Q1140" s="75"/>
      <c r="R1140" s="75"/>
      <c r="S1140" s="75"/>
      <c r="T1140" s="75"/>
      <c r="U1140" s="75"/>
      <c r="V1140" s="78"/>
    </row>
    <row r="1141" spans="1:22" x14ac:dyDescent="0.25">
      <c r="A1141" s="79" t="s">
        <v>463</v>
      </c>
      <c r="B1141" s="80"/>
      <c r="C1141" s="80"/>
      <c r="D1141" s="80"/>
      <c r="E1141" s="80"/>
      <c r="F1141" s="80"/>
      <c r="G1141" s="80"/>
      <c r="H1141" s="80"/>
      <c r="I1141" s="81" t="s">
        <v>381</v>
      </c>
      <c r="J1141" s="80"/>
      <c r="K1141" s="80"/>
      <c r="L1141" s="80"/>
      <c r="M1141" s="81" t="s">
        <v>464</v>
      </c>
      <c r="N1141" s="80"/>
      <c r="O1141" s="80"/>
      <c r="P1141" s="82"/>
      <c r="Q1141" s="82"/>
      <c r="R1141" s="82"/>
      <c r="S1141" s="82"/>
      <c r="T1141" s="82"/>
      <c r="U1141" s="82"/>
      <c r="V1141" s="83"/>
    </row>
    <row r="1142" spans="1:22" ht="16.5" thickBot="1" x14ac:dyDescent="0.3">
      <c r="A1142" s="84" t="s">
        <v>465</v>
      </c>
      <c r="B1142" s="43"/>
      <c r="C1142" s="43"/>
      <c r="D1142" s="43"/>
      <c r="E1142" s="43"/>
      <c r="F1142" s="43"/>
      <c r="G1142" s="43"/>
      <c r="H1142" s="43"/>
      <c r="I1142" s="85"/>
      <c r="J1142" s="43"/>
      <c r="K1142" s="43"/>
      <c r="L1142" s="43"/>
      <c r="M1142" s="85"/>
      <c r="N1142" s="43"/>
      <c r="O1142" s="43"/>
      <c r="P1142" s="43"/>
      <c r="Q1142" s="43"/>
      <c r="R1142" s="43"/>
      <c r="S1142" s="43"/>
      <c r="T1142" s="43"/>
      <c r="U1142" s="43"/>
      <c r="V1142" s="44"/>
    </row>
    <row r="1143" spans="1:22" ht="22.5" x14ac:dyDescent="0.25">
      <c r="A1143" s="31" t="s">
        <v>441</v>
      </c>
      <c r="B1143" s="32"/>
      <c r="C1143" s="32"/>
      <c r="D1143" s="32"/>
      <c r="E1143" s="32"/>
      <c r="F1143" s="32"/>
      <c r="G1143" s="32"/>
      <c r="H1143" s="32"/>
      <c r="I1143" s="32"/>
      <c r="J1143" s="32"/>
      <c r="K1143" s="32"/>
      <c r="L1143" s="32"/>
      <c r="M1143" s="32"/>
      <c r="N1143" s="32"/>
      <c r="O1143" s="32"/>
      <c r="P1143" s="32"/>
      <c r="Q1143" s="33"/>
      <c r="R1143" s="1053">
        <f>+P1183-S1183</f>
        <v>0</v>
      </c>
      <c r="S1143" s="1054"/>
      <c r="T1143" s="1054"/>
      <c r="U1143" s="1054"/>
      <c r="V1143" s="1055"/>
    </row>
    <row r="1144" spans="1:22" x14ac:dyDescent="0.25">
      <c r="A1144" s="34" t="s">
        <v>442</v>
      </c>
      <c r="B1144" s="35"/>
      <c r="C1144" s="35"/>
      <c r="D1144" s="35"/>
      <c r="E1144" s="35"/>
      <c r="F1144" s="35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6"/>
      <c r="R1144" s="37" t="s">
        <v>443</v>
      </c>
      <c r="S1144"/>
      <c r="T1144" s="1056"/>
      <c r="U1144" s="1056"/>
      <c r="V1144" s="1057"/>
    </row>
    <row r="1145" spans="1:22" x14ac:dyDescent="0.25">
      <c r="A1145" s="38" t="s">
        <v>444</v>
      </c>
      <c r="B1145" s="35"/>
      <c r="C1145" s="35"/>
      <c r="D1145" s="35"/>
      <c r="E1145" s="35"/>
      <c r="F1145" s="35"/>
      <c r="G1145" s="35"/>
      <c r="H1145" s="35"/>
      <c r="I1145" s="35"/>
      <c r="J1145" s="35"/>
      <c r="K1145" s="35"/>
      <c r="L1145" s="35"/>
      <c r="M1145" s="35"/>
      <c r="N1145" s="35"/>
      <c r="O1145" s="35"/>
      <c r="P1145" s="35"/>
      <c r="Q1145" s="36"/>
      <c r="R1145" s="37" t="s">
        <v>0</v>
      </c>
      <c r="S1145"/>
      <c r="T1145" s="1058">
        <f>IF(T1144=0,0,(LOOKUP(T1144,CsDJ[JEV Number],CsDJ[Date])))</f>
        <v>0</v>
      </c>
      <c r="U1145" s="1058"/>
      <c r="V1145" s="1059"/>
    </row>
    <row r="1146" spans="1:22" ht="16.5" thickBot="1" x14ac:dyDescent="0.3">
      <c r="A1146" s="39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1"/>
      <c r="R1146" s="42"/>
      <c r="S1146" s="43"/>
      <c r="T1146" s="43"/>
      <c r="U1146" s="43"/>
      <c r="V1146" s="44"/>
    </row>
    <row r="1147" spans="1:22" x14ac:dyDescent="0.25">
      <c r="A1147" s="45"/>
      <c r="B1147" s="46"/>
      <c r="C1147" s="46"/>
      <c r="D1147" s="46"/>
      <c r="E1147" s="46"/>
      <c r="F1147" s="46"/>
      <c r="G1147" s="46"/>
      <c r="H1147" s="46"/>
      <c r="I1147" s="46"/>
      <c r="J1147" s="46"/>
      <c r="K1147" s="46"/>
      <c r="L1147" s="47"/>
      <c r="M1147" s="46"/>
      <c r="N1147" s="46"/>
      <c r="O1147" s="46"/>
      <c r="P1147" s="46"/>
      <c r="Q1147" s="46"/>
      <c r="R1147" s="46"/>
      <c r="S1147" s="46"/>
      <c r="T1147" s="46"/>
      <c r="U1147" s="46"/>
      <c r="V1147" s="48"/>
    </row>
    <row r="1148" spans="1:22" x14ac:dyDescent="0.25">
      <c r="A1148" s="49"/>
      <c r="B1148" s="1060"/>
      <c r="C1148" s="1060"/>
      <c r="D1148" s="50" t="s">
        <v>445</v>
      </c>
      <c r="H1148" s="51"/>
      <c r="I1148" s="25" t="s">
        <v>447</v>
      </c>
      <c r="J1148" s="132" t="s">
        <v>446</v>
      </c>
      <c r="K1148" s="52" t="s">
        <v>448</v>
      </c>
      <c r="L1148" s="52"/>
      <c r="Q1148" s="1060"/>
      <c r="R1148" s="1060"/>
      <c r="S1148" s="50" t="s">
        <v>449</v>
      </c>
      <c r="T1148" s="50"/>
      <c r="U1148" s="50"/>
      <c r="V1148" s="53"/>
    </row>
    <row r="1149" spans="1:22" ht="16.5" thickBot="1" x14ac:dyDescent="0.3">
      <c r="A1149" s="54"/>
      <c r="B1149" s="55"/>
      <c r="C1149" s="55"/>
      <c r="D1149" s="55"/>
      <c r="E1149" s="55"/>
      <c r="F1149" s="55"/>
      <c r="G1149" s="55"/>
      <c r="H1149" s="55"/>
      <c r="I1149" s="55"/>
      <c r="J1149" s="55"/>
      <c r="K1149" s="55"/>
      <c r="L1149" s="56"/>
      <c r="M1149" s="55"/>
      <c r="N1149" s="55"/>
      <c r="O1149" s="55"/>
      <c r="P1149" s="55"/>
      <c r="Q1149" s="55"/>
      <c r="R1149" s="55"/>
      <c r="S1149" s="55"/>
      <c r="T1149" s="55"/>
      <c r="U1149" s="55"/>
      <c r="V1149" s="57"/>
    </row>
    <row r="1150" spans="1:22" x14ac:dyDescent="0.25">
      <c r="A1150" s="1061" t="s">
        <v>397</v>
      </c>
      <c r="B1150" s="1062"/>
      <c r="C1150" s="1062"/>
      <c r="D1150" s="1063"/>
      <c r="E1150" s="1070" t="s">
        <v>450</v>
      </c>
      <c r="F1150" s="1070"/>
      <c r="G1150" s="1070"/>
      <c r="H1150" s="1070"/>
      <c r="I1150" s="1070"/>
      <c r="J1150" s="1070"/>
      <c r="K1150" s="1070"/>
      <c r="L1150" s="1070"/>
      <c r="M1150" s="1070"/>
      <c r="N1150" s="1070"/>
      <c r="O1150" s="1070"/>
      <c r="P1150" s="1070"/>
      <c r="Q1150" s="1070"/>
      <c r="R1150" s="1070"/>
      <c r="S1150" s="1070"/>
      <c r="T1150" s="1070"/>
      <c r="U1150" s="1070"/>
      <c r="V1150" s="1071"/>
    </row>
    <row r="1151" spans="1:22" x14ac:dyDescent="0.25">
      <c r="A1151" s="1064"/>
      <c r="B1151" s="1065"/>
      <c r="C1151" s="1065"/>
      <c r="D1151" s="1066"/>
      <c r="E1151" s="1072" t="s">
        <v>451</v>
      </c>
      <c r="F1151" s="1072"/>
      <c r="G1151" s="1072"/>
      <c r="H1151" s="1072"/>
      <c r="I1151" s="1072"/>
      <c r="J1151" s="1072"/>
      <c r="K1151" s="1074" t="s">
        <v>378</v>
      </c>
      <c r="L1151" s="1074"/>
      <c r="M1151" s="1072" t="s">
        <v>452</v>
      </c>
      <c r="N1151" s="1075" t="s">
        <v>453</v>
      </c>
      <c r="O1151" s="1076"/>
      <c r="P1151" s="1076"/>
      <c r="Q1151" s="1076"/>
      <c r="R1151" s="1076"/>
      <c r="S1151" s="1076"/>
      <c r="T1151" s="1076"/>
      <c r="U1151" s="1076"/>
      <c r="V1151" s="1077"/>
    </row>
    <row r="1152" spans="1:22" ht="16.5" customHeight="1" thickBot="1" x14ac:dyDescent="0.3">
      <c r="A1152" s="1067"/>
      <c r="B1152" s="1068"/>
      <c r="C1152" s="1068"/>
      <c r="D1152" s="1069"/>
      <c r="E1152" s="1073"/>
      <c r="F1152" s="1073"/>
      <c r="G1152" s="1073"/>
      <c r="H1152" s="1073"/>
      <c r="I1152" s="1073"/>
      <c r="J1152" s="1073"/>
      <c r="K1152" s="58" t="s">
        <v>454</v>
      </c>
      <c r="L1152" s="58" t="s">
        <v>455</v>
      </c>
      <c r="M1152" s="1073"/>
      <c r="N1152" s="87" t="s">
        <v>466</v>
      </c>
      <c r="O1152" s="87" t="s">
        <v>467</v>
      </c>
      <c r="P1152" s="1078" t="s">
        <v>1</v>
      </c>
      <c r="Q1152" s="1079"/>
      <c r="R1152" s="1080"/>
      <c r="S1152" s="1078" t="s">
        <v>2</v>
      </c>
      <c r="T1152" s="1079"/>
      <c r="U1152" s="1079"/>
      <c r="V1152" s="1081"/>
    </row>
    <row r="1153" spans="1:22" ht="19.5" x14ac:dyDescent="0.3">
      <c r="A1153" s="1082">
        <f>P1183-S1183</f>
        <v>0</v>
      </c>
      <c r="B1153" s="1083"/>
      <c r="C1153" s="1083"/>
      <c r="D1153" s="1083"/>
      <c r="E1153" s="1084" t="str">
        <f>Account!$G$1</f>
        <v>FUND 501 CARP</v>
      </c>
      <c r="F1153" s="1085"/>
      <c r="G1153" s="1085"/>
      <c r="H1153" s="1085"/>
      <c r="I1153" s="1085"/>
      <c r="J1153" s="1086"/>
      <c r="K1153" s="59"/>
      <c r="L1153" s="59"/>
      <c r="M1153" s="60"/>
      <c r="N1153" s="60"/>
      <c r="O1153" s="60"/>
      <c r="P1153" s="1087"/>
      <c r="Q1153" s="1087"/>
      <c r="R1153" s="1087"/>
      <c r="S1153" s="1087"/>
      <c r="T1153" s="1087"/>
      <c r="U1153" s="1087"/>
      <c r="V1153" s="1088"/>
    </row>
    <row r="1154" spans="1:22" x14ac:dyDescent="0.25">
      <c r="A1154" s="1038"/>
      <c r="B1154" s="1039"/>
      <c r="C1154" s="1039"/>
      <c r="D1154" s="1039"/>
      <c r="E1154" s="1039"/>
      <c r="F1154" s="1039"/>
      <c r="G1154" s="1039"/>
      <c r="H1154" s="1039"/>
      <c r="I1154" s="1039"/>
      <c r="J1154" s="1039"/>
      <c r="K1154" s="61"/>
      <c r="L1154" s="61"/>
      <c r="M1154" s="14"/>
      <c r="N1154" s="14"/>
      <c r="O1154" s="14"/>
      <c r="P1154" s="1039"/>
      <c r="Q1154" s="1039"/>
      <c r="R1154" s="1039"/>
      <c r="S1154" s="1039"/>
      <c r="T1154" s="1039"/>
      <c r="U1154" s="1039"/>
      <c r="V1154" s="1089"/>
    </row>
    <row r="1155" spans="1:22" x14ac:dyDescent="0.25">
      <c r="A1155" s="1038"/>
      <c r="B1155" s="1039"/>
      <c r="C1155" s="1039"/>
      <c r="D1155" s="1039"/>
      <c r="E1155" s="1045" t="str">
        <f t="shared" ref="E1155:E1177" si="96">IF(K1155=0,"",(VLOOKUP((TRIM(K1155)),Code,2,)))</f>
        <v/>
      </c>
      <c r="F1155" s="1046"/>
      <c r="G1155" s="1046"/>
      <c r="H1155" s="1046"/>
      <c r="I1155" s="1046"/>
      <c r="J1155" s="1047"/>
      <c r="K1155" s="133"/>
      <c r="L1155" s="62" t="str">
        <f t="shared" ref="L1155:L1182" si="97">IF(K1155=0,"",VLOOKUP((TRIM(K1155)),Code,3,))</f>
        <v/>
      </c>
      <c r="M1155" s="14"/>
      <c r="N1155" s="89">
        <f t="array" ref="N1155">SUM(IF((CsDJ[JEV Number]=TRIM($T1144))*(CsDJ[Account Code]=TRIM(K1155)),CsDJ[Debit]))</f>
        <v>0</v>
      </c>
      <c r="O1155" s="89">
        <f t="array" ref="O1155">SUM(IF((CsDJ[JEV Number]=TRIM($T1144))*(CsDJ[Account Code]=TRIM(K1155)),CsDJ[Credit]))</f>
        <v>0</v>
      </c>
      <c r="P1155" s="1040">
        <f>N1155</f>
        <v>0</v>
      </c>
      <c r="Q1155" s="1040"/>
      <c r="R1155" s="1040"/>
      <c r="S1155" s="1040">
        <f>O1155</f>
        <v>0</v>
      </c>
      <c r="T1155" s="1040"/>
      <c r="U1155" s="1040"/>
      <c r="V1155" s="1041"/>
    </row>
    <row r="1156" spans="1:22" x14ac:dyDescent="0.25">
      <c r="A1156" s="1038"/>
      <c r="B1156" s="1039"/>
      <c r="C1156" s="1039"/>
      <c r="D1156" s="1039"/>
      <c r="E1156" s="1045" t="str">
        <f t="shared" si="96"/>
        <v/>
      </c>
      <c r="F1156" s="1046"/>
      <c r="G1156" s="1046"/>
      <c r="H1156" s="1046"/>
      <c r="I1156" s="1046"/>
      <c r="J1156" s="1047"/>
      <c r="K1156" s="133"/>
      <c r="L1156" s="62" t="str">
        <f t="shared" si="97"/>
        <v/>
      </c>
      <c r="M1156" s="14"/>
      <c r="N1156" s="89">
        <f t="array" ref="N1156">SUM(IF((CsDJ[JEV Number]=TRIM($T1144))*(CsDJ[Account Code]=TRIM(K1156)),CsDJ[Debit]))</f>
        <v>0</v>
      </c>
      <c r="O1156" s="89">
        <f t="array" ref="O1156">SUM(IF((CsDJ[JEV Number]=TRIM($T1144))*(CsDJ[Account Code]=TRIM(K1156)),CsDJ[Credit]))</f>
        <v>0</v>
      </c>
      <c r="P1156" s="1040">
        <f>N1156</f>
        <v>0</v>
      </c>
      <c r="Q1156" s="1040"/>
      <c r="R1156" s="1040"/>
      <c r="S1156" s="1040">
        <f>O1156</f>
        <v>0</v>
      </c>
      <c r="T1156" s="1040"/>
      <c r="U1156" s="1040"/>
      <c r="V1156" s="1041"/>
    </row>
    <row r="1157" spans="1:22" x14ac:dyDescent="0.25">
      <c r="A1157" s="1038"/>
      <c r="B1157" s="1039"/>
      <c r="C1157" s="1039"/>
      <c r="D1157" s="1039"/>
      <c r="E1157" s="1045" t="str">
        <f t="shared" si="96"/>
        <v/>
      </c>
      <c r="F1157" s="1046"/>
      <c r="G1157" s="1046"/>
      <c r="H1157" s="1046"/>
      <c r="I1157" s="1046"/>
      <c r="J1157" s="1047"/>
      <c r="K1157" s="133"/>
      <c r="L1157" s="62" t="str">
        <f t="shared" si="97"/>
        <v/>
      </c>
      <c r="M1157" s="14"/>
      <c r="N1157" s="89">
        <f t="array" ref="N1157">SUM(IF((CsDJ[JEV Number]=TRIM($T1144))*(CsDJ[Account Code]=TRIM(K1157)),CsDJ[Debit]))</f>
        <v>0</v>
      </c>
      <c r="O1157" s="89">
        <f t="array" ref="O1157">SUM(IF((CsDJ[JEV Number]=TRIM($T1144))*(CsDJ[Account Code]=TRIM(K1157)),CsDJ[Credit]))</f>
        <v>0</v>
      </c>
      <c r="P1157" s="1040">
        <f t="shared" ref="P1157:P1182" si="98">N1157</f>
        <v>0</v>
      </c>
      <c r="Q1157" s="1040"/>
      <c r="R1157" s="1040"/>
      <c r="S1157" s="1040">
        <f t="shared" ref="S1157:S1182" si="99">O1157</f>
        <v>0</v>
      </c>
      <c r="T1157" s="1040"/>
      <c r="U1157" s="1040"/>
      <c r="V1157" s="1041"/>
    </row>
    <row r="1158" spans="1:22" x14ac:dyDescent="0.25">
      <c r="A1158" s="1038"/>
      <c r="B1158" s="1039"/>
      <c r="C1158" s="1039"/>
      <c r="D1158" s="1039"/>
      <c r="E1158" s="1045" t="str">
        <f t="shared" si="96"/>
        <v/>
      </c>
      <c r="F1158" s="1046"/>
      <c r="G1158" s="1046"/>
      <c r="H1158" s="1046"/>
      <c r="I1158" s="1046"/>
      <c r="J1158" s="1047"/>
      <c r="K1158" s="133"/>
      <c r="L1158" s="62" t="str">
        <f t="shared" si="97"/>
        <v/>
      </c>
      <c r="M1158" s="14"/>
      <c r="N1158" s="89">
        <f t="array" ref="N1158">SUM(IF((CsDJ[JEV Number]=TRIM($T1144))*(CsDJ[Account Code]=TRIM(K1158)),CsDJ[Debit]))</f>
        <v>0</v>
      </c>
      <c r="O1158" s="89">
        <f t="array" ref="O1158">SUM(IF((CsDJ[JEV Number]=TRIM($T1144))*(CsDJ[Account Code]=TRIM(K1158)),CsDJ[Credit]))</f>
        <v>0</v>
      </c>
      <c r="P1158" s="1040">
        <f t="shared" si="98"/>
        <v>0</v>
      </c>
      <c r="Q1158" s="1040"/>
      <c r="R1158" s="1040"/>
      <c r="S1158" s="1040">
        <f t="shared" si="99"/>
        <v>0</v>
      </c>
      <c r="T1158" s="1040"/>
      <c r="U1158" s="1040"/>
      <c r="V1158" s="1041"/>
    </row>
    <row r="1159" spans="1:22" x14ac:dyDescent="0.25">
      <c r="A1159" s="1038"/>
      <c r="B1159" s="1039"/>
      <c r="C1159" s="1039"/>
      <c r="D1159" s="1039"/>
      <c r="E1159" s="1045" t="str">
        <f t="shared" si="96"/>
        <v/>
      </c>
      <c r="F1159" s="1046"/>
      <c r="G1159" s="1046"/>
      <c r="H1159" s="1046"/>
      <c r="I1159" s="1046"/>
      <c r="J1159" s="1047"/>
      <c r="K1159" s="133"/>
      <c r="L1159" s="62" t="str">
        <f t="shared" si="97"/>
        <v/>
      </c>
      <c r="M1159" s="14"/>
      <c r="N1159" s="89">
        <f t="array" ref="N1159">SUM(IF((CsDJ[JEV Number]=TRIM($T1144))*(CsDJ[Account Code]=TRIM(K1159)),CsDJ[Debit]))</f>
        <v>0</v>
      </c>
      <c r="O1159" s="89">
        <f t="array" ref="O1159">SUM(IF((CsDJ[JEV Number]=TRIM($T1144))*(CsDJ[Account Code]=TRIM(K1159)),CsDJ[Credit]))</f>
        <v>0</v>
      </c>
      <c r="P1159" s="1040">
        <f t="shared" si="98"/>
        <v>0</v>
      </c>
      <c r="Q1159" s="1040"/>
      <c r="R1159" s="1040"/>
      <c r="S1159" s="1040">
        <f t="shared" si="99"/>
        <v>0</v>
      </c>
      <c r="T1159" s="1040"/>
      <c r="U1159" s="1040"/>
      <c r="V1159" s="1041"/>
    </row>
    <row r="1160" spans="1:22" x14ac:dyDescent="0.25">
      <c r="A1160" s="1038"/>
      <c r="B1160" s="1039"/>
      <c r="C1160" s="1039"/>
      <c r="D1160" s="1039"/>
      <c r="E1160" s="1045" t="str">
        <f t="shared" si="96"/>
        <v/>
      </c>
      <c r="F1160" s="1046"/>
      <c r="G1160" s="1046"/>
      <c r="H1160" s="1046"/>
      <c r="I1160" s="1046"/>
      <c r="J1160" s="1047"/>
      <c r="K1160" s="133"/>
      <c r="L1160" s="62" t="str">
        <f t="shared" si="97"/>
        <v/>
      </c>
      <c r="M1160" s="14"/>
      <c r="N1160" s="89">
        <f t="array" ref="N1160">SUM(IF((CsDJ[JEV Number]=TRIM($T1144))*(CsDJ[Account Code]=TRIM(K1160)),CsDJ[Debit]))</f>
        <v>0</v>
      </c>
      <c r="O1160" s="89">
        <f t="array" ref="O1160">SUM(IF((CsDJ[JEV Number]=TRIM($T1144))*(CsDJ[Account Code]=TRIM(K1160)),CsDJ[Credit]))</f>
        <v>0</v>
      </c>
      <c r="P1160" s="1040">
        <f t="shared" si="98"/>
        <v>0</v>
      </c>
      <c r="Q1160" s="1040"/>
      <c r="R1160" s="1040"/>
      <c r="S1160" s="1040">
        <f t="shared" si="99"/>
        <v>0</v>
      </c>
      <c r="T1160" s="1040"/>
      <c r="U1160" s="1040"/>
      <c r="V1160" s="1041"/>
    </row>
    <row r="1161" spans="1:22" x14ac:dyDescent="0.25">
      <c r="A1161" s="1038"/>
      <c r="B1161" s="1039"/>
      <c r="C1161" s="1039"/>
      <c r="D1161" s="1039"/>
      <c r="E1161" s="1045" t="str">
        <f t="shared" si="96"/>
        <v/>
      </c>
      <c r="F1161" s="1046"/>
      <c r="G1161" s="1046"/>
      <c r="H1161" s="1046"/>
      <c r="I1161" s="1046"/>
      <c r="J1161" s="1047"/>
      <c r="K1161" s="133"/>
      <c r="L1161" s="62" t="str">
        <f t="shared" si="97"/>
        <v/>
      </c>
      <c r="M1161" s="14"/>
      <c r="N1161" s="89">
        <f t="array" ref="N1161">SUM(IF((CsDJ[JEV Number]=TRIM($T1144))*(CsDJ[Account Code]=TRIM(K1161)),CsDJ[Debit]))</f>
        <v>0</v>
      </c>
      <c r="O1161" s="89">
        <f t="array" ref="O1161">SUM(IF((CsDJ[JEV Number]=TRIM($T1144))*(CsDJ[Account Code]=TRIM(K1161)),CsDJ[Credit]))</f>
        <v>0</v>
      </c>
      <c r="P1161" s="1040">
        <f t="shared" si="98"/>
        <v>0</v>
      </c>
      <c r="Q1161" s="1040"/>
      <c r="R1161" s="1040"/>
      <c r="S1161" s="1040">
        <f t="shared" si="99"/>
        <v>0</v>
      </c>
      <c r="T1161" s="1040"/>
      <c r="U1161" s="1040"/>
      <c r="V1161" s="1041"/>
    </row>
    <row r="1162" spans="1:22" x14ac:dyDescent="0.25">
      <c r="A1162" s="1038"/>
      <c r="B1162" s="1039"/>
      <c r="C1162" s="1039"/>
      <c r="D1162" s="1039"/>
      <c r="E1162" s="1045" t="str">
        <f t="shared" si="96"/>
        <v/>
      </c>
      <c r="F1162" s="1046"/>
      <c r="G1162" s="1046"/>
      <c r="H1162" s="1046"/>
      <c r="I1162" s="1046"/>
      <c r="J1162" s="1047"/>
      <c r="K1162" s="133"/>
      <c r="L1162" s="62" t="str">
        <f t="shared" si="97"/>
        <v/>
      </c>
      <c r="M1162" s="14"/>
      <c r="N1162" s="89">
        <f t="array" ref="N1162">SUM(IF((CsDJ[JEV Number]=TRIM($T1144))*(CsDJ[Account Code]=TRIM(K1162)),CsDJ[Debit]))</f>
        <v>0</v>
      </c>
      <c r="O1162" s="89">
        <f t="array" ref="O1162">SUM(IF((CsDJ[JEV Number]=TRIM($T1144))*(CsDJ[Account Code]=TRIM(K1162)),CsDJ[Credit]))</f>
        <v>0</v>
      </c>
      <c r="P1162" s="1040">
        <f t="shared" si="98"/>
        <v>0</v>
      </c>
      <c r="Q1162" s="1040"/>
      <c r="R1162" s="1040"/>
      <c r="S1162" s="1040">
        <f t="shared" si="99"/>
        <v>0</v>
      </c>
      <c r="T1162" s="1040"/>
      <c r="U1162" s="1040"/>
      <c r="V1162" s="1041"/>
    </row>
    <row r="1163" spans="1:22" x14ac:dyDescent="0.25">
      <c r="A1163" s="1038"/>
      <c r="B1163" s="1039"/>
      <c r="C1163" s="1039"/>
      <c r="D1163" s="1039"/>
      <c r="E1163" s="1045" t="str">
        <f t="shared" si="96"/>
        <v/>
      </c>
      <c r="F1163" s="1046"/>
      <c r="G1163" s="1046"/>
      <c r="H1163" s="1046"/>
      <c r="I1163" s="1046"/>
      <c r="J1163" s="1047"/>
      <c r="K1163" s="134"/>
      <c r="L1163" s="62" t="str">
        <f t="shared" si="97"/>
        <v/>
      </c>
      <c r="M1163" s="14"/>
      <c r="N1163" s="89">
        <f t="array" ref="N1163">SUM(IF((CsDJ[JEV Number]=TRIM($T1144))*(CsDJ[Account Code]=TRIM(K1163)),CsDJ[Debit]))</f>
        <v>0</v>
      </c>
      <c r="O1163" s="89">
        <f t="array" ref="O1163">SUM(IF((CsDJ[JEV Number]=TRIM($T1144))*(CsDJ[Account Code]=TRIM(K1163)),CsDJ[Credit]))</f>
        <v>0</v>
      </c>
      <c r="P1163" s="1040">
        <f t="shared" si="98"/>
        <v>0</v>
      </c>
      <c r="Q1163" s="1040"/>
      <c r="R1163" s="1040"/>
      <c r="S1163" s="1040">
        <f t="shared" si="99"/>
        <v>0</v>
      </c>
      <c r="T1163" s="1040"/>
      <c r="U1163" s="1040"/>
      <c r="V1163" s="1041"/>
    </row>
    <row r="1164" spans="1:22" x14ac:dyDescent="0.25">
      <c r="A1164" s="1038"/>
      <c r="B1164" s="1039"/>
      <c r="C1164" s="1039"/>
      <c r="D1164" s="1039"/>
      <c r="E1164" s="1045" t="str">
        <f t="shared" si="96"/>
        <v/>
      </c>
      <c r="F1164" s="1046"/>
      <c r="G1164" s="1046"/>
      <c r="H1164" s="1046"/>
      <c r="I1164" s="1046"/>
      <c r="J1164" s="1047"/>
      <c r="K1164" s="134"/>
      <c r="L1164" s="62" t="str">
        <f t="shared" si="97"/>
        <v/>
      </c>
      <c r="M1164" s="14"/>
      <c r="N1164" s="89">
        <f t="array" ref="N1164">SUM(IF((CsDJ[JEV Number]=TRIM($T1144))*(CsDJ[Account Code]=TRIM(K1164)),CsDJ[Debit]))</f>
        <v>0</v>
      </c>
      <c r="O1164" s="89">
        <f t="array" ref="O1164">SUM(IF((CsDJ[JEV Number]=TRIM($T1144))*(CsDJ[Account Code]=TRIM(K1164)),CsDJ[Credit]))</f>
        <v>0</v>
      </c>
      <c r="P1164" s="1040">
        <f t="shared" si="98"/>
        <v>0</v>
      </c>
      <c r="Q1164" s="1040"/>
      <c r="R1164" s="1040"/>
      <c r="S1164" s="1040">
        <f t="shared" si="99"/>
        <v>0</v>
      </c>
      <c r="T1164" s="1040"/>
      <c r="U1164" s="1040"/>
      <c r="V1164" s="1041"/>
    </row>
    <row r="1165" spans="1:22" x14ac:dyDescent="0.25">
      <c r="A1165" s="1038"/>
      <c r="B1165" s="1039"/>
      <c r="C1165" s="1039"/>
      <c r="D1165" s="1039"/>
      <c r="E1165" s="1045" t="str">
        <f t="shared" si="96"/>
        <v/>
      </c>
      <c r="F1165" s="1046"/>
      <c r="G1165" s="1046"/>
      <c r="H1165" s="1046"/>
      <c r="I1165" s="1046"/>
      <c r="J1165" s="1047"/>
      <c r="K1165" s="134"/>
      <c r="L1165" s="62" t="str">
        <f t="shared" si="97"/>
        <v/>
      </c>
      <c r="M1165" s="14"/>
      <c r="N1165" s="89">
        <f t="array" ref="N1165">SUM(IF((CsDJ[JEV Number]=TRIM($T1144))*(CsDJ[Account Code]=TRIM(K1165)),CsDJ[Debit]))</f>
        <v>0</v>
      </c>
      <c r="O1165" s="89">
        <f t="array" ref="O1165">SUM(IF((CsDJ[JEV Number]=TRIM($T1144))*(CsDJ[Account Code]=TRIM(K1165)),CsDJ[Credit]))</f>
        <v>0</v>
      </c>
      <c r="P1165" s="1040">
        <f t="shared" si="98"/>
        <v>0</v>
      </c>
      <c r="Q1165" s="1040"/>
      <c r="R1165" s="1040"/>
      <c r="S1165" s="1040">
        <f t="shared" si="99"/>
        <v>0</v>
      </c>
      <c r="T1165" s="1040"/>
      <c r="U1165" s="1040"/>
      <c r="V1165" s="1041"/>
    </row>
    <row r="1166" spans="1:22" x14ac:dyDescent="0.25">
      <c r="A1166" s="1038"/>
      <c r="B1166" s="1039"/>
      <c r="C1166" s="1039"/>
      <c r="D1166" s="1039"/>
      <c r="E1166" s="1045" t="str">
        <f t="shared" si="96"/>
        <v/>
      </c>
      <c r="F1166" s="1046"/>
      <c r="G1166" s="1046"/>
      <c r="H1166" s="1046"/>
      <c r="I1166" s="1046"/>
      <c r="J1166" s="1047"/>
      <c r="K1166" s="134"/>
      <c r="L1166" s="62" t="str">
        <f t="shared" si="97"/>
        <v/>
      </c>
      <c r="M1166" s="14"/>
      <c r="N1166" s="89">
        <f t="array" ref="N1166">SUM(IF((CsDJ[JEV Number]=TRIM($T1144))*(CsDJ[Account Code]=TRIM(K1166)),CsDJ[Debit]))</f>
        <v>0</v>
      </c>
      <c r="O1166" s="89">
        <f t="array" ref="O1166">SUM(IF((CsDJ[JEV Number]=TRIM($T1144))*(CsDJ[Account Code]=TRIM(K1166)),CsDJ[Credit]))</f>
        <v>0</v>
      </c>
      <c r="P1166" s="1040">
        <f t="shared" si="98"/>
        <v>0</v>
      </c>
      <c r="Q1166" s="1040"/>
      <c r="R1166" s="1040"/>
      <c r="S1166" s="1040">
        <f t="shared" si="99"/>
        <v>0</v>
      </c>
      <c r="T1166" s="1040"/>
      <c r="U1166" s="1040"/>
      <c r="V1166" s="1041"/>
    </row>
    <row r="1167" spans="1:22" x14ac:dyDescent="0.25">
      <c r="A1167" s="1038"/>
      <c r="B1167" s="1039"/>
      <c r="C1167" s="1039"/>
      <c r="D1167" s="1039"/>
      <c r="E1167" s="1045" t="str">
        <f t="shared" si="96"/>
        <v/>
      </c>
      <c r="F1167" s="1046"/>
      <c r="G1167" s="1046"/>
      <c r="H1167" s="1046"/>
      <c r="I1167" s="1046"/>
      <c r="J1167" s="1047"/>
      <c r="K1167" s="134"/>
      <c r="L1167" s="62" t="str">
        <f t="shared" si="97"/>
        <v/>
      </c>
      <c r="M1167" s="14"/>
      <c r="N1167" s="89">
        <f t="array" ref="N1167">SUM(IF((CsDJ[JEV Number]=TRIM($T1144))*(CsDJ[Account Code]=TRIM(K1167)),CsDJ[Debit]))</f>
        <v>0</v>
      </c>
      <c r="O1167" s="89">
        <f t="array" ref="O1167">SUM(IF((CsDJ[JEV Number]=TRIM($T1144))*(CsDJ[Account Code]=TRIM(K1167)),CsDJ[Credit]))</f>
        <v>0</v>
      </c>
      <c r="P1167" s="1040">
        <f t="shared" si="98"/>
        <v>0</v>
      </c>
      <c r="Q1167" s="1040"/>
      <c r="R1167" s="1040"/>
      <c r="S1167" s="1040">
        <f t="shared" si="99"/>
        <v>0</v>
      </c>
      <c r="T1167" s="1040"/>
      <c r="U1167" s="1040"/>
      <c r="V1167" s="1041"/>
    </row>
    <row r="1168" spans="1:22" x14ac:dyDescent="0.25">
      <c r="A1168" s="1038"/>
      <c r="B1168" s="1039"/>
      <c r="C1168" s="1039"/>
      <c r="D1168" s="1039"/>
      <c r="E1168" s="1045" t="str">
        <f t="shared" si="96"/>
        <v/>
      </c>
      <c r="F1168" s="1046"/>
      <c r="G1168" s="1046"/>
      <c r="H1168" s="1046"/>
      <c r="I1168" s="1046"/>
      <c r="J1168" s="1047"/>
      <c r="K1168" s="134"/>
      <c r="L1168" s="62" t="str">
        <f t="shared" si="97"/>
        <v/>
      </c>
      <c r="M1168" s="14"/>
      <c r="N1168" s="89">
        <f t="array" ref="N1168">SUM(IF((CsDJ[JEV Number]=TRIM($T1144))*(CsDJ[Account Code]=TRIM(K1168)),CsDJ[Debit]))</f>
        <v>0</v>
      </c>
      <c r="O1168" s="89">
        <f t="array" ref="O1168">SUM(IF((CsDJ[JEV Number]=TRIM($T1144))*(CsDJ[Account Code]=TRIM(K1168)),CsDJ[Credit]))</f>
        <v>0</v>
      </c>
      <c r="P1168" s="1040">
        <f t="shared" si="98"/>
        <v>0</v>
      </c>
      <c r="Q1168" s="1040"/>
      <c r="R1168" s="1040"/>
      <c r="S1168" s="1040">
        <f t="shared" si="99"/>
        <v>0</v>
      </c>
      <c r="T1168" s="1040"/>
      <c r="U1168" s="1040"/>
      <c r="V1168" s="1041"/>
    </row>
    <row r="1169" spans="1:22" x14ac:dyDescent="0.25">
      <c r="A1169" s="1038"/>
      <c r="B1169" s="1039"/>
      <c r="C1169" s="1039"/>
      <c r="D1169" s="1039"/>
      <c r="E1169" s="1045" t="str">
        <f t="shared" si="96"/>
        <v/>
      </c>
      <c r="F1169" s="1046"/>
      <c r="G1169" s="1046"/>
      <c r="H1169" s="1046"/>
      <c r="I1169" s="1046"/>
      <c r="J1169" s="1047"/>
      <c r="K1169" s="134"/>
      <c r="L1169" s="62" t="str">
        <f t="shared" si="97"/>
        <v/>
      </c>
      <c r="M1169" s="14"/>
      <c r="N1169" s="89">
        <f t="array" ref="N1169">SUM(IF((CsDJ[JEV Number]=TRIM($T1144))*(CsDJ[Account Code]=TRIM(K1169)),CsDJ[Debit]))</f>
        <v>0</v>
      </c>
      <c r="O1169" s="89">
        <f t="array" ref="O1169">SUM(IF((CsDJ[JEV Number]=TRIM($T1144))*(CsDJ[Account Code]=TRIM(K1169)),CsDJ[Credit]))</f>
        <v>0</v>
      </c>
      <c r="P1169" s="1040">
        <f t="shared" si="98"/>
        <v>0</v>
      </c>
      <c r="Q1169" s="1040"/>
      <c r="R1169" s="1040"/>
      <c r="S1169" s="1040">
        <f t="shared" si="99"/>
        <v>0</v>
      </c>
      <c r="T1169" s="1040"/>
      <c r="U1169" s="1040"/>
      <c r="V1169" s="1041"/>
    </row>
    <row r="1170" spans="1:22" x14ac:dyDescent="0.25">
      <c r="A1170" s="1038"/>
      <c r="B1170" s="1039"/>
      <c r="C1170" s="1039"/>
      <c r="D1170" s="1039"/>
      <c r="E1170" s="1045" t="str">
        <f t="shared" si="96"/>
        <v/>
      </c>
      <c r="F1170" s="1046"/>
      <c r="G1170" s="1046"/>
      <c r="H1170" s="1046"/>
      <c r="I1170" s="1046"/>
      <c r="J1170" s="1047"/>
      <c r="K1170" s="134"/>
      <c r="L1170" s="62" t="str">
        <f t="shared" si="97"/>
        <v/>
      </c>
      <c r="M1170" s="14"/>
      <c r="N1170" s="89">
        <f t="array" ref="N1170">SUM(IF((CsDJ[JEV Number]=TRIM($T1144))*(CsDJ[Account Code]=TRIM(K1170)),CsDJ[Debit]))</f>
        <v>0</v>
      </c>
      <c r="O1170" s="89">
        <f t="array" ref="O1170">SUM(IF((CsDJ[JEV Number]=TRIM($T1144))*(CsDJ[Account Code]=TRIM(K1170)),CsDJ[Credit]))</f>
        <v>0</v>
      </c>
      <c r="P1170" s="1040">
        <f t="shared" si="98"/>
        <v>0</v>
      </c>
      <c r="Q1170" s="1040"/>
      <c r="R1170" s="1040"/>
      <c r="S1170" s="1040">
        <f t="shared" si="99"/>
        <v>0</v>
      </c>
      <c r="T1170" s="1040"/>
      <c r="U1170" s="1040"/>
      <c r="V1170" s="1041"/>
    </row>
    <row r="1171" spans="1:22" x14ac:dyDescent="0.25">
      <c r="A1171" s="1038"/>
      <c r="B1171" s="1039"/>
      <c r="C1171" s="1039"/>
      <c r="D1171" s="1039"/>
      <c r="E1171" s="1045" t="str">
        <f t="shared" si="96"/>
        <v/>
      </c>
      <c r="F1171" s="1046"/>
      <c r="G1171" s="1046"/>
      <c r="H1171" s="1046"/>
      <c r="I1171" s="1046"/>
      <c r="J1171" s="1047"/>
      <c r="K1171" s="134"/>
      <c r="L1171" s="62" t="str">
        <f t="shared" si="97"/>
        <v/>
      </c>
      <c r="M1171" s="14"/>
      <c r="N1171" s="89">
        <f t="array" ref="N1171">SUM(IF((CsDJ[JEV Number]=TRIM($T1144))*(CsDJ[Account Code]=TRIM(K1171)),CsDJ[Debit]))</f>
        <v>0</v>
      </c>
      <c r="O1171" s="89">
        <f t="array" ref="O1171">SUM(IF((CsDJ[JEV Number]=TRIM($T1144))*(CsDJ[Account Code]=TRIM(K1171)),CsDJ[Credit]))</f>
        <v>0</v>
      </c>
      <c r="P1171" s="1040">
        <f t="shared" si="98"/>
        <v>0</v>
      </c>
      <c r="Q1171" s="1040"/>
      <c r="R1171" s="1040"/>
      <c r="S1171" s="1040">
        <f t="shared" si="99"/>
        <v>0</v>
      </c>
      <c r="T1171" s="1040"/>
      <c r="U1171" s="1040"/>
      <c r="V1171" s="1041"/>
    </row>
    <row r="1172" spans="1:22" x14ac:dyDescent="0.25">
      <c r="A1172" s="1038"/>
      <c r="B1172" s="1039"/>
      <c r="C1172" s="1039"/>
      <c r="D1172" s="1039"/>
      <c r="E1172" s="1045" t="str">
        <f t="shared" si="96"/>
        <v/>
      </c>
      <c r="F1172" s="1046"/>
      <c r="G1172" s="1046"/>
      <c r="H1172" s="1046"/>
      <c r="I1172" s="1046"/>
      <c r="J1172" s="1047"/>
      <c r="K1172" s="134"/>
      <c r="L1172" s="62" t="str">
        <f t="shared" si="97"/>
        <v/>
      </c>
      <c r="M1172" s="14"/>
      <c r="N1172" s="89">
        <f t="array" ref="N1172">SUM(IF((CsDJ[JEV Number]=TRIM($T1144))*(CsDJ[Account Code]=TRIM(K1172)),CsDJ[Debit]))</f>
        <v>0</v>
      </c>
      <c r="O1172" s="89">
        <f t="array" ref="O1172">SUM(IF((CsDJ[JEV Number]=TRIM($T1144))*(CsDJ[Account Code]=TRIM(K1172)),CsDJ[Credit]))</f>
        <v>0</v>
      </c>
      <c r="P1172" s="1040">
        <f t="shared" si="98"/>
        <v>0</v>
      </c>
      <c r="Q1172" s="1040"/>
      <c r="R1172" s="1040"/>
      <c r="S1172" s="1040">
        <f t="shared" si="99"/>
        <v>0</v>
      </c>
      <c r="T1172" s="1040"/>
      <c r="U1172" s="1040"/>
      <c r="V1172" s="1041"/>
    </row>
    <row r="1173" spans="1:22" x14ac:dyDescent="0.25">
      <c r="A1173" s="1038"/>
      <c r="B1173" s="1039"/>
      <c r="C1173" s="1039"/>
      <c r="D1173" s="1039"/>
      <c r="E1173" s="1045" t="str">
        <f t="shared" si="96"/>
        <v/>
      </c>
      <c r="F1173" s="1046"/>
      <c r="G1173" s="1046"/>
      <c r="H1173" s="1046"/>
      <c r="I1173" s="1046"/>
      <c r="J1173" s="1047"/>
      <c r="K1173" s="134"/>
      <c r="L1173" s="62" t="str">
        <f t="shared" si="97"/>
        <v/>
      </c>
      <c r="M1173" s="14"/>
      <c r="N1173" s="89">
        <f t="array" ref="N1173">SUM(IF((CsDJ[JEV Number]=TRIM($T1144))*(CsDJ[Account Code]=TRIM(K1173)),CsDJ[Debit]))</f>
        <v>0</v>
      </c>
      <c r="O1173" s="89">
        <f t="array" ref="O1173">SUM(IF((CsDJ[JEV Number]=TRIM($T1144))*(CsDJ[Account Code]=TRIM(K1173)),CsDJ[Credit]))</f>
        <v>0</v>
      </c>
      <c r="P1173" s="1040">
        <f t="shared" si="98"/>
        <v>0</v>
      </c>
      <c r="Q1173" s="1040"/>
      <c r="R1173" s="1040"/>
      <c r="S1173" s="1040">
        <f t="shared" si="99"/>
        <v>0</v>
      </c>
      <c r="T1173" s="1040"/>
      <c r="U1173" s="1040"/>
      <c r="V1173" s="1041"/>
    </row>
    <row r="1174" spans="1:22" x14ac:dyDescent="0.25">
      <c r="A1174" s="1038"/>
      <c r="B1174" s="1039"/>
      <c r="C1174" s="1039"/>
      <c r="D1174" s="1039"/>
      <c r="E1174" s="1045" t="str">
        <f t="shared" si="96"/>
        <v/>
      </c>
      <c r="F1174" s="1046"/>
      <c r="G1174" s="1046"/>
      <c r="H1174" s="1046"/>
      <c r="I1174" s="1046"/>
      <c r="J1174" s="1047"/>
      <c r="K1174" s="134"/>
      <c r="L1174" s="62" t="str">
        <f t="shared" si="97"/>
        <v/>
      </c>
      <c r="M1174" s="14"/>
      <c r="N1174" s="89">
        <f t="array" ref="N1174">SUM(IF((CsDJ[JEV Number]=TRIM($T1144))*(CsDJ[Account Code]=TRIM(K1174)),CsDJ[Debit]))</f>
        <v>0</v>
      </c>
      <c r="O1174" s="89">
        <f t="array" ref="O1174">SUM(IF((CsDJ[JEV Number]=TRIM($T1144))*(CsDJ[Account Code]=TRIM(K1174)),CsDJ[Credit]))</f>
        <v>0</v>
      </c>
      <c r="P1174" s="1040">
        <f t="shared" si="98"/>
        <v>0</v>
      </c>
      <c r="Q1174" s="1040"/>
      <c r="R1174" s="1040"/>
      <c r="S1174" s="1040">
        <f t="shared" si="99"/>
        <v>0</v>
      </c>
      <c r="T1174" s="1040"/>
      <c r="U1174" s="1040"/>
      <c r="V1174" s="1041"/>
    </row>
    <row r="1175" spans="1:22" x14ac:dyDescent="0.25">
      <c r="A1175" s="1038"/>
      <c r="B1175" s="1039"/>
      <c r="C1175" s="1039"/>
      <c r="D1175" s="1039"/>
      <c r="E1175" s="1045" t="str">
        <f t="shared" si="96"/>
        <v/>
      </c>
      <c r="F1175" s="1046"/>
      <c r="G1175" s="1046"/>
      <c r="H1175" s="1046"/>
      <c r="I1175" s="1046"/>
      <c r="J1175" s="1047"/>
      <c r="K1175" s="134"/>
      <c r="L1175" s="62" t="str">
        <f t="shared" si="97"/>
        <v/>
      </c>
      <c r="M1175" s="14"/>
      <c r="N1175" s="89">
        <f t="array" ref="N1175">SUM(IF((CsDJ[JEV Number]=TRIM($T1144))*(CsDJ[Account Code]=TRIM(K1175)),CsDJ[Debit]))</f>
        <v>0</v>
      </c>
      <c r="O1175" s="89">
        <f t="array" ref="O1175">SUM(IF((CsDJ[JEV Number]=TRIM($T1144))*(CsDJ[Account Code]=TRIM(K1175)),CsDJ[Credit]))</f>
        <v>0</v>
      </c>
      <c r="P1175" s="1040">
        <f t="shared" si="98"/>
        <v>0</v>
      </c>
      <c r="Q1175" s="1040"/>
      <c r="R1175" s="1040"/>
      <c r="S1175" s="1040">
        <f t="shared" si="99"/>
        <v>0</v>
      </c>
      <c r="T1175" s="1040"/>
      <c r="U1175" s="1040"/>
      <c r="V1175" s="1041"/>
    </row>
    <row r="1176" spans="1:22" x14ac:dyDescent="0.25">
      <c r="A1176" s="1038"/>
      <c r="B1176" s="1039"/>
      <c r="C1176" s="1039"/>
      <c r="D1176" s="1039"/>
      <c r="E1176" s="1045" t="str">
        <f t="shared" si="96"/>
        <v/>
      </c>
      <c r="F1176" s="1046"/>
      <c r="G1176" s="1046"/>
      <c r="H1176" s="1046"/>
      <c r="I1176" s="1046"/>
      <c r="J1176" s="1047"/>
      <c r="K1176" s="134"/>
      <c r="L1176" s="62" t="str">
        <f t="shared" si="97"/>
        <v/>
      </c>
      <c r="M1176" s="14"/>
      <c r="N1176" s="89">
        <f t="array" ref="N1176">SUM(IF((CsDJ[JEV Number]=TRIM($T1144))*(CsDJ[Account Code]=TRIM(K1176)),CsDJ[Debit]))</f>
        <v>0</v>
      </c>
      <c r="O1176" s="89">
        <f t="array" ref="O1176">SUM(IF((CsDJ[JEV Number]=TRIM($T1144))*(CsDJ[Account Code]=TRIM(K1176)),CsDJ[Credit]))</f>
        <v>0</v>
      </c>
      <c r="P1176" s="1040">
        <f t="shared" si="98"/>
        <v>0</v>
      </c>
      <c r="Q1176" s="1040"/>
      <c r="R1176" s="1040"/>
      <c r="S1176" s="1040">
        <f t="shared" si="99"/>
        <v>0</v>
      </c>
      <c r="T1176" s="1040"/>
      <c r="U1176" s="1040"/>
      <c r="V1176" s="1041"/>
    </row>
    <row r="1177" spans="1:22" x14ac:dyDescent="0.25">
      <c r="A1177" s="1038"/>
      <c r="B1177" s="1039"/>
      <c r="C1177" s="1039"/>
      <c r="D1177" s="1039"/>
      <c r="E1177" s="1045" t="str">
        <f t="shared" si="96"/>
        <v/>
      </c>
      <c r="F1177" s="1046"/>
      <c r="G1177" s="1046"/>
      <c r="H1177" s="1046"/>
      <c r="I1177" s="1046"/>
      <c r="J1177" s="1047"/>
      <c r="K1177" s="134"/>
      <c r="L1177" s="62" t="str">
        <f t="shared" si="97"/>
        <v/>
      </c>
      <c r="M1177" s="14"/>
      <c r="N1177" s="89">
        <f t="array" ref="N1177">SUM(IF((CsDJ[JEV Number]=TRIM($T1144))*(CsDJ[Account Code]=TRIM(K1177)),CsDJ[Debit]))</f>
        <v>0</v>
      </c>
      <c r="O1177" s="89">
        <f t="array" ref="O1177">SUM(IF((CsDJ[JEV Number]=TRIM($T1144))*(CsDJ[Account Code]=TRIM(K1177)),CsDJ[Credit]))</f>
        <v>0</v>
      </c>
      <c r="P1177" s="1040">
        <f t="shared" si="98"/>
        <v>0</v>
      </c>
      <c r="Q1177" s="1040"/>
      <c r="R1177" s="1040"/>
      <c r="S1177" s="1040">
        <f t="shared" si="99"/>
        <v>0</v>
      </c>
      <c r="T1177" s="1040"/>
      <c r="U1177" s="1040"/>
      <c r="V1177" s="1041"/>
    </row>
    <row r="1178" spans="1:22" x14ac:dyDescent="0.25">
      <c r="A1178" s="1038"/>
      <c r="B1178" s="1039"/>
      <c r="C1178" s="1039"/>
      <c r="D1178" s="1039"/>
      <c r="E1178" s="1108" t="s">
        <v>468</v>
      </c>
      <c r="F1178" s="1109"/>
      <c r="G1178" s="1109"/>
      <c r="H1178" s="1109"/>
      <c r="I1178" s="1109"/>
      <c r="J1178" s="1110"/>
      <c r="K1178" s="133"/>
      <c r="L1178" s="62" t="str">
        <f t="shared" si="97"/>
        <v/>
      </c>
      <c r="M1178" s="14"/>
      <c r="N1178" s="89">
        <f t="array" ref="N1178">SUM(IF((CsDJ[JEV Number]=TRIM($T1144))*(CsDJ[Account Code]=TRIM(K1178)),CsDJ[Debit]))</f>
        <v>0</v>
      </c>
      <c r="O1178" s="89">
        <f t="array" ref="O1178">SUM(IF((CsDJ[JEV Number]=TRIM($T1144))*(CsDJ[Account Code]=TRIM(K1178)),CsDJ[Credit]))</f>
        <v>0</v>
      </c>
      <c r="P1178" s="1040">
        <f t="shared" si="98"/>
        <v>0</v>
      </c>
      <c r="Q1178" s="1040"/>
      <c r="R1178" s="1040"/>
      <c r="S1178" s="1040">
        <f t="shared" si="99"/>
        <v>0</v>
      </c>
      <c r="T1178" s="1040"/>
      <c r="U1178" s="1040"/>
      <c r="V1178" s="1041"/>
    </row>
    <row r="1179" spans="1:22" x14ac:dyDescent="0.25">
      <c r="A1179" s="1038"/>
      <c r="B1179" s="1039"/>
      <c r="C1179" s="1039"/>
      <c r="D1179" s="1039"/>
      <c r="E1179" s="1048" t="s">
        <v>457</v>
      </c>
      <c r="F1179" s="1049"/>
      <c r="G1179" s="1049"/>
      <c r="H1179" s="1049"/>
      <c r="I1179" s="1051">
        <f>T1145</f>
        <v>0</v>
      </c>
      <c r="J1179" s="1052"/>
      <c r="K1179" s="133"/>
      <c r="L1179" s="62" t="str">
        <f t="shared" si="97"/>
        <v/>
      </c>
      <c r="M1179" s="14"/>
      <c r="N1179" s="89">
        <f t="array" ref="N1179">SUM(IF((CsDJ[JEV Number]=TRIM($T1144))*(CsDJ[Account Code]=TRIM(K1179)),CsDJ[Debit]))</f>
        <v>0</v>
      </c>
      <c r="O1179" s="89">
        <f t="array" ref="O1179">SUM(IF((CsDJ[JEV Number]=TRIM($T1144))*(CsDJ[Account Code]=TRIM(K1179)),CsDJ[Credit]))</f>
        <v>0</v>
      </c>
      <c r="P1179" s="1040">
        <f t="shared" si="98"/>
        <v>0</v>
      </c>
      <c r="Q1179" s="1040"/>
      <c r="R1179" s="1040"/>
      <c r="S1179" s="1040">
        <f t="shared" si="99"/>
        <v>0</v>
      </c>
      <c r="T1179" s="1040"/>
      <c r="U1179" s="1040"/>
      <c r="V1179" s="1041"/>
    </row>
    <row r="1180" spans="1:22" x14ac:dyDescent="0.25">
      <c r="A1180" s="1038"/>
      <c r="B1180" s="1039"/>
      <c r="C1180" s="1039"/>
      <c r="D1180" s="1039"/>
      <c r="E1180" s="1048" t="s">
        <v>458</v>
      </c>
      <c r="F1180" s="1049"/>
      <c r="G1180" s="1049"/>
      <c r="H1180" s="1049"/>
      <c r="I1180" s="1106">
        <f>IF(T1144=0,0,(IF(LOOKUP(T1144,CsDJ[JEV Number],CsDJ[Sort Code])="1","MA. VIVIAN C. SALAS",IF(LOOKUP(T1144,CsDJ[JEV Number],CsDJ[Sort Code])="2","LUZ R. DE COZAR",IF(LOOKUP(T1144,CsDJ[JEV Number],CsDJ[Sort Code])="3","MINEONETTE A. DELA CRUZ",IF(LOOKUP(T1144,CsDJ[JEV Number],CsDJ[Sort Code])="4","RESELLA B. LOPEZ"))))))</f>
        <v>0</v>
      </c>
      <c r="J1180" s="1107"/>
      <c r="K1180" s="133"/>
      <c r="L1180" s="62" t="str">
        <f t="shared" si="97"/>
        <v/>
      </c>
      <c r="M1180" s="14"/>
      <c r="N1180" s="89">
        <f t="array" ref="N1180">SUM(IF((CsDJ[JEV Number]=TRIM($T1144))*(CsDJ[Account Code]=TRIM(K1180)),CsDJ[Debit]))</f>
        <v>0</v>
      </c>
      <c r="O1180" s="89">
        <f t="array" ref="O1180">SUM(IF((CsDJ[JEV Number]=TRIM($T1144))*(CsDJ[Account Code]=TRIM(K1180)),CsDJ[Credit]))</f>
        <v>0</v>
      </c>
      <c r="P1180" s="1040">
        <f t="shared" si="98"/>
        <v>0</v>
      </c>
      <c r="Q1180" s="1040"/>
      <c r="R1180" s="1040"/>
      <c r="S1180" s="1040">
        <f t="shared" si="99"/>
        <v>0</v>
      </c>
      <c r="T1180" s="1040"/>
      <c r="U1180" s="1040"/>
      <c r="V1180" s="1041"/>
    </row>
    <row r="1181" spans="1:22" x14ac:dyDescent="0.25">
      <c r="A1181" s="1038"/>
      <c r="B1181" s="1039"/>
      <c r="C1181" s="1039"/>
      <c r="D1181" s="1039"/>
      <c r="E1181" s="1048" t="s">
        <v>459</v>
      </c>
      <c r="F1181" s="1049"/>
      <c r="G1181" s="1049"/>
      <c r="H1181" s="1049"/>
      <c r="I1181" s="1043">
        <f>IF(I1180="Ma. Vivian C. Salas","Regional Office", IF(I1180="Luz R. De Cozar","BANE IMO", IF(I1180="Mineonette A. Dela Cruz","PAMBAT IMO", IF(I1180="Resella B. Lopez","TARZAM IMO",0))))</f>
        <v>0</v>
      </c>
      <c r="J1181" s="1044"/>
      <c r="K1181" s="133"/>
      <c r="L1181" s="62" t="str">
        <f t="shared" si="97"/>
        <v/>
      </c>
      <c r="M1181" s="14"/>
      <c r="N1181" s="89">
        <f t="array" ref="N1181">SUM(IF((CsDJ[JEV Number]=TRIM($T1144))*(CsDJ[Account Code]=TRIM(K1181)),CsDJ[Debit]))</f>
        <v>0</v>
      </c>
      <c r="O1181" s="89">
        <f t="array" ref="O1181">SUM(IF((CsDJ[JEV Number]=TRIM($T1144))*(CsDJ[Account Code]=TRIM(K1181)),CsDJ[Credit]))</f>
        <v>0</v>
      </c>
      <c r="P1181" s="1040">
        <f t="shared" si="98"/>
        <v>0</v>
      </c>
      <c r="Q1181" s="1040"/>
      <c r="R1181" s="1040"/>
      <c r="S1181" s="1040">
        <f t="shared" si="99"/>
        <v>0</v>
      </c>
      <c r="T1181" s="1040"/>
      <c r="U1181" s="1040"/>
      <c r="V1181" s="1041"/>
    </row>
    <row r="1182" spans="1:22" x14ac:dyDescent="0.25">
      <c r="A1182" s="1038"/>
      <c r="B1182" s="1039"/>
      <c r="C1182" s="1039"/>
      <c r="D1182" s="1039"/>
      <c r="E1182" s="1048"/>
      <c r="F1182" s="1049"/>
      <c r="G1182" s="1049"/>
      <c r="H1182" s="1049"/>
      <c r="I1182" s="1049"/>
      <c r="J1182" s="1050"/>
      <c r="K1182" s="133"/>
      <c r="L1182" s="62" t="str">
        <f t="shared" si="97"/>
        <v/>
      </c>
      <c r="M1182" s="14"/>
      <c r="N1182" s="89">
        <f t="array" ref="N1182">SUM(IF((CsDJ[JEV Number]=TRIM($T1144))*(CsDJ[Account Code]=TRIM(K1182)),CsDJ[Debit]))</f>
        <v>0</v>
      </c>
      <c r="O1182" s="89">
        <f t="array" ref="O1182">SUM(IF((CsDJ[JEV Number]=TRIM($T1144))*(CsDJ[Account Code]=TRIM(K1182)),CsDJ[Credit]))</f>
        <v>0</v>
      </c>
      <c r="P1182" s="1040">
        <f t="shared" si="98"/>
        <v>0</v>
      </c>
      <c r="Q1182" s="1040"/>
      <c r="R1182" s="1040"/>
      <c r="S1182" s="1040">
        <f t="shared" si="99"/>
        <v>0</v>
      </c>
      <c r="T1182" s="1040"/>
      <c r="U1182" s="1040"/>
      <c r="V1182" s="1041"/>
    </row>
    <row r="1183" spans="1:22" ht="16.5" thickBot="1" x14ac:dyDescent="0.3">
      <c r="A1183" s="1091"/>
      <c r="B1183" s="1092"/>
      <c r="C1183" s="1092"/>
      <c r="D1183" s="1092"/>
      <c r="E1183" s="1092"/>
      <c r="F1183" s="1092"/>
      <c r="G1183" s="1092"/>
      <c r="H1183" s="1092"/>
      <c r="I1183" s="1092"/>
      <c r="J1183" s="1092"/>
      <c r="K1183" s="1092"/>
      <c r="L1183" s="1092"/>
      <c r="M1183" s="1093"/>
      <c r="N1183" s="88"/>
      <c r="O1183" s="88"/>
      <c r="P1183" s="1094">
        <f>SUM(P1153:R1182)</f>
        <v>0</v>
      </c>
      <c r="Q1183" s="1094"/>
      <c r="R1183" s="1094"/>
      <c r="S1183" s="1094">
        <f>SUM(S1153:V1182)</f>
        <v>0</v>
      </c>
      <c r="T1183" s="1094"/>
      <c r="U1183" s="1094"/>
      <c r="V1183" s="1095"/>
    </row>
    <row r="1184" spans="1:22" x14ac:dyDescent="0.25">
      <c r="A1184" s="63"/>
      <c r="B1184" s="64"/>
      <c r="C1184" s="64"/>
      <c r="D1184" s="64"/>
      <c r="E1184" s="64"/>
      <c r="F1184" s="64"/>
      <c r="G1184" s="64"/>
      <c r="H1184" s="64"/>
      <c r="I1184" s="65"/>
      <c r="J1184" s="64"/>
      <c r="K1184" s="66"/>
      <c r="L1184" s="64"/>
      <c r="M1184" s="65"/>
      <c r="N1184" s="64"/>
      <c r="O1184" s="64"/>
      <c r="P1184" s="1090"/>
      <c r="Q1184" s="1090"/>
      <c r="R1184" s="1090"/>
      <c r="S1184" s="1090"/>
      <c r="T1184" s="1090"/>
      <c r="U1184" s="1090"/>
      <c r="V1184" s="1096"/>
    </row>
    <row r="1185" spans="1:22" x14ac:dyDescent="0.25">
      <c r="A1185" s="67" t="s">
        <v>460</v>
      </c>
      <c r="B1185"/>
      <c r="C1185"/>
      <c r="D1185"/>
      <c r="E1185"/>
      <c r="F1185"/>
      <c r="G1185"/>
      <c r="H1185"/>
      <c r="I1185" s="68" t="s">
        <v>353</v>
      </c>
      <c r="J1185" s="69"/>
      <c r="K1185" s="69"/>
      <c r="L1185"/>
      <c r="M1185" s="68" t="s">
        <v>461</v>
      </c>
      <c r="N1185" s="69"/>
      <c r="O1185" s="69"/>
      <c r="P1185" s="70"/>
      <c r="Q1185" s="70"/>
      <c r="R1185" s="70"/>
      <c r="S1185" s="70"/>
      <c r="T1185" s="70"/>
      <c r="U1185" s="70"/>
      <c r="V1185" s="71"/>
    </row>
    <row r="1186" spans="1:22" x14ac:dyDescent="0.25">
      <c r="A1186" s="37"/>
      <c r="B1186"/>
      <c r="C1186"/>
      <c r="D1186"/>
      <c r="E1186"/>
      <c r="F1186"/>
      <c r="G1186"/>
      <c r="H1186"/>
      <c r="I1186" s="72"/>
      <c r="J1186"/>
      <c r="K1186"/>
      <c r="L1186"/>
      <c r="M1186" s="72"/>
      <c r="N1186"/>
      <c r="O1186"/>
      <c r="P1186"/>
      <c r="Q1186"/>
      <c r="R1186"/>
      <c r="S1186"/>
      <c r="T1186"/>
      <c r="U1186"/>
      <c r="V1186" s="73"/>
    </row>
    <row r="1187" spans="1:22" x14ac:dyDescent="0.25">
      <c r="A1187" s="74" t="s">
        <v>462</v>
      </c>
      <c r="B1187" s="75"/>
      <c r="C1187" s="75"/>
      <c r="D1187" s="75"/>
      <c r="E1187" s="75"/>
      <c r="F1187" s="75"/>
      <c r="G1187" s="75"/>
      <c r="H1187" s="76"/>
      <c r="I1187" s="77" t="s">
        <v>380</v>
      </c>
      <c r="J1187" s="75"/>
      <c r="K1187" s="75"/>
      <c r="L1187" s="76"/>
      <c r="M1187" s="77" t="s">
        <v>3</v>
      </c>
      <c r="N1187" s="75"/>
      <c r="O1187" s="75"/>
      <c r="P1187" s="75"/>
      <c r="Q1187" s="75"/>
      <c r="R1187" s="75"/>
      <c r="S1187" s="75"/>
      <c r="T1187" s="75"/>
      <c r="U1187" s="75"/>
      <c r="V1187" s="78"/>
    </row>
    <row r="1188" spans="1:22" x14ac:dyDescent="0.25">
      <c r="A1188" s="79" t="s">
        <v>463</v>
      </c>
      <c r="B1188" s="80"/>
      <c r="C1188" s="80"/>
      <c r="D1188" s="80"/>
      <c r="E1188" s="80"/>
      <c r="F1188" s="80"/>
      <c r="G1188" s="80"/>
      <c r="H1188" s="80"/>
      <c r="I1188" s="81" t="s">
        <v>381</v>
      </c>
      <c r="J1188" s="80"/>
      <c r="K1188" s="80"/>
      <c r="L1188" s="80"/>
      <c r="M1188" s="81" t="s">
        <v>464</v>
      </c>
      <c r="N1188" s="80"/>
      <c r="O1188" s="80"/>
      <c r="P1188" s="82"/>
      <c r="Q1188" s="82"/>
      <c r="R1188" s="82"/>
      <c r="S1188" s="82"/>
      <c r="T1188" s="82"/>
      <c r="U1188" s="82"/>
      <c r="V1188" s="83"/>
    </row>
    <row r="1189" spans="1:22" ht="16.5" thickBot="1" x14ac:dyDescent="0.3">
      <c r="A1189" s="84" t="s">
        <v>465</v>
      </c>
      <c r="B1189" s="43"/>
      <c r="C1189" s="43"/>
      <c r="D1189" s="43"/>
      <c r="E1189" s="43"/>
      <c r="F1189" s="43"/>
      <c r="G1189" s="43"/>
      <c r="H1189" s="43"/>
      <c r="I1189" s="85"/>
      <c r="J1189" s="43"/>
      <c r="K1189" s="43"/>
      <c r="L1189" s="43"/>
      <c r="M1189" s="85"/>
      <c r="N1189" s="43"/>
      <c r="O1189" s="43"/>
      <c r="P1189" s="43"/>
      <c r="Q1189" s="43"/>
      <c r="R1189" s="43"/>
      <c r="S1189" s="43"/>
      <c r="T1189" s="43"/>
      <c r="U1189" s="43"/>
      <c r="V1189" s="44"/>
    </row>
  </sheetData>
  <sheetProtection sheet="1" objects="1" scenarios="1"/>
  <mergeCells count="3581">
    <mergeCell ref="R1:V1"/>
    <mergeCell ref="T2:V2"/>
    <mergeCell ref="T3:V3"/>
    <mergeCell ref="B6:C6"/>
    <mergeCell ref="Q6:R6"/>
    <mergeCell ref="A8:D10"/>
    <mergeCell ref="E8:V8"/>
    <mergeCell ref="E9:J10"/>
    <mergeCell ref="K9:L9"/>
    <mergeCell ref="M9:M10"/>
    <mergeCell ref="N9:V9"/>
    <mergeCell ref="P10:R10"/>
    <mergeCell ref="S10:V10"/>
    <mergeCell ref="A13:D13"/>
    <mergeCell ref="E13:J13"/>
    <mergeCell ref="P13:R13"/>
    <mergeCell ref="S13:V13"/>
    <mergeCell ref="A14:D14"/>
    <mergeCell ref="E14:J14"/>
    <mergeCell ref="P14:R14"/>
    <mergeCell ref="S14:V14"/>
    <mergeCell ref="A11:D11"/>
    <mergeCell ref="E11:J11"/>
    <mergeCell ref="P11:R11"/>
    <mergeCell ref="S11:V11"/>
    <mergeCell ref="A12:D12"/>
    <mergeCell ref="E12:J12"/>
    <mergeCell ref="P12:R12"/>
    <mergeCell ref="S12:V12"/>
    <mergeCell ref="A15:D15"/>
    <mergeCell ref="E15:J15"/>
    <mergeCell ref="P15:R15"/>
    <mergeCell ref="S15:V15"/>
    <mergeCell ref="A21:D21"/>
    <mergeCell ref="E21:J21"/>
    <mergeCell ref="P21:R21"/>
    <mergeCell ref="S21:V21"/>
    <mergeCell ref="A16:D16"/>
    <mergeCell ref="E16:J16"/>
    <mergeCell ref="P16:R16"/>
    <mergeCell ref="S16:V16"/>
    <mergeCell ref="A17:D17"/>
    <mergeCell ref="E17:J17"/>
    <mergeCell ref="P17:R17"/>
    <mergeCell ref="S17:V17"/>
    <mergeCell ref="A18:D18"/>
    <mergeCell ref="E18:J18"/>
    <mergeCell ref="P18:R18"/>
    <mergeCell ref="S30:V30"/>
    <mergeCell ref="A31:D31"/>
    <mergeCell ref="E31:J31"/>
    <mergeCell ref="P31:R31"/>
    <mergeCell ref="S31:V31"/>
    <mergeCell ref="A24:D24"/>
    <mergeCell ref="E24:J24"/>
    <mergeCell ref="P24:R24"/>
    <mergeCell ref="S24:V24"/>
    <mergeCell ref="A25:D25"/>
    <mergeCell ref="E25:J25"/>
    <mergeCell ref="P25:R25"/>
    <mergeCell ref="S25:V25"/>
    <mergeCell ref="A22:D22"/>
    <mergeCell ref="E22:J22"/>
    <mergeCell ref="P22:R22"/>
    <mergeCell ref="S22:V22"/>
    <mergeCell ref="A23:D23"/>
    <mergeCell ref="E23:J23"/>
    <mergeCell ref="P23:R23"/>
    <mergeCell ref="S23:V23"/>
    <mergeCell ref="A28:D28"/>
    <mergeCell ref="E28:J28"/>
    <mergeCell ref="P28:R28"/>
    <mergeCell ref="S28:V28"/>
    <mergeCell ref="A34:D34"/>
    <mergeCell ref="E34:J34"/>
    <mergeCell ref="P34:R34"/>
    <mergeCell ref="S34:V34"/>
    <mergeCell ref="A49:D49"/>
    <mergeCell ref="E49:J49"/>
    <mergeCell ref="P49:R49"/>
    <mergeCell ref="S49:V49"/>
    <mergeCell ref="S54:V54"/>
    <mergeCell ref="A29:D29"/>
    <mergeCell ref="E29:J29"/>
    <mergeCell ref="P29:R29"/>
    <mergeCell ref="S29:V29"/>
    <mergeCell ref="A26:D26"/>
    <mergeCell ref="E26:J26"/>
    <mergeCell ref="P26:R26"/>
    <mergeCell ref="S26:V26"/>
    <mergeCell ref="A27:D27"/>
    <mergeCell ref="E27:J27"/>
    <mergeCell ref="P27:R27"/>
    <mergeCell ref="S27:V27"/>
    <mergeCell ref="A32:D32"/>
    <mergeCell ref="E32:J32"/>
    <mergeCell ref="P32:R32"/>
    <mergeCell ref="S32:V32"/>
    <mergeCell ref="A33:D33"/>
    <mergeCell ref="E33:J33"/>
    <mergeCell ref="P33:R33"/>
    <mergeCell ref="S33:V33"/>
    <mergeCell ref="A30:D30"/>
    <mergeCell ref="E30:J30"/>
    <mergeCell ref="P30:R30"/>
    <mergeCell ref="S51:V51"/>
    <mergeCell ref="A52:D52"/>
    <mergeCell ref="E52:H52"/>
    <mergeCell ref="I52:J52"/>
    <mergeCell ref="P52:R52"/>
    <mergeCell ref="S52:V52"/>
    <mergeCell ref="R62:V62"/>
    <mergeCell ref="T63:V63"/>
    <mergeCell ref="T64:V64"/>
    <mergeCell ref="A50:D50"/>
    <mergeCell ref="E50:J50"/>
    <mergeCell ref="P50:R50"/>
    <mergeCell ref="S50:V50"/>
    <mergeCell ref="A51:D51"/>
    <mergeCell ref="E51:H51"/>
    <mergeCell ref="I51:J51"/>
    <mergeCell ref="P51:R51"/>
    <mergeCell ref="B67:C67"/>
    <mergeCell ref="Q67:R67"/>
    <mergeCell ref="A69:D71"/>
    <mergeCell ref="E69:V69"/>
    <mergeCell ref="E70:J71"/>
    <mergeCell ref="K70:L70"/>
    <mergeCell ref="M70:M71"/>
    <mergeCell ref="N70:V70"/>
    <mergeCell ref="P71:R71"/>
    <mergeCell ref="S71:V71"/>
    <mergeCell ref="S18:V18"/>
    <mergeCell ref="A19:D19"/>
    <mergeCell ref="E19:J19"/>
    <mergeCell ref="P19:R19"/>
    <mergeCell ref="S19:V19"/>
    <mergeCell ref="A20:D20"/>
    <mergeCell ref="E20:J20"/>
    <mergeCell ref="P20:R20"/>
    <mergeCell ref="S20:V20"/>
    <mergeCell ref="P56:R56"/>
    <mergeCell ref="S56:V56"/>
    <mergeCell ref="A54:D54"/>
    <mergeCell ref="E54:J54"/>
    <mergeCell ref="P54:R54"/>
    <mergeCell ref="A55:M55"/>
    <mergeCell ref="P55:R55"/>
    <mergeCell ref="S55:V55"/>
    <mergeCell ref="A53:D53"/>
    <mergeCell ref="E53:H53"/>
    <mergeCell ref="I53:J53"/>
    <mergeCell ref="P53:R53"/>
    <mergeCell ref="S53:V53"/>
    <mergeCell ref="A74:D74"/>
    <mergeCell ref="E74:J74"/>
    <mergeCell ref="P74:R74"/>
    <mergeCell ref="S74:V74"/>
    <mergeCell ref="A75:D75"/>
    <mergeCell ref="E75:J75"/>
    <mergeCell ref="P75:R75"/>
    <mergeCell ref="S75:V75"/>
    <mergeCell ref="A72:D72"/>
    <mergeCell ref="E72:J72"/>
    <mergeCell ref="P72:R72"/>
    <mergeCell ref="S72:V72"/>
    <mergeCell ref="A73:D73"/>
    <mergeCell ref="E73:J73"/>
    <mergeCell ref="P73:R73"/>
    <mergeCell ref="S73:V73"/>
    <mergeCell ref="A78:D78"/>
    <mergeCell ref="E78:J78"/>
    <mergeCell ref="P78:R78"/>
    <mergeCell ref="S78:V78"/>
    <mergeCell ref="A79:D79"/>
    <mergeCell ref="E79:J79"/>
    <mergeCell ref="P79:R79"/>
    <mergeCell ref="S79:V79"/>
    <mergeCell ref="A76:D76"/>
    <mergeCell ref="E76:J76"/>
    <mergeCell ref="P76:R76"/>
    <mergeCell ref="S76:V76"/>
    <mergeCell ref="A77:D77"/>
    <mergeCell ref="E77:J77"/>
    <mergeCell ref="P77:R77"/>
    <mergeCell ref="S77:V77"/>
    <mergeCell ref="A82:D82"/>
    <mergeCell ref="E82:J82"/>
    <mergeCell ref="P82:R82"/>
    <mergeCell ref="S82:V82"/>
    <mergeCell ref="A83:D83"/>
    <mergeCell ref="E83:J83"/>
    <mergeCell ref="P83:R83"/>
    <mergeCell ref="S83:V83"/>
    <mergeCell ref="A80:D80"/>
    <mergeCell ref="E80:J80"/>
    <mergeCell ref="P80:R80"/>
    <mergeCell ref="S80:V80"/>
    <mergeCell ref="A81:D81"/>
    <mergeCell ref="E81:J81"/>
    <mergeCell ref="P81:R81"/>
    <mergeCell ref="S81:V81"/>
    <mergeCell ref="A86:D86"/>
    <mergeCell ref="E86:J86"/>
    <mergeCell ref="P86:R86"/>
    <mergeCell ref="S86:V86"/>
    <mergeCell ref="A87:D87"/>
    <mergeCell ref="E87:J87"/>
    <mergeCell ref="P87:R87"/>
    <mergeCell ref="S87:V87"/>
    <mergeCell ref="A84:D84"/>
    <mergeCell ref="E84:J84"/>
    <mergeCell ref="P84:R84"/>
    <mergeCell ref="S84:V84"/>
    <mergeCell ref="A85:D85"/>
    <mergeCell ref="E85:J85"/>
    <mergeCell ref="P85:R85"/>
    <mergeCell ref="S85:V85"/>
    <mergeCell ref="A90:D90"/>
    <mergeCell ref="E90:J90"/>
    <mergeCell ref="P90:R90"/>
    <mergeCell ref="S90:V90"/>
    <mergeCell ref="A91:D91"/>
    <mergeCell ref="E91:J91"/>
    <mergeCell ref="P91:R91"/>
    <mergeCell ref="S91:V91"/>
    <mergeCell ref="A88:D88"/>
    <mergeCell ref="E88:J88"/>
    <mergeCell ref="P88:R88"/>
    <mergeCell ref="S88:V88"/>
    <mergeCell ref="A89:D89"/>
    <mergeCell ref="E89:J89"/>
    <mergeCell ref="P89:R89"/>
    <mergeCell ref="S89:V89"/>
    <mergeCell ref="A94:D94"/>
    <mergeCell ref="E94:J94"/>
    <mergeCell ref="P94:R94"/>
    <mergeCell ref="S94:V94"/>
    <mergeCell ref="A95:D95"/>
    <mergeCell ref="E95:J95"/>
    <mergeCell ref="P95:R95"/>
    <mergeCell ref="S95:V95"/>
    <mergeCell ref="A92:D92"/>
    <mergeCell ref="E92:J92"/>
    <mergeCell ref="P92:R92"/>
    <mergeCell ref="S92:V92"/>
    <mergeCell ref="A93:D93"/>
    <mergeCell ref="E93:J93"/>
    <mergeCell ref="P93:R93"/>
    <mergeCell ref="S93:V93"/>
    <mergeCell ref="A98:D98"/>
    <mergeCell ref="E98:H98"/>
    <mergeCell ref="I98:J98"/>
    <mergeCell ref="P98:R98"/>
    <mergeCell ref="S98:V98"/>
    <mergeCell ref="A99:D99"/>
    <mergeCell ref="E99:H99"/>
    <mergeCell ref="I99:J99"/>
    <mergeCell ref="P99:R99"/>
    <mergeCell ref="S99:V99"/>
    <mergeCell ref="A96:D96"/>
    <mergeCell ref="E96:J96"/>
    <mergeCell ref="P96:R96"/>
    <mergeCell ref="S96:V96"/>
    <mergeCell ref="A97:D97"/>
    <mergeCell ref="E97:J97"/>
    <mergeCell ref="P97:R97"/>
    <mergeCell ref="S97:V97"/>
    <mergeCell ref="A102:M102"/>
    <mergeCell ref="P102:R102"/>
    <mergeCell ref="S102:V102"/>
    <mergeCell ref="P103:R103"/>
    <mergeCell ref="S103:V103"/>
    <mergeCell ref="R109:V109"/>
    <mergeCell ref="T110:V110"/>
    <mergeCell ref="T111:V111"/>
    <mergeCell ref="B114:C114"/>
    <mergeCell ref="Q114:R114"/>
    <mergeCell ref="A100:D100"/>
    <mergeCell ref="E100:H100"/>
    <mergeCell ref="I100:J100"/>
    <mergeCell ref="P100:R100"/>
    <mergeCell ref="S100:V100"/>
    <mergeCell ref="A101:D101"/>
    <mergeCell ref="E101:J101"/>
    <mergeCell ref="P101:R101"/>
    <mergeCell ref="S101:V101"/>
    <mergeCell ref="A119:D119"/>
    <mergeCell ref="E119:J119"/>
    <mergeCell ref="P119:R119"/>
    <mergeCell ref="S119:V119"/>
    <mergeCell ref="A120:D120"/>
    <mergeCell ref="E120:J120"/>
    <mergeCell ref="P120:R120"/>
    <mergeCell ref="S120:V120"/>
    <mergeCell ref="A116:D118"/>
    <mergeCell ref="E116:V116"/>
    <mergeCell ref="E117:J118"/>
    <mergeCell ref="K117:L117"/>
    <mergeCell ref="M117:M118"/>
    <mergeCell ref="N117:V117"/>
    <mergeCell ref="P118:R118"/>
    <mergeCell ref="S118:V118"/>
    <mergeCell ref="A123:D123"/>
    <mergeCell ref="E123:J123"/>
    <mergeCell ref="P123:R123"/>
    <mergeCell ref="S123:V123"/>
    <mergeCell ref="A124:D124"/>
    <mergeCell ref="E124:J124"/>
    <mergeCell ref="P124:R124"/>
    <mergeCell ref="S124:V124"/>
    <mergeCell ref="A121:D121"/>
    <mergeCell ref="E121:J121"/>
    <mergeCell ref="P121:R121"/>
    <mergeCell ref="S121:V121"/>
    <mergeCell ref="A122:D122"/>
    <mergeCell ref="E122:J122"/>
    <mergeCell ref="P122:R122"/>
    <mergeCell ref="S122:V122"/>
    <mergeCell ref="A127:D127"/>
    <mergeCell ref="E127:J127"/>
    <mergeCell ref="P127:R127"/>
    <mergeCell ref="S127:V127"/>
    <mergeCell ref="A128:D128"/>
    <mergeCell ref="E128:J128"/>
    <mergeCell ref="P128:R128"/>
    <mergeCell ref="S128:V128"/>
    <mergeCell ref="A125:D125"/>
    <mergeCell ref="E125:J125"/>
    <mergeCell ref="P125:R125"/>
    <mergeCell ref="S125:V125"/>
    <mergeCell ref="A126:D126"/>
    <mergeCell ref="E126:J126"/>
    <mergeCell ref="P126:R126"/>
    <mergeCell ref="S126:V126"/>
    <mergeCell ref="A131:D131"/>
    <mergeCell ref="E131:J131"/>
    <mergeCell ref="P131:R131"/>
    <mergeCell ref="S131:V131"/>
    <mergeCell ref="A132:D132"/>
    <mergeCell ref="E132:J132"/>
    <mergeCell ref="P132:R132"/>
    <mergeCell ref="S132:V132"/>
    <mergeCell ref="A129:D129"/>
    <mergeCell ref="E129:J129"/>
    <mergeCell ref="P129:R129"/>
    <mergeCell ref="S129:V129"/>
    <mergeCell ref="A130:D130"/>
    <mergeCell ref="E130:J130"/>
    <mergeCell ref="P130:R130"/>
    <mergeCell ref="S130:V130"/>
    <mergeCell ref="A135:D135"/>
    <mergeCell ref="E135:J135"/>
    <mergeCell ref="P135:R135"/>
    <mergeCell ref="S135:V135"/>
    <mergeCell ref="A136:D136"/>
    <mergeCell ref="E136:J136"/>
    <mergeCell ref="P136:R136"/>
    <mergeCell ref="S136:V136"/>
    <mergeCell ref="A133:D133"/>
    <mergeCell ref="E133:J133"/>
    <mergeCell ref="P133:R133"/>
    <mergeCell ref="S133:V133"/>
    <mergeCell ref="A134:D134"/>
    <mergeCell ref="E134:J134"/>
    <mergeCell ref="P134:R134"/>
    <mergeCell ref="S134:V134"/>
    <mergeCell ref="A139:D139"/>
    <mergeCell ref="E139:J139"/>
    <mergeCell ref="P139:R139"/>
    <mergeCell ref="S139:V139"/>
    <mergeCell ref="A140:D140"/>
    <mergeCell ref="E140:J140"/>
    <mergeCell ref="P140:R140"/>
    <mergeCell ref="S140:V140"/>
    <mergeCell ref="A137:D137"/>
    <mergeCell ref="E137:J137"/>
    <mergeCell ref="P137:R137"/>
    <mergeCell ref="S137:V137"/>
    <mergeCell ref="A138:D138"/>
    <mergeCell ref="E138:J138"/>
    <mergeCell ref="P138:R138"/>
    <mergeCell ref="S138:V138"/>
    <mergeCell ref="A143:D143"/>
    <mergeCell ref="E143:J143"/>
    <mergeCell ref="P143:R143"/>
    <mergeCell ref="S143:V143"/>
    <mergeCell ref="A144:D144"/>
    <mergeCell ref="E144:J144"/>
    <mergeCell ref="P144:R144"/>
    <mergeCell ref="S144:V144"/>
    <mergeCell ref="A141:D141"/>
    <mergeCell ref="E141:J141"/>
    <mergeCell ref="P141:R141"/>
    <mergeCell ref="S141:V141"/>
    <mergeCell ref="A142:D142"/>
    <mergeCell ref="E142:J142"/>
    <mergeCell ref="P142:R142"/>
    <mergeCell ref="S142:V142"/>
    <mergeCell ref="A147:D147"/>
    <mergeCell ref="E147:H147"/>
    <mergeCell ref="I147:J147"/>
    <mergeCell ref="P147:R147"/>
    <mergeCell ref="S147:V147"/>
    <mergeCell ref="A148:D148"/>
    <mergeCell ref="E148:J148"/>
    <mergeCell ref="P148:R148"/>
    <mergeCell ref="S148:V148"/>
    <mergeCell ref="A145:D145"/>
    <mergeCell ref="E145:H145"/>
    <mergeCell ref="I145:J145"/>
    <mergeCell ref="P145:R145"/>
    <mergeCell ref="S145:V145"/>
    <mergeCell ref="A146:D146"/>
    <mergeCell ref="E146:H146"/>
    <mergeCell ref="I146:J146"/>
    <mergeCell ref="P146:R146"/>
    <mergeCell ref="S146:V146"/>
    <mergeCell ref="A163:D165"/>
    <mergeCell ref="E163:V163"/>
    <mergeCell ref="E164:J165"/>
    <mergeCell ref="K164:L164"/>
    <mergeCell ref="M164:M165"/>
    <mergeCell ref="N164:V164"/>
    <mergeCell ref="P165:R165"/>
    <mergeCell ref="S165:V165"/>
    <mergeCell ref="A149:M149"/>
    <mergeCell ref="P149:R149"/>
    <mergeCell ref="S149:V149"/>
    <mergeCell ref="P150:R150"/>
    <mergeCell ref="S150:V150"/>
    <mergeCell ref="R156:V156"/>
    <mergeCell ref="T157:V157"/>
    <mergeCell ref="T158:V158"/>
    <mergeCell ref="B161:C161"/>
    <mergeCell ref="Q161:R161"/>
    <mergeCell ref="A168:D168"/>
    <mergeCell ref="E168:J168"/>
    <mergeCell ref="P168:R168"/>
    <mergeCell ref="S168:V168"/>
    <mergeCell ref="A169:D169"/>
    <mergeCell ref="E169:J169"/>
    <mergeCell ref="P169:R169"/>
    <mergeCell ref="S169:V169"/>
    <mergeCell ref="A166:D166"/>
    <mergeCell ref="E166:J166"/>
    <mergeCell ref="P166:R166"/>
    <mergeCell ref="S166:V166"/>
    <mergeCell ref="A167:D167"/>
    <mergeCell ref="E167:J167"/>
    <mergeCell ref="P167:R167"/>
    <mergeCell ref="S167:V167"/>
    <mergeCell ref="A172:D172"/>
    <mergeCell ref="E172:J172"/>
    <mergeCell ref="P172:R172"/>
    <mergeCell ref="S172:V172"/>
    <mergeCell ref="A173:D173"/>
    <mergeCell ref="E173:J173"/>
    <mergeCell ref="P173:R173"/>
    <mergeCell ref="S173:V173"/>
    <mergeCell ref="A170:D170"/>
    <mergeCell ref="E170:J170"/>
    <mergeCell ref="P170:R170"/>
    <mergeCell ref="S170:V170"/>
    <mergeCell ref="A171:D171"/>
    <mergeCell ref="E171:J171"/>
    <mergeCell ref="P171:R171"/>
    <mergeCell ref="S171:V171"/>
    <mergeCell ref="A176:D176"/>
    <mergeCell ref="E176:J176"/>
    <mergeCell ref="P176:R176"/>
    <mergeCell ref="S176:V176"/>
    <mergeCell ref="A177:D177"/>
    <mergeCell ref="E177:J177"/>
    <mergeCell ref="P177:R177"/>
    <mergeCell ref="S177:V177"/>
    <mergeCell ref="A174:D174"/>
    <mergeCell ref="E174:J174"/>
    <mergeCell ref="P174:R174"/>
    <mergeCell ref="S174:V174"/>
    <mergeCell ref="A175:D175"/>
    <mergeCell ref="E175:J175"/>
    <mergeCell ref="P175:R175"/>
    <mergeCell ref="S175:V175"/>
    <mergeCell ref="A180:D180"/>
    <mergeCell ref="E180:J180"/>
    <mergeCell ref="P180:R180"/>
    <mergeCell ref="S180:V180"/>
    <mergeCell ref="A181:D181"/>
    <mergeCell ref="E181:J181"/>
    <mergeCell ref="P181:R181"/>
    <mergeCell ref="S181:V181"/>
    <mergeCell ref="A178:D178"/>
    <mergeCell ref="E178:J178"/>
    <mergeCell ref="P178:R178"/>
    <mergeCell ref="S178:V178"/>
    <mergeCell ref="A179:D179"/>
    <mergeCell ref="E179:J179"/>
    <mergeCell ref="P179:R179"/>
    <mergeCell ref="S179:V179"/>
    <mergeCell ref="A184:D184"/>
    <mergeCell ref="E184:J184"/>
    <mergeCell ref="P184:R184"/>
    <mergeCell ref="S184:V184"/>
    <mergeCell ref="A185:D185"/>
    <mergeCell ref="E185:J185"/>
    <mergeCell ref="P185:R185"/>
    <mergeCell ref="S185:V185"/>
    <mergeCell ref="A182:D182"/>
    <mergeCell ref="E182:J182"/>
    <mergeCell ref="P182:R182"/>
    <mergeCell ref="S182:V182"/>
    <mergeCell ref="A183:D183"/>
    <mergeCell ref="E183:J183"/>
    <mergeCell ref="P183:R183"/>
    <mergeCell ref="S183:V183"/>
    <mergeCell ref="A188:D188"/>
    <mergeCell ref="E188:J188"/>
    <mergeCell ref="P188:R188"/>
    <mergeCell ref="S188:V188"/>
    <mergeCell ref="A189:D189"/>
    <mergeCell ref="E189:J189"/>
    <mergeCell ref="P189:R189"/>
    <mergeCell ref="S189:V189"/>
    <mergeCell ref="A186:D186"/>
    <mergeCell ref="E186:J186"/>
    <mergeCell ref="P186:R186"/>
    <mergeCell ref="S186:V186"/>
    <mergeCell ref="A187:D187"/>
    <mergeCell ref="E187:J187"/>
    <mergeCell ref="P187:R187"/>
    <mergeCell ref="S187:V187"/>
    <mergeCell ref="A192:D192"/>
    <mergeCell ref="E192:H192"/>
    <mergeCell ref="I192:J192"/>
    <mergeCell ref="P192:R192"/>
    <mergeCell ref="S192:V192"/>
    <mergeCell ref="A193:D193"/>
    <mergeCell ref="E193:H193"/>
    <mergeCell ref="I193:J193"/>
    <mergeCell ref="P193:R193"/>
    <mergeCell ref="S193:V193"/>
    <mergeCell ref="A190:D190"/>
    <mergeCell ref="E190:J190"/>
    <mergeCell ref="P190:R190"/>
    <mergeCell ref="S190:V190"/>
    <mergeCell ref="A191:D191"/>
    <mergeCell ref="E191:J191"/>
    <mergeCell ref="P191:R191"/>
    <mergeCell ref="S191:V191"/>
    <mergeCell ref="A196:M196"/>
    <mergeCell ref="P196:R196"/>
    <mergeCell ref="S196:V196"/>
    <mergeCell ref="P197:R197"/>
    <mergeCell ref="S197:V197"/>
    <mergeCell ref="R203:V203"/>
    <mergeCell ref="T204:V204"/>
    <mergeCell ref="T205:V205"/>
    <mergeCell ref="B208:C208"/>
    <mergeCell ref="Q208:R208"/>
    <mergeCell ref="A194:D194"/>
    <mergeCell ref="E194:H194"/>
    <mergeCell ref="I194:J194"/>
    <mergeCell ref="P194:R194"/>
    <mergeCell ref="S194:V194"/>
    <mergeCell ref="A195:D195"/>
    <mergeCell ref="E195:J195"/>
    <mergeCell ref="P195:R195"/>
    <mergeCell ref="S195:V195"/>
    <mergeCell ref="A213:D213"/>
    <mergeCell ref="E213:J213"/>
    <mergeCell ref="P213:R213"/>
    <mergeCell ref="S213:V213"/>
    <mergeCell ref="A214:D214"/>
    <mergeCell ref="E214:J214"/>
    <mergeCell ref="P214:R214"/>
    <mergeCell ref="S214:V214"/>
    <mergeCell ref="A210:D212"/>
    <mergeCell ref="E210:V210"/>
    <mergeCell ref="E211:J212"/>
    <mergeCell ref="K211:L211"/>
    <mergeCell ref="M211:M212"/>
    <mergeCell ref="N211:V211"/>
    <mergeCell ref="P212:R212"/>
    <mergeCell ref="S212:V212"/>
    <mergeCell ref="A217:D217"/>
    <mergeCell ref="E217:J217"/>
    <mergeCell ref="P217:R217"/>
    <mergeCell ref="S217:V217"/>
    <mergeCell ref="A218:D218"/>
    <mergeCell ref="E218:J218"/>
    <mergeCell ref="P218:R218"/>
    <mergeCell ref="S218:V218"/>
    <mergeCell ref="A215:D215"/>
    <mergeCell ref="E215:J215"/>
    <mergeCell ref="P215:R215"/>
    <mergeCell ref="S215:V215"/>
    <mergeCell ref="A216:D216"/>
    <mergeCell ref="E216:J216"/>
    <mergeCell ref="P216:R216"/>
    <mergeCell ref="S216:V216"/>
    <mergeCell ref="A221:D221"/>
    <mergeCell ref="E221:J221"/>
    <mergeCell ref="P221:R221"/>
    <mergeCell ref="S221:V221"/>
    <mergeCell ref="A222:D222"/>
    <mergeCell ref="E222:J222"/>
    <mergeCell ref="P222:R222"/>
    <mergeCell ref="S222:V222"/>
    <mergeCell ref="A219:D219"/>
    <mergeCell ref="E219:J219"/>
    <mergeCell ref="P219:R219"/>
    <mergeCell ref="S219:V219"/>
    <mergeCell ref="A220:D220"/>
    <mergeCell ref="E220:J220"/>
    <mergeCell ref="P220:R220"/>
    <mergeCell ref="S220:V220"/>
    <mergeCell ref="A225:D225"/>
    <mergeCell ref="E225:J225"/>
    <mergeCell ref="P225:R225"/>
    <mergeCell ref="S225:V225"/>
    <mergeCell ref="A226:D226"/>
    <mergeCell ref="E226:J226"/>
    <mergeCell ref="P226:R226"/>
    <mergeCell ref="S226:V226"/>
    <mergeCell ref="A223:D223"/>
    <mergeCell ref="E223:J223"/>
    <mergeCell ref="P223:R223"/>
    <mergeCell ref="S223:V223"/>
    <mergeCell ref="A224:D224"/>
    <mergeCell ref="E224:J224"/>
    <mergeCell ref="P224:R224"/>
    <mergeCell ref="S224:V224"/>
    <mergeCell ref="A229:D229"/>
    <mergeCell ref="E229:J229"/>
    <mergeCell ref="P229:R229"/>
    <mergeCell ref="S229:V229"/>
    <mergeCell ref="A230:D230"/>
    <mergeCell ref="E230:J230"/>
    <mergeCell ref="P230:R230"/>
    <mergeCell ref="S230:V230"/>
    <mergeCell ref="A227:D227"/>
    <mergeCell ref="E227:J227"/>
    <mergeCell ref="P227:R227"/>
    <mergeCell ref="S227:V227"/>
    <mergeCell ref="A228:D228"/>
    <mergeCell ref="E228:J228"/>
    <mergeCell ref="P228:R228"/>
    <mergeCell ref="S228:V228"/>
    <mergeCell ref="A233:D233"/>
    <mergeCell ref="E233:J233"/>
    <mergeCell ref="P233:R233"/>
    <mergeCell ref="S233:V233"/>
    <mergeCell ref="A234:D234"/>
    <mergeCell ref="E234:J234"/>
    <mergeCell ref="P234:R234"/>
    <mergeCell ref="S234:V234"/>
    <mergeCell ref="A231:D231"/>
    <mergeCell ref="E231:J231"/>
    <mergeCell ref="P231:R231"/>
    <mergeCell ref="S231:V231"/>
    <mergeCell ref="A232:D232"/>
    <mergeCell ref="E232:J232"/>
    <mergeCell ref="P232:R232"/>
    <mergeCell ref="S232:V232"/>
    <mergeCell ref="A237:D237"/>
    <mergeCell ref="E237:J237"/>
    <mergeCell ref="P237:R237"/>
    <mergeCell ref="S237:V237"/>
    <mergeCell ref="A238:D238"/>
    <mergeCell ref="E238:J238"/>
    <mergeCell ref="P238:R238"/>
    <mergeCell ref="S238:V238"/>
    <mergeCell ref="A235:D235"/>
    <mergeCell ref="E235:J235"/>
    <mergeCell ref="P235:R235"/>
    <mergeCell ref="S235:V235"/>
    <mergeCell ref="A236:D236"/>
    <mergeCell ref="E236:J236"/>
    <mergeCell ref="P236:R236"/>
    <mergeCell ref="S236:V236"/>
    <mergeCell ref="A241:D241"/>
    <mergeCell ref="E241:H241"/>
    <mergeCell ref="I241:J241"/>
    <mergeCell ref="P241:R241"/>
    <mergeCell ref="S241:V241"/>
    <mergeCell ref="A242:D242"/>
    <mergeCell ref="E242:J242"/>
    <mergeCell ref="P242:R242"/>
    <mergeCell ref="S242:V242"/>
    <mergeCell ref="A239:D239"/>
    <mergeCell ref="E239:H239"/>
    <mergeCell ref="I239:J239"/>
    <mergeCell ref="P239:R239"/>
    <mergeCell ref="S239:V239"/>
    <mergeCell ref="A240:D240"/>
    <mergeCell ref="E240:H240"/>
    <mergeCell ref="I240:J240"/>
    <mergeCell ref="P240:R240"/>
    <mergeCell ref="S240:V240"/>
    <mergeCell ref="A257:D259"/>
    <mergeCell ref="E257:V257"/>
    <mergeCell ref="E258:J259"/>
    <mergeCell ref="K258:L258"/>
    <mergeCell ref="M258:M259"/>
    <mergeCell ref="N258:V258"/>
    <mergeCell ref="P259:R259"/>
    <mergeCell ref="S259:V259"/>
    <mergeCell ref="A243:M243"/>
    <mergeCell ref="P243:R243"/>
    <mergeCell ref="S243:V243"/>
    <mergeCell ref="P244:R244"/>
    <mergeCell ref="S244:V244"/>
    <mergeCell ref="R250:V250"/>
    <mergeCell ref="T251:V251"/>
    <mergeCell ref="T252:V252"/>
    <mergeCell ref="B255:C255"/>
    <mergeCell ref="Q255:R255"/>
    <mergeCell ref="A262:D262"/>
    <mergeCell ref="E262:J262"/>
    <mergeCell ref="P262:R262"/>
    <mergeCell ref="S262:V262"/>
    <mergeCell ref="A263:D263"/>
    <mergeCell ref="E263:J263"/>
    <mergeCell ref="P263:R263"/>
    <mergeCell ref="S263:V263"/>
    <mergeCell ref="A260:D260"/>
    <mergeCell ref="E260:J260"/>
    <mergeCell ref="P260:R260"/>
    <mergeCell ref="S260:V260"/>
    <mergeCell ref="A261:D261"/>
    <mergeCell ref="E261:J261"/>
    <mergeCell ref="P261:R261"/>
    <mergeCell ref="S261:V261"/>
    <mergeCell ref="A266:D266"/>
    <mergeCell ref="E266:J266"/>
    <mergeCell ref="P266:R266"/>
    <mergeCell ref="S266:V266"/>
    <mergeCell ref="A267:D267"/>
    <mergeCell ref="E267:J267"/>
    <mergeCell ref="P267:R267"/>
    <mergeCell ref="S267:V267"/>
    <mergeCell ref="A264:D264"/>
    <mergeCell ref="E264:J264"/>
    <mergeCell ref="P264:R264"/>
    <mergeCell ref="S264:V264"/>
    <mergeCell ref="A265:D265"/>
    <mergeCell ref="E265:J265"/>
    <mergeCell ref="P265:R265"/>
    <mergeCell ref="S265:V265"/>
    <mergeCell ref="A270:D270"/>
    <mergeCell ref="E270:J270"/>
    <mergeCell ref="P270:R270"/>
    <mergeCell ref="S270:V270"/>
    <mergeCell ref="A271:D271"/>
    <mergeCell ref="E271:J271"/>
    <mergeCell ref="P271:R271"/>
    <mergeCell ref="S271:V271"/>
    <mergeCell ref="A268:D268"/>
    <mergeCell ref="E268:J268"/>
    <mergeCell ref="P268:R268"/>
    <mergeCell ref="S268:V268"/>
    <mergeCell ref="A269:D269"/>
    <mergeCell ref="E269:J269"/>
    <mergeCell ref="P269:R269"/>
    <mergeCell ref="S269:V269"/>
    <mergeCell ref="A274:D274"/>
    <mergeCell ref="E274:J274"/>
    <mergeCell ref="P274:R274"/>
    <mergeCell ref="S274:V274"/>
    <mergeCell ref="A275:D275"/>
    <mergeCell ref="E275:J275"/>
    <mergeCell ref="P275:R275"/>
    <mergeCell ref="S275:V275"/>
    <mergeCell ref="A272:D272"/>
    <mergeCell ref="E272:J272"/>
    <mergeCell ref="P272:R272"/>
    <mergeCell ref="S272:V272"/>
    <mergeCell ref="A273:D273"/>
    <mergeCell ref="E273:J273"/>
    <mergeCell ref="P273:R273"/>
    <mergeCell ref="S273:V273"/>
    <mergeCell ref="A278:D278"/>
    <mergeCell ref="E278:J278"/>
    <mergeCell ref="P278:R278"/>
    <mergeCell ref="S278:V278"/>
    <mergeCell ref="A279:D279"/>
    <mergeCell ref="E279:J279"/>
    <mergeCell ref="P279:R279"/>
    <mergeCell ref="S279:V279"/>
    <mergeCell ref="A276:D276"/>
    <mergeCell ref="E276:J276"/>
    <mergeCell ref="P276:R276"/>
    <mergeCell ref="S276:V276"/>
    <mergeCell ref="A277:D277"/>
    <mergeCell ref="E277:J277"/>
    <mergeCell ref="P277:R277"/>
    <mergeCell ref="S277:V277"/>
    <mergeCell ref="A282:D282"/>
    <mergeCell ref="E282:J282"/>
    <mergeCell ref="P282:R282"/>
    <mergeCell ref="S282:V282"/>
    <mergeCell ref="A283:D283"/>
    <mergeCell ref="E283:J283"/>
    <mergeCell ref="P283:R283"/>
    <mergeCell ref="S283:V283"/>
    <mergeCell ref="A280:D280"/>
    <mergeCell ref="E280:J280"/>
    <mergeCell ref="P280:R280"/>
    <mergeCell ref="S280:V280"/>
    <mergeCell ref="A281:D281"/>
    <mergeCell ref="E281:J281"/>
    <mergeCell ref="P281:R281"/>
    <mergeCell ref="S281:V281"/>
    <mergeCell ref="A286:D286"/>
    <mergeCell ref="E286:H286"/>
    <mergeCell ref="I286:J286"/>
    <mergeCell ref="P286:R286"/>
    <mergeCell ref="S286:V286"/>
    <mergeCell ref="A287:D287"/>
    <mergeCell ref="E287:H287"/>
    <mergeCell ref="I287:J287"/>
    <mergeCell ref="P287:R287"/>
    <mergeCell ref="S287:V287"/>
    <mergeCell ref="A284:D284"/>
    <mergeCell ref="E284:J284"/>
    <mergeCell ref="P284:R284"/>
    <mergeCell ref="S284:V284"/>
    <mergeCell ref="A285:D285"/>
    <mergeCell ref="E285:J285"/>
    <mergeCell ref="P285:R285"/>
    <mergeCell ref="S285:V285"/>
    <mergeCell ref="A290:M290"/>
    <mergeCell ref="P290:R290"/>
    <mergeCell ref="S290:V290"/>
    <mergeCell ref="P291:R291"/>
    <mergeCell ref="S291:V291"/>
    <mergeCell ref="R297:V297"/>
    <mergeCell ref="T298:V298"/>
    <mergeCell ref="T299:V299"/>
    <mergeCell ref="B302:C302"/>
    <mergeCell ref="Q302:R302"/>
    <mergeCell ref="A288:D288"/>
    <mergeCell ref="E288:H288"/>
    <mergeCell ref="I288:J288"/>
    <mergeCell ref="P288:R288"/>
    <mergeCell ref="S288:V288"/>
    <mergeCell ref="A289:D289"/>
    <mergeCell ref="E289:J289"/>
    <mergeCell ref="P289:R289"/>
    <mergeCell ref="S289:V289"/>
    <mergeCell ref="A307:D307"/>
    <mergeCell ref="E307:J307"/>
    <mergeCell ref="P307:R307"/>
    <mergeCell ref="S307:V307"/>
    <mergeCell ref="A308:D308"/>
    <mergeCell ref="E308:J308"/>
    <mergeCell ref="P308:R308"/>
    <mergeCell ref="S308:V308"/>
    <mergeCell ref="A304:D306"/>
    <mergeCell ref="E304:V304"/>
    <mergeCell ref="E305:J306"/>
    <mergeCell ref="K305:L305"/>
    <mergeCell ref="M305:M306"/>
    <mergeCell ref="N305:V305"/>
    <mergeCell ref="P306:R306"/>
    <mergeCell ref="S306:V306"/>
    <mergeCell ref="A311:D311"/>
    <mergeCell ref="E311:J311"/>
    <mergeCell ref="P311:R311"/>
    <mergeCell ref="S311:V311"/>
    <mergeCell ref="A312:D312"/>
    <mergeCell ref="E312:J312"/>
    <mergeCell ref="P312:R312"/>
    <mergeCell ref="S312:V312"/>
    <mergeCell ref="A309:D309"/>
    <mergeCell ref="E309:J309"/>
    <mergeCell ref="P309:R309"/>
    <mergeCell ref="S309:V309"/>
    <mergeCell ref="A310:D310"/>
    <mergeCell ref="E310:J310"/>
    <mergeCell ref="P310:R310"/>
    <mergeCell ref="S310:V310"/>
    <mergeCell ref="A315:D315"/>
    <mergeCell ref="E315:J315"/>
    <mergeCell ref="P315:R315"/>
    <mergeCell ref="S315:V315"/>
    <mergeCell ref="A316:D316"/>
    <mergeCell ref="E316:J316"/>
    <mergeCell ref="P316:R316"/>
    <mergeCell ref="S316:V316"/>
    <mergeCell ref="A313:D313"/>
    <mergeCell ref="E313:J313"/>
    <mergeCell ref="P313:R313"/>
    <mergeCell ref="S313:V313"/>
    <mergeCell ref="A314:D314"/>
    <mergeCell ref="E314:J314"/>
    <mergeCell ref="P314:R314"/>
    <mergeCell ref="S314:V314"/>
    <mergeCell ref="A319:D319"/>
    <mergeCell ref="E319:J319"/>
    <mergeCell ref="P319:R319"/>
    <mergeCell ref="S319:V319"/>
    <mergeCell ref="A320:D320"/>
    <mergeCell ref="E320:J320"/>
    <mergeCell ref="P320:R320"/>
    <mergeCell ref="S320:V320"/>
    <mergeCell ref="A317:D317"/>
    <mergeCell ref="E317:J317"/>
    <mergeCell ref="P317:R317"/>
    <mergeCell ref="S317:V317"/>
    <mergeCell ref="A318:D318"/>
    <mergeCell ref="E318:J318"/>
    <mergeCell ref="P318:R318"/>
    <mergeCell ref="S318:V318"/>
    <mergeCell ref="A323:D323"/>
    <mergeCell ref="E323:J323"/>
    <mergeCell ref="P323:R323"/>
    <mergeCell ref="S323:V323"/>
    <mergeCell ref="A324:D324"/>
    <mergeCell ref="E324:J324"/>
    <mergeCell ref="P324:R324"/>
    <mergeCell ref="S324:V324"/>
    <mergeCell ref="A321:D321"/>
    <mergeCell ref="E321:J321"/>
    <mergeCell ref="P321:R321"/>
    <mergeCell ref="S321:V321"/>
    <mergeCell ref="A322:D322"/>
    <mergeCell ref="E322:J322"/>
    <mergeCell ref="P322:R322"/>
    <mergeCell ref="S322:V322"/>
    <mergeCell ref="A327:D327"/>
    <mergeCell ref="E327:J327"/>
    <mergeCell ref="P327:R327"/>
    <mergeCell ref="S327:V327"/>
    <mergeCell ref="A328:D328"/>
    <mergeCell ref="E328:J328"/>
    <mergeCell ref="P328:R328"/>
    <mergeCell ref="S328:V328"/>
    <mergeCell ref="A325:D325"/>
    <mergeCell ref="E325:J325"/>
    <mergeCell ref="P325:R325"/>
    <mergeCell ref="S325:V325"/>
    <mergeCell ref="A326:D326"/>
    <mergeCell ref="E326:J326"/>
    <mergeCell ref="P326:R326"/>
    <mergeCell ref="S326:V326"/>
    <mergeCell ref="A331:D331"/>
    <mergeCell ref="E331:J331"/>
    <mergeCell ref="P331:R331"/>
    <mergeCell ref="S331:V331"/>
    <mergeCell ref="A332:D332"/>
    <mergeCell ref="E332:J332"/>
    <mergeCell ref="P332:R332"/>
    <mergeCell ref="S332:V332"/>
    <mergeCell ref="A329:D329"/>
    <mergeCell ref="E329:J329"/>
    <mergeCell ref="P329:R329"/>
    <mergeCell ref="S329:V329"/>
    <mergeCell ref="A330:D330"/>
    <mergeCell ref="E330:J330"/>
    <mergeCell ref="P330:R330"/>
    <mergeCell ref="S330:V330"/>
    <mergeCell ref="A335:D335"/>
    <mergeCell ref="E335:H335"/>
    <mergeCell ref="I335:J335"/>
    <mergeCell ref="P335:R335"/>
    <mergeCell ref="S335:V335"/>
    <mergeCell ref="A336:D336"/>
    <mergeCell ref="E336:J336"/>
    <mergeCell ref="P336:R336"/>
    <mergeCell ref="S336:V336"/>
    <mergeCell ref="A333:D333"/>
    <mergeCell ref="E333:H333"/>
    <mergeCell ref="I333:J333"/>
    <mergeCell ref="P333:R333"/>
    <mergeCell ref="S333:V333"/>
    <mergeCell ref="A334:D334"/>
    <mergeCell ref="E334:H334"/>
    <mergeCell ref="I334:J334"/>
    <mergeCell ref="P334:R334"/>
    <mergeCell ref="S334:V334"/>
    <mergeCell ref="A351:D353"/>
    <mergeCell ref="E351:V351"/>
    <mergeCell ref="E352:J353"/>
    <mergeCell ref="K352:L352"/>
    <mergeCell ref="M352:M353"/>
    <mergeCell ref="N352:V352"/>
    <mergeCell ref="P353:R353"/>
    <mergeCell ref="S353:V353"/>
    <mergeCell ref="A337:M337"/>
    <mergeCell ref="P337:R337"/>
    <mergeCell ref="S337:V337"/>
    <mergeCell ref="P338:R338"/>
    <mergeCell ref="S338:V338"/>
    <mergeCell ref="R344:V344"/>
    <mergeCell ref="T345:V345"/>
    <mergeCell ref="T346:V346"/>
    <mergeCell ref="B349:C349"/>
    <mergeCell ref="Q349:R349"/>
    <mergeCell ref="A356:D356"/>
    <mergeCell ref="E356:J356"/>
    <mergeCell ref="P356:R356"/>
    <mergeCell ref="S356:V356"/>
    <mergeCell ref="A357:D357"/>
    <mergeCell ref="E357:J357"/>
    <mergeCell ref="P357:R357"/>
    <mergeCell ref="S357:V357"/>
    <mergeCell ref="A354:D354"/>
    <mergeCell ref="E354:J354"/>
    <mergeCell ref="P354:R354"/>
    <mergeCell ref="S354:V354"/>
    <mergeCell ref="A355:D355"/>
    <mergeCell ref="E355:J355"/>
    <mergeCell ref="P355:R355"/>
    <mergeCell ref="S355:V355"/>
    <mergeCell ref="A360:D360"/>
    <mergeCell ref="E360:J360"/>
    <mergeCell ref="P360:R360"/>
    <mergeCell ref="S360:V360"/>
    <mergeCell ref="A361:D361"/>
    <mergeCell ref="E361:J361"/>
    <mergeCell ref="P361:R361"/>
    <mergeCell ref="S361:V361"/>
    <mergeCell ref="A358:D358"/>
    <mergeCell ref="E358:J358"/>
    <mergeCell ref="P358:R358"/>
    <mergeCell ref="S358:V358"/>
    <mergeCell ref="A359:D359"/>
    <mergeCell ref="E359:J359"/>
    <mergeCell ref="P359:R359"/>
    <mergeCell ref="S359:V359"/>
    <mergeCell ref="A364:D364"/>
    <mergeCell ref="E364:J364"/>
    <mergeCell ref="P364:R364"/>
    <mergeCell ref="S364:V364"/>
    <mergeCell ref="A365:D365"/>
    <mergeCell ref="E365:J365"/>
    <mergeCell ref="P365:R365"/>
    <mergeCell ref="S365:V365"/>
    <mergeCell ref="A362:D362"/>
    <mergeCell ref="E362:J362"/>
    <mergeCell ref="P362:R362"/>
    <mergeCell ref="S362:V362"/>
    <mergeCell ref="A363:D363"/>
    <mergeCell ref="E363:J363"/>
    <mergeCell ref="P363:R363"/>
    <mergeCell ref="S363:V363"/>
    <mergeCell ref="A368:D368"/>
    <mergeCell ref="E368:J368"/>
    <mergeCell ref="P368:R368"/>
    <mergeCell ref="S368:V368"/>
    <mergeCell ref="A369:D369"/>
    <mergeCell ref="E369:J369"/>
    <mergeCell ref="P369:R369"/>
    <mergeCell ref="S369:V369"/>
    <mergeCell ref="A366:D366"/>
    <mergeCell ref="E366:J366"/>
    <mergeCell ref="P366:R366"/>
    <mergeCell ref="S366:V366"/>
    <mergeCell ref="A367:D367"/>
    <mergeCell ref="E367:J367"/>
    <mergeCell ref="P367:R367"/>
    <mergeCell ref="S367:V367"/>
    <mergeCell ref="A372:D372"/>
    <mergeCell ref="E372:J372"/>
    <mergeCell ref="P372:R372"/>
    <mergeCell ref="S372:V372"/>
    <mergeCell ref="A373:D373"/>
    <mergeCell ref="E373:J373"/>
    <mergeCell ref="P373:R373"/>
    <mergeCell ref="S373:V373"/>
    <mergeCell ref="A370:D370"/>
    <mergeCell ref="E370:J370"/>
    <mergeCell ref="P370:R370"/>
    <mergeCell ref="S370:V370"/>
    <mergeCell ref="A371:D371"/>
    <mergeCell ref="E371:J371"/>
    <mergeCell ref="P371:R371"/>
    <mergeCell ref="S371:V371"/>
    <mergeCell ref="A376:D376"/>
    <mergeCell ref="E376:J376"/>
    <mergeCell ref="P376:R376"/>
    <mergeCell ref="S376:V376"/>
    <mergeCell ref="A377:D377"/>
    <mergeCell ref="E377:J377"/>
    <mergeCell ref="P377:R377"/>
    <mergeCell ref="S377:V377"/>
    <mergeCell ref="A374:D374"/>
    <mergeCell ref="E374:J374"/>
    <mergeCell ref="P374:R374"/>
    <mergeCell ref="S374:V374"/>
    <mergeCell ref="A375:D375"/>
    <mergeCell ref="E375:J375"/>
    <mergeCell ref="P375:R375"/>
    <mergeCell ref="S375:V375"/>
    <mergeCell ref="A380:D380"/>
    <mergeCell ref="E380:H380"/>
    <mergeCell ref="I380:J380"/>
    <mergeCell ref="P380:R380"/>
    <mergeCell ref="S380:V380"/>
    <mergeCell ref="A381:D381"/>
    <mergeCell ref="E381:H381"/>
    <mergeCell ref="I381:J381"/>
    <mergeCell ref="P381:R381"/>
    <mergeCell ref="S381:V381"/>
    <mergeCell ref="A378:D378"/>
    <mergeCell ref="E378:J378"/>
    <mergeCell ref="P378:R378"/>
    <mergeCell ref="S378:V378"/>
    <mergeCell ref="A379:D379"/>
    <mergeCell ref="E379:J379"/>
    <mergeCell ref="P379:R379"/>
    <mergeCell ref="S379:V379"/>
    <mergeCell ref="A384:M384"/>
    <mergeCell ref="P384:R384"/>
    <mergeCell ref="S384:V384"/>
    <mergeCell ref="P385:R385"/>
    <mergeCell ref="S385:V385"/>
    <mergeCell ref="R391:V391"/>
    <mergeCell ref="T392:V392"/>
    <mergeCell ref="T393:V393"/>
    <mergeCell ref="B396:C396"/>
    <mergeCell ref="Q396:R396"/>
    <mergeCell ref="A382:D382"/>
    <mergeCell ref="E382:H382"/>
    <mergeCell ref="I382:J382"/>
    <mergeCell ref="P382:R382"/>
    <mergeCell ref="S382:V382"/>
    <mergeCell ref="A383:D383"/>
    <mergeCell ref="E383:J383"/>
    <mergeCell ref="P383:R383"/>
    <mergeCell ref="S383:V383"/>
    <mergeCell ref="A401:D401"/>
    <mergeCell ref="E401:J401"/>
    <mergeCell ref="P401:R401"/>
    <mergeCell ref="S401:V401"/>
    <mergeCell ref="A402:D402"/>
    <mergeCell ref="E402:J402"/>
    <mergeCell ref="P402:R402"/>
    <mergeCell ref="S402:V402"/>
    <mergeCell ref="A398:D400"/>
    <mergeCell ref="E398:V398"/>
    <mergeCell ref="E399:J400"/>
    <mergeCell ref="K399:L399"/>
    <mergeCell ref="M399:M400"/>
    <mergeCell ref="N399:V399"/>
    <mergeCell ref="P400:R400"/>
    <mergeCell ref="S400:V400"/>
    <mergeCell ref="A405:D405"/>
    <mergeCell ref="E405:J405"/>
    <mergeCell ref="P405:R405"/>
    <mergeCell ref="S405:V405"/>
    <mergeCell ref="A406:D406"/>
    <mergeCell ref="E406:J406"/>
    <mergeCell ref="P406:R406"/>
    <mergeCell ref="S406:V406"/>
    <mergeCell ref="A403:D403"/>
    <mergeCell ref="E403:J403"/>
    <mergeCell ref="P403:R403"/>
    <mergeCell ref="S403:V403"/>
    <mergeCell ref="A404:D404"/>
    <mergeCell ref="E404:J404"/>
    <mergeCell ref="P404:R404"/>
    <mergeCell ref="S404:V404"/>
    <mergeCell ref="A409:D409"/>
    <mergeCell ref="E409:J409"/>
    <mergeCell ref="P409:R409"/>
    <mergeCell ref="S409:V409"/>
    <mergeCell ref="A410:D410"/>
    <mergeCell ref="E410:J410"/>
    <mergeCell ref="P410:R410"/>
    <mergeCell ref="S410:V410"/>
    <mergeCell ref="A407:D407"/>
    <mergeCell ref="E407:J407"/>
    <mergeCell ref="P407:R407"/>
    <mergeCell ref="S407:V407"/>
    <mergeCell ref="A408:D408"/>
    <mergeCell ref="E408:J408"/>
    <mergeCell ref="P408:R408"/>
    <mergeCell ref="S408:V408"/>
    <mergeCell ref="A413:D413"/>
    <mergeCell ref="E413:J413"/>
    <mergeCell ref="P413:R413"/>
    <mergeCell ref="S413:V413"/>
    <mergeCell ref="A414:D414"/>
    <mergeCell ref="E414:J414"/>
    <mergeCell ref="P414:R414"/>
    <mergeCell ref="S414:V414"/>
    <mergeCell ref="A411:D411"/>
    <mergeCell ref="E411:J411"/>
    <mergeCell ref="P411:R411"/>
    <mergeCell ref="S411:V411"/>
    <mergeCell ref="A412:D412"/>
    <mergeCell ref="E412:J412"/>
    <mergeCell ref="P412:R412"/>
    <mergeCell ref="S412:V412"/>
    <mergeCell ref="A417:D417"/>
    <mergeCell ref="E417:J417"/>
    <mergeCell ref="P417:R417"/>
    <mergeCell ref="S417:V417"/>
    <mergeCell ref="A418:D418"/>
    <mergeCell ref="E418:J418"/>
    <mergeCell ref="P418:R418"/>
    <mergeCell ref="S418:V418"/>
    <mergeCell ref="A415:D415"/>
    <mergeCell ref="E415:J415"/>
    <mergeCell ref="P415:R415"/>
    <mergeCell ref="S415:V415"/>
    <mergeCell ref="A416:D416"/>
    <mergeCell ref="E416:J416"/>
    <mergeCell ref="P416:R416"/>
    <mergeCell ref="S416:V416"/>
    <mergeCell ref="A421:D421"/>
    <mergeCell ref="E421:J421"/>
    <mergeCell ref="P421:R421"/>
    <mergeCell ref="S421:V421"/>
    <mergeCell ref="A422:D422"/>
    <mergeCell ref="E422:J422"/>
    <mergeCell ref="P422:R422"/>
    <mergeCell ref="S422:V422"/>
    <mergeCell ref="A419:D419"/>
    <mergeCell ref="E419:J419"/>
    <mergeCell ref="P419:R419"/>
    <mergeCell ref="S419:V419"/>
    <mergeCell ref="A420:D420"/>
    <mergeCell ref="E420:J420"/>
    <mergeCell ref="P420:R420"/>
    <mergeCell ref="S420:V420"/>
    <mergeCell ref="A425:D425"/>
    <mergeCell ref="E425:J425"/>
    <mergeCell ref="P425:R425"/>
    <mergeCell ref="S425:V425"/>
    <mergeCell ref="A426:D426"/>
    <mergeCell ref="E426:J426"/>
    <mergeCell ref="P426:R426"/>
    <mergeCell ref="S426:V426"/>
    <mergeCell ref="A423:D423"/>
    <mergeCell ref="E423:J423"/>
    <mergeCell ref="P423:R423"/>
    <mergeCell ref="S423:V423"/>
    <mergeCell ref="A424:D424"/>
    <mergeCell ref="E424:J424"/>
    <mergeCell ref="P424:R424"/>
    <mergeCell ref="S424:V424"/>
    <mergeCell ref="A429:D429"/>
    <mergeCell ref="E429:H429"/>
    <mergeCell ref="I429:J429"/>
    <mergeCell ref="P429:R429"/>
    <mergeCell ref="S429:V429"/>
    <mergeCell ref="A430:D430"/>
    <mergeCell ref="E430:J430"/>
    <mergeCell ref="P430:R430"/>
    <mergeCell ref="S430:V430"/>
    <mergeCell ref="A427:D427"/>
    <mergeCell ref="E427:H427"/>
    <mergeCell ref="I427:J427"/>
    <mergeCell ref="P427:R427"/>
    <mergeCell ref="S427:V427"/>
    <mergeCell ref="A428:D428"/>
    <mergeCell ref="E428:H428"/>
    <mergeCell ref="I428:J428"/>
    <mergeCell ref="P428:R428"/>
    <mergeCell ref="S428:V428"/>
    <mergeCell ref="A445:D447"/>
    <mergeCell ref="E445:V445"/>
    <mergeCell ref="E446:J447"/>
    <mergeCell ref="K446:L446"/>
    <mergeCell ref="M446:M447"/>
    <mergeCell ref="N446:V446"/>
    <mergeCell ref="P447:R447"/>
    <mergeCell ref="S447:V447"/>
    <mergeCell ref="A431:M431"/>
    <mergeCell ref="P431:R431"/>
    <mergeCell ref="S431:V431"/>
    <mergeCell ref="P432:R432"/>
    <mergeCell ref="S432:V432"/>
    <mergeCell ref="R438:V438"/>
    <mergeCell ref="T439:V439"/>
    <mergeCell ref="T440:V440"/>
    <mergeCell ref="B443:C443"/>
    <mergeCell ref="Q443:R443"/>
    <mergeCell ref="A450:D450"/>
    <mergeCell ref="E450:J450"/>
    <mergeCell ref="P450:R450"/>
    <mergeCell ref="S450:V450"/>
    <mergeCell ref="A451:D451"/>
    <mergeCell ref="E451:J451"/>
    <mergeCell ref="P451:R451"/>
    <mergeCell ref="S451:V451"/>
    <mergeCell ref="A448:D448"/>
    <mergeCell ref="E448:J448"/>
    <mergeCell ref="P448:R448"/>
    <mergeCell ref="S448:V448"/>
    <mergeCell ref="A449:D449"/>
    <mergeCell ref="E449:J449"/>
    <mergeCell ref="P449:R449"/>
    <mergeCell ref="S449:V449"/>
    <mergeCell ref="A454:D454"/>
    <mergeCell ref="E454:J454"/>
    <mergeCell ref="P454:R454"/>
    <mergeCell ref="S454:V454"/>
    <mergeCell ref="A455:D455"/>
    <mergeCell ref="E455:J455"/>
    <mergeCell ref="P455:R455"/>
    <mergeCell ref="S455:V455"/>
    <mergeCell ref="A452:D452"/>
    <mergeCell ref="E452:J452"/>
    <mergeCell ref="P452:R452"/>
    <mergeCell ref="S452:V452"/>
    <mergeCell ref="A453:D453"/>
    <mergeCell ref="E453:J453"/>
    <mergeCell ref="P453:R453"/>
    <mergeCell ref="S453:V453"/>
    <mergeCell ref="A458:D458"/>
    <mergeCell ref="E458:J458"/>
    <mergeCell ref="P458:R458"/>
    <mergeCell ref="S458:V458"/>
    <mergeCell ref="A459:D459"/>
    <mergeCell ref="E459:J459"/>
    <mergeCell ref="P459:R459"/>
    <mergeCell ref="S459:V459"/>
    <mergeCell ref="A456:D456"/>
    <mergeCell ref="E456:J456"/>
    <mergeCell ref="P456:R456"/>
    <mergeCell ref="S456:V456"/>
    <mergeCell ref="A457:D457"/>
    <mergeCell ref="E457:J457"/>
    <mergeCell ref="P457:R457"/>
    <mergeCell ref="S457:V457"/>
    <mergeCell ref="A462:D462"/>
    <mergeCell ref="E462:J462"/>
    <mergeCell ref="P462:R462"/>
    <mergeCell ref="S462:V462"/>
    <mergeCell ref="A463:D463"/>
    <mergeCell ref="E463:J463"/>
    <mergeCell ref="P463:R463"/>
    <mergeCell ref="S463:V463"/>
    <mergeCell ref="A460:D460"/>
    <mergeCell ref="E460:J460"/>
    <mergeCell ref="P460:R460"/>
    <mergeCell ref="S460:V460"/>
    <mergeCell ref="A461:D461"/>
    <mergeCell ref="E461:J461"/>
    <mergeCell ref="P461:R461"/>
    <mergeCell ref="S461:V461"/>
    <mergeCell ref="A466:D466"/>
    <mergeCell ref="E466:J466"/>
    <mergeCell ref="P466:R466"/>
    <mergeCell ref="S466:V466"/>
    <mergeCell ref="A467:D467"/>
    <mergeCell ref="E467:J467"/>
    <mergeCell ref="P467:R467"/>
    <mergeCell ref="S467:V467"/>
    <mergeCell ref="A464:D464"/>
    <mergeCell ref="E464:J464"/>
    <mergeCell ref="P464:R464"/>
    <mergeCell ref="S464:V464"/>
    <mergeCell ref="A465:D465"/>
    <mergeCell ref="E465:J465"/>
    <mergeCell ref="P465:R465"/>
    <mergeCell ref="S465:V465"/>
    <mergeCell ref="A470:D470"/>
    <mergeCell ref="E470:J470"/>
    <mergeCell ref="P470:R470"/>
    <mergeCell ref="S470:V470"/>
    <mergeCell ref="A471:D471"/>
    <mergeCell ref="E471:J471"/>
    <mergeCell ref="P471:R471"/>
    <mergeCell ref="S471:V471"/>
    <mergeCell ref="A468:D468"/>
    <mergeCell ref="E468:J468"/>
    <mergeCell ref="P468:R468"/>
    <mergeCell ref="S468:V468"/>
    <mergeCell ref="A469:D469"/>
    <mergeCell ref="E469:J469"/>
    <mergeCell ref="P469:R469"/>
    <mergeCell ref="S469:V469"/>
    <mergeCell ref="A474:D474"/>
    <mergeCell ref="E474:H474"/>
    <mergeCell ref="I474:J474"/>
    <mergeCell ref="P474:R474"/>
    <mergeCell ref="S474:V474"/>
    <mergeCell ref="A475:D475"/>
    <mergeCell ref="E475:H475"/>
    <mergeCell ref="I475:J475"/>
    <mergeCell ref="P475:R475"/>
    <mergeCell ref="S475:V475"/>
    <mergeCell ref="A472:D472"/>
    <mergeCell ref="E472:J472"/>
    <mergeCell ref="P472:R472"/>
    <mergeCell ref="S472:V472"/>
    <mergeCell ref="A473:D473"/>
    <mergeCell ref="E473:J473"/>
    <mergeCell ref="P473:R473"/>
    <mergeCell ref="S473:V473"/>
    <mergeCell ref="A478:M478"/>
    <mergeCell ref="P478:R478"/>
    <mergeCell ref="S478:V478"/>
    <mergeCell ref="P479:R479"/>
    <mergeCell ref="S479:V479"/>
    <mergeCell ref="R485:V485"/>
    <mergeCell ref="T486:V486"/>
    <mergeCell ref="T487:V487"/>
    <mergeCell ref="B490:C490"/>
    <mergeCell ref="Q490:R490"/>
    <mergeCell ref="A476:D476"/>
    <mergeCell ref="E476:H476"/>
    <mergeCell ref="I476:J476"/>
    <mergeCell ref="P476:R476"/>
    <mergeCell ref="S476:V476"/>
    <mergeCell ref="A477:D477"/>
    <mergeCell ref="E477:J477"/>
    <mergeCell ref="P477:R477"/>
    <mergeCell ref="S477:V477"/>
    <mergeCell ref="A495:D495"/>
    <mergeCell ref="E495:J495"/>
    <mergeCell ref="P495:R495"/>
    <mergeCell ref="S495:V495"/>
    <mergeCell ref="A496:D496"/>
    <mergeCell ref="E496:J496"/>
    <mergeCell ref="P496:R496"/>
    <mergeCell ref="S496:V496"/>
    <mergeCell ref="A492:D494"/>
    <mergeCell ref="E492:V492"/>
    <mergeCell ref="E493:J494"/>
    <mergeCell ref="K493:L493"/>
    <mergeCell ref="M493:M494"/>
    <mergeCell ref="N493:V493"/>
    <mergeCell ref="P494:R494"/>
    <mergeCell ref="S494:V494"/>
    <mergeCell ref="A499:D499"/>
    <mergeCell ref="E499:J499"/>
    <mergeCell ref="P499:R499"/>
    <mergeCell ref="S499:V499"/>
    <mergeCell ref="A500:D500"/>
    <mergeCell ref="E500:J500"/>
    <mergeCell ref="P500:R500"/>
    <mergeCell ref="S500:V500"/>
    <mergeCell ref="A497:D497"/>
    <mergeCell ref="E497:J497"/>
    <mergeCell ref="P497:R497"/>
    <mergeCell ref="S497:V497"/>
    <mergeCell ref="A498:D498"/>
    <mergeCell ref="E498:J498"/>
    <mergeCell ref="P498:R498"/>
    <mergeCell ref="S498:V498"/>
    <mergeCell ref="A503:D503"/>
    <mergeCell ref="E503:J503"/>
    <mergeCell ref="P503:R503"/>
    <mergeCell ref="S503:V503"/>
    <mergeCell ref="A504:D504"/>
    <mergeCell ref="E504:J504"/>
    <mergeCell ref="P504:R504"/>
    <mergeCell ref="S504:V504"/>
    <mergeCell ref="A501:D501"/>
    <mergeCell ref="E501:J501"/>
    <mergeCell ref="P501:R501"/>
    <mergeCell ref="S501:V501"/>
    <mergeCell ref="A502:D502"/>
    <mergeCell ref="E502:J502"/>
    <mergeCell ref="P502:R502"/>
    <mergeCell ref="S502:V502"/>
    <mergeCell ref="A507:D507"/>
    <mergeCell ref="E507:J507"/>
    <mergeCell ref="P507:R507"/>
    <mergeCell ref="S507:V507"/>
    <mergeCell ref="A508:D508"/>
    <mergeCell ref="E508:J508"/>
    <mergeCell ref="P508:R508"/>
    <mergeCell ref="S508:V508"/>
    <mergeCell ref="A505:D505"/>
    <mergeCell ref="E505:J505"/>
    <mergeCell ref="P505:R505"/>
    <mergeCell ref="S505:V505"/>
    <mergeCell ref="A506:D506"/>
    <mergeCell ref="E506:J506"/>
    <mergeCell ref="P506:R506"/>
    <mergeCell ref="S506:V506"/>
    <mergeCell ref="A511:D511"/>
    <mergeCell ref="E511:J511"/>
    <mergeCell ref="P511:R511"/>
    <mergeCell ref="S511:V511"/>
    <mergeCell ref="A512:D512"/>
    <mergeCell ref="E512:J512"/>
    <mergeCell ref="P512:R512"/>
    <mergeCell ref="S512:V512"/>
    <mergeCell ref="A509:D509"/>
    <mergeCell ref="E509:J509"/>
    <mergeCell ref="P509:R509"/>
    <mergeCell ref="S509:V509"/>
    <mergeCell ref="A510:D510"/>
    <mergeCell ref="E510:J510"/>
    <mergeCell ref="P510:R510"/>
    <mergeCell ref="S510:V510"/>
    <mergeCell ref="A515:D515"/>
    <mergeCell ref="E515:J515"/>
    <mergeCell ref="P515:R515"/>
    <mergeCell ref="S515:V515"/>
    <mergeCell ref="A516:D516"/>
    <mergeCell ref="E516:J516"/>
    <mergeCell ref="P516:R516"/>
    <mergeCell ref="S516:V516"/>
    <mergeCell ref="A513:D513"/>
    <mergeCell ref="E513:J513"/>
    <mergeCell ref="P513:R513"/>
    <mergeCell ref="S513:V513"/>
    <mergeCell ref="A514:D514"/>
    <mergeCell ref="E514:J514"/>
    <mergeCell ref="P514:R514"/>
    <mergeCell ref="S514:V514"/>
    <mergeCell ref="A519:D519"/>
    <mergeCell ref="E519:J519"/>
    <mergeCell ref="P519:R519"/>
    <mergeCell ref="S519:V519"/>
    <mergeCell ref="A520:D520"/>
    <mergeCell ref="E520:J520"/>
    <mergeCell ref="P520:R520"/>
    <mergeCell ref="S520:V520"/>
    <mergeCell ref="A517:D517"/>
    <mergeCell ref="E517:J517"/>
    <mergeCell ref="P517:R517"/>
    <mergeCell ref="S517:V517"/>
    <mergeCell ref="A518:D518"/>
    <mergeCell ref="E518:J518"/>
    <mergeCell ref="P518:R518"/>
    <mergeCell ref="S518:V518"/>
    <mergeCell ref="A523:D523"/>
    <mergeCell ref="E523:H523"/>
    <mergeCell ref="I523:J523"/>
    <mergeCell ref="P523:R523"/>
    <mergeCell ref="S523:V523"/>
    <mergeCell ref="A524:D524"/>
    <mergeCell ref="E524:J524"/>
    <mergeCell ref="P524:R524"/>
    <mergeCell ref="S524:V524"/>
    <mergeCell ref="A521:D521"/>
    <mergeCell ref="E521:H521"/>
    <mergeCell ref="I521:J521"/>
    <mergeCell ref="P521:R521"/>
    <mergeCell ref="S521:V521"/>
    <mergeCell ref="A522:D522"/>
    <mergeCell ref="E522:H522"/>
    <mergeCell ref="I522:J522"/>
    <mergeCell ref="P522:R522"/>
    <mergeCell ref="S522:V522"/>
    <mergeCell ref="A539:D541"/>
    <mergeCell ref="E539:V539"/>
    <mergeCell ref="E540:J541"/>
    <mergeCell ref="K540:L540"/>
    <mergeCell ref="M540:M541"/>
    <mergeCell ref="N540:V540"/>
    <mergeCell ref="P541:R541"/>
    <mergeCell ref="S541:V541"/>
    <mergeCell ref="A525:M525"/>
    <mergeCell ref="P525:R525"/>
    <mergeCell ref="S525:V525"/>
    <mergeCell ref="P526:R526"/>
    <mergeCell ref="S526:V526"/>
    <mergeCell ref="R532:V532"/>
    <mergeCell ref="T533:V533"/>
    <mergeCell ref="T534:V534"/>
    <mergeCell ref="B537:C537"/>
    <mergeCell ref="Q537:R537"/>
    <mergeCell ref="A544:D544"/>
    <mergeCell ref="E544:J544"/>
    <mergeCell ref="P544:R544"/>
    <mergeCell ref="S544:V544"/>
    <mergeCell ref="A545:D545"/>
    <mergeCell ref="E545:J545"/>
    <mergeCell ref="P545:R545"/>
    <mergeCell ref="S545:V545"/>
    <mergeCell ref="A542:D542"/>
    <mergeCell ref="E542:J542"/>
    <mergeCell ref="P542:R542"/>
    <mergeCell ref="S542:V542"/>
    <mergeCell ref="A543:D543"/>
    <mergeCell ref="E543:J543"/>
    <mergeCell ref="P543:R543"/>
    <mergeCell ref="S543:V543"/>
    <mergeCell ref="A548:D548"/>
    <mergeCell ref="E548:J548"/>
    <mergeCell ref="P548:R548"/>
    <mergeCell ref="S548:V548"/>
    <mergeCell ref="A549:D549"/>
    <mergeCell ref="E549:J549"/>
    <mergeCell ref="P549:R549"/>
    <mergeCell ref="S549:V549"/>
    <mergeCell ref="A546:D546"/>
    <mergeCell ref="E546:J546"/>
    <mergeCell ref="P546:R546"/>
    <mergeCell ref="S546:V546"/>
    <mergeCell ref="A547:D547"/>
    <mergeCell ref="E547:J547"/>
    <mergeCell ref="P547:R547"/>
    <mergeCell ref="S547:V547"/>
    <mergeCell ref="A552:D552"/>
    <mergeCell ref="E552:J552"/>
    <mergeCell ref="P552:R552"/>
    <mergeCell ref="S552:V552"/>
    <mergeCell ref="A553:D553"/>
    <mergeCell ref="E553:J553"/>
    <mergeCell ref="P553:R553"/>
    <mergeCell ref="S553:V553"/>
    <mergeCell ref="A550:D550"/>
    <mergeCell ref="E550:J550"/>
    <mergeCell ref="P550:R550"/>
    <mergeCell ref="S550:V550"/>
    <mergeCell ref="A551:D551"/>
    <mergeCell ref="E551:J551"/>
    <mergeCell ref="P551:R551"/>
    <mergeCell ref="S551:V551"/>
    <mergeCell ref="A556:D556"/>
    <mergeCell ref="E556:J556"/>
    <mergeCell ref="P556:R556"/>
    <mergeCell ref="S556:V556"/>
    <mergeCell ref="A557:D557"/>
    <mergeCell ref="E557:J557"/>
    <mergeCell ref="P557:R557"/>
    <mergeCell ref="S557:V557"/>
    <mergeCell ref="A554:D554"/>
    <mergeCell ref="E554:J554"/>
    <mergeCell ref="P554:R554"/>
    <mergeCell ref="S554:V554"/>
    <mergeCell ref="A555:D555"/>
    <mergeCell ref="E555:J555"/>
    <mergeCell ref="P555:R555"/>
    <mergeCell ref="S555:V555"/>
    <mergeCell ref="A560:D560"/>
    <mergeCell ref="E560:J560"/>
    <mergeCell ref="P560:R560"/>
    <mergeCell ref="S560:V560"/>
    <mergeCell ref="A561:D561"/>
    <mergeCell ref="E561:J561"/>
    <mergeCell ref="P561:R561"/>
    <mergeCell ref="S561:V561"/>
    <mergeCell ref="A558:D558"/>
    <mergeCell ref="E558:J558"/>
    <mergeCell ref="P558:R558"/>
    <mergeCell ref="S558:V558"/>
    <mergeCell ref="A559:D559"/>
    <mergeCell ref="E559:J559"/>
    <mergeCell ref="P559:R559"/>
    <mergeCell ref="S559:V559"/>
    <mergeCell ref="A564:D564"/>
    <mergeCell ref="E564:J564"/>
    <mergeCell ref="P564:R564"/>
    <mergeCell ref="S564:V564"/>
    <mergeCell ref="A565:D565"/>
    <mergeCell ref="E565:J565"/>
    <mergeCell ref="P565:R565"/>
    <mergeCell ref="S565:V565"/>
    <mergeCell ref="A562:D562"/>
    <mergeCell ref="E562:J562"/>
    <mergeCell ref="P562:R562"/>
    <mergeCell ref="S562:V562"/>
    <mergeCell ref="A563:D563"/>
    <mergeCell ref="E563:J563"/>
    <mergeCell ref="P563:R563"/>
    <mergeCell ref="S563:V563"/>
    <mergeCell ref="A568:D568"/>
    <mergeCell ref="E568:H568"/>
    <mergeCell ref="I568:J568"/>
    <mergeCell ref="P568:R568"/>
    <mergeCell ref="S568:V568"/>
    <mergeCell ref="A569:D569"/>
    <mergeCell ref="E569:H569"/>
    <mergeCell ref="I569:J569"/>
    <mergeCell ref="P569:R569"/>
    <mergeCell ref="S569:V569"/>
    <mergeCell ref="A566:D566"/>
    <mergeCell ref="E566:J566"/>
    <mergeCell ref="P566:R566"/>
    <mergeCell ref="S566:V566"/>
    <mergeCell ref="A567:D567"/>
    <mergeCell ref="E567:J567"/>
    <mergeCell ref="P567:R567"/>
    <mergeCell ref="S567:V567"/>
    <mergeCell ref="A572:M572"/>
    <mergeCell ref="P572:R572"/>
    <mergeCell ref="S572:V572"/>
    <mergeCell ref="P573:R573"/>
    <mergeCell ref="S573:V573"/>
    <mergeCell ref="R579:V579"/>
    <mergeCell ref="T580:V580"/>
    <mergeCell ref="T581:V581"/>
    <mergeCell ref="B584:C584"/>
    <mergeCell ref="Q584:R584"/>
    <mergeCell ref="A570:D570"/>
    <mergeCell ref="E570:H570"/>
    <mergeCell ref="I570:J570"/>
    <mergeCell ref="P570:R570"/>
    <mergeCell ref="S570:V570"/>
    <mergeCell ref="A571:D571"/>
    <mergeCell ref="E571:J571"/>
    <mergeCell ref="P571:R571"/>
    <mergeCell ref="S571:V571"/>
    <mergeCell ref="A589:D589"/>
    <mergeCell ref="E589:J589"/>
    <mergeCell ref="P589:R589"/>
    <mergeCell ref="S589:V589"/>
    <mergeCell ref="A590:D590"/>
    <mergeCell ref="E590:J590"/>
    <mergeCell ref="P590:R590"/>
    <mergeCell ref="S590:V590"/>
    <mergeCell ref="A586:D588"/>
    <mergeCell ref="E586:V586"/>
    <mergeCell ref="E587:J588"/>
    <mergeCell ref="K587:L587"/>
    <mergeCell ref="M587:M588"/>
    <mergeCell ref="N587:V587"/>
    <mergeCell ref="P588:R588"/>
    <mergeCell ref="S588:V588"/>
    <mergeCell ref="A593:D593"/>
    <mergeCell ref="E593:J593"/>
    <mergeCell ref="P593:R593"/>
    <mergeCell ref="S593:V593"/>
    <mergeCell ref="A594:D594"/>
    <mergeCell ref="E594:J594"/>
    <mergeCell ref="P594:R594"/>
    <mergeCell ref="S594:V594"/>
    <mergeCell ref="A591:D591"/>
    <mergeCell ref="E591:J591"/>
    <mergeCell ref="P591:R591"/>
    <mergeCell ref="S591:V591"/>
    <mergeCell ref="A592:D592"/>
    <mergeCell ref="E592:J592"/>
    <mergeCell ref="P592:R592"/>
    <mergeCell ref="S592:V592"/>
    <mergeCell ref="A597:D597"/>
    <mergeCell ref="E597:J597"/>
    <mergeCell ref="P597:R597"/>
    <mergeCell ref="S597:V597"/>
    <mergeCell ref="A598:D598"/>
    <mergeCell ref="E598:J598"/>
    <mergeCell ref="P598:R598"/>
    <mergeCell ref="S598:V598"/>
    <mergeCell ref="A595:D595"/>
    <mergeCell ref="E595:J595"/>
    <mergeCell ref="P595:R595"/>
    <mergeCell ref="S595:V595"/>
    <mergeCell ref="A596:D596"/>
    <mergeCell ref="E596:J596"/>
    <mergeCell ref="P596:R596"/>
    <mergeCell ref="S596:V596"/>
    <mergeCell ref="A601:D601"/>
    <mergeCell ref="E601:J601"/>
    <mergeCell ref="P601:R601"/>
    <mergeCell ref="S601:V601"/>
    <mergeCell ref="A602:D602"/>
    <mergeCell ref="E602:J602"/>
    <mergeCell ref="P602:R602"/>
    <mergeCell ref="S602:V602"/>
    <mergeCell ref="A599:D599"/>
    <mergeCell ref="E599:J599"/>
    <mergeCell ref="P599:R599"/>
    <mergeCell ref="S599:V599"/>
    <mergeCell ref="A600:D600"/>
    <mergeCell ref="E600:J600"/>
    <mergeCell ref="P600:R600"/>
    <mergeCell ref="S600:V600"/>
    <mergeCell ref="A605:D605"/>
    <mergeCell ref="E605:J605"/>
    <mergeCell ref="P605:R605"/>
    <mergeCell ref="S605:V605"/>
    <mergeCell ref="A606:D606"/>
    <mergeCell ref="E606:J606"/>
    <mergeCell ref="P606:R606"/>
    <mergeCell ref="S606:V606"/>
    <mergeCell ref="A603:D603"/>
    <mergeCell ref="E603:J603"/>
    <mergeCell ref="P603:R603"/>
    <mergeCell ref="S603:V603"/>
    <mergeCell ref="A604:D604"/>
    <mergeCell ref="E604:J604"/>
    <mergeCell ref="P604:R604"/>
    <mergeCell ref="S604:V604"/>
    <mergeCell ref="A609:D609"/>
    <mergeCell ref="E609:J609"/>
    <mergeCell ref="P609:R609"/>
    <mergeCell ref="S609:V609"/>
    <mergeCell ref="A610:D610"/>
    <mergeCell ref="E610:J610"/>
    <mergeCell ref="P610:R610"/>
    <mergeCell ref="S610:V610"/>
    <mergeCell ref="A607:D607"/>
    <mergeCell ref="E607:J607"/>
    <mergeCell ref="P607:R607"/>
    <mergeCell ref="S607:V607"/>
    <mergeCell ref="A608:D608"/>
    <mergeCell ref="E608:J608"/>
    <mergeCell ref="P608:R608"/>
    <mergeCell ref="S608:V608"/>
    <mergeCell ref="A613:D613"/>
    <mergeCell ref="E613:J613"/>
    <mergeCell ref="P613:R613"/>
    <mergeCell ref="S613:V613"/>
    <mergeCell ref="A614:D614"/>
    <mergeCell ref="E614:J614"/>
    <mergeCell ref="P614:R614"/>
    <mergeCell ref="S614:V614"/>
    <mergeCell ref="A611:D611"/>
    <mergeCell ref="E611:J611"/>
    <mergeCell ref="P611:R611"/>
    <mergeCell ref="S611:V611"/>
    <mergeCell ref="A612:D612"/>
    <mergeCell ref="E612:J612"/>
    <mergeCell ref="P612:R612"/>
    <mergeCell ref="S612:V612"/>
    <mergeCell ref="A617:D617"/>
    <mergeCell ref="E617:H617"/>
    <mergeCell ref="I617:J617"/>
    <mergeCell ref="P617:R617"/>
    <mergeCell ref="S617:V617"/>
    <mergeCell ref="A618:D618"/>
    <mergeCell ref="E618:J618"/>
    <mergeCell ref="P618:R618"/>
    <mergeCell ref="S618:V618"/>
    <mergeCell ref="A615:D615"/>
    <mergeCell ref="E615:H615"/>
    <mergeCell ref="I615:J615"/>
    <mergeCell ref="P615:R615"/>
    <mergeCell ref="S615:V615"/>
    <mergeCell ref="A616:D616"/>
    <mergeCell ref="E616:H616"/>
    <mergeCell ref="I616:J616"/>
    <mergeCell ref="P616:R616"/>
    <mergeCell ref="S616:V616"/>
    <mergeCell ref="A633:D635"/>
    <mergeCell ref="E633:V633"/>
    <mergeCell ref="E634:J635"/>
    <mergeCell ref="K634:L634"/>
    <mergeCell ref="M634:M635"/>
    <mergeCell ref="N634:V634"/>
    <mergeCell ref="P635:R635"/>
    <mergeCell ref="S635:V635"/>
    <mergeCell ref="A619:M619"/>
    <mergeCell ref="P619:R619"/>
    <mergeCell ref="S619:V619"/>
    <mergeCell ref="P620:R620"/>
    <mergeCell ref="S620:V620"/>
    <mergeCell ref="R626:V626"/>
    <mergeCell ref="T627:V627"/>
    <mergeCell ref="T628:V628"/>
    <mergeCell ref="B631:C631"/>
    <mergeCell ref="Q631:R631"/>
    <mergeCell ref="A638:D638"/>
    <mergeCell ref="E638:J638"/>
    <mergeCell ref="P638:R638"/>
    <mergeCell ref="S638:V638"/>
    <mergeCell ref="A639:D639"/>
    <mergeCell ref="E639:J639"/>
    <mergeCell ref="P639:R639"/>
    <mergeCell ref="S639:V639"/>
    <mergeCell ref="A636:D636"/>
    <mergeCell ref="E636:J636"/>
    <mergeCell ref="P636:R636"/>
    <mergeCell ref="S636:V636"/>
    <mergeCell ref="A637:D637"/>
    <mergeCell ref="E637:J637"/>
    <mergeCell ref="P637:R637"/>
    <mergeCell ref="S637:V637"/>
    <mergeCell ref="A642:D642"/>
    <mergeCell ref="E642:J642"/>
    <mergeCell ref="P642:R642"/>
    <mergeCell ref="S642:V642"/>
    <mergeCell ref="A643:D643"/>
    <mergeCell ref="E643:J643"/>
    <mergeCell ref="P643:R643"/>
    <mergeCell ref="S643:V643"/>
    <mergeCell ref="A640:D640"/>
    <mergeCell ref="E640:J640"/>
    <mergeCell ref="P640:R640"/>
    <mergeCell ref="S640:V640"/>
    <mergeCell ref="A641:D641"/>
    <mergeCell ref="E641:J641"/>
    <mergeCell ref="P641:R641"/>
    <mergeCell ref="S641:V641"/>
    <mergeCell ref="A646:D646"/>
    <mergeCell ref="E646:J646"/>
    <mergeCell ref="P646:R646"/>
    <mergeCell ref="S646:V646"/>
    <mergeCell ref="A647:D647"/>
    <mergeCell ref="E647:J647"/>
    <mergeCell ref="P647:R647"/>
    <mergeCell ref="S647:V647"/>
    <mergeCell ref="A644:D644"/>
    <mergeCell ref="E644:J644"/>
    <mergeCell ref="P644:R644"/>
    <mergeCell ref="S644:V644"/>
    <mergeCell ref="A645:D645"/>
    <mergeCell ref="E645:J645"/>
    <mergeCell ref="P645:R645"/>
    <mergeCell ref="S645:V645"/>
    <mergeCell ref="A650:D650"/>
    <mergeCell ref="E650:J650"/>
    <mergeCell ref="P650:R650"/>
    <mergeCell ref="S650:V650"/>
    <mergeCell ref="A651:D651"/>
    <mergeCell ref="E651:J651"/>
    <mergeCell ref="P651:R651"/>
    <mergeCell ref="S651:V651"/>
    <mergeCell ref="A648:D648"/>
    <mergeCell ref="E648:J648"/>
    <mergeCell ref="P648:R648"/>
    <mergeCell ref="S648:V648"/>
    <mergeCell ref="A649:D649"/>
    <mergeCell ref="E649:J649"/>
    <mergeCell ref="P649:R649"/>
    <mergeCell ref="S649:V649"/>
    <mergeCell ref="A654:D654"/>
    <mergeCell ref="E654:J654"/>
    <mergeCell ref="P654:R654"/>
    <mergeCell ref="S654:V654"/>
    <mergeCell ref="A655:D655"/>
    <mergeCell ref="E655:J655"/>
    <mergeCell ref="P655:R655"/>
    <mergeCell ref="S655:V655"/>
    <mergeCell ref="A652:D652"/>
    <mergeCell ref="E652:J652"/>
    <mergeCell ref="P652:R652"/>
    <mergeCell ref="S652:V652"/>
    <mergeCell ref="A653:D653"/>
    <mergeCell ref="E653:J653"/>
    <mergeCell ref="P653:R653"/>
    <mergeCell ref="S653:V653"/>
    <mergeCell ref="A658:D658"/>
    <mergeCell ref="E658:J658"/>
    <mergeCell ref="P658:R658"/>
    <mergeCell ref="S658:V658"/>
    <mergeCell ref="A659:D659"/>
    <mergeCell ref="E659:J659"/>
    <mergeCell ref="P659:R659"/>
    <mergeCell ref="S659:V659"/>
    <mergeCell ref="A656:D656"/>
    <mergeCell ref="E656:J656"/>
    <mergeCell ref="P656:R656"/>
    <mergeCell ref="S656:V656"/>
    <mergeCell ref="A657:D657"/>
    <mergeCell ref="E657:J657"/>
    <mergeCell ref="P657:R657"/>
    <mergeCell ref="S657:V657"/>
    <mergeCell ref="A662:D662"/>
    <mergeCell ref="E662:H662"/>
    <mergeCell ref="I662:J662"/>
    <mergeCell ref="P662:R662"/>
    <mergeCell ref="S662:V662"/>
    <mergeCell ref="A663:D663"/>
    <mergeCell ref="E663:H663"/>
    <mergeCell ref="I663:J663"/>
    <mergeCell ref="P663:R663"/>
    <mergeCell ref="S663:V663"/>
    <mergeCell ref="A660:D660"/>
    <mergeCell ref="E660:J660"/>
    <mergeCell ref="P660:R660"/>
    <mergeCell ref="S660:V660"/>
    <mergeCell ref="A661:D661"/>
    <mergeCell ref="E661:J661"/>
    <mergeCell ref="P661:R661"/>
    <mergeCell ref="S661:V661"/>
    <mergeCell ref="A666:M666"/>
    <mergeCell ref="P666:R666"/>
    <mergeCell ref="S666:V666"/>
    <mergeCell ref="P667:R667"/>
    <mergeCell ref="S667:V667"/>
    <mergeCell ref="R673:V673"/>
    <mergeCell ref="T674:V674"/>
    <mergeCell ref="T675:V675"/>
    <mergeCell ref="B678:C678"/>
    <mergeCell ref="Q678:R678"/>
    <mergeCell ref="A664:D664"/>
    <mergeCell ref="E664:H664"/>
    <mergeCell ref="I664:J664"/>
    <mergeCell ref="P664:R664"/>
    <mergeCell ref="S664:V664"/>
    <mergeCell ref="A665:D665"/>
    <mergeCell ref="E665:J665"/>
    <mergeCell ref="P665:R665"/>
    <mergeCell ref="S665:V665"/>
    <mergeCell ref="A683:D683"/>
    <mergeCell ref="E683:J683"/>
    <mergeCell ref="P683:R683"/>
    <mergeCell ref="S683:V683"/>
    <mergeCell ref="A684:D684"/>
    <mergeCell ref="E684:J684"/>
    <mergeCell ref="P684:R684"/>
    <mergeCell ref="S684:V684"/>
    <mergeCell ref="A680:D682"/>
    <mergeCell ref="E680:V680"/>
    <mergeCell ref="E681:J682"/>
    <mergeCell ref="K681:L681"/>
    <mergeCell ref="M681:M682"/>
    <mergeCell ref="N681:V681"/>
    <mergeCell ref="P682:R682"/>
    <mergeCell ref="S682:V682"/>
    <mergeCell ref="A687:D687"/>
    <mergeCell ref="E687:J687"/>
    <mergeCell ref="P687:R687"/>
    <mergeCell ref="S687:V687"/>
    <mergeCell ref="A688:D688"/>
    <mergeCell ref="E688:J688"/>
    <mergeCell ref="P688:R688"/>
    <mergeCell ref="S688:V688"/>
    <mergeCell ref="A685:D685"/>
    <mergeCell ref="E685:J685"/>
    <mergeCell ref="P685:R685"/>
    <mergeCell ref="S685:V685"/>
    <mergeCell ref="A686:D686"/>
    <mergeCell ref="E686:J686"/>
    <mergeCell ref="P686:R686"/>
    <mergeCell ref="S686:V686"/>
    <mergeCell ref="A691:D691"/>
    <mergeCell ref="E691:J691"/>
    <mergeCell ref="P691:R691"/>
    <mergeCell ref="S691:V691"/>
    <mergeCell ref="A692:D692"/>
    <mergeCell ref="E692:J692"/>
    <mergeCell ref="P692:R692"/>
    <mergeCell ref="S692:V692"/>
    <mergeCell ref="A689:D689"/>
    <mergeCell ref="E689:J689"/>
    <mergeCell ref="P689:R689"/>
    <mergeCell ref="S689:V689"/>
    <mergeCell ref="A690:D690"/>
    <mergeCell ref="E690:J690"/>
    <mergeCell ref="P690:R690"/>
    <mergeCell ref="S690:V690"/>
    <mergeCell ref="A695:D695"/>
    <mergeCell ref="E695:J695"/>
    <mergeCell ref="P695:R695"/>
    <mergeCell ref="S695:V695"/>
    <mergeCell ref="A696:D696"/>
    <mergeCell ref="E696:J696"/>
    <mergeCell ref="P696:R696"/>
    <mergeCell ref="S696:V696"/>
    <mergeCell ref="A693:D693"/>
    <mergeCell ref="E693:J693"/>
    <mergeCell ref="P693:R693"/>
    <mergeCell ref="S693:V693"/>
    <mergeCell ref="A694:D694"/>
    <mergeCell ref="E694:J694"/>
    <mergeCell ref="P694:R694"/>
    <mergeCell ref="S694:V694"/>
    <mergeCell ref="A699:D699"/>
    <mergeCell ref="E699:J699"/>
    <mergeCell ref="P699:R699"/>
    <mergeCell ref="S699:V699"/>
    <mergeCell ref="A700:D700"/>
    <mergeCell ref="E700:J700"/>
    <mergeCell ref="P700:R700"/>
    <mergeCell ref="S700:V700"/>
    <mergeCell ref="A697:D697"/>
    <mergeCell ref="E697:J697"/>
    <mergeCell ref="P697:R697"/>
    <mergeCell ref="S697:V697"/>
    <mergeCell ref="A698:D698"/>
    <mergeCell ref="E698:J698"/>
    <mergeCell ref="P698:R698"/>
    <mergeCell ref="S698:V698"/>
    <mergeCell ref="A703:D703"/>
    <mergeCell ref="E703:J703"/>
    <mergeCell ref="P703:R703"/>
    <mergeCell ref="S703:V703"/>
    <mergeCell ref="A704:D704"/>
    <mergeCell ref="E704:J704"/>
    <mergeCell ref="P704:R704"/>
    <mergeCell ref="S704:V704"/>
    <mergeCell ref="A701:D701"/>
    <mergeCell ref="E701:J701"/>
    <mergeCell ref="P701:R701"/>
    <mergeCell ref="S701:V701"/>
    <mergeCell ref="A702:D702"/>
    <mergeCell ref="E702:J702"/>
    <mergeCell ref="P702:R702"/>
    <mergeCell ref="S702:V702"/>
    <mergeCell ref="A707:D707"/>
    <mergeCell ref="E707:J707"/>
    <mergeCell ref="P707:R707"/>
    <mergeCell ref="S707:V707"/>
    <mergeCell ref="A708:D708"/>
    <mergeCell ref="E708:J708"/>
    <mergeCell ref="P708:R708"/>
    <mergeCell ref="S708:V708"/>
    <mergeCell ref="A705:D705"/>
    <mergeCell ref="E705:J705"/>
    <mergeCell ref="P705:R705"/>
    <mergeCell ref="S705:V705"/>
    <mergeCell ref="A706:D706"/>
    <mergeCell ref="E706:J706"/>
    <mergeCell ref="P706:R706"/>
    <mergeCell ref="S706:V706"/>
    <mergeCell ref="A711:D711"/>
    <mergeCell ref="E711:H711"/>
    <mergeCell ref="I711:J711"/>
    <mergeCell ref="P711:R711"/>
    <mergeCell ref="S711:V711"/>
    <mergeCell ref="A712:D712"/>
    <mergeCell ref="E712:J712"/>
    <mergeCell ref="P712:R712"/>
    <mergeCell ref="S712:V712"/>
    <mergeCell ref="A709:D709"/>
    <mergeCell ref="E709:H709"/>
    <mergeCell ref="I709:J709"/>
    <mergeCell ref="P709:R709"/>
    <mergeCell ref="S709:V709"/>
    <mergeCell ref="A710:D710"/>
    <mergeCell ref="E710:H710"/>
    <mergeCell ref="I710:J710"/>
    <mergeCell ref="P710:R710"/>
    <mergeCell ref="S710:V710"/>
    <mergeCell ref="A727:D729"/>
    <mergeCell ref="E727:V727"/>
    <mergeCell ref="E728:J729"/>
    <mergeCell ref="K728:L728"/>
    <mergeCell ref="M728:M729"/>
    <mergeCell ref="N728:V728"/>
    <mergeCell ref="P729:R729"/>
    <mergeCell ref="S729:V729"/>
    <mergeCell ref="A713:M713"/>
    <mergeCell ref="P713:R713"/>
    <mergeCell ref="S713:V713"/>
    <mergeCell ref="P714:R714"/>
    <mergeCell ref="S714:V714"/>
    <mergeCell ref="R720:V720"/>
    <mergeCell ref="T721:V721"/>
    <mergeCell ref="T722:V722"/>
    <mergeCell ref="B725:C725"/>
    <mergeCell ref="Q725:R725"/>
    <mergeCell ref="A732:D732"/>
    <mergeCell ref="E732:J732"/>
    <mergeCell ref="P732:R732"/>
    <mergeCell ref="S732:V732"/>
    <mergeCell ref="A733:D733"/>
    <mergeCell ref="E733:J733"/>
    <mergeCell ref="P733:R733"/>
    <mergeCell ref="S733:V733"/>
    <mergeCell ref="A730:D730"/>
    <mergeCell ref="E730:J730"/>
    <mergeCell ref="P730:R730"/>
    <mergeCell ref="S730:V730"/>
    <mergeCell ref="A731:D731"/>
    <mergeCell ref="E731:J731"/>
    <mergeCell ref="P731:R731"/>
    <mergeCell ref="S731:V731"/>
    <mergeCell ref="A736:D736"/>
    <mergeCell ref="E736:J736"/>
    <mergeCell ref="P736:R736"/>
    <mergeCell ref="S736:V736"/>
    <mergeCell ref="A737:D737"/>
    <mergeCell ref="E737:J737"/>
    <mergeCell ref="P737:R737"/>
    <mergeCell ref="S737:V737"/>
    <mergeCell ref="A734:D734"/>
    <mergeCell ref="E734:J734"/>
    <mergeCell ref="P734:R734"/>
    <mergeCell ref="S734:V734"/>
    <mergeCell ref="A735:D735"/>
    <mergeCell ref="E735:J735"/>
    <mergeCell ref="P735:R735"/>
    <mergeCell ref="S735:V735"/>
    <mergeCell ref="A740:D740"/>
    <mergeCell ref="E740:J740"/>
    <mergeCell ref="P740:R740"/>
    <mergeCell ref="S740:V740"/>
    <mergeCell ref="A741:D741"/>
    <mergeCell ref="E741:J741"/>
    <mergeCell ref="P741:R741"/>
    <mergeCell ref="S741:V741"/>
    <mergeCell ref="A738:D738"/>
    <mergeCell ref="E738:J738"/>
    <mergeCell ref="P738:R738"/>
    <mergeCell ref="S738:V738"/>
    <mergeCell ref="A739:D739"/>
    <mergeCell ref="E739:J739"/>
    <mergeCell ref="P739:R739"/>
    <mergeCell ref="S739:V739"/>
    <mergeCell ref="A744:D744"/>
    <mergeCell ref="E744:J744"/>
    <mergeCell ref="P744:R744"/>
    <mergeCell ref="S744:V744"/>
    <mergeCell ref="A745:D745"/>
    <mergeCell ref="E745:J745"/>
    <mergeCell ref="P745:R745"/>
    <mergeCell ref="S745:V745"/>
    <mergeCell ref="A742:D742"/>
    <mergeCell ref="E742:J742"/>
    <mergeCell ref="P742:R742"/>
    <mergeCell ref="S742:V742"/>
    <mergeCell ref="A743:D743"/>
    <mergeCell ref="E743:J743"/>
    <mergeCell ref="P743:R743"/>
    <mergeCell ref="S743:V743"/>
    <mergeCell ref="A748:D748"/>
    <mergeCell ref="E748:J748"/>
    <mergeCell ref="P748:R748"/>
    <mergeCell ref="S748:V748"/>
    <mergeCell ref="A749:D749"/>
    <mergeCell ref="E749:J749"/>
    <mergeCell ref="P749:R749"/>
    <mergeCell ref="S749:V749"/>
    <mergeCell ref="A746:D746"/>
    <mergeCell ref="E746:J746"/>
    <mergeCell ref="P746:R746"/>
    <mergeCell ref="S746:V746"/>
    <mergeCell ref="A747:D747"/>
    <mergeCell ref="E747:J747"/>
    <mergeCell ref="P747:R747"/>
    <mergeCell ref="S747:V747"/>
    <mergeCell ref="A752:D752"/>
    <mergeCell ref="E752:J752"/>
    <mergeCell ref="P752:R752"/>
    <mergeCell ref="S752:V752"/>
    <mergeCell ref="A753:D753"/>
    <mergeCell ref="E753:J753"/>
    <mergeCell ref="P753:R753"/>
    <mergeCell ref="S753:V753"/>
    <mergeCell ref="A750:D750"/>
    <mergeCell ref="E750:J750"/>
    <mergeCell ref="P750:R750"/>
    <mergeCell ref="S750:V750"/>
    <mergeCell ref="A751:D751"/>
    <mergeCell ref="E751:J751"/>
    <mergeCell ref="P751:R751"/>
    <mergeCell ref="S751:V751"/>
    <mergeCell ref="A756:D756"/>
    <mergeCell ref="E756:H756"/>
    <mergeCell ref="I756:J756"/>
    <mergeCell ref="P756:R756"/>
    <mergeCell ref="S756:V756"/>
    <mergeCell ref="A757:D757"/>
    <mergeCell ref="E757:H757"/>
    <mergeCell ref="I757:J757"/>
    <mergeCell ref="P757:R757"/>
    <mergeCell ref="S757:V757"/>
    <mergeCell ref="A754:D754"/>
    <mergeCell ref="E754:J754"/>
    <mergeCell ref="P754:R754"/>
    <mergeCell ref="S754:V754"/>
    <mergeCell ref="A755:D755"/>
    <mergeCell ref="E755:J755"/>
    <mergeCell ref="P755:R755"/>
    <mergeCell ref="S755:V755"/>
    <mergeCell ref="A760:M760"/>
    <mergeCell ref="P760:R760"/>
    <mergeCell ref="S760:V760"/>
    <mergeCell ref="P761:R761"/>
    <mergeCell ref="S761:V761"/>
    <mergeCell ref="R767:V767"/>
    <mergeCell ref="T768:V768"/>
    <mergeCell ref="T769:V769"/>
    <mergeCell ref="B772:C772"/>
    <mergeCell ref="Q772:R772"/>
    <mergeCell ref="A758:D758"/>
    <mergeCell ref="E758:H758"/>
    <mergeCell ref="I758:J758"/>
    <mergeCell ref="P758:R758"/>
    <mergeCell ref="S758:V758"/>
    <mergeCell ref="A759:D759"/>
    <mergeCell ref="E759:J759"/>
    <mergeCell ref="P759:R759"/>
    <mergeCell ref="S759:V759"/>
    <mergeCell ref="A777:D777"/>
    <mergeCell ref="E777:J777"/>
    <mergeCell ref="P777:R777"/>
    <mergeCell ref="S777:V777"/>
    <mergeCell ref="A778:D778"/>
    <mergeCell ref="E778:J778"/>
    <mergeCell ref="P778:R778"/>
    <mergeCell ref="S778:V778"/>
    <mergeCell ref="A774:D776"/>
    <mergeCell ref="E774:V774"/>
    <mergeCell ref="E775:J776"/>
    <mergeCell ref="K775:L775"/>
    <mergeCell ref="M775:M776"/>
    <mergeCell ref="N775:V775"/>
    <mergeCell ref="P776:R776"/>
    <mergeCell ref="S776:V776"/>
    <mergeCell ref="A781:D781"/>
    <mergeCell ref="E781:J781"/>
    <mergeCell ref="P781:R781"/>
    <mergeCell ref="S781:V781"/>
    <mergeCell ref="A782:D782"/>
    <mergeCell ref="E782:J782"/>
    <mergeCell ref="P782:R782"/>
    <mergeCell ref="S782:V782"/>
    <mergeCell ref="A779:D779"/>
    <mergeCell ref="E779:J779"/>
    <mergeCell ref="P779:R779"/>
    <mergeCell ref="S779:V779"/>
    <mergeCell ref="A780:D780"/>
    <mergeCell ref="E780:J780"/>
    <mergeCell ref="P780:R780"/>
    <mergeCell ref="S780:V780"/>
    <mergeCell ref="A785:D785"/>
    <mergeCell ref="E785:J785"/>
    <mergeCell ref="P785:R785"/>
    <mergeCell ref="S785:V785"/>
    <mergeCell ref="A786:D786"/>
    <mergeCell ref="E786:J786"/>
    <mergeCell ref="P786:R786"/>
    <mergeCell ref="S786:V786"/>
    <mergeCell ref="A783:D783"/>
    <mergeCell ref="E783:J783"/>
    <mergeCell ref="P783:R783"/>
    <mergeCell ref="S783:V783"/>
    <mergeCell ref="A784:D784"/>
    <mergeCell ref="E784:J784"/>
    <mergeCell ref="P784:R784"/>
    <mergeCell ref="S784:V784"/>
    <mergeCell ref="A789:D789"/>
    <mergeCell ref="E789:J789"/>
    <mergeCell ref="P789:R789"/>
    <mergeCell ref="S789:V789"/>
    <mergeCell ref="A790:D790"/>
    <mergeCell ref="E790:J790"/>
    <mergeCell ref="P790:R790"/>
    <mergeCell ref="S790:V790"/>
    <mergeCell ref="A787:D787"/>
    <mergeCell ref="E787:J787"/>
    <mergeCell ref="P787:R787"/>
    <mergeCell ref="S787:V787"/>
    <mergeCell ref="A788:D788"/>
    <mergeCell ref="E788:J788"/>
    <mergeCell ref="P788:R788"/>
    <mergeCell ref="S788:V788"/>
    <mergeCell ref="A793:D793"/>
    <mergeCell ref="E793:J793"/>
    <mergeCell ref="P793:R793"/>
    <mergeCell ref="S793:V793"/>
    <mergeCell ref="A794:D794"/>
    <mergeCell ref="E794:J794"/>
    <mergeCell ref="P794:R794"/>
    <mergeCell ref="S794:V794"/>
    <mergeCell ref="A791:D791"/>
    <mergeCell ref="E791:J791"/>
    <mergeCell ref="P791:R791"/>
    <mergeCell ref="S791:V791"/>
    <mergeCell ref="A792:D792"/>
    <mergeCell ref="E792:J792"/>
    <mergeCell ref="P792:R792"/>
    <mergeCell ref="S792:V792"/>
    <mergeCell ref="A797:D797"/>
    <mergeCell ref="E797:J797"/>
    <mergeCell ref="P797:R797"/>
    <mergeCell ref="S797:V797"/>
    <mergeCell ref="A798:D798"/>
    <mergeCell ref="E798:J798"/>
    <mergeCell ref="P798:R798"/>
    <mergeCell ref="S798:V798"/>
    <mergeCell ref="A795:D795"/>
    <mergeCell ref="E795:J795"/>
    <mergeCell ref="P795:R795"/>
    <mergeCell ref="S795:V795"/>
    <mergeCell ref="A796:D796"/>
    <mergeCell ref="E796:J796"/>
    <mergeCell ref="P796:R796"/>
    <mergeCell ref="S796:V796"/>
    <mergeCell ref="A801:D801"/>
    <mergeCell ref="E801:J801"/>
    <mergeCell ref="P801:R801"/>
    <mergeCell ref="S801:V801"/>
    <mergeCell ref="A802:D802"/>
    <mergeCell ref="E802:J802"/>
    <mergeCell ref="P802:R802"/>
    <mergeCell ref="S802:V802"/>
    <mergeCell ref="A799:D799"/>
    <mergeCell ref="E799:J799"/>
    <mergeCell ref="P799:R799"/>
    <mergeCell ref="S799:V799"/>
    <mergeCell ref="A800:D800"/>
    <mergeCell ref="E800:J800"/>
    <mergeCell ref="P800:R800"/>
    <mergeCell ref="S800:V800"/>
    <mergeCell ref="A805:D805"/>
    <mergeCell ref="E805:H805"/>
    <mergeCell ref="I805:J805"/>
    <mergeCell ref="P805:R805"/>
    <mergeCell ref="S805:V805"/>
    <mergeCell ref="A806:D806"/>
    <mergeCell ref="E806:J806"/>
    <mergeCell ref="P806:R806"/>
    <mergeCell ref="S806:V806"/>
    <mergeCell ref="A803:D803"/>
    <mergeCell ref="E803:H803"/>
    <mergeCell ref="I803:J803"/>
    <mergeCell ref="P803:R803"/>
    <mergeCell ref="S803:V803"/>
    <mergeCell ref="A804:D804"/>
    <mergeCell ref="E804:H804"/>
    <mergeCell ref="I804:J804"/>
    <mergeCell ref="P804:R804"/>
    <mergeCell ref="S804:V804"/>
    <mergeCell ref="A821:D823"/>
    <mergeCell ref="E821:V821"/>
    <mergeCell ref="E822:J823"/>
    <mergeCell ref="K822:L822"/>
    <mergeCell ref="M822:M823"/>
    <mergeCell ref="N822:V822"/>
    <mergeCell ref="P823:R823"/>
    <mergeCell ref="S823:V823"/>
    <mergeCell ref="A807:M807"/>
    <mergeCell ref="P807:R807"/>
    <mergeCell ref="S807:V807"/>
    <mergeCell ref="P808:R808"/>
    <mergeCell ref="S808:V808"/>
    <mergeCell ref="R814:V814"/>
    <mergeCell ref="T815:V815"/>
    <mergeCell ref="T816:V816"/>
    <mergeCell ref="B819:C819"/>
    <mergeCell ref="Q819:R819"/>
    <mergeCell ref="A826:D826"/>
    <mergeCell ref="E826:J826"/>
    <mergeCell ref="P826:R826"/>
    <mergeCell ref="S826:V826"/>
    <mergeCell ref="A827:D827"/>
    <mergeCell ref="E827:J827"/>
    <mergeCell ref="P827:R827"/>
    <mergeCell ref="S827:V827"/>
    <mergeCell ref="A824:D824"/>
    <mergeCell ref="E824:J824"/>
    <mergeCell ref="P824:R824"/>
    <mergeCell ref="S824:V824"/>
    <mergeCell ref="A825:D825"/>
    <mergeCell ref="E825:J825"/>
    <mergeCell ref="P825:R825"/>
    <mergeCell ref="S825:V825"/>
    <mergeCell ref="A830:D830"/>
    <mergeCell ref="E830:J830"/>
    <mergeCell ref="P830:R830"/>
    <mergeCell ref="S830:V830"/>
    <mergeCell ref="A831:D831"/>
    <mergeCell ref="E831:J831"/>
    <mergeCell ref="P831:R831"/>
    <mergeCell ref="S831:V831"/>
    <mergeCell ref="A828:D828"/>
    <mergeCell ref="E828:J828"/>
    <mergeCell ref="P828:R828"/>
    <mergeCell ref="S828:V828"/>
    <mergeCell ref="A829:D829"/>
    <mergeCell ref="E829:J829"/>
    <mergeCell ref="P829:R829"/>
    <mergeCell ref="S829:V829"/>
    <mergeCell ref="A834:D834"/>
    <mergeCell ref="E834:J834"/>
    <mergeCell ref="P834:R834"/>
    <mergeCell ref="S834:V834"/>
    <mergeCell ref="A835:D835"/>
    <mergeCell ref="E835:J835"/>
    <mergeCell ref="P835:R835"/>
    <mergeCell ref="S835:V835"/>
    <mergeCell ref="A832:D832"/>
    <mergeCell ref="E832:J832"/>
    <mergeCell ref="P832:R832"/>
    <mergeCell ref="S832:V832"/>
    <mergeCell ref="A833:D833"/>
    <mergeCell ref="E833:J833"/>
    <mergeCell ref="P833:R833"/>
    <mergeCell ref="S833:V833"/>
    <mergeCell ref="A838:D838"/>
    <mergeCell ref="E838:J838"/>
    <mergeCell ref="P838:R838"/>
    <mergeCell ref="S838:V838"/>
    <mergeCell ref="A839:D839"/>
    <mergeCell ref="E839:J839"/>
    <mergeCell ref="P839:R839"/>
    <mergeCell ref="S839:V839"/>
    <mergeCell ref="A836:D836"/>
    <mergeCell ref="E836:J836"/>
    <mergeCell ref="P836:R836"/>
    <mergeCell ref="S836:V836"/>
    <mergeCell ref="A837:D837"/>
    <mergeCell ref="E837:J837"/>
    <mergeCell ref="P837:R837"/>
    <mergeCell ref="S837:V837"/>
    <mergeCell ref="A842:D842"/>
    <mergeCell ref="E842:J842"/>
    <mergeCell ref="P842:R842"/>
    <mergeCell ref="S842:V842"/>
    <mergeCell ref="A843:D843"/>
    <mergeCell ref="E843:J843"/>
    <mergeCell ref="P843:R843"/>
    <mergeCell ref="S843:V843"/>
    <mergeCell ref="A840:D840"/>
    <mergeCell ref="E840:J840"/>
    <mergeCell ref="P840:R840"/>
    <mergeCell ref="S840:V840"/>
    <mergeCell ref="A841:D841"/>
    <mergeCell ref="E841:J841"/>
    <mergeCell ref="P841:R841"/>
    <mergeCell ref="S841:V841"/>
    <mergeCell ref="A846:D846"/>
    <mergeCell ref="E846:J846"/>
    <mergeCell ref="P846:R846"/>
    <mergeCell ref="S846:V846"/>
    <mergeCell ref="A847:D847"/>
    <mergeCell ref="E847:J847"/>
    <mergeCell ref="P847:R847"/>
    <mergeCell ref="S847:V847"/>
    <mergeCell ref="A844:D844"/>
    <mergeCell ref="E844:J844"/>
    <mergeCell ref="P844:R844"/>
    <mergeCell ref="S844:V844"/>
    <mergeCell ref="A845:D845"/>
    <mergeCell ref="E845:J845"/>
    <mergeCell ref="P845:R845"/>
    <mergeCell ref="S845:V845"/>
    <mergeCell ref="A850:D850"/>
    <mergeCell ref="E850:H850"/>
    <mergeCell ref="I850:J850"/>
    <mergeCell ref="P850:R850"/>
    <mergeCell ref="S850:V850"/>
    <mergeCell ref="A851:D851"/>
    <mergeCell ref="E851:H851"/>
    <mergeCell ref="I851:J851"/>
    <mergeCell ref="P851:R851"/>
    <mergeCell ref="S851:V851"/>
    <mergeCell ref="A848:D848"/>
    <mergeCell ref="E848:J848"/>
    <mergeCell ref="P848:R848"/>
    <mergeCell ref="S848:V848"/>
    <mergeCell ref="A849:D849"/>
    <mergeCell ref="E849:J849"/>
    <mergeCell ref="P849:R849"/>
    <mergeCell ref="S849:V849"/>
    <mergeCell ref="A854:M854"/>
    <mergeCell ref="P854:R854"/>
    <mergeCell ref="S854:V854"/>
    <mergeCell ref="P855:R855"/>
    <mergeCell ref="S855:V855"/>
    <mergeCell ref="R861:V861"/>
    <mergeCell ref="T862:V862"/>
    <mergeCell ref="T863:V863"/>
    <mergeCell ref="B866:C866"/>
    <mergeCell ref="Q866:R866"/>
    <mergeCell ref="A852:D852"/>
    <mergeCell ref="E852:H852"/>
    <mergeCell ref="I852:J852"/>
    <mergeCell ref="P852:R852"/>
    <mergeCell ref="S852:V852"/>
    <mergeCell ref="A853:D853"/>
    <mergeCell ref="E853:J853"/>
    <mergeCell ref="P853:R853"/>
    <mergeCell ref="S853:V853"/>
    <mergeCell ref="A871:D871"/>
    <mergeCell ref="E871:J871"/>
    <mergeCell ref="P871:R871"/>
    <mergeCell ref="S871:V871"/>
    <mergeCell ref="A872:D872"/>
    <mergeCell ref="E872:J872"/>
    <mergeCell ref="P872:R872"/>
    <mergeCell ref="S872:V872"/>
    <mergeCell ref="A868:D870"/>
    <mergeCell ref="E868:V868"/>
    <mergeCell ref="E869:J870"/>
    <mergeCell ref="K869:L869"/>
    <mergeCell ref="M869:M870"/>
    <mergeCell ref="N869:V869"/>
    <mergeCell ref="P870:R870"/>
    <mergeCell ref="S870:V870"/>
    <mergeCell ref="A875:D875"/>
    <mergeCell ref="E875:J875"/>
    <mergeCell ref="P875:R875"/>
    <mergeCell ref="S875:V875"/>
    <mergeCell ref="A876:D876"/>
    <mergeCell ref="E876:J876"/>
    <mergeCell ref="P876:R876"/>
    <mergeCell ref="S876:V876"/>
    <mergeCell ref="A873:D873"/>
    <mergeCell ref="E873:J873"/>
    <mergeCell ref="P873:R873"/>
    <mergeCell ref="S873:V873"/>
    <mergeCell ref="A874:D874"/>
    <mergeCell ref="E874:J874"/>
    <mergeCell ref="P874:R874"/>
    <mergeCell ref="S874:V874"/>
    <mergeCell ref="A879:D879"/>
    <mergeCell ref="E879:J879"/>
    <mergeCell ref="P879:R879"/>
    <mergeCell ref="S879:V879"/>
    <mergeCell ref="A880:D880"/>
    <mergeCell ref="E880:J880"/>
    <mergeCell ref="P880:R880"/>
    <mergeCell ref="S880:V880"/>
    <mergeCell ref="A877:D877"/>
    <mergeCell ref="E877:J877"/>
    <mergeCell ref="P877:R877"/>
    <mergeCell ref="S877:V877"/>
    <mergeCell ref="A878:D878"/>
    <mergeCell ref="E878:J878"/>
    <mergeCell ref="P878:R878"/>
    <mergeCell ref="S878:V878"/>
    <mergeCell ref="A883:D883"/>
    <mergeCell ref="E883:J883"/>
    <mergeCell ref="P883:R883"/>
    <mergeCell ref="S883:V883"/>
    <mergeCell ref="A884:D884"/>
    <mergeCell ref="E884:J884"/>
    <mergeCell ref="P884:R884"/>
    <mergeCell ref="S884:V884"/>
    <mergeCell ref="A881:D881"/>
    <mergeCell ref="E881:J881"/>
    <mergeCell ref="P881:R881"/>
    <mergeCell ref="S881:V881"/>
    <mergeCell ref="A882:D882"/>
    <mergeCell ref="E882:J882"/>
    <mergeCell ref="P882:R882"/>
    <mergeCell ref="S882:V882"/>
    <mergeCell ref="A887:D887"/>
    <mergeCell ref="E887:J887"/>
    <mergeCell ref="P887:R887"/>
    <mergeCell ref="S887:V887"/>
    <mergeCell ref="A888:D888"/>
    <mergeCell ref="E888:J888"/>
    <mergeCell ref="P888:R888"/>
    <mergeCell ref="S888:V888"/>
    <mergeCell ref="A885:D885"/>
    <mergeCell ref="E885:J885"/>
    <mergeCell ref="P885:R885"/>
    <mergeCell ref="S885:V885"/>
    <mergeCell ref="A886:D886"/>
    <mergeCell ref="E886:J886"/>
    <mergeCell ref="P886:R886"/>
    <mergeCell ref="S886:V886"/>
    <mergeCell ref="A891:D891"/>
    <mergeCell ref="E891:J891"/>
    <mergeCell ref="P891:R891"/>
    <mergeCell ref="S891:V891"/>
    <mergeCell ref="A892:D892"/>
    <mergeCell ref="E892:J892"/>
    <mergeCell ref="P892:R892"/>
    <mergeCell ref="S892:V892"/>
    <mergeCell ref="A889:D889"/>
    <mergeCell ref="E889:J889"/>
    <mergeCell ref="P889:R889"/>
    <mergeCell ref="S889:V889"/>
    <mergeCell ref="A890:D890"/>
    <mergeCell ref="E890:J890"/>
    <mergeCell ref="P890:R890"/>
    <mergeCell ref="S890:V890"/>
    <mergeCell ref="A895:D895"/>
    <mergeCell ref="E895:J895"/>
    <mergeCell ref="P895:R895"/>
    <mergeCell ref="S895:V895"/>
    <mergeCell ref="A896:D896"/>
    <mergeCell ref="E896:J896"/>
    <mergeCell ref="P896:R896"/>
    <mergeCell ref="S896:V896"/>
    <mergeCell ref="A893:D893"/>
    <mergeCell ref="E893:J893"/>
    <mergeCell ref="P893:R893"/>
    <mergeCell ref="S893:V893"/>
    <mergeCell ref="A894:D894"/>
    <mergeCell ref="E894:J894"/>
    <mergeCell ref="P894:R894"/>
    <mergeCell ref="S894:V894"/>
    <mergeCell ref="A899:D899"/>
    <mergeCell ref="E899:H899"/>
    <mergeCell ref="I899:J899"/>
    <mergeCell ref="P899:R899"/>
    <mergeCell ref="S899:V899"/>
    <mergeCell ref="A900:D900"/>
    <mergeCell ref="E900:J900"/>
    <mergeCell ref="P900:R900"/>
    <mergeCell ref="S900:V900"/>
    <mergeCell ref="A897:D897"/>
    <mergeCell ref="E897:H897"/>
    <mergeCell ref="I897:J897"/>
    <mergeCell ref="P897:R897"/>
    <mergeCell ref="S897:V897"/>
    <mergeCell ref="A898:D898"/>
    <mergeCell ref="E898:H898"/>
    <mergeCell ref="I898:J898"/>
    <mergeCell ref="P898:R898"/>
    <mergeCell ref="S898:V898"/>
    <mergeCell ref="A915:D917"/>
    <mergeCell ref="E915:V915"/>
    <mergeCell ref="E916:J917"/>
    <mergeCell ref="K916:L916"/>
    <mergeCell ref="M916:M917"/>
    <mergeCell ref="N916:V916"/>
    <mergeCell ref="P917:R917"/>
    <mergeCell ref="S917:V917"/>
    <mergeCell ref="A901:M901"/>
    <mergeCell ref="P901:R901"/>
    <mergeCell ref="S901:V901"/>
    <mergeCell ref="P902:R902"/>
    <mergeCell ref="S902:V902"/>
    <mergeCell ref="R908:V908"/>
    <mergeCell ref="T909:V909"/>
    <mergeCell ref="T910:V910"/>
    <mergeCell ref="B913:C913"/>
    <mergeCell ref="Q913:R913"/>
    <mergeCell ref="A920:D920"/>
    <mergeCell ref="E920:J920"/>
    <mergeCell ref="P920:R920"/>
    <mergeCell ref="S920:V920"/>
    <mergeCell ref="A921:D921"/>
    <mergeCell ref="E921:J921"/>
    <mergeCell ref="P921:R921"/>
    <mergeCell ref="S921:V921"/>
    <mergeCell ref="A918:D918"/>
    <mergeCell ref="E918:J918"/>
    <mergeCell ref="P918:R918"/>
    <mergeCell ref="S918:V918"/>
    <mergeCell ref="A919:D919"/>
    <mergeCell ref="E919:J919"/>
    <mergeCell ref="P919:R919"/>
    <mergeCell ref="S919:V919"/>
    <mergeCell ref="A924:D924"/>
    <mergeCell ref="E924:J924"/>
    <mergeCell ref="P924:R924"/>
    <mergeCell ref="S924:V924"/>
    <mergeCell ref="A925:D925"/>
    <mergeCell ref="E925:J925"/>
    <mergeCell ref="P925:R925"/>
    <mergeCell ref="S925:V925"/>
    <mergeCell ref="A922:D922"/>
    <mergeCell ref="E922:J922"/>
    <mergeCell ref="P922:R922"/>
    <mergeCell ref="S922:V922"/>
    <mergeCell ref="A923:D923"/>
    <mergeCell ref="E923:J923"/>
    <mergeCell ref="P923:R923"/>
    <mergeCell ref="S923:V923"/>
    <mergeCell ref="A928:D928"/>
    <mergeCell ref="E928:J928"/>
    <mergeCell ref="P928:R928"/>
    <mergeCell ref="S928:V928"/>
    <mergeCell ref="A929:D929"/>
    <mergeCell ref="E929:J929"/>
    <mergeCell ref="P929:R929"/>
    <mergeCell ref="S929:V929"/>
    <mergeCell ref="A926:D926"/>
    <mergeCell ref="E926:J926"/>
    <mergeCell ref="P926:R926"/>
    <mergeCell ref="S926:V926"/>
    <mergeCell ref="A927:D927"/>
    <mergeCell ref="E927:J927"/>
    <mergeCell ref="P927:R927"/>
    <mergeCell ref="S927:V927"/>
    <mergeCell ref="A932:D932"/>
    <mergeCell ref="E932:J932"/>
    <mergeCell ref="P932:R932"/>
    <mergeCell ref="S932:V932"/>
    <mergeCell ref="A933:D933"/>
    <mergeCell ref="E933:J933"/>
    <mergeCell ref="P933:R933"/>
    <mergeCell ref="S933:V933"/>
    <mergeCell ref="A930:D930"/>
    <mergeCell ref="E930:J930"/>
    <mergeCell ref="P930:R930"/>
    <mergeCell ref="S930:V930"/>
    <mergeCell ref="A931:D931"/>
    <mergeCell ref="E931:J931"/>
    <mergeCell ref="P931:R931"/>
    <mergeCell ref="S931:V931"/>
    <mergeCell ref="A936:D936"/>
    <mergeCell ref="E936:J936"/>
    <mergeCell ref="P936:R936"/>
    <mergeCell ref="S936:V936"/>
    <mergeCell ref="A937:D937"/>
    <mergeCell ref="E937:J937"/>
    <mergeCell ref="P937:R937"/>
    <mergeCell ref="S937:V937"/>
    <mergeCell ref="A934:D934"/>
    <mergeCell ref="E934:J934"/>
    <mergeCell ref="P934:R934"/>
    <mergeCell ref="S934:V934"/>
    <mergeCell ref="A935:D935"/>
    <mergeCell ref="E935:J935"/>
    <mergeCell ref="P935:R935"/>
    <mergeCell ref="S935:V935"/>
    <mergeCell ref="A940:D940"/>
    <mergeCell ref="E940:J940"/>
    <mergeCell ref="P940:R940"/>
    <mergeCell ref="S940:V940"/>
    <mergeCell ref="A941:D941"/>
    <mergeCell ref="E941:J941"/>
    <mergeCell ref="P941:R941"/>
    <mergeCell ref="S941:V941"/>
    <mergeCell ref="A938:D938"/>
    <mergeCell ref="E938:J938"/>
    <mergeCell ref="P938:R938"/>
    <mergeCell ref="S938:V938"/>
    <mergeCell ref="A939:D939"/>
    <mergeCell ref="E939:J939"/>
    <mergeCell ref="P939:R939"/>
    <mergeCell ref="S939:V939"/>
    <mergeCell ref="A944:D944"/>
    <mergeCell ref="E944:H944"/>
    <mergeCell ref="I944:J944"/>
    <mergeCell ref="P944:R944"/>
    <mergeCell ref="S944:V944"/>
    <mergeCell ref="A945:D945"/>
    <mergeCell ref="E945:H945"/>
    <mergeCell ref="I945:J945"/>
    <mergeCell ref="P945:R945"/>
    <mergeCell ref="S945:V945"/>
    <mergeCell ref="A942:D942"/>
    <mergeCell ref="E942:J942"/>
    <mergeCell ref="P942:R942"/>
    <mergeCell ref="S942:V942"/>
    <mergeCell ref="A943:D943"/>
    <mergeCell ref="E943:J943"/>
    <mergeCell ref="P943:R943"/>
    <mergeCell ref="S943:V943"/>
    <mergeCell ref="A948:M948"/>
    <mergeCell ref="P948:R948"/>
    <mergeCell ref="S948:V948"/>
    <mergeCell ref="P949:R949"/>
    <mergeCell ref="S949:V949"/>
    <mergeCell ref="R955:V955"/>
    <mergeCell ref="T956:V956"/>
    <mergeCell ref="T957:V957"/>
    <mergeCell ref="B960:C960"/>
    <mergeCell ref="Q960:R960"/>
    <mergeCell ref="A946:D946"/>
    <mergeCell ref="E946:H946"/>
    <mergeCell ref="I946:J946"/>
    <mergeCell ref="P946:R946"/>
    <mergeCell ref="S946:V946"/>
    <mergeCell ref="A947:D947"/>
    <mergeCell ref="E947:J947"/>
    <mergeCell ref="P947:R947"/>
    <mergeCell ref="S947:V947"/>
    <mergeCell ref="A965:D965"/>
    <mergeCell ref="E965:J965"/>
    <mergeCell ref="P965:R965"/>
    <mergeCell ref="S965:V965"/>
    <mergeCell ref="A966:D966"/>
    <mergeCell ref="E966:J966"/>
    <mergeCell ref="P966:R966"/>
    <mergeCell ref="S966:V966"/>
    <mergeCell ref="A962:D964"/>
    <mergeCell ref="E962:V962"/>
    <mergeCell ref="E963:J964"/>
    <mergeCell ref="K963:L963"/>
    <mergeCell ref="M963:M964"/>
    <mergeCell ref="N963:V963"/>
    <mergeCell ref="P964:R964"/>
    <mergeCell ref="S964:V964"/>
    <mergeCell ref="A969:D969"/>
    <mergeCell ref="E969:J969"/>
    <mergeCell ref="P969:R969"/>
    <mergeCell ref="S969:V969"/>
    <mergeCell ref="A970:D970"/>
    <mergeCell ref="E970:J970"/>
    <mergeCell ref="P970:R970"/>
    <mergeCell ref="S970:V970"/>
    <mergeCell ref="A967:D967"/>
    <mergeCell ref="E967:J967"/>
    <mergeCell ref="P967:R967"/>
    <mergeCell ref="S967:V967"/>
    <mergeCell ref="A968:D968"/>
    <mergeCell ref="E968:J968"/>
    <mergeCell ref="P968:R968"/>
    <mergeCell ref="S968:V968"/>
    <mergeCell ref="A973:D973"/>
    <mergeCell ref="E973:J973"/>
    <mergeCell ref="P973:R973"/>
    <mergeCell ref="S973:V973"/>
    <mergeCell ref="A974:D974"/>
    <mergeCell ref="E974:J974"/>
    <mergeCell ref="P974:R974"/>
    <mergeCell ref="S974:V974"/>
    <mergeCell ref="A971:D971"/>
    <mergeCell ref="E971:J971"/>
    <mergeCell ref="P971:R971"/>
    <mergeCell ref="S971:V971"/>
    <mergeCell ref="A972:D972"/>
    <mergeCell ref="E972:J972"/>
    <mergeCell ref="P972:R972"/>
    <mergeCell ref="S972:V972"/>
    <mergeCell ref="A977:D977"/>
    <mergeCell ref="E977:J977"/>
    <mergeCell ref="P977:R977"/>
    <mergeCell ref="S977:V977"/>
    <mergeCell ref="A978:D978"/>
    <mergeCell ref="E978:J978"/>
    <mergeCell ref="P978:R978"/>
    <mergeCell ref="S978:V978"/>
    <mergeCell ref="A975:D975"/>
    <mergeCell ref="E975:J975"/>
    <mergeCell ref="P975:R975"/>
    <mergeCell ref="S975:V975"/>
    <mergeCell ref="A976:D976"/>
    <mergeCell ref="E976:J976"/>
    <mergeCell ref="P976:R976"/>
    <mergeCell ref="S976:V976"/>
    <mergeCell ref="A981:D981"/>
    <mergeCell ref="E981:J981"/>
    <mergeCell ref="P981:R981"/>
    <mergeCell ref="S981:V981"/>
    <mergeCell ref="A982:D982"/>
    <mergeCell ref="E982:J982"/>
    <mergeCell ref="P982:R982"/>
    <mergeCell ref="S982:V982"/>
    <mergeCell ref="A979:D979"/>
    <mergeCell ref="E979:J979"/>
    <mergeCell ref="P979:R979"/>
    <mergeCell ref="S979:V979"/>
    <mergeCell ref="A980:D980"/>
    <mergeCell ref="E980:J980"/>
    <mergeCell ref="P980:R980"/>
    <mergeCell ref="S980:V980"/>
    <mergeCell ref="A985:D985"/>
    <mergeCell ref="E985:J985"/>
    <mergeCell ref="P985:R985"/>
    <mergeCell ref="S985:V985"/>
    <mergeCell ref="A986:D986"/>
    <mergeCell ref="E986:J986"/>
    <mergeCell ref="P986:R986"/>
    <mergeCell ref="S986:V986"/>
    <mergeCell ref="A983:D983"/>
    <mergeCell ref="E983:J983"/>
    <mergeCell ref="P983:R983"/>
    <mergeCell ref="S983:V983"/>
    <mergeCell ref="A984:D984"/>
    <mergeCell ref="E984:J984"/>
    <mergeCell ref="P984:R984"/>
    <mergeCell ref="S984:V984"/>
    <mergeCell ref="A989:D989"/>
    <mergeCell ref="E989:J989"/>
    <mergeCell ref="P989:R989"/>
    <mergeCell ref="S989:V989"/>
    <mergeCell ref="A990:D990"/>
    <mergeCell ref="E990:J990"/>
    <mergeCell ref="P990:R990"/>
    <mergeCell ref="S990:V990"/>
    <mergeCell ref="A987:D987"/>
    <mergeCell ref="E987:J987"/>
    <mergeCell ref="P987:R987"/>
    <mergeCell ref="S987:V987"/>
    <mergeCell ref="A988:D988"/>
    <mergeCell ref="E988:J988"/>
    <mergeCell ref="P988:R988"/>
    <mergeCell ref="S988:V988"/>
    <mergeCell ref="A993:D993"/>
    <mergeCell ref="E993:H993"/>
    <mergeCell ref="I993:J993"/>
    <mergeCell ref="P993:R993"/>
    <mergeCell ref="S993:V993"/>
    <mergeCell ref="A994:D994"/>
    <mergeCell ref="E994:J994"/>
    <mergeCell ref="P994:R994"/>
    <mergeCell ref="S994:V994"/>
    <mergeCell ref="A991:D991"/>
    <mergeCell ref="E991:H991"/>
    <mergeCell ref="I991:J991"/>
    <mergeCell ref="P991:R991"/>
    <mergeCell ref="S991:V991"/>
    <mergeCell ref="A992:D992"/>
    <mergeCell ref="E992:H992"/>
    <mergeCell ref="I992:J992"/>
    <mergeCell ref="P992:R992"/>
    <mergeCell ref="S992:V992"/>
    <mergeCell ref="A1009:D1011"/>
    <mergeCell ref="E1009:V1009"/>
    <mergeCell ref="E1010:J1011"/>
    <mergeCell ref="K1010:L1010"/>
    <mergeCell ref="M1010:M1011"/>
    <mergeCell ref="N1010:V1010"/>
    <mergeCell ref="P1011:R1011"/>
    <mergeCell ref="S1011:V1011"/>
    <mergeCell ref="A995:M995"/>
    <mergeCell ref="P995:R995"/>
    <mergeCell ref="S995:V995"/>
    <mergeCell ref="P996:R996"/>
    <mergeCell ref="S996:V996"/>
    <mergeCell ref="R1002:V1002"/>
    <mergeCell ref="T1003:V1003"/>
    <mergeCell ref="T1004:V1004"/>
    <mergeCell ref="B1007:C1007"/>
    <mergeCell ref="Q1007:R1007"/>
    <mergeCell ref="A1014:D1014"/>
    <mergeCell ref="E1014:J1014"/>
    <mergeCell ref="P1014:R1014"/>
    <mergeCell ref="S1014:V1014"/>
    <mergeCell ref="A1015:D1015"/>
    <mergeCell ref="E1015:J1015"/>
    <mergeCell ref="P1015:R1015"/>
    <mergeCell ref="S1015:V1015"/>
    <mergeCell ref="A1012:D1012"/>
    <mergeCell ref="E1012:J1012"/>
    <mergeCell ref="P1012:R1012"/>
    <mergeCell ref="S1012:V1012"/>
    <mergeCell ref="A1013:D1013"/>
    <mergeCell ref="E1013:J1013"/>
    <mergeCell ref="P1013:R1013"/>
    <mergeCell ref="S1013:V1013"/>
    <mergeCell ref="A1018:D1018"/>
    <mergeCell ref="E1018:J1018"/>
    <mergeCell ref="P1018:R1018"/>
    <mergeCell ref="S1018:V1018"/>
    <mergeCell ref="A1019:D1019"/>
    <mergeCell ref="E1019:J1019"/>
    <mergeCell ref="P1019:R1019"/>
    <mergeCell ref="S1019:V1019"/>
    <mergeCell ref="A1016:D1016"/>
    <mergeCell ref="E1016:J1016"/>
    <mergeCell ref="P1016:R1016"/>
    <mergeCell ref="S1016:V1016"/>
    <mergeCell ref="A1017:D1017"/>
    <mergeCell ref="E1017:J1017"/>
    <mergeCell ref="P1017:R1017"/>
    <mergeCell ref="S1017:V1017"/>
    <mergeCell ref="A1022:D1022"/>
    <mergeCell ref="E1022:J1022"/>
    <mergeCell ref="P1022:R1022"/>
    <mergeCell ref="S1022:V1022"/>
    <mergeCell ref="A1023:D1023"/>
    <mergeCell ref="E1023:J1023"/>
    <mergeCell ref="P1023:R1023"/>
    <mergeCell ref="S1023:V1023"/>
    <mergeCell ref="A1020:D1020"/>
    <mergeCell ref="E1020:J1020"/>
    <mergeCell ref="P1020:R1020"/>
    <mergeCell ref="S1020:V1020"/>
    <mergeCell ref="A1021:D1021"/>
    <mergeCell ref="E1021:J1021"/>
    <mergeCell ref="P1021:R1021"/>
    <mergeCell ref="S1021:V1021"/>
    <mergeCell ref="A1026:D1026"/>
    <mergeCell ref="E1026:J1026"/>
    <mergeCell ref="P1026:R1026"/>
    <mergeCell ref="S1026:V1026"/>
    <mergeCell ref="A1027:D1027"/>
    <mergeCell ref="E1027:J1027"/>
    <mergeCell ref="P1027:R1027"/>
    <mergeCell ref="S1027:V1027"/>
    <mergeCell ref="A1024:D1024"/>
    <mergeCell ref="E1024:J1024"/>
    <mergeCell ref="P1024:R1024"/>
    <mergeCell ref="S1024:V1024"/>
    <mergeCell ref="A1025:D1025"/>
    <mergeCell ref="E1025:J1025"/>
    <mergeCell ref="P1025:R1025"/>
    <mergeCell ref="S1025:V1025"/>
    <mergeCell ref="A1030:D1030"/>
    <mergeCell ref="E1030:J1030"/>
    <mergeCell ref="P1030:R1030"/>
    <mergeCell ref="S1030:V1030"/>
    <mergeCell ref="A1031:D1031"/>
    <mergeCell ref="E1031:J1031"/>
    <mergeCell ref="P1031:R1031"/>
    <mergeCell ref="S1031:V1031"/>
    <mergeCell ref="A1028:D1028"/>
    <mergeCell ref="E1028:J1028"/>
    <mergeCell ref="P1028:R1028"/>
    <mergeCell ref="S1028:V1028"/>
    <mergeCell ref="A1029:D1029"/>
    <mergeCell ref="E1029:J1029"/>
    <mergeCell ref="P1029:R1029"/>
    <mergeCell ref="S1029:V1029"/>
    <mergeCell ref="A1034:D1034"/>
    <mergeCell ref="E1034:J1034"/>
    <mergeCell ref="P1034:R1034"/>
    <mergeCell ref="S1034:V1034"/>
    <mergeCell ref="A1035:D1035"/>
    <mergeCell ref="E1035:J1035"/>
    <mergeCell ref="P1035:R1035"/>
    <mergeCell ref="S1035:V1035"/>
    <mergeCell ref="A1032:D1032"/>
    <mergeCell ref="E1032:J1032"/>
    <mergeCell ref="P1032:R1032"/>
    <mergeCell ref="S1032:V1032"/>
    <mergeCell ref="A1033:D1033"/>
    <mergeCell ref="E1033:J1033"/>
    <mergeCell ref="P1033:R1033"/>
    <mergeCell ref="S1033:V1033"/>
    <mergeCell ref="A1038:D1038"/>
    <mergeCell ref="E1038:H1038"/>
    <mergeCell ref="I1038:J1038"/>
    <mergeCell ref="P1038:R1038"/>
    <mergeCell ref="S1038:V1038"/>
    <mergeCell ref="A1039:D1039"/>
    <mergeCell ref="E1039:H1039"/>
    <mergeCell ref="I1039:J1039"/>
    <mergeCell ref="P1039:R1039"/>
    <mergeCell ref="S1039:V1039"/>
    <mergeCell ref="A1036:D1036"/>
    <mergeCell ref="E1036:J1036"/>
    <mergeCell ref="P1036:R1036"/>
    <mergeCell ref="S1036:V1036"/>
    <mergeCell ref="A1037:D1037"/>
    <mergeCell ref="E1037:J1037"/>
    <mergeCell ref="P1037:R1037"/>
    <mergeCell ref="S1037:V1037"/>
    <mergeCell ref="A1042:M1042"/>
    <mergeCell ref="P1042:R1042"/>
    <mergeCell ref="S1042:V1042"/>
    <mergeCell ref="P1043:R1043"/>
    <mergeCell ref="S1043:V1043"/>
    <mergeCell ref="R1049:V1049"/>
    <mergeCell ref="T1050:V1050"/>
    <mergeCell ref="T1051:V1051"/>
    <mergeCell ref="B1054:C1054"/>
    <mergeCell ref="Q1054:R1054"/>
    <mergeCell ref="A1040:D1040"/>
    <mergeCell ref="E1040:H1040"/>
    <mergeCell ref="I1040:J1040"/>
    <mergeCell ref="P1040:R1040"/>
    <mergeCell ref="S1040:V1040"/>
    <mergeCell ref="A1041:D1041"/>
    <mergeCell ref="E1041:J1041"/>
    <mergeCell ref="P1041:R1041"/>
    <mergeCell ref="S1041:V1041"/>
    <mergeCell ref="A1059:D1059"/>
    <mergeCell ref="E1059:J1059"/>
    <mergeCell ref="P1059:R1059"/>
    <mergeCell ref="S1059:V1059"/>
    <mergeCell ref="A1060:D1060"/>
    <mergeCell ref="E1060:J1060"/>
    <mergeCell ref="P1060:R1060"/>
    <mergeCell ref="S1060:V1060"/>
    <mergeCell ref="A1056:D1058"/>
    <mergeCell ref="E1056:V1056"/>
    <mergeCell ref="E1057:J1058"/>
    <mergeCell ref="K1057:L1057"/>
    <mergeCell ref="M1057:M1058"/>
    <mergeCell ref="N1057:V1057"/>
    <mergeCell ref="P1058:R1058"/>
    <mergeCell ref="S1058:V1058"/>
    <mergeCell ref="A1063:D1063"/>
    <mergeCell ref="E1063:J1063"/>
    <mergeCell ref="P1063:R1063"/>
    <mergeCell ref="S1063:V1063"/>
    <mergeCell ref="A1064:D1064"/>
    <mergeCell ref="E1064:J1064"/>
    <mergeCell ref="P1064:R1064"/>
    <mergeCell ref="S1064:V1064"/>
    <mergeCell ref="A1061:D1061"/>
    <mergeCell ref="E1061:J1061"/>
    <mergeCell ref="P1061:R1061"/>
    <mergeCell ref="S1061:V1061"/>
    <mergeCell ref="A1062:D1062"/>
    <mergeCell ref="E1062:J1062"/>
    <mergeCell ref="P1062:R1062"/>
    <mergeCell ref="S1062:V1062"/>
    <mergeCell ref="A1067:D1067"/>
    <mergeCell ref="E1067:J1067"/>
    <mergeCell ref="P1067:R1067"/>
    <mergeCell ref="S1067:V1067"/>
    <mergeCell ref="A1068:D1068"/>
    <mergeCell ref="E1068:J1068"/>
    <mergeCell ref="P1068:R1068"/>
    <mergeCell ref="S1068:V1068"/>
    <mergeCell ref="A1065:D1065"/>
    <mergeCell ref="E1065:J1065"/>
    <mergeCell ref="P1065:R1065"/>
    <mergeCell ref="S1065:V1065"/>
    <mergeCell ref="A1066:D1066"/>
    <mergeCell ref="E1066:J1066"/>
    <mergeCell ref="P1066:R1066"/>
    <mergeCell ref="S1066:V1066"/>
    <mergeCell ref="A1071:D1071"/>
    <mergeCell ref="E1071:J1071"/>
    <mergeCell ref="P1071:R1071"/>
    <mergeCell ref="S1071:V1071"/>
    <mergeCell ref="A1072:D1072"/>
    <mergeCell ref="E1072:J1072"/>
    <mergeCell ref="P1072:R1072"/>
    <mergeCell ref="S1072:V1072"/>
    <mergeCell ref="A1069:D1069"/>
    <mergeCell ref="E1069:J1069"/>
    <mergeCell ref="P1069:R1069"/>
    <mergeCell ref="S1069:V1069"/>
    <mergeCell ref="A1070:D1070"/>
    <mergeCell ref="E1070:J1070"/>
    <mergeCell ref="P1070:R1070"/>
    <mergeCell ref="S1070:V1070"/>
    <mergeCell ref="A1075:D1075"/>
    <mergeCell ref="E1075:J1075"/>
    <mergeCell ref="P1075:R1075"/>
    <mergeCell ref="S1075:V1075"/>
    <mergeCell ref="A1076:D1076"/>
    <mergeCell ref="E1076:J1076"/>
    <mergeCell ref="P1076:R1076"/>
    <mergeCell ref="S1076:V1076"/>
    <mergeCell ref="A1073:D1073"/>
    <mergeCell ref="E1073:J1073"/>
    <mergeCell ref="P1073:R1073"/>
    <mergeCell ref="S1073:V1073"/>
    <mergeCell ref="A1074:D1074"/>
    <mergeCell ref="E1074:J1074"/>
    <mergeCell ref="P1074:R1074"/>
    <mergeCell ref="S1074:V1074"/>
    <mergeCell ref="A1079:D1079"/>
    <mergeCell ref="E1079:J1079"/>
    <mergeCell ref="P1079:R1079"/>
    <mergeCell ref="S1079:V1079"/>
    <mergeCell ref="A1080:D1080"/>
    <mergeCell ref="E1080:J1080"/>
    <mergeCell ref="P1080:R1080"/>
    <mergeCell ref="S1080:V1080"/>
    <mergeCell ref="A1077:D1077"/>
    <mergeCell ref="E1077:J1077"/>
    <mergeCell ref="P1077:R1077"/>
    <mergeCell ref="S1077:V1077"/>
    <mergeCell ref="A1078:D1078"/>
    <mergeCell ref="E1078:J1078"/>
    <mergeCell ref="P1078:R1078"/>
    <mergeCell ref="S1078:V1078"/>
    <mergeCell ref="A1083:D1083"/>
    <mergeCell ref="E1083:J1083"/>
    <mergeCell ref="P1083:R1083"/>
    <mergeCell ref="S1083:V1083"/>
    <mergeCell ref="A1084:D1084"/>
    <mergeCell ref="E1084:J1084"/>
    <mergeCell ref="P1084:R1084"/>
    <mergeCell ref="S1084:V1084"/>
    <mergeCell ref="A1081:D1081"/>
    <mergeCell ref="E1081:J1081"/>
    <mergeCell ref="P1081:R1081"/>
    <mergeCell ref="S1081:V1081"/>
    <mergeCell ref="A1082:D1082"/>
    <mergeCell ref="E1082:J1082"/>
    <mergeCell ref="P1082:R1082"/>
    <mergeCell ref="S1082:V1082"/>
    <mergeCell ref="A1087:D1087"/>
    <mergeCell ref="E1087:H1087"/>
    <mergeCell ref="I1087:J1087"/>
    <mergeCell ref="P1087:R1087"/>
    <mergeCell ref="S1087:V1087"/>
    <mergeCell ref="A1088:D1088"/>
    <mergeCell ref="E1088:J1088"/>
    <mergeCell ref="P1088:R1088"/>
    <mergeCell ref="S1088:V1088"/>
    <mergeCell ref="A1085:D1085"/>
    <mergeCell ref="E1085:H1085"/>
    <mergeCell ref="I1085:J1085"/>
    <mergeCell ref="P1085:R1085"/>
    <mergeCell ref="S1085:V1085"/>
    <mergeCell ref="A1086:D1086"/>
    <mergeCell ref="E1086:H1086"/>
    <mergeCell ref="I1086:J1086"/>
    <mergeCell ref="P1086:R1086"/>
    <mergeCell ref="S1086:V1086"/>
    <mergeCell ref="A1103:D1105"/>
    <mergeCell ref="E1103:V1103"/>
    <mergeCell ref="E1104:J1105"/>
    <mergeCell ref="K1104:L1104"/>
    <mergeCell ref="M1104:M1105"/>
    <mergeCell ref="N1104:V1104"/>
    <mergeCell ref="P1105:R1105"/>
    <mergeCell ref="S1105:V1105"/>
    <mergeCell ref="A1089:M1089"/>
    <mergeCell ref="P1089:R1089"/>
    <mergeCell ref="S1089:V1089"/>
    <mergeCell ref="P1090:R1090"/>
    <mergeCell ref="S1090:V1090"/>
    <mergeCell ref="R1096:V1096"/>
    <mergeCell ref="T1097:V1097"/>
    <mergeCell ref="T1098:V1098"/>
    <mergeCell ref="B1101:C1101"/>
    <mergeCell ref="Q1101:R1101"/>
    <mergeCell ref="A1108:D1108"/>
    <mergeCell ref="E1108:J1108"/>
    <mergeCell ref="P1108:R1108"/>
    <mergeCell ref="S1108:V1108"/>
    <mergeCell ref="A1109:D1109"/>
    <mergeCell ref="E1109:J1109"/>
    <mergeCell ref="P1109:R1109"/>
    <mergeCell ref="S1109:V1109"/>
    <mergeCell ref="A1106:D1106"/>
    <mergeCell ref="E1106:J1106"/>
    <mergeCell ref="P1106:R1106"/>
    <mergeCell ref="S1106:V1106"/>
    <mergeCell ref="A1107:D1107"/>
    <mergeCell ref="E1107:J1107"/>
    <mergeCell ref="P1107:R1107"/>
    <mergeCell ref="S1107:V1107"/>
    <mergeCell ref="A1112:D1112"/>
    <mergeCell ref="E1112:J1112"/>
    <mergeCell ref="P1112:R1112"/>
    <mergeCell ref="S1112:V1112"/>
    <mergeCell ref="A1113:D1113"/>
    <mergeCell ref="E1113:J1113"/>
    <mergeCell ref="P1113:R1113"/>
    <mergeCell ref="S1113:V1113"/>
    <mergeCell ref="A1110:D1110"/>
    <mergeCell ref="E1110:J1110"/>
    <mergeCell ref="P1110:R1110"/>
    <mergeCell ref="S1110:V1110"/>
    <mergeCell ref="A1111:D1111"/>
    <mergeCell ref="E1111:J1111"/>
    <mergeCell ref="P1111:R1111"/>
    <mergeCell ref="S1111:V1111"/>
    <mergeCell ref="A1116:D1116"/>
    <mergeCell ref="E1116:J1116"/>
    <mergeCell ref="P1116:R1116"/>
    <mergeCell ref="S1116:V1116"/>
    <mergeCell ref="A1117:D1117"/>
    <mergeCell ref="E1117:J1117"/>
    <mergeCell ref="P1117:R1117"/>
    <mergeCell ref="S1117:V1117"/>
    <mergeCell ref="A1114:D1114"/>
    <mergeCell ref="E1114:J1114"/>
    <mergeCell ref="P1114:R1114"/>
    <mergeCell ref="S1114:V1114"/>
    <mergeCell ref="A1115:D1115"/>
    <mergeCell ref="E1115:J1115"/>
    <mergeCell ref="P1115:R1115"/>
    <mergeCell ref="S1115:V1115"/>
    <mergeCell ref="A1120:D1120"/>
    <mergeCell ref="E1120:J1120"/>
    <mergeCell ref="P1120:R1120"/>
    <mergeCell ref="S1120:V1120"/>
    <mergeCell ref="A1121:D1121"/>
    <mergeCell ref="E1121:J1121"/>
    <mergeCell ref="P1121:R1121"/>
    <mergeCell ref="S1121:V1121"/>
    <mergeCell ref="A1118:D1118"/>
    <mergeCell ref="E1118:J1118"/>
    <mergeCell ref="P1118:R1118"/>
    <mergeCell ref="S1118:V1118"/>
    <mergeCell ref="A1119:D1119"/>
    <mergeCell ref="E1119:J1119"/>
    <mergeCell ref="P1119:R1119"/>
    <mergeCell ref="S1119:V1119"/>
    <mergeCell ref="A1124:D1124"/>
    <mergeCell ref="E1124:J1124"/>
    <mergeCell ref="P1124:R1124"/>
    <mergeCell ref="S1124:V1124"/>
    <mergeCell ref="A1125:D1125"/>
    <mergeCell ref="E1125:J1125"/>
    <mergeCell ref="P1125:R1125"/>
    <mergeCell ref="S1125:V1125"/>
    <mergeCell ref="A1122:D1122"/>
    <mergeCell ref="E1122:J1122"/>
    <mergeCell ref="P1122:R1122"/>
    <mergeCell ref="S1122:V1122"/>
    <mergeCell ref="A1123:D1123"/>
    <mergeCell ref="E1123:J1123"/>
    <mergeCell ref="P1123:R1123"/>
    <mergeCell ref="S1123:V1123"/>
    <mergeCell ref="A1128:D1128"/>
    <mergeCell ref="E1128:J1128"/>
    <mergeCell ref="P1128:R1128"/>
    <mergeCell ref="S1128:V1128"/>
    <mergeCell ref="A1129:D1129"/>
    <mergeCell ref="E1129:J1129"/>
    <mergeCell ref="P1129:R1129"/>
    <mergeCell ref="S1129:V1129"/>
    <mergeCell ref="A1126:D1126"/>
    <mergeCell ref="E1126:J1126"/>
    <mergeCell ref="P1126:R1126"/>
    <mergeCell ref="S1126:V1126"/>
    <mergeCell ref="A1127:D1127"/>
    <mergeCell ref="E1127:J1127"/>
    <mergeCell ref="P1127:R1127"/>
    <mergeCell ref="S1127:V1127"/>
    <mergeCell ref="A1132:D1132"/>
    <mergeCell ref="E1132:H1132"/>
    <mergeCell ref="I1132:J1132"/>
    <mergeCell ref="P1132:R1132"/>
    <mergeCell ref="S1132:V1132"/>
    <mergeCell ref="A1133:D1133"/>
    <mergeCell ref="E1133:H1133"/>
    <mergeCell ref="I1133:J1133"/>
    <mergeCell ref="P1133:R1133"/>
    <mergeCell ref="S1133:V1133"/>
    <mergeCell ref="A1130:D1130"/>
    <mergeCell ref="E1130:J1130"/>
    <mergeCell ref="P1130:R1130"/>
    <mergeCell ref="S1130:V1130"/>
    <mergeCell ref="A1131:D1131"/>
    <mergeCell ref="E1131:J1131"/>
    <mergeCell ref="P1131:R1131"/>
    <mergeCell ref="S1131:V1131"/>
    <mergeCell ref="A1136:M1136"/>
    <mergeCell ref="P1136:R1136"/>
    <mergeCell ref="S1136:V1136"/>
    <mergeCell ref="P1137:R1137"/>
    <mergeCell ref="S1137:V1137"/>
    <mergeCell ref="R1143:V1143"/>
    <mergeCell ref="T1144:V1144"/>
    <mergeCell ref="T1145:V1145"/>
    <mergeCell ref="B1148:C1148"/>
    <mergeCell ref="Q1148:R1148"/>
    <mergeCell ref="A1134:D1134"/>
    <mergeCell ref="E1134:H1134"/>
    <mergeCell ref="I1134:J1134"/>
    <mergeCell ref="P1134:R1134"/>
    <mergeCell ref="S1134:V1134"/>
    <mergeCell ref="A1135:D1135"/>
    <mergeCell ref="E1135:J1135"/>
    <mergeCell ref="P1135:R1135"/>
    <mergeCell ref="S1135:V1135"/>
    <mergeCell ref="A1153:D1153"/>
    <mergeCell ref="E1153:J1153"/>
    <mergeCell ref="P1153:R1153"/>
    <mergeCell ref="S1153:V1153"/>
    <mergeCell ref="A1154:D1154"/>
    <mergeCell ref="E1154:J1154"/>
    <mergeCell ref="P1154:R1154"/>
    <mergeCell ref="S1154:V1154"/>
    <mergeCell ref="A1150:D1152"/>
    <mergeCell ref="E1150:V1150"/>
    <mergeCell ref="E1151:J1152"/>
    <mergeCell ref="K1151:L1151"/>
    <mergeCell ref="M1151:M1152"/>
    <mergeCell ref="N1151:V1151"/>
    <mergeCell ref="P1152:R1152"/>
    <mergeCell ref="S1152:V1152"/>
    <mergeCell ref="A1157:D1157"/>
    <mergeCell ref="E1157:J1157"/>
    <mergeCell ref="P1157:R1157"/>
    <mergeCell ref="S1157:V1157"/>
    <mergeCell ref="A1158:D1158"/>
    <mergeCell ref="E1158:J1158"/>
    <mergeCell ref="P1158:R1158"/>
    <mergeCell ref="S1158:V1158"/>
    <mergeCell ref="A1155:D1155"/>
    <mergeCell ref="E1155:J1155"/>
    <mergeCell ref="P1155:R1155"/>
    <mergeCell ref="S1155:V1155"/>
    <mergeCell ref="A1156:D1156"/>
    <mergeCell ref="E1156:J1156"/>
    <mergeCell ref="P1156:R1156"/>
    <mergeCell ref="S1156:V1156"/>
    <mergeCell ref="A1161:D1161"/>
    <mergeCell ref="E1161:J1161"/>
    <mergeCell ref="P1161:R1161"/>
    <mergeCell ref="S1161:V1161"/>
    <mergeCell ref="A1162:D1162"/>
    <mergeCell ref="E1162:J1162"/>
    <mergeCell ref="P1162:R1162"/>
    <mergeCell ref="S1162:V1162"/>
    <mergeCell ref="A1159:D1159"/>
    <mergeCell ref="E1159:J1159"/>
    <mergeCell ref="P1159:R1159"/>
    <mergeCell ref="S1159:V1159"/>
    <mergeCell ref="A1160:D1160"/>
    <mergeCell ref="E1160:J1160"/>
    <mergeCell ref="P1160:R1160"/>
    <mergeCell ref="S1160:V1160"/>
    <mergeCell ref="A1165:D1165"/>
    <mergeCell ref="E1165:J1165"/>
    <mergeCell ref="P1165:R1165"/>
    <mergeCell ref="S1165:V1165"/>
    <mergeCell ref="A1166:D1166"/>
    <mergeCell ref="E1166:J1166"/>
    <mergeCell ref="P1166:R1166"/>
    <mergeCell ref="S1166:V1166"/>
    <mergeCell ref="A1163:D1163"/>
    <mergeCell ref="E1163:J1163"/>
    <mergeCell ref="P1163:R1163"/>
    <mergeCell ref="S1163:V1163"/>
    <mergeCell ref="A1164:D1164"/>
    <mergeCell ref="E1164:J1164"/>
    <mergeCell ref="P1164:R1164"/>
    <mergeCell ref="S1164:V1164"/>
    <mergeCell ref="A1169:D1169"/>
    <mergeCell ref="E1169:J1169"/>
    <mergeCell ref="P1169:R1169"/>
    <mergeCell ref="S1169:V1169"/>
    <mergeCell ref="A1170:D1170"/>
    <mergeCell ref="E1170:J1170"/>
    <mergeCell ref="P1170:R1170"/>
    <mergeCell ref="S1170:V1170"/>
    <mergeCell ref="A1167:D1167"/>
    <mergeCell ref="E1167:J1167"/>
    <mergeCell ref="P1167:R1167"/>
    <mergeCell ref="S1167:V1167"/>
    <mergeCell ref="A1168:D1168"/>
    <mergeCell ref="E1168:J1168"/>
    <mergeCell ref="P1168:R1168"/>
    <mergeCell ref="S1168:V1168"/>
    <mergeCell ref="A1173:D1173"/>
    <mergeCell ref="E1173:J1173"/>
    <mergeCell ref="P1173:R1173"/>
    <mergeCell ref="S1173:V1173"/>
    <mergeCell ref="A1174:D1174"/>
    <mergeCell ref="E1174:J1174"/>
    <mergeCell ref="P1174:R1174"/>
    <mergeCell ref="S1174:V1174"/>
    <mergeCell ref="A1171:D1171"/>
    <mergeCell ref="E1171:J1171"/>
    <mergeCell ref="P1171:R1171"/>
    <mergeCell ref="S1171:V1171"/>
    <mergeCell ref="A1172:D1172"/>
    <mergeCell ref="E1172:J1172"/>
    <mergeCell ref="P1172:R1172"/>
    <mergeCell ref="S1172:V1172"/>
    <mergeCell ref="A1177:D1177"/>
    <mergeCell ref="E1177:J1177"/>
    <mergeCell ref="P1177:R1177"/>
    <mergeCell ref="S1177:V1177"/>
    <mergeCell ref="A1178:D1178"/>
    <mergeCell ref="E1178:J1178"/>
    <mergeCell ref="P1178:R1178"/>
    <mergeCell ref="S1178:V1178"/>
    <mergeCell ref="A1175:D1175"/>
    <mergeCell ref="E1175:J1175"/>
    <mergeCell ref="P1175:R1175"/>
    <mergeCell ref="S1175:V1175"/>
    <mergeCell ref="A1176:D1176"/>
    <mergeCell ref="E1176:J1176"/>
    <mergeCell ref="P1176:R1176"/>
    <mergeCell ref="S1176:V1176"/>
    <mergeCell ref="A1183:M1183"/>
    <mergeCell ref="P1183:R1183"/>
    <mergeCell ref="S1183:V1183"/>
    <mergeCell ref="P1184:R1184"/>
    <mergeCell ref="S1184:V1184"/>
    <mergeCell ref="A1181:D1181"/>
    <mergeCell ref="E1181:H1181"/>
    <mergeCell ref="I1181:J1181"/>
    <mergeCell ref="P1181:R1181"/>
    <mergeCell ref="S1181:V1181"/>
    <mergeCell ref="A1182:D1182"/>
    <mergeCell ref="E1182:J1182"/>
    <mergeCell ref="P1182:R1182"/>
    <mergeCell ref="S1182:V1182"/>
    <mergeCell ref="A1179:D1179"/>
    <mergeCell ref="E1179:H1179"/>
    <mergeCell ref="I1179:J1179"/>
    <mergeCell ref="P1179:R1179"/>
    <mergeCell ref="S1179:V1179"/>
    <mergeCell ref="A1180:D1180"/>
    <mergeCell ref="E1180:H1180"/>
    <mergeCell ref="I1180:J1180"/>
    <mergeCell ref="P1180:R1180"/>
    <mergeCell ref="S1180:V1180"/>
    <mergeCell ref="A44:D44"/>
    <mergeCell ref="E44:J44"/>
    <mergeCell ref="P44:R44"/>
    <mergeCell ref="S44:V44"/>
    <mergeCell ref="A35:D35"/>
    <mergeCell ref="E35:J35"/>
    <mergeCell ref="P35:R35"/>
    <mergeCell ref="S35:V35"/>
    <mergeCell ref="A36:D36"/>
    <mergeCell ref="E36:J36"/>
    <mergeCell ref="P36:R36"/>
    <mergeCell ref="S36:V36"/>
    <mergeCell ref="A37:D37"/>
    <mergeCell ref="E37:J37"/>
    <mergeCell ref="P37:R37"/>
    <mergeCell ref="S37:V37"/>
    <mergeCell ref="A38:D38"/>
    <mergeCell ref="E38:J38"/>
    <mergeCell ref="P38:R38"/>
    <mergeCell ref="S38:V38"/>
    <mergeCell ref="A39:D39"/>
    <mergeCell ref="E39:J39"/>
    <mergeCell ref="P39:R39"/>
    <mergeCell ref="S39:V39"/>
    <mergeCell ref="A45:D45"/>
    <mergeCell ref="E45:J45"/>
    <mergeCell ref="P45:R45"/>
    <mergeCell ref="S45:V45"/>
    <mergeCell ref="A46:D46"/>
    <mergeCell ref="E46:J46"/>
    <mergeCell ref="P46:R46"/>
    <mergeCell ref="S46:V46"/>
    <mergeCell ref="A47:D47"/>
    <mergeCell ref="E47:J47"/>
    <mergeCell ref="P47:R47"/>
    <mergeCell ref="S47:V47"/>
    <mergeCell ref="A48:D48"/>
    <mergeCell ref="E48:J48"/>
    <mergeCell ref="P48:R48"/>
    <mergeCell ref="S48:V48"/>
    <mergeCell ref="A40:D40"/>
    <mergeCell ref="E40:J40"/>
    <mergeCell ref="P40:R40"/>
    <mergeCell ref="S40:V40"/>
    <mergeCell ref="A41:D41"/>
    <mergeCell ref="E41:J41"/>
    <mergeCell ref="P41:R41"/>
    <mergeCell ref="S41:V41"/>
    <mergeCell ref="A42:D42"/>
    <mergeCell ref="E42:J42"/>
    <mergeCell ref="P42:R42"/>
    <mergeCell ref="S42:V42"/>
    <mergeCell ref="A43:D43"/>
    <mergeCell ref="E43:J43"/>
    <mergeCell ref="P43:R43"/>
    <mergeCell ref="S43:V43"/>
  </mergeCells>
  <printOptions horizontalCentered="1"/>
  <pageMargins left="0.25" right="0.25" top="0.75" bottom="1.5" header="0.3" footer="0.3"/>
  <pageSetup paperSize="14" scale="75" orientation="portrait" horizontalDpi="300" verticalDpi="300" r:id="rId1"/>
  <rowBreaks count="24" manualBreakCount="24">
    <brk id="61" max="16383" man="1"/>
    <brk id="108" max="16383" man="1"/>
    <brk id="155" max="16383" man="1"/>
    <brk id="202" max="16383" man="1"/>
    <brk id="249" max="16383" man="1"/>
    <brk id="296" max="16383" man="1"/>
    <brk id="343" max="16383" man="1"/>
    <brk id="390" max="16383" man="1"/>
    <brk id="437" max="16383" man="1"/>
    <brk id="484" max="16383" man="1"/>
    <brk id="531" max="16383" man="1"/>
    <brk id="578" max="16383" man="1"/>
    <brk id="625" max="16383" man="1"/>
    <brk id="672" max="16383" man="1"/>
    <brk id="719" max="16383" man="1"/>
    <brk id="766" max="16383" man="1"/>
    <brk id="813" max="16383" man="1"/>
    <brk id="860" max="16383" man="1"/>
    <brk id="907" max="16383" man="1"/>
    <brk id="954" max="16383" man="1"/>
    <brk id="1001" max="16383" man="1"/>
    <brk id="1048" max="16383" man="1"/>
    <brk id="1095" max="16383" man="1"/>
    <brk id="1142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3">
    <tabColor rgb="FF008000"/>
  </sheetPr>
  <dimension ref="A1:L146"/>
  <sheetViews>
    <sheetView showZeros="0" view="pageBreakPreview" topLeftCell="A127" zoomScale="115" zoomScaleNormal="85" zoomScaleSheetLayoutView="115" workbookViewId="0">
      <selection activeCell="H135" sqref="H135"/>
    </sheetView>
  </sheetViews>
  <sheetFormatPr defaultColWidth="9" defaultRowHeight="15.75" x14ac:dyDescent="0.25"/>
  <cols>
    <col min="1" max="1" width="9.875" style="538" bestFit="1" customWidth="1"/>
    <col min="2" max="2" width="8" style="24" customWidth="1"/>
    <col min="3" max="3" width="5.875" style="24" customWidth="1"/>
    <col min="4" max="5" width="6" style="24" customWidth="1"/>
    <col min="6" max="6" width="5.5" style="24" customWidth="1"/>
    <col min="7" max="7" width="34" style="713" customWidth="1"/>
    <col min="8" max="8" width="30.25" style="25" customWidth="1"/>
    <col min="9" max="9" width="10.875" style="186" customWidth="1"/>
    <col min="10" max="10" width="13.5" style="9" customWidth="1"/>
    <col min="11" max="11" width="14.25" style="9" customWidth="1"/>
    <col min="12" max="12" width="17.375" style="25" customWidth="1"/>
    <col min="13" max="15" width="9" style="25"/>
    <col min="16" max="16" width="9.625" style="25" bestFit="1" customWidth="1"/>
    <col min="17" max="17" width="10.875" style="25" bestFit="1" customWidth="1"/>
    <col min="18" max="19" width="9.125" style="25" bestFit="1" customWidth="1"/>
    <col min="20" max="20" width="9.625" style="25" bestFit="1" customWidth="1"/>
    <col min="21" max="21" width="9.625" style="25" customWidth="1"/>
    <col min="22" max="22" width="11.5" style="25" customWidth="1"/>
    <col min="23" max="16384" width="9" style="25"/>
  </cols>
  <sheetData>
    <row r="1" spans="1:12" s="759" customFormat="1" ht="27.75" x14ac:dyDescent="0.5">
      <c r="A1" s="753" t="s">
        <v>355</v>
      </c>
      <c r="B1" s="754"/>
      <c r="C1" s="754"/>
      <c r="D1" s="754"/>
      <c r="E1" s="754"/>
      <c r="F1" s="754"/>
      <c r="G1" s="755"/>
      <c r="H1" s="756"/>
      <c r="I1" s="757"/>
      <c r="J1" s="758"/>
      <c r="K1" s="758"/>
    </row>
    <row r="2" spans="1:12" s="759" customFormat="1" ht="15" customHeight="1" x14ac:dyDescent="0.5">
      <c r="A2" s="753"/>
      <c r="B2" s="754"/>
      <c r="C2" s="754"/>
      <c r="D2" s="754"/>
      <c r="E2" s="754"/>
      <c r="F2" s="754"/>
      <c r="G2" s="755"/>
      <c r="H2" s="756"/>
      <c r="I2" s="757"/>
      <c r="J2" s="758"/>
      <c r="K2" s="758"/>
    </row>
    <row r="3" spans="1:12" ht="19.5" x14ac:dyDescent="0.3">
      <c r="A3" s="539" t="s">
        <v>1634</v>
      </c>
      <c r="B3" s="101"/>
      <c r="C3" s="101"/>
      <c r="D3" s="101"/>
      <c r="E3" s="101"/>
      <c r="F3" s="101"/>
      <c r="G3" s="712"/>
      <c r="H3" s="102"/>
      <c r="I3" s="183"/>
      <c r="J3" s="103"/>
      <c r="K3" s="103"/>
    </row>
    <row r="5" spans="1:12" ht="16.5" x14ac:dyDescent="0.25">
      <c r="A5" s="540" t="s">
        <v>1538</v>
      </c>
      <c r="B5" s="101"/>
      <c r="C5" s="101"/>
      <c r="D5" s="101"/>
      <c r="E5" s="101"/>
      <c r="F5" s="101"/>
      <c r="G5" s="712"/>
      <c r="H5" s="102"/>
      <c r="I5" s="183"/>
      <c r="J5" s="103"/>
      <c r="K5" s="103"/>
    </row>
    <row r="6" spans="1:12" ht="16.5" x14ac:dyDescent="0.25">
      <c r="A6" s="540" t="str">
        <f>Account!$G$1</f>
        <v>FUND 501 CARP</v>
      </c>
      <c r="B6" s="101"/>
      <c r="C6" s="101"/>
      <c r="D6" s="101"/>
      <c r="E6" s="101"/>
      <c r="F6" s="101"/>
      <c r="G6" s="712"/>
      <c r="H6" s="102"/>
      <c r="I6" s="183"/>
      <c r="J6" s="103"/>
      <c r="K6" s="103"/>
    </row>
    <row r="7" spans="1:12" ht="16.5" x14ac:dyDescent="0.25">
      <c r="A7" s="798">
        <f>Account!$G$2</f>
        <v>44500</v>
      </c>
      <c r="B7" s="101"/>
      <c r="C7" s="101"/>
      <c r="D7" s="101"/>
      <c r="E7" s="101"/>
      <c r="F7" s="101"/>
      <c r="G7" s="712"/>
      <c r="H7" s="102"/>
      <c r="I7" s="183"/>
      <c r="J7" s="103"/>
      <c r="K7" s="103"/>
    </row>
    <row r="9" spans="1:12" ht="31.5" x14ac:dyDescent="0.25">
      <c r="A9" s="535" t="s">
        <v>0</v>
      </c>
      <c r="B9" s="153" t="s">
        <v>722</v>
      </c>
      <c r="C9" s="153" t="s">
        <v>718</v>
      </c>
      <c r="D9" s="153" t="s">
        <v>740</v>
      </c>
      <c r="E9" s="153" t="s">
        <v>723</v>
      </c>
      <c r="F9" s="153" t="s">
        <v>728</v>
      </c>
      <c r="G9" s="153" t="s">
        <v>440</v>
      </c>
      <c r="H9" s="156" t="s">
        <v>369</v>
      </c>
      <c r="I9" s="184" t="s">
        <v>370</v>
      </c>
      <c r="J9" s="157" t="s">
        <v>1</v>
      </c>
      <c r="K9" s="157" t="s">
        <v>2</v>
      </c>
      <c r="L9" s="155" t="s">
        <v>724</v>
      </c>
    </row>
    <row r="10" spans="1:12" ht="27.75" customHeight="1" x14ac:dyDescent="0.25">
      <c r="A10" s="541">
        <v>44620</v>
      </c>
      <c r="B10" s="663" t="s">
        <v>1710</v>
      </c>
      <c r="C10" s="664" t="s">
        <v>762</v>
      </c>
      <c r="D10" s="664" t="s">
        <v>1526</v>
      </c>
      <c r="E10" s="494"/>
      <c r="F10" s="495"/>
      <c r="G10" s="143" t="s">
        <v>1721</v>
      </c>
      <c r="H10" s="3" t="str">
        <f>IF(I10=0,"",(INDEX(AccountCodes[ACCOUNT NAME],MATCH(I10,AccountCodes[NGAS CODE],0))))</f>
        <v>Cash in Bank-Local Currency, Current Account - FO</v>
      </c>
      <c r="I10" s="957" t="s">
        <v>1566</v>
      </c>
      <c r="J10" s="497">
        <v>184712.92</v>
      </c>
      <c r="K10" s="497"/>
      <c r="L10" s="150">
        <f>J10-K10</f>
        <v>184712.92</v>
      </c>
    </row>
    <row r="11" spans="1:12" ht="25.5" x14ac:dyDescent="0.25">
      <c r="A11" s="541">
        <v>44620</v>
      </c>
      <c r="B11" s="663" t="s">
        <v>1710</v>
      </c>
      <c r="C11" s="664" t="s">
        <v>762</v>
      </c>
      <c r="D11" s="664" t="s">
        <v>1526</v>
      </c>
      <c r="E11" s="494"/>
      <c r="F11" s="495"/>
      <c r="G11" s="143" t="s">
        <v>1721</v>
      </c>
      <c r="H11" s="3" t="str">
        <f>IF(I11=0,"",(INDEX(AccountCodes[ACCOUNT NAME],MATCH(I11,AccountCodes[NGAS CODE],0))))</f>
        <v>Cash in Bank-Local Currency, Current Account - RO</v>
      </c>
      <c r="I11" s="957" t="s">
        <v>1556</v>
      </c>
      <c r="J11" s="497"/>
      <c r="K11" s="497">
        <v>184712.92</v>
      </c>
      <c r="L11" s="150">
        <f>L10+J11-K11</f>
        <v>0</v>
      </c>
    </row>
    <row r="12" spans="1:12" ht="25.5" x14ac:dyDescent="0.25">
      <c r="A12" s="541">
        <v>44651</v>
      </c>
      <c r="B12" s="663" t="s">
        <v>1751</v>
      </c>
      <c r="C12" s="664" t="s">
        <v>762</v>
      </c>
      <c r="D12" s="664" t="s">
        <v>1526</v>
      </c>
      <c r="E12" s="494"/>
      <c r="F12" s="495"/>
      <c r="G12" s="665" t="s">
        <v>1748</v>
      </c>
      <c r="H12" s="3" t="str">
        <f>IF(I12=0,"",(INDEX(AccountCodes[ACCOUNT NAME],MATCH(I12,AccountCodes[NGAS CODE],0))))</f>
        <v>Cash in Bank-Local Currency, Current Account - FO</v>
      </c>
      <c r="I12" s="185" t="s">
        <v>1566</v>
      </c>
      <c r="J12" s="817">
        <v>332.86</v>
      </c>
      <c r="K12" s="497"/>
      <c r="L12" s="498">
        <f>L11+J12-K12</f>
        <v>332.86</v>
      </c>
    </row>
    <row r="13" spans="1:12" ht="25.5" x14ac:dyDescent="0.25">
      <c r="A13" s="541">
        <v>44651</v>
      </c>
      <c r="B13" s="663" t="s">
        <v>1751</v>
      </c>
      <c r="C13" s="664" t="s">
        <v>762</v>
      </c>
      <c r="D13" s="664" t="s">
        <v>1526</v>
      </c>
      <c r="E13" s="663"/>
      <c r="F13" s="664"/>
      <c r="G13" s="665" t="s">
        <v>1748</v>
      </c>
      <c r="H13" s="3" t="str">
        <f>IF(I13=0,"",(INDEX(AccountCodes[ACCOUNT NAME],MATCH(I13,AccountCodes[NGAS CODE],0))))</f>
        <v>Due to the Treasurer of the Philippines</v>
      </c>
      <c r="I13" s="185" t="s">
        <v>1496</v>
      </c>
      <c r="J13" s="667"/>
      <c r="K13" s="817">
        <v>332.86</v>
      </c>
      <c r="L13" s="152">
        <f t="shared" ref="L13:L22" si="0">L12+J13-K13</f>
        <v>0</v>
      </c>
    </row>
    <row r="14" spans="1:12" ht="25.5" x14ac:dyDescent="0.25">
      <c r="A14" s="541">
        <v>44651</v>
      </c>
      <c r="B14" s="663" t="s">
        <v>1751</v>
      </c>
      <c r="C14" s="664" t="s">
        <v>762</v>
      </c>
      <c r="D14" s="664" t="s">
        <v>1526</v>
      </c>
      <c r="E14" s="663"/>
      <c r="F14" s="664"/>
      <c r="G14" s="143" t="s">
        <v>1750</v>
      </c>
      <c r="H14" s="3" t="str">
        <f>IF(I14=0,"",(INDEX(AccountCodes[ACCOUNT NAME],MATCH(I14,AccountCodes[NGAS CODE],0))))</f>
        <v>Cash in Bank-Local Currency, Current Account - FO</v>
      </c>
      <c r="I14" s="957" t="s">
        <v>1566</v>
      </c>
      <c r="J14" s="667">
        <v>86356.46</v>
      </c>
      <c r="K14" s="667"/>
      <c r="L14" s="152">
        <f t="shared" si="0"/>
        <v>86356.46</v>
      </c>
    </row>
    <row r="15" spans="1:12" ht="25.5" x14ac:dyDescent="0.25">
      <c r="A15" s="541">
        <v>44651</v>
      </c>
      <c r="B15" s="663" t="s">
        <v>1751</v>
      </c>
      <c r="C15" s="664" t="s">
        <v>762</v>
      </c>
      <c r="D15" s="664" t="s">
        <v>1526</v>
      </c>
      <c r="E15" s="663"/>
      <c r="F15" s="664"/>
      <c r="G15" s="143" t="s">
        <v>1750</v>
      </c>
      <c r="H15" s="3" t="str">
        <f>IF(I15=0,"",(INDEX(AccountCodes[ACCOUNT NAME],MATCH(I15,AccountCodes[NGAS CODE],0))))</f>
        <v>Cash in Bank-Local Currency, Current Account - RO</v>
      </c>
      <c r="I15" s="185" t="s">
        <v>1556</v>
      </c>
      <c r="J15" s="667"/>
      <c r="K15" s="667">
        <v>86356.46</v>
      </c>
      <c r="L15" s="152">
        <f t="shared" si="0"/>
        <v>0</v>
      </c>
    </row>
    <row r="16" spans="1:12" ht="25.5" x14ac:dyDescent="0.25">
      <c r="A16" s="541">
        <v>44681</v>
      </c>
      <c r="B16" s="145" t="s">
        <v>1753</v>
      </c>
      <c r="C16" s="664" t="s">
        <v>762</v>
      </c>
      <c r="D16" s="664" t="s">
        <v>1526</v>
      </c>
      <c r="E16" s="145"/>
      <c r="F16" s="137"/>
      <c r="G16" s="143" t="s">
        <v>1773</v>
      </c>
      <c r="H16" s="3" t="str">
        <f>IF(I16=0,"",(INDEX(AccountCodes[ACCOUNT NAME],MATCH(I16,AccountCodes[NGAS CODE],0))))</f>
        <v>Cash in Bank-Local Currency, Current Account - FO</v>
      </c>
      <c r="I16" s="957" t="s">
        <v>1566</v>
      </c>
      <c r="J16" s="667">
        <v>641250</v>
      </c>
      <c r="K16" s="667"/>
      <c r="L16" s="150">
        <f t="shared" si="0"/>
        <v>641250</v>
      </c>
    </row>
    <row r="17" spans="1:12" ht="25.5" x14ac:dyDescent="0.25">
      <c r="A17" s="541">
        <v>44681</v>
      </c>
      <c r="B17" s="145" t="s">
        <v>1753</v>
      </c>
      <c r="C17" s="664" t="s">
        <v>762</v>
      </c>
      <c r="D17" s="664" t="s">
        <v>1526</v>
      </c>
      <c r="E17" s="145"/>
      <c r="F17" s="137"/>
      <c r="G17" s="143" t="s">
        <v>1773</v>
      </c>
      <c r="H17" s="3" t="str">
        <f>IF(I17=0,"",(INDEX(AccountCodes[ACCOUNT NAME],MATCH(I17,AccountCodes[NGAS CODE],0))))</f>
        <v>Cash in Bank-Local Currency, Current Account - RO</v>
      </c>
      <c r="I17" s="185" t="s">
        <v>1556</v>
      </c>
      <c r="J17" s="144"/>
      <c r="K17" s="144">
        <v>641250</v>
      </c>
      <c r="L17" s="150">
        <f t="shared" si="0"/>
        <v>0</v>
      </c>
    </row>
    <row r="18" spans="1:12" ht="25.5" x14ac:dyDescent="0.25">
      <c r="A18" s="541">
        <v>44681</v>
      </c>
      <c r="B18" s="145" t="s">
        <v>1753</v>
      </c>
      <c r="C18" s="137" t="s">
        <v>762</v>
      </c>
      <c r="D18" s="137" t="s">
        <v>1526</v>
      </c>
      <c r="E18" s="145"/>
      <c r="F18" s="137"/>
      <c r="G18" s="143" t="s">
        <v>1773</v>
      </c>
      <c r="H18" s="3" t="str">
        <f>IF(I18=0,"",(INDEX(AccountCodes[ACCOUNT NAME],MATCH(I18,AccountCodes[NGAS CODE],0))))</f>
        <v>Cash in Bank-Local Currency, Current Account - FO</v>
      </c>
      <c r="I18" s="185" t="s">
        <v>1566</v>
      </c>
      <c r="J18" s="144">
        <v>1710000</v>
      </c>
      <c r="K18" s="144"/>
      <c r="L18" s="150">
        <f t="shared" si="0"/>
        <v>1710000</v>
      </c>
    </row>
    <row r="19" spans="1:12" ht="25.5" x14ac:dyDescent="0.25">
      <c r="A19" s="541">
        <v>44681</v>
      </c>
      <c r="B19" s="145" t="s">
        <v>1753</v>
      </c>
      <c r="C19" s="137" t="s">
        <v>762</v>
      </c>
      <c r="D19" s="137" t="s">
        <v>1526</v>
      </c>
      <c r="E19" s="145"/>
      <c r="F19" s="137"/>
      <c r="G19" s="143" t="s">
        <v>1773</v>
      </c>
      <c r="H19" s="3" t="str">
        <f>IF(I19=0,"",(INDEX(AccountCodes[ACCOUNT NAME],MATCH(I19,AccountCodes[NGAS CODE],0))))</f>
        <v>Cash in Bank-Local Currency, Current Account - RO</v>
      </c>
      <c r="I19" s="185" t="s">
        <v>1556</v>
      </c>
      <c r="J19" s="144"/>
      <c r="K19" s="144">
        <v>1710000</v>
      </c>
      <c r="L19" s="150">
        <f t="shared" si="0"/>
        <v>0</v>
      </c>
    </row>
    <row r="20" spans="1:12" ht="25.5" x14ac:dyDescent="0.25">
      <c r="A20" s="951">
        <v>44681</v>
      </c>
      <c r="B20" s="663" t="s">
        <v>1753</v>
      </c>
      <c r="C20" s="137" t="s">
        <v>762</v>
      </c>
      <c r="D20" s="137" t="s">
        <v>1526</v>
      </c>
      <c r="E20" s="145"/>
      <c r="F20" s="137"/>
      <c r="G20" s="143" t="s">
        <v>1773</v>
      </c>
      <c r="H20" s="3" t="str">
        <f>IF(I20=0,"",(INDEX(AccountCodes[ACCOUNT NAME],MATCH(I20,AccountCodes[NGAS CODE],0))))</f>
        <v>Cash in Bank-Local Currency, Current Account - FO</v>
      </c>
      <c r="I20" s="185" t="s">
        <v>1566</v>
      </c>
      <c r="J20" s="144">
        <v>45000</v>
      </c>
      <c r="K20" s="144"/>
      <c r="L20" s="150">
        <f t="shared" si="0"/>
        <v>45000</v>
      </c>
    </row>
    <row r="21" spans="1:12" ht="25.5" x14ac:dyDescent="0.25">
      <c r="A21" s="951">
        <v>44681</v>
      </c>
      <c r="B21" s="663" t="s">
        <v>1753</v>
      </c>
      <c r="C21" s="137" t="s">
        <v>762</v>
      </c>
      <c r="D21" s="137" t="s">
        <v>1526</v>
      </c>
      <c r="E21" s="663"/>
      <c r="F21" s="664"/>
      <c r="G21" s="143" t="s">
        <v>1773</v>
      </c>
      <c r="H21" s="3" t="str">
        <f>IF(I21=0,"",(INDEX(AccountCodes[ACCOUNT NAME],MATCH(I21,AccountCodes[NGAS CODE],0))))</f>
        <v>Cash in Bank-Local Currency, Current Account - RO</v>
      </c>
      <c r="I21" s="185" t="s">
        <v>1556</v>
      </c>
      <c r="J21" s="667"/>
      <c r="K21" s="667">
        <v>45000</v>
      </c>
      <c r="L21" s="152">
        <f t="shared" si="0"/>
        <v>0</v>
      </c>
    </row>
    <row r="22" spans="1:12" ht="25.5" x14ac:dyDescent="0.25">
      <c r="A22" s="951">
        <v>44681</v>
      </c>
      <c r="B22" s="663" t="s">
        <v>1753</v>
      </c>
      <c r="C22" s="137" t="s">
        <v>762</v>
      </c>
      <c r="D22" s="137" t="s">
        <v>1526</v>
      </c>
      <c r="E22" s="663"/>
      <c r="F22" s="664"/>
      <c r="G22" s="143" t="s">
        <v>1773</v>
      </c>
      <c r="H22" s="3" t="str">
        <f>IF(I22=0,"",(INDEX(AccountCodes[ACCOUNT NAME],MATCH(I22,AccountCodes[NGAS CODE],0))))</f>
        <v>Cash in Bank-Local Currency, Current Account - FO</v>
      </c>
      <c r="I22" s="185" t="s">
        <v>1566</v>
      </c>
      <c r="J22" s="667">
        <v>96774.62</v>
      </c>
      <c r="K22" s="667"/>
      <c r="L22" s="152">
        <f t="shared" si="0"/>
        <v>96774.62</v>
      </c>
    </row>
    <row r="23" spans="1:12" ht="25.5" x14ac:dyDescent="0.25">
      <c r="A23" s="951">
        <v>44681</v>
      </c>
      <c r="B23" s="663" t="s">
        <v>1753</v>
      </c>
      <c r="C23" s="137" t="s">
        <v>762</v>
      </c>
      <c r="D23" s="137" t="s">
        <v>1526</v>
      </c>
      <c r="E23" s="663"/>
      <c r="F23" s="664"/>
      <c r="G23" s="143" t="s">
        <v>1773</v>
      </c>
      <c r="H23" s="3" t="str">
        <f>IF(I23=0,"",(INDEX(AccountCodes[ACCOUNT NAME],MATCH(I23,AccountCodes[NGAS CODE],0))))</f>
        <v>Cash in Bank-Local Currency, Current Account - RO</v>
      </c>
      <c r="I23" s="185" t="s">
        <v>1556</v>
      </c>
      <c r="J23" s="144"/>
      <c r="K23" s="144">
        <v>96774.62</v>
      </c>
      <c r="L23" s="150">
        <f t="shared" ref="L23:L29" si="1">L22+J23-K23</f>
        <v>0</v>
      </c>
    </row>
    <row r="24" spans="1:12" ht="25.5" x14ac:dyDescent="0.25">
      <c r="A24" s="951">
        <v>44681</v>
      </c>
      <c r="B24" s="663" t="s">
        <v>1753</v>
      </c>
      <c r="C24" s="137" t="s">
        <v>762</v>
      </c>
      <c r="D24" s="137" t="s">
        <v>1526</v>
      </c>
      <c r="E24" s="663"/>
      <c r="F24" s="664"/>
      <c r="G24" s="143" t="s">
        <v>1774</v>
      </c>
      <c r="H24" s="3" t="str">
        <f>IF(I24=0,"",(INDEX(AccountCodes[ACCOUNT NAME],MATCH(I24,AccountCodes[NGAS CODE],0))))</f>
        <v>Depreciation-Machinery and Equipment - Office Equipment</v>
      </c>
      <c r="I24" s="185" t="s">
        <v>278</v>
      </c>
      <c r="J24" s="144">
        <v>15358.6</v>
      </c>
      <c r="K24" s="144"/>
      <c r="L24" s="150">
        <f t="shared" si="1"/>
        <v>15358.6</v>
      </c>
    </row>
    <row r="25" spans="1:12" ht="25.5" x14ac:dyDescent="0.25">
      <c r="A25" s="951">
        <v>44681</v>
      </c>
      <c r="B25" s="663" t="s">
        <v>1753</v>
      </c>
      <c r="C25" s="137" t="s">
        <v>762</v>
      </c>
      <c r="D25" s="137" t="s">
        <v>1526</v>
      </c>
      <c r="E25" s="663"/>
      <c r="F25" s="664"/>
      <c r="G25" s="143" t="s">
        <v>1774</v>
      </c>
      <c r="H25" s="3" t="str">
        <f>IF(I25=0,"",(INDEX(AccountCodes[ACCOUNT NAME],MATCH(I25,AccountCodes[NGAS CODE],0))))</f>
        <v>Accumulated Depreciation-Office Equipment</v>
      </c>
      <c r="I25" s="185" t="s">
        <v>88</v>
      </c>
      <c r="J25" s="144"/>
      <c r="K25" s="144">
        <v>15358.6</v>
      </c>
      <c r="L25" s="150">
        <f t="shared" si="1"/>
        <v>0</v>
      </c>
    </row>
    <row r="26" spans="1:12" ht="25.5" x14ac:dyDescent="0.25">
      <c r="A26" s="951">
        <v>44681</v>
      </c>
      <c r="B26" s="663" t="s">
        <v>1753</v>
      </c>
      <c r="C26" s="137" t="s">
        <v>762</v>
      </c>
      <c r="D26" s="137" t="s">
        <v>1526</v>
      </c>
      <c r="E26" s="663"/>
      <c r="F26" s="664"/>
      <c r="G26" s="143" t="s">
        <v>1775</v>
      </c>
      <c r="H26" s="3" t="str">
        <f>IF(I26=0,"",(INDEX(AccountCodes[ACCOUNT NAME],MATCH(I26,AccountCodes[NGAS CODE],0))))</f>
        <v>Depreciation-Machinery and Equipment - ICT Equipment</v>
      </c>
      <c r="I26" s="185" t="s">
        <v>280</v>
      </c>
      <c r="J26" s="771">
        <v>15467.91</v>
      </c>
      <c r="K26" s="771"/>
      <c r="L26" s="152">
        <f t="shared" si="1"/>
        <v>15467.91</v>
      </c>
    </row>
    <row r="27" spans="1:12" ht="25.5" x14ac:dyDescent="0.25">
      <c r="A27" s="951">
        <v>44681</v>
      </c>
      <c r="B27" s="663" t="s">
        <v>1753</v>
      </c>
      <c r="C27" s="137" t="s">
        <v>762</v>
      </c>
      <c r="D27" s="137" t="s">
        <v>1526</v>
      </c>
      <c r="E27" s="145"/>
      <c r="F27" s="137"/>
      <c r="G27" s="143" t="s">
        <v>1775</v>
      </c>
      <c r="H27" s="3" t="str">
        <f>IF(I27=0,"",(INDEX(AccountCodes[ACCOUNT NAME],MATCH(I27,AccountCodes[NGAS CODE],0))))</f>
        <v>Accumulated Depreciation-Information and Communications Technology Equipment</v>
      </c>
      <c r="I27" s="185" t="s">
        <v>90</v>
      </c>
      <c r="J27" s="771"/>
      <c r="K27" s="771">
        <v>15467.91</v>
      </c>
      <c r="L27" s="150">
        <f t="shared" si="1"/>
        <v>0</v>
      </c>
    </row>
    <row r="28" spans="1:12" ht="38.25" x14ac:dyDescent="0.25">
      <c r="A28" s="1006">
        <v>44712</v>
      </c>
      <c r="B28" s="1007" t="s">
        <v>1778</v>
      </c>
      <c r="C28" s="1008" t="s">
        <v>762</v>
      </c>
      <c r="D28" s="1008" t="s">
        <v>1526</v>
      </c>
      <c r="E28" s="1007"/>
      <c r="F28" s="1009"/>
      <c r="G28" s="1010" t="s">
        <v>1813</v>
      </c>
      <c r="H28" s="1011" t="str">
        <f>IF(I28=0,"",(INDEX(AccountCodes[ACCOUNT NAME],MATCH(I28,AccountCodes[NGAS CODE],0))))</f>
        <v>Due from Other Funds</v>
      </c>
      <c r="I28" s="1012" t="s">
        <v>25</v>
      </c>
      <c r="J28" s="667">
        <v>35251.82</v>
      </c>
      <c r="K28" s="667"/>
      <c r="L28" s="150">
        <f t="shared" si="1"/>
        <v>35251.82</v>
      </c>
    </row>
    <row r="29" spans="1:12" ht="38.25" x14ac:dyDescent="0.25">
      <c r="A29" s="1006">
        <v>44712</v>
      </c>
      <c r="B29" s="1007" t="s">
        <v>1778</v>
      </c>
      <c r="C29" s="1008" t="s">
        <v>762</v>
      </c>
      <c r="D29" s="1008" t="s">
        <v>1526</v>
      </c>
      <c r="E29" s="1007"/>
      <c r="F29" s="1009"/>
      <c r="G29" s="1010" t="s">
        <v>1813</v>
      </c>
      <c r="H29" s="1011" t="str">
        <f>IF(I29=0,"",(INDEX(AccountCodes[ACCOUNT NAME],MATCH(I29,AccountCodes[NGAS CODE],0))))</f>
        <v>Due to Officers and Employees</v>
      </c>
      <c r="I29" s="1012" t="s">
        <v>108</v>
      </c>
      <c r="J29" s="667"/>
      <c r="K29" s="667">
        <v>35251.82</v>
      </c>
      <c r="L29" s="150">
        <f t="shared" si="1"/>
        <v>0</v>
      </c>
    </row>
    <row r="30" spans="1:12" ht="25.5" x14ac:dyDescent="0.25">
      <c r="A30" s="541">
        <v>44712</v>
      </c>
      <c r="B30" s="663" t="s">
        <v>1778</v>
      </c>
      <c r="C30" s="137" t="s">
        <v>762</v>
      </c>
      <c r="D30" s="137" t="s">
        <v>1526</v>
      </c>
      <c r="E30" s="663"/>
      <c r="F30" s="664"/>
      <c r="G30" s="143" t="s">
        <v>1814</v>
      </c>
      <c r="H30" s="3" t="s">
        <v>1481</v>
      </c>
      <c r="I30" s="185" t="s">
        <v>1566</v>
      </c>
      <c r="J30" s="667">
        <v>96774.62</v>
      </c>
      <c r="K30" s="667"/>
      <c r="L30" s="152">
        <f t="shared" ref="L30:L51" si="2">L29+J30-K30</f>
        <v>96774.62</v>
      </c>
    </row>
    <row r="31" spans="1:12" ht="25.5" x14ac:dyDescent="0.25">
      <c r="A31" s="541">
        <v>44712</v>
      </c>
      <c r="B31" s="663" t="s">
        <v>1778</v>
      </c>
      <c r="C31" s="137" t="s">
        <v>762</v>
      </c>
      <c r="D31" s="137" t="s">
        <v>1526</v>
      </c>
      <c r="E31" s="663"/>
      <c r="F31" s="664"/>
      <c r="G31" s="143" t="s">
        <v>1814</v>
      </c>
      <c r="H31" s="3" t="s">
        <v>1480</v>
      </c>
      <c r="I31" s="185" t="s">
        <v>1556</v>
      </c>
      <c r="J31" s="667"/>
      <c r="K31" s="667">
        <v>96774.62</v>
      </c>
      <c r="L31" s="152">
        <f t="shared" si="2"/>
        <v>0</v>
      </c>
    </row>
    <row r="32" spans="1:12" ht="25.5" x14ac:dyDescent="0.25">
      <c r="A32" s="541">
        <v>44712</v>
      </c>
      <c r="B32" s="663" t="s">
        <v>1778</v>
      </c>
      <c r="C32" s="137" t="s">
        <v>762</v>
      </c>
      <c r="D32" s="137" t="s">
        <v>1526</v>
      </c>
      <c r="E32" s="663"/>
      <c r="F32" s="664"/>
      <c r="G32" s="143" t="s">
        <v>1814</v>
      </c>
      <c r="H32" s="3" t="s">
        <v>1481</v>
      </c>
      <c r="I32" s="185" t="s">
        <v>1566</v>
      </c>
      <c r="J32" s="667">
        <v>79449</v>
      </c>
      <c r="K32" s="667"/>
      <c r="L32" s="152">
        <f t="shared" si="2"/>
        <v>79449</v>
      </c>
    </row>
    <row r="33" spans="1:12" ht="25.5" x14ac:dyDescent="0.25">
      <c r="A33" s="541">
        <v>44712</v>
      </c>
      <c r="B33" s="663" t="s">
        <v>1778</v>
      </c>
      <c r="C33" s="137" t="s">
        <v>762</v>
      </c>
      <c r="D33" s="137" t="s">
        <v>1526</v>
      </c>
      <c r="E33" s="663"/>
      <c r="F33" s="664"/>
      <c r="G33" s="143" t="s">
        <v>1814</v>
      </c>
      <c r="H33" s="3" t="s">
        <v>1480</v>
      </c>
      <c r="I33" s="185" t="s">
        <v>1556</v>
      </c>
      <c r="J33" s="667"/>
      <c r="K33" s="667">
        <v>79449</v>
      </c>
      <c r="L33" s="152">
        <f t="shared" si="2"/>
        <v>0</v>
      </c>
    </row>
    <row r="34" spans="1:12" ht="25.5" x14ac:dyDescent="0.25">
      <c r="A34" s="541">
        <v>44712</v>
      </c>
      <c r="B34" s="663" t="s">
        <v>1778</v>
      </c>
      <c r="C34" s="137" t="s">
        <v>762</v>
      </c>
      <c r="D34" s="137" t="s">
        <v>1526</v>
      </c>
      <c r="E34" s="663"/>
      <c r="F34" s="664"/>
      <c r="G34" s="143" t="s">
        <v>1814</v>
      </c>
      <c r="H34" s="3" t="s">
        <v>1481</v>
      </c>
      <c r="I34" s="185" t="s">
        <v>1566</v>
      </c>
      <c r="J34" s="667">
        <v>2137500</v>
      </c>
      <c r="K34" s="667"/>
      <c r="L34" s="152">
        <f t="shared" si="2"/>
        <v>2137500</v>
      </c>
    </row>
    <row r="35" spans="1:12" ht="25.5" x14ac:dyDescent="0.25">
      <c r="A35" s="541">
        <v>44712</v>
      </c>
      <c r="B35" s="663" t="s">
        <v>1778</v>
      </c>
      <c r="C35" s="137" t="s">
        <v>762</v>
      </c>
      <c r="D35" s="137" t="s">
        <v>1526</v>
      </c>
      <c r="E35" s="663"/>
      <c r="F35" s="664"/>
      <c r="G35" s="143" t="s">
        <v>1814</v>
      </c>
      <c r="H35" s="3" t="s">
        <v>1480</v>
      </c>
      <c r="I35" s="185" t="s">
        <v>1556</v>
      </c>
      <c r="J35" s="667"/>
      <c r="K35" s="667">
        <v>2137500</v>
      </c>
      <c r="L35" s="152">
        <f t="shared" si="2"/>
        <v>0</v>
      </c>
    </row>
    <row r="36" spans="1:12" ht="25.5" x14ac:dyDescent="0.25">
      <c r="A36" s="541">
        <v>44712</v>
      </c>
      <c r="B36" s="663" t="s">
        <v>1778</v>
      </c>
      <c r="C36" s="137" t="s">
        <v>762</v>
      </c>
      <c r="D36" s="137" t="s">
        <v>1526</v>
      </c>
      <c r="E36" s="663"/>
      <c r="F36" s="664"/>
      <c r="G36" s="143" t="s">
        <v>1814</v>
      </c>
      <c r="H36" s="3" t="s">
        <v>1481</v>
      </c>
      <c r="I36" s="185" t="s">
        <v>1566</v>
      </c>
      <c r="J36" s="667">
        <v>51402.400000000001</v>
      </c>
      <c r="K36" s="667"/>
      <c r="L36" s="152">
        <f t="shared" si="2"/>
        <v>51402.400000000001</v>
      </c>
    </row>
    <row r="37" spans="1:12" ht="25.5" x14ac:dyDescent="0.25">
      <c r="A37" s="541">
        <v>44712</v>
      </c>
      <c r="B37" s="663" t="s">
        <v>1778</v>
      </c>
      <c r="C37" s="137" t="s">
        <v>762</v>
      </c>
      <c r="D37" s="137" t="s">
        <v>1526</v>
      </c>
      <c r="E37" s="663"/>
      <c r="F37" s="664"/>
      <c r="G37" s="143" t="s">
        <v>1814</v>
      </c>
      <c r="H37" s="3" t="s">
        <v>1480</v>
      </c>
      <c r="I37" s="185" t="s">
        <v>1556</v>
      </c>
      <c r="J37" s="667"/>
      <c r="K37" s="667">
        <v>51402.400000000001</v>
      </c>
      <c r="L37" s="152">
        <f>L36+J37-K37</f>
        <v>0</v>
      </c>
    </row>
    <row r="38" spans="1:12" ht="25.5" x14ac:dyDescent="0.25">
      <c r="A38" s="541">
        <v>44742</v>
      </c>
      <c r="B38" s="663" t="s">
        <v>1816</v>
      </c>
      <c r="C38" s="137" t="s">
        <v>762</v>
      </c>
      <c r="D38" s="137" t="s">
        <v>1526</v>
      </c>
      <c r="E38" s="663"/>
      <c r="F38" s="664"/>
      <c r="G38" s="665" t="s">
        <v>1748</v>
      </c>
      <c r="H38" s="3" t="str">
        <f>IF(I38=0,"",(INDEX(AccountCodes[ACCOUNT NAME],MATCH(I38,AccountCodes[NGAS CODE],0))))</f>
        <v>Cash in Bank-Local Currency, Current Account - FO</v>
      </c>
      <c r="I38" s="185" t="s">
        <v>1566</v>
      </c>
      <c r="J38" s="667">
        <v>605.75</v>
      </c>
      <c r="K38" s="667"/>
      <c r="L38" s="152">
        <f t="shared" si="2"/>
        <v>605.75</v>
      </c>
    </row>
    <row r="39" spans="1:12" ht="25.5" x14ac:dyDescent="0.25">
      <c r="A39" s="541">
        <v>44742</v>
      </c>
      <c r="B39" s="663" t="s">
        <v>1816</v>
      </c>
      <c r="C39" s="137" t="s">
        <v>762</v>
      </c>
      <c r="D39" s="137" t="s">
        <v>1526</v>
      </c>
      <c r="E39" s="145"/>
      <c r="F39" s="137"/>
      <c r="G39" s="665" t="s">
        <v>1748</v>
      </c>
      <c r="H39" s="3" t="str">
        <f>IF(I39=0,"",(INDEX(AccountCodes[ACCOUNT NAME],MATCH(I39,AccountCodes[NGAS CODE],0))))</f>
        <v>Due to the Treasurer of the Philippines</v>
      </c>
      <c r="I39" s="185" t="s">
        <v>1496</v>
      </c>
      <c r="J39" s="144"/>
      <c r="K39" s="144">
        <v>605.75</v>
      </c>
      <c r="L39" s="150">
        <f t="shared" ref="L39:L41" si="3">L38+J39-K39</f>
        <v>0</v>
      </c>
    </row>
    <row r="40" spans="1:12" ht="25.5" x14ac:dyDescent="0.25">
      <c r="A40" s="541">
        <v>44742</v>
      </c>
      <c r="B40" s="663" t="s">
        <v>1816</v>
      </c>
      <c r="C40" s="137" t="s">
        <v>762</v>
      </c>
      <c r="D40" s="137" t="s">
        <v>1526</v>
      </c>
      <c r="E40" s="145"/>
      <c r="F40" s="137"/>
      <c r="G40" s="143" t="s">
        <v>1844</v>
      </c>
      <c r="H40" s="3" t="str">
        <f>IF(I40=0,"",(INDEX(AccountCodes[ACCOUNT NAME],MATCH(I40,AccountCodes[NGAS CODE],0))))</f>
        <v>Cash in Bank-Local Currency, Current Account - FO</v>
      </c>
      <c r="I40" s="185" t="s">
        <v>1566</v>
      </c>
      <c r="J40" s="144">
        <v>103171.86</v>
      </c>
      <c r="K40" s="144"/>
      <c r="L40" s="150">
        <f t="shared" si="3"/>
        <v>103171.86</v>
      </c>
    </row>
    <row r="41" spans="1:12" ht="25.5" x14ac:dyDescent="0.25">
      <c r="A41" s="541">
        <v>44742</v>
      </c>
      <c r="B41" s="663" t="s">
        <v>1816</v>
      </c>
      <c r="C41" s="137" t="s">
        <v>762</v>
      </c>
      <c r="D41" s="137" t="s">
        <v>1526</v>
      </c>
      <c r="E41" s="663"/>
      <c r="F41" s="664"/>
      <c r="G41" s="143" t="s">
        <v>1844</v>
      </c>
      <c r="H41" s="3" t="str">
        <f>IF(I41=0,"",(INDEX(AccountCodes[ACCOUNT NAME],MATCH(I41,AccountCodes[NGAS CODE],0))))</f>
        <v>Cash in Bank-Local Currency, Current Account - RO</v>
      </c>
      <c r="I41" s="185" t="s">
        <v>1556</v>
      </c>
      <c r="J41" s="667"/>
      <c r="K41" s="667">
        <v>103171.86</v>
      </c>
      <c r="L41" s="150">
        <f t="shared" si="3"/>
        <v>0</v>
      </c>
    </row>
    <row r="42" spans="1:12" ht="25.5" x14ac:dyDescent="0.25">
      <c r="A42" s="541">
        <v>44742</v>
      </c>
      <c r="B42" s="663" t="s">
        <v>1816</v>
      </c>
      <c r="C42" s="137" t="s">
        <v>762</v>
      </c>
      <c r="D42" s="137" t="s">
        <v>1526</v>
      </c>
      <c r="E42" s="145"/>
      <c r="F42" s="137"/>
      <c r="G42" s="143" t="s">
        <v>1845</v>
      </c>
      <c r="H42" s="3" t="str">
        <f>IF(I42=0,"",(INDEX(AccountCodes[ACCOUNT NAME],MATCH(I42,AccountCodes[NGAS CODE],0))))</f>
        <v>Depreciation-Machinery and Equipment - Office Equipment</v>
      </c>
      <c r="I42" s="185" t="s">
        <v>278</v>
      </c>
      <c r="J42" s="144">
        <v>15358.6</v>
      </c>
      <c r="K42" s="144"/>
      <c r="L42" s="150">
        <f>L41+J42-K42</f>
        <v>15358.6</v>
      </c>
    </row>
    <row r="43" spans="1:12" ht="25.5" x14ac:dyDescent="0.25">
      <c r="A43" s="541">
        <v>44742</v>
      </c>
      <c r="B43" s="663" t="s">
        <v>1816</v>
      </c>
      <c r="C43" s="137" t="s">
        <v>762</v>
      </c>
      <c r="D43" s="137" t="s">
        <v>1526</v>
      </c>
      <c r="E43" s="663"/>
      <c r="F43" s="664"/>
      <c r="G43" s="143" t="s">
        <v>1845</v>
      </c>
      <c r="H43" s="3" t="str">
        <f>IF(I43=0,"",(INDEX(AccountCodes[ACCOUNT NAME],MATCH(I43,AccountCodes[NGAS CODE],0))))</f>
        <v>Accumulated Depreciation-Office Equipment</v>
      </c>
      <c r="I43" s="185" t="s">
        <v>88</v>
      </c>
      <c r="J43" s="667"/>
      <c r="K43" s="667">
        <v>15358.6</v>
      </c>
      <c r="L43" s="150">
        <f>L42+J43-K43</f>
        <v>0</v>
      </c>
    </row>
    <row r="44" spans="1:12" ht="25.5" x14ac:dyDescent="0.25">
      <c r="A44" s="541">
        <v>44742</v>
      </c>
      <c r="B44" s="663" t="s">
        <v>1816</v>
      </c>
      <c r="C44" s="137" t="s">
        <v>762</v>
      </c>
      <c r="D44" s="137" t="s">
        <v>1526</v>
      </c>
      <c r="E44" s="494"/>
      <c r="F44" s="495"/>
      <c r="G44" s="143" t="s">
        <v>1846</v>
      </c>
      <c r="H44" s="3" t="str">
        <f>IF(I44=0,"",(INDEX(AccountCodes[ACCOUNT NAME],MATCH(I44,AccountCodes[NGAS CODE],0))))</f>
        <v>Depreciation-Machinery and Equipment - ICT Equipment</v>
      </c>
      <c r="I44" s="185" t="s">
        <v>280</v>
      </c>
      <c r="J44" s="144">
        <v>21737.919999999998</v>
      </c>
      <c r="K44" s="144"/>
      <c r="L44" s="152">
        <f t="shared" si="2"/>
        <v>21737.919999999998</v>
      </c>
    </row>
    <row r="45" spans="1:12" ht="25.5" x14ac:dyDescent="0.25">
      <c r="A45" s="541">
        <v>44742</v>
      </c>
      <c r="B45" s="663" t="s">
        <v>1816</v>
      </c>
      <c r="C45" s="137" t="s">
        <v>762</v>
      </c>
      <c r="D45" s="137" t="s">
        <v>1526</v>
      </c>
      <c r="E45" s="663"/>
      <c r="F45" s="664"/>
      <c r="G45" s="143" t="s">
        <v>1846</v>
      </c>
      <c r="H45" s="3" t="str">
        <f>IF(I45=0,"",(INDEX(AccountCodes[ACCOUNT NAME],MATCH(I45,AccountCodes[NGAS CODE],0))))</f>
        <v>Accumulated Depreciation-Information and Communications Technology Equipment</v>
      </c>
      <c r="I45" s="185" t="s">
        <v>90</v>
      </c>
      <c r="J45" s="144"/>
      <c r="K45" s="144">
        <v>21737.919999999998</v>
      </c>
      <c r="L45" s="152">
        <f t="shared" si="2"/>
        <v>0</v>
      </c>
    </row>
    <row r="46" spans="1:12" ht="38.25" x14ac:dyDescent="0.25">
      <c r="A46" s="541">
        <v>44773</v>
      </c>
      <c r="B46" s="145" t="s">
        <v>1847</v>
      </c>
      <c r="C46" s="137" t="s">
        <v>762</v>
      </c>
      <c r="D46" s="137" t="s">
        <v>1526</v>
      </c>
      <c r="E46" s="494"/>
      <c r="F46" s="495"/>
      <c r="G46" s="143" t="s">
        <v>1848</v>
      </c>
      <c r="H46" s="496" t="str">
        <f>IF(I46=0,"",(INDEX(AccountCodes[ACCOUNT NAME],MATCH(I46,AccountCodes[NGAS CODE],0))))</f>
        <v>Water Supply Systems</v>
      </c>
      <c r="I46" s="185" t="s">
        <v>60</v>
      </c>
      <c r="J46" s="817">
        <v>7134233.5</v>
      </c>
      <c r="K46" s="497"/>
      <c r="L46" s="152">
        <f t="shared" si="2"/>
        <v>7134233.5</v>
      </c>
    </row>
    <row r="47" spans="1:12" ht="38.25" x14ac:dyDescent="0.25">
      <c r="A47" s="541">
        <v>44773</v>
      </c>
      <c r="B47" s="145" t="s">
        <v>1847</v>
      </c>
      <c r="C47" s="137" t="s">
        <v>762</v>
      </c>
      <c r="D47" s="137" t="s">
        <v>1526</v>
      </c>
      <c r="E47" s="663"/>
      <c r="F47" s="664"/>
      <c r="G47" s="143" t="s">
        <v>1848</v>
      </c>
      <c r="H47" s="148" t="str">
        <f>IF(I47=0,"",(INDEX(AccountCodes[ACCOUNT NAME],MATCH(I47,AccountCodes[NGAS CODE],0))))</f>
        <v>Construction in Progress-Infrastructure Assets (Irrigation, Canals and Laterals)</v>
      </c>
      <c r="I47" s="185" t="s">
        <v>82</v>
      </c>
      <c r="J47" s="667"/>
      <c r="K47" s="817">
        <v>7134233.5</v>
      </c>
      <c r="L47" s="152">
        <f t="shared" si="2"/>
        <v>0</v>
      </c>
    </row>
    <row r="48" spans="1:12" ht="51" x14ac:dyDescent="0.25">
      <c r="A48" s="541">
        <v>44773</v>
      </c>
      <c r="B48" s="145" t="s">
        <v>1847</v>
      </c>
      <c r="C48" s="137" t="s">
        <v>762</v>
      </c>
      <c r="D48" s="137" t="s">
        <v>1526</v>
      </c>
      <c r="E48" s="663"/>
      <c r="F48" s="664"/>
      <c r="G48" s="665" t="s">
        <v>1985</v>
      </c>
      <c r="H48" s="148" t="str">
        <f>IF(I48=0,"",(INDEX(AccountCodes[ACCOUNT NAME],MATCH(I48,AccountCodes[NGAS CODE],0))))</f>
        <v>Construction in Progress-Infrastructure Assets (Irrigation, Canals and Laterals)</v>
      </c>
      <c r="I48" s="666" t="s">
        <v>82</v>
      </c>
      <c r="J48" s="667">
        <v>1364697.65</v>
      </c>
      <c r="K48" s="667"/>
      <c r="L48" s="152">
        <f t="shared" si="2"/>
        <v>1364697.65</v>
      </c>
    </row>
    <row r="49" spans="1:12" ht="51" x14ac:dyDescent="0.25">
      <c r="A49" s="541">
        <v>44773</v>
      </c>
      <c r="B49" s="145" t="s">
        <v>1847</v>
      </c>
      <c r="C49" s="137" t="s">
        <v>762</v>
      </c>
      <c r="D49" s="137" t="s">
        <v>1526</v>
      </c>
      <c r="E49" s="663"/>
      <c r="F49" s="664"/>
      <c r="G49" s="665" t="s">
        <v>1985</v>
      </c>
      <c r="H49" s="148" t="str">
        <f>IF(I49=0,"",(INDEX(AccountCodes[ACCOUNT NAME],MATCH(I49,AccountCodes[NGAS CODE],0))))</f>
        <v>Accounts Payable</v>
      </c>
      <c r="I49" s="666" t="s">
        <v>106</v>
      </c>
      <c r="J49" s="667"/>
      <c r="K49" s="667">
        <v>1364697.65</v>
      </c>
      <c r="L49" s="152">
        <f t="shared" si="2"/>
        <v>0</v>
      </c>
    </row>
    <row r="50" spans="1:12" ht="25.5" x14ac:dyDescent="0.25">
      <c r="A50" s="541">
        <v>44773</v>
      </c>
      <c r="B50" s="145" t="s">
        <v>1847</v>
      </c>
      <c r="C50" s="664" t="s">
        <v>762</v>
      </c>
      <c r="D50" s="664" t="s">
        <v>1526</v>
      </c>
      <c r="E50" s="663"/>
      <c r="F50" s="664"/>
      <c r="G50" s="143" t="s">
        <v>1871</v>
      </c>
      <c r="H50" s="148" t="str">
        <f>IF(I50=0,"",(INDEX(AccountCodes[ACCOUNT NAME],MATCH(I50,AccountCodes[NGAS CODE],0))))</f>
        <v>Office Supplies Expenses</v>
      </c>
      <c r="I50" s="666" t="s">
        <v>225</v>
      </c>
      <c r="J50" s="667">
        <v>2912</v>
      </c>
      <c r="K50" s="667"/>
      <c r="L50" s="152">
        <f t="shared" si="2"/>
        <v>2912</v>
      </c>
    </row>
    <row r="51" spans="1:12" ht="25.5" x14ac:dyDescent="0.25">
      <c r="A51" s="541">
        <v>44773</v>
      </c>
      <c r="B51" s="145" t="s">
        <v>1847</v>
      </c>
      <c r="C51" s="664" t="s">
        <v>762</v>
      </c>
      <c r="D51" s="664" t="s">
        <v>1526</v>
      </c>
      <c r="E51" s="663"/>
      <c r="F51" s="664"/>
      <c r="G51" s="143" t="s">
        <v>1871</v>
      </c>
      <c r="H51" s="148" t="str">
        <f>IF(I51=0,"",(INDEX(AccountCodes[ACCOUNT NAME],MATCH(I51,AccountCodes[NGAS CODE],0))))</f>
        <v>Office Supplies Inventory</v>
      </c>
      <c r="I51" s="666" t="s">
        <v>30</v>
      </c>
      <c r="J51" s="667"/>
      <c r="K51" s="667">
        <v>2912</v>
      </c>
      <c r="L51" s="152">
        <f t="shared" si="2"/>
        <v>0</v>
      </c>
    </row>
    <row r="52" spans="1:12" ht="25.5" x14ac:dyDescent="0.25">
      <c r="A52" s="541">
        <v>44773</v>
      </c>
      <c r="B52" s="145" t="s">
        <v>1847</v>
      </c>
      <c r="C52" s="664" t="s">
        <v>762</v>
      </c>
      <c r="D52" s="664" t="s">
        <v>1526</v>
      </c>
      <c r="E52" s="663"/>
      <c r="F52" s="664"/>
      <c r="G52" s="143" t="s">
        <v>1872</v>
      </c>
      <c r="H52" s="702" t="str">
        <f>IF(I52=0,"",(INDEX(AccountCodes[ACCOUNT NAME],MATCH(I52,AccountCodes[NGAS CODE],0))))</f>
        <v>Cash in Bank-Local Currency, Current Account - FO</v>
      </c>
      <c r="I52" s="666" t="s">
        <v>1566</v>
      </c>
      <c r="J52" s="667">
        <v>35251.82</v>
      </c>
      <c r="K52" s="667"/>
      <c r="L52" s="703">
        <f t="shared" ref="L52:L58" si="4">L51+J52-K52</f>
        <v>35251.82</v>
      </c>
    </row>
    <row r="53" spans="1:12" ht="25.5" x14ac:dyDescent="0.25">
      <c r="A53" s="541">
        <v>44773</v>
      </c>
      <c r="B53" s="145" t="s">
        <v>1847</v>
      </c>
      <c r="C53" s="664" t="s">
        <v>762</v>
      </c>
      <c r="D53" s="664" t="s">
        <v>1526</v>
      </c>
      <c r="E53" s="663"/>
      <c r="F53" s="664"/>
      <c r="G53" s="143" t="s">
        <v>1872</v>
      </c>
      <c r="H53" s="702" t="str">
        <f>IF(I53=0,"",(INDEX(AccountCodes[ACCOUNT NAME],MATCH(I53,AccountCodes[NGAS CODE],0))))</f>
        <v>Due from Other Funds</v>
      </c>
      <c r="I53" s="666" t="s">
        <v>25</v>
      </c>
      <c r="J53" s="667"/>
      <c r="K53" s="667">
        <v>35251.82</v>
      </c>
      <c r="L53" s="703">
        <f t="shared" si="4"/>
        <v>0</v>
      </c>
    </row>
    <row r="54" spans="1:12" ht="25.5" x14ac:dyDescent="0.25">
      <c r="A54" s="541">
        <v>44773</v>
      </c>
      <c r="B54" s="145" t="s">
        <v>1847</v>
      </c>
      <c r="C54" s="664" t="s">
        <v>762</v>
      </c>
      <c r="D54" s="664" t="s">
        <v>1526</v>
      </c>
      <c r="E54" s="663"/>
      <c r="F54" s="664"/>
      <c r="G54" s="143" t="s">
        <v>1877</v>
      </c>
      <c r="H54" s="148" t="str">
        <f>IF(I54=0,"",(INDEX(AccountCodes[ACCOUNT NAME],MATCH(I54,AccountCodes[NGAS CODE],0))))</f>
        <v>Cash in Bank-Local Currency, Current Account - FO</v>
      </c>
      <c r="I54" s="666" t="s">
        <v>1566</v>
      </c>
      <c r="J54" s="667">
        <v>39000</v>
      </c>
      <c r="K54" s="667"/>
      <c r="L54" s="152">
        <f t="shared" si="4"/>
        <v>39000</v>
      </c>
    </row>
    <row r="55" spans="1:12" ht="25.5" x14ac:dyDescent="0.25">
      <c r="A55" s="541">
        <v>44773</v>
      </c>
      <c r="B55" s="145" t="s">
        <v>1847</v>
      </c>
      <c r="C55" s="664" t="s">
        <v>762</v>
      </c>
      <c r="D55" s="664" t="s">
        <v>1526</v>
      </c>
      <c r="E55" s="663"/>
      <c r="F55" s="664"/>
      <c r="G55" s="143" t="s">
        <v>1877</v>
      </c>
      <c r="H55" s="148" t="str">
        <f>IF(I55=0,"",(INDEX(AccountCodes[ACCOUNT NAME],MATCH(I55,AccountCodes[NGAS CODE],0))))</f>
        <v>Cash in Bank-Local Currency, Current Account - RO</v>
      </c>
      <c r="I55" s="666" t="s">
        <v>1556</v>
      </c>
      <c r="J55" s="667"/>
      <c r="K55" s="667">
        <v>39000</v>
      </c>
      <c r="L55" s="152">
        <f t="shared" si="4"/>
        <v>0</v>
      </c>
    </row>
    <row r="56" spans="1:12" ht="25.5" x14ac:dyDescent="0.25">
      <c r="A56" s="541">
        <v>44773</v>
      </c>
      <c r="B56" s="145" t="s">
        <v>1847</v>
      </c>
      <c r="C56" s="664" t="s">
        <v>762</v>
      </c>
      <c r="D56" s="664" t="s">
        <v>1526</v>
      </c>
      <c r="E56" s="663"/>
      <c r="F56" s="664"/>
      <c r="G56" s="143" t="s">
        <v>1877</v>
      </c>
      <c r="H56" s="148" t="str">
        <f>IF(I56=0,"",(INDEX(AccountCodes[ACCOUNT NAME],MATCH(I56,AccountCodes[NGAS CODE],0))))</f>
        <v>Cash in Bank-Local Currency, Current Account - FO</v>
      </c>
      <c r="I56" s="666" t="s">
        <v>1566</v>
      </c>
      <c r="J56" s="667">
        <v>175171.86</v>
      </c>
      <c r="K56" s="667"/>
      <c r="L56" s="152">
        <f t="shared" si="4"/>
        <v>175171.86</v>
      </c>
    </row>
    <row r="57" spans="1:12" ht="25.5" x14ac:dyDescent="0.25">
      <c r="A57" s="541">
        <v>44773</v>
      </c>
      <c r="B57" s="145" t="s">
        <v>1847</v>
      </c>
      <c r="C57" s="664" t="s">
        <v>762</v>
      </c>
      <c r="D57" s="664" t="s">
        <v>1526</v>
      </c>
      <c r="E57" s="663"/>
      <c r="F57" s="664"/>
      <c r="G57" s="143" t="s">
        <v>1877</v>
      </c>
      <c r="H57" s="148" t="str">
        <f>IF(I57=0,"",(INDEX(AccountCodes[ACCOUNT NAME],MATCH(I57,AccountCodes[NGAS CODE],0))))</f>
        <v>Cash in Bank-Local Currency, Current Account - RO</v>
      </c>
      <c r="I57" s="666" t="s">
        <v>1556</v>
      </c>
      <c r="J57" s="667"/>
      <c r="K57" s="667">
        <v>175171.86</v>
      </c>
      <c r="L57" s="152">
        <f t="shared" si="4"/>
        <v>0</v>
      </c>
    </row>
    <row r="58" spans="1:12" ht="25.5" x14ac:dyDescent="0.25">
      <c r="A58" s="541">
        <v>44773</v>
      </c>
      <c r="B58" s="145" t="s">
        <v>1847</v>
      </c>
      <c r="C58" s="664" t="s">
        <v>762</v>
      </c>
      <c r="D58" s="664" t="s">
        <v>1526</v>
      </c>
      <c r="E58" s="663"/>
      <c r="F58" s="664"/>
      <c r="G58" s="143" t="s">
        <v>1878</v>
      </c>
      <c r="H58" s="148" t="str">
        <f>IF(I58=0,"",(INDEX(AccountCodes[ACCOUNT NAME],MATCH(I58,AccountCodes[NGAS CODE],0))))</f>
        <v>Depreciation-Infrastructure Assets - Other Infrastructure Assets (Irrigation Canals &amp; Laterals)</v>
      </c>
      <c r="I58" s="666" t="s">
        <v>1452</v>
      </c>
      <c r="J58" s="667">
        <v>588415.31999999995</v>
      </c>
      <c r="K58" s="667"/>
      <c r="L58" s="152">
        <f t="shared" si="4"/>
        <v>588415.31999999995</v>
      </c>
    </row>
    <row r="59" spans="1:12" ht="25.5" x14ac:dyDescent="0.25">
      <c r="A59" s="541">
        <v>44773</v>
      </c>
      <c r="B59" s="145" t="s">
        <v>1847</v>
      </c>
      <c r="C59" s="664" t="s">
        <v>762</v>
      </c>
      <c r="D59" s="664" t="s">
        <v>1526</v>
      </c>
      <c r="E59" s="663"/>
      <c r="F59" s="664"/>
      <c r="G59" s="143" t="s">
        <v>1878</v>
      </c>
      <c r="H59" s="496" t="str">
        <f>IF(I59=0,"",(INDEX(AccountCodes[ACCOUNT NAME],MATCH(I59,AccountCodes[NGAS CODE],0))))</f>
        <v>Accumulated Depreciation-Water Supply Systems</v>
      </c>
      <c r="I59" s="666" t="s">
        <v>1261</v>
      </c>
      <c r="J59" s="667"/>
      <c r="K59" s="667">
        <v>588415.31999999995</v>
      </c>
      <c r="L59" s="715">
        <f t="shared" ref="L59:L66" si="5">L58+J59-K59</f>
        <v>0</v>
      </c>
    </row>
    <row r="60" spans="1:12" ht="25.5" x14ac:dyDescent="0.25">
      <c r="A60" s="541">
        <v>44773</v>
      </c>
      <c r="B60" s="145" t="s">
        <v>1847</v>
      </c>
      <c r="C60" s="664" t="s">
        <v>762</v>
      </c>
      <c r="D60" s="664" t="s">
        <v>1526</v>
      </c>
      <c r="E60" s="663"/>
      <c r="F60" s="664"/>
      <c r="G60" s="143" t="s">
        <v>1879</v>
      </c>
      <c r="H60" s="496" t="str">
        <f>IF(I60=0,"",(INDEX(AccountCodes[ACCOUNT NAME],MATCH(I60,AccountCodes[NGAS CODE],0))))</f>
        <v>Depreciation-Infrastructure Assets - Other Infrastructure Assets (Irrigation Canals &amp; Laterals)</v>
      </c>
      <c r="I60" s="666" t="s">
        <v>1452</v>
      </c>
      <c r="J60" s="497">
        <v>588415.31999999995</v>
      </c>
      <c r="K60" s="667"/>
      <c r="L60" s="715">
        <f t="shared" si="5"/>
        <v>588415.31999999995</v>
      </c>
    </row>
    <row r="61" spans="1:12" ht="25.5" x14ac:dyDescent="0.25">
      <c r="A61" s="541">
        <v>44773</v>
      </c>
      <c r="B61" s="145" t="s">
        <v>1847</v>
      </c>
      <c r="C61" s="664" t="s">
        <v>762</v>
      </c>
      <c r="D61" s="664" t="s">
        <v>1526</v>
      </c>
      <c r="E61" s="663"/>
      <c r="F61" s="664"/>
      <c r="G61" s="143" t="s">
        <v>1879</v>
      </c>
      <c r="H61" s="496" t="str">
        <f>IF(I61=0,"",(INDEX(AccountCodes[ACCOUNT NAME],MATCH(I61,AccountCodes[NGAS CODE],0))))</f>
        <v>Accumulated Depreciation-Water Supply Systems</v>
      </c>
      <c r="I61" s="666" t="s">
        <v>1261</v>
      </c>
      <c r="J61" s="667"/>
      <c r="K61" s="497">
        <v>588415.31999999995</v>
      </c>
      <c r="L61" s="715">
        <f t="shared" si="5"/>
        <v>0</v>
      </c>
    </row>
    <row r="62" spans="1:12" ht="25.5" x14ac:dyDescent="0.25">
      <c r="A62" s="541">
        <v>44804</v>
      </c>
      <c r="B62" s="663" t="s">
        <v>1881</v>
      </c>
      <c r="C62" s="664" t="s">
        <v>762</v>
      </c>
      <c r="D62" s="664" t="s">
        <v>1526</v>
      </c>
      <c r="E62" s="663"/>
      <c r="F62" s="664"/>
      <c r="G62" s="143" t="s">
        <v>1904</v>
      </c>
      <c r="H62" s="496" t="str">
        <f>IF(I62=0,"",(INDEX(AccountCodes[ACCOUNT NAME],MATCH(I62,AccountCodes[NGAS CODE],0))))</f>
        <v>Cash in Bank-Local Currency, Current Account - FO</v>
      </c>
      <c r="I62" s="666" t="s">
        <v>1566</v>
      </c>
      <c r="J62" s="497">
        <v>97171.86</v>
      </c>
      <c r="K62" s="667"/>
      <c r="L62" s="715">
        <f t="shared" si="5"/>
        <v>97171.86</v>
      </c>
    </row>
    <row r="63" spans="1:12" ht="25.5" x14ac:dyDescent="0.25">
      <c r="A63" s="541">
        <v>44804</v>
      </c>
      <c r="B63" s="663" t="s">
        <v>1881</v>
      </c>
      <c r="C63" s="664" t="s">
        <v>762</v>
      </c>
      <c r="D63" s="664" t="s">
        <v>1526</v>
      </c>
      <c r="E63" s="663"/>
      <c r="F63" s="664"/>
      <c r="G63" s="143" t="s">
        <v>1904</v>
      </c>
      <c r="H63" s="496" t="str">
        <f>IF(I63=0,"",(INDEX(AccountCodes[ACCOUNT NAME],MATCH(I63,AccountCodes[NGAS CODE],0))))</f>
        <v>Cash in Bank-Local Currency, Current Account - RO</v>
      </c>
      <c r="I63" s="666" t="s">
        <v>1556</v>
      </c>
      <c r="J63" s="667"/>
      <c r="K63" s="497">
        <v>97171.86</v>
      </c>
      <c r="L63" s="715">
        <f t="shared" si="5"/>
        <v>0</v>
      </c>
    </row>
    <row r="64" spans="1:12" ht="25.5" x14ac:dyDescent="0.25">
      <c r="A64" s="1023">
        <v>44804</v>
      </c>
      <c r="B64" s="1024" t="s">
        <v>1881</v>
      </c>
      <c r="C64" s="1025" t="s">
        <v>762</v>
      </c>
      <c r="D64" s="1025" t="s">
        <v>1526</v>
      </c>
      <c r="E64" s="663"/>
      <c r="F64" s="664"/>
      <c r="G64" s="1026" t="s">
        <v>1905</v>
      </c>
      <c r="H64" s="1027" t="str">
        <f>IF(I64=0,"",(INDEX(AccountCodes[ACCOUNT NAME],MATCH(I64,AccountCodes[NGAS CODE],0))))</f>
        <v>Accumulated Depreciation-Office Equipment</v>
      </c>
      <c r="I64" s="666" t="s">
        <v>88</v>
      </c>
      <c r="J64" s="497">
        <v>65532.01</v>
      </c>
      <c r="K64" s="667"/>
      <c r="L64" s="715">
        <f t="shared" si="5"/>
        <v>65532.01</v>
      </c>
    </row>
    <row r="65" spans="1:12" s="681" customFormat="1" ht="25.5" x14ac:dyDescent="0.25">
      <c r="A65" s="1023">
        <v>44804</v>
      </c>
      <c r="B65" s="1024" t="s">
        <v>1881</v>
      </c>
      <c r="C65" s="1025" t="s">
        <v>762</v>
      </c>
      <c r="D65" s="1025" t="s">
        <v>1526</v>
      </c>
      <c r="E65" s="663"/>
      <c r="F65" s="664"/>
      <c r="G65" s="1026" t="s">
        <v>1905</v>
      </c>
      <c r="H65" s="1028" t="str">
        <f>IF(I65=0,"",(INDEX(AccountCodes[ACCOUNT NAME],MATCH(I65,AccountCodes[NGAS CODE],0))))</f>
        <v>Accumulated Surplus/(Deficit) (Government Equity)</v>
      </c>
      <c r="I65" s="666" t="s">
        <v>122</v>
      </c>
      <c r="J65" s="667">
        <v>90807.39</v>
      </c>
      <c r="K65" s="497"/>
      <c r="L65" s="715">
        <f t="shared" si="5"/>
        <v>156339.4</v>
      </c>
    </row>
    <row r="66" spans="1:12" ht="25.5" x14ac:dyDescent="0.25">
      <c r="A66" s="1023">
        <v>44804</v>
      </c>
      <c r="B66" s="1024" t="s">
        <v>1881</v>
      </c>
      <c r="C66" s="1025" t="s">
        <v>762</v>
      </c>
      <c r="D66" s="1025" t="s">
        <v>1526</v>
      </c>
      <c r="E66" s="663"/>
      <c r="F66" s="664"/>
      <c r="G66" s="1026" t="s">
        <v>1905</v>
      </c>
      <c r="H66" s="1027" t="str">
        <f>IF(I66=0,"",(INDEX(AccountCodes[ACCOUNT NAME],MATCH(I66,AccountCodes[NGAS CODE],0))))</f>
        <v>Office Equipment</v>
      </c>
      <c r="I66" s="666" t="s">
        <v>42</v>
      </c>
      <c r="J66" s="497"/>
      <c r="K66" s="667">
        <v>145899</v>
      </c>
      <c r="L66" s="715">
        <f t="shared" si="5"/>
        <v>10440.4</v>
      </c>
    </row>
    <row r="67" spans="1:12" ht="25.5" x14ac:dyDescent="0.25">
      <c r="A67" s="1023">
        <v>44804</v>
      </c>
      <c r="B67" s="1024" t="s">
        <v>1881</v>
      </c>
      <c r="C67" s="1025" t="s">
        <v>762</v>
      </c>
      <c r="D67" s="1025" t="s">
        <v>1526</v>
      </c>
      <c r="E67" s="494"/>
      <c r="F67" s="495"/>
      <c r="G67" s="1026" t="s">
        <v>1905</v>
      </c>
      <c r="H67" s="1027" t="str">
        <f>IF(I67=0,"",(INDEX(AccountCodes[ACCOUNT NAME],MATCH(I67,AccountCodes[NGAS CODE],0))))</f>
        <v>Depreciation-Machinery and Equipment - Office Equipment</v>
      </c>
      <c r="I67" s="957" t="s">
        <v>278</v>
      </c>
      <c r="J67" s="497"/>
      <c r="K67" s="497">
        <v>10440.4</v>
      </c>
      <c r="L67" s="989">
        <f t="shared" ref="L67:L68" si="6">L66+J67-K67</f>
        <v>0</v>
      </c>
    </row>
    <row r="68" spans="1:12" ht="25.5" x14ac:dyDescent="0.25">
      <c r="A68" s="1023">
        <v>44804</v>
      </c>
      <c r="B68" s="1024" t="s">
        <v>1881</v>
      </c>
      <c r="C68" s="1025" t="s">
        <v>762</v>
      </c>
      <c r="D68" s="1025" t="s">
        <v>1526</v>
      </c>
      <c r="E68" s="494"/>
      <c r="F68" s="495"/>
      <c r="G68" s="1026" t="s">
        <v>1906</v>
      </c>
      <c r="H68" s="1027" t="str">
        <f>IF(I68=0,"",(INDEX(AccountCodes[ACCOUNT NAME],MATCH(I68,AccountCodes[NGAS CODE],0))))</f>
        <v>Accumulated Depreciation-Information and Communications Technology Equipment</v>
      </c>
      <c r="I68" s="666" t="s">
        <v>90</v>
      </c>
      <c r="J68" s="497">
        <v>36449.18</v>
      </c>
      <c r="K68" s="497"/>
      <c r="L68" s="989">
        <f t="shared" si="6"/>
        <v>36449.18</v>
      </c>
    </row>
    <row r="69" spans="1:12" ht="25.5" x14ac:dyDescent="0.25">
      <c r="A69" s="1023">
        <v>44804</v>
      </c>
      <c r="B69" s="1024" t="s">
        <v>1881</v>
      </c>
      <c r="C69" s="1025" t="s">
        <v>762</v>
      </c>
      <c r="D69" s="1025" t="s">
        <v>1526</v>
      </c>
      <c r="E69" s="494"/>
      <c r="F69" s="495"/>
      <c r="G69" s="1026" t="s">
        <v>1906</v>
      </c>
      <c r="H69" s="1027" t="str">
        <f>IF(I69=0,"",(INDEX(AccountCodes[ACCOUNT NAME],MATCH(I69,AccountCodes[NGAS CODE],0))))</f>
        <v>Accumulated Surplus/(Deficit) (Government Equity)</v>
      </c>
      <c r="I69" s="957" t="s">
        <v>122</v>
      </c>
      <c r="J69" s="497">
        <v>99854.24</v>
      </c>
      <c r="K69" s="497"/>
      <c r="L69" s="989">
        <f t="shared" ref="L69:L70" si="7">L68+J69-K69</f>
        <v>136303.42000000001</v>
      </c>
    </row>
    <row r="70" spans="1:12" ht="25.5" x14ac:dyDescent="0.25">
      <c r="A70" s="1023">
        <v>44804</v>
      </c>
      <c r="B70" s="1024" t="s">
        <v>1881</v>
      </c>
      <c r="C70" s="1025" t="s">
        <v>762</v>
      </c>
      <c r="D70" s="1025" t="s">
        <v>1526</v>
      </c>
      <c r="E70" s="494"/>
      <c r="F70" s="495"/>
      <c r="G70" s="1026" t="s">
        <v>1906</v>
      </c>
      <c r="H70" s="1027" t="str">
        <f>IF(I70=0,"",(INDEX(AccountCodes[ACCOUNT NAME],MATCH(I70,AccountCodes[NGAS CODE],0))))</f>
        <v>Information and Communications Technology Equipment</v>
      </c>
      <c r="I70" s="666" t="s">
        <v>44</v>
      </c>
      <c r="J70" s="497"/>
      <c r="K70" s="497">
        <v>124478</v>
      </c>
      <c r="L70" s="989">
        <f t="shared" si="7"/>
        <v>11825.42</v>
      </c>
    </row>
    <row r="71" spans="1:12" ht="25.5" x14ac:dyDescent="0.25">
      <c r="A71" s="1023">
        <v>44804</v>
      </c>
      <c r="B71" s="1024" t="s">
        <v>1881</v>
      </c>
      <c r="C71" s="1025" t="s">
        <v>762</v>
      </c>
      <c r="D71" s="1025" t="s">
        <v>1526</v>
      </c>
      <c r="E71" s="494"/>
      <c r="F71" s="495"/>
      <c r="G71" s="1026" t="s">
        <v>1906</v>
      </c>
      <c r="H71" s="1027" t="str">
        <f>IF(I71=0,"",(INDEX(AccountCodes[ACCOUNT NAME],MATCH(I71,AccountCodes[NGAS CODE],0))))</f>
        <v>Depreciation-Machinery and Equipment - ICT Equipment</v>
      </c>
      <c r="I71" s="957" t="s">
        <v>280</v>
      </c>
      <c r="J71" s="497"/>
      <c r="K71" s="497">
        <v>11825.42</v>
      </c>
      <c r="L71" s="989">
        <f t="shared" ref="L71" si="8">L70+J71-K71</f>
        <v>0</v>
      </c>
    </row>
    <row r="72" spans="1:12" ht="25.5" x14ac:dyDescent="0.25">
      <c r="A72" s="541">
        <v>44804</v>
      </c>
      <c r="B72" s="663" t="s">
        <v>1881</v>
      </c>
      <c r="C72" s="664" t="s">
        <v>762</v>
      </c>
      <c r="D72" s="664" t="s">
        <v>1526</v>
      </c>
      <c r="E72" s="494"/>
      <c r="F72" s="495"/>
      <c r="G72" s="143" t="s">
        <v>1907</v>
      </c>
      <c r="H72" s="496" t="str">
        <f>IF(I72=0,"",(INDEX(AccountCodes[ACCOUNT NAME],MATCH(I72,AccountCodes[NGAS CODE],0))))</f>
        <v>Construction in Progress-Infrastructure Assets (Irrigation, Canals and Laterals)</v>
      </c>
      <c r="I72" s="957" t="s">
        <v>82</v>
      </c>
      <c r="J72" s="497">
        <v>765596.49</v>
      </c>
      <c r="K72" s="497"/>
      <c r="L72" s="989">
        <f t="shared" ref="L72:L79" si="9">L71+J72-K72</f>
        <v>765596.49</v>
      </c>
    </row>
    <row r="73" spans="1:12" ht="25.5" x14ac:dyDescent="0.25">
      <c r="A73" s="541">
        <v>44804</v>
      </c>
      <c r="B73" s="663" t="s">
        <v>1881</v>
      </c>
      <c r="C73" s="664" t="s">
        <v>762</v>
      </c>
      <c r="D73" s="664" t="s">
        <v>1526</v>
      </c>
      <c r="E73" s="494"/>
      <c r="F73" s="495"/>
      <c r="G73" s="143" t="s">
        <v>1907</v>
      </c>
      <c r="H73" s="496" t="str">
        <f>IF(I73=0,"",(INDEX(AccountCodes[ACCOUNT NAME],MATCH(I73,AccountCodes[NGAS CODE],0))))</f>
        <v>Accumulated Surplus/(Deficit) (Government Equity)</v>
      </c>
      <c r="I73" s="957" t="s">
        <v>122</v>
      </c>
      <c r="J73" s="497"/>
      <c r="K73" s="497">
        <v>765596.49</v>
      </c>
      <c r="L73" s="989">
        <f t="shared" si="9"/>
        <v>0</v>
      </c>
    </row>
    <row r="74" spans="1:12" ht="25.5" x14ac:dyDescent="0.25">
      <c r="A74" s="541">
        <v>44804</v>
      </c>
      <c r="B74" s="663" t="s">
        <v>1881</v>
      </c>
      <c r="C74" s="664" t="s">
        <v>762</v>
      </c>
      <c r="D74" s="664" t="s">
        <v>1526</v>
      </c>
      <c r="E74" s="494"/>
      <c r="F74" s="495"/>
      <c r="G74" s="143" t="s">
        <v>1908</v>
      </c>
      <c r="H74" s="496" t="str">
        <f>IF(I74=0,"",(INDEX(AccountCodes[ACCOUNT NAME],MATCH(I74,AccountCodes[NGAS CODE],0))))</f>
        <v>Accumulated Surplus/(Deficit) (Government Equity)</v>
      </c>
      <c r="I74" s="957" t="s">
        <v>122</v>
      </c>
      <c r="J74" s="497">
        <v>123250</v>
      </c>
      <c r="K74" s="497"/>
      <c r="L74" s="989">
        <f t="shared" si="9"/>
        <v>123250</v>
      </c>
    </row>
    <row r="75" spans="1:12" ht="25.5" x14ac:dyDescent="0.25">
      <c r="A75" s="541">
        <v>44804</v>
      </c>
      <c r="B75" s="663" t="s">
        <v>1881</v>
      </c>
      <c r="C75" s="664" t="s">
        <v>762</v>
      </c>
      <c r="D75" s="664" t="s">
        <v>1526</v>
      </c>
      <c r="E75" s="494"/>
      <c r="F75" s="495"/>
      <c r="G75" s="143" t="s">
        <v>1908</v>
      </c>
      <c r="H75" s="496" t="str">
        <f>IF(I75=0,"",(INDEX(AccountCodes[ACCOUNT NAME],MATCH(I75,AccountCodes[NGAS CODE],0))))</f>
        <v>Construction in Progress-Infrastructure Assets (Irrigation, Canals and Laterals)</v>
      </c>
      <c r="I75" s="957" t="s">
        <v>82</v>
      </c>
      <c r="J75" s="497"/>
      <c r="K75" s="497">
        <v>123250</v>
      </c>
      <c r="L75" s="989">
        <f t="shared" si="9"/>
        <v>0</v>
      </c>
    </row>
    <row r="76" spans="1:12" ht="25.5" x14ac:dyDescent="0.25">
      <c r="A76" s="541">
        <v>44804</v>
      </c>
      <c r="B76" s="663" t="s">
        <v>1881</v>
      </c>
      <c r="C76" s="664" t="s">
        <v>762</v>
      </c>
      <c r="D76" s="664" t="s">
        <v>1526</v>
      </c>
      <c r="E76" s="494"/>
      <c r="F76" s="495"/>
      <c r="G76" s="143" t="s">
        <v>1909</v>
      </c>
      <c r="H76" s="496" t="str">
        <f>IF(I76=0,"",(INDEX(AccountCodes[ACCOUNT NAME],MATCH(I76,AccountCodes[NGAS CODE],0))))</f>
        <v>Depreciation-Machinery and Equipment - Office Equipment</v>
      </c>
      <c r="I76" s="957" t="s">
        <v>278</v>
      </c>
      <c r="J76" s="497">
        <v>3379.47</v>
      </c>
      <c r="K76" s="497"/>
      <c r="L76" s="989">
        <f t="shared" si="9"/>
        <v>3379.47</v>
      </c>
    </row>
    <row r="77" spans="1:12" ht="25.5" x14ac:dyDescent="0.25">
      <c r="A77" s="541">
        <v>44804</v>
      </c>
      <c r="B77" s="663" t="s">
        <v>1881</v>
      </c>
      <c r="C77" s="664" t="s">
        <v>762</v>
      </c>
      <c r="D77" s="664" t="s">
        <v>1526</v>
      </c>
      <c r="E77" s="494"/>
      <c r="F77" s="495"/>
      <c r="G77" s="143" t="s">
        <v>1909</v>
      </c>
      <c r="H77" s="496" t="str">
        <f>IF(I77=0,"",(INDEX(AccountCodes[ACCOUNT NAME],MATCH(I77,AccountCodes[NGAS CODE],0))))</f>
        <v>Depreciation-Machinery and Equipment - ICT Equipment</v>
      </c>
      <c r="I77" s="957" t="s">
        <v>280</v>
      </c>
      <c r="J77" s="497">
        <v>6035.07</v>
      </c>
      <c r="K77" s="497"/>
      <c r="L77" s="989">
        <f t="shared" si="9"/>
        <v>9414.5400000000009</v>
      </c>
    </row>
    <row r="78" spans="1:12" ht="25.5" x14ac:dyDescent="0.25">
      <c r="A78" s="541">
        <v>44804</v>
      </c>
      <c r="B78" s="663" t="s">
        <v>1881</v>
      </c>
      <c r="C78" s="664" t="s">
        <v>762</v>
      </c>
      <c r="D78" s="664" t="s">
        <v>1526</v>
      </c>
      <c r="E78" s="494"/>
      <c r="F78" s="495"/>
      <c r="G78" s="143" t="s">
        <v>1909</v>
      </c>
      <c r="H78" s="496" t="str">
        <f>IF(I78=0,"",(INDEX(AccountCodes[ACCOUNT NAME],MATCH(I78,AccountCodes[NGAS CODE],0))))</f>
        <v>Accumulated Depreciation-Office Equipment</v>
      </c>
      <c r="I78" s="957" t="s">
        <v>88</v>
      </c>
      <c r="J78" s="497"/>
      <c r="K78" s="497">
        <v>3379.47</v>
      </c>
      <c r="L78" s="989">
        <f t="shared" si="9"/>
        <v>6035.07</v>
      </c>
    </row>
    <row r="79" spans="1:12" ht="25.5" x14ac:dyDescent="0.25">
      <c r="A79" s="541">
        <v>44804</v>
      </c>
      <c r="B79" s="663" t="s">
        <v>1881</v>
      </c>
      <c r="C79" s="664" t="s">
        <v>762</v>
      </c>
      <c r="D79" s="664" t="s">
        <v>1526</v>
      </c>
      <c r="E79" s="494"/>
      <c r="F79" s="495"/>
      <c r="G79" s="143" t="s">
        <v>1909</v>
      </c>
      <c r="H79" s="496" t="str">
        <f>IF(I79=0,"",(INDEX(AccountCodes[ACCOUNT NAME],MATCH(I79,AccountCodes[NGAS CODE],0))))</f>
        <v>Accumulated Depreciation-Information and Communications Technology Equipment</v>
      </c>
      <c r="I79" s="957" t="s">
        <v>90</v>
      </c>
      <c r="J79" s="497"/>
      <c r="K79" s="497">
        <v>6035.07</v>
      </c>
      <c r="L79" s="989">
        <f t="shared" si="9"/>
        <v>0</v>
      </c>
    </row>
    <row r="80" spans="1:12" ht="25.5" x14ac:dyDescent="0.25">
      <c r="A80" s="541">
        <v>44804</v>
      </c>
      <c r="B80" s="663" t="s">
        <v>1881</v>
      </c>
      <c r="C80" s="664" t="s">
        <v>762</v>
      </c>
      <c r="D80" s="664" t="s">
        <v>1526</v>
      </c>
      <c r="E80" s="494"/>
      <c r="F80" s="495"/>
      <c r="G80" s="143" t="s">
        <v>1910</v>
      </c>
      <c r="H80" s="496" t="str">
        <f>IF(I80=0,"",(INDEX(AccountCodes[ACCOUNT NAME],MATCH(I80,AccountCodes[NGAS CODE],0))))</f>
        <v>Depreciation-Machinery and Equipment - Office Equipment</v>
      </c>
      <c r="I80" s="957" t="s">
        <v>278</v>
      </c>
      <c r="J80" s="497">
        <v>3379.47</v>
      </c>
      <c r="K80" s="497"/>
      <c r="L80" s="989">
        <f t="shared" ref="L80:L85" si="10">L79+J80-K80</f>
        <v>3379.47</v>
      </c>
    </row>
    <row r="81" spans="1:12" ht="25.5" x14ac:dyDescent="0.25">
      <c r="A81" s="541">
        <v>44804</v>
      </c>
      <c r="B81" s="663" t="s">
        <v>1881</v>
      </c>
      <c r="C81" s="664" t="s">
        <v>762</v>
      </c>
      <c r="D81" s="664" t="s">
        <v>1526</v>
      </c>
      <c r="E81" s="494"/>
      <c r="F81" s="495"/>
      <c r="G81" s="143" t="s">
        <v>1910</v>
      </c>
      <c r="H81" s="496" t="str">
        <f>IF(I81=0,"",(INDEX(AccountCodes[ACCOUNT NAME],MATCH(I81,AccountCodes[NGAS CODE],0))))</f>
        <v>Depreciation-Machinery and Equipment - ICT Equipment</v>
      </c>
      <c r="I81" s="957" t="s">
        <v>280</v>
      </c>
      <c r="J81" s="497">
        <v>6035.07</v>
      </c>
      <c r="K81" s="497"/>
      <c r="L81" s="989">
        <f t="shared" si="10"/>
        <v>9414.5400000000009</v>
      </c>
    </row>
    <row r="82" spans="1:12" ht="25.5" x14ac:dyDescent="0.25">
      <c r="A82" s="541">
        <v>44804</v>
      </c>
      <c r="B82" s="663" t="s">
        <v>1881</v>
      </c>
      <c r="C82" s="664" t="s">
        <v>762</v>
      </c>
      <c r="D82" s="664" t="s">
        <v>1526</v>
      </c>
      <c r="E82" s="494"/>
      <c r="F82" s="495"/>
      <c r="G82" s="143" t="s">
        <v>1910</v>
      </c>
      <c r="H82" s="496" t="str">
        <f>IF(I82=0,"",(INDEX(AccountCodes[ACCOUNT NAME],MATCH(I82,AccountCodes[NGAS CODE],0))))</f>
        <v>Accumulated Depreciation-Office Equipment</v>
      </c>
      <c r="I82" s="957" t="s">
        <v>88</v>
      </c>
      <c r="J82" s="497"/>
      <c r="K82" s="497">
        <v>3379.47</v>
      </c>
      <c r="L82" s="989">
        <f t="shared" si="10"/>
        <v>6035.07</v>
      </c>
    </row>
    <row r="83" spans="1:12" ht="25.5" x14ac:dyDescent="0.25">
      <c r="A83" s="541">
        <v>44804</v>
      </c>
      <c r="B83" s="663" t="s">
        <v>1881</v>
      </c>
      <c r="C83" s="664" t="s">
        <v>762</v>
      </c>
      <c r="D83" s="664" t="s">
        <v>1526</v>
      </c>
      <c r="E83" s="494"/>
      <c r="F83" s="495"/>
      <c r="G83" s="143" t="s">
        <v>1910</v>
      </c>
      <c r="H83" s="496" t="str">
        <f>IF(I83=0,"",(INDEX(AccountCodes[ACCOUNT NAME],MATCH(I83,AccountCodes[NGAS CODE],0))))</f>
        <v>Accumulated Depreciation-Information and Communications Technology Equipment</v>
      </c>
      <c r="I83" s="957" t="s">
        <v>90</v>
      </c>
      <c r="J83" s="497"/>
      <c r="K83" s="497">
        <v>6035.07</v>
      </c>
      <c r="L83" s="989">
        <f t="shared" si="10"/>
        <v>0</v>
      </c>
    </row>
    <row r="84" spans="1:12" ht="25.5" x14ac:dyDescent="0.25">
      <c r="A84" s="541">
        <v>44804</v>
      </c>
      <c r="B84" s="663" t="s">
        <v>1881</v>
      </c>
      <c r="C84" s="664" t="s">
        <v>762</v>
      </c>
      <c r="D84" s="664" t="s">
        <v>1526</v>
      </c>
      <c r="E84" s="494"/>
      <c r="F84" s="495"/>
      <c r="G84" s="143" t="s">
        <v>1911</v>
      </c>
      <c r="H84" s="496" t="str">
        <f>IF(I84=0,"",(INDEX(AccountCodes[ACCOUNT NAME],MATCH(I84,AccountCodes[NGAS CODE],0))))</f>
        <v>Depreciation-Infrastructure Assets - Other Infrastructure Assets (Irrigation Canals &amp; Laterals)</v>
      </c>
      <c r="I84" s="957" t="s">
        <v>1452</v>
      </c>
      <c r="J84" s="497">
        <v>392276.88</v>
      </c>
      <c r="K84" s="497"/>
      <c r="L84" s="989">
        <f t="shared" si="10"/>
        <v>392276.88</v>
      </c>
    </row>
    <row r="85" spans="1:12" ht="25.5" x14ac:dyDescent="0.25">
      <c r="A85" s="541">
        <v>44804</v>
      </c>
      <c r="B85" s="663" t="s">
        <v>1881</v>
      </c>
      <c r="C85" s="664" t="s">
        <v>762</v>
      </c>
      <c r="D85" s="664" t="s">
        <v>1526</v>
      </c>
      <c r="E85" s="494"/>
      <c r="F85" s="495"/>
      <c r="G85" s="143" t="s">
        <v>1911</v>
      </c>
      <c r="H85" s="496" t="str">
        <f>IF(I85=0,"",(INDEX(AccountCodes[ACCOUNT NAME],MATCH(I85,AccountCodes[NGAS CODE],0))))</f>
        <v>Accumulated Depreciation-Water Supply Systems</v>
      </c>
      <c r="I85" s="957" t="s">
        <v>1261</v>
      </c>
      <c r="J85" s="497"/>
      <c r="K85" s="497">
        <v>392276.88</v>
      </c>
      <c r="L85" s="989">
        <f t="shared" si="10"/>
        <v>0</v>
      </c>
    </row>
    <row r="86" spans="1:12" ht="25.5" x14ac:dyDescent="0.25">
      <c r="A86" s="541">
        <v>44834</v>
      </c>
      <c r="B86" s="663" t="s">
        <v>1913</v>
      </c>
      <c r="C86" s="664" t="s">
        <v>762</v>
      </c>
      <c r="D86" s="664" t="s">
        <v>1526</v>
      </c>
      <c r="E86" s="494"/>
      <c r="F86" s="495"/>
      <c r="G86" s="143" t="s">
        <v>1973</v>
      </c>
      <c r="H86" s="496" t="str">
        <f>IF(I86=0,"",(INDEX(AccountCodes[ACCOUNT NAME],MATCH(I86,AccountCodes[NGAS CODE],0))))</f>
        <v>Cash in Bank-Local Currency, Current Account - FO</v>
      </c>
      <c r="I86" s="666" t="s">
        <v>1566</v>
      </c>
      <c r="J86" s="497">
        <v>97966.35</v>
      </c>
      <c r="K86" s="497"/>
      <c r="L86" s="989">
        <f t="shared" ref="L86:L95" si="11">L85+J86-K86</f>
        <v>97966.35</v>
      </c>
    </row>
    <row r="87" spans="1:12" ht="25.5" x14ac:dyDescent="0.25">
      <c r="A87" s="541">
        <v>44834</v>
      </c>
      <c r="B87" s="663" t="s">
        <v>1913</v>
      </c>
      <c r="C87" s="664" t="s">
        <v>762</v>
      </c>
      <c r="D87" s="664" t="s">
        <v>1526</v>
      </c>
      <c r="E87" s="494"/>
      <c r="F87" s="495"/>
      <c r="G87" s="143" t="s">
        <v>1973</v>
      </c>
      <c r="H87" s="496" t="str">
        <f>IF(I87=0,"",(INDEX(AccountCodes[ACCOUNT NAME],MATCH(I87,AccountCodes[NGAS CODE],0))))</f>
        <v>Cash in Bank-Local Currency, Current Account - RO</v>
      </c>
      <c r="I87" s="666" t="s">
        <v>1556</v>
      </c>
      <c r="J87" s="497"/>
      <c r="K87" s="497">
        <v>97966.35</v>
      </c>
      <c r="L87" s="989">
        <f t="shared" si="11"/>
        <v>0</v>
      </c>
    </row>
    <row r="88" spans="1:12" ht="25.5" x14ac:dyDescent="0.25">
      <c r="A88" s="541">
        <v>44834</v>
      </c>
      <c r="B88" s="663" t="s">
        <v>1913</v>
      </c>
      <c r="C88" s="664" t="s">
        <v>762</v>
      </c>
      <c r="D88" s="664" t="s">
        <v>1526</v>
      </c>
      <c r="E88" s="494"/>
      <c r="F88" s="495"/>
      <c r="G88" s="143" t="s">
        <v>1974</v>
      </c>
      <c r="H88" s="496" t="str">
        <f>IF(I88=0,"",(INDEX(AccountCodes[ACCOUNT NAME],MATCH(I88,AccountCodes[NGAS CODE],0))))</f>
        <v>Cash in Bank-Local Currency, Current Account - FO</v>
      </c>
      <c r="I88" s="666" t="s">
        <v>1566</v>
      </c>
      <c r="J88" s="497">
        <v>2351250</v>
      </c>
      <c r="K88" s="497"/>
      <c r="L88" s="989">
        <f t="shared" si="11"/>
        <v>2351250</v>
      </c>
    </row>
    <row r="89" spans="1:12" ht="25.5" x14ac:dyDescent="0.25">
      <c r="A89" s="541">
        <v>44834</v>
      </c>
      <c r="B89" s="663" t="s">
        <v>1913</v>
      </c>
      <c r="C89" s="664" t="s">
        <v>762</v>
      </c>
      <c r="D89" s="664" t="s">
        <v>1526</v>
      </c>
      <c r="E89" s="494"/>
      <c r="F89" s="495"/>
      <c r="G89" s="143" t="s">
        <v>1974</v>
      </c>
      <c r="H89" s="496" t="str">
        <f>IF(I89=0,"",(INDEX(AccountCodes[ACCOUNT NAME],MATCH(I89,AccountCodes[NGAS CODE],0))))</f>
        <v>Cash in Bank-Local Currency, Current Account - RO</v>
      </c>
      <c r="I89" s="666" t="s">
        <v>1556</v>
      </c>
      <c r="J89" s="497"/>
      <c r="K89" s="497">
        <v>2351250</v>
      </c>
      <c r="L89" s="989">
        <f t="shared" si="11"/>
        <v>0</v>
      </c>
    </row>
    <row r="90" spans="1:12" ht="25.5" x14ac:dyDescent="0.25">
      <c r="A90" s="541">
        <v>44834</v>
      </c>
      <c r="B90" s="663" t="s">
        <v>1913</v>
      </c>
      <c r="C90" s="664" t="s">
        <v>762</v>
      </c>
      <c r="D90" s="664" t="s">
        <v>1526</v>
      </c>
      <c r="E90" s="494"/>
      <c r="F90" s="495"/>
      <c r="G90" s="665" t="s">
        <v>1975</v>
      </c>
      <c r="H90" s="496" t="str">
        <f>IF(I90=0,"",(INDEX(AccountCodes[ACCOUNT NAME],MATCH(I90,AccountCodes[NGAS CODE],0))))</f>
        <v>Depreciation-Machinery and Equipment - Office Equipment</v>
      </c>
      <c r="I90" s="957" t="s">
        <v>278</v>
      </c>
      <c r="J90" s="497">
        <v>3379.47</v>
      </c>
      <c r="K90" s="497"/>
      <c r="L90" s="989">
        <f t="shared" si="11"/>
        <v>3379.47</v>
      </c>
    </row>
    <row r="91" spans="1:12" ht="25.5" x14ac:dyDescent="0.25">
      <c r="A91" s="541">
        <v>44834</v>
      </c>
      <c r="B91" s="663" t="s">
        <v>1913</v>
      </c>
      <c r="C91" s="664" t="s">
        <v>762</v>
      </c>
      <c r="D91" s="664" t="s">
        <v>1526</v>
      </c>
      <c r="E91" s="494"/>
      <c r="F91" s="495"/>
      <c r="G91" s="665" t="s">
        <v>1975</v>
      </c>
      <c r="H91" s="496" t="str">
        <f>IF(I91=0,"",(INDEX(AccountCodes[ACCOUNT NAME],MATCH(I91,AccountCodes[NGAS CODE],0))))</f>
        <v>Depreciation-Machinery and Equipment - ICT Equipment</v>
      </c>
      <c r="I91" s="957" t="s">
        <v>280</v>
      </c>
      <c r="J91" s="497">
        <v>6035.07</v>
      </c>
      <c r="K91" s="497"/>
      <c r="L91" s="989">
        <f t="shared" si="11"/>
        <v>9414.5400000000009</v>
      </c>
    </row>
    <row r="92" spans="1:12" ht="25.5" x14ac:dyDescent="0.25">
      <c r="A92" s="541">
        <v>44834</v>
      </c>
      <c r="B92" s="663" t="s">
        <v>1913</v>
      </c>
      <c r="C92" s="664" t="s">
        <v>762</v>
      </c>
      <c r="D92" s="664" t="s">
        <v>1526</v>
      </c>
      <c r="E92" s="494"/>
      <c r="F92" s="495"/>
      <c r="G92" s="665" t="s">
        <v>1975</v>
      </c>
      <c r="H92" s="496" t="str">
        <f>IF(I92=0,"",(INDEX(AccountCodes[ACCOUNT NAME],MATCH(I92,AccountCodes[NGAS CODE],0))))</f>
        <v>Accumulated Depreciation-Office Equipment</v>
      </c>
      <c r="I92" s="957" t="s">
        <v>88</v>
      </c>
      <c r="J92" s="497"/>
      <c r="K92" s="497">
        <v>3379.47</v>
      </c>
      <c r="L92" s="989">
        <f t="shared" si="11"/>
        <v>6035.07</v>
      </c>
    </row>
    <row r="93" spans="1:12" ht="25.5" x14ac:dyDescent="0.25">
      <c r="A93" s="541">
        <v>44834</v>
      </c>
      <c r="B93" s="663" t="s">
        <v>1913</v>
      </c>
      <c r="C93" s="664" t="s">
        <v>762</v>
      </c>
      <c r="D93" s="664" t="s">
        <v>1526</v>
      </c>
      <c r="E93" s="494"/>
      <c r="F93" s="495"/>
      <c r="G93" s="665" t="s">
        <v>1975</v>
      </c>
      <c r="H93" s="496" t="str">
        <f>IF(I93=0,"",(INDEX(AccountCodes[ACCOUNT NAME],MATCH(I93,AccountCodes[NGAS CODE],0))))</f>
        <v>Accumulated Depreciation-Information and Communications Technology Equipment</v>
      </c>
      <c r="I93" s="957" t="s">
        <v>90</v>
      </c>
      <c r="J93" s="497"/>
      <c r="K93" s="497">
        <v>6035.07</v>
      </c>
      <c r="L93" s="989">
        <f t="shared" si="11"/>
        <v>0</v>
      </c>
    </row>
    <row r="94" spans="1:12" ht="25.5" x14ac:dyDescent="0.25">
      <c r="A94" s="541">
        <v>44834</v>
      </c>
      <c r="B94" s="663" t="s">
        <v>1913</v>
      </c>
      <c r="C94" s="664" t="s">
        <v>762</v>
      </c>
      <c r="D94" s="664" t="s">
        <v>1526</v>
      </c>
      <c r="E94" s="494"/>
      <c r="F94" s="495"/>
      <c r="G94" s="665" t="s">
        <v>1979</v>
      </c>
      <c r="H94" s="496" t="str">
        <f>IF(I94=0,"",(INDEX(AccountCodes[ACCOUNT NAME],MATCH(I94,AccountCodes[NGAS CODE],0))))</f>
        <v>Cash in Bank-Local Currency, Current Account - FO</v>
      </c>
      <c r="I94" s="957" t="s">
        <v>1566</v>
      </c>
      <c r="J94" s="497">
        <v>634.37</v>
      </c>
      <c r="K94" s="497"/>
      <c r="L94" s="989">
        <f t="shared" si="11"/>
        <v>634.37</v>
      </c>
    </row>
    <row r="95" spans="1:12" ht="25.5" x14ac:dyDescent="0.25">
      <c r="A95" s="541">
        <v>44834</v>
      </c>
      <c r="B95" s="663" t="s">
        <v>1913</v>
      </c>
      <c r="C95" s="664" t="s">
        <v>762</v>
      </c>
      <c r="D95" s="664" t="s">
        <v>1526</v>
      </c>
      <c r="E95" s="494"/>
      <c r="F95" s="495"/>
      <c r="G95" s="665" t="s">
        <v>1979</v>
      </c>
      <c r="H95" s="496" t="str">
        <f>IF(I95=0,"",(INDEX(AccountCodes[ACCOUNT NAME],MATCH(I95,AccountCodes[NGAS CODE],0))))</f>
        <v>Due to the Treasurer of the Philippines</v>
      </c>
      <c r="I95" s="957" t="s">
        <v>1496</v>
      </c>
      <c r="J95" s="497"/>
      <c r="K95" s="497">
        <v>634.37</v>
      </c>
      <c r="L95" s="989">
        <f t="shared" si="11"/>
        <v>0</v>
      </c>
    </row>
    <row r="96" spans="1:12" ht="25.5" x14ac:dyDescent="0.25">
      <c r="A96" s="541">
        <v>44834</v>
      </c>
      <c r="B96" s="663" t="s">
        <v>1913</v>
      </c>
      <c r="C96" s="664" t="s">
        <v>762</v>
      </c>
      <c r="D96" s="664" t="s">
        <v>1526</v>
      </c>
      <c r="E96" s="145"/>
      <c r="F96" s="137"/>
      <c r="G96" s="143" t="s">
        <v>1980</v>
      </c>
      <c r="H96" s="3" t="str">
        <f>IF(I96=0,"",(INDEX(AccountCodes[ACCOUNT NAME],MATCH(I96,AccountCodes[NGAS CODE],0))))</f>
        <v>Semi-Expendable Machinery and Equipment Expenses</v>
      </c>
      <c r="I96" s="185" t="s">
        <v>1265</v>
      </c>
      <c r="J96" s="144">
        <v>33500</v>
      </c>
      <c r="K96" s="144"/>
      <c r="L96" s="150">
        <f t="shared" ref="L96:L99" si="12">L95+J96-K96</f>
        <v>33500</v>
      </c>
    </row>
    <row r="97" spans="1:12" ht="25.5" x14ac:dyDescent="0.25">
      <c r="A97" s="541">
        <v>44834</v>
      </c>
      <c r="B97" s="663" t="s">
        <v>1913</v>
      </c>
      <c r="C97" s="664" t="s">
        <v>762</v>
      </c>
      <c r="D97" s="664" t="s">
        <v>1526</v>
      </c>
      <c r="E97" s="145"/>
      <c r="F97" s="137"/>
      <c r="G97" s="143" t="s">
        <v>1980</v>
      </c>
      <c r="H97" s="3" t="str">
        <f>IF(I97=0,"",(INDEX(AccountCodes[ACCOUNT NAME],MATCH(I97,AccountCodes[NGAS CODE],0))))</f>
        <v>Semi-Expendable Furniture, Fixtures and Books Expenses</v>
      </c>
      <c r="I97" s="185" t="s">
        <v>1266</v>
      </c>
      <c r="J97" s="144">
        <v>8398</v>
      </c>
      <c r="K97" s="144"/>
      <c r="L97" s="150">
        <f t="shared" si="12"/>
        <v>41898</v>
      </c>
    </row>
    <row r="98" spans="1:12" ht="25.5" x14ac:dyDescent="0.25">
      <c r="A98" s="541">
        <v>44834</v>
      </c>
      <c r="B98" s="663" t="s">
        <v>1913</v>
      </c>
      <c r="C98" s="664" t="s">
        <v>762</v>
      </c>
      <c r="D98" s="664" t="s">
        <v>1526</v>
      </c>
      <c r="E98" s="145"/>
      <c r="F98" s="137"/>
      <c r="G98" s="143" t="s">
        <v>1980</v>
      </c>
      <c r="H98" s="3" t="str">
        <f>IF(I98=0,"",(INDEX(AccountCodes[ACCOUNT NAME],MATCH(I98,AccountCodes[NGAS CODE],0))))</f>
        <v>Semi-Expendable Information and Communications Technology Equipment</v>
      </c>
      <c r="I98" s="185" t="s">
        <v>1246</v>
      </c>
      <c r="J98" s="144"/>
      <c r="K98" s="144">
        <v>33500</v>
      </c>
      <c r="L98" s="150">
        <f t="shared" si="12"/>
        <v>8398</v>
      </c>
    </row>
    <row r="99" spans="1:12" ht="25.5" x14ac:dyDescent="0.25">
      <c r="A99" s="541">
        <v>44834</v>
      </c>
      <c r="B99" s="663" t="s">
        <v>1913</v>
      </c>
      <c r="C99" s="664" t="s">
        <v>762</v>
      </c>
      <c r="D99" s="664" t="s">
        <v>1526</v>
      </c>
      <c r="E99" s="145"/>
      <c r="F99" s="137"/>
      <c r="G99" s="143" t="s">
        <v>1980</v>
      </c>
      <c r="H99" s="3" t="str">
        <f>IF(I99=0,"",(INDEX(AccountCodes[ACCOUNT NAME],MATCH(I99,AccountCodes[NGAS CODE],0))))</f>
        <v>Semi-Expendable Furniture and Fixtures</v>
      </c>
      <c r="I99" s="185" t="s">
        <v>1438</v>
      </c>
      <c r="J99" s="144"/>
      <c r="K99" s="144">
        <v>8398</v>
      </c>
      <c r="L99" s="150">
        <f t="shared" si="12"/>
        <v>0</v>
      </c>
    </row>
    <row r="100" spans="1:12" ht="25.5" x14ac:dyDescent="0.25">
      <c r="A100" s="541">
        <v>44834</v>
      </c>
      <c r="B100" s="663" t="s">
        <v>1913</v>
      </c>
      <c r="C100" s="664" t="s">
        <v>762</v>
      </c>
      <c r="D100" s="664" t="s">
        <v>1526</v>
      </c>
      <c r="E100" s="145"/>
      <c r="F100" s="137"/>
      <c r="G100" s="143" t="s">
        <v>1982</v>
      </c>
      <c r="H100" s="3" t="str">
        <f>IF(I100=0,"",(INDEX(AccountCodes[ACCOUNT NAME],MATCH(I100,AccountCodes[NGAS CODE],0))))</f>
        <v>Depreciation-Infrastructure Assets - Other Infrastructure Assets (Irrigation Canals &amp; Laterals)</v>
      </c>
      <c r="I100" s="185" t="s">
        <v>1452</v>
      </c>
      <c r="J100" s="144">
        <v>196138.44</v>
      </c>
      <c r="K100" s="144"/>
      <c r="L100" s="150">
        <f t="shared" ref="L100:L140" si="13">L99+J100-K100</f>
        <v>196138.44</v>
      </c>
    </row>
    <row r="101" spans="1:12" ht="25.5" x14ac:dyDescent="0.25">
      <c r="A101" s="541">
        <v>44834</v>
      </c>
      <c r="B101" s="663" t="s">
        <v>1913</v>
      </c>
      <c r="C101" s="664" t="s">
        <v>762</v>
      </c>
      <c r="D101" s="664" t="s">
        <v>1526</v>
      </c>
      <c r="E101" s="145"/>
      <c r="F101" s="137"/>
      <c r="G101" s="143" t="s">
        <v>1982</v>
      </c>
      <c r="H101" s="3" t="str">
        <f>IF(I101=0,"",(INDEX(AccountCodes[ACCOUNT NAME],MATCH(I101,AccountCodes[NGAS CODE],0))))</f>
        <v>Accumulated Depreciation-Water Supply Systems</v>
      </c>
      <c r="I101" s="185" t="s">
        <v>1261</v>
      </c>
      <c r="J101" s="144"/>
      <c r="K101" s="144">
        <v>196138.44</v>
      </c>
      <c r="L101" s="150">
        <f t="shared" si="13"/>
        <v>0</v>
      </c>
    </row>
    <row r="102" spans="1:12" ht="25.5" x14ac:dyDescent="0.25">
      <c r="A102" s="541">
        <v>44865</v>
      </c>
      <c r="B102" s="663" t="s">
        <v>1984</v>
      </c>
      <c r="C102" s="664" t="s">
        <v>762</v>
      </c>
      <c r="D102" s="664" t="s">
        <v>1526</v>
      </c>
      <c r="E102" s="145"/>
      <c r="F102" s="137"/>
      <c r="G102" s="143" t="s">
        <v>1983</v>
      </c>
      <c r="H102" s="3" t="str">
        <f>IF(I102=0,"",(INDEX(AccountCodes[ACCOUNT NAME],MATCH(I102,AccountCodes[NGAS CODE],0))))</f>
        <v>Office Supplies Expenses</v>
      </c>
      <c r="I102" s="185" t="s">
        <v>225</v>
      </c>
      <c r="J102" s="144">
        <v>12064</v>
      </c>
      <c r="K102" s="144"/>
      <c r="L102" s="150">
        <f t="shared" si="13"/>
        <v>12064</v>
      </c>
    </row>
    <row r="103" spans="1:12" ht="25.5" x14ac:dyDescent="0.25">
      <c r="A103" s="541">
        <v>44865</v>
      </c>
      <c r="B103" s="663" t="s">
        <v>1984</v>
      </c>
      <c r="C103" s="664" t="s">
        <v>762</v>
      </c>
      <c r="D103" s="664" t="s">
        <v>1526</v>
      </c>
      <c r="E103" s="494"/>
      <c r="F103" s="495"/>
      <c r="G103" s="143" t="s">
        <v>1983</v>
      </c>
      <c r="H103" s="496" t="str">
        <f>IF(I103=0,"",(INDEX(AccountCodes[ACCOUNT NAME],MATCH(I103,AccountCodes[NGAS CODE],0))))</f>
        <v>Office Supplies Inventory</v>
      </c>
      <c r="I103" s="957" t="s">
        <v>30</v>
      </c>
      <c r="J103" s="497"/>
      <c r="K103" s="497">
        <v>12064</v>
      </c>
      <c r="L103" s="150">
        <f t="shared" si="13"/>
        <v>0</v>
      </c>
    </row>
    <row r="104" spans="1:12" ht="25.5" x14ac:dyDescent="0.25">
      <c r="A104" s="541">
        <v>44865</v>
      </c>
      <c r="B104" s="663" t="s">
        <v>1984</v>
      </c>
      <c r="C104" s="664" t="s">
        <v>762</v>
      </c>
      <c r="D104" s="664" t="s">
        <v>1526</v>
      </c>
      <c r="E104" s="494"/>
      <c r="F104" s="495"/>
      <c r="G104" s="143" t="s">
        <v>2020</v>
      </c>
      <c r="H104" s="496" t="str">
        <f>IF(I104=0,"",(INDEX(AccountCodes[ACCOUNT NAME],MATCH(I104,AccountCodes[NGAS CODE],0))))</f>
        <v>Cash in Bank-Local Currency, Current Account - FO</v>
      </c>
      <c r="I104" s="957" t="s">
        <v>1566</v>
      </c>
      <c r="J104" s="497">
        <v>97171.86</v>
      </c>
      <c r="K104" s="497"/>
      <c r="L104" s="150">
        <f t="shared" si="13"/>
        <v>97171.86</v>
      </c>
    </row>
    <row r="105" spans="1:12" ht="25.5" x14ac:dyDescent="0.25">
      <c r="A105" s="541">
        <v>44865</v>
      </c>
      <c r="B105" s="663" t="s">
        <v>1984</v>
      </c>
      <c r="C105" s="664" t="s">
        <v>762</v>
      </c>
      <c r="D105" s="664" t="s">
        <v>1526</v>
      </c>
      <c r="E105" s="145"/>
      <c r="F105" s="137"/>
      <c r="G105" s="143" t="s">
        <v>2020</v>
      </c>
      <c r="H105" s="3" t="str">
        <f>IF(I105=0,"",(INDEX(AccountCodes[ACCOUNT NAME],MATCH(I105,AccountCodes[NGAS CODE],0))))</f>
        <v>Cash in Bank-Local Currency, Current Account - RO</v>
      </c>
      <c r="I105" s="185" t="s">
        <v>1556</v>
      </c>
      <c r="J105" s="144"/>
      <c r="K105" s="144">
        <v>97171.86</v>
      </c>
      <c r="L105" s="150">
        <f t="shared" si="13"/>
        <v>0</v>
      </c>
    </row>
    <row r="106" spans="1:12" ht="25.5" x14ac:dyDescent="0.25">
      <c r="A106" s="541">
        <v>44865</v>
      </c>
      <c r="B106" s="663" t="s">
        <v>1984</v>
      </c>
      <c r="C106" s="664" t="s">
        <v>762</v>
      </c>
      <c r="D106" s="664" t="s">
        <v>1526</v>
      </c>
      <c r="E106" s="145"/>
      <c r="F106" s="137"/>
      <c r="G106" s="143" t="s">
        <v>2021</v>
      </c>
      <c r="H106" s="3" t="str">
        <f>IF(I106=0,"",(INDEX(AccountCodes[ACCOUNT NAME],MATCH(I106,AccountCodes[NGAS CODE],0))))</f>
        <v>Depreciation-Infrastructure Assets - Other Infrastructure Assets (Irrigation Canals &amp; Laterals)</v>
      </c>
      <c r="I106" s="185" t="s">
        <v>1452</v>
      </c>
      <c r="J106" s="144">
        <v>196138.44</v>
      </c>
      <c r="K106" s="144"/>
      <c r="L106" s="150">
        <f t="shared" si="13"/>
        <v>196138.44</v>
      </c>
    </row>
    <row r="107" spans="1:12" ht="25.5" x14ac:dyDescent="0.25">
      <c r="A107" s="541">
        <v>44865</v>
      </c>
      <c r="B107" s="663" t="s">
        <v>1984</v>
      </c>
      <c r="C107" s="664" t="s">
        <v>762</v>
      </c>
      <c r="D107" s="664" t="s">
        <v>1526</v>
      </c>
      <c r="E107" s="145"/>
      <c r="F107" s="137"/>
      <c r="G107" s="143" t="s">
        <v>2021</v>
      </c>
      <c r="H107" s="3" t="str">
        <f>IF(I107=0,"",(INDEX(AccountCodes[ACCOUNT NAME],MATCH(I107,AccountCodes[NGAS CODE],0))))</f>
        <v>Accumulated Depreciation-Water Supply Systems</v>
      </c>
      <c r="I107" s="185" t="s">
        <v>1261</v>
      </c>
      <c r="J107" s="144"/>
      <c r="K107" s="144">
        <v>196138.44</v>
      </c>
      <c r="L107" s="150">
        <f t="shared" si="13"/>
        <v>0</v>
      </c>
    </row>
    <row r="108" spans="1:12" ht="25.5" x14ac:dyDescent="0.25">
      <c r="A108" s="541">
        <v>44865</v>
      </c>
      <c r="B108" s="663" t="s">
        <v>1984</v>
      </c>
      <c r="C108" s="664" t="s">
        <v>762</v>
      </c>
      <c r="D108" s="664" t="s">
        <v>1526</v>
      </c>
      <c r="E108" s="145"/>
      <c r="F108" s="137"/>
      <c r="G108" s="143" t="s">
        <v>2022</v>
      </c>
      <c r="H108" s="3" t="str">
        <f>IF(I108=0,"",(INDEX(AccountCodes[ACCOUNT NAME],MATCH(I108,AccountCodes[NGAS CODE],0))))</f>
        <v>Depreciation-Machinery and Equipment - Office Equipment</v>
      </c>
      <c r="I108" s="185" t="s">
        <v>278</v>
      </c>
      <c r="J108" s="144">
        <v>5358.64</v>
      </c>
      <c r="K108" s="144"/>
      <c r="L108" s="150">
        <f t="shared" si="13"/>
        <v>5358.64</v>
      </c>
    </row>
    <row r="109" spans="1:12" ht="25.5" x14ac:dyDescent="0.25">
      <c r="A109" s="541">
        <v>44865</v>
      </c>
      <c r="B109" s="663" t="s">
        <v>1984</v>
      </c>
      <c r="C109" s="664" t="s">
        <v>762</v>
      </c>
      <c r="D109" s="664" t="s">
        <v>1526</v>
      </c>
      <c r="E109" s="494"/>
      <c r="F109" s="495"/>
      <c r="G109" s="143" t="s">
        <v>2022</v>
      </c>
      <c r="H109" s="496" t="str">
        <f>IF(I109=0,"",(INDEX(AccountCodes[ACCOUNT NAME],MATCH(I109,AccountCodes[NGAS CODE],0))))</f>
        <v>Depreciation-Machinery and Equipment - ICT Equipment</v>
      </c>
      <c r="I109" s="957" t="s">
        <v>280</v>
      </c>
      <c r="J109" s="497">
        <v>11731.11</v>
      </c>
      <c r="K109" s="497"/>
      <c r="L109" s="150">
        <f t="shared" si="13"/>
        <v>17089.75</v>
      </c>
    </row>
    <row r="110" spans="1:12" ht="25.5" x14ac:dyDescent="0.25">
      <c r="A110" s="541">
        <v>44865</v>
      </c>
      <c r="B110" s="663" t="s">
        <v>1984</v>
      </c>
      <c r="C110" s="664" t="s">
        <v>762</v>
      </c>
      <c r="D110" s="664" t="s">
        <v>1526</v>
      </c>
      <c r="E110" s="494"/>
      <c r="F110" s="495"/>
      <c r="G110" s="143" t="s">
        <v>2022</v>
      </c>
      <c r="H110" s="496" t="str">
        <f>IF(I110=0,"",(INDEX(AccountCodes[ACCOUNT NAME],MATCH(I110,AccountCodes[NGAS CODE],0))))</f>
        <v>Accumulated Depreciation-Office Equipment</v>
      </c>
      <c r="I110" s="957" t="s">
        <v>88</v>
      </c>
      <c r="J110" s="497"/>
      <c r="K110" s="497">
        <v>5358.64</v>
      </c>
      <c r="L110" s="150">
        <f t="shared" si="13"/>
        <v>11731.11</v>
      </c>
    </row>
    <row r="111" spans="1:12" ht="25.5" x14ac:dyDescent="0.25">
      <c r="A111" s="541">
        <v>44865</v>
      </c>
      <c r="B111" s="663" t="s">
        <v>1984</v>
      </c>
      <c r="C111" s="664" t="s">
        <v>762</v>
      </c>
      <c r="D111" s="664" t="s">
        <v>1526</v>
      </c>
      <c r="E111" s="494"/>
      <c r="F111" s="495"/>
      <c r="G111" s="143" t="s">
        <v>2022</v>
      </c>
      <c r="H111" s="496" t="str">
        <f>IF(I111=0,"",(INDEX(AccountCodes[ACCOUNT NAME],MATCH(I111,AccountCodes[NGAS CODE],0))))</f>
        <v>Accumulated Depreciation-Information and Communications Technology Equipment</v>
      </c>
      <c r="I111" s="957" t="s">
        <v>90</v>
      </c>
      <c r="J111" s="497"/>
      <c r="K111" s="497">
        <v>11731.11</v>
      </c>
      <c r="L111" s="150">
        <f t="shared" si="13"/>
        <v>0</v>
      </c>
    </row>
    <row r="112" spans="1:12" ht="25.5" x14ac:dyDescent="0.25">
      <c r="A112" s="541">
        <v>44895</v>
      </c>
      <c r="B112" s="663" t="s">
        <v>2095</v>
      </c>
      <c r="C112" s="664" t="s">
        <v>762</v>
      </c>
      <c r="D112" s="664" t="s">
        <v>1526</v>
      </c>
      <c r="E112" s="494"/>
      <c r="F112" s="495"/>
      <c r="G112" s="143" t="s">
        <v>2100</v>
      </c>
      <c r="H112" s="496" t="str">
        <f>IF(I112=0,"",(INDEX(AccountCodes[ACCOUNT NAME],MATCH(I112,AccountCodes[NGAS CODE],0))))</f>
        <v>Cash in Bank-Local Currency, Current Account - FO</v>
      </c>
      <c r="I112" s="957" t="s">
        <v>1566</v>
      </c>
      <c r="J112" s="497">
        <v>191620.86</v>
      </c>
      <c r="K112" s="497"/>
      <c r="L112" s="150">
        <f t="shared" si="13"/>
        <v>191620.86</v>
      </c>
    </row>
    <row r="113" spans="1:12" ht="25.5" x14ac:dyDescent="0.25">
      <c r="A113" s="541">
        <v>44895</v>
      </c>
      <c r="B113" s="663" t="s">
        <v>2095</v>
      </c>
      <c r="C113" s="664" t="s">
        <v>762</v>
      </c>
      <c r="D113" s="664" t="s">
        <v>1526</v>
      </c>
      <c r="E113" s="494"/>
      <c r="F113" s="495"/>
      <c r="G113" s="143" t="s">
        <v>2100</v>
      </c>
      <c r="H113" s="496" t="str">
        <f>IF(I113=0,"",(INDEX(AccountCodes[ACCOUNT NAME],MATCH(I113,AccountCodes[NGAS CODE],0))))</f>
        <v>Cash in Bank-Local Currency, Current Account - RO</v>
      </c>
      <c r="I113" s="185" t="s">
        <v>1556</v>
      </c>
      <c r="J113" s="497"/>
      <c r="K113" s="497">
        <v>191620.86</v>
      </c>
      <c r="L113" s="150">
        <f t="shared" si="13"/>
        <v>0</v>
      </c>
    </row>
    <row r="114" spans="1:12" ht="25.5" x14ac:dyDescent="0.25">
      <c r="A114" s="541">
        <v>44895</v>
      </c>
      <c r="B114" s="663" t="s">
        <v>2095</v>
      </c>
      <c r="C114" s="664" t="s">
        <v>762</v>
      </c>
      <c r="D114" s="664" t="s">
        <v>1526</v>
      </c>
      <c r="E114" s="494"/>
      <c r="F114" s="495"/>
      <c r="G114" s="143" t="s">
        <v>2101</v>
      </c>
      <c r="H114" s="496" t="str">
        <f>IF(I114=0,"",(INDEX(AccountCodes[ACCOUNT NAME],MATCH(I114,AccountCodes[NGAS CODE],0))))</f>
        <v>Cash in Bank-Local Currency, Current Account - FO</v>
      </c>
      <c r="I114" s="957" t="s">
        <v>1566</v>
      </c>
      <c r="J114" s="497">
        <v>3135000</v>
      </c>
      <c r="K114" s="497"/>
      <c r="L114" s="150">
        <f t="shared" si="13"/>
        <v>3135000</v>
      </c>
    </row>
    <row r="115" spans="1:12" ht="25.5" x14ac:dyDescent="0.25">
      <c r="A115" s="541">
        <v>44895</v>
      </c>
      <c r="B115" s="663" t="s">
        <v>2095</v>
      </c>
      <c r="C115" s="664" t="s">
        <v>762</v>
      </c>
      <c r="D115" s="664" t="s">
        <v>1526</v>
      </c>
      <c r="E115" s="494"/>
      <c r="F115" s="495"/>
      <c r="G115" s="143" t="s">
        <v>2101</v>
      </c>
      <c r="H115" s="496" t="str">
        <f>IF(I115=0,"",(INDEX(AccountCodes[ACCOUNT NAME],MATCH(I115,AccountCodes[NGAS CODE],0))))</f>
        <v>Cash in Bank-Local Currency, Current Account - RO</v>
      </c>
      <c r="I115" s="185" t="s">
        <v>1556</v>
      </c>
      <c r="J115" s="497"/>
      <c r="K115" s="497">
        <v>3135000</v>
      </c>
      <c r="L115" s="150">
        <f t="shared" si="13"/>
        <v>0</v>
      </c>
    </row>
    <row r="116" spans="1:12" ht="38.25" x14ac:dyDescent="0.25">
      <c r="A116" s="541">
        <v>44895</v>
      </c>
      <c r="B116" s="663" t="s">
        <v>2095</v>
      </c>
      <c r="C116" s="664" t="s">
        <v>762</v>
      </c>
      <c r="D116" s="664" t="s">
        <v>1526</v>
      </c>
      <c r="E116" s="145"/>
      <c r="F116" s="137"/>
      <c r="G116" s="143" t="s">
        <v>2102</v>
      </c>
      <c r="H116" s="3" t="str">
        <f>IF(I116=0,"",(INDEX(AccountCodes[ACCOUNT NAME],MATCH(I116,AccountCodes[NGAS CODE],0))))</f>
        <v>Semi-Expendable Machinery and Equipment Expenses</v>
      </c>
      <c r="I116" s="185" t="s">
        <v>1265</v>
      </c>
      <c r="J116" s="144">
        <v>58892</v>
      </c>
      <c r="K116" s="144"/>
      <c r="L116" s="150">
        <f t="shared" ref="L116:L126" si="14">L115+J116-K116</f>
        <v>58892</v>
      </c>
    </row>
    <row r="117" spans="1:12" ht="38.25" x14ac:dyDescent="0.25">
      <c r="A117" s="541">
        <v>44895</v>
      </c>
      <c r="B117" s="663" t="s">
        <v>2095</v>
      </c>
      <c r="C117" s="664" t="s">
        <v>762</v>
      </c>
      <c r="D117" s="664" t="s">
        <v>1526</v>
      </c>
      <c r="E117" s="145"/>
      <c r="F117" s="137"/>
      <c r="G117" s="143" t="s">
        <v>2102</v>
      </c>
      <c r="H117" s="3" t="str">
        <f>IF(I117=0,"",(INDEX(AccountCodes[ACCOUNT NAME],MATCH(I117,AccountCodes[NGAS CODE],0))))</f>
        <v>Semi-Expendable Information and Communications Technology Equipment</v>
      </c>
      <c r="I117" s="185" t="s">
        <v>1246</v>
      </c>
      <c r="J117" s="144"/>
      <c r="K117" s="144">
        <v>11980</v>
      </c>
      <c r="L117" s="150">
        <f t="shared" si="14"/>
        <v>46912</v>
      </c>
    </row>
    <row r="118" spans="1:12" ht="38.25" x14ac:dyDescent="0.25">
      <c r="A118" s="541">
        <v>44895</v>
      </c>
      <c r="B118" s="663" t="s">
        <v>2095</v>
      </c>
      <c r="C118" s="664" t="s">
        <v>762</v>
      </c>
      <c r="D118" s="664" t="s">
        <v>1526</v>
      </c>
      <c r="E118" s="145"/>
      <c r="F118" s="137"/>
      <c r="G118" s="143" t="s">
        <v>2102</v>
      </c>
      <c r="H118" s="3" t="str">
        <f>IF(I118=0,"",(INDEX(AccountCodes[ACCOUNT NAME],MATCH(I118,AccountCodes[NGAS CODE],0))))</f>
        <v>Semi-Expendable Office Equipment</v>
      </c>
      <c r="I118" s="185" t="s">
        <v>1245</v>
      </c>
      <c r="J118" s="144"/>
      <c r="K118" s="144">
        <v>34000</v>
      </c>
      <c r="L118" s="150">
        <f t="shared" si="14"/>
        <v>12912</v>
      </c>
    </row>
    <row r="119" spans="1:12" ht="38.25" x14ac:dyDescent="0.25">
      <c r="A119" s="541">
        <v>44895</v>
      </c>
      <c r="B119" s="663" t="s">
        <v>2095</v>
      </c>
      <c r="C119" s="664" t="s">
        <v>762</v>
      </c>
      <c r="D119" s="664" t="s">
        <v>1526</v>
      </c>
      <c r="E119" s="145"/>
      <c r="F119" s="137"/>
      <c r="G119" s="143" t="s">
        <v>2102</v>
      </c>
      <c r="H119" s="3" t="str">
        <f>IF(I119=0,"",(INDEX(AccountCodes[ACCOUNT NAME],MATCH(I119,AccountCodes[NGAS CODE],0))))</f>
        <v>Semi-Expendable Office Equipment</v>
      </c>
      <c r="I119" s="185" t="s">
        <v>1245</v>
      </c>
      <c r="J119" s="144"/>
      <c r="K119" s="144">
        <v>12912</v>
      </c>
      <c r="L119" s="150">
        <f t="shared" si="14"/>
        <v>0</v>
      </c>
    </row>
    <row r="120" spans="1:12" ht="25.5" x14ac:dyDescent="0.25">
      <c r="A120" s="541">
        <v>44895</v>
      </c>
      <c r="B120" s="663" t="s">
        <v>2095</v>
      </c>
      <c r="C120" s="664" t="s">
        <v>762</v>
      </c>
      <c r="D120" s="664" t="s">
        <v>1526</v>
      </c>
      <c r="E120" s="145"/>
      <c r="F120" s="137"/>
      <c r="G120" s="143" t="s">
        <v>2167</v>
      </c>
      <c r="H120" s="3" t="str">
        <f>IF(I120=0,"",(INDEX(AccountCodes[ACCOUNT NAME],MATCH(I120,AccountCodes[NGAS CODE],0))))</f>
        <v>Depreciation-Machinery and Equipment - Office Equipment</v>
      </c>
      <c r="I120" s="185" t="s">
        <v>278</v>
      </c>
      <c r="J120" s="144">
        <v>5358.64</v>
      </c>
      <c r="K120" s="144"/>
      <c r="L120" s="150">
        <f t="shared" ref="L120:L123" si="15">L119+J120-K120</f>
        <v>5358.64</v>
      </c>
    </row>
    <row r="121" spans="1:12" ht="25.5" x14ac:dyDescent="0.25">
      <c r="A121" s="541">
        <v>44895</v>
      </c>
      <c r="B121" s="663" t="s">
        <v>2095</v>
      </c>
      <c r="C121" s="664" t="s">
        <v>762</v>
      </c>
      <c r="D121" s="664" t="s">
        <v>1526</v>
      </c>
      <c r="E121" s="145"/>
      <c r="F121" s="137"/>
      <c r="G121" s="143" t="s">
        <v>2167</v>
      </c>
      <c r="H121" s="3" t="str">
        <f>IF(I121=0,"",(INDEX(AccountCodes[ACCOUNT NAME],MATCH(I121,AccountCodes[NGAS CODE],0))))</f>
        <v>Depreciation-Machinery and Equipment - ICT Equipment</v>
      </c>
      <c r="I121" s="185" t="s">
        <v>280</v>
      </c>
      <c r="J121" s="144">
        <v>11731.11</v>
      </c>
      <c r="K121" s="144"/>
      <c r="L121" s="150">
        <f t="shared" si="15"/>
        <v>17089.75</v>
      </c>
    </row>
    <row r="122" spans="1:12" ht="25.5" x14ac:dyDescent="0.25">
      <c r="A122" s="541">
        <v>44895</v>
      </c>
      <c r="B122" s="663" t="s">
        <v>2095</v>
      </c>
      <c r="C122" s="664" t="s">
        <v>762</v>
      </c>
      <c r="D122" s="664" t="s">
        <v>1526</v>
      </c>
      <c r="E122" s="145"/>
      <c r="F122" s="137"/>
      <c r="G122" s="143" t="s">
        <v>2167</v>
      </c>
      <c r="H122" s="3" t="str">
        <f>IF(I122=0,"",(INDEX(AccountCodes[ACCOUNT NAME],MATCH(I122,AccountCodes[NGAS CODE],0))))</f>
        <v>Accumulated Depreciation-Office Equipment</v>
      </c>
      <c r="I122" s="185" t="s">
        <v>88</v>
      </c>
      <c r="J122" s="144"/>
      <c r="K122" s="144">
        <v>5358.64</v>
      </c>
      <c r="L122" s="150">
        <f t="shared" si="15"/>
        <v>11731.11</v>
      </c>
    </row>
    <row r="123" spans="1:12" ht="25.5" x14ac:dyDescent="0.25">
      <c r="A123" s="541">
        <v>44895</v>
      </c>
      <c r="B123" s="663" t="s">
        <v>2095</v>
      </c>
      <c r="C123" s="664" t="s">
        <v>762</v>
      </c>
      <c r="D123" s="664" t="s">
        <v>1526</v>
      </c>
      <c r="E123" s="145"/>
      <c r="F123" s="137"/>
      <c r="G123" s="143" t="s">
        <v>2167</v>
      </c>
      <c r="H123" s="3" t="str">
        <f>IF(I123=0,"",(INDEX(AccountCodes[ACCOUNT NAME],MATCH(I123,AccountCodes[NGAS CODE],0))))</f>
        <v>Accumulated Depreciation-Information and Communications Technology Equipment</v>
      </c>
      <c r="I123" s="185" t="s">
        <v>90</v>
      </c>
      <c r="J123" s="144"/>
      <c r="K123" s="144">
        <v>11731.11</v>
      </c>
      <c r="L123" s="150">
        <f t="shared" si="15"/>
        <v>0</v>
      </c>
    </row>
    <row r="124" spans="1:12" ht="25.5" x14ac:dyDescent="0.25">
      <c r="A124" s="951">
        <v>44926</v>
      </c>
      <c r="B124" s="145" t="s">
        <v>2103</v>
      </c>
      <c r="C124" s="137" t="s">
        <v>762</v>
      </c>
      <c r="D124" s="137" t="s">
        <v>1526</v>
      </c>
      <c r="E124" s="145"/>
      <c r="F124" s="137"/>
      <c r="G124" s="143" t="s">
        <v>2104</v>
      </c>
      <c r="H124" s="3" t="str">
        <f>IF(I124=0,"",(INDEX(AccountCodes[ACCOUNT NAME],MATCH(I124,AccountCodes[NGAS CODE],0))))</f>
        <v>Semi-Expendable Information and Communications Technology Equipment</v>
      </c>
      <c r="I124" s="185" t="s">
        <v>1246</v>
      </c>
      <c r="J124" s="144">
        <v>2000</v>
      </c>
      <c r="K124" s="144"/>
      <c r="L124" s="150">
        <f>L119+J124-K124</f>
        <v>2000</v>
      </c>
    </row>
    <row r="125" spans="1:12" ht="25.5" x14ac:dyDescent="0.25">
      <c r="A125" s="951">
        <v>44926</v>
      </c>
      <c r="B125" s="145" t="s">
        <v>2103</v>
      </c>
      <c r="C125" s="137" t="s">
        <v>762</v>
      </c>
      <c r="D125" s="137" t="s">
        <v>1526</v>
      </c>
      <c r="E125" s="145"/>
      <c r="F125" s="137"/>
      <c r="G125" s="143" t="s">
        <v>2104</v>
      </c>
      <c r="H125" s="3" t="str">
        <f>IF(I125=0,"",(INDEX(AccountCodes[ACCOUNT NAME],MATCH(I125,AccountCodes[NGAS CODE],0))))</f>
        <v>Semi-Expendable Office Equipment</v>
      </c>
      <c r="I125" s="185" t="s">
        <v>1245</v>
      </c>
      <c r="J125" s="144">
        <v>4480</v>
      </c>
      <c r="K125" s="144"/>
      <c r="L125" s="150">
        <f t="shared" si="14"/>
        <v>6480</v>
      </c>
    </row>
    <row r="126" spans="1:12" ht="25.5" x14ac:dyDescent="0.25">
      <c r="A126" s="951">
        <v>44926</v>
      </c>
      <c r="B126" s="145" t="s">
        <v>2103</v>
      </c>
      <c r="C126" s="137" t="s">
        <v>762</v>
      </c>
      <c r="D126" s="137" t="s">
        <v>1526</v>
      </c>
      <c r="E126" s="145"/>
      <c r="F126" s="137"/>
      <c r="G126" s="143" t="s">
        <v>2104</v>
      </c>
      <c r="H126" s="3" t="str">
        <f>IF(I126=0,"",(INDEX(AccountCodes[ACCOUNT NAME],MATCH(I126,AccountCodes[NGAS CODE],0))))</f>
        <v>Semi-Expendable Machinery and Equipment Expenses</v>
      </c>
      <c r="I126" s="185" t="s">
        <v>1265</v>
      </c>
      <c r="J126" s="144"/>
      <c r="K126" s="144">
        <v>6480</v>
      </c>
      <c r="L126" s="150">
        <f t="shared" si="14"/>
        <v>0</v>
      </c>
    </row>
    <row r="127" spans="1:12" ht="25.5" x14ac:dyDescent="0.25">
      <c r="A127" s="951">
        <v>44926</v>
      </c>
      <c r="B127" s="145" t="s">
        <v>2103</v>
      </c>
      <c r="C127" s="137" t="s">
        <v>762</v>
      </c>
      <c r="D127" s="137" t="s">
        <v>1526</v>
      </c>
      <c r="E127" s="494"/>
      <c r="F127" s="495"/>
      <c r="G127" s="143" t="s">
        <v>2164</v>
      </c>
      <c r="H127" s="496" t="str">
        <f>IF(I127=0,"",(INDEX(AccountCodes[ACCOUNT NAME],MATCH(I127,AccountCodes[NGAS CODE],0))))</f>
        <v>Cash in Bank-Local Currency, Current Account - FO</v>
      </c>
      <c r="I127" s="957" t="s">
        <v>1566</v>
      </c>
      <c r="J127" s="497">
        <v>92670.399999999994</v>
      </c>
      <c r="K127" s="497"/>
      <c r="L127" s="150">
        <f>L115+J127-K127</f>
        <v>92670.399999999994</v>
      </c>
    </row>
    <row r="128" spans="1:12" ht="25.5" x14ac:dyDescent="0.25">
      <c r="A128" s="951">
        <v>44926</v>
      </c>
      <c r="B128" s="145" t="s">
        <v>2103</v>
      </c>
      <c r="C128" s="137" t="s">
        <v>762</v>
      </c>
      <c r="D128" s="137" t="s">
        <v>1526</v>
      </c>
      <c r="E128" s="494"/>
      <c r="F128" s="495"/>
      <c r="G128" s="143" t="s">
        <v>2100</v>
      </c>
      <c r="H128" s="496" t="str">
        <f>IF(I128=0,"",(INDEX(AccountCodes[ACCOUNT NAME],MATCH(I128,AccountCodes[NGAS CODE],0))))</f>
        <v>Cash in Bank-Local Currency, Current Account - RO</v>
      </c>
      <c r="I128" s="957" t="s">
        <v>1556</v>
      </c>
      <c r="J128" s="497"/>
      <c r="K128" s="497">
        <v>92670.399999999994</v>
      </c>
      <c r="L128" s="150">
        <f t="shared" si="13"/>
        <v>0</v>
      </c>
    </row>
    <row r="129" spans="1:12" ht="25.5" x14ac:dyDescent="0.25">
      <c r="A129" s="951">
        <v>44926</v>
      </c>
      <c r="B129" s="145" t="s">
        <v>2103</v>
      </c>
      <c r="C129" s="137" t="s">
        <v>762</v>
      </c>
      <c r="D129" s="137" t="s">
        <v>1526</v>
      </c>
      <c r="E129" s="494"/>
      <c r="F129" s="495"/>
      <c r="G129" s="143" t="s">
        <v>2165</v>
      </c>
      <c r="H129" s="496" t="str">
        <f>IF(I129=0,"",(INDEX(AccountCodes[ACCOUNT NAME],MATCH(I129,AccountCodes[NGAS CODE],0))))</f>
        <v>Cash in Bank-Local Currency, Current Account - FO</v>
      </c>
      <c r="I129" s="957" t="s">
        <v>1566</v>
      </c>
      <c r="J129" s="497">
        <v>11827500</v>
      </c>
      <c r="K129" s="497"/>
      <c r="L129" s="150">
        <f t="shared" si="13"/>
        <v>11827500</v>
      </c>
    </row>
    <row r="130" spans="1:12" ht="25.5" x14ac:dyDescent="0.25">
      <c r="A130" s="951">
        <v>44926</v>
      </c>
      <c r="B130" s="145" t="s">
        <v>2103</v>
      </c>
      <c r="C130" s="137" t="s">
        <v>762</v>
      </c>
      <c r="D130" s="137" t="s">
        <v>1526</v>
      </c>
      <c r="E130" s="494"/>
      <c r="F130" s="495"/>
      <c r="G130" s="143" t="s">
        <v>2165</v>
      </c>
      <c r="H130" s="496" t="str">
        <f>IF(I130=0,"",(INDEX(AccountCodes[ACCOUNT NAME],MATCH(I130,AccountCodes[NGAS CODE],0))))</f>
        <v>Cash in Bank-Local Currency, Current Account - RO</v>
      </c>
      <c r="I130" s="957" t="s">
        <v>1556</v>
      </c>
      <c r="J130" s="497"/>
      <c r="K130" s="497">
        <v>11827500</v>
      </c>
      <c r="L130" s="150">
        <f t="shared" si="13"/>
        <v>0</v>
      </c>
    </row>
    <row r="131" spans="1:12" ht="25.5" x14ac:dyDescent="0.25">
      <c r="A131" s="951">
        <v>44926</v>
      </c>
      <c r="B131" s="145" t="s">
        <v>2103</v>
      </c>
      <c r="C131" s="137" t="s">
        <v>762</v>
      </c>
      <c r="D131" s="137" t="s">
        <v>1526</v>
      </c>
      <c r="E131" s="494"/>
      <c r="F131" s="495"/>
      <c r="G131" s="143" t="s">
        <v>2166</v>
      </c>
      <c r="H131" s="496" t="str">
        <f>IF(I131=0,"",(INDEX(AccountCodes[ACCOUNT NAME],MATCH(I131,AccountCodes[NGAS CODE],0))))</f>
        <v>Cash in Bank-Local Currency, Current Account - FO</v>
      </c>
      <c r="I131" s="957" t="s">
        <v>1566</v>
      </c>
      <c r="J131" s="497">
        <v>60000</v>
      </c>
      <c r="K131" s="497"/>
      <c r="L131" s="150">
        <f t="shared" si="13"/>
        <v>60000</v>
      </c>
    </row>
    <row r="132" spans="1:12" ht="25.5" x14ac:dyDescent="0.25">
      <c r="A132" s="951">
        <v>44926</v>
      </c>
      <c r="B132" s="145" t="s">
        <v>2103</v>
      </c>
      <c r="C132" s="137" t="s">
        <v>762</v>
      </c>
      <c r="D132" s="137" t="s">
        <v>1526</v>
      </c>
      <c r="E132" s="494"/>
      <c r="F132" s="495"/>
      <c r="G132" s="143" t="s">
        <v>2166</v>
      </c>
      <c r="H132" s="496" t="str">
        <f>IF(I132=0,"",(INDEX(AccountCodes[ACCOUNT NAME],MATCH(I132,AccountCodes[NGAS CODE],0))))</f>
        <v>Cash in Bank-Local Currency, Current Account - RO</v>
      </c>
      <c r="I132" s="957" t="s">
        <v>1556</v>
      </c>
      <c r="J132" s="497"/>
      <c r="K132" s="497">
        <v>60000</v>
      </c>
      <c r="L132" s="150">
        <f t="shared" si="13"/>
        <v>0</v>
      </c>
    </row>
    <row r="133" spans="1:12" ht="25.5" x14ac:dyDescent="0.25">
      <c r="A133" s="951">
        <v>44926</v>
      </c>
      <c r="B133" s="145" t="s">
        <v>2103</v>
      </c>
      <c r="C133" s="137" t="s">
        <v>762</v>
      </c>
      <c r="D133" s="137" t="s">
        <v>1526</v>
      </c>
      <c r="E133" s="494"/>
      <c r="F133" s="495"/>
      <c r="G133" s="665" t="s">
        <v>1748</v>
      </c>
      <c r="H133" s="496" t="str">
        <f>IF(I133=0,"",(INDEX(AccountCodes[ACCOUNT NAME],MATCH(I133,AccountCodes[NGAS CODE],0))))</f>
        <v>Cash in Bank-Local Currency, Current Account - FO</v>
      </c>
      <c r="I133" s="957" t="s">
        <v>1566</v>
      </c>
      <c r="J133" s="497">
        <v>394.1</v>
      </c>
      <c r="K133" s="497"/>
      <c r="L133" s="150">
        <f t="shared" si="13"/>
        <v>394.1</v>
      </c>
    </row>
    <row r="134" spans="1:12" ht="25.5" x14ac:dyDescent="0.25">
      <c r="A134" s="951">
        <v>44926</v>
      </c>
      <c r="B134" s="145" t="s">
        <v>2103</v>
      </c>
      <c r="C134" s="137" t="s">
        <v>762</v>
      </c>
      <c r="D134" s="137" t="s">
        <v>1526</v>
      </c>
      <c r="E134" s="494"/>
      <c r="F134" s="495"/>
      <c r="G134" s="665" t="s">
        <v>1748</v>
      </c>
      <c r="H134" s="496" t="str">
        <f>IF(I134=0,"",(INDEX(AccountCodes[ACCOUNT NAME],MATCH(I134,AccountCodes[NGAS CODE],0))))</f>
        <v>Due to the Treasurer of the Philippines</v>
      </c>
      <c r="I134" s="957" t="s">
        <v>1496</v>
      </c>
      <c r="J134" s="497"/>
      <c r="K134" s="497">
        <v>394.1</v>
      </c>
      <c r="L134" s="150">
        <f t="shared" si="13"/>
        <v>0</v>
      </c>
    </row>
    <row r="135" spans="1:12" ht="25.5" x14ac:dyDescent="0.25">
      <c r="A135" s="951">
        <v>44926</v>
      </c>
      <c r="B135" s="663" t="s">
        <v>2103</v>
      </c>
      <c r="C135" s="664" t="s">
        <v>762</v>
      </c>
      <c r="D135" s="664" t="s">
        <v>1526</v>
      </c>
      <c r="E135" s="494"/>
      <c r="F135" s="495"/>
      <c r="G135" s="665" t="s">
        <v>2168</v>
      </c>
      <c r="H135" s="496" t="str">
        <f>IF(I135=0,"",(INDEX(AccountCodes[ACCOUNT NAME],MATCH(I135,AccountCodes[NGAS CODE],0))))</f>
        <v>Depreciation-Machinery and Equipment - Office Equipment</v>
      </c>
      <c r="I135" s="957" t="s">
        <v>278</v>
      </c>
      <c r="J135" s="497">
        <v>5358.64</v>
      </c>
      <c r="K135" s="497"/>
      <c r="L135" s="150">
        <f t="shared" si="13"/>
        <v>5358.64</v>
      </c>
    </row>
    <row r="136" spans="1:12" ht="25.5" x14ac:dyDescent="0.25">
      <c r="A136" s="951">
        <v>44926</v>
      </c>
      <c r="B136" s="663" t="s">
        <v>2103</v>
      </c>
      <c r="C136" s="664" t="s">
        <v>762</v>
      </c>
      <c r="D136" s="664" t="s">
        <v>1526</v>
      </c>
      <c r="E136" s="494"/>
      <c r="F136" s="495"/>
      <c r="G136" s="665" t="s">
        <v>2168</v>
      </c>
      <c r="H136" s="496" t="str">
        <f>IF(I136=0,"",(INDEX(AccountCodes[ACCOUNT NAME],MATCH(I136,AccountCodes[NGAS CODE],0))))</f>
        <v>Depreciation-Machinery and Equipment - ICT Equipment</v>
      </c>
      <c r="I136" s="957" t="s">
        <v>280</v>
      </c>
      <c r="J136" s="497">
        <v>7076.11</v>
      </c>
      <c r="K136" s="497"/>
      <c r="L136" s="150">
        <f t="shared" si="13"/>
        <v>12434.75</v>
      </c>
    </row>
    <row r="137" spans="1:12" ht="25.5" x14ac:dyDescent="0.25">
      <c r="A137" s="951">
        <v>44926</v>
      </c>
      <c r="B137" s="663" t="s">
        <v>2103</v>
      </c>
      <c r="C137" s="664" t="s">
        <v>762</v>
      </c>
      <c r="D137" s="664" t="s">
        <v>1526</v>
      </c>
      <c r="E137" s="494"/>
      <c r="F137" s="495"/>
      <c r="G137" s="665" t="s">
        <v>2168</v>
      </c>
      <c r="H137" s="496" t="str">
        <f>IF(I137=0,"",(INDEX(AccountCodes[ACCOUNT NAME],MATCH(I137,AccountCodes[NGAS CODE],0))))</f>
        <v>Accumulated Depreciation-Office Equipment</v>
      </c>
      <c r="I137" s="957" t="s">
        <v>88</v>
      </c>
      <c r="J137" s="497"/>
      <c r="K137" s="497">
        <v>5358.64</v>
      </c>
      <c r="L137" s="150">
        <f t="shared" si="13"/>
        <v>7076.11</v>
      </c>
    </row>
    <row r="138" spans="1:12" ht="25.5" x14ac:dyDescent="0.25">
      <c r="A138" s="951">
        <v>44926</v>
      </c>
      <c r="B138" s="663" t="s">
        <v>2103</v>
      </c>
      <c r="C138" s="664" t="s">
        <v>762</v>
      </c>
      <c r="D138" s="664" t="s">
        <v>1526</v>
      </c>
      <c r="E138" s="494"/>
      <c r="F138" s="495"/>
      <c r="G138" s="665" t="s">
        <v>2168</v>
      </c>
      <c r="H138" s="496" t="str">
        <f>IF(I138=0,"",(INDEX(AccountCodes[ACCOUNT NAME],MATCH(I138,AccountCodes[NGAS CODE],0))))</f>
        <v>Accumulated Depreciation-Information and Communications Technology Equipment</v>
      </c>
      <c r="I138" s="957" t="s">
        <v>90</v>
      </c>
      <c r="J138" s="497"/>
      <c r="K138" s="497">
        <v>7076.11</v>
      </c>
      <c r="L138" s="150">
        <f t="shared" si="13"/>
        <v>0</v>
      </c>
    </row>
    <row r="139" spans="1:12" x14ac:dyDescent="0.25">
      <c r="A139" s="541"/>
      <c r="B139" s="663"/>
      <c r="C139" s="664"/>
      <c r="D139" s="664"/>
      <c r="E139" s="494"/>
      <c r="F139" s="495"/>
      <c r="G139" s="143"/>
      <c r="H139" s="496" t="str">
        <f>IF(I139=0,"",(INDEX(AccountCodes[ACCOUNT NAME],MATCH(I139,AccountCodes[NGAS CODE],0))))</f>
        <v/>
      </c>
      <c r="I139" s="957"/>
      <c r="J139" s="497"/>
      <c r="K139" s="497"/>
      <c r="L139" s="150">
        <f t="shared" si="13"/>
        <v>0</v>
      </c>
    </row>
    <row r="140" spans="1:12" x14ac:dyDescent="0.25">
      <c r="A140" s="541"/>
      <c r="B140" s="663"/>
      <c r="C140" s="664"/>
      <c r="D140" s="664"/>
      <c r="E140" s="663"/>
      <c r="F140" s="664"/>
      <c r="G140" s="665"/>
      <c r="H140" s="496" t="str">
        <f>IF(I140=0,"",(INDEX(AccountCodes[ACCOUNT NAME],MATCH(I140,AccountCodes[NGAS CODE],0))))</f>
        <v/>
      </c>
      <c r="I140" s="666"/>
      <c r="J140" s="667"/>
      <c r="K140" s="667"/>
      <c r="L140" s="150">
        <f t="shared" si="13"/>
        <v>0</v>
      </c>
    </row>
    <row r="143" spans="1:12" x14ac:dyDescent="0.25">
      <c r="E143" s="741" t="s">
        <v>1592</v>
      </c>
      <c r="I143" s="741" t="s">
        <v>353</v>
      </c>
      <c r="J143" s="24"/>
      <c r="K143" s="713"/>
    </row>
    <row r="144" spans="1:12" x14ac:dyDescent="0.25">
      <c r="I144" s="24"/>
      <c r="J144" s="24"/>
      <c r="K144" s="713"/>
    </row>
    <row r="145" spans="9:12" ht="31.5" customHeight="1" x14ac:dyDescent="0.25">
      <c r="I145" s="24"/>
      <c r="J145" s="24"/>
      <c r="K145" s="1125" t="s">
        <v>1559</v>
      </c>
      <c r="L145" s="1125"/>
    </row>
    <row r="146" spans="9:12" ht="17.25" customHeight="1" x14ac:dyDescent="0.25">
      <c r="I146" s="24"/>
      <c r="J146" s="24"/>
      <c r="K146" s="1125" t="s">
        <v>742</v>
      </c>
      <c r="L146" s="1125"/>
    </row>
  </sheetData>
  <sheetProtection autoFilter="0" pivotTables="0"/>
  <mergeCells count="2">
    <mergeCell ref="K145:L145"/>
    <mergeCell ref="K146:L146"/>
  </mergeCells>
  <phoneticPr fontId="115" type="noConversion"/>
  <printOptions horizontalCentered="1"/>
  <pageMargins left="3.937007874015748E-2" right="3.937007874015748E-2" top="0.74803149606299213" bottom="0.11811023622047245" header="0.31496062992125984" footer="0.31496062992125984"/>
  <pageSetup paperSize="256" scale="57"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8000"/>
  </sheetPr>
  <dimension ref="A1:C7"/>
  <sheetViews>
    <sheetView workbookViewId="0">
      <selection activeCell="A5" sqref="A5:A6"/>
    </sheetView>
  </sheetViews>
  <sheetFormatPr defaultRowHeight="15.75" x14ac:dyDescent="0.25"/>
  <cols>
    <col min="1" max="1" width="12.75" bestFit="1" customWidth="1"/>
    <col min="2" max="2" width="11.75" bestFit="1" customWidth="1"/>
    <col min="3" max="3" width="12.375" bestFit="1" customWidth="1"/>
  </cols>
  <sheetData>
    <row r="1" spans="1:3" x14ac:dyDescent="0.25">
      <c r="A1" s="135" t="s">
        <v>722</v>
      </c>
      <c r="B1" t="s">
        <v>1984</v>
      </c>
    </row>
    <row r="3" spans="1:3" x14ac:dyDescent="0.25">
      <c r="B3" s="135" t="s">
        <v>851</v>
      </c>
    </row>
    <row r="4" spans="1:3" x14ac:dyDescent="0.25">
      <c r="A4" s="135" t="s">
        <v>716</v>
      </c>
      <c r="B4" t="s">
        <v>852</v>
      </c>
      <c r="C4" t="s">
        <v>853</v>
      </c>
    </row>
    <row r="5" spans="1:3" x14ac:dyDescent="0.25">
      <c r="A5" s="136" t="s">
        <v>30</v>
      </c>
      <c r="C5">
        <v>13312</v>
      </c>
    </row>
    <row r="6" spans="1:3" x14ac:dyDescent="0.25">
      <c r="A6" s="136" t="s">
        <v>225</v>
      </c>
      <c r="B6">
        <v>13312</v>
      </c>
    </row>
    <row r="7" spans="1:3" x14ac:dyDescent="0.25">
      <c r="A7" s="136" t="s">
        <v>717</v>
      </c>
      <c r="B7">
        <v>13312</v>
      </c>
      <c r="C7">
        <v>13312</v>
      </c>
    </row>
  </sheetData>
  <pageMargins left="0.7" right="0.7" top="0.75" bottom="0.75" header="0.3" footer="0.3"/>
  <pageSetup orientation="portrait" horizontalDpi="360" verticalDpi="360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4">
    <tabColor rgb="FF008000"/>
  </sheetPr>
  <dimension ref="A1:V156"/>
  <sheetViews>
    <sheetView showZeros="0" view="pageBreakPreview" zoomScale="80" zoomScaleNormal="100" zoomScaleSheetLayoutView="80" workbookViewId="0">
      <selection activeCell="E50" sqref="E50:J55"/>
    </sheetView>
  </sheetViews>
  <sheetFormatPr defaultColWidth="9" defaultRowHeight="15.75" x14ac:dyDescent="0.25"/>
  <cols>
    <col min="1" max="1" width="6" style="25" customWidth="1"/>
    <col min="2" max="3" width="2.125" style="25" customWidth="1"/>
    <col min="4" max="4" width="4.875" style="25" customWidth="1"/>
    <col min="5" max="5" width="8.125" style="25" customWidth="1"/>
    <col min="6" max="6" width="5.5" style="25" customWidth="1"/>
    <col min="7" max="7" width="0.875" style="25" customWidth="1"/>
    <col min="8" max="8" width="4.125" style="25" customWidth="1"/>
    <col min="9" max="9" width="26" style="25" customWidth="1"/>
    <col min="10" max="10" width="4.125" style="25" customWidth="1"/>
    <col min="11" max="11" width="9.5" style="25" customWidth="1"/>
    <col min="12" max="12" width="14.125" style="86" customWidth="1"/>
    <col min="13" max="13" width="4.875" style="25" customWidth="1"/>
    <col min="14" max="14" width="14.125" style="25" hidden="1" customWidth="1"/>
    <col min="15" max="15" width="13.875" style="25" hidden="1" customWidth="1"/>
    <col min="16" max="16" width="10.625" style="25" customWidth="1"/>
    <col min="17" max="17" width="2.125" style="25" customWidth="1"/>
    <col min="18" max="18" width="2.625" style="25" customWidth="1"/>
    <col min="19" max="20" width="2.125" style="25" customWidth="1"/>
    <col min="21" max="22" width="5.625" style="25" customWidth="1"/>
    <col min="23" max="16384" width="9" style="25"/>
  </cols>
  <sheetData>
    <row r="1" spans="1:22" ht="22.5" x14ac:dyDescent="0.25">
      <c r="A1" s="31" t="s">
        <v>441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3"/>
      <c r="R1" s="1053">
        <f>+P56-S56</f>
        <v>0</v>
      </c>
      <c r="S1" s="1054"/>
      <c r="T1" s="1054"/>
      <c r="U1" s="1054"/>
      <c r="V1" s="1055"/>
    </row>
    <row r="2" spans="1:22" x14ac:dyDescent="0.25">
      <c r="A2" s="34" t="s">
        <v>1558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6"/>
      <c r="R2" s="37" t="s">
        <v>443</v>
      </c>
      <c r="S2"/>
      <c r="T2" s="1056" t="s">
        <v>1984</v>
      </c>
      <c r="U2" s="1056"/>
      <c r="V2" s="1057"/>
    </row>
    <row r="3" spans="1:22" x14ac:dyDescent="0.25">
      <c r="A3" s="38" t="s">
        <v>444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6"/>
      <c r="R3" s="37" t="s">
        <v>0</v>
      </c>
      <c r="S3"/>
      <c r="T3" s="1058">
        <v>44834</v>
      </c>
      <c r="U3" s="1058"/>
      <c r="V3" s="1059"/>
    </row>
    <row r="4" spans="1:22" ht="16.5" thickBot="1" x14ac:dyDescent="0.3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1"/>
      <c r="R4" s="42"/>
      <c r="S4" s="43"/>
      <c r="T4" s="43"/>
      <c r="U4" s="43"/>
      <c r="V4" s="44"/>
    </row>
    <row r="5" spans="1:22" x14ac:dyDescent="0.25">
      <c r="A5" s="45"/>
      <c r="B5" s="46"/>
      <c r="C5" s="46"/>
      <c r="D5" s="46"/>
      <c r="E5" s="46"/>
      <c r="F5" s="46"/>
      <c r="G5" s="46"/>
      <c r="H5" s="46"/>
      <c r="I5" s="46"/>
      <c r="J5" s="46"/>
      <c r="K5" s="46"/>
      <c r="L5" s="47"/>
      <c r="M5" s="46"/>
      <c r="N5" s="46"/>
      <c r="O5" s="46"/>
      <c r="P5" s="46"/>
      <c r="Q5" s="46"/>
      <c r="R5" s="46"/>
      <c r="S5" s="46"/>
      <c r="T5" s="46"/>
      <c r="U5" s="46"/>
      <c r="V5" s="48"/>
    </row>
    <row r="6" spans="1:22" x14ac:dyDescent="0.25">
      <c r="A6" s="49"/>
      <c r="B6" s="1060"/>
      <c r="C6" s="1060"/>
      <c r="D6" s="50" t="s">
        <v>445</v>
      </c>
      <c r="H6" s="51"/>
      <c r="I6" s="25" t="s">
        <v>447</v>
      </c>
      <c r="J6" s="14"/>
      <c r="K6" s="52" t="s">
        <v>448</v>
      </c>
      <c r="L6" s="52"/>
      <c r="Q6" s="1060" t="s">
        <v>446</v>
      </c>
      <c r="R6" s="1060"/>
      <c r="S6" s="50" t="s">
        <v>449</v>
      </c>
      <c r="T6" s="50"/>
      <c r="U6" s="50"/>
      <c r="V6" s="53"/>
    </row>
    <row r="7" spans="1:22" ht="16.5" thickBot="1" x14ac:dyDescent="0.3">
      <c r="A7" s="54"/>
      <c r="B7" s="55"/>
      <c r="C7" s="55"/>
      <c r="D7" s="55"/>
      <c r="E7" s="55"/>
      <c r="F7" s="55"/>
      <c r="G7" s="55"/>
      <c r="H7" s="55"/>
      <c r="I7" s="55"/>
      <c r="J7" s="55"/>
      <c r="K7" s="55"/>
      <c r="L7" s="56"/>
      <c r="M7" s="55"/>
      <c r="N7" s="55"/>
      <c r="O7" s="55"/>
      <c r="P7" s="55"/>
      <c r="Q7" s="55"/>
      <c r="R7" s="55"/>
      <c r="S7" s="55"/>
      <c r="T7" s="55"/>
      <c r="U7" s="55"/>
      <c r="V7" s="57"/>
    </row>
    <row r="8" spans="1:22" x14ac:dyDescent="0.25">
      <c r="A8" s="1061" t="s">
        <v>397</v>
      </c>
      <c r="B8" s="1062"/>
      <c r="C8" s="1062"/>
      <c r="D8" s="1063"/>
      <c r="E8" s="1070" t="s">
        <v>450</v>
      </c>
      <c r="F8" s="1070"/>
      <c r="G8" s="1070"/>
      <c r="H8" s="1070"/>
      <c r="I8" s="1070"/>
      <c r="J8" s="1070"/>
      <c r="K8" s="1070"/>
      <c r="L8" s="1070"/>
      <c r="M8" s="1070"/>
      <c r="N8" s="1070"/>
      <c r="O8" s="1070"/>
      <c r="P8" s="1070"/>
      <c r="Q8" s="1070"/>
      <c r="R8" s="1070"/>
      <c r="S8" s="1070"/>
      <c r="T8" s="1070"/>
      <c r="U8" s="1070"/>
      <c r="V8" s="1071"/>
    </row>
    <row r="9" spans="1:22" x14ac:dyDescent="0.25">
      <c r="A9" s="1064"/>
      <c r="B9" s="1065"/>
      <c r="C9" s="1065"/>
      <c r="D9" s="1066"/>
      <c r="E9" s="1072" t="s">
        <v>451</v>
      </c>
      <c r="F9" s="1072"/>
      <c r="G9" s="1072"/>
      <c r="H9" s="1072"/>
      <c r="I9" s="1072"/>
      <c r="J9" s="1072"/>
      <c r="K9" s="1074" t="s">
        <v>378</v>
      </c>
      <c r="L9" s="1074"/>
      <c r="M9" s="1072" t="s">
        <v>452</v>
      </c>
      <c r="N9" s="1075" t="s">
        <v>453</v>
      </c>
      <c r="O9" s="1076"/>
      <c r="P9" s="1076"/>
      <c r="Q9" s="1076"/>
      <c r="R9" s="1076"/>
      <c r="S9" s="1076"/>
      <c r="T9" s="1076"/>
      <c r="U9" s="1076"/>
      <c r="V9" s="1077"/>
    </row>
    <row r="10" spans="1:22" ht="16.5" customHeight="1" thickBot="1" x14ac:dyDescent="0.3">
      <c r="A10" s="1067"/>
      <c r="B10" s="1068"/>
      <c r="C10" s="1068"/>
      <c r="D10" s="1069"/>
      <c r="E10" s="1073"/>
      <c r="F10" s="1073"/>
      <c r="G10" s="1073"/>
      <c r="H10" s="1073"/>
      <c r="I10" s="1073"/>
      <c r="J10" s="1073"/>
      <c r="K10" s="58" t="s">
        <v>454</v>
      </c>
      <c r="L10" s="58" t="s">
        <v>455</v>
      </c>
      <c r="M10" s="1073"/>
      <c r="N10" s="87" t="s">
        <v>466</v>
      </c>
      <c r="O10" s="87" t="s">
        <v>467</v>
      </c>
      <c r="P10" s="1078" t="s">
        <v>1</v>
      </c>
      <c r="Q10" s="1079"/>
      <c r="R10" s="1080"/>
      <c r="S10" s="1078" t="s">
        <v>2</v>
      </c>
      <c r="T10" s="1079"/>
      <c r="U10" s="1079"/>
      <c r="V10" s="1081"/>
    </row>
    <row r="11" spans="1:22" ht="19.5" x14ac:dyDescent="0.3">
      <c r="A11" s="1082">
        <f>P56-S56</f>
        <v>0</v>
      </c>
      <c r="B11" s="1083"/>
      <c r="C11" s="1083"/>
      <c r="D11" s="1083"/>
      <c r="E11" s="1084" t="str">
        <f>Account!$G$1</f>
        <v>FUND 501 CARP</v>
      </c>
      <c r="F11" s="1085"/>
      <c r="G11" s="1085"/>
      <c r="H11" s="1085"/>
      <c r="I11" s="1085"/>
      <c r="J11" s="1086"/>
      <c r="K11" s="59"/>
      <c r="L11" s="59"/>
      <c r="M11" s="60"/>
      <c r="N11" s="60"/>
      <c r="O11" s="60"/>
      <c r="P11" s="1087"/>
      <c r="Q11" s="1087"/>
      <c r="R11" s="1087"/>
      <c r="S11" s="1087"/>
      <c r="T11" s="1087"/>
      <c r="U11" s="1087"/>
      <c r="V11" s="1088"/>
    </row>
    <row r="12" spans="1:22" x14ac:dyDescent="0.25">
      <c r="A12" s="1038"/>
      <c r="B12" s="1039"/>
      <c r="C12" s="1039"/>
      <c r="D12" s="1039"/>
      <c r="E12" s="1039"/>
      <c r="F12" s="1039"/>
      <c r="G12" s="1039"/>
      <c r="H12" s="1039"/>
      <c r="I12" s="1039"/>
      <c r="J12" s="1039"/>
      <c r="K12" s="61"/>
      <c r="L12" s="61"/>
      <c r="M12" s="14"/>
      <c r="N12" s="14"/>
      <c r="O12" s="14"/>
      <c r="P12" s="1039"/>
      <c r="Q12" s="1039"/>
      <c r="R12" s="1039"/>
      <c r="S12" s="1039"/>
      <c r="T12" s="1039"/>
      <c r="U12" s="1039"/>
      <c r="V12" s="1089"/>
    </row>
    <row r="13" spans="1:22" x14ac:dyDescent="0.25">
      <c r="A13" s="1038"/>
      <c r="B13" s="1039"/>
      <c r="C13" s="1039"/>
      <c r="D13" s="1039"/>
      <c r="E13" s="1045" t="str">
        <f>IF(K13=0,0,(INDEX(AccountCodes[ACCOUNT NAME],MATCH(K13,AccountCodes[NGAS CODE],0))))</f>
        <v>Office Supplies Inventory</v>
      </c>
      <c r="F13" s="1046"/>
      <c r="G13" s="1046"/>
      <c r="H13" s="1046"/>
      <c r="I13" s="1046"/>
      <c r="J13" s="1047"/>
      <c r="K13" s="876" t="s">
        <v>30</v>
      </c>
      <c r="L13" s="62">
        <f t="array" ref="L13">IF(K13=0,0,(INDEX(AccountCodes[PPSAS CODE],MATCH(K13,AccountCodes[NGAS CODE],0))))</f>
        <v>1040401000</v>
      </c>
      <c r="M13" s="14"/>
      <c r="N13" s="89">
        <f t="array" ref="N13">SUM(IF((GJ[JEV Number]=TRIM($T2))*(GJ[Account Code]=TRIM(K13)),GJ[Debit]))</f>
        <v>0</v>
      </c>
      <c r="O13" s="89">
        <f t="array" ref="O13">SUM(IF((GJ[JEV Number]=TRIM($T2))*(GJ[Account Code]=TRIM(K13)),GJ[Credit]))</f>
        <v>12064</v>
      </c>
      <c r="P13" s="1040">
        <f t="shared" ref="P13:P33" si="0">N13</f>
        <v>0</v>
      </c>
      <c r="Q13" s="1040"/>
      <c r="R13" s="1040"/>
      <c r="S13" s="1040">
        <f t="shared" ref="S13:S33" si="1">O13</f>
        <v>12064</v>
      </c>
      <c r="T13" s="1040"/>
      <c r="U13" s="1040"/>
      <c r="V13" s="1041"/>
    </row>
    <row r="14" spans="1:22" x14ac:dyDescent="0.25">
      <c r="A14" s="1038"/>
      <c r="B14" s="1039"/>
      <c r="C14" s="1039"/>
      <c r="D14" s="1039"/>
      <c r="E14" s="1045" t="str">
        <f>IF(K14=0,0,(INDEX(AccountCodes[ACCOUNT NAME],MATCH(K14,AccountCodes[NGAS CODE],0))))</f>
        <v>Office Supplies Expenses</v>
      </c>
      <c r="F14" s="1046"/>
      <c r="G14" s="1046"/>
      <c r="H14" s="1046"/>
      <c r="I14" s="1046"/>
      <c r="J14" s="1047"/>
      <c r="K14" s="888" t="s">
        <v>225</v>
      </c>
      <c r="L14" s="62">
        <f t="array" ref="L14">IF(K14=0,0,(INDEX(AccountCodes[PPSAS CODE],MATCH(K14,AccountCodes[NGAS CODE],0))))</f>
        <v>5020301000</v>
      </c>
      <c r="M14" s="14"/>
      <c r="N14" s="89">
        <f t="array" ref="N14">SUM(IF((GJ[JEV Number]=TRIM($T2))*(GJ[Account Code]=TRIM(K14)),GJ[Debit]))</f>
        <v>12064</v>
      </c>
      <c r="O14" s="89">
        <f t="array" ref="O14">SUM(IF((GJ[JEV Number]=TRIM($T2))*(GJ[Account Code]=TRIM(K14)),GJ[Credit]))</f>
        <v>0</v>
      </c>
      <c r="P14" s="1040">
        <f t="shared" si="0"/>
        <v>12064</v>
      </c>
      <c r="Q14" s="1040"/>
      <c r="R14" s="1040"/>
      <c r="S14" s="1040">
        <f t="shared" si="1"/>
        <v>0</v>
      </c>
      <c r="T14" s="1040"/>
      <c r="U14" s="1040"/>
      <c r="V14" s="1041"/>
    </row>
    <row r="15" spans="1:22" x14ac:dyDescent="0.25">
      <c r="A15" s="1038"/>
      <c r="B15" s="1039"/>
      <c r="C15" s="1039"/>
      <c r="D15" s="1039"/>
      <c r="E15" s="1045">
        <f>IF(K15=0,0,(INDEX(AccountCodes[ACCOUNT NAME],MATCH(K15,AccountCodes[NGAS CODE],0))))</f>
        <v>0</v>
      </c>
      <c r="F15" s="1046"/>
      <c r="G15" s="1046"/>
      <c r="H15" s="1046"/>
      <c r="I15" s="1046"/>
      <c r="J15" s="1047"/>
      <c r="K15" s="811"/>
      <c r="L15" s="62">
        <f t="array" ref="L15">IF(K15=0,0,(INDEX(AccountCodes[PPSAS CODE],MATCH(K15,AccountCodes[NGAS CODE],0))))</f>
        <v>0</v>
      </c>
      <c r="M15" s="14"/>
      <c r="N15" s="89">
        <f t="array" ref="N15">SUM(IF((GJ[JEV Number]=TRIM($T2))*(GJ[Account Code]=TRIM(K15)),GJ[Debit]))</f>
        <v>0</v>
      </c>
      <c r="O15" s="89">
        <f t="array" ref="O15">SUM(IF((GJ[JEV Number]=TRIM($T2))*(GJ[Account Code]=TRIM(K15)),GJ[Credit]))</f>
        <v>0</v>
      </c>
      <c r="P15" s="1040">
        <f t="shared" si="0"/>
        <v>0</v>
      </c>
      <c r="Q15" s="1040"/>
      <c r="R15" s="1040"/>
      <c r="S15" s="1040">
        <f t="shared" si="1"/>
        <v>0</v>
      </c>
      <c r="T15" s="1040"/>
      <c r="U15" s="1040"/>
      <c r="V15" s="1041"/>
    </row>
    <row r="16" spans="1:22" x14ac:dyDescent="0.25">
      <c r="A16" s="1038"/>
      <c r="B16" s="1039"/>
      <c r="C16" s="1039"/>
      <c r="D16" s="1039"/>
      <c r="E16" s="1045">
        <f>IF(K16=0,0,(INDEX(AccountCodes[ACCOUNT NAME],MATCH(K16,AccountCodes[NGAS CODE],0))))</f>
        <v>0</v>
      </c>
      <c r="F16" s="1046"/>
      <c r="G16" s="1046"/>
      <c r="H16" s="1046"/>
      <c r="I16" s="1046"/>
      <c r="J16" s="1047"/>
      <c r="K16" s="811"/>
      <c r="L16" s="62">
        <f t="array" ref="L16">IF(K16=0,0,(INDEX(AccountCodes[PPSAS CODE],MATCH(K16,AccountCodes[NGAS CODE],0))))</f>
        <v>0</v>
      </c>
      <c r="M16" s="14"/>
      <c r="N16" s="89">
        <f t="array" ref="N16">SUM(IF((GJ[JEV Number]=TRIM($T2))*(GJ[Account Code]=TRIM(K16)),GJ[Debit]))</f>
        <v>0</v>
      </c>
      <c r="O16" s="89">
        <f t="array" ref="O16">SUM(IF((GJ[JEV Number]=TRIM($T2))*(GJ[Account Code]=TRIM(K16)),GJ[Credit]))</f>
        <v>0</v>
      </c>
      <c r="P16" s="1040">
        <f t="shared" si="0"/>
        <v>0</v>
      </c>
      <c r="Q16" s="1040"/>
      <c r="R16" s="1040"/>
      <c r="S16" s="1040">
        <f t="shared" si="1"/>
        <v>0</v>
      </c>
      <c r="T16" s="1040"/>
      <c r="U16" s="1040"/>
      <c r="V16" s="1041"/>
    </row>
    <row r="17" spans="1:22" x14ac:dyDescent="0.25">
      <c r="A17" s="1038"/>
      <c r="B17" s="1039"/>
      <c r="C17" s="1039"/>
      <c r="D17" s="1039"/>
      <c r="E17" s="1045">
        <f>IF(K17=0,0,(INDEX(AccountCodes[ACCOUNT NAME],MATCH(K17,AccountCodes[NGAS CODE],0))))</f>
        <v>0</v>
      </c>
      <c r="F17" s="1046"/>
      <c r="G17" s="1046"/>
      <c r="H17" s="1046"/>
      <c r="I17" s="1046"/>
      <c r="J17" s="1047"/>
      <c r="K17" s="811"/>
      <c r="L17" s="62">
        <f t="array" ref="L17">IF(K17=0,0,(INDEX(AccountCodes[PPSAS CODE],MATCH(K17,AccountCodes[NGAS CODE],0))))</f>
        <v>0</v>
      </c>
      <c r="M17" s="14"/>
      <c r="N17" s="89">
        <f t="array" ref="N17">SUM(IF((GJ[JEV Number]=TRIM($T2))*(GJ[Account Code]=TRIM(K17)),GJ[Debit]))</f>
        <v>0</v>
      </c>
      <c r="O17" s="89">
        <f t="array" ref="O17">SUM(IF((GJ[JEV Number]=TRIM($T2))*(GJ[Account Code]=TRIM(K17)),GJ[Credit]))</f>
        <v>0</v>
      </c>
      <c r="P17" s="1040">
        <f t="shared" si="0"/>
        <v>0</v>
      </c>
      <c r="Q17" s="1040"/>
      <c r="R17" s="1040"/>
      <c r="S17" s="1040">
        <f t="shared" si="1"/>
        <v>0</v>
      </c>
      <c r="T17" s="1040"/>
      <c r="U17" s="1040"/>
      <c r="V17" s="1041"/>
    </row>
    <row r="18" spans="1:22" x14ac:dyDescent="0.25">
      <c r="A18" s="1038"/>
      <c r="B18" s="1039"/>
      <c r="C18" s="1039"/>
      <c r="D18" s="1039"/>
      <c r="E18" s="1045">
        <f>IF(K18=0,0,(INDEX(AccountCodes[ACCOUNT NAME],MATCH(K18,AccountCodes[NGAS CODE],0))))</f>
        <v>0</v>
      </c>
      <c r="F18" s="1046"/>
      <c r="G18" s="1046"/>
      <c r="H18" s="1046"/>
      <c r="I18" s="1046"/>
      <c r="J18" s="1047"/>
      <c r="K18" s="811"/>
      <c r="L18" s="62">
        <f t="array" ref="L18">IF(K18=0,0,(INDEX(AccountCodes[PPSAS CODE],MATCH(K18,AccountCodes[NGAS CODE],0))))</f>
        <v>0</v>
      </c>
      <c r="M18" s="14"/>
      <c r="N18" s="89">
        <f t="array" ref="N18">SUM(IF((GJ[JEV Number]=TRIM($T2))*(GJ[Account Code]=TRIM(K18)),GJ[Debit]))</f>
        <v>0</v>
      </c>
      <c r="O18" s="89">
        <f t="array" ref="O18">SUM(IF((GJ[JEV Number]=TRIM($T2))*(GJ[Account Code]=TRIM(K18)),GJ[Credit]))</f>
        <v>0</v>
      </c>
      <c r="P18" s="1040">
        <f t="shared" si="0"/>
        <v>0</v>
      </c>
      <c r="Q18" s="1040"/>
      <c r="R18" s="1040"/>
      <c r="S18" s="1040">
        <f t="shared" si="1"/>
        <v>0</v>
      </c>
      <c r="T18" s="1040"/>
      <c r="U18" s="1040"/>
      <c r="V18" s="1041"/>
    </row>
    <row r="19" spans="1:22" x14ac:dyDescent="0.25">
      <c r="A19" s="1038"/>
      <c r="B19" s="1039"/>
      <c r="C19" s="1039"/>
      <c r="D19" s="1039"/>
      <c r="E19" s="1045">
        <f>IF(K19=0,0,(INDEX(AccountCodes[ACCOUNT NAME],MATCH(K19,AccountCodes[NGAS CODE],0))))</f>
        <v>0</v>
      </c>
      <c r="F19" s="1046"/>
      <c r="G19" s="1046"/>
      <c r="H19" s="1046"/>
      <c r="I19" s="1046"/>
      <c r="J19" s="1047"/>
      <c r="K19" s="876"/>
      <c r="L19" s="62">
        <f t="array" ref="L19">IF(K19=0,0,(INDEX(AccountCodes[PPSAS CODE],MATCH(K19,AccountCodes[NGAS CODE],0))))</f>
        <v>0</v>
      </c>
      <c r="M19" s="14"/>
      <c r="N19" s="89">
        <f t="array" ref="N19">SUM(IF((GJ[JEV Number]=TRIM($T2))*(GJ[Account Code]=TRIM(K19)),GJ[Debit]))</f>
        <v>0</v>
      </c>
      <c r="O19" s="89">
        <f t="array" ref="O19">SUM(IF((GJ[JEV Number]=TRIM($T2))*(GJ[Account Code]=TRIM(K19)),GJ[Credit]))</f>
        <v>0</v>
      </c>
      <c r="P19" s="1040">
        <f t="shared" si="0"/>
        <v>0</v>
      </c>
      <c r="Q19" s="1040"/>
      <c r="R19" s="1040"/>
      <c r="S19" s="1040">
        <f t="shared" si="1"/>
        <v>0</v>
      </c>
      <c r="T19" s="1040"/>
      <c r="U19" s="1040"/>
      <c r="V19" s="1041"/>
    </row>
    <row r="20" spans="1:22" x14ac:dyDescent="0.25">
      <c r="A20" s="1038"/>
      <c r="B20" s="1039"/>
      <c r="C20" s="1039"/>
      <c r="D20" s="1039"/>
      <c r="E20" s="1045">
        <f>IF(K20=0,0,(INDEX(AccountCodes[ACCOUNT NAME],MATCH(K20,AccountCodes[NGAS CODE],0))))</f>
        <v>0</v>
      </c>
      <c r="F20" s="1046"/>
      <c r="G20" s="1046"/>
      <c r="H20" s="1046"/>
      <c r="I20" s="1046"/>
      <c r="J20" s="1047"/>
      <c r="K20" s="811"/>
      <c r="L20" s="62">
        <f t="array" ref="L20">IF(K20=0,0,(INDEX(AccountCodes[PPSAS CODE],MATCH(K20,AccountCodes[NGAS CODE],0))))</f>
        <v>0</v>
      </c>
      <c r="M20" s="14"/>
      <c r="N20" s="89">
        <f t="array" ref="N20">SUM(IF((GJ[JEV Number]=TRIM($T2))*(GJ[Account Code]=TRIM(K20)),GJ[Debit]))</f>
        <v>0</v>
      </c>
      <c r="O20" s="89">
        <f t="array" ref="O20">SUM(IF((GJ[JEV Number]=TRIM($T2))*(GJ[Account Code]=TRIM(K20)),GJ[Credit]))</f>
        <v>0</v>
      </c>
      <c r="P20" s="1040">
        <f t="shared" si="0"/>
        <v>0</v>
      </c>
      <c r="Q20" s="1040"/>
      <c r="R20" s="1040"/>
      <c r="S20" s="1040">
        <f t="shared" si="1"/>
        <v>0</v>
      </c>
      <c r="T20" s="1040"/>
      <c r="U20" s="1040"/>
      <c r="V20" s="1041"/>
    </row>
    <row r="21" spans="1:22" x14ac:dyDescent="0.25">
      <c r="A21" s="1038"/>
      <c r="B21" s="1039"/>
      <c r="C21" s="1039"/>
      <c r="D21" s="1039"/>
      <c r="E21" s="1045">
        <f>IF(K21=0,0,(INDEX(AccountCodes[ACCOUNT NAME],MATCH(K21,AccountCodes[NGAS CODE],0))))</f>
        <v>0</v>
      </c>
      <c r="F21" s="1046"/>
      <c r="G21" s="1046"/>
      <c r="H21" s="1046"/>
      <c r="I21" s="1046"/>
      <c r="J21" s="1047"/>
      <c r="K21" s="811"/>
      <c r="L21" s="62">
        <f t="array" ref="L21">IF(K21=0,0,(INDEX(AccountCodes[PPSAS CODE],MATCH(K21,AccountCodes[NGAS CODE],0))))</f>
        <v>0</v>
      </c>
      <c r="M21" s="14"/>
      <c r="N21" s="89">
        <f t="array" ref="N21">SUM(IF((GJ[JEV Number]=TRIM($T2))*(GJ[Account Code]=TRIM(K21)),GJ[Debit]))</f>
        <v>0</v>
      </c>
      <c r="O21" s="89">
        <f t="array" ref="O21">SUM(IF((GJ[JEV Number]=TRIM($T2))*(GJ[Account Code]=TRIM(K21)),GJ[Credit]))</f>
        <v>0</v>
      </c>
      <c r="P21" s="1040">
        <f t="shared" si="0"/>
        <v>0</v>
      </c>
      <c r="Q21" s="1040"/>
      <c r="R21" s="1040"/>
      <c r="S21" s="1040">
        <f t="shared" si="1"/>
        <v>0</v>
      </c>
      <c r="T21" s="1040"/>
      <c r="U21" s="1040"/>
      <c r="V21" s="1041"/>
    </row>
    <row r="22" spans="1:22" x14ac:dyDescent="0.25">
      <c r="A22" s="1038"/>
      <c r="B22" s="1039"/>
      <c r="C22" s="1039"/>
      <c r="D22" s="1039"/>
      <c r="E22" s="1045">
        <f>IF(K22=0,0,(INDEX(AccountCodes[ACCOUNT NAME],MATCH(K22,AccountCodes[NGAS CODE],0))))</f>
        <v>0</v>
      </c>
      <c r="F22" s="1046"/>
      <c r="G22" s="1046"/>
      <c r="H22" s="1046"/>
      <c r="I22" s="1046"/>
      <c r="J22" s="1047"/>
      <c r="K22" s="876"/>
      <c r="L22" s="62">
        <f t="array" ref="L22">IF(K22=0,0,(INDEX(AccountCodes[PPSAS CODE],MATCH(K22,AccountCodes[NGAS CODE],0))))</f>
        <v>0</v>
      </c>
      <c r="M22" s="14"/>
      <c r="N22" s="89">
        <f t="array" ref="N22">SUM(IF((GJ[JEV Number]=TRIM($T2))*(GJ[Account Code]=TRIM(K22)),GJ[Debit]))</f>
        <v>0</v>
      </c>
      <c r="O22" s="89">
        <f t="array" ref="O22">SUM(IF((GJ[JEV Number]=TRIM($T2))*(GJ[Account Code]=TRIM(K22)),GJ[Credit]))</f>
        <v>0</v>
      </c>
      <c r="P22" s="1040">
        <f t="shared" si="0"/>
        <v>0</v>
      </c>
      <c r="Q22" s="1040"/>
      <c r="R22" s="1040"/>
      <c r="S22" s="1040">
        <f t="shared" si="1"/>
        <v>0</v>
      </c>
      <c r="T22" s="1040"/>
      <c r="U22" s="1040"/>
      <c r="V22" s="1041"/>
    </row>
    <row r="23" spans="1:22" x14ac:dyDescent="0.25">
      <c r="A23" s="1038"/>
      <c r="B23" s="1039"/>
      <c r="C23" s="1039"/>
      <c r="D23" s="1039"/>
      <c r="E23" s="1045">
        <f>IF(K23=0,0,(INDEX(AccountCodes[ACCOUNT NAME],MATCH(K23,AccountCodes[NGAS CODE],0))))</f>
        <v>0</v>
      </c>
      <c r="F23" s="1046"/>
      <c r="G23" s="1046"/>
      <c r="H23" s="1046"/>
      <c r="I23" s="1046"/>
      <c r="J23" s="1047"/>
      <c r="K23" s="876"/>
      <c r="L23" s="62">
        <f t="array" ref="L23">IF(K23=0,0,(INDEX(AccountCodes[PPSAS CODE],MATCH(K23,AccountCodes[NGAS CODE],0))))</f>
        <v>0</v>
      </c>
      <c r="M23" s="14"/>
      <c r="N23" s="89">
        <f t="array" ref="N23">SUM(IF((GJ[JEV Number]=TRIM($T2))*(GJ[Account Code]=TRIM(K23)),GJ[Debit]))</f>
        <v>0</v>
      </c>
      <c r="O23" s="89">
        <f t="array" ref="O23">SUM(IF((GJ[JEV Number]=TRIM($T2))*(GJ[Account Code]=TRIM(K23)),GJ[Credit]))</f>
        <v>0</v>
      </c>
      <c r="P23" s="1040">
        <f t="shared" si="0"/>
        <v>0</v>
      </c>
      <c r="Q23" s="1040"/>
      <c r="R23" s="1040"/>
      <c r="S23" s="1040">
        <f t="shared" si="1"/>
        <v>0</v>
      </c>
      <c r="T23" s="1040"/>
      <c r="U23" s="1040"/>
      <c r="V23" s="1041"/>
    </row>
    <row r="24" spans="1:22" x14ac:dyDescent="0.25">
      <c r="A24" s="1038"/>
      <c r="B24" s="1039"/>
      <c r="C24" s="1039"/>
      <c r="D24" s="1039"/>
      <c r="E24" s="1045">
        <f>IF(K24=0,0,(INDEX(AccountCodes[ACCOUNT NAME],MATCH(K24,AccountCodes[NGAS CODE],0))))</f>
        <v>0</v>
      </c>
      <c r="F24" s="1046"/>
      <c r="G24" s="1046"/>
      <c r="H24" s="1046"/>
      <c r="I24" s="1046"/>
      <c r="J24" s="1047"/>
      <c r="K24" s="133"/>
      <c r="L24" s="62">
        <f t="array" ref="L24">IF(K24=0,0,(INDEX(AccountCodes[PPSAS CODE],MATCH(K24,AccountCodes[NGAS CODE],0))))</f>
        <v>0</v>
      </c>
      <c r="M24" s="14"/>
      <c r="N24" s="89">
        <f t="array" ref="N24">SUM(IF((GJ[JEV Number]=TRIM($T2))*(GJ[Account Code]=TRIM(K24)),GJ[Debit]))</f>
        <v>0</v>
      </c>
      <c r="O24" s="89">
        <f t="array" ref="O24">SUM(IF((GJ[JEV Number]=TRIM($T2))*(GJ[Account Code]=TRIM(K24)),GJ[Credit]))</f>
        <v>0</v>
      </c>
      <c r="P24" s="1040">
        <f t="shared" si="0"/>
        <v>0</v>
      </c>
      <c r="Q24" s="1040"/>
      <c r="R24" s="1040"/>
      <c r="S24" s="1040">
        <f t="shared" si="1"/>
        <v>0</v>
      </c>
      <c r="T24" s="1040"/>
      <c r="U24" s="1040"/>
      <c r="V24" s="1041"/>
    </row>
    <row r="25" spans="1:22" x14ac:dyDescent="0.25">
      <c r="A25" s="1038"/>
      <c r="B25" s="1039"/>
      <c r="C25" s="1039"/>
      <c r="D25" s="1039"/>
      <c r="E25" s="1045">
        <f>IF(K25=0,0,(INDEX(AccountCodes[ACCOUNT NAME],MATCH(K25,AccountCodes[NGAS CODE],0))))</f>
        <v>0</v>
      </c>
      <c r="F25" s="1046"/>
      <c r="G25" s="1046"/>
      <c r="H25" s="1046"/>
      <c r="I25" s="1046"/>
      <c r="J25" s="1047"/>
      <c r="K25" s="133"/>
      <c r="L25" s="62">
        <f t="array" ref="L25">IF(K25=0,0,(INDEX(AccountCodes[PPSAS CODE],MATCH(K25,AccountCodes[NGAS CODE],0))))</f>
        <v>0</v>
      </c>
      <c r="M25" s="14"/>
      <c r="N25" s="89">
        <f t="array" ref="N25">SUM(IF((GJ[JEV Number]=TRIM($T2))*(GJ[Account Code]=TRIM(K25)),GJ[Debit]))</f>
        <v>0</v>
      </c>
      <c r="O25" s="89">
        <f t="array" ref="O25">SUM(IF((GJ[JEV Number]=TRIM($T2))*(GJ[Account Code]=TRIM(K25)),GJ[Credit]))</f>
        <v>0</v>
      </c>
      <c r="P25" s="1040">
        <f t="shared" si="0"/>
        <v>0</v>
      </c>
      <c r="Q25" s="1040"/>
      <c r="R25" s="1040"/>
      <c r="S25" s="1040">
        <f t="shared" si="1"/>
        <v>0</v>
      </c>
      <c r="T25" s="1040"/>
      <c r="U25" s="1040"/>
      <c r="V25" s="1041"/>
    </row>
    <row r="26" spans="1:22" x14ac:dyDescent="0.25">
      <c r="A26" s="1038"/>
      <c r="B26" s="1039"/>
      <c r="C26" s="1039"/>
      <c r="D26" s="1039"/>
      <c r="E26" s="1045">
        <f>IF(K26=0,0,(INDEX(AccountCodes[ACCOUNT NAME],MATCH(K26,AccountCodes[NGAS CODE],0))))</f>
        <v>0</v>
      </c>
      <c r="F26" s="1046"/>
      <c r="G26" s="1046"/>
      <c r="H26" s="1046"/>
      <c r="I26" s="1046"/>
      <c r="J26" s="1047"/>
      <c r="K26" s="133"/>
      <c r="L26" s="62">
        <f t="array" ref="L26">IF(K26=0,0,(INDEX(AccountCodes[PPSAS CODE],MATCH(K26,AccountCodes[NGAS CODE],0))))</f>
        <v>0</v>
      </c>
      <c r="M26" s="14"/>
      <c r="N26" s="89">
        <f t="array" ref="N26">SUM(IF((GJ[JEV Number]=TRIM($T2))*(GJ[Account Code]=TRIM(K26)),GJ[Debit]))</f>
        <v>0</v>
      </c>
      <c r="O26" s="89">
        <f t="array" ref="O26">SUM(IF((GJ[JEV Number]=TRIM($T2))*(GJ[Account Code]=TRIM(K26)),GJ[Credit]))</f>
        <v>0</v>
      </c>
      <c r="P26" s="1040">
        <f t="shared" si="0"/>
        <v>0</v>
      </c>
      <c r="Q26" s="1040"/>
      <c r="R26" s="1040"/>
      <c r="S26" s="1040">
        <f t="shared" si="1"/>
        <v>0</v>
      </c>
      <c r="T26" s="1040"/>
      <c r="U26" s="1040"/>
      <c r="V26" s="1041"/>
    </row>
    <row r="27" spans="1:22" x14ac:dyDescent="0.25">
      <c r="A27" s="1038"/>
      <c r="B27" s="1039"/>
      <c r="C27" s="1039"/>
      <c r="D27" s="1039"/>
      <c r="E27" s="1045">
        <f>IF(K27=0,0,(INDEX(AccountCodes[ACCOUNT NAME],MATCH(K27,AccountCodes[NGAS CODE],0))))</f>
        <v>0</v>
      </c>
      <c r="F27" s="1046"/>
      <c r="G27" s="1046"/>
      <c r="H27" s="1046"/>
      <c r="I27" s="1046"/>
      <c r="J27" s="1047"/>
      <c r="K27" s="133"/>
      <c r="L27" s="62">
        <f t="array" ref="L27">IF(K27=0,0,(INDEX(AccountCodes[PPSAS CODE],MATCH(K27,AccountCodes[NGAS CODE],0))))</f>
        <v>0</v>
      </c>
      <c r="M27" s="14"/>
      <c r="N27" s="89">
        <f t="array" ref="N27">SUM(IF((GJ[JEV Number]=TRIM($T2))*(GJ[Account Code]=TRIM(K27)),GJ[Debit]))</f>
        <v>0</v>
      </c>
      <c r="O27" s="89">
        <f t="array" ref="O27">SUM(IF((GJ[JEV Number]=TRIM($T2))*(GJ[Account Code]=TRIM(K27)),GJ[Credit]))</f>
        <v>0</v>
      </c>
      <c r="P27" s="1040">
        <f t="shared" si="0"/>
        <v>0</v>
      </c>
      <c r="Q27" s="1040"/>
      <c r="R27" s="1040"/>
      <c r="S27" s="1040">
        <f t="shared" si="1"/>
        <v>0</v>
      </c>
      <c r="T27" s="1040"/>
      <c r="U27" s="1040"/>
      <c r="V27" s="1041"/>
    </row>
    <row r="28" spans="1:22" x14ac:dyDescent="0.25">
      <c r="A28" s="1038"/>
      <c r="B28" s="1039"/>
      <c r="C28" s="1039"/>
      <c r="D28" s="1039"/>
      <c r="E28" s="1045">
        <f>IF(K28=0,0,(INDEX(AccountCodes[ACCOUNT NAME],MATCH(K28,AccountCodes[NGAS CODE],0))))</f>
        <v>0</v>
      </c>
      <c r="F28" s="1046"/>
      <c r="G28" s="1046"/>
      <c r="H28" s="1046"/>
      <c r="I28" s="1046"/>
      <c r="J28" s="1047"/>
      <c r="K28" s="133"/>
      <c r="L28" s="62">
        <f t="array" ref="L28">IF(K28=0,0,(INDEX(AccountCodes[PPSAS CODE],MATCH(K28,AccountCodes[NGAS CODE],0))))</f>
        <v>0</v>
      </c>
      <c r="M28" s="14"/>
      <c r="N28" s="89">
        <f t="array" ref="N28">SUM(IF((GJ[JEV Number]=TRIM($T2))*(GJ[Account Code]=TRIM(K28)),GJ[Debit]))</f>
        <v>0</v>
      </c>
      <c r="O28" s="89">
        <f t="array" ref="O28">SUM(IF((GJ[JEV Number]=TRIM($T2))*(GJ[Account Code]=TRIM(K28)),GJ[Credit]))</f>
        <v>0</v>
      </c>
      <c r="P28" s="1040">
        <f t="shared" si="0"/>
        <v>0</v>
      </c>
      <c r="Q28" s="1040"/>
      <c r="R28" s="1040"/>
      <c r="S28" s="1040">
        <f t="shared" si="1"/>
        <v>0</v>
      </c>
      <c r="T28" s="1040"/>
      <c r="U28" s="1040"/>
      <c r="V28" s="1041"/>
    </row>
    <row r="29" spans="1:22" x14ac:dyDescent="0.25">
      <c r="A29" s="1038"/>
      <c r="B29" s="1039"/>
      <c r="C29" s="1039"/>
      <c r="D29" s="1039"/>
      <c r="E29" s="1045">
        <f>IF(K29=0,0,(INDEX(AccountCodes[ACCOUNT NAME],MATCH(K29,AccountCodes[NGAS CODE],0))))</f>
        <v>0</v>
      </c>
      <c r="F29" s="1046"/>
      <c r="G29" s="1046"/>
      <c r="H29" s="1046"/>
      <c r="I29" s="1046"/>
      <c r="J29" s="1047"/>
      <c r="K29" s="133"/>
      <c r="L29" s="62">
        <f t="array" ref="L29">IF(K29=0,0,(INDEX(AccountCodes[PPSAS CODE],MATCH(K29,AccountCodes[NGAS CODE],0))))</f>
        <v>0</v>
      </c>
      <c r="M29" s="14"/>
      <c r="N29" s="89">
        <f t="array" ref="N29">SUM(IF((GJ[JEV Number]=TRIM($T2))*(GJ[Account Code]=TRIM(K29)),GJ[Debit]))</f>
        <v>0</v>
      </c>
      <c r="O29" s="89">
        <f t="array" ref="O29">SUM(IF((GJ[JEV Number]=TRIM($T2))*(GJ[Account Code]=TRIM(K29)),GJ[Credit]))</f>
        <v>0</v>
      </c>
      <c r="P29" s="1040">
        <f t="shared" si="0"/>
        <v>0</v>
      </c>
      <c r="Q29" s="1040"/>
      <c r="R29" s="1040"/>
      <c r="S29" s="1040">
        <f t="shared" si="1"/>
        <v>0</v>
      </c>
      <c r="T29" s="1040"/>
      <c r="U29" s="1040"/>
      <c r="V29" s="1041"/>
    </row>
    <row r="30" spans="1:22" x14ac:dyDescent="0.25">
      <c r="A30" s="1038"/>
      <c r="B30" s="1039"/>
      <c r="C30" s="1039"/>
      <c r="D30" s="1039"/>
      <c r="E30" s="1045">
        <f>IF(K30=0,0,(INDEX(AccountCodes[ACCOUNT NAME],MATCH(K30,AccountCodes[NGAS CODE],0))))</f>
        <v>0</v>
      </c>
      <c r="F30" s="1046"/>
      <c r="G30" s="1046"/>
      <c r="H30" s="1046"/>
      <c r="I30" s="1046"/>
      <c r="J30" s="1047"/>
      <c r="K30" s="133"/>
      <c r="L30" s="62">
        <f t="array" ref="L30">IF(K30=0,0,(INDEX(AccountCodes[PPSAS CODE],MATCH(K30,AccountCodes[NGAS CODE],0))))</f>
        <v>0</v>
      </c>
      <c r="M30" s="14"/>
      <c r="N30" s="89">
        <f t="array" ref="N30">SUM(IF((GJ[JEV Number]=TRIM($T2))*(GJ[Account Code]=TRIM(K30)),GJ[Debit]))</f>
        <v>0</v>
      </c>
      <c r="O30" s="89">
        <f t="array" ref="O30">SUM(IF((GJ[JEV Number]=TRIM($T2))*(GJ[Account Code]=TRIM(K30)),GJ[Credit]))</f>
        <v>0</v>
      </c>
      <c r="P30" s="1040">
        <f t="shared" si="0"/>
        <v>0</v>
      </c>
      <c r="Q30" s="1040"/>
      <c r="R30" s="1040"/>
      <c r="S30" s="1040">
        <f t="shared" si="1"/>
        <v>0</v>
      </c>
      <c r="T30" s="1040"/>
      <c r="U30" s="1040"/>
      <c r="V30" s="1041"/>
    </row>
    <row r="31" spans="1:22" x14ac:dyDescent="0.25">
      <c r="A31" s="1038"/>
      <c r="B31" s="1039"/>
      <c r="C31" s="1039"/>
      <c r="D31" s="1039"/>
      <c r="E31" s="1045">
        <f>IF(K31=0,0,(INDEX(AccountCodes[ACCOUNT NAME],MATCH(K31,AccountCodes[NGAS CODE],0))))</f>
        <v>0</v>
      </c>
      <c r="F31" s="1046"/>
      <c r="G31" s="1046"/>
      <c r="H31" s="1046"/>
      <c r="I31" s="1046"/>
      <c r="J31" s="1047"/>
      <c r="K31" s="133"/>
      <c r="L31" s="62">
        <f t="array" ref="L31">IF(K31=0,0,(INDEX(AccountCodes[PPSAS CODE],MATCH(K31,AccountCodes[NGAS CODE],0))))</f>
        <v>0</v>
      </c>
      <c r="M31" s="14"/>
      <c r="N31" s="89">
        <f t="array" ref="N31">SUM(IF((GJ[JEV Number]=TRIM($T2))*(GJ[Account Code]=TRIM(K31)),GJ[Debit]))</f>
        <v>0</v>
      </c>
      <c r="O31" s="89">
        <f t="array" ref="O31">SUM(IF((GJ[JEV Number]=TRIM($T2))*(GJ[Account Code]=TRIM(K31)),GJ[Credit]))</f>
        <v>0</v>
      </c>
      <c r="P31" s="1040">
        <f t="shared" si="0"/>
        <v>0</v>
      </c>
      <c r="Q31" s="1040"/>
      <c r="R31" s="1040"/>
      <c r="S31" s="1040">
        <f t="shared" si="1"/>
        <v>0</v>
      </c>
      <c r="T31" s="1040"/>
      <c r="U31" s="1040"/>
      <c r="V31" s="1041"/>
    </row>
    <row r="32" spans="1:22" x14ac:dyDescent="0.25">
      <c r="A32" s="1038"/>
      <c r="B32" s="1039"/>
      <c r="C32" s="1039"/>
      <c r="D32" s="1039"/>
      <c r="E32" s="1045">
        <f>IF(K32=0,0,(INDEX(AccountCodes[ACCOUNT NAME],MATCH(K32,AccountCodes[NGAS CODE],0))))</f>
        <v>0</v>
      </c>
      <c r="F32" s="1046"/>
      <c r="G32" s="1046"/>
      <c r="H32" s="1046"/>
      <c r="I32" s="1046"/>
      <c r="J32" s="1047"/>
      <c r="K32" s="133"/>
      <c r="L32" s="62">
        <f t="array" ref="L32">IF(K32=0,0,(INDEX(AccountCodes[PPSAS CODE],MATCH(K32,AccountCodes[NGAS CODE],0))))</f>
        <v>0</v>
      </c>
      <c r="M32" s="14"/>
      <c r="N32" s="89">
        <f t="array" ref="N32">SUM(IF((GJ[JEV Number]=TRIM($T2))*(GJ[Account Code]=TRIM(K32)),GJ[Debit]))</f>
        <v>0</v>
      </c>
      <c r="O32" s="89">
        <f t="array" ref="O32">SUM(IF((GJ[JEV Number]=TRIM($T2))*(GJ[Account Code]=TRIM(K32)),GJ[Credit]))</f>
        <v>0</v>
      </c>
      <c r="P32" s="1040">
        <f t="shared" si="0"/>
        <v>0</v>
      </c>
      <c r="Q32" s="1040"/>
      <c r="R32" s="1040"/>
      <c r="S32" s="1040">
        <f t="shared" si="1"/>
        <v>0</v>
      </c>
      <c r="T32" s="1040"/>
      <c r="U32" s="1040"/>
      <c r="V32" s="1041"/>
    </row>
    <row r="33" spans="1:22" x14ac:dyDescent="0.25">
      <c r="A33" s="1038"/>
      <c r="B33" s="1039"/>
      <c r="C33" s="1039"/>
      <c r="D33" s="1039"/>
      <c r="E33" s="1045">
        <f>IF(K33=0,0,(INDEX(AccountCodes[ACCOUNT NAME],MATCH(K33,AccountCodes[NGAS CODE],0))))</f>
        <v>0</v>
      </c>
      <c r="F33" s="1046"/>
      <c r="G33" s="1046"/>
      <c r="H33" s="1046"/>
      <c r="I33" s="1046"/>
      <c r="J33" s="1047"/>
      <c r="K33" s="133"/>
      <c r="L33" s="62">
        <f t="array" ref="L33">IF(K33=0,0,(INDEX(AccountCodes[PPSAS CODE],MATCH(K33,AccountCodes[NGAS CODE],0))))</f>
        <v>0</v>
      </c>
      <c r="M33" s="14"/>
      <c r="N33" s="89">
        <f t="array" ref="N33">SUM(IF((GJ[JEV Number]=TRIM($T2))*(GJ[Account Code]=TRIM(K33)),GJ[Debit]))</f>
        <v>0</v>
      </c>
      <c r="O33" s="89">
        <f t="array" ref="O33">SUM(IF((GJ[JEV Number]=TRIM($T2))*(GJ[Account Code]=TRIM(K33)),GJ[Credit]))</f>
        <v>0</v>
      </c>
      <c r="P33" s="1040">
        <f t="shared" si="0"/>
        <v>0</v>
      </c>
      <c r="Q33" s="1040"/>
      <c r="R33" s="1040"/>
      <c r="S33" s="1040">
        <f t="shared" si="1"/>
        <v>0</v>
      </c>
      <c r="T33" s="1040"/>
      <c r="U33" s="1040"/>
      <c r="V33" s="1041"/>
    </row>
    <row r="34" spans="1:22" x14ac:dyDescent="0.25">
      <c r="A34" s="842"/>
      <c r="B34" s="843"/>
      <c r="C34" s="843"/>
      <c r="D34" s="844"/>
      <c r="E34" s="835"/>
      <c r="F34" s="836"/>
      <c r="G34" s="836"/>
      <c r="H34" s="836"/>
      <c r="I34" s="836"/>
      <c r="J34" s="837"/>
      <c r="K34" s="133"/>
      <c r="L34" s="62"/>
      <c r="M34" s="14"/>
      <c r="N34" s="89"/>
      <c r="O34" s="89"/>
      <c r="P34" s="838"/>
      <c r="Q34" s="839"/>
      <c r="R34" s="840"/>
      <c r="S34" s="838"/>
      <c r="T34" s="839"/>
      <c r="U34" s="839"/>
      <c r="V34" s="841"/>
    </row>
    <row r="35" spans="1:22" x14ac:dyDescent="0.25">
      <c r="A35" s="842"/>
      <c r="B35" s="843"/>
      <c r="C35" s="843"/>
      <c r="D35" s="844"/>
      <c r="E35" s="835"/>
      <c r="F35" s="836"/>
      <c r="G35" s="836"/>
      <c r="H35" s="836"/>
      <c r="I35" s="836"/>
      <c r="J35" s="837"/>
      <c r="K35" s="133"/>
      <c r="L35" s="62"/>
      <c r="M35" s="14"/>
      <c r="N35" s="89"/>
      <c r="O35" s="89"/>
      <c r="P35" s="838"/>
      <c r="Q35" s="839"/>
      <c r="R35" s="840"/>
      <c r="S35" s="838"/>
      <c r="T35" s="839"/>
      <c r="U35" s="839"/>
      <c r="V35" s="841"/>
    </row>
    <row r="36" spans="1:22" x14ac:dyDescent="0.25">
      <c r="A36" s="842"/>
      <c r="B36" s="843"/>
      <c r="C36" s="843"/>
      <c r="D36" s="844"/>
      <c r="E36" s="835"/>
      <c r="F36" s="836"/>
      <c r="G36" s="836"/>
      <c r="H36" s="836"/>
      <c r="I36" s="836"/>
      <c r="J36" s="837"/>
      <c r="K36" s="133"/>
      <c r="L36" s="62"/>
      <c r="M36" s="14"/>
      <c r="N36" s="89"/>
      <c r="O36" s="89"/>
      <c r="P36" s="838"/>
      <c r="Q36" s="839"/>
      <c r="R36" s="840"/>
      <c r="S36" s="838"/>
      <c r="T36" s="839"/>
      <c r="U36" s="839"/>
      <c r="V36" s="841"/>
    </row>
    <row r="37" spans="1:22" x14ac:dyDescent="0.25">
      <c r="A37" s="842"/>
      <c r="B37" s="843"/>
      <c r="C37" s="843"/>
      <c r="D37" s="844"/>
      <c r="E37" s="835"/>
      <c r="F37" s="836"/>
      <c r="G37" s="836"/>
      <c r="H37" s="836"/>
      <c r="I37" s="836"/>
      <c r="J37" s="837"/>
      <c r="K37" s="133"/>
      <c r="L37" s="62"/>
      <c r="M37" s="14"/>
      <c r="N37" s="89"/>
      <c r="O37" s="89"/>
      <c r="P37" s="838"/>
      <c r="Q37" s="839"/>
      <c r="R37" s="840"/>
      <c r="S37" s="838"/>
      <c r="T37" s="839"/>
      <c r="U37" s="839"/>
      <c r="V37" s="841"/>
    </row>
    <row r="38" spans="1:22" x14ac:dyDescent="0.25">
      <c r="A38" s="842"/>
      <c r="B38" s="843"/>
      <c r="C38" s="843"/>
      <c r="D38" s="844"/>
      <c r="E38" s="835"/>
      <c r="F38" s="836"/>
      <c r="G38" s="836"/>
      <c r="H38" s="836"/>
      <c r="I38" s="836"/>
      <c r="J38" s="837"/>
      <c r="K38" s="133"/>
      <c r="L38" s="62"/>
      <c r="M38" s="14"/>
      <c r="N38" s="89"/>
      <c r="O38" s="89"/>
      <c r="P38" s="838"/>
      <c r="Q38" s="839"/>
      <c r="R38" s="840"/>
      <c r="S38" s="838"/>
      <c r="T38" s="839"/>
      <c r="U38" s="839"/>
      <c r="V38" s="841"/>
    </row>
    <row r="39" spans="1:22" x14ac:dyDescent="0.25">
      <c r="A39" s="842"/>
      <c r="B39" s="843"/>
      <c r="C39" s="843"/>
      <c r="D39" s="844"/>
      <c r="E39" s="835"/>
      <c r="F39" s="836"/>
      <c r="G39" s="836"/>
      <c r="H39" s="836"/>
      <c r="I39" s="836"/>
      <c r="J39" s="837"/>
      <c r="K39" s="133"/>
      <c r="L39" s="62"/>
      <c r="M39" s="14"/>
      <c r="N39" s="89"/>
      <c r="O39" s="89"/>
      <c r="P39" s="838"/>
      <c r="Q39" s="839"/>
      <c r="R39" s="840"/>
      <c r="S39" s="838"/>
      <c r="T39" s="839"/>
      <c r="U39" s="839"/>
      <c r="V39" s="841"/>
    </row>
    <row r="40" spans="1:22" x14ac:dyDescent="0.25">
      <c r="A40" s="842"/>
      <c r="B40" s="843"/>
      <c r="C40" s="843"/>
      <c r="D40" s="844"/>
      <c r="E40" s="835"/>
      <c r="F40" s="836"/>
      <c r="G40" s="836"/>
      <c r="H40" s="836"/>
      <c r="I40" s="836"/>
      <c r="J40" s="837"/>
      <c r="K40" s="133"/>
      <c r="L40" s="62"/>
      <c r="M40" s="14"/>
      <c r="N40" s="89"/>
      <c r="O40" s="89"/>
      <c r="P40" s="838"/>
      <c r="Q40" s="839"/>
      <c r="R40" s="840"/>
      <c r="S40" s="838"/>
      <c r="T40" s="839"/>
      <c r="U40" s="839"/>
      <c r="V40" s="841"/>
    </row>
    <row r="41" spans="1:22" x14ac:dyDescent="0.25">
      <c r="A41" s="842"/>
      <c r="B41" s="843"/>
      <c r="C41" s="843"/>
      <c r="D41" s="844"/>
      <c r="E41" s="835"/>
      <c r="F41" s="836"/>
      <c r="G41" s="836"/>
      <c r="H41" s="836"/>
      <c r="I41" s="836"/>
      <c r="J41" s="837"/>
      <c r="K41" s="133"/>
      <c r="L41" s="62"/>
      <c r="M41" s="14"/>
      <c r="N41" s="89"/>
      <c r="O41" s="89"/>
      <c r="P41" s="838"/>
      <c r="Q41" s="839"/>
      <c r="R41" s="840"/>
      <c r="S41" s="838"/>
      <c r="T41" s="839"/>
      <c r="U41" s="839"/>
      <c r="V41" s="841"/>
    </row>
    <row r="42" spans="1:22" x14ac:dyDescent="0.25">
      <c r="A42" s="842"/>
      <c r="B42" s="843"/>
      <c r="C42" s="843"/>
      <c r="D42" s="844"/>
      <c r="E42" s="835"/>
      <c r="F42" s="836"/>
      <c r="G42" s="836"/>
      <c r="H42" s="836"/>
      <c r="I42" s="836"/>
      <c r="J42" s="837"/>
      <c r="K42" s="133"/>
      <c r="L42" s="62"/>
      <c r="M42" s="14"/>
      <c r="N42" s="89"/>
      <c r="O42" s="89"/>
      <c r="P42" s="838"/>
      <c r="Q42" s="839"/>
      <c r="R42" s="840"/>
      <c r="S42" s="838"/>
      <c r="T42" s="839"/>
      <c r="U42" s="839"/>
      <c r="V42" s="841"/>
    </row>
    <row r="43" spans="1:22" x14ac:dyDescent="0.25">
      <c r="A43" s="842"/>
      <c r="B43" s="843"/>
      <c r="C43" s="843"/>
      <c r="D43" s="844"/>
      <c r="E43" s="835"/>
      <c r="F43" s="836"/>
      <c r="G43" s="836"/>
      <c r="H43" s="836"/>
      <c r="I43" s="836"/>
      <c r="J43" s="837"/>
      <c r="K43" s="133"/>
      <c r="L43" s="62"/>
      <c r="M43" s="14"/>
      <c r="N43" s="89"/>
      <c r="O43" s="89"/>
      <c r="P43" s="838"/>
      <c r="Q43" s="839"/>
      <c r="R43" s="840"/>
      <c r="S43" s="838"/>
      <c r="T43" s="839"/>
      <c r="U43" s="839"/>
      <c r="V43" s="841"/>
    </row>
    <row r="44" spans="1:22" x14ac:dyDescent="0.25">
      <c r="A44" s="842"/>
      <c r="B44" s="843"/>
      <c r="C44" s="843"/>
      <c r="D44" s="844"/>
      <c r="E44" s="835"/>
      <c r="F44" s="836"/>
      <c r="G44" s="836"/>
      <c r="H44" s="836"/>
      <c r="I44" s="836"/>
      <c r="J44" s="837"/>
      <c r="K44" s="133"/>
      <c r="L44" s="62"/>
      <c r="M44" s="14"/>
      <c r="N44" s="89"/>
      <c r="O44" s="89"/>
      <c r="P44" s="838"/>
      <c r="Q44" s="839"/>
      <c r="R44" s="840"/>
      <c r="S44" s="838"/>
      <c r="T44" s="839"/>
      <c r="U44" s="839"/>
      <c r="V44" s="841"/>
    </row>
    <row r="45" spans="1:22" x14ac:dyDescent="0.25">
      <c r="A45" s="842"/>
      <c r="B45" s="843"/>
      <c r="C45" s="843"/>
      <c r="D45" s="844"/>
      <c r="E45" s="835"/>
      <c r="F45" s="836"/>
      <c r="G45" s="836"/>
      <c r="H45" s="836"/>
      <c r="I45" s="836"/>
      <c r="J45" s="837"/>
      <c r="K45" s="133"/>
      <c r="L45" s="62"/>
      <c r="M45" s="14"/>
      <c r="N45" s="89"/>
      <c r="O45" s="89"/>
      <c r="P45" s="838"/>
      <c r="Q45" s="839"/>
      <c r="R45" s="840"/>
      <c r="S45" s="838"/>
      <c r="T45" s="839"/>
      <c r="U45" s="839"/>
      <c r="V45" s="841"/>
    </row>
    <row r="46" spans="1:22" x14ac:dyDescent="0.25">
      <c r="A46" s="842"/>
      <c r="B46" s="843"/>
      <c r="C46" s="843"/>
      <c r="D46" s="844"/>
      <c r="E46" s="835"/>
      <c r="F46" s="836"/>
      <c r="G46" s="836"/>
      <c r="H46" s="836"/>
      <c r="I46" s="836"/>
      <c r="J46" s="837"/>
      <c r="K46" s="133"/>
      <c r="L46" s="62"/>
      <c r="M46" s="14"/>
      <c r="N46" s="89"/>
      <c r="O46" s="89"/>
      <c r="P46" s="838"/>
      <c r="Q46" s="839"/>
      <c r="R46" s="840"/>
      <c r="S46" s="838"/>
      <c r="T46" s="839"/>
      <c r="U46" s="839"/>
      <c r="V46" s="841"/>
    </row>
    <row r="47" spans="1:22" x14ac:dyDescent="0.25">
      <c r="A47" s="842"/>
      <c r="B47" s="843"/>
      <c r="C47" s="843"/>
      <c r="D47" s="844"/>
      <c r="E47" s="835"/>
      <c r="F47" s="836"/>
      <c r="G47" s="836"/>
      <c r="H47" s="836"/>
      <c r="I47" s="836"/>
      <c r="J47" s="837"/>
      <c r="K47" s="133"/>
      <c r="L47" s="62"/>
      <c r="M47" s="14"/>
      <c r="N47" s="89"/>
      <c r="O47" s="89"/>
      <c r="P47" s="838"/>
      <c r="Q47" s="839"/>
      <c r="R47" s="840"/>
      <c r="S47" s="838"/>
      <c r="T47" s="839"/>
      <c r="U47" s="839"/>
      <c r="V47" s="841"/>
    </row>
    <row r="48" spans="1:22" x14ac:dyDescent="0.25">
      <c r="A48" s="842"/>
      <c r="B48" s="843"/>
      <c r="C48" s="843"/>
      <c r="D48" s="844"/>
      <c r="E48" s="835"/>
      <c r="F48" s="836"/>
      <c r="G48" s="836"/>
      <c r="H48" s="836"/>
      <c r="I48" s="836"/>
      <c r="J48" s="837"/>
      <c r="K48" s="133"/>
      <c r="L48" s="62"/>
      <c r="M48" s="14"/>
      <c r="N48" s="89"/>
      <c r="O48" s="89"/>
      <c r="P48" s="838"/>
      <c r="Q48" s="839"/>
      <c r="R48" s="840"/>
      <c r="S48" s="838"/>
      <c r="T48" s="839"/>
      <c r="U48" s="839"/>
      <c r="V48" s="841"/>
    </row>
    <row r="49" spans="1:22" x14ac:dyDescent="0.25">
      <c r="A49" s="1038"/>
      <c r="B49" s="1039"/>
      <c r="C49" s="1039"/>
      <c r="D49" s="1039"/>
      <c r="E49" s="1045">
        <f>IF(K49=0,0,(INDEX(AccountCodes[ACCOUNT NAME],MATCH(K49,AccountCodes[NGAS CODE],0))))</f>
        <v>0</v>
      </c>
      <c r="F49" s="1046"/>
      <c r="G49" s="1046"/>
      <c r="H49" s="1046"/>
      <c r="I49" s="1046"/>
      <c r="J49" s="1047"/>
      <c r="K49" s="133"/>
      <c r="L49" s="62">
        <f t="array" ref="L49">IF(K49=0,0,(INDEX(AccountCodes[PPSAS CODE],MATCH(K49,AccountCodes[NGAS CODE],0))))</f>
        <v>0</v>
      </c>
      <c r="M49" s="14"/>
      <c r="N49" s="89">
        <f t="array" ref="N49">SUM(IF((GJ[JEV Number]=TRIM($T2))*(GJ[Account Code]=TRIM(K49)),GJ[Debit]))</f>
        <v>0</v>
      </c>
      <c r="O49" s="89">
        <f t="array" ref="O49">SUM(IF((GJ[JEV Number]=TRIM($T2))*(GJ[Account Code]=TRIM(K49)),GJ[Credit]))</f>
        <v>0</v>
      </c>
      <c r="P49" s="1040">
        <f>N49</f>
        <v>0</v>
      </c>
      <c r="Q49" s="1040"/>
      <c r="R49" s="1040"/>
      <c r="S49" s="1040">
        <f>O49</f>
        <v>0</v>
      </c>
      <c r="T49" s="1040"/>
      <c r="U49" s="1040"/>
      <c r="V49" s="1041"/>
    </row>
    <row r="50" spans="1:22" x14ac:dyDescent="0.25">
      <c r="A50" s="1038"/>
      <c r="B50" s="1039"/>
      <c r="C50" s="1039"/>
      <c r="D50" s="1039"/>
      <c r="E50" s="1126" t="s">
        <v>1983</v>
      </c>
      <c r="F50" s="1127"/>
      <c r="G50" s="1127"/>
      <c r="H50" s="1127"/>
      <c r="I50" s="1127"/>
      <c r="J50" s="1128"/>
      <c r="K50" s="134"/>
      <c r="L50" s="62"/>
      <c r="M50" s="14"/>
      <c r="N50" s="89"/>
      <c r="O50" s="89"/>
      <c r="P50" s="1040"/>
      <c r="Q50" s="1040"/>
      <c r="R50" s="1040"/>
      <c r="S50" s="1040"/>
      <c r="T50" s="1040"/>
      <c r="U50" s="1040"/>
      <c r="V50" s="1041"/>
    </row>
    <row r="51" spans="1:22" x14ac:dyDescent="0.25">
      <c r="A51" s="1038"/>
      <c r="B51" s="1039"/>
      <c r="C51" s="1039"/>
      <c r="D51" s="1039"/>
      <c r="E51" s="1129"/>
      <c r="F51" s="1130"/>
      <c r="G51" s="1130"/>
      <c r="H51" s="1130"/>
      <c r="I51" s="1130"/>
      <c r="J51" s="1131"/>
      <c r="K51" s="133"/>
      <c r="L51" s="62"/>
      <c r="M51" s="14"/>
      <c r="N51" s="89"/>
      <c r="O51" s="89"/>
      <c r="P51" s="1040"/>
      <c r="Q51" s="1040"/>
      <c r="R51" s="1040"/>
      <c r="S51" s="1040"/>
      <c r="T51" s="1040"/>
      <c r="U51" s="1040"/>
      <c r="V51" s="1041"/>
    </row>
    <row r="52" spans="1:22" x14ac:dyDescent="0.25">
      <c r="A52" s="1038"/>
      <c r="B52" s="1039"/>
      <c r="C52" s="1039"/>
      <c r="D52" s="1039"/>
      <c r="E52" s="1129"/>
      <c r="F52" s="1130"/>
      <c r="G52" s="1130"/>
      <c r="H52" s="1130"/>
      <c r="I52" s="1130"/>
      <c r="J52" s="1131"/>
      <c r="K52" s="133"/>
      <c r="L52" s="62"/>
      <c r="M52" s="14"/>
      <c r="N52" s="89"/>
      <c r="O52" s="89"/>
      <c r="P52" s="1040"/>
      <c r="Q52" s="1040"/>
      <c r="R52" s="1040"/>
      <c r="S52" s="1040"/>
      <c r="T52" s="1040"/>
      <c r="U52" s="1040"/>
      <c r="V52" s="1041"/>
    </row>
    <row r="53" spans="1:22" x14ac:dyDescent="0.25">
      <c r="A53" s="1038"/>
      <c r="B53" s="1039"/>
      <c r="C53" s="1039"/>
      <c r="D53" s="1039"/>
      <c r="E53" s="1129"/>
      <c r="F53" s="1130"/>
      <c r="G53" s="1130"/>
      <c r="H53" s="1130"/>
      <c r="I53" s="1130"/>
      <c r="J53" s="1131"/>
      <c r="K53" s="133"/>
      <c r="L53" s="62"/>
      <c r="M53" s="14"/>
      <c r="N53" s="89"/>
      <c r="O53" s="89"/>
      <c r="P53" s="1040"/>
      <c r="Q53" s="1040"/>
      <c r="R53" s="1040"/>
      <c r="S53" s="1040"/>
      <c r="T53" s="1040"/>
      <c r="U53" s="1040"/>
      <c r="V53" s="1041"/>
    </row>
    <row r="54" spans="1:22" x14ac:dyDescent="0.25">
      <c r="A54" s="1038"/>
      <c r="B54" s="1039"/>
      <c r="C54" s="1039"/>
      <c r="D54" s="1039"/>
      <c r="E54" s="1129"/>
      <c r="F54" s="1130"/>
      <c r="G54" s="1130"/>
      <c r="H54" s="1130"/>
      <c r="I54" s="1130"/>
      <c r="J54" s="1131"/>
      <c r="K54" s="133"/>
      <c r="L54" s="62"/>
      <c r="M54" s="14"/>
      <c r="N54" s="89"/>
      <c r="O54" s="89"/>
      <c r="P54" s="1040"/>
      <c r="Q54" s="1040"/>
      <c r="R54" s="1040"/>
      <c r="S54" s="1040"/>
      <c r="T54" s="1040"/>
      <c r="U54" s="1040"/>
      <c r="V54" s="1041"/>
    </row>
    <row r="55" spans="1:22" x14ac:dyDescent="0.25">
      <c r="A55" s="1038"/>
      <c r="B55" s="1039"/>
      <c r="C55" s="1039"/>
      <c r="D55" s="1039"/>
      <c r="E55" s="1132"/>
      <c r="F55" s="1133"/>
      <c r="G55" s="1133"/>
      <c r="H55" s="1133"/>
      <c r="I55" s="1133"/>
      <c r="J55" s="1134"/>
      <c r="K55" s="133"/>
      <c r="L55" s="62"/>
      <c r="M55" s="14"/>
      <c r="N55" s="89"/>
      <c r="O55" s="89"/>
      <c r="P55" s="1040"/>
      <c r="Q55" s="1040"/>
      <c r="R55" s="1040"/>
      <c r="S55" s="1040"/>
      <c r="T55" s="1040"/>
      <c r="U55" s="1040"/>
      <c r="V55" s="1041"/>
    </row>
    <row r="56" spans="1:22" ht="16.5" thickBot="1" x14ac:dyDescent="0.3">
      <c r="A56" s="1091"/>
      <c r="B56" s="1092"/>
      <c r="C56" s="1092"/>
      <c r="D56" s="1092"/>
      <c r="E56" s="1092"/>
      <c r="F56" s="1092"/>
      <c r="G56" s="1092"/>
      <c r="H56" s="1092"/>
      <c r="I56" s="1092"/>
      <c r="J56" s="1092"/>
      <c r="K56" s="1092"/>
      <c r="L56" s="1092"/>
      <c r="M56" s="1093"/>
      <c r="N56" s="88"/>
      <c r="O56" s="88"/>
      <c r="P56" s="1094">
        <f>SUM(P11:R55)</f>
        <v>12064</v>
      </c>
      <c r="Q56" s="1094"/>
      <c r="R56" s="1094"/>
      <c r="S56" s="1094">
        <f>SUM(S11:V55)</f>
        <v>12064</v>
      </c>
      <c r="T56" s="1094"/>
      <c r="U56" s="1094"/>
      <c r="V56" s="1095"/>
    </row>
    <row r="57" spans="1:22" x14ac:dyDescent="0.25">
      <c r="A57" s="63"/>
      <c r="B57" s="64"/>
      <c r="C57" s="64"/>
      <c r="D57" s="64"/>
      <c r="E57" s="64"/>
      <c r="F57" s="64"/>
      <c r="G57" s="64"/>
      <c r="H57" s="64"/>
      <c r="I57" s="65"/>
      <c r="J57" s="64"/>
      <c r="K57" s="66"/>
      <c r="L57" s="64"/>
      <c r="M57" s="65"/>
      <c r="N57" s="64"/>
      <c r="O57" s="64"/>
      <c r="P57" s="1090"/>
      <c r="Q57" s="1090"/>
      <c r="R57" s="1090"/>
      <c r="S57" s="1090"/>
      <c r="T57" s="1090"/>
      <c r="U57" s="1090"/>
      <c r="V57" s="1096"/>
    </row>
    <row r="58" spans="1:22" x14ac:dyDescent="0.25">
      <c r="A58" s="67" t="s">
        <v>460</v>
      </c>
      <c r="B58"/>
      <c r="C58"/>
      <c r="D58"/>
      <c r="E58"/>
      <c r="F58"/>
      <c r="G58"/>
      <c r="H58"/>
      <c r="I58" s="947" t="s">
        <v>353</v>
      </c>
      <c r="J58" s="50"/>
      <c r="K58" s="50"/>
      <c r="L58" s="25"/>
      <c r="M58" s="68" t="s">
        <v>461</v>
      </c>
      <c r="N58" s="69"/>
      <c r="O58" s="69"/>
      <c r="P58" s="70"/>
      <c r="Q58" s="70"/>
      <c r="R58" s="70"/>
      <c r="S58" s="70"/>
      <c r="T58" s="70"/>
      <c r="U58" s="70"/>
      <c r="V58" s="71"/>
    </row>
    <row r="59" spans="1:22" x14ac:dyDescent="0.25">
      <c r="A59" s="37"/>
      <c r="B59"/>
      <c r="C59"/>
      <c r="D59"/>
      <c r="E59"/>
      <c r="F59"/>
      <c r="G59"/>
      <c r="H59"/>
      <c r="I59" s="948"/>
      <c r="L59" s="25"/>
      <c r="M59" s="72"/>
      <c r="N59"/>
      <c r="O59"/>
      <c r="P59"/>
      <c r="Q59"/>
      <c r="R59"/>
      <c r="S59"/>
      <c r="T59"/>
      <c r="U59"/>
      <c r="V59" s="73"/>
    </row>
    <row r="60" spans="1:22" x14ac:dyDescent="0.25">
      <c r="A60" s="77" t="s">
        <v>1644</v>
      </c>
      <c r="B60" s="75"/>
      <c r="C60" s="75"/>
      <c r="D60" s="75"/>
      <c r="E60" s="75"/>
      <c r="F60" s="75"/>
      <c r="G60" s="75"/>
      <c r="H60" s="76"/>
      <c r="I60" s="77" t="s">
        <v>1653</v>
      </c>
      <c r="J60" s="75"/>
      <c r="K60" s="75"/>
      <c r="L60" s="949"/>
      <c r="M60" s="77" t="s">
        <v>1590</v>
      </c>
      <c r="N60" s="75"/>
      <c r="O60" s="75"/>
      <c r="P60" s="75"/>
      <c r="Q60" s="75"/>
      <c r="R60" s="75"/>
      <c r="S60" s="75"/>
      <c r="T60" s="75"/>
      <c r="U60" s="75"/>
      <c r="V60" s="78"/>
    </row>
    <row r="61" spans="1:22" x14ac:dyDescent="0.25">
      <c r="A61" s="81" t="s">
        <v>1749</v>
      </c>
      <c r="B61" s="80"/>
      <c r="C61" s="80"/>
      <c r="D61" s="80"/>
      <c r="E61" s="80"/>
      <c r="F61" s="80"/>
      <c r="G61" s="80"/>
      <c r="H61" s="80"/>
      <c r="I61" s="81" t="s">
        <v>381</v>
      </c>
      <c r="J61" s="80"/>
      <c r="K61" s="80"/>
      <c r="L61" s="80"/>
      <c r="M61" s="81" t="s">
        <v>464</v>
      </c>
      <c r="N61" s="80"/>
      <c r="O61" s="80"/>
      <c r="P61" s="82"/>
      <c r="Q61" s="82"/>
      <c r="R61" s="82"/>
      <c r="S61" s="82"/>
      <c r="T61" s="82"/>
      <c r="U61" s="82"/>
      <c r="V61" s="83"/>
    </row>
    <row r="62" spans="1:22" ht="16.5" thickBot="1" x14ac:dyDescent="0.3">
      <c r="A62" s="84" t="s">
        <v>465</v>
      </c>
      <c r="B62" s="43"/>
      <c r="C62" s="43"/>
      <c r="D62" s="43"/>
      <c r="E62" s="43"/>
      <c r="F62" s="43"/>
      <c r="G62" s="43"/>
      <c r="H62" s="43"/>
      <c r="I62" s="950"/>
      <c r="J62" s="55"/>
      <c r="K62" s="55"/>
      <c r="L62" s="55"/>
      <c r="M62" s="85"/>
      <c r="N62" s="43"/>
      <c r="O62" s="43"/>
      <c r="P62" s="43"/>
      <c r="Q62" s="43"/>
      <c r="R62" s="43"/>
      <c r="S62" s="43"/>
      <c r="T62" s="43"/>
      <c r="U62" s="43"/>
      <c r="V62" s="44"/>
    </row>
    <row r="63" spans="1:22" ht="22.5" x14ac:dyDescent="0.25">
      <c r="A63" s="31" t="s">
        <v>441</v>
      </c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3"/>
      <c r="R63" s="1053">
        <f>+P103-S103</f>
        <v>0</v>
      </c>
      <c r="S63" s="1054"/>
      <c r="T63" s="1054"/>
      <c r="U63" s="1054"/>
      <c r="V63" s="1055"/>
    </row>
    <row r="64" spans="1:22" x14ac:dyDescent="0.25">
      <c r="A64" s="34" t="s">
        <v>1558</v>
      </c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6"/>
      <c r="R64" s="37" t="s">
        <v>443</v>
      </c>
      <c r="S64"/>
      <c r="T64" s="1056" t="s">
        <v>1564</v>
      </c>
      <c r="U64" s="1056"/>
      <c r="V64" s="1057"/>
    </row>
    <row r="65" spans="1:22" x14ac:dyDescent="0.25">
      <c r="A65" s="38" t="s">
        <v>444</v>
      </c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6"/>
      <c r="R65" s="37" t="s">
        <v>0</v>
      </c>
      <c r="S65"/>
      <c r="T65" s="1058" t="e">
        <f>IF(T64=0,0,(LOOKUP(T64,GJ[JEV Number],GJ[Date])))</f>
        <v>#N/A</v>
      </c>
      <c r="U65" s="1058"/>
      <c r="V65" s="1059"/>
    </row>
    <row r="66" spans="1:22" ht="16.5" thickBot="1" x14ac:dyDescent="0.3">
      <c r="A66" s="39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1"/>
      <c r="R66" s="42"/>
      <c r="S66" s="43"/>
      <c r="T66" s="43"/>
      <c r="U66" s="43"/>
      <c r="V66" s="44"/>
    </row>
    <row r="67" spans="1:22" x14ac:dyDescent="0.25">
      <c r="A67" s="45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7"/>
      <c r="M67" s="46"/>
      <c r="N67" s="46"/>
      <c r="O67" s="46"/>
      <c r="P67" s="46"/>
      <c r="Q67" s="46"/>
      <c r="R67" s="46"/>
      <c r="S67" s="46"/>
      <c r="T67" s="46"/>
      <c r="U67" s="46"/>
      <c r="V67" s="48"/>
    </row>
    <row r="68" spans="1:22" x14ac:dyDescent="0.25">
      <c r="A68" s="49"/>
      <c r="B68" s="1060"/>
      <c r="C68" s="1060"/>
      <c r="D68" s="50" t="s">
        <v>445</v>
      </c>
      <c r="H68" s="51"/>
      <c r="I68" s="25" t="s">
        <v>447</v>
      </c>
      <c r="J68" s="14"/>
      <c r="K68" s="52" t="s">
        <v>448</v>
      </c>
      <c r="L68" s="52"/>
      <c r="Q68" s="1060" t="s">
        <v>446</v>
      </c>
      <c r="R68" s="1060"/>
      <c r="S68" s="50" t="s">
        <v>449</v>
      </c>
      <c r="T68" s="50"/>
      <c r="U68" s="50"/>
      <c r="V68" s="53"/>
    </row>
    <row r="69" spans="1:22" ht="16.5" thickBot="1" x14ac:dyDescent="0.3">
      <c r="A69" s="54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55"/>
      <c r="N69" s="55"/>
      <c r="O69" s="55"/>
      <c r="P69" s="55"/>
      <c r="Q69" s="55"/>
      <c r="R69" s="55"/>
      <c r="S69" s="55"/>
      <c r="T69" s="55"/>
      <c r="U69" s="55"/>
      <c r="V69" s="57"/>
    </row>
    <row r="70" spans="1:22" x14ac:dyDescent="0.25">
      <c r="A70" s="1061" t="s">
        <v>397</v>
      </c>
      <c r="B70" s="1062"/>
      <c r="C70" s="1062"/>
      <c r="D70" s="1063"/>
      <c r="E70" s="1070" t="s">
        <v>450</v>
      </c>
      <c r="F70" s="1070"/>
      <c r="G70" s="1070"/>
      <c r="H70" s="1070"/>
      <c r="I70" s="1070"/>
      <c r="J70" s="1070"/>
      <c r="K70" s="1070"/>
      <c r="L70" s="1070"/>
      <c r="M70" s="1070"/>
      <c r="N70" s="1070"/>
      <c r="O70" s="1070"/>
      <c r="P70" s="1070"/>
      <c r="Q70" s="1070"/>
      <c r="R70" s="1070"/>
      <c r="S70" s="1070"/>
      <c r="T70" s="1070"/>
      <c r="U70" s="1070"/>
      <c r="V70" s="1071"/>
    </row>
    <row r="71" spans="1:22" x14ac:dyDescent="0.25">
      <c r="A71" s="1064"/>
      <c r="B71" s="1065"/>
      <c r="C71" s="1065"/>
      <c r="D71" s="1066"/>
      <c r="E71" s="1072" t="s">
        <v>451</v>
      </c>
      <c r="F71" s="1072"/>
      <c r="G71" s="1072"/>
      <c r="H71" s="1072"/>
      <c r="I71" s="1072"/>
      <c r="J71" s="1072"/>
      <c r="K71" s="1074" t="s">
        <v>378</v>
      </c>
      <c r="L71" s="1074"/>
      <c r="M71" s="1072" t="s">
        <v>452</v>
      </c>
      <c r="N71" s="1075" t="s">
        <v>453</v>
      </c>
      <c r="O71" s="1076"/>
      <c r="P71" s="1076"/>
      <c r="Q71" s="1076"/>
      <c r="R71" s="1076"/>
      <c r="S71" s="1076"/>
      <c r="T71" s="1076"/>
      <c r="U71" s="1076"/>
      <c r="V71" s="1077"/>
    </row>
    <row r="72" spans="1:22" ht="16.5" thickBot="1" x14ac:dyDescent="0.3">
      <c r="A72" s="1067"/>
      <c r="B72" s="1068"/>
      <c r="C72" s="1068"/>
      <c r="D72" s="1069"/>
      <c r="E72" s="1073"/>
      <c r="F72" s="1073"/>
      <c r="G72" s="1073"/>
      <c r="H72" s="1073"/>
      <c r="I72" s="1073"/>
      <c r="J72" s="1073"/>
      <c r="K72" s="58" t="s">
        <v>454</v>
      </c>
      <c r="L72" s="58" t="s">
        <v>455</v>
      </c>
      <c r="M72" s="1073"/>
      <c r="N72" s="87" t="s">
        <v>466</v>
      </c>
      <c r="O72" s="87" t="s">
        <v>467</v>
      </c>
      <c r="P72" s="1078" t="s">
        <v>1</v>
      </c>
      <c r="Q72" s="1079"/>
      <c r="R72" s="1080"/>
      <c r="S72" s="1078" t="s">
        <v>2</v>
      </c>
      <c r="T72" s="1079"/>
      <c r="U72" s="1079"/>
      <c r="V72" s="1081"/>
    </row>
    <row r="73" spans="1:22" ht="19.5" x14ac:dyDescent="0.3">
      <c r="A73" s="1082">
        <f>P103-S103</f>
        <v>0</v>
      </c>
      <c r="B73" s="1083"/>
      <c r="C73" s="1083"/>
      <c r="D73" s="1083"/>
      <c r="E73" s="1084" t="str">
        <f>Account!$G$1</f>
        <v>FUND 501 CARP</v>
      </c>
      <c r="F73" s="1085"/>
      <c r="G73" s="1085"/>
      <c r="H73" s="1085"/>
      <c r="I73" s="1085"/>
      <c r="J73" s="1086"/>
      <c r="K73" s="59"/>
      <c r="L73" s="59"/>
      <c r="M73" s="60"/>
      <c r="N73" s="60"/>
      <c r="O73" s="60"/>
      <c r="P73" s="1087"/>
      <c r="Q73" s="1087"/>
      <c r="R73" s="1087"/>
      <c r="S73" s="1087"/>
      <c r="T73" s="1087"/>
      <c r="U73" s="1087"/>
      <c r="V73" s="1088"/>
    </row>
    <row r="74" spans="1:22" x14ac:dyDescent="0.25">
      <c r="A74" s="1038"/>
      <c r="B74" s="1039"/>
      <c r="C74" s="1039"/>
      <c r="D74" s="1039"/>
      <c r="E74" s="1039"/>
      <c r="F74" s="1039"/>
      <c r="G74" s="1039"/>
      <c r="H74" s="1039"/>
      <c r="I74" s="1039"/>
      <c r="J74" s="1039"/>
      <c r="K74" s="61"/>
      <c r="L74" s="61"/>
      <c r="M74" s="14"/>
      <c r="N74" s="14"/>
      <c r="O74" s="14"/>
      <c r="P74" s="1039"/>
      <c r="Q74" s="1039"/>
      <c r="R74" s="1039"/>
      <c r="S74" s="1039"/>
      <c r="T74" s="1039"/>
      <c r="U74" s="1039"/>
      <c r="V74" s="1089"/>
    </row>
    <row r="75" spans="1:22" x14ac:dyDescent="0.25">
      <c r="A75" s="1038"/>
      <c r="B75" s="1039"/>
      <c r="C75" s="1039"/>
      <c r="D75" s="1039"/>
      <c r="E75" s="1045" t="str">
        <f t="shared" ref="E75:E96" si="2">IF(K75=0,"",(VLOOKUP((TRIM(K75)),Code,2,)))</f>
        <v>Accumulated Surplus/(Deficit) (Government Equity)</v>
      </c>
      <c r="F75" s="1046"/>
      <c r="G75" s="1046"/>
      <c r="H75" s="1046"/>
      <c r="I75" s="1046"/>
      <c r="J75" s="1047"/>
      <c r="K75" s="136" t="s">
        <v>122</v>
      </c>
      <c r="L75" s="62">
        <f t="shared" ref="L75:L102" si="3">IF(K75=0,"",VLOOKUP((TRIM(K75)),Code,3,))</f>
        <v>3010101000</v>
      </c>
      <c r="M75" s="14"/>
      <c r="N75" s="89">
        <f t="array" ref="N75">SUM(IF((GJ[JEV Number]=TRIM($T64))*(GJ[Account Code]=TRIM(K75)),GJ[Debit]))</f>
        <v>0</v>
      </c>
      <c r="O75" s="89">
        <f t="array" ref="O75">SUM(IF((GJ[JEV Number]=TRIM($T64))*(GJ[Account Code]=TRIM(K75)),GJ[Credit]))</f>
        <v>0</v>
      </c>
      <c r="P75" s="1040">
        <f>N75</f>
        <v>0</v>
      </c>
      <c r="Q75" s="1040"/>
      <c r="R75" s="1040"/>
      <c r="S75" s="1040">
        <f>O75</f>
        <v>0</v>
      </c>
      <c r="T75" s="1040"/>
      <c r="U75" s="1040"/>
      <c r="V75" s="1041"/>
    </row>
    <row r="76" spans="1:22" x14ac:dyDescent="0.25">
      <c r="A76" s="1038"/>
      <c r="B76" s="1039"/>
      <c r="C76" s="1039"/>
      <c r="D76" s="1039"/>
      <c r="E76" s="1045" t="str">
        <f t="shared" si="2"/>
        <v>Accumulated Depreciation-Information and Communications Technology Equipment</v>
      </c>
      <c r="F76" s="1046"/>
      <c r="G76" s="1046"/>
      <c r="H76" s="1046"/>
      <c r="I76" s="1046"/>
      <c r="J76" s="1047"/>
      <c r="K76" s="136" t="s">
        <v>90</v>
      </c>
      <c r="L76" s="62">
        <f t="shared" si="3"/>
        <v>1060503100</v>
      </c>
      <c r="M76" s="14"/>
      <c r="N76" s="89">
        <f t="array" ref="N76">SUM(IF((GJ[JEV Number]=TRIM($T64))*(GJ[Account Code]=TRIM(K76)),GJ[Debit]))</f>
        <v>0</v>
      </c>
      <c r="O76" s="89">
        <f t="array" ref="O76">SUM(IF((GJ[JEV Number]=TRIM($T64))*(GJ[Account Code]=TRIM(K76)),GJ[Credit]))</f>
        <v>0</v>
      </c>
      <c r="P76" s="1040">
        <f>N76</f>
        <v>0</v>
      </c>
      <c r="Q76" s="1040"/>
      <c r="R76" s="1040"/>
      <c r="S76" s="1040">
        <f>O76</f>
        <v>0</v>
      </c>
      <c r="T76" s="1040"/>
      <c r="U76" s="1040"/>
      <c r="V76" s="1041"/>
    </row>
    <row r="77" spans="1:22" x14ac:dyDescent="0.25">
      <c r="A77" s="1038"/>
      <c r="B77" s="1039"/>
      <c r="C77" s="1039"/>
      <c r="D77" s="1039"/>
      <c r="E77" s="1045" t="str">
        <f t="shared" si="2"/>
        <v>Accumulated Depreciation-Office Equipment</v>
      </c>
      <c r="F77" s="1046"/>
      <c r="G77" s="1046"/>
      <c r="H77" s="1046"/>
      <c r="I77" s="1046"/>
      <c r="J77" s="1047"/>
      <c r="K77" s="136" t="s">
        <v>88</v>
      </c>
      <c r="L77" s="62">
        <f t="shared" si="3"/>
        <v>1060502100</v>
      </c>
      <c r="M77" s="14"/>
      <c r="N77" s="89">
        <f t="array" ref="N77">SUM(IF((GJ[JEV Number]=TRIM($T64))*(GJ[Account Code]=TRIM(K77)),GJ[Debit]))</f>
        <v>0</v>
      </c>
      <c r="O77" s="89">
        <f t="array" ref="O77">SUM(IF((GJ[JEV Number]=TRIM($T64))*(GJ[Account Code]=TRIM(K77)),GJ[Credit]))</f>
        <v>0</v>
      </c>
      <c r="P77" s="1040">
        <f t="shared" ref="P77:P102" si="4">N77</f>
        <v>0</v>
      </c>
      <c r="Q77" s="1040"/>
      <c r="R77" s="1040"/>
      <c r="S77" s="1040">
        <f t="shared" ref="S77:S102" si="5">O77</f>
        <v>0</v>
      </c>
      <c r="T77" s="1040"/>
      <c r="U77" s="1040"/>
      <c r="V77" s="1041"/>
    </row>
    <row r="78" spans="1:22" x14ac:dyDescent="0.25">
      <c r="A78" s="1038"/>
      <c r="B78" s="1039"/>
      <c r="C78" s="1039"/>
      <c r="D78" s="1039"/>
      <c r="E78" s="1045" t="str">
        <f t="shared" si="2"/>
        <v>Other Assets</v>
      </c>
      <c r="F78" s="1046"/>
      <c r="G78" s="1046"/>
      <c r="H78" s="1046"/>
      <c r="I78" s="1046"/>
      <c r="J78" s="1047"/>
      <c r="K78" s="136" t="s">
        <v>83</v>
      </c>
      <c r="L78" s="62">
        <f t="shared" si="3"/>
        <v>1999999000</v>
      </c>
      <c r="M78" s="14"/>
      <c r="N78" s="89">
        <f t="array" ref="N78">SUM(IF((GJ[JEV Number]=TRIM($T64))*(GJ[Account Code]=TRIM(K78)),GJ[Debit]))</f>
        <v>0</v>
      </c>
      <c r="O78" s="89">
        <f t="array" ref="O78">SUM(IF((GJ[JEV Number]=TRIM($T64))*(GJ[Account Code]=TRIM(K78)),GJ[Credit]))</f>
        <v>0</v>
      </c>
      <c r="P78" s="1040">
        <f t="shared" si="4"/>
        <v>0</v>
      </c>
      <c r="Q78" s="1040"/>
      <c r="R78" s="1040"/>
      <c r="S78" s="1040">
        <f t="shared" si="5"/>
        <v>0</v>
      </c>
      <c r="T78" s="1040"/>
      <c r="U78" s="1040"/>
      <c r="V78" s="1041"/>
    </row>
    <row r="79" spans="1:22" x14ac:dyDescent="0.25">
      <c r="A79" s="1038"/>
      <c r="B79" s="1039"/>
      <c r="C79" s="1039"/>
      <c r="D79" s="1039"/>
      <c r="E79" s="1045" t="str">
        <f t="shared" si="2"/>
        <v>Information and Communications Technology Equipment</v>
      </c>
      <c r="F79" s="1046"/>
      <c r="G79" s="1046"/>
      <c r="H79" s="1046"/>
      <c r="I79" s="1046"/>
      <c r="J79" s="1047"/>
      <c r="K79" s="136" t="s">
        <v>44</v>
      </c>
      <c r="L79" s="62">
        <f t="shared" si="3"/>
        <v>1060503000</v>
      </c>
      <c r="M79" s="14"/>
      <c r="N79" s="89">
        <f t="array" ref="N79">SUM(IF((GJ[JEV Number]=TRIM($T64))*(GJ[Account Code]=TRIM(K79)),GJ[Debit]))</f>
        <v>0</v>
      </c>
      <c r="O79" s="89">
        <f t="array" ref="O79">SUM(IF((GJ[JEV Number]=TRIM($T64))*(GJ[Account Code]=TRIM(K79)),GJ[Credit]))</f>
        <v>0</v>
      </c>
      <c r="P79" s="1040">
        <f t="shared" si="4"/>
        <v>0</v>
      </c>
      <c r="Q79" s="1040"/>
      <c r="R79" s="1040"/>
      <c r="S79" s="1040">
        <f t="shared" si="5"/>
        <v>0</v>
      </c>
      <c r="T79" s="1040"/>
      <c r="U79" s="1040"/>
      <c r="V79" s="1041"/>
    </row>
    <row r="80" spans="1:22" x14ac:dyDescent="0.25">
      <c r="A80" s="1038"/>
      <c r="B80" s="1039"/>
      <c r="C80" s="1039"/>
      <c r="D80" s="1039"/>
      <c r="E80" s="1045" t="str">
        <f t="shared" si="2"/>
        <v>Office Equipment</v>
      </c>
      <c r="F80" s="1046"/>
      <c r="G80" s="1046"/>
      <c r="H80" s="1046"/>
      <c r="I80" s="1046"/>
      <c r="J80" s="1047"/>
      <c r="K80" s="136" t="s">
        <v>42</v>
      </c>
      <c r="L80" s="62">
        <f t="shared" si="3"/>
        <v>1060502000</v>
      </c>
      <c r="M80" s="14"/>
      <c r="N80" s="89">
        <f t="array" ref="N80">SUM(IF((GJ[JEV Number]=TRIM($T64))*(GJ[Account Code]=TRIM(K80)),GJ[Debit]))</f>
        <v>0</v>
      </c>
      <c r="O80" s="89">
        <f t="array" ref="O80">SUM(IF((GJ[JEV Number]=TRIM($T64))*(GJ[Account Code]=TRIM(K80)),GJ[Credit]))</f>
        <v>0</v>
      </c>
      <c r="P80" s="1040">
        <f t="shared" si="4"/>
        <v>0</v>
      </c>
      <c r="Q80" s="1040"/>
      <c r="R80" s="1040"/>
      <c r="S80" s="1040">
        <f t="shared" si="5"/>
        <v>0</v>
      </c>
      <c r="T80" s="1040"/>
      <c r="U80" s="1040"/>
      <c r="V80" s="1041"/>
    </row>
    <row r="81" spans="1:22" x14ac:dyDescent="0.25">
      <c r="A81" s="1038"/>
      <c r="B81" s="1039"/>
      <c r="C81" s="1039"/>
      <c r="D81" s="1039"/>
      <c r="E81" s="1045" t="str">
        <f t="shared" si="2"/>
        <v/>
      </c>
      <c r="F81" s="1046"/>
      <c r="G81" s="1046"/>
      <c r="H81" s="1046"/>
      <c r="I81" s="1046"/>
      <c r="J81" s="1047"/>
      <c r="K81" s="134"/>
      <c r="L81" s="62" t="str">
        <f t="shared" si="3"/>
        <v/>
      </c>
      <c r="M81" s="14"/>
      <c r="N81" s="89">
        <f t="array" ref="N81">SUM(IF((GJ[JEV Number]=TRIM($T64))*(GJ[Account Code]=TRIM(K81)),GJ[Debit]))</f>
        <v>0</v>
      </c>
      <c r="O81" s="89">
        <f t="array" ref="O81">SUM(IF((GJ[JEV Number]=TRIM($T64))*(GJ[Account Code]=TRIM(K81)),GJ[Credit]))</f>
        <v>0</v>
      </c>
      <c r="P81" s="1040">
        <f t="shared" si="4"/>
        <v>0</v>
      </c>
      <c r="Q81" s="1040"/>
      <c r="R81" s="1040"/>
      <c r="S81" s="1040">
        <f t="shared" si="5"/>
        <v>0</v>
      </c>
      <c r="T81" s="1040"/>
      <c r="U81" s="1040"/>
      <c r="V81" s="1041"/>
    </row>
    <row r="82" spans="1:22" x14ac:dyDescent="0.25">
      <c r="A82" s="1038"/>
      <c r="B82" s="1039"/>
      <c r="C82" s="1039"/>
      <c r="D82" s="1039"/>
      <c r="E82" s="1045" t="str">
        <f t="shared" si="2"/>
        <v/>
      </c>
      <c r="F82" s="1046"/>
      <c r="G82" s="1046"/>
      <c r="H82" s="1046"/>
      <c r="I82" s="1046"/>
      <c r="J82" s="1047"/>
      <c r="K82" s="134"/>
      <c r="L82" s="62" t="str">
        <f t="shared" si="3"/>
        <v/>
      </c>
      <c r="M82" s="14"/>
      <c r="N82" s="89">
        <f t="array" ref="N82">SUM(IF((GJ[JEV Number]=TRIM($T64))*(GJ[Account Code]=TRIM(K82)),GJ[Debit]))</f>
        <v>0</v>
      </c>
      <c r="O82" s="89">
        <f t="array" ref="O82">SUM(IF((GJ[JEV Number]=TRIM($T64))*(GJ[Account Code]=TRIM(K82)),GJ[Credit]))</f>
        <v>0</v>
      </c>
      <c r="P82" s="1040">
        <f t="shared" si="4"/>
        <v>0</v>
      </c>
      <c r="Q82" s="1040"/>
      <c r="R82" s="1040"/>
      <c r="S82" s="1040">
        <f t="shared" si="5"/>
        <v>0</v>
      </c>
      <c r="T82" s="1040"/>
      <c r="U82" s="1040"/>
      <c r="V82" s="1041"/>
    </row>
    <row r="83" spans="1:22" x14ac:dyDescent="0.25">
      <c r="A83" s="1038"/>
      <c r="B83" s="1039"/>
      <c r="C83" s="1039"/>
      <c r="D83" s="1039"/>
      <c r="E83" s="1045" t="str">
        <f t="shared" si="2"/>
        <v/>
      </c>
      <c r="F83" s="1046"/>
      <c r="G83" s="1046"/>
      <c r="H83" s="1046"/>
      <c r="I83" s="1046"/>
      <c r="J83" s="1047"/>
      <c r="K83" s="134"/>
      <c r="L83" s="62" t="str">
        <f t="shared" si="3"/>
        <v/>
      </c>
      <c r="M83" s="14"/>
      <c r="N83" s="89">
        <f t="array" ref="N83">SUM(IF((GJ[JEV Number]=TRIM($T64))*(GJ[Account Code]=TRIM(K83)),GJ[Debit]))</f>
        <v>0</v>
      </c>
      <c r="O83" s="89">
        <f t="array" ref="O83">SUM(IF((GJ[JEV Number]=TRIM($T64))*(GJ[Account Code]=TRIM(K83)),GJ[Credit]))</f>
        <v>0</v>
      </c>
      <c r="P83" s="1040">
        <f t="shared" si="4"/>
        <v>0</v>
      </c>
      <c r="Q83" s="1040"/>
      <c r="R83" s="1040"/>
      <c r="S83" s="1040">
        <f t="shared" si="5"/>
        <v>0</v>
      </c>
      <c r="T83" s="1040"/>
      <c r="U83" s="1040"/>
      <c r="V83" s="1041"/>
    </row>
    <row r="84" spans="1:22" x14ac:dyDescent="0.25">
      <c r="A84" s="1038"/>
      <c r="B84" s="1039"/>
      <c r="C84" s="1039"/>
      <c r="D84" s="1039"/>
      <c r="E84" s="1045" t="str">
        <f t="shared" si="2"/>
        <v/>
      </c>
      <c r="F84" s="1046"/>
      <c r="G84" s="1046"/>
      <c r="H84" s="1046"/>
      <c r="I84" s="1046"/>
      <c r="J84" s="1047"/>
      <c r="K84" s="134"/>
      <c r="L84" s="62" t="str">
        <f t="shared" si="3"/>
        <v/>
      </c>
      <c r="M84" s="14"/>
      <c r="N84" s="89">
        <f t="array" ref="N84">SUM(IF((GJ[JEV Number]=TRIM($T64))*(GJ[Account Code]=TRIM(K84)),GJ[Debit]))</f>
        <v>0</v>
      </c>
      <c r="O84" s="89">
        <f t="array" ref="O84">SUM(IF((GJ[JEV Number]=TRIM($T64))*(GJ[Account Code]=TRIM(K84)),GJ[Credit]))</f>
        <v>0</v>
      </c>
      <c r="P84" s="1040">
        <f t="shared" si="4"/>
        <v>0</v>
      </c>
      <c r="Q84" s="1040"/>
      <c r="R84" s="1040"/>
      <c r="S84" s="1040">
        <f t="shared" si="5"/>
        <v>0</v>
      </c>
      <c r="T84" s="1040"/>
      <c r="U84" s="1040"/>
      <c r="V84" s="1041"/>
    </row>
    <row r="85" spans="1:22" x14ac:dyDescent="0.25">
      <c r="A85" s="1038"/>
      <c r="B85" s="1039"/>
      <c r="C85" s="1039"/>
      <c r="D85" s="1039"/>
      <c r="E85" s="1045" t="str">
        <f t="shared" si="2"/>
        <v/>
      </c>
      <c r="F85" s="1046"/>
      <c r="G85" s="1046"/>
      <c r="H85" s="1046"/>
      <c r="I85" s="1046"/>
      <c r="J85" s="1047"/>
      <c r="K85" s="134"/>
      <c r="L85" s="62" t="str">
        <f t="shared" si="3"/>
        <v/>
      </c>
      <c r="M85" s="14"/>
      <c r="N85" s="89">
        <f t="array" ref="N85">SUM(IF((GJ[JEV Number]=TRIM($T64))*(GJ[Account Code]=TRIM(K85)),GJ[Debit]))</f>
        <v>0</v>
      </c>
      <c r="O85" s="89">
        <f t="array" ref="O85">SUM(IF((GJ[JEV Number]=TRIM($T64))*(GJ[Account Code]=TRIM(K85)),GJ[Credit]))</f>
        <v>0</v>
      </c>
      <c r="P85" s="1040">
        <f t="shared" si="4"/>
        <v>0</v>
      </c>
      <c r="Q85" s="1040"/>
      <c r="R85" s="1040"/>
      <c r="S85" s="1040">
        <f t="shared" si="5"/>
        <v>0</v>
      </c>
      <c r="T85" s="1040"/>
      <c r="U85" s="1040"/>
      <c r="V85" s="1041"/>
    </row>
    <row r="86" spans="1:22" x14ac:dyDescent="0.25">
      <c r="A86" s="1038"/>
      <c r="B86" s="1039"/>
      <c r="C86" s="1039"/>
      <c r="D86" s="1039"/>
      <c r="E86" s="1045" t="str">
        <f t="shared" si="2"/>
        <v/>
      </c>
      <c r="F86" s="1046"/>
      <c r="G86" s="1046"/>
      <c r="H86" s="1046"/>
      <c r="I86" s="1046"/>
      <c r="J86" s="1047"/>
      <c r="K86" s="134"/>
      <c r="L86" s="62" t="str">
        <f t="shared" si="3"/>
        <v/>
      </c>
      <c r="M86" s="14"/>
      <c r="N86" s="89">
        <f t="array" ref="N86">SUM(IF((GJ[JEV Number]=TRIM($T64))*(GJ[Account Code]=TRIM(K86)),GJ[Debit]))</f>
        <v>0</v>
      </c>
      <c r="O86" s="89">
        <f t="array" ref="O86">SUM(IF((GJ[JEV Number]=TRIM($T64))*(GJ[Account Code]=TRIM(K86)),GJ[Credit]))</f>
        <v>0</v>
      </c>
      <c r="P86" s="1040">
        <f t="shared" si="4"/>
        <v>0</v>
      </c>
      <c r="Q86" s="1040"/>
      <c r="R86" s="1040"/>
      <c r="S86" s="1040">
        <f t="shared" si="5"/>
        <v>0</v>
      </c>
      <c r="T86" s="1040"/>
      <c r="U86" s="1040"/>
      <c r="V86" s="1041"/>
    </row>
    <row r="87" spans="1:22" x14ac:dyDescent="0.25">
      <c r="A87" s="1038"/>
      <c r="B87" s="1039"/>
      <c r="C87" s="1039"/>
      <c r="D87" s="1039"/>
      <c r="E87" s="1045" t="str">
        <f t="shared" si="2"/>
        <v/>
      </c>
      <c r="F87" s="1046"/>
      <c r="G87" s="1046"/>
      <c r="H87" s="1046"/>
      <c r="I87" s="1046"/>
      <c r="J87" s="1047"/>
      <c r="K87" s="134"/>
      <c r="L87" s="62" t="str">
        <f t="shared" si="3"/>
        <v/>
      </c>
      <c r="M87" s="14"/>
      <c r="N87" s="89">
        <f t="array" ref="N87">SUM(IF((GJ[JEV Number]=TRIM($T64))*(GJ[Account Code]=TRIM(K87)),GJ[Debit]))</f>
        <v>0</v>
      </c>
      <c r="O87" s="89">
        <f t="array" ref="O87">SUM(IF((GJ[JEV Number]=TRIM($T64))*(GJ[Account Code]=TRIM(K87)),GJ[Credit]))</f>
        <v>0</v>
      </c>
      <c r="P87" s="1040">
        <f t="shared" si="4"/>
        <v>0</v>
      </c>
      <c r="Q87" s="1040"/>
      <c r="R87" s="1040"/>
      <c r="S87" s="1040">
        <f t="shared" si="5"/>
        <v>0</v>
      </c>
      <c r="T87" s="1040"/>
      <c r="U87" s="1040"/>
      <c r="V87" s="1041"/>
    </row>
    <row r="88" spans="1:22" x14ac:dyDescent="0.25">
      <c r="A88" s="1038"/>
      <c r="B88" s="1039"/>
      <c r="C88" s="1039"/>
      <c r="D88" s="1039"/>
      <c r="E88" s="1045" t="str">
        <f t="shared" si="2"/>
        <v/>
      </c>
      <c r="F88" s="1046"/>
      <c r="G88" s="1046"/>
      <c r="H88" s="1046"/>
      <c r="I88" s="1046"/>
      <c r="J88" s="1047"/>
      <c r="K88" s="134"/>
      <c r="L88" s="62" t="str">
        <f t="shared" si="3"/>
        <v/>
      </c>
      <c r="M88" s="14"/>
      <c r="N88" s="89">
        <f t="array" ref="N88">SUM(IF((GJ[JEV Number]=TRIM($T64))*(GJ[Account Code]=TRIM(K88)),GJ[Debit]))</f>
        <v>0</v>
      </c>
      <c r="O88" s="89">
        <f t="array" ref="O88">SUM(IF((GJ[JEV Number]=TRIM($T64))*(GJ[Account Code]=TRIM(K88)),GJ[Credit]))</f>
        <v>0</v>
      </c>
      <c r="P88" s="1040">
        <f t="shared" si="4"/>
        <v>0</v>
      </c>
      <c r="Q88" s="1040"/>
      <c r="R88" s="1040"/>
      <c r="S88" s="1040">
        <f t="shared" si="5"/>
        <v>0</v>
      </c>
      <c r="T88" s="1040"/>
      <c r="U88" s="1040"/>
      <c r="V88" s="1041"/>
    </row>
    <row r="89" spans="1:22" x14ac:dyDescent="0.25">
      <c r="A89" s="1038"/>
      <c r="B89" s="1039"/>
      <c r="C89" s="1039"/>
      <c r="D89" s="1039"/>
      <c r="E89" s="1045" t="str">
        <f t="shared" si="2"/>
        <v/>
      </c>
      <c r="F89" s="1046"/>
      <c r="G89" s="1046"/>
      <c r="H89" s="1046"/>
      <c r="I89" s="1046"/>
      <c r="J89" s="1047"/>
      <c r="K89" s="134"/>
      <c r="L89" s="62" t="str">
        <f t="shared" si="3"/>
        <v/>
      </c>
      <c r="M89" s="14"/>
      <c r="N89" s="89">
        <f t="array" ref="N89">SUM(IF((GJ[JEV Number]=TRIM($T64))*(GJ[Account Code]=TRIM(K89)),GJ[Debit]))</f>
        <v>0</v>
      </c>
      <c r="O89" s="89">
        <f t="array" ref="O89">SUM(IF((GJ[JEV Number]=TRIM($T64))*(GJ[Account Code]=TRIM(K89)),GJ[Credit]))</f>
        <v>0</v>
      </c>
      <c r="P89" s="1040">
        <f t="shared" si="4"/>
        <v>0</v>
      </c>
      <c r="Q89" s="1040"/>
      <c r="R89" s="1040"/>
      <c r="S89" s="1040">
        <f t="shared" si="5"/>
        <v>0</v>
      </c>
      <c r="T89" s="1040"/>
      <c r="U89" s="1040"/>
      <c r="V89" s="1041"/>
    </row>
    <row r="90" spans="1:22" x14ac:dyDescent="0.25">
      <c r="A90" s="1038"/>
      <c r="B90" s="1039"/>
      <c r="C90" s="1039"/>
      <c r="D90" s="1039"/>
      <c r="E90" s="1045" t="str">
        <f t="shared" si="2"/>
        <v/>
      </c>
      <c r="F90" s="1046"/>
      <c r="G90" s="1046"/>
      <c r="H90" s="1046"/>
      <c r="I90" s="1046"/>
      <c r="J90" s="1047"/>
      <c r="K90" s="134"/>
      <c r="L90" s="62" t="str">
        <f t="shared" si="3"/>
        <v/>
      </c>
      <c r="M90" s="14"/>
      <c r="N90" s="89">
        <f t="array" ref="N90">SUM(IF((GJ[JEV Number]=TRIM($T64))*(GJ[Account Code]=TRIM(K90)),GJ[Debit]))</f>
        <v>0</v>
      </c>
      <c r="O90" s="89">
        <f t="array" ref="O90">SUM(IF((GJ[JEV Number]=TRIM($T64))*(GJ[Account Code]=TRIM(K90)),GJ[Credit]))</f>
        <v>0</v>
      </c>
      <c r="P90" s="1040">
        <f t="shared" si="4"/>
        <v>0</v>
      </c>
      <c r="Q90" s="1040"/>
      <c r="R90" s="1040"/>
      <c r="S90" s="1040">
        <f t="shared" si="5"/>
        <v>0</v>
      </c>
      <c r="T90" s="1040"/>
      <c r="U90" s="1040"/>
      <c r="V90" s="1041"/>
    </row>
    <row r="91" spans="1:22" x14ac:dyDescent="0.25">
      <c r="A91" s="1038"/>
      <c r="B91" s="1039"/>
      <c r="C91" s="1039"/>
      <c r="D91" s="1039"/>
      <c r="E91" s="1045" t="str">
        <f t="shared" si="2"/>
        <v/>
      </c>
      <c r="F91" s="1046"/>
      <c r="G91" s="1046"/>
      <c r="H91" s="1046"/>
      <c r="I91" s="1046"/>
      <c r="J91" s="1047"/>
      <c r="K91" s="134"/>
      <c r="L91" s="62" t="str">
        <f t="shared" si="3"/>
        <v/>
      </c>
      <c r="M91" s="14"/>
      <c r="N91" s="89">
        <f t="array" ref="N91">SUM(IF((GJ[JEV Number]=TRIM($T64))*(GJ[Account Code]=TRIM(K91)),GJ[Debit]))</f>
        <v>0</v>
      </c>
      <c r="O91" s="89">
        <f t="array" ref="O91">SUM(IF((GJ[JEV Number]=TRIM($T64))*(GJ[Account Code]=TRIM(K91)),GJ[Credit]))</f>
        <v>0</v>
      </c>
      <c r="P91" s="1040">
        <f t="shared" si="4"/>
        <v>0</v>
      </c>
      <c r="Q91" s="1040"/>
      <c r="R91" s="1040"/>
      <c r="S91" s="1040">
        <f t="shared" si="5"/>
        <v>0</v>
      </c>
      <c r="T91" s="1040"/>
      <c r="U91" s="1040"/>
      <c r="V91" s="1041"/>
    </row>
    <row r="92" spans="1:22" x14ac:dyDescent="0.25">
      <c r="A92" s="1038"/>
      <c r="B92" s="1039"/>
      <c r="C92" s="1039"/>
      <c r="D92" s="1039"/>
      <c r="E92" s="1045" t="str">
        <f t="shared" si="2"/>
        <v/>
      </c>
      <c r="F92" s="1046"/>
      <c r="G92" s="1046"/>
      <c r="H92" s="1046"/>
      <c r="I92" s="1046"/>
      <c r="J92" s="1047"/>
      <c r="K92" s="134"/>
      <c r="L92" s="62" t="str">
        <f t="shared" si="3"/>
        <v/>
      </c>
      <c r="M92" s="14"/>
      <c r="N92" s="89">
        <f t="array" ref="N92">SUM(IF((GJ[JEV Number]=TRIM($T64))*(GJ[Account Code]=TRIM(K92)),GJ[Debit]))</f>
        <v>0</v>
      </c>
      <c r="O92" s="89">
        <f t="array" ref="O92">SUM(IF((GJ[JEV Number]=TRIM($T64))*(GJ[Account Code]=TRIM(K92)),GJ[Credit]))</f>
        <v>0</v>
      </c>
      <c r="P92" s="1040">
        <f t="shared" si="4"/>
        <v>0</v>
      </c>
      <c r="Q92" s="1040"/>
      <c r="R92" s="1040"/>
      <c r="S92" s="1040">
        <f t="shared" si="5"/>
        <v>0</v>
      </c>
      <c r="T92" s="1040"/>
      <c r="U92" s="1040"/>
      <c r="V92" s="1041"/>
    </row>
    <row r="93" spans="1:22" x14ac:dyDescent="0.25">
      <c r="A93" s="1038"/>
      <c r="B93" s="1039"/>
      <c r="C93" s="1039"/>
      <c r="D93" s="1039"/>
      <c r="E93" s="1045" t="str">
        <f t="shared" si="2"/>
        <v/>
      </c>
      <c r="F93" s="1046"/>
      <c r="G93" s="1046"/>
      <c r="H93" s="1046"/>
      <c r="I93" s="1046"/>
      <c r="J93" s="1047"/>
      <c r="K93" s="134"/>
      <c r="L93" s="62" t="str">
        <f t="shared" si="3"/>
        <v/>
      </c>
      <c r="M93" s="14"/>
      <c r="N93" s="89">
        <f t="array" ref="N93">SUM(IF((GJ[JEV Number]=TRIM($T64))*(GJ[Account Code]=TRIM(K93)),GJ[Debit]))</f>
        <v>0</v>
      </c>
      <c r="O93" s="89">
        <f t="array" ref="O93">SUM(IF((GJ[JEV Number]=TRIM($T64))*(GJ[Account Code]=TRIM(K93)),GJ[Credit]))</f>
        <v>0</v>
      </c>
      <c r="P93" s="1040">
        <f t="shared" si="4"/>
        <v>0</v>
      </c>
      <c r="Q93" s="1040"/>
      <c r="R93" s="1040"/>
      <c r="S93" s="1040">
        <f t="shared" si="5"/>
        <v>0</v>
      </c>
      <c r="T93" s="1040"/>
      <c r="U93" s="1040"/>
      <c r="V93" s="1041"/>
    </row>
    <row r="94" spans="1:22" x14ac:dyDescent="0.25">
      <c r="A94" s="1038"/>
      <c r="B94" s="1039"/>
      <c r="C94" s="1039"/>
      <c r="D94" s="1039"/>
      <c r="E94" s="1045" t="str">
        <f t="shared" si="2"/>
        <v/>
      </c>
      <c r="F94" s="1046"/>
      <c r="G94" s="1046"/>
      <c r="H94" s="1046"/>
      <c r="I94" s="1046"/>
      <c r="J94" s="1047"/>
      <c r="K94" s="134"/>
      <c r="L94" s="62" t="str">
        <f t="shared" si="3"/>
        <v/>
      </c>
      <c r="M94" s="14"/>
      <c r="N94" s="89">
        <f t="array" ref="N94">SUM(IF((GJ[JEV Number]=TRIM($T64))*(GJ[Account Code]=TRIM(K94)),GJ[Debit]))</f>
        <v>0</v>
      </c>
      <c r="O94" s="89">
        <f t="array" ref="O94">SUM(IF((GJ[JEV Number]=TRIM($T64))*(GJ[Account Code]=TRIM(K94)),GJ[Credit]))</f>
        <v>0</v>
      </c>
      <c r="P94" s="1040">
        <f t="shared" si="4"/>
        <v>0</v>
      </c>
      <c r="Q94" s="1040"/>
      <c r="R94" s="1040"/>
      <c r="S94" s="1040">
        <f t="shared" si="5"/>
        <v>0</v>
      </c>
      <c r="T94" s="1040"/>
      <c r="U94" s="1040"/>
      <c r="V94" s="1041"/>
    </row>
    <row r="95" spans="1:22" x14ac:dyDescent="0.25">
      <c r="A95" s="1038"/>
      <c r="B95" s="1039"/>
      <c r="C95" s="1039"/>
      <c r="D95" s="1039"/>
      <c r="E95" s="1045" t="str">
        <f t="shared" si="2"/>
        <v/>
      </c>
      <c r="F95" s="1046"/>
      <c r="G95" s="1046"/>
      <c r="H95" s="1046"/>
      <c r="I95" s="1046"/>
      <c r="J95" s="1047"/>
      <c r="K95" s="134"/>
      <c r="L95" s="62" t="str">
        <f t="shared" si="3"/>
        <v/>
      </c>
      <c r="M95" s="14"/>
      <c r="N95" s="89">
        <f t="array" ref="N95">SUM(IF((GJ[JEV Number]=TRIM($T64))*(GJ[Account Code]=TRIM(K95)),GJ[Debit]))</f>
        <v>0</v>
      </c>
      <c r="O95" s="89">
        <f t="array" ref="O95">SUM(IF((GJ[JEV Number]=TRIM($T64))*(GJ[Account Code]=TRIM(K95)),GJ[Credit]))</f>
        <v>0</v>
      </c>
      <c r="P95" s="1040">
        <f t="shared" si="4"/>
        <v>0</v>
      </c>
      <c r="Q95" s="1040"/>
      <c r="R95" s="1040"/>
      <c r="S95" s="1040">
        <f t="shared" si="5"/>
        <v>0</v>
      </c>
      <c r="T95" s="1040"/>
      <c r="U95" s="1040"/>
      <c r="V95" s="1041"/>
    </row>
    <row r="96" spans="1:22" x14ac:dyDescent="0.25">
      <c r="A96" s="1038"/>
      <c r="B96" s="1039"/>
      <c r="C96" s="1039"/>
      <c r="D96" s="1039"/>
      <c r="E96" s="1045" t="str">
        <f t="shared" si="2"/>
        <v/>
      </c>
      <c r="F96" s="1046"/>
      <c r="G96" s="1046"/>
      <c r="H96" s="1046"/>
      <c r="I96" s="1046"/>
      <c r="J96" s="1047"/>
      <c r="K96" s="134"/>
      <c r="L96" s="62" t="str">
        <f t="shared" si="3"/>
        <v/>
      </c>
      <c r="M96" s="14"/>
      <c r="N96" s="89">
        <f t="array" ref="N96">SUM(IF((GJ[JEV Number]=TRIM($T64))*(GJ[Account Code]=TRIM(K96)),GJ[Debit]))</f>
        <v>0</v>
      </c>
      <c r="O96" s="89">
        <f t="array" ref="O96">SUM(IF((GJ[JEV Number]=TRIM($T64))*(GJ[Account Code]=TRIM(K96)),GJ[Credit]))</f>
        <v>0</v>
      </c>
      <c r="P96" s="1040">
        <f t="shared" si="4"/>
        <v>0</v>
      </c>
      <c r="Q96" s="1040"/>
      <c r="R96" s="1040"/>
      <c r="S96" s="1040">
        <f t="shared" si="5"/>
        <v>0</v>
      </c>
      <c r="T96" s="1040"/>
      <c r="U96" s="1040"/>
      <c r="V96" s="1041"/>
    </row>
    <row r="97" spans="1:22" x14ac:dyDescent="0.25">
      <c r="A97" s="1038"/>
      <c r="B97" s="1039"/>
      <c r="C97" s="1039"/>
      <c r="D97" s="1039"/>
      <c r="E97" s="1126" t="e">
        <f>IF(T64=0,0,(LOOKUP($T64,GJ[JEV Number],GJ[Particulars])))</f>
        <v>#N/A</v>
      </c>
      <c r="F97" s="1127"/>
      <c r="G97" s="1127"/>
      <c r="H97" s="1127"/>
      <c r="I97" s="1127"/>
      <c r="J97" s="1128"/>
      <c r="K97" s="134"/>
      <c r="L97" s="62" t="str">
        <f t="shared" si="3"/>
        <v/>
      </c>
      <c r="M97" s="14"/>
      <c r="N97" s="89">
        <f t="array" ref="N97">SUM(IF((GJ[JEV Number]=TRIM($T64))*(GJ[Account Code]=TRIM(K97)),GJ[Debit]))</f>
        <v>0</v>
      </c>
      <c r="O97" s="89">
        <f t="array" ref="O97">SUM(IF((GJ[JEV Number]=TRIM($T64))*(GJ[Account Code]=TRIM(K97)),GJ[Credit]))</f>
        <v>0</v>
      </c>
      <c r="P97" s="1040">
        <f t="shared" si="4"/>
        <v>0</v>
      </c>
      <c r="Q97" s="1040"/>
      <c r="R97" s="1040"/>
      <c r="S97" s="1040">
        <f t="shared" si="5"/>
        <v>0</v>
      </c>
      <c r="T97" s="1040"/>
      <c r="U97" s="1040"/>
      <c r="V97" s="1041"/>
    </row>
    <row r="98" spans="1:22" x14ac:dyDescent="0.25">
      <c r="A98" s="1038"/>
      <c r="B98" s="1039"/>
      <c r="C98" s="1039"/>
      <c r="D98" s="1039"/>
      <c r="E98" s="1129"/>
      <c r="F98" s="1130"/>
      <c r="G98" s="1130"/>
      <c r="H98" s="1130"/>
      <c r="I98" s="1130"/>
      <c r="J98" s="1131"/>
      <c r="K98" s="133"/>
      <c r="L98" s="62" t="str">
        <f t="shared" si="3"/>
        <v/>
      </c>
      <c r="M98" s="14"/>
      <c r="N98" s="89">
        <f t="array" ref="N98">SUM(IF((GJ[JEV Number]=TRIM($T64))*(GJ[Account Code]=TRIM(K98)),GJ[Debit]))</f>
        <v>0</v>
      </c>
      <c r="O98" s="89">
        <f t="array" ref="O98">SUM(IF((GJ[JEV Number]=TRIM($T64))*(GJ[Account Code]=TRIM(K98)),GJ[Credit]))</f>
        <v>0</v>
      </c>
      <c r="P98" s="1040">
        <f t="shared" si="4"/>
        <v>0</v>
      </c>
      <c r="Q98" s="1040"/>
      <c r="R98" s="1040"/>
      <c r="S98" s="1040">
        <f t="shared" si="5"/>
        <v>0</v>
      </c>
      <c r="T98" s="1040"/>
      <c r="U98" s="1040"/>
      <c r="V98" s="1041"/>
    </row>
    <row r="99" spans="1:22" x14ac:dyDescent="0.25">
      <c r="A99" s="1038"/>
      <c r="B99" s="1039"/>
      <c r="C99" s="1039"/>
      <c r="D99" s="1039"/>
      <c r="E99" s="1129"/>
      <c r="F99" s="1130"/>
      <c r="G99" s="1130"/>
      <c r="H99" s="1130"/>
      <c r="I99" s="1130"/>
      <c r="J99" s="1131"/>
      <c r="K99" s="133"/>
      <c r="L99" s="62" t="str">
        <f t="shared" si="3"/>
        <v/>
      </c>
      <c r="M99" s="14"/>
      <c r="N99" s="89">
        <f t="array" ref="N99">SUM(IF((GJ[JEV Number]=TRIM($T64))*(GJ[Account Code]=TRIM(K99)),GJ[Debit]))</f>
        <v>0</v>
      </c>
      <c r="O99" s="89">
        <f t="array" ref="O99">SUM(IF((GJ[JEV Number]=TRIM($T64))*(GJ[Account Code]=TRIM(K99)),GJ[Credit]))</f>
        <v>0</v>
      </c>
      <c r="P99" s="1040">
        <f t="shared" si="4"/>
        <v>0</v>
      </c>
      <c r="Q99" s="1040"/>
      <c r="R99" s="1040"/>
      <c r="S99" s="1040">
        <f t="shared" si="5"/>
        <v>0</v>
      </c>
      <c r="T99" s="1040"/>
      <c r="U99" s="1040"/>
      <c r="V99" s="1041"/>
    </row>
    <row r="100" spans="1:22" x14ac:dyDescent="0.25">
      <c r="A100" s="1038"/>
      <c r="B100" s="1039"/>
      <c r="C100" s="1039"/>
      <c r="D100" s="1039"/>
      <c r="E100" s="1129"/>
      <c r="F100" s="1130"/>
      <c r="G100" s="1130"/>
      <c r="H100" s="1130"/>
      <c r="I100" s="1130"/>
      <c r="J100" s="1131"/>
      <c r="K100" s="133"/>
      <c r="L100" s="62" t="str">
        <f t="shared" si="3"/>
        <v/>
      </c>
      <c r="M100" s="14"/>
      <c r="N100" s="89">
        <f t="array" ref="N100">SUM(IF((GJ[JEV Number]=TRIM($T64))*(GJ[Account Code]=TRIM(K100)),GJ[Debit]))</f>
        <v>0</v>
      </c>
      <c r="O100" s="89">
        <f t="array" ref="O100">SUM(IF((GJ[JEV Number]=TRIM($T64))*(GJ[Account Code]=TRIM(K100)),GJ[Credit]))</f>
        <v>0</v>
      </c>
      <c r="P100" s="1040">
        <f t="shared" si="4"/>
        <v>0</v>
      </c>
      <c r="Q100" s="1040"/>
      <c r="R100" s="1040"/>
      <c r="S100" s="1040">
        <f t="shared" si="5"/>
        <v>0</v>
      </c>
      <c r="T100" s="1040"/>
      <c r="U100" s="1040"/>
      <c r="V100" s="1041"/>
    </row>
    <row r="101" spans="1:22" x14ac:dyDescent="0.25">
      <c r="A101" s="1038"/>
      <c r="B101" s="1039"/>
      <c r="C101" s="1039"/>
      <c r="D101" s="1039"/>
      <c r="E101" s="1129"/>
      <c r="F101" s="1130"/>
      <c r="G101" s="1130"/>
      <c r="H101" s="1130"/>
      <c r="I101" s="1130"/>
      <c r="J101" s="1131"/>
      <c r="K101" s="133"/>
      <c r="L101" s="62" t="str">
        <f t="shared" si="3"/>
        <v/>
      </c>
      <c r="M101" s="14"/>
      <c r="N101" s="89">
        <f t="array" ref="N101">SUM(IF((GJ[JEV Number]=TRIM($T64))*(GJ[Account Code]=TRIM(K101)),GJ[Debit]))</f>
        <v>0</v>
      </c>
      <c r="O101" s="89">
        <f t="array" ref="O101">SUM(IF((GJ[JEV Number]=TRIM($T64))*(GJ[Account Code]=TRIM(K101)),GJ[Credit]))</f>
        <v>0</v>
      </c>
      <c r="P101" s="1040">
        <f t="shared" si="4"/>
        <v>0</v>
      </c>
      <c r="Q101" s="1040"/>
      <c r="R101" s="1040"/>
      <c r="S101" s="1040">
        <f t="shared" si="5"/>
        <v>0</v>
      </c>
      <c r="T101" s="1040"/>
      <c r="U101" s="1040"/>
      <c r="V101" s="1041"/>
    </row>
    <row r="102" spans="1:22" x14ac:dyDescent="0.25">
      <c r="A102" s="1038"/>
      <c r="B102" s="1039"/>
      <c r="C102" s="1039"/>
      <c r="D102" s="1039"/>
      <c r="E102" s="1132"/>
      <c r="F102" s="1133"/>
      <c r="G102" s="1133"/>
      <c r="H102" s="1133"/>
      <c r="I102" s="1133"/>
      <c r="J102" s="1134"/>
      <c r="K102" s="133"/>
      <c r="L102" s="62" t="str">
        <f t="shared" si="3"/>
        <v/>
      </c>
      <c r="M102" s="14"/>
      <c r="N102" s="89">
        <f t="array" ref="N102">SUM(IF((GJ[JEV Number]=TRIM($T64))*(GJ[Account Code]=TRIM(K102)),GJ[Debit]))</f>
        <v>0</v>
      </c>
      <c r="O102" s="89">
        <f t="array" ref="O102">SUM(IF((GJ[JEV Number]=TRIM($T64))*(GJ[Account Code]=TRIM(K102)),GJ[Credit]))</f>
        <v>0</v>
      </c>
      <c r="P102" s="1040">
        <f t="shared" si="4"/>
        <v>0</v>
      </c>
      <c r="Q102" s="1040"/>
      <c r="R102" s="1040"/>
      <c r="S102" s="1040">
        <f t="shared" si="5"/>
        <v>0</v>
      </c>
      <c r="T102" s="1040"/>
      <c r="U102" s="1040"/>
      <c r="V102" s="1041"/>
    </row>
    <row r="103" spans="1:22" ht="16.5" thickBot="1" x14ac:dyDescent="0.3">
      <c r="A103" s="1091"/>
      <c r="B103" s="1092"/>
      <c r="C103" s="1092"/>
      <c r="D103" s="1092"/>
      <c r="E103" s="1092"/>
      <c r="F103" s="1092"/>
      <c r="G103" s="1092"/>
      <c r="H103" s="1092"/>
      <c r="I103" s="1092"/>
      <c r="J103" s="1092"/>
      <c r="K103" s="1092"/>
      <c r="L103" s="1092"/>
      <c r="M103" s="1093"/>
      <c r="N103" s="88"/>
      <c r="O103" s="88"/>
      <c r="P103" s="1094">
        <f>SUM(P73:R102)</f>
        <v>0</v>
      </c>
      <c r="Q103" s="1094"/>
      <c r="R103" s="1094"/>
      <c r="S103" s="1094">
        <f>SUM(S73:V102)</f>
        <v>0</v>
      </c>
      <c r="T103" s="1094"/>
      <c r="U103" s="1094"/>
      <c r="V103" s="1095"/>
    </row>
    <row r="104" spans="1:22" x14ac:dyDescent="0.25">
      <c r="A104" s="63"/>
      <c r="B104" s="64"/>
      <c r="C104" s="64"/>
      <c r="D104" s="64"/>
      <c r="E104" s="64"/>
      <c r="F104" s="64"/>
      <c r="G104" s="64"/>
      <c r="H104" s="64"/>
      <c r="I104" s="65"/>
      <c r="J104" s="64"/>
      <c r="K104" s="66"/>
      <c r="L104" s="64"/>
      <c r="M104" s="65"/>
      <c r="N104" s="64"/>
      <c r="O104" s="64"/>
      <c r="P104" s="1090"/>
      <c r="Q104" s="1090"/>
      <c r="R104" s="1090"/>
      <c r="S104" s="1090"/>
      <c r="T104" s="1090"/>
      <c r="U104" s="1090"/>
      <c r="V104" s="1096"/>
    </row>
    <row r="105" spans="1:22" x14ac:dyDescent="0.25">
      <c r="A105" s="67" t="s">
        <v>460</v>
      </c>
      <c r="B105"/>
      <c r="C105"/>
      <c r="D105"/>
      <c r="E105"/>
      <c r="F105"/>
      <c r="G105"/>
      <c r="H105"/>
      <c r="I105" s="68" t="s">
        <v>353</v>
      </c>
      <c r="J105" s="69"/>
      <c r="K105" s="69"/>
      <c r="L105"/>
      <c r="M105" s="68" t="s">
        <v>461</v>
      </c>
      <c r="N105" s="69"/>
      <c r="O105" s="69"/>
      <c r="P105" s="70"/>
      <c r="Q105" s="70"/>
      <c r="R105" s="70"/>
      <c r="S105" s="70"/>
      <c r="T105" s="70"/>
      <c r="U105" s="70"/>
      <c r="V105" s="71"/>
    </row>
    <row r="106" spans="1:22" x14ac:dyDescent="0.25">
      <c r="A106" s="37"/>
      <c r="B106"/>
      <c r="C106"/>
      <c r="D106"/>
      <c r="E106"/>
      <c r="F106"/>
      <c r="G106"/>
      <c r="H106"/>
      <c r="I106" s="72"/>
      <c r="J106"/>
      <c r="K106"/>
      <c r="L106"/>
      <c r="M106" s="72"/>
      <c r="N106"/>
      <c r="O106"/>
      <c r="P106"/>
      <c r="Q106"/>
      <c r="R106"/>
      <c r="S106"/>
      <c r="T106"/>
      <c r="U106"/>
      <c r="V106" s="73"/>
    </row>
    <row r="107" spans="1:22" x14ac:dyDescent="0.25">
      <c r="A107" s="74" t="s">
        <v>1559</v>
      </c>
      <c r="B107" s="75"/>
      <c r="C107" s="75"/>
      <c r="D107" s="75"/>
      <c r="E107" s="75"/>
      <c r="F107" s="75"/>
      <c r="G107" s="75"/>
      <c r="H107" s="76"/>
      <c r="I107" s="77" t="s">
        <v>1561</v>
      </c>
      <c r="J107" s="75"/>
      <c r="K107" s="75"/>
      <c r="L107" s="76"/>
      <c r="M107" s="77" t="s">
        <v>1562</v>
      </c>
      <c r="N107" s="75"/>
      <c r="O107" s="75"/>
      <c r="P107" s="75"/>
      <c r="Q107" s="75"/>
      <c r="R107" s="75"/>
      <c r="S107" s="75"/>
      <c r="T107" s="75"/>
      <c r="U107" s="75"/>
      <c r="V107" s="78"/>
    </row>
    <row r="108" spans="1:22" x14ac:dyDescent="0.25">
      <c r="A108" s="79" t="s">
        <v>1560</v>
      </c>
      <c r="B108" s="80"/>
      <c r="C108" s="80"/>
      <c r="D108" s="80"/>
      <c r="E108" s="80"/>
      <c r="F108" s="80"/>
      <c r="G108" s="80"/>
      <c r="H108" s="80"/>
      <c r="I108" s="81" t="s">
        <v>381</v>
      </c>
      <c r="J108" s="80"/>
      <c r="K108" s="80"/>
      <c r="L108" s="80"/>
      <c r="M108" s="81" t="s">
        <v>464</v>
      </c>
      <c r="N108" s="80"/>
      <c r="O108" s="80"/>
      <c r="P108" s="82"/>
      <c r="Q108" s="82"/>
      <c r="R108" s="82"/>
      <c r="S108" s="82"/>
      <c r="T108" s="82"/>
      <c r="U108" s="82"/>
      <c r="V108" s="83"/>
    </row>
    <row r="109" spans="1:22" ht="16.5" thickBot="1" x14ac:dyDescent="0.3">
      <c r="A109" s="84" t="s">
        <v>465</v>
      </c>
      <c r="B109" s="43"/>
      <c r="C109" s="43"/>
      <c r="D109" s="43"/>
      <c r="E109" s="43"/>
      <c r="F109" s="43"/>
      <c r="G109" s="43"/>
      <c r="H109" s="43"/>
      <c r="I109" s="85"/>
      <c r="J109" s="43"/>
      <c r="K109" s="43"/>
      <c r="L109" s="43"/>
      <c r="M109" s="85"/>
      <c r="N109" s="43"/>
      <c r="O109" s="43"/>
      <c r="P109" s="43"/>
      <c r="Q109" s="43"/>
      <c r="R109" s="43"/>
      <c r="S109" s="43"/>
      <c r="T109" s="43"/>
      <c r="U109" s="43"/>
      <c r="V109" s="44"/>
    </row>
    <row r="110" spans="1:22" ht="22.5" x14ac:dyDescent="0.25">
      <c r="A110" s="31" t="s">
        <v>441</v>
      </c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3"/>
      <c r="R110" s="1053">
        <f>+P150-S150</f>
        <v>0</v>
      </c>
      <c r="S110" s="1054"/>
      <c r="T110" s="1054"/>
      <c r="U110" s="1054"/>
      <c r="V110" s="1055"/>
    </row>
    <row r="111" spans="1:22" x14ac:dyDescent="0.25">
      <c r="A111" s="34" t="s">
        <v>1558</v>
      </c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6"/>
      <c r="R111" s="37" t="s">
        <v>443</v>
      </c>
      <c r="S111"/>
      <c r="T111" s="1056" t="s">
        <v>1565</v>
      </c>
      <c r="U111" s="1056"/>
      <c r="V111" s="1057"/>
    </row>
    <row r="112" spans="1:22" x14ac:dyDescent="0.25">
      <c r="A112" s="38" t="s">
        <v>444</v>
      </c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6"/>
      <c r="R112" s="37" t="s">
        <v>0</v>
      </c>
      <c r="S112"/>
      <c r="T112" s="1058" t="e">
        <f>IF(T111=0,0,(LOOKUP(T111,GJ[JEV Number],GJ[Date])))</f>
        <v>#N/A</v>
      </c>
      <c r="U112" s="1058"/>
      <c r="V112" s="1059"/>
    </row>
    <row r="113" spans="1:22" ht="16.5" thickBot="1" x14ac:dyDescent="0.3">
      <c r="A113" s="39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1"/>
      <c r="R113" s="42"/>
      <c r="S113" s="43"/>
      <c r="T113" s="43"/>
      <c r="U113" s="43"/>
      <c r="V113" s="44"/>
    </row>
    <row r="114" spans="1:22" x14ac:dyDescent="0.25">
      <c r="A114" s="45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7"/>
      <c r="M114" s="46"/>
      <c r="N114" s="46"/>
      <c r="O114" s="46"/>
      <c r="P114" s="46"/>
      <c r="Q114" s="46"/>
      <c r="R114" s="46"/>
      <c r="S114" s="46"/>
      <c r="T114" s="46"/>
      <c r="U114" s="46"/>
      <c r="V114" s="48"/>
    </row>
    <row r="115" spans="1:22" x14ac:dyDescent="0.25">
      <c r="A115" s="49"/>
      <c r="B115" s="1060"/>
      <c r="C115" s="1060"/>
      <c r="D115" s="50" t="s">
        <v>445</v>
      </c>
      <c r="H115" s="51"/>
      <c r="I115" s="25" t="s">
        <v>447</v>
      </c>
      <c r="J115" s="14"/>
      <c r="K115" s="52" t="s">
        <v>448</v>
      </c>
      <c r="L115" s="52"/>
      <c r="Q115" s="1060" t="s">
        <v>446</v>
      </c>
      <c r="R115" s="1060"/>
      <c r="S115" s="50" t="s">
        <v>449</v>
      </c>
      <c r="T115" s="50"/>
      <c r="U115" s="50"/>
      <c r="V115" s="53"/>
    </row>
    <row r="116" spans="1:22" ht="16.5" thickBot="1" x14ac:dyDescent="0.3">
      <c r="A116" s="54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6"/>
      <c r="M116" s="55"/>
      <c r="N116" s="55"/>
      <c r="O116" s="55"/>
      <c r="P116" s="55"/>
      <c r="Q116" s="55"/>
      <c r="R116" s="55"/>
      <c r="S116" s="55"/>
      <c r="T116" s="55"/>
      <c r="U116" s="55"/>
      <c r="V116" s="57"/>
    </row>
    <row r="117" spans="1:22" x14ac:dyDescent="0.25">
      <c r="A117" s="1061" t="s">
        <v>397</v>
      </c>
      <c r="B117" s="1062"/>
      <c r="C117" s="1062"/>
      <c r="D117" s="1063"/>
      <c r="E117" s="1070" t="s">
        <v>450</v>
      </c>
      <c r="F117" s="1070"/>
      <c r="G117" s="1070"/>
      <c r="H117" s="1070"/>
      <c r="I117" s="1070"/>
      <c r="J117" s="1070"/>
      <c r="K117" s="1070"/>
      <c r="L117" s="1070"/>
      <c r="M117" s="1070"/>
      <c r="N117" s="1070"/>
      <c r="O117" s="1070"/>
      <c r="P117" s="1070"/>
      <c r="Q117" s="1070"/>
      <c r="R117" s="1070"/>
      <c r="S117" s="1070"/>
      <c r="T117" s="1070"/>
      <c r="U117" s="1070"/>
      <c r="V117" s="1071"/>
    </row>
    <row r="118" spans="1:22" x14ac:dyDescent="0.25">
      <c r="A118" s="1064"/>
      <c r="B118" s="1065"/>
      <c r="C118" s="1065"/>
      <c r="D118" s="1066"/>
      <c r="E118" s="1072" t="s">
        <v>451</v>
      </c>
      <c r="F118" s="1072"/>
      <c r="G118" s="1072"/>
      <c r="H118" s="1072"/>
      <c r="I118" s="1072"/>
      <c r="J118" s="1072"/>
      <c r="K118" s="1074" t="s">
        <v>378</v>
      </c>
      <c r="L118" s="1074"/>
      <c r="M118" s="1072" t="s">
        <v>452</v>
      </c>
      <c r="N118" s="1075" t="s">
        <v>453</v>
      </c>
      <c r="O118" s="1076"/>
      <c r="P118" s="1076"/>
      <c r="Q118" s="1076"/>
      <c r="R118" s="1076"/>
      <c r="S118" s="1076"/>
      <c r="T118" s="1076"/>
      <c r="U118" s="1076"/>
      <c r="V118" s="1077"/>
    </row>
    <row r="119" spans="1:22" ht="16.5" thickBot="1" x14ac:dyDescent="0.3">
      <c r="A119" s="1067"/>
      <c r="B119" s="1068"/>
      <c r="C119" s="1068"/>
      <c r="D119" s="1069"/>
      <c r="E119" s="1073"/>
      <c r="F119" s="1073"/>
      <c r="G119" s="1073"/>
      <c r="H119" s="1073"/>
      <c r="I119" s="1073"/>
      <c r="J119" s="1073"/>
      <c r="K119" s="58" t="s">
        <v>454</v>
      </c>
      <c r="L119" s="58" t="s">
        <v>455</v>
      </c>
      <c r="M119" s="1073"/>
      <c r="N119" s="87" t="s">
        <v>466</v>
      </c>
      <c r="O119" s="87" t="s">
        <v>467</v>
      </c>
      <c r="P119" s="1078" t="s">
        <v>1</v>
      </c>
      <c r="Q119" s="1079"/>
      <c r="R119" s="1080"/>
      <c r="S119" s="1078" t="s">
        <v>2</v>
      </c>
      <c r="T119" s="1079"/>
      <c r="U119" s="1079"/>
      <c r="V119" s="1081"/>
    </row>
    <row r="120" spans="1:22" ht="19.5" x14ac:dyDescent="0.3">
      <c r="A120" s="1082">
        <f>P150-S150</f>
        <v>0</v>
      </c>
      <c r="B120" s="1083"/>
      <c r="C120" s="1083"/>
      <c r="D120" s="1083"/>
      <c r="E120" s="1084" t="str">
        <f>Account!$G$1</f>
        <v>FUND 501 CARP</v>
      </c>
      <c r="F120" s="1085"/>
      <c r="G120" s="1085"/>
      <c r="H120" s="1085"/>
      <c r="I120" s="1085"/>
      <c r="J120" s="1086"/>
      <c r="K120" s="59"/>
      <c r="L120" s="59"/>
      <c r="M120" s="60"/>
      <c r="N120" s="60"/>
      <c r="O120" s="60"/>
      <c r="P120" s="1087"/>
      <c r="Q120" s="1087"/>
      <c r="R120" s="1087"/>
      <c r="S120" s="1087"/>
      <c r="T120" s="1087"/>
      <c r="U120" s="1087"/>
      <c r="V120" s="1088"/>
    </row>
    <row r="121" spans="1:22" x14ac:dyDescent="0.25">
      <c r="A121" s="1038"/>
      <c r="B121" s="1039"/>
      <c r="C121" s="1039"/>
      <c r="D121" s="1039"/>
      <c r="E121" s="1039"/>
      <c r="F121" s="1039"/>
      <c r="G121" s="1039"/>
      <c r="H121" s="1039"/>
      <c r="I121" s="1039"/>
      <c r="J121" s="1039"/>
      <c r="K121" s="61"/>
      <c r="L121" s="61"/>
      <c r="M121" s="14"/>
      <c r="N121" s="14"/>
      <c r="O121" s="14"/>
      <c r="P121" s="1039"/>
      <c r="Q121" s="1039"/>
      <c r="R121" s="1039"/>
      <c r="S121" s="1039"/>
      <c r="T121" s="1039"/>
      <c r="U121" s="1039"/>
      <c r="V121" s="1089"/>
    </row>
    <row r="122" spans="1:22" x14ac:dyDescent="0.25">
      <c r="A122" s="1038"/>
      <c r="B122" s="1039"/>
      <c r="C122" s="1039"/>
      <c r="D122" s="1039"/>
      <c r="E122" s="1045" t="str">
        <f t="shared" ref="E122:E143" si="6">IF(K122=0,"",(VLOOKUP((TRIM(K122)),Code,2,)))</f>
        <v>Accumulated Surplus/(Deficit) (Government Equity)</v>
      </c>
      <c r="F122" s="1046"/>
      <c r="G122" s="1046"/>
      <c r="H122" s="1046"/>
      <c r="I122" s="1046"/>
      <c r="J122" s="1047"/>
      <c r="K122" s="669" t="s">
        <v>122</v>
      </c>
      <c r="L122" s="62">
        <f t="shared" ref="L122:L149" si="7">IF(K122=0,"",VLOOKUP((TRIM(K122)),Code,3,))</f>
        <v>3010101000</v>
      </c>
      <c r="M122" s="14"/>
      <c r="N122" s="89">
        <f t="array" ref="N122">SUM(IF((GJ[JEV Number]=TRIM($T111))*(GJ[Account Code]=TRIM(K122)),GJ[Debit]))</f>
        <v>0</v>
      </c>
      <c r="O122" s="89">
        <f t="array" ref="O122">SUM(IF((GJ[JEV Number]=TRIM($T111))*(GJ[Account Code]=TRIM(K122)),GJ[Credit]))</f>
        <v>0</v>
      </c>
      <c r="P122" s="1040">
        <f>N122</f>
        <v>0</v>
      </c>
      <c r="Q122" s="1040"/>
      <c r="R122" s="1040"/>
      <c r="S122" s="1040">
        <f>O122</f>
        <v>0</v>
      </c>
      <c r="T122" s="1040"/>
      <c r="U122" s="1040"/>
      <c r="V122" s="1041"/>
    </row>
    <row r="123" spans="1:22" x14ac:dyDescent="0.25">
      <c r="A123" s="1038"/>
      <c r="B123" s="1039"/>
      <c r="C123" s="1039"/>
      <c r="D123" s="1039"/>
      <c r="E123" s="1045" t="str">
        <f t="shared" si="6"/>
        <v>Due to BIR - 5%</v>
      </c>
      <c r="F123" s="1046"/>
      <c r="G123" s="1046"/>
      <c r="H123" s="1046"/>
      <c r="I123" s="1046"/>
      <c r="J123" s="1047"/>
      <c r="K123" s="668" t="s">
        <v>1548</v>
      </c>
      <c r="L123" s="62">
        <f t="shared" si="7"/>
        <v>2020101002</v>
      </c>
      <c r="M123" s="14"/>
      <c r="N123" s="89">
        <f t="array" ref="N123">SUM(IF((GJ[JEV Number]=TRIM($T111))*(GJ[Account Code]=TRIM(K123)),GJ[Debit]))</f>
        <v>0</v>
      </c>
      <c r="O123" s="89">
        <f t="array" ref="O123">SUM(IF((GJ[JEV Number]=TRIM($T111))*(GJ[Account Code]=TRIM(K123)),GJ[Credit]))</f>
        <v>0</v>
      </c>
      <c r="P123" s="1040">
        <f>N123</f>
        <v>0</v>
      </c>
      <c r="Q123" s="1040"/>
      <c r="R123" s="1040"/>
      <c r="S123" s="1040">
        <f>O123</f>
        <v>0</v>
      </c>
      <c r="T123" s="1040"/>
      <c r="U123" s="1040"/>
      <c r="V123" s="1041"/>
    </row>
    <row r="124" spans="1:22" x14ac:dyDescent="0.25">
      <c r="A124" s="1038"/>
      <c r="B124" s="1039"/>
      <c r="C124" s="1039"/>
      <c r="D124" s="1039"/>
      <c r="E124" s="1045" t="str">
        <f t="shared" si="6"/>
        <v>Due to BIR - 1%</v>
      </c>
      <c r="F124" s="1046"/>
      <c r="G124" s="1046"/>
      <c r="H124" s="1046"/>
      <c r="I124" s="1046"/>
      <c r="J124" s="1047"/>
      <c r="K124" s="660" t="s">
        <v>1554</v>
      </c>
      <c r="L124" s="62">
        <f t="shared" si="7"/>
        <v>2020101005</v>
      </c>
      <c r="M124" s="14"/>
      <c r="N124" s="89">
        <f t="array" ref="N124">SUM(IF((GJ[JEV Number]=TRIM($T111))*(GJ[Account Code]=TRIM(K124)),GJ[Debit]))</f>
        <v>0</v>
      </c>
      <c r="O124" s="89">
        <f t="array" ref="O124">SUM(IF((GJ[JEV Number]=TRIM($T111))*(GJ[Account Code]=TRIM(K124)),GJ[Credit]))</f>
        <v>0</v>
      </c>
      <c r="P124" s="1040">
        <f t="shared" ref="P124:P149" si="8">N124</f>
        <v>0</v>
      </c>
      <c r="Q124" s="1040"/>
      <c r="R124" s="1040"/>
      <c r="S124" s="1040">
        <f t="shared" ref="S124:S149" si="9">O124</f>
        <v>0</v>
      </c>
      <c r="T124" s="1040"/>
      <c r="U124" s="1040"/>
      <c r="V124" s="1041"/>
    </row>
    <row r="125" spans="1:22" x14ac:dyDescent="0.25">
      <c r="A125" s="1038"/>
      <c r="B125" s="1039"/>
      <c r="C125" s="1039"/>
      <c r="D125" s="1039"/>
      <c r="E125" s="1045" t="str">
        <f t="shared" si="6"/>
        <v/>
      </c>
      <c r="F125" s="1046"/>
      <c r="G125" s="1046"/>
      <c r="H125" s="1046"/>
      <c r="I125" s="1046"/>
      <c r="J125" s="1047"/>
      <c r="K125" s="134"/>
      <c r="L125" s="62" t="str">
        <f t="shared" si="7"/>
        <v/>
      </c>
      <c r="M125" s="14"/>
      <c r="N125" s="89">
        <f t="array" ref="N125">SUM(IF((GJ[JEV Number]=TRIM($T111))*(GJ[Account Code]=TRIM(K125)),GJ[Debit]))</f>
        <v>0</v>
      </c>
      <c r="O125" s="89">
        <f t="array" ref="O125">SUM(IF((GJ[JEV Number]=TRIM($T111))*(GJ[Account Code]=TRIM(K125)),GJ[Credit]))</f>
        <v>0</v>
      </c>
      <c r="P125" s="1040">
        <f t="shared" si="8"/>
        <v>0</v>
      </c>
      <c r="Q125" s="1040"/>
      <c r="R125" s="1040"/>
      <c r="S125" s="1040">
        <f t="shared" si="9"/>
        <v>0</v>
      </c>
      <c r="T125" s="1040"/>
      <c r="U125" s="1040"/>
      <c r="V125" s="1041"/>
    </row>
    <row r="126" spans="1:22" x14ac:dyDescent="0.25">
      <c r="A126" s="1038"/>
      <c r="B126" s="1039"/>
      <c r="C126" s="1039"/>
      <c r="D126" s="1039"/>
      <c r="E126" s="1045" t="str">
        <f t="shared" si="6"/>
        <v/>
      </c>
      <c r="F126" s="1046"/>
      <c r="G126" s="1046"/>
      <c r="H126" s="1046"/>
      <c r="I126" s="1046"/>
      <c r="J126" s="1047"/>
      <c r="K126" s="134"/>
      <c r="L126" s="62" t="str">
        <f t="shared" si="7"/>
        <v/>
      </c>
      <c r="M126" s="14"/>
      <c r="N126" s="89">
        <f t="array" ref="N126">SUM(IF((GJ[JEV Number]=TRIM($T111))*(GJ[Account Code]=TRIM(K126)),GJ[Debit]))</f>
        <v>0</v>
      </c>
      <c r="O126" s="89">
        <f t="array" ref="O126">SUM(IF((GJ[JEV Number]=TRIM($T111))*(GJ[Account Code]=TRIM(K126)),GJ[Credit]))</f>
        <v>0</v>
      </c>
      <c r="P126" s="1040">
        <f t="shared" si="8"/>
        <v>0</v>
      </c>
      <c r="Q126" s="1040"/>
      <c r="R126" s="1040"/>
      <c r="S126" s="1040">
        <f t="shared" si="9"/>
        <v>0</v>
      </c>
      <c r="T126" s="1040"/>
      <c r="U126" s="1040"/>
      <c r="V126" s="1041"/>
    </row>
    <row r="127" spans="1:22" x14ac:dyDescent="0.25">
      <c r="A127" s="1038"/>
      <c r="B127" s="1039"/>
      <c r="C127" s="1039"/>
      <c r="D127" s="1039"/>
      <c r="E127" s="1045" t="str">
        <f t="shared" si="6"/>
        <v/>
      </c>
      <c r="F127" s="1046"/>
      <c r="G127" s="1046"/>
      <c r="H127" s="1046"/>
      <c r="I127" s="1046"/>
      <c r="J127" s="1047"/>
      <c r="K127" s="134"/>
      <c r="L127" s="62" t="str">
        <f t="shared" si="7"/>
        <v/>
      </c>
      <c r="M127" s="14"/>
      <c r="N127" s="89">
        <f t="array" ref="N127">SUM(IF((GJ[JEV Number]=TRIM($T111))*(GJ[Account Code]=TRIM(K127)),GJ[Debit]))</f>
        <v>0</v>
      </c>
      <c r="O127" s="89">
        <f t="array" ref="O127">SUM(IF((GJ[JEV Number]=TRIM($T111))*(GJ[Account Code]=TRIM(K127)),GJ[Credit]))</f>
        <v>0</v>
      </c>
      <c r="P127" s="1040">
        <f t="shared" si="8"/>
        <v>0</v>
      </c>
      <c r="Q127" s="1040"/>
      <c r="R127" s="1040"/>
      <c r="S127" s="1040">
        <f t="shared" si="9"/>
        <v>0</v>
      </c>
      <c r="T127" s="1040"/>
      <c r="U127" s="1040"/>
      <c r="V127" s="1041"/>
    </row>
    <row r="128" spans="1:22" x14ac:dyDescent="0.25">
      <c r="A128" s="1038"/>
      <c r="B128" s="1039"/>
      <c r="C128" s="1039"/>
      <c r="D128" s="1039"/>
      <c r="E128" s="1045" t="str">
        <f t="shared" si="6"/>
        <v/>
      </c>
      <c r="F128" s="1046"/>
      <c r="G128" s="1046"/>
      <c r="H128" s="1046"/>
      <c r="I128" s="1046"/>
      <c r="J128" s="1047"/>
      <c r="K128" s="134"/>
      <c r="L128" s="62" t="str">
        <f t="shared" si="7"/>
        <v/>
      </c>
      <c r="M128" s="14"/>
      <c r="N128" s="89">
        <f t="array" ref="N128">SUM(IF((GJ[JEV Number]=TRIM($T111))*(GJ[Account Code]=TRIM(K128)),GJ[Debit]))</f>
        <v>0</v>
      </c>
      <c r="O128" s="89">
        <f t="array" ref="O128">SUM(IF((GJ[JEV Number]=TRIM($T111))*(GJ[Account Code]=TRIM(K128)),GJ[Credit]))</f>
        <v>0</v>
      </c>
      <c r="P128" s="1040">
        <f t="shared" si="8"/>
        <v>0</v>
      </c>
      <c r="Q128" s="1040"/>
      <c r="R128" s="1040"/>
      <c r="S128" s="1040">
        <f t="shared" si="9"/>
        <v>0</v>
      </c>
      <c r="T128" s="1040"/>
      <c r="U128" s="1040"/>
      <c r="V128" s="1041"/>
    </row>
    <row r="129" spans="1:22" x14ac:dyDescent="0.25">
      <c r="A129" s="1038"/>
      <c r="B129" s="1039"/>
      <c r="C129" s="1039"/>
      <c r="D129" s="1039"/>
      <c r="E129" s="1045" t="str">
        <f t="shared" si="6"/>
        <v/>
      </c>
      <c r="F129" s="1046"/>
      <c r="G129" s="1046"/>
      <c r="H129" s="1046"/>
      <c r="I129" s="1046"/>
      <c r="J129" s="1047"/>
      <c r="K129" s="134"/>
      <c r="L129" s="62" t="str">
        <f t="shared" si="7"/>
        <v/>
      </c>
      <c r="M129" s="14"/>
      <c r="N129" s="89">
        <f t="array" ref="N129">SUM(IF((GJ[JEV Number]=TRIM($T111))*(GJ[Account Code]=TRIM(K129)),GJ[Debit]))</f>
        <v>0</v>
      </c>
      <c r="O129" s="89">
        <f t="array" ref="O129">SUM(IF((GJ[JEV Number]=TRIM($T111))*(GJ[Account Code]=TRIM(K129)),GJ[Credit]))</f>
        <v>0</v>
      </c>
      <c r="P129" s="1040">
        <f t="shared" si="8"/>
        <v>0</v>
      </c>
      <c r="Q129" s="1040"/>
      <c r="R129" s="1040"/>
      <c r="S129" s="1040">
        <f t="shared" si="9"/>
        <v>0</v>
      </c>
      <c r="T129" s="1040"/>
      <c r="U129" s="1040"/>
      <c r="V129" s="1041"/>
    </row>
    <row r="130" spans="1:22" x14ac:dyDescent="0.25">
      <c r="A130" s="1038"/>
      <c r="B130" s="1039"/>
      <c r="C130" s="1039"/>
      <c r="D130" s="1039"/>
      <c r="E130" s="1045" t="str">
        <f t="shared" si="6"/>
        <v/>
      </c>
      <c r="F130" s="1046"/>
      <c r="G130" s="1046"/>
      <c r="H130" s="1046"/>
      <c r="I130" s="1046"/>
      <c r="J130" s="1047"/>
      <c r="K130" s="134"/>
      <c r="L130" s="62" t="str">
        <f t="shared" si="7"/>
        <v/>
      </c>
      <c r="M130" s="14"/>
      <c r="N130" s="89">
        <f t="array" ref="N130">SUM(IF((GJ[JEV Number]=TRIM($T111))*(GJ[Account Code]=TRIM(K130)),GJ[Debit]))</f>
        <v>0</v>
      </c>
      <c r="O130" s="89">
        <f t="array" ref="O130">SUM(IF((GJ[JEV Number]=TRIM($T111))*(GJ[Account Code]=TRIM(K130)),GJ[Credit]))</f>
        <v>0</v>
      </c>
      <c r="P130" s="1040">
        <f t="shared" si="8"/>
        <v>0</v>
      </c>
      <c r="Q130" s="1040"/>
      <c r="R130" s="1040"/>
      <c r="S130" s="1040">
        <f t="shared" si="9"/>
        <v>0</v>
      </c>
      <c r="T130" s="1040"/>
      <c r="U130" s="1040"/>
      <c r="V130" s="1041"/>
    </row>
    <row r="131" spans="1:22" x14ac:dyDescent="0.25">
      <c r="A131" s="1038"/>
      <c r="B131" s="1039"/>
      <c r="C131" s="1039"/>
      <c r="D131" s="1039"/>
      <c r="E131" s="1045" t="str">
        <f t="shared" si="6"/>
        <v/>
      </c>
      <c r="F131" s="1046"/>
      <c r="G131" s="1046"/>
      <c r="H131" s="1046"/>
      <c r="I131" s="1046"/>
      <c r="J131" s="1047"/>
      <c r="K131" s="134"/>
      <c r="L131" s="62" t="str">
        <f t="shared" si="7"/>
        <v/>
      </c>
      <c r="M131" s="14"/>
      <c r="N131" s="89">
        <f t="array" ref="N131">SUM(IF((GJ[JEV Number]=TRIM($T111))*(GJ[Account Code]=TRIM(K131)),GJ[Debit]))</f>
        <v>0</v>
      </c>
      <c r="O131" s="89">
        <f t="array" ref="O131">SUM(IF((GJ[JEV Number]=TRIM($T111))*(GJ[Account Code]=TRIM(K131)),GJ[Credit]))</f>
        <v>0</v>
      </c>
      <c r="P131" s="1040">
        <f t="shared" si="8"/>
        <v>0</v>
      </c>
      <c r="Q131" s="1040"/>
      <c r="R131" s="1040"/>
      <c r="S131" s="1040">
        <f t="shared" si="9"/>
        <v>0</v>
      </c>
      <c r="T131" s="1040"/>
      <c r="U131" s="1040"/>
      <c r="V131" s="1041"/>
    </row>
    <row r="132" spans="1:22" x14ac:dyDescent="0.25">
      <c r="A132" s="1038"/>
      <c r="B132" s="1039"/>
      <c r="C132" s="1039"/>
      <c r="D132" s="1039"/>
      <c r="E132" s="1045" t="str">
        <f t="shared" si="6"/>
        <v/>
      </c>
      <c r="F132" s="1046"/>
      <c r="G132" s="1046"/>
      <c r="H132" s="1046"/>
      <c r="I132" s="1046"/>
      <c r="J132" s="1047"/>
      <c r="K132" s="134"/>
      <c r="L132" s="62" t="str">
        <f t="shared" si="7"/>
        <v/>
      </c>
      <c r="M132" s="14"/>
      <c r="N132" s="89">
        <f t="array" ref="N132">SUM(IF((GJ[JEV Number]=TRIM($T111))*(GJ[Account Code]=TRIM(K132)),GJ[Debit]))</f>
        <v>0</v>
      </c>
      <c r="O132" s="89">
        <f t="array" ref="O132">SUM(IF((GJ[JEV Number]=TRIM($T111))*(GJ[Account Code]=TRIM(K132)),GJ[Credit]))</f>
        <v>0</v>
      </c>
      <c r="P132" s="1040">
        <f t="shared" si="8"/>
        <v>0</v>
      </c>
      <c r="Q132" s="1040"/>
      <c r="R132" s="1040"/>
      <c r="S132" s="1040">
        <f t="shared" si="9"/>
        <v>0</v>
      </c>
      <c r="T132" s="1040"/>
      <c r="U132" s="1040"/>
      <c r="V132" s="1041"/>
    </row>
    <row r="133" spans="1:22" x14ac:dyDescent="0.25">
      <c r="A133" s="1038"/>
      <c r="B133" s="1039"/>
      <c r="C133" s="1039"/>
      <c r="D133" s="1039"/>
      <c r="E133" s="1045" t="str">
        <f t="shared" si="6"/>
        <v/>
      </c>
      <c r="F133" s="1046"/>
      <c r="G133" s="1046"/>
      <c r="H133" s="1046"/>
      <c r="I133" s="1046"/>
      <c r="J133" s="1047"/>
      <c r="K133" s="134"/>
      <c r="L133" s="62" t="str">
        <f t="shared" si="7"/>
        <v/>
      </c>
      <c r="M133" s="14"/>
      <c r="N133" s="89">
        <f t="array" ref="N133">SUM(IF((GJ[JEV Number]=TRIM($T111))*(GJ[Account Code]=TRIM(K133)),GJ[Debit]))</f>
        <v>0</v>
      </c>
      <c r="O133" s="89">
        <f t="array" ref="O133">SUM(IF((GJ[JEV Number]=TRIM($T111))*(GJ[Account Code]=TRIM(K133)),GJ[Credit]))</f>
        <v>0</v>
      </c>
      <c r="P133" s="1040">
        <f t="shared" si="8"/>
        <v>0</v>
      </c>
      <c r="Q133" s="1040"/>
      <c r="R133" s="1040"/>
      <c r="S133" s="1040">
        <f t="shared" si="9"/>
        <v>0</v>
      </c>
      <c r="T133" s="1040"/>
      <c r="U133" s="1040"/>
      <c r="V133" s="1041"/>
    </row>
    <row r="134" spans="1:22" x14ac:dyDescent="0.25">
      <c r="A134" s="1038"/>
      <c r="B134" s="1039"/>
      <c r="C134" s="1039"/>
      <c r="D134" s="1039"/>
      <c r="E134" s="1045" t="str">
        <f t="shared" si="6"/>
        <v/>
      </c>
      <c r="F134" s="1046"/>
      <c r="G134" s="1046"/>
      <c r="H134" s="1046"/>
      <c r="I134" s="1046"/>
      <c r="J134" s="1047"/>
      <c r="K134" s="134"/>
      <c r="L134" s="62" t="str">
        <f t="shared" si="7"/>
        <v/>
      </c>
      <c r="M134" s="14"/>
      <c r="N134" s="89">
        <f t="array" ref="N134">SUM(IF((GJ[JEV Number]=TRIM($T111))*(GJ[Account Code]=TRIM(K134)),GJ[Debit]))</f>
        <v>0</v>
      </c>
      <c r="O134" s="89">
        <f t="array" ref="O134">SUM(IF((GJ[JEV Number]=TRIM($T111))*(GJ[Account Code]=TRIM(K134)),GJ[Credit]))</f>
        <v>0</v>
      </c>
      <c r="P134" s="1040">
        <f t="shared" si="8"/>
        <v>0</v>
      </c>
      <c r="Q134" s="1040"/>
      <c r="R134" s="1040"/>
      <c r="S134" s="1040">
        <f t="shared" si="9"/>
        <v>0</v>
      </c>
      <c r="T134" s="1040"/>
      <c r="U134" s="1040"/>
      <c r="V134" s="1041"/>
    </row>
    <row r="135" spans="1:22" x14ac:dyDescent="0.25">
      <c r="A135" s="1038"/>
      <c r="B135" s="1039"/>
      <c r="C135" s="1039"/>
      <c r="D135" s="1039"/>
      <c r="E135" s="1045" t="str">
        <f t="shared" si="6"/>
        <v/>
      </c>
      <c r="F135" s="1046"/>
      <c r="G135" s="1046"/>
      <c r="H135" s="1046"/>
      <c r="I135" s="1046"/>
      <c r="J135" s="1047"/>
      <c r="K135" s="134"/>
      <c r="L135" s="62" t="str">
        <f t="shared" si="7"/>
        <v/>
      </c>
      <c r="M135" s="14"/>
      <c r="N135" s="89">
        <f t="array" ref="N135">SUM(IF((GJ[JEV Number]=TRIM($T111))*(GJ[Account Code]=TRIM(K135)),GJ[Debit]))</f>
        <v>0</v>
      </c>
      <c r="O135" s="89">
        <f t="array" ref="O135">SUM(IF((GJ[JEV Number]=TRIM($T111))*(GJ[Account Code]=TRIM(K135)),GJ[Credit]))</f>
        <v>0</v>
      </c>
      <c r="P135" s="1040">
        <f t="shared" si="8"/>
        <v>0</v>
      </c>
      <c r="Q135" s="1040"/>
      <c r="R135" s="1040"/>
      <c r="S135" s="1040">
        <f t="shared" si="9"/>
        <v>0</v>
      </c>
      <c r="T135" s="1040"/>
      <c r="U135" s="1040"/>
      <c r="V135" s="1041"/>
    </row>
    <row r="136" spans="1:22" x14ac:dyDescent="0.25">
      <c r="A136" s="1038"/>
      <c r="B136" s="1039"/>
      <c r="C136" s="1039"/>
      <c r="D136" s="1039"/>
      <c r="E136" s="1045" t="str">
        <f t="shared" si="6"/>
        <v/>
      </c>
      <c r="F136" s="1046"/>
      <c r="G136" s="1046"/>
      <c r="H136" s="1046"/>
      <c r="I136" s="1046"/>
      <c r="J136" s="1047"/>
      <c r="K136" s="134"/>
      <c r="L136" s="62" t="str">
        <f t="shared" si="7"/>
        <v/>
      </c>
      <c r="M136" s="14"/>
      <c r="N136" s="89">
        <f t="array" ref="N136">SUM(IF((GJ[JEV Number]=TRIM($T111))*(GJ[Account Code]=TRIM(K136)),GJ[Debit]))</f>
        <v>0</v>
      </c>
      <c r="O136" s="89">
        <f t="array" ref="O136">SUM(IF((GJ[JEV Number]=TRIM($T111))*(GJ[Account Code]=TRIM(K136)),GJ[Credit]))</f>
        <v>0</v>
      </c>
      <c r="P136" s="1040">
        <f t="shared" si="8"/>
        <v>0</v>
      </c>
      <c r="Q136" s="1040"/>
      <c r="R136" s="1040"/>
      <c r="S136" s="1040">
        <f t="shared" si="9"/>
        <v>0</v>
      </c>
      <c r="T136" s="1040"/>
      <c r="U136" s="1040"/>
      <c r="V136" s="1041"/>
    </row>
    <row r="137" spans="1:22" x14ac:dyDescent="0.25">
      <c r="A137" s="1038"/>
      <c r="B137" s="1039"/>
      <c r="C137" s="1039"/>
      <c r="D137" s="1039"/>
      <c r="E137" s="1045" t="str">
        <f t="shared" si="6"/>
        <v/>
      </c>
      <c r="F137" s="1046"/>
      <c r="G137" s="1046"/>
      <c r="H137" s="1046"/>
      <c r="I137" s="1046"/>
      <c r="J137" s="1047"/>
      <c r="K137" s="134"/>
      <c r="L137" s="62" t="str">
        <f t="shared" si="7"/>
        <v/>
      </c>
      <c r="M137" s="14"/>
      <c r="N137" s="89">
        <f t="array" ref="N137">SUM(IF((GJ[JEV Number]=TRIM($T111))*(GJ[Account Code]=TRIM(K137)),GJ[Debit]))</f>
        <v>0</v>
      </c>
      <c r="O137" s="89">
        <f t="array" ref="O137">SUM(IF((GJ[JEV Number]=TRIM($T111))*(GJ[Account Code]=TRIM(K137)),GJ[Credit]))</f>
        <v>0</v>
      </c>
      <c r="P137" s="1040">
        <f t="shared" si="8"/>
        <v>0</v>
      </c>
      <c r="Q137" s="1040"/>
      <c r="R137" s="1040"/>
      <c r="S137" s="1040">
        <f t="shared" si="9"/>
        <v>0</v>
      </c>
      <c r="T137" s="1040"/>
      <c r="U137" s="1040"/>
      <c r="V137" s="1041"/>
    </row>
    <row r="138" spans="1:22" x14ac:dyDescent="0.25">
      <c r="A138" s="1038"/>
      <c r="B138" s="1039"/>
      <c r="C138" s="1039"/>
      <c r="D138" s="1039"/>
      <c r="E138" s="1045" t="str">
        <f t="shared" si="6"/>
        <v/>
      </c>
      <c r="F138" s="1046"/>
      <c r="G138" s="1046"/>
      <c r="H138" s="1046"/>
      <c r="I138" s="1046"/>
      <c r="J138" s="1047"/>
      <c r="K138" s="134"/>
      <c r="L138" s="62" t="str">
        <f t="shared" si="7"/>
        <v/>
      </c>
      <c r="M138" s="14"/>
      <c r="N138" s="89">
        <f t="array" ref="N138">SUM(IF((GJ[JEV Number]=TRIM($T111))*(GJ[Account Code]=TRIM(K138)),GJ[Debit]))</f>
        <v>0</v>
      </c>
      <c r="O138" s="89">
        <f t="array" ref="O138">SUM(IF((GJ[JEV Number]=TRIM($T111))*(GJ[Account Code]=TRIM(K138)),GJ[Credit]))</f>
        <v>0</v>
      </c>
      <c r="P138" s="1040">
        <f t="shared" si="8"/>
        <v>0</v>
      </c>
      <c r="Q138" s="1040"/>
      <c r="R138" s="1040"/>
      <c r="S138" s="1040">
        <f t="shared" si="9"/>
        <v>0</v>
      </c>
      <c r="T138" s="1040"/>
      <c r="U138" s="1040"/>
      <c r="V138" s="1041"/>
    </row>
    <row r="139" spans="1:22" x14ac:dyDescent="0.25">
      <c r="A139" s="1038"/>
      <c r="B139" s="1039"/>
      <c r="C139" s="1039"/>
      <c r="D139" s="1039"/>
      <c r="E139" s="1045" t="str">
        <f t="shared" si="6"/>
        <v/>
      </c>
      <c r="F139" s="1046"/>
      <c r="G139" s="1046"/>
      <c r="H139" s="1046"/>
      <c r="I139" s="1046"/>
      <c r="J139" s="1047"/>
      <c r="K139" s="134"/>
      <c r="L139" s="62" t="str">
        <f t="shared" si="7"/>
        <v/>
      </c>
      <c r="M139" s="14"/>
      <c r="N139" s="89">
        <f t="array" ref="N139">SUM(IF((GJ[JEV Number]=TRIM($T111))*(GJ[Account Code]=TRIM(K139)),GJ[Debit]))</f>
        <v>0</v>
      </c>
      <c r="O139" s="89">
        <f t="array" ref="O139">SUM(IF((GJ[JEV Number]=TRIM($T111))*(GJ[Account Code]=TRIM(K139)),GJ[Credit]))</f>
        <v>0</v>
      </c>
      <c r="P139" s="1040">
        <f t="shared" si="8"/>
        <v>0</v>
      </c>
      <c r="Q139" s="1040"/>
      <c r="R139" s="1040"/>
      <c r="S139" s="1040">
        <f t="shared" si="9"/>
        <v>0</v>
      </c>
      <c r="T139" s="1040"/>
      <c r="U139" s="1040"/>
      <c r="V139" s="1041"/>
    </row>
    <row r="140" spans="1:22" x14ac:dyDescent="0.25">
      <c r="A140" s="1038"/>
      <c r="B140" s="1039"/>
      <c r="C140" s="1039"/>
      <c r="D140" s="1039"/>
      <c r="E140" s="1045" t="str">
        <f t="shared" si="6"/>
        <v/>
      </c>
      <c r="F140" s="1046"/>
      <c r="G140" s="1046"/>
      <c r="H140" s="1046"/>
      <c r="I140" s="1046"/>
      <c r="J140" s="1047"/>
      <c r="K140" s="134"/>
      <c r="L140" s="62" t="str">
        <f t="shared" si="7"/>
        <v/>
      </c>
      <c r="M140" s="14"/>
      <c r="N140" s="89">
        <f t="array" ref="N140">SUM(IF((GJ[JEV Number]=TRIM($T111))*(GJ[Account Code]=TRIM(K140)),GJ[Debit]))</f>
        <v>0</v>
      </c>
      <c r="O140" s="89">
        <f t="array" ref="O140">SUM(IF((GJ[JEV Number]=TRIM($T111))*(GJ[Account Code]=TRIM(K140)),GJ[Credit]))</f>
        <v>0</v>
      </c>
      <c r="P140" s="1040">
        <f t="shared" si="8"/>
        <v>0</v>
      </c>
      <c r="Q140" s="1040"/>
      <c r="R140" s="1040"/>
      <c r="S140" s="1040">
        <f t="shared" si="9"/>
        <v>0</v>
      </c>
      <c r="T140" s="1040"/>
      <c r="U140" s="1040"/>
      <c r="V140" s="1041"/>
    </row>
    <row r="141" spans="1:22" x14ac:dyDescent="0.25">
      <c r="A141" s="1038"/>
      <c r="B141" s="1039"/>
      <c r="C141" s="1039"/>
      <c r="D141" s="1039"/>
      <c r="E141" s="1045" t="str">
        <f t="shared" si="6"/>
        <v/>
      </c>
      <c r="F141" s="1046"/>
      <c r="G141" s="1046"/>
      <c r="H141" s="1046"/>
      <c r="I141" s="1046"/>
      <c r="J141" s="1047"/>
      <c r="K141" s="134"/>
      <c r="L141" s="62" t="str">
        <f t="shared" si="7"/>
        <v/>
      </c>
      <c r="M141" s="14"/>
      <c r="N141" s="89">
        <f t="array" ref="N141">SUM(IF((GJ[JEV Number]=TRIM($T111))*(GJ[Account Code]=TRIM(K141)),GJ[Debit]))</f>
        <v>0</v>
      </c>
      <c r="O141" s="89">
        <f t="array" ref="O141">SUM(IF((GJ[JEV Number]=TRIM($T111))*(GJ[Account Code]=TRIM(K141)),GJ[Credit]))</f>
        <v>0</v>
      </c>
      <c r="P141" s="1040">
        <f t="shared" si="8"/>
        <v>0</v>
      </c>
      <c r="Q141" s="1040"/>
      <c r="R141" s="1040"/>
      <c r="S141" s="1040">
        <f t="shared" si="9"/>
        <v>0</v>
      </c>
      <c r="T141" s="1040"/>
      <c r="U141" s="1040"/>
      <c r="V141" s="1041"/>
    </row>
    <row r="142" spans="1:22" x14ac:dyDescent="0.25">
      <c r="A142" s="1038"/>
      <c r="B142" s="1039"/>
      <c r="C142" s="1039"/>
      <c r="D142" s="1039"/>
      <c r="E142" s="1045" t="str">
        <f t="shared" si="6"/>
        <v/>
      </c>
      <c r="F142" s="1046"/>
      <c r="G142" s="1046"/>
      <c r="H142" s="1046"/>
      <c r="I142" s="1046"/>
      <c r="J142" s="1047"/>
      <c r="K142" s="134"/>
      <c r="L142" s="62" t="str">
        <f t="shared" si="7"/>
        <v/>
      </c>
      <c r="M142" s="14"/>
      <c r="N142" s="89">
        <f t="array" ref="N142">SUM(IF((GJ[JEV Number]=TRIM($T111))*(GJ[Account Code]=TRIM(K142)),GJ[Debit]))</f>
        <v>0</v>
      </c>
      <c r="O142" s="89">
        <f t="array" ref="O142">SUM(IF((GJ[JEV Number]=TRIM($T111))*(GJ[Account Code]=TRIM(K142)),GJ[Credit]))</f>
        <v>0</v>
      </c>
      <c r="P142" s="1040">
        <f t="shared" si="8"/>
        <v>0</v>
      </c>
      <c r="Q142" s="1040"/>
      <c r="R142" s="1040"/>
      <c r="S142" s="1040">
        <f t="shared" si="9"/>
        <v>0</v>
      </c>
      <c r="T142" s="1040"/>
      <c r="U142" s="1040"/>
      <c r="V142" s="1041"/>
    </row>
    <row r="143" spans="1:22" x14ac:dyDescent="0.25">
      <c r="A143" s="1038"/>
      <c r="B143" s="1039"/>
      <c r="C143" s="1039"/>
      <c r="D143" s="1039"/>
      <c r="E143" s="1045" t="str">
        <f t="shared" si="6"/>
        <v/>
      </c>
      <c r="F143" s="1046"/>
      <c r="G143" s="1046"/>
      <c r="H143" s="1046"/>
      <c r="I143" s="1046"/>
      <c r="J143" s="1047"/>
      <c r="K143" s="134"/>
      <c r="L143" s="62" t="str">
        <f t="shared" si="7"/>
        <v/>
      </c>
      <c r="M143" s="14"/>
      <c r="N143" s="89">
        <f t="array" ref="N143">SUM(IF((GJ[JEV Number]=TRIM($T111))*(GJ[Account Code]=TRIM(K143)),GJ[Debit]))</f>
        <v>0</v>
      </c>
      <c r="O143" s="89">
        <f t="array" ref="O143">SUM(IF((GJ[JEV Number]=TRIM($T111))*(GJ[Account Code]=TRIM(K143)),GJ[Credit]))</f>
        <v>0</v>
      </c>
      <c r="P143" s="1040">
        <f t="shared" si="8"/>
        <v>0</v>
      </c>
      <c r="Q143" s="1040"/>
      <c r="R143" s="1040"/>
      <c r="S143" s="1040">
        <f t="shared" si="9"/>
        <v>0</v>
      </c>
      <c r="T143" s="1040"/>
      <c r="U143" s="1040"/>
      <c r="V143" s="1041"/>
    </row>
    <row r="144" spans="1:22" x14ac:dyDescent="0.25">
      <c r="A144" s="1038"/>
      <c r="B144" s="1039"/>
      <c r="C144" s="1039"/>
      <c r="D144" s="1039"/>
      <c r="E144" s="1126" t="e">
        <f>IF(T111=0,0,(LOOKUP(T111,GJ[JEV Number],GJ[Particulars])))</f>
        <v>#N/A</v>
      </c>
      <c r="F144" s="1127"/>
      <c r="G144" s="1127"/>
      <c r="H144" s="1127"/>
      <c r="I144" s="1127"/>
      <c r="J144" s="1128"/>
      <c r="K144" s="134"/>
      <c r="L144" s="62" t="str">
        <f t="shared" si="7"/>
        <v/>
      </c>
      <c r="M144" s="14"/>
      <c r="N144" s="89">
        <f t="array" ref="N144">SUM(IF((GJ[JEV Number]=TRIM($T111))*(GJ[Account Code]=TRIM(K144)),GJ[Debit]))</f>
        <v>0</v>
      </c>
      <c r="O144" s="89">
        <f t="array" ref="O144">SUM(IF((GJ[JEV Number]=TRIM($T111))*(GJ[Account Code]=TRIM(K144)),GJ[Credit]))</f>
        <v>0</v>
      </c>
      <c r="P144" s="1040">
        <f t="shared" si="8"/>
        <v>0</v>
      </c>
      <c r="Q144" s="1040"/>
      <c r="R144" s="1040"/>
      <c r="S144" s="1040">
        <f t="shared" si="9"/>
        <v>0</v>
      </c>
      <c r="T144" s="1040"/>
      <c r="U144" s="1040"/>
      <c r="V144" s="1041"/>
    </row>
    <row r="145" spans="1:22" x14ac:dyDescent="0.25">
      <c r="A145" s="1038"/>
      <c r="B145" s="1039"/>
      <c r="C145" s="1039"/>
      <c r="D145" s="1039"/>
      <c r="E145" s="1129"/>
      <c r="F145" s="1130"/>
      <c r="G145" s="1130"/>
      <c r="H145" s="1130"/>
      <c r="I145" s="1130"/>
      <c r="J145" s="1131"/>
      <c r="K145" s="133"/>
      <c r="L145" s="62" t="str">
        <f t="shared" si="7"/>
        <v/>
      </c>
      <c r="M145" s="14"/>
      <c r="N145" s="89">
        <f t="array" ref="N145">SUM(IF((GJ[JEV Number]=TRIM($T111))*(GJ[Account Code]=TRIM(K145)),GJ[Debit]))</f>
        <v>0</v>
      </c>
      <c r="O145" s="89">
        <f t="array" ref="O145">SUM(IF((GJ[JEV Number]=TRIM($T111))*(GJ[Account Code]=TRIM(K145)),GJ[Credit]))</f>
        <v>0</v>
      </c>
      <c r="P145" s="1040">
        <f t="shared" si="8"/>
        <v>0</v>
      </c>
      <c r="Q145" s="1040"/>
      <c r="R145" s="1040"/>
      <c r="S145" s="1040">
        <f t="shared" si="9"/>
        <v>0</v>
      </c>
      <c r="T145" s="1040"/>
      <c r="U145" s="1040"/>
      <c r="V145" s="1041"/>
    </row>
    <row r="146" spans="1:22" x14ac:dyDescent="0.25">
      <c r="A146" s="1038"/>
      <c r="B146" s="1039"/>
      <c r="C146" s="1039"/>
      <c r="D146" s="1039"/>
      <c r="E146" s="1129"/>
      <c r="F146" s="1130"/>
      <c r="G146" s="1130"/>
      <c r="H146" s="1130"/>
      <c r="I146" s="1130"/>
      <c r="J146" s="1131"/>
      <c r="K146" s="133"/>
      <c r="L146" s="62" t="str">
        <f t="shared" si="7"/>
        <v/>
      </c>
      <c r="M146" s="14"/>
      <c r="N146" s="89">
        <f t="array" ref="N146">SUM(IF((GJ[JEV Number]=TRIM($T111))*(GJ[Account Code]=TRIM(K146)),GJ[Debit]))</f>
        <v>0</v>
      </c>
      <c r="O146" s="89">
        <f t="array" ref="O146">SUM(IF((GJ[JEV Number]=TRIM($T111))*(GJ[Account Code]=TRIM(K146)),GJ[Credit]))</f>
        <v>0</v>
      </c>
      <c r="P146" s="1040">
        <f t="shared" si="8"/>
        <v>0</v>
      </c>
      <c r="Q146" s="1040"/>
      <c r="R146" s="1040"/>
      <c r="S146" s="1040">
        <f t="shared" si="9"/>
        <v>0</v>
      </c>
      <c r="T146" s="1040"/>
      <c r="U146" s="1040"/>
      <c r="V146" s="1041"/>
    </row>
    <row r="147" spans="1:22" x14ac:dyDescent="0.25">
      <c r="A147" s="1038"/>
      <c r="B147" s="1039"/>
      <c r="C147" s="1039"/>
      <c r="D147" s="1039"/>
      <c r="E147" s="1129"/>
      <c r="F147" s="1130"/>
      <c r="G147" s="1130"/>
      <c r="H147" s="1130"/>
      <c r="I147" s="1130"/>
      <c r="J147" s="1131"/>
      <c r="K147" s="133"/>
      <c r="L147" s="62" t="str">
        <f t="shared" si="7"/>
        <v/>
      </c>
      <c r="M147" s="14"/>
      <c r="N147" s="89">
        <f t="array" ref="N147">SUM(IF((GJ[JEV Number]=TRIM($T111))*(GJ[Account Code]=TRIM(K147)),GJ[Debit]))</f>
        <v>0</v>
      </c>
      <c r="O147" s="89">
        <f t="array" ref="O147">SUM(IF((GJ[JEV Number]=TRIM($T111))*(GJ[Account Code]=TRIM(K147)),GJ[Credit]))</f>
        <v>0</v>
      </c>
      <c r="P147" s="1040">
        <f t="shared" si="8"/>
        <v>0</v>
      </c>
      <c r="Q147" s="1040"/>
      <c r="R147" s="1040"/>
      <c r="S147" s="1040">
        <f t="shared" si="9"/>
        <v>0</v>
      </c>
      <c r="T147" s="1040"/>
      <c r="U147" s="1040"/>
      <c r="V147" s="1041"/>
    </row>
    <row r="148" spans="1:22" x14ac:dyDescent="0.25">
      <c r="A148" s="1038"/>
      <c r="B148" s="1039"/>
      <c r="C148" s="1039"/>
      <c r="D148" s="1039"/>
      <c r="E148" s="1129"/>
      <c r="F148" s="1130"/>
      <c r="G148" s="1130"/>
      <c r="H148" s="1130"/>
      <c r="I148" s="1130"/>
      <c r="J148" s="1131"/>
      <c r="K148" s="133"/>
      <c r="L148" s="62" t="str">
        <f t="shared" si="7"/>
        <v/>
      </c>
      <c r="M148" s="14"/>
      <c r="N148" s="89">
        <f t="array" ref="N148">SUM(IF((GJ[JEV Number]=TRIM($T111))*(GJ[Account Code]=TRIM(K148)),GJ[Debit]))</f>
        <v>0</v>
      </c>
      <c r="O148" s="89">
        <f t="array" ref="O148">SUM(IF((GJ[JEV Number]=TRIM($T111))*(GJ[Account Code]=TRIM(K148)),GJ[Credit]))</f>
        <v>0</v>
      </c>
      <c r="P148" s="1040">
        <f t="shared" si="8"/>
        <v>0</v>
      </c>
      <c r="Q148" s="1040"/>
      <c r="R148" s="1040"/>
      <c r="S148" s="1040">
        <f t="shared" si="9"/>
        <v>0</v>
      </c>
      <c r="T148" s="1040"/>
      <c r="U148" s="1040"/>
      <c r="V148" s="1041"/>
    </row>
    <row r="149" spans="1:22" x14ac:dyDescent="0.25">
      <c r="A149" s="1038"/>
      <c r="B149" s="1039"/>
      <c r="C149" s="1039"/>
      <c r="D149" s="1039"/>
      <c r="E149" s="1132"/>
      <c r="F149" s="1133"/>
      <c r="G149" s="1133"/>
      <c r="H149" s="1133"/>
      <c r="I149" s="1133"/>
      <c r="J149" s="1134"/>
      <c r="K149" s="133"/>
      <c r="L149" s="62" t="str">
        <f t="shared" si="7"/>
        <v/>
      </c>
      <c r="M149" s="14"/>
      <c r="N149" s="89">
        <f t="array" ref="N149">SUM(IF((GJ[JEV Number]=TRIM($T111))*(GJ[Account Code]=TRIM(K149)),GJ[Debit]))</f>
        <v>0</v>
      </c>
      <c r="O149" s="89">
        <f t="array" ref="O149">SUM(IF((GJ[JEV Number]=TRIM($T111))*(GJ[Account Code]=TRIM(K149)),GJ[Credit]))</f>
        <v>0</v>
      </c>
      <c r="P149" s="1040">
        <f t="shared" si="8"/>
        <v>0</v>
      </c>
      <c r="Q149" s="1040"/>
      <c r="R149" s="1040"/>
      <c r="S149" s="1040">
        <f t="shared" si="9"/>
        <v>0</v>
      </c>
      <c r="T149" s="1040"/>
      <c r="U149" s="1040"/>
      <c r="V149" s="1041"/>
    </row>
    <row r="150" spans="1:22" ht="16.5" thickBot="1" x14ac:dyDescent="0.3">
      <c r="A150" s="1091"/>
      <c r="B150" s="1092"/>
      <c r="C150" s="1092"/>
      <c r="D150" s="1092"/>
      <c r="E150" s="1092"/>
      <c r="F150" s="1092"/>
      <c r="G150" s="1092"/>
      <c r="H150" s="1092"/>
      <c r="I150" s="1092"/>
      <c r="J150" s="1092"/>
      <c r="K150" s="1092"/>
      <c r="L150" s="1092"/>
      <c r="M150" s="1093"/>
      <c r="N150" s="88"/>
      <c r="O150" s="88"/>
      <c r="P150" s="1094">
        <f>SUM(P120:R149)</f>
        <v>0</v>
      </c>
      <c r="Q150" s="1094"/>
      <c r="R150" s="1094"/>
      <c r="S150" s="1094">
        <f>SUM(S120:V149)</f>
        <v>0</v>
      </c>
      <c r="T150" s="1094"/>
      <c r="U150" s="1094"/>
      <c r="V150" s="1095"/>
    </row>
    <row r="151" spans="1:22" x14ac:dyDescent="0.25">
      <c r="A151" s="63"/>
      <c r="B151" s="64"/>
      <c r="C151" s="64"/>
      <c r="D151" s="64"/>
      <c r="E151" s="64"/>
      <c r="F151" s="64"/>
      <c r="G151" s="64"/>
      <c r="H151" s="64"/>
      <c r="I151" s="65"/>
      <c r="J151" s="64"/>
      <c r="K151" s="66"/>
      <c r="L151" s="64"/>
      <c r="M151" s="65"/>
      <c r="N151" s="64"/>
      <c r="O151" s="64"/>
      <c r="P151" s="1090"/>
      <c r="Q151" s="1090"/>
      <c r="R151" s="1090"/>
      <c r="S151" s="1090"/>
      <c r="T151" s="1090"/>
      <c r="U151" s="1090"/>
      <c r="V151" s="1096"/>
    </row>
    <row r="152" spans="1:22" x14ac:dyDescent="0.25">
      <c r="A152" s="67" t="s">
        <v>460</v>
      </c>
      <c r="B152"/>
      <c r="C152"/>
      <c r="D152"/>
      <c r="E152"/>
      <c r="F152"/>
      <c r="G152"/>
      <c r="H152"/>
      <c r="I152" s="68" t="s">
        <v>353</v>
      </c>
      <c r="J152" s="69"/>
      <c r="K152" s="69"/>
      <c r="L152"/>
      <c r="M152" s="68" t="s">
        <v>461</v>
      </c>
      <c r="N152" s="69"/>
      <c r="O152" s="69"/>
      <c r="P152" s="70"/>
      <c r="Q152" s="70"/>
      <c r="R152" s="70"/>
      <c r="S152" s="70"/>
      <c r="T152" s="70"/>
      <c r="U152" s="70"/>
      <c r="V152" s="71"/>
    </row>
    <row r="153" spans="1:22" x14ac:dyDescent="0.25">
      <c r="A153" s="37"/>
      <c r="B153"/>
      <c r="C153"/>
      <c r="D153"/>
      <c r="E153"/>
      <c r="F153"/>
      <c r="G153"/>
      <c r="H153"/>
      <c r="I153" s="72"/>
      <c r="J153"/>
      <c r="K153"/>
      <c r="L153"/>
      <c r="M153" s="72"/>
      <c r="N153"/>
      <c r="O153"/>
      <c r="P153"/>
      <c r="Q153"/>
      <c r="R153"/>
      <c r="S153"/>
      <c r="T153"/>
      <c r="U153"/>
      <c r="V153" s="73"/>
    </row>
    <row r="154" spans="1:22" x14ac:dyDescent="0.25">
      <c r="A154" s="74" t="s">
        <v>1559</v>
      </c>
      <c r="B154" s="75"/>
      <c r="C154" s="75"/>
      <c r="D154" s="75"/>
      <c r="E154" s="75"/>
      <c r="F154" s="75"/>
      <c r="G154" s="75"/>
      <c r="H154" s="76"/>
      <c r="I154" s="77" t="s">
        <v>1561</v>
      </c>
      <c r="J154" s="75"/>
      <c r="K154" s="75"/>
      <c r="L154" s="76"/>
      <c r="M154" s="77" t="s">
        <v>1562</v>
      </c>
      <c r="N154" s="75"/>
      <c r="O154" s="75"/>
      <c r="P154" s="75"/>
      <c r="Q154" s="75"/>
      <c r="R154" s="75"/>
      <c r="S154" s="75"/>
      <c r="T154" s="75"/>
      <c r="U154" s="75"/>
      <c r="V154" s="78"/>
    </row>
    <row r="155" spans="1:22" x14ac:dyDescent="0.25">
      <c r="A155" s="79" t="s">
        <v>1560</v>
      </c>
      <c r="B155" s="80"/>
      <c r="C155" s="80"/>
      <c r="D155" s="80"/>
      <c r="E155" s="80"/>
      <c r="F155" s="80"/>
      <c r="G155" s="80"/>
      <c r="H155" s="80"/>
      <c r="I155" s="81" t="s">
        <v>381</v>
      </c>
      <c r="J155" s="80"/>
      <c r="K155" s="80"/>
      <c r="L155" s="80"/>
      <c r="M155" s="81" t="s">
        <v>464</v>
      </c>
      <c r="N155" s="80"/>
      <c r="O155" s="80"/>
      <c r="P155" s="82"/>
      <c r="Q155" s="82"/>
      <c r="R155" s="82"/>
      <c r="S155" s="82"/>
      <c r="T155" s="82"/>
      <c r="U155" s="82"/>
      <c r="V155" s="83"/>
    </row>
    <row r="156" spans="1:22" ht="16.5" thickBot="1" x14ac:dyDescent="0.3">
      <c r="A156" s="84" t="s">
        <v>465</v>
      </c>
      <c r="B156" s="43"/>
      <c r="C156" s="43"/>
      <c r="D156" s="43"/>
      <c r="E156" s="43"/>
      <c r="F156" s="43"/>
      <c r="G156" s="43"/>
      <c r="H156" s="43"/>
      <c r="I156" s="85"/>
      <c r="J156" s="43"/>
      <c r="K156" s="43"/>
      <c r="L156" s="43"/>
      <c r="M156" s="85"/>
      <c r="N156" s="43"/>
      <c r="O156" s="43"/>
      <c r="P156" s="43"/>
      <c r="Q156" s="43"/>
      <c r="R156" s="43"/>
      <c r="S156" s="43"/>
      <c r="T156" s="43"/>
      <c r="U156" s="43"/>
      <c r="V156" s="44"/>
    </row>
  </sheetData>
  <mergeCells count="399">
    <mergeCell ref="A150:M150"/>
    <mergeCell ref="P150:R150"/>
    <mergeCell ref="S150:V150"/>
    <mergeCell ref="P151:R151"/>
    <mergeCell ref="S151:V151"/>
    <mergeCell ref="P144:R144"/>
    <mergeCell ref="S144:V144"/>
    <mergeCell ref="A145:D145"/>
    <mergeCell ref="P145:R145"/>
    <mergeCell ref="S145:V145"/>
    <mergeCell ref="A146:D146"/>
    <mergeCell ref="P146:R146"/>
    <mergeCell ref="S146:V146"/>
    <mergeCell ref="A147:D147"/>
    <mergeCell ref="P147:R147"/>
    <mergeCell ref="S147:V147"/>
    <mergeCell ref="A148:D148"/>
    <mergeCell ref="P148:R148"/>
    <mergeCell ref="S148:V148"/>
    <mergeCell ref="A144:D144"/>
    <mergeCell ref="E144:J149"/>
    <mergeCell ref="A149:D149"/>
    <mergeCell ref="P149:R149"/>
    <mergeCell ref="S149:V149"/>
    <mergeCell ref="S33:V33"/>
    <mergeCell ref="A30:D30"/>
    <mergeCell ref="E30:J30"/>
    <mergeCell ref="P30:R30"/>
    <mergeCell ref="A121:D121"/>
    <mergeCell ref="E121:J121"/>
    <mergeCell ref="P121:R121"/>
    <mergeCell ref="S30:V30"/>
    <mergeCell ref="A31:D31"/>
    <mergeCell ref="E31:J31"/>
    <mergeCell ref="P31:R31"/>
    <mergeCell ref="S31:V31"/>
    <mergeCell ref="A51:D51"/>
    <mergeCell ref="P51:R51"/>
    <mergeCell ref="S51:V51"/>
    <mergeCell ref="A52:D52"/>
    <mergeCell ref="P52:R52"/>
    <mergeCell ref="S52:V52"/>
    <mergeCell ref="A49:D49"/>
    <mergeCell ref="A32:D32"/>
    <mergeCell ref="E32:J32"/>
    <mergeCell ref="P32:R32"/>
    <mergeCell ref="S32:V32"/>
    <mergeCell ref="A33:D33"/>
    <mergeCell ref="E124:J124"/>
    <mergeCell ref="P124:R124"/>
    <mergeCell ref="S124:V124"/>
    <mergeCell ref="S128:V128"/>
    <mergeCell ref="E135:J135"/>
    <mergeCell ref="E134:J134"/>
    <mergeCell ref="A129:D129"/>
    <mergeCell ref="E129:J129"/>
    <mergeCell ref="P129:R129"/>
    <mergeCell ref="S129:V129"/>
    <mergeCell ref="A130:D130"/>
    <mergeCell ref="E130:J130"/>
    <mergeCell ref="P130:R130"/>
    <mergeCell ref="S130:V130"/>
    <mergeCell ref="A134:D134"/>
    <mergeCell ref="A127:D127"/>
    <mergeCell ref="P134:R134"/>
    <mergeCell ref="S134:V134"/>
    <mergeCell ref="A131:D131"/>
    <mergeCell ref="E131:J131"/>
    <mergeCell ref="P131:R131"/>
    <mergeCell ref="S131:V131"/>
    <mergeCell ref="A132:D132"/>
    <mergeCell ref="E132:J132"/>
    <mergeCell ref="A11:D11"/>
    <mergeCell ref="E11:J11"/>
    <mergeCell ref="P11:R11"/>
    <mergeCell ref="S11:V11"/>
    <mergeCell ref="A12:D12"/>
    <mergeCell ref="E12:J12"/>
    <mergeCell ref="P12:R12"/>
    <mergeCell ref="S12:V12"/>
    <mergeCell ref="A16:D16"/>
    <mergeCell ref="E16:J16"/>
    <mergeCell ref="P16:R16"/>
    <mergeCell ref="S16:V16"/>
    <mergeCell ref="A13:D13"/>
    <mergeCell ref="E13:J13"/>
    <mergeCell ref="P13:R13"/>
    <mergeCell ref="S13:V13"/>
    <mergeCell ref="A14:D14"/>
    <mergeCell ref="E14:J14"/>
    <mergeCell ref="P14:R14"/>
    <mergeCell ref="S14:V14"/>
    <mergeCell ref="E33:J33"/>
    <mergeCell ref="P33:R33"/>
    <mergeCell ref="A15:D15"/>
    <mergeCell ref="E15:J15"/>
    <mergeCell ref="P15:R15"/>
    <mergeCell ref="S15:V15"/>
    <mergeCell ref="A17:D17"/>
    <mergeCell ref="E17:J17"/>
    <mergeCell ref="P17:R17"/>
    <mergeCell ref="S17:V17"/>
    <mergeCell ref="A18:D18"/>
    <mergeCell ref="E18:J18"/>
    <mergeCell ref="P18:R18"/>
    <mergeCell ref="S18:V18"/>
    <mergeCell ref="A28:D28"/>
    <mergeCell ref="E28:J28"/>
    <mergeCell ref="P28:R28"/>
    <mergeCell ref="S28:V28"/>
    <mergeCell ref="A24:D24"/>
    <mergeCell ref="E24:J24"/>
    <mergeCell ref="A19:D19"/>
    <mergeCell ref="E19:J19"/>
    <mergeCell ref="P19:R19"/>
    <mergeCell ref="S19:V19"/>
    <mergeCell ref="R1:V1"/>
    <mergeCell ref="T2:V2"/>
    <mergeCell ref="T3:V3"/>
    <mergeCell ref="B6:C6"/>
    <mergeCell ref="Q6:R6"/>
    <mergeCell ref="A8:D10"/>
    <mergeCell ref="E8:V8"/>
    <mergeCell ref="E9:J10"/>
    <mergeCell ref="K9:L9"/>
    <mergeCell ref="M9:M10"/>
    <mergeCell ref="N9:V9"/>
    <mergeCell ref="P10:R10"/>
    <mergeCell ref="S10:V10"/>
    <mergeCell ref="P25:R25"/>
    <mergeCell ref="S25:V25"/>
    <mergeCell ref="A22:D22"/>
    <mergeCell ref="E22:J22"/>
    <mergeCell ref="P22:R22"/>
    <mergeCell ref="S22:V22"/>
    <mergeCell ref="A23:D23"/>
    <mergeCell ref="E23:J23"/>
    <mergeCell ref="P23:R23"/>
    <mergeCell ref="S23:V23"/>
    <mergeCell ref="A20:D20"/>
    <mergeCell ref="E20:J20"/>
    <mergeCell ref="P20:R20"/>
    <mergeCell ref="S20:V20"/>
    <mergeCell ref="A21:D21"/>
    <mergeCell ref="E21:J21"/>
    <mergeCell ref="P21:R21"/>
    <mergeCell ref="S21:V21"/>
    <mergeCell ref="A29:D29"/>
    <mergeCell ref="E29:J29"/>
    <mergeCell ref="P29:R29"/>
    <mergeCell ref="S29:V29"/>
    <mergeCell ref="A26:D26"/>
    <mergeCell ref="E26:J26"/>
    <mergeCell ref="P26:R26"/>
    <mergeCell ref="S26:V26"/>
    <mergeCell ref="A27:D27"/>
    <mergeCell ref="E27:J27"/>
    <mergeCell ref="P27:R27"/>
    <mergeCell ref="S27:V27"/>
    <mergeCell ref="P24:R24"/>
    <mergeCell ref="S24:V24"/>
    <mergeCell ref="A25:D25"/>
    <mergeCell ref="E25:J25"/>
    <mergeCell ref="E49:J49"/>
    <mergeCell ref="P49:R49"/>
    <mergeCell ref="S49:V49"/>
    <mergeCell ref="A50:D50"/>
    <mergeCell ref="P50:R50"/>
    <mergeCell ref="S50:V50"/>
    <mergeCell ref="P57:R57"/>
    <mergeCell ref="S57:V57"/>
    <mergeCell ref="A55:D55"/>
    <mergeCell ref="P55:R55"/>
    <mergeCell ref="S55:V55"/>
    <mergeCell ref="A56:M56"/>
    <mergeCell ref="P56:R56"/>
    <mergeCell ref="S56:V56"/>
    <mergeCell ref="A53:D53"/>
    <mergeCell ref="P53:R53"/>
    <mergeCell ref="S53:V53"/>
    <mergeCell ref="A54:D54"/>
    <mergeCell ref="P54:R54"/>
    <mergeCell ref="S54:V54"/>
    <mergeCell ref="E50:J55"/>
    <mergeCell ref="A73:D73"/>
    <mergeCell ref="E73:J73"/>
    <mergeCell ref="P73:R73"/>
    <mergeCell ref="S73:V73"/>
    <mergeCell ref="A74:D74"/>
    <mergeCell ref="E74:J74"/>
    <mergeCell ref="P74:R74"/>
    <mergeCell ref="S74:V74"/>
    <mergeCell ref="R63:V63"/>
    <mergeCell ref="T64:V64"/>
    <mergeCell ref="T65:V65"/>
    <mergeCell ref="B68:C68"/>
    <mergeCell ref="Q68:R68"/>
    <mergeCell ref="A70:D72"/>
    <mergeCell ref="E70:V70"/>
    <mergeCell ref="E71:J72"/>
    <mergeCell ref="K71:L71"/>
    <mergeCell ref="M71:M72"/>
    <mergeCell ref="N71:V71"/>
    <mergeCell ref="P72:R72"/>
    <mergeCell ref="S72:V72"/>
    <mergeCell ref="A77:D77"/>
    <mergeCell ref="E77:J77"/>
    <mergeCell ref="P77:R77"/>
    <mergeCell ref="S77:V77"/>
    <mergeCell ref="A78:D78"/>
    <mergeCell ref="E78:J78"/>
    <mergeCell ref="P78:R78"/>
    <mergeCell ref="S78:V78"/>
    <mergeCell ref="A75:D75"/>
    <mergeCell ref="E75:J75"/>
    <mergeCell ref="P75:R75"/>
    <mergeCell ref="S75:V75"/>
    <mergeCell ref="A76:D76"/>
    <mergeCell ref="E76:J76"/>
    <mergeCell ref="P76:R76"/>
    <mergeCell ref="S76:V76"/>
    <mergeCell ref="A85:D85"/>
    <mergeCell ref="E85:J85"/>
    <mergeCell ref="P85:R85"/>
    <mergeCell ref="S85:V85"/>
    <mergeCell ref="A86:D86"/>
    <mergeCell ref="E86:J86"/>
    <mergeCell ref="P86:R86"/>
    <mergeCell ref="S86:V86"/>
    <mergeCell ref="A83:D83"/>
    <mergeCell ref="E83:J83"/>
    <mergeCell ref="P83:R83"/>
    <mergeCell ref="S83:V83"/>
    <mergeCell ref="A84:D84"/>
    <mergeCell ref="E84:J84"/>
    <mergeCell ref="P84:R84"/>
    <mergeCell ref="S84:V84"/>
    <mergeCell ref="A82:D82"/>
    <mergeCell ref="E82:J82"/>
    <mergeCell ref="P82:R82"/>
    <mergeCell ref="S82:V82"/>
    <mergeCell ref="A79:D79"/>
    <mergeCell ref="E79:J79"/>
    <mergeCell ref="P79:R79"/>
    <mergeCell ref="S79:V79"/>
    <mergeCell ref="A80:D80"/>
    <mergeCell ref="E80:J80"/>
    <mergeCell ref="P80:R80"/>
    <mergeCell ref="S80:V80"/>
    <mergeCell ref="A81:D81"/>
    <mergeCell ref="E81:J81"/>
    <mergeCell ref="P81:R81"/>
    <mergeCell ref="S81:V81"/>
    <mergeCell ref="A87:D87"/>
    <mergeCell ref="E87:J87"/>
    <mergeCell ref="P87:R87"/>
    <mergeCell ref="S87:V87"/>
    <mergeCell ref="A88:D88"/>
    <mergeCell ref="E88:J88"/>
    <mergeCell ref="P88:R88"/>
    <mergeCell ref="S88:V88"/>
    <mergeCell ref="A93:D93"/>
    <mergeCell ref="P93:R93"/>
    <mergeCell ref="S93:V93"/>
    <mergeCell ref="A89:D89"/>
    <mergeCell ref="E89:J89"/>
    <mergeCell ref="P89:R89"/>
    <mergeCell ref="S89:V89"/>
    <mergeCell ref="A90:D90"/>
    <mergeCell ref="E90:J90"/>
    <mergeCell ref="P90:R90"/>
    <mergeCell ref="S90:V90"/>
    <mergeCell ref="E92:J92"/>
    <mergeCell ref="A91:D91"/>
    <mergeCell ref="E91:J91"/>
    <mergeCell ref="P91:R91"/>
    <mergeCell ref="S91:V91"/>
    <mergeCell ref="A92:D92"/>
    <mergeCell ref="P92:R92"/>
    <mergeCell ref="S92:V92"/>
    <mergeCell ref="A97:D97"/>
    <mergeCell ref="P97:R97"/>
    <mergeCell ref="S97:V97"/>
    <mergeCell ref="E93:J93"/>
    <mergeCell ref="E94:J94"/>
    <mergeCell ref="E95:J95"/>
    <mergeCell ref="E96:J96"/>
    <mergeCell ref="E97:J102"/>
    <mergeCell ref="A98:D98"/>
    <mergeCell ref="A99:D99"/>
    <mergeCell ref="A100:D100"/>
    <mergeCell ref="P100:R100"/>
    <mergeCell ref="S100:V100"/>
    <mergeCell ref="A101:D101"/>
    <mergeCell ref="P99:R99"/>
    <mergeCell ref="S99:V99"/>
    <mergeCell ref="A95:D95"/>
    <mergeCell ref="P95:R95"/>
    <mergeCell ref="S95:V95"/>
    <mergeCell ref="A96:D96"/>
    <mergeCell ref="P96:R96"/>
    <mergeCell ref="A94:D94"/>
    <mergeCell ref="P94:R94"/>
    <mergeCell ref="E125:J125"/>
    <mergeCell ref="P125:R125"/>
    <mergeCell ref="S125:V125"/>
    <mergeCell ref="A126:D126"/>
    <mergeCell ref="E126:J126"/>
    <mergeCell ref="P126:R126"/>
    <mergeCell ref="S126:V126"/>
    <mergeCell ref="P119:R119"/>
    <mergeCell ref="S119:V119"/>
    <mergeCell ref="A120:D120"/>
    <mergeCell ref="E120:J120"/>
    <mergeCell ref="P120:R120"/>
    <mergeCell ref="S120:V120"/>
    <mergeCell ref="A123:D123"/>
    <mergeCell ref="E123:J123"/>
    <mergeCell ref="P123:R123"/>
    <mergeCell ref="S123:V123"/>
    <mergeCell ref="S94:V94"/>
    <mergeCell ref="P101:R101"/>
    <mergeCell ref="S101:V101"/>
    <mergeCell ref="A102:D102"/>
    <mergeCell ref="P103:R103"/>
    <mergeCell ref="S96:V96"/>
    <mergeCell ref="E118:J119"/>
    <mergeCell ref="K118:L118"/>
    <mergeCell ref="M118:M119"/>
    <mergeCell ref="N118:V118"/>
    <mergeCell ref="P102:R102"/>
    <mergeCell ref="S102:V102"/>
    <mergeCell ref="R110:V110"/>
    <mergeCell ref="T111:V111"/>
    <mergeCell ref="T112:V112"/>
    <mergeCell ref="S103:V103"/>
    <mergeCell ref="P104:R104"/>
    <mergeCell ref="S104:V104"/>
    <mergeCell ref="B115:C115"/>
    <mergeCell ref="Q115:R115"/>
    <mergeCell ref="A117:D119"/>
    <mergeCell ref="E117:V117"/>
    <mergeCell ref="P98:R98"/>
    <mergeCell ref="S98:V98"/>
    <mergeCell ref="A103:M103"/>
    <mergeCell ref="A125:D125"/>
    <mergeCell ref="A133:D133"/>
    <mergeCell ref="E133:J133"/>
    <mergeCell ref="P133:R133"/>
    <mergeCell ref="S133:V133"/>
    <mergeCell ref="S121:V121"/>
    <mergeCell ref="E127:J127"/>
    <mergeCell ref="P127:R127"/>
    <mergeCell ref="S127:V127"/>
    <mergeCell ref="A128:D128"/>
    <mergeCell ref="E128:J128"/>
    <mergeCell ref="P128:R128"/>
    <mergeCell ref="A122:D122"/>
    <mergeCell ref="E122:J122"/>
    <mergeCell ref="P122:R122"/>
    <mergeCell ref="S122:V122"/>
    <mergeCell ref="A124:D124"/>
    <mergeCell ref="P142:R142"/>
    <mergeCell ref="S142:V142"/>
    <mergeCell ref="P140:R140"/>
    <mergeCell ref="S140:V140"/>
    <mergeCell ref="A140:D140"/>
    <mergeCell ref="E138:J138"/>
    <mergeCell ref="E139:J139"/>
    <mergeCell ref="P138:R138"/>
    <mergeCell ref="S138:V138"/>
    <mergeCell ref="E140:J140"/>
    <mergeCell ref="A139:D139"/>
    <mergeCell ref="P139:R139"/>
    <mergeCell ref="S139:V139"/>
    <mergeCell ref="P132:R132"/>
    <mergeCell ref="S132:V132"/>
    <mergeCell ref="E136:J136"/>
    <mergeCell ref="A143:D143"/>
    <mergeCell ref="E143:J143"/>
    <mergeCell ref="P143:R143"/>
    <mergeCell ref="S143:V143"/>
    <mergeCell ref="E137:J137"/>
    <mergeCell ref="A137:D137"/>
    <mergeCell ref="A135:D135"/>
    <mergeCell ref="A136:D136"/>
    <mergeCell ref="P136:R136"/>
    <mergeCell ref="S136:V136"/>
    <mergeCell ref="P137:R137"/>
    <mergeCell ref="S137:V137"/>
    <mergeCell ref="P135:R135"/>
    <mergeCell ref="S135:V135"/>
    <mergeCell ref="A138:D138"/>
    <mergeCell ref="P141:R141"/>
    <mergeCell ref="S141:V141"/>
    <mergeCell ref="A141:D141"/>
    <mergeCell ref="E141:J141"/>
    <mergeCell ref="A142:D142"/>
    <mergeCell ref="E142:J142"/>
  </mergeCells>
  <printOptions horizontalCentered="1"/>
  <pageMargins left="0.23622047244094499" right="0.23622047244094499" top="0.74803149606299202" bottom="1.49606299212598" header="0.31496062992126" footer="0.31496062992126"/>
  <pageSetup paperSize="5" scale="75" orientation="portrait" horizontalDpi="300" verticalDpi="300" r:id="rId1"/>
  <headerFooter>
    <oddFooter>&amp;L&amp;"Times New Roman,Italic"NIA-RO1-AFD-FS-INT-Form21Rev00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70C0"/>
  </sheetPr>
  <dimension ref="A1:E90"/>
  <sheetViews>
    <sheetView zoomScale="70" zoomScaleNormal="70" workbookViewId="0">
      <selection activeCell="B3" sqref="B3"/>
    </sheetView>
  </sheetViews>
  <sheetFormatPr defaultColWidth="9" defaultRowHeight="15.75" x14ac:dyDescent="0.25"/>
  <cols>
    <col min="1" max="1" width="13.375" style="287" bestFit="1" customWidth="1"/>
    <col min="2" max="2" width="32.5" style="90" customWidth="1"/>
    <col min="3" max="4" width="16.625" style="275" customWidth="1"/>
    <col min="5" max="5" width="16.625" style="90" customWidth="1"/>
    <col min="6" max="16384" width="9" style="90"/>
  </cols>
  <sheetData>
    <row r="1" spans="1:5" ht="32.25" x14ac:dyDescent="0.25">
      <c r="A1" s="273" t="s">
        <v>508</v>
      </c>
      <c r="B1" s="274" t="str">
        <f>Account!$G$1</f>
        <v>FUND 501 CARP</v>
      </c>
    </row>
    <row r="2" spans="1:5" ht="37.5" x14ac:dyDescent="0.25">
      <c r="A2" s="273" t="s">
        <v>370</v>
      </c>
      <c r="B2" s="554" t="s">
        <v>1444</v>
      </c>
      <c r="C2" s="1135">
        <f>IF(B2=0,"",(INDEX(AccountCodes[PPSAS CODE],MATCH(B2,AccountCodes[NGAS CODE],0))))</f>
        <v>2020103001</v>
      </c>
      <c r="D2" s="1135"/>
      <c r="E2" s="1135"/>
    </row>
    <row r="3" spans="1:5" ht="23.25" x14ac:dyDescent="0.25">
      <c r="A3" s="273" t="s">
        <v>371</v>
      </c>
      <c r="B3" s="492" t="str">
        <f>IF(B2=0,"",(INDEX(AccountCodes[ACCOUNT NAME],MATCH(B2,AccountCodes[NGAS CODE],0))))</f>
        <v>Due to Pag-IBIG - Pag-IBIG Premium</v>
      </c>
      <c r="C3" s="491"/>
      <c r="D3" s="288" t="s">
        <v>718</v>
      </c>
      <c r="E3" s="555" t="s">
        <v>762</v>
      </c>
    </row>
    <row r="4" spans="1:5" ht="15.75" customHeight="1" x14ac:dyDescent="0.25">
      <c r="A4" s="1141" t="s">
        <v>0</v>
      </c>
      <c r="B4" s="1140" t="s">
        <v>372</v>
      </c>
      <c r="C4" s="1140" t="s">
        <v>1</v>
      </c>
      <c r="D4" s="1140" t="s">
        <v>2</v>
      </c>
      <c r="E4" s="175" t="str">
        <f t="array" ref="E4">IF(C2=0,0,INDEX(AccountCodes[Normal Balance],MATCH(C2,AccountCodes[PPSAS CODE])))</f>
        <v>Credit</v>
      </c>
    </row>
    <row r="5" spans="1:5" x14ac:dyDescent="0.25">
      <c r="A5" s="1141"/>
      <c r="B5" s="1140"/>
      <c r="C5" s="1140"/>
      <c r="D5" s="1140"/>
      <c r="E5" s="18" t="s">
        <v>379</v>
      </c>
    </row>
    <row r="6" spans="1:5" x14ac:dyDescent="0.25">
      <c r="A6" s="276">
        <f>PostTB!A2</f>
        <v>44561</v>
      </c>
      <c r="B6" s="277" t="s">
        <v>373</v>
      </c>
      <c r="C6" s="278">
        <f t="array" ref="C6">IF(E3=0,(SUMIF(PostTB[Account Code (Old)],TRIM(B2),(PostTB[Debit]))),(SUM(IF((PostTB[Account Code (Old)]=TRIM($B$2))*(PostTB[Sort Code]=$E$3),PostTB[Debit]))))</f>
        <v>0</v>
      </c>
      <c r="D6" s="278">
        <f t="array" ref="D6">IF(E3=0,(SUMIF(PostTB[Account Code (Old)],TRIM(B2),(PostTB[Credit]))),(SUM(IF((PostTB[Account Code (Old)]=TRIM($B$2))*(PostTB[Sort Code]=$E$3),PostTB[Credit]))))</f>
        <v>0</v>
      </c>
      <c r="E6" s="278">
        <f>IF($E$4=$C$4,C6-D6,D6-C6)</f>
        <v>0</v>
      </c>
    </row>
    <row r="7" spans="1:5" x14ac:dyDescent="0.25">
      <c r="A7" s="279"/>
      <c r="B7" s="280"/>
      <c r="C7" s="281"/>
      <c r="D7" s="281"/>
      <c r="E7" s="280"/>
    </row>
    <row r="8" spans="1:5" x14ac:dyDescent="0.25">
      <c r="A8" s="279">
        <f>Account!$G$12</f>
        <v>44592</v>
      </c>
      <c r="B8" s="94" t="s">
        <v>374</v>
      </c>
      <c r="C8" s="281">
        <f t="array" ref="C8">IF($E$3=0,(SUM(IF((CkDJ[Date]=A8)*(CkDJ[Account Code]=TRIM($B$2)),CkDJ[Debit]))),(SUM(IF((CkDJ[Date]=A8)*(CkDJ[Account Code]=TRIM($B$2))*(CkDJ[Sort Code]=$E$3),CkDJ[Debit]))))</f>
        <v>1446.64</v>
      </c>
      <c r="D8" s="281">
        <f t="array" ref="D8">IF($E$3=0,(SUM(IF((CkDJ[Date]=A8)*(CkDJ[Account Code]=TRIM($B$2)),CkDJ[Credit]))),(SUM(IF((CkDJ[Date]=A8)*(CkDJ[Account Code]=TRIM($B$2))*(CkDJ[Sort Code]=$E$3),CkDJ[Credit]))))</f>
        <v>1446.64</v>
      </c>
      <c r="E8" s="280"/>
    </row>
    <row r="9" spans="1:5" x14ac:dyDescent="0.25">
      <c r="A9" s="279">
        <f>Account!$G$12</f>
        <v>44592</v>
      </c>
      <c r="B9" s="282" t="s">
        <v>375</v>
      </c>
      <c r="C9" s="281">
        <f t="array" ref="C9">IF($E$3=0,(SUM(IF((CsDJ[Date]=A9)*(CsDJ[Account Code]=TRIM($B$2)),CsDJ[Debit]))),(SUM(IF((CsDJ[Date]=A9)*(CsDJ[Account Code]=TRIM($B$2))*(CsDJ[Sort Code]=$E$3),CsDJ[Debit]))))</f>
        <v>0</v>
      </c>
      <c r="D9" s="281">
        <f t="array" ref="D9">IF($E$3=0,(SUM(IF((CsDJ[Date]=A9)*(CsDJ[Account Code]=TRIM($B$2)),CsDJ[Credit]))),(SUM(IF((CsDJ[Date]=A9)*(CsDJ[Account Code]=TRIM($B$2))*(CsDJ[Sort Code]=$E$3),CsDJ[Credit]))))</f>
        <v>0</v>
      </c>
      <c r="E9" s="280"/>
    </row>
    <row r="10" spans="1:5" x14ac:dyDescent="0.25">
      <c r="A10" s="279">
        <f>Account!$G$12</f>
        <v>44592</v>
      </c>
      <c r="B10" s="283" t="s">
        <v>376</v>
      </c>
      <c r="C10" s="281">
        <f t="array" ref="C10">IF($E$3=0,(SUM(IF((CRDJ[Date]=A10)*(CRDJ[Account Code]=TRIM($B$2)),CRDJ[Debit]))),(SUM(IF((CRDJ[Date]=A10)*(CRDJ[Account Code]=TRIM($B$2))*(CRDJ[Sort Code]=$E$3),CRDJ[Debit]))))</f>
        <v>0</v>
      </c>
      <c r="D10" s="281">
        <f t="array" ref="D10">IF($E$3=0,(SUM(IF((CRDJ[Date]=A10)*(CRDJ[Account Code]=TRIM($B$2)),CRDJ[Credit]))),(SUM(IF((CRDJ[Date]=A10)*(CRDJ[Account Code]=TRIM($B$2))*(CRDJ[Sort Code]=$E$3),CRDJ[Credit]))))</f>
        <v>0</v>
      </c>
      <c r="E10" s="284"/>
    </row>
    <row r="11" spans="1:5" x14ac:dyDescent="0.25">
      <c r="A11" s="279">
        <f>Account!$G$12</f>
        <v>44592</v>
      </c>
      <c r="B11" s="94" t="s">
        <v>377</v>
      </c>
      <c r="C11" s="281">
        <f t="array" ref="C11">IF($E$3=0,(SUM(IF((GJ[Date]=A11)*(GJ[Account Code]=TRIM($B$2)),GJ[Debit]))),(SUM(IF((GJ[Date]=A11)*(GJ[Account Code]=TRIM($B$2))*(GJ[Sort Code]=$E$3),GJ[Debit]))))</f>
        <v>0</v>
      </c>
      <c r="D11" s="281">
        <f t="array" ref="D11">IF($E$3=0,(SUM(IF((GJ[Date]=A11)*(GJ[Account Code]=TRIM($B$2)),GJ[Credit]))),(SUM(IF((GJ[Date]=A11)*(GJ[Account Code]=TRIM($B$2))*(GJ[Sort Code]=$E$3),GJ[Credit]))))</f>
        <v>0</v>
      </c>
      <c r="E11" s="280"/>
    </row>
    <row r="12" spans="1:5" x14ac:dyDescent="0.25">
      <c r="A12" s="1138">
        <f>A11</f>
        <v>44592</v>
      </c>
      <c r="B12" s="1139"/>
      <c r="C12" s="285">
        <f>SUM(C8:C11)</f>
        <v>1446.64</v>
      </c>
      <c r="D12" s="285">
        <f>SUM(D8:D11)</f>
        <v>1446.64</v>
      </c>
      <c r="E12" s="285">
        <f>IF($E$4=$C$4,C12-D12,D12-C12)</f>
        <v>0</v>
      </c>
    </row>
    <row r="13" spans="1:5" x14ac:dyDescent="0.25">
      <c r="A13" s="1136">
        <f>A12</f>
        <v>44592</v>
      </c>
      <c r="B13" s="1137"/>
      <c r="C13" s="278">
        <f>C6+C12</f>
        <v>1446.64</v>
      </c>
      <c r="D13" s="278">
        <f>D6+D12</f>
        <v>1446.64</v>
      </c>
      <c r="E13" s="278">
        <f>IF($E$4=$C$4,C13-D13,D13-C13)</f>
        <v>0</v>
      </c>
    </row>
    <row r="14" spans="1:5" x14ac:dyDescent="0.25">
      <c r="A14" s="286"/>
      <c r="B14" s="286"/>
      <c r="C14" s="281"/>
      <c r="D14" s="281"/>
      <c r="E14" s="280"/>
    </row>
    <row r="15" spans="1:5" x14ac:dyDescent="0.25">
      <c r="A15" s="279">
        <f>Account!$G$13</f>
        <v>44620</v>
      </c>
      <c r="B15" s="94" t="s">
        <v>374</v>
      </c>
      <c r="C15" s="281">
        <f t="array" ref="C15">IF($E$3=0,(SUM(IF((CkDJ[Date]=A15)*(CkDJ[Account Code]=TRIM($B$2)),CkDJ[Debit]))),(SUM(IF((CkDJ[Date]=A15)*(CkDJ[Account Code]=TRIM($B$2))*(CkDJ[Sort Code]=$E$3),CkDJ[Debit]))))</f>
        <v>1446.64</v>
      </c>
      <c r="D15" s="281">
        <f t="array" ref="D15">IF($E$3=0,(SUM(IF((CkDJ[Date]=A15)*(CkDJ[Account Code]=TRIM($B$2)),CkDJ[Credit]))),(SUM(IF((CkDJ[Date]=A15)*(CkDJ[Account Code]=TRIM($B$2))*(CkDJ[Sort Code]=$E$3),CkDJ[Credit]))))</f>
        <v>1446.64</v>
      </c>
      <c r="E15" s="280"/>
    </row>
    <row r="16" spans="1:5" x14ac:dyDescent="0.25">
      <c r="A16" s="279">
        <f>Account!$G$13</f>
        <v>44620</v>
      </c>
      <c r="B16" s="282" t="s">
        <v>375</v>
      </c>
      <c r="C16" s="281">
        <f t="array" ref="C16">IF($E$3=0,(SUM(IF((CsDJ[Date]=A16)*(CsDJ[Account Code]=TRIM($B$2)),CsDJ[Debit]))),(SUM(IF((CsDJ[Date]=A16)*(CsDJ[Account Code]=TRIM($B$2))*(CsDJ[Sort Code]=$E$3),CsDJ[Debit]))))</f>
        <v>0</v>
      </c>
      <c r="D16" s="281">
        <f t="array" ref="D16">IF($E$3=0,(SUM(IF((CsDJ[Date]=A16)*(CsDJ[Account Code]=TRIM($B$2)),CsDJ[Credit]))),(SUM(IF((CsDJ[Date]=A16)*(CsDJ[Account Code]=TRIM($B$2))*(CsDJ[Sort Code]=$E$3),CsDJ[Credit]))))</f>
        <v>0</v>
      </c>
      <c r="E16" s="280"/>
    </row>
    <row r="17" spans="1:5" x14ac:dyDescent="0.25">
      <c r="A17" s="279">
        <f>Account!$G$13</f>
        <v>44620</v>
      </c>
      <c r="B17" s="283" t="s">
        <v>376</v>
      </c>
      <c r="C17" s="281">
        <f t="array" ref="C17">IF($E$3=0,(SUM(IF((CRDJ[Date]=A17)*(CRDJ[Account Code]=TRIM($B$2)),CRDJ[Debit]))),(SUM(IF((CRDJ[Date]=A17)*(CRDJ[Account Code]=TRIM($B$2))*(CRDJ[Sort Code]=$E$3),CRDJ[Debit]))))</f>
        <v>0</v>
      </c>
      <c r="D17" s="281">
        <f t="array" ref="D17">IF($E$3=0,(SUM(IF((CRDJ[Date]=A17)*(CRDJ[Account Code]=TRIM($B$2)),CRDJ[Credit]))),(SUM(IF((CRDJ[Date]=A17)*(CRDJ[Account Code]=TRIM($B$2))*(CRDJ[Sort Code]=$E$3),CRDJ[Credit]))))</f>
        <v>0</v>
      </c>
      <c r="E17" s="280"/>
    </row>
    <row r="18" spans="1:5" x14ac:dyDescent="0.25">
      <c r="A18" s="279">
        <f>Account!$G$13</f>
        <v>44620</v>
      </c>
      <c r="B18" s="94" t="s">
        <v>377</v>
      </c>
      <c r="C18" s="281">
        <f t="array" ref="C18">IF($E$3=0,(SUM(IF((GJ[Date]=A18)*(GJ[Account Code]=TRIM($B$2)),GJ[Debit]))),(SUM(IF((GJ[Date]=A18)*(GJ[Account Code]=TRIM($B$2))*(GJ[Sort Code]=$E$3),GJ[Debit]))))</f>
        <v>0</v>
      </c>
      <c r="D18" s="281">
        <f t="array" ref="D18">IF($E$3=0,(SUM(IF((GJ[Date]=A18)*(GJ[Account Code]=TRIM($B$2)),GJ[Credit]))),(SUM(IF((GJ[Date]=A18)*(GJ[Account Code]=TRIM($B$2))*(GJ[Sort Code]=$E$3),GJ[Credit]))))</f>
        <v>0</v>
      </c>
      <c r="E18" s="280"/>
    </row>
    <row r="19" spans="1:5" x14ac:dyDescent="0.25">
      <c r="A19" s="1138">
        <f>A18</f>
        <v>44620</v>
      </c>
      <c r="B19" s="1139"/>
      <c r="C19" s="285">
        <f>SUM(C15:C18)</f>
        <v>1446.64</v>
      </c>
      <c r="D19" s="285">
        <f>SUM(D15:D18)</f>
        <v>1446.64</v>
      </c>
      <c r="E19" s="285">
        <f>IF($E$4=$C$4,C19-D19,D19-C19)</f>
        <v>0</v>
      </c>
    </row>
    <row r="20" spans="1:5" x14ac:dyDescent="0.25">
      <c r="A20" s="1136">
        <f>A19</f>
        <v>44620</v>
      </c>
      <c r="B20" s="1137"/>
      <c r="C20" s="278">
        <f>C13+C19</f>
        <v>2893.28</v>
      </c>
      <c r="D20" s="278">
        <f>D13+D19</f>
        <v>2893.28</v>
      </c>
      <c r="E20" s="278">
        <f>IF($E$4=$C$4,C20-D20,D20-C20)</f>
        <v>0</v>
      </c>
    </row>
    <row r="21" spans="1:5" x14ac:dyDescent="0.25">
      <c r="A21" s="279"/>
      <c r="B21" s="280"/>
      <c r="C21" s="281"/>
      <c r="D21" s="281"/>
      <c r="E21" s="280"/>
    </row>
    <row r="22" spans="1:5" x14ac:dyDescent="0.25">
      <c r="A22" s="279">
        <f>Account!$G$14</f>
        <v>44651</v>
      </c>
      <c r="B22" s="94" t="s">
        <v>374</v>
      </c>
      <c r="C22" s="281">
        <f t="array" ref="C22">IF($E$3=0,(SUM(IF((CkDJ[Date]=A22)*(CkDJ[Account Code]=TRIM($B$2)),CkDJ[Debit]))),(SUM(IF((CkDJ[Date]=A22)*(CkDJ[Account Code]=TRIM($B$2))*(CkDJ[Sort Code]=$E$3),CkDJ[Debit]))))</f>
        <v>1446.64</v>
      </c>
      <c r="D22" s="281">
        <f t="array" ref="D22">IF($E$3=0,(SUM(IF((CkDJ[Date]=A22)*(CkDJ[Account Code]=TRIM($B$2)),CkDJ[Credit]))),(SUM(IF((CkDJ[Date]=A22)*(CkDJ[Account Code]=TRIM($B$2))*(CkDJ[Sort Code]=$E$3),CkDJ[Credit]))))</f>
        <v>1446.64</v>
      </c>
      <c r="E22" s="280"/>
    </row>
    <row r="23" spans="1:5" x14ac:dyDescent="0.25">
      <c r="A23" s="279">
        <f>Account!$G$14</f>
        <v>44651</v>
      </c>
      <c r="B23" s="282" t="s">
        <v>375</v>
      </c>
      <c r="C23" s="281">
        <f t="array" ref="C23">IF($E$3=0,(SUM(IF((CsDJ[Date]=A23)*(CsDJ[Account Code]=TRIM($B$2)),CsDJ[Debit]))),(SUM(IF((CsDJ[Date]=A23)*(CsDJ[Account Code]=TRIM($B$2))*(CsDJ[Sort Code]=$E$3),CsDJ[Debit]))))</f>
        <v>0</v>
      </c>
      <c r="D23" s="281">
        <f t="array" ref="D23">IF($E$3=0,(SUM(IF((CsDJ[Date]=A23)*(CsDJ[Account Code]=TRIM($B$2)),CsDJ[Credit]))),(SUM(IF((CsDJ[Date]=A23)*(CsDJ[Account Code]=TRIM($B$2))*(CsDJ[Sort Code]=$E$3),CsDJ[Credit]))))</f>
        <v>0</v>
      </c>
      <c r="E23" s="280"/>
    </row>
    <row r="24" spans="1:5" x14ac:dyDescent="0.25">
      <c r="A24" s="279">
        <f>Account!$G$14</f>
        <v>44651</v>
      </c>
      <c r="B24" s="283" t="s">
        <v>376</v>
      </c>
      <c r="C24" s="281">
        <f t="array" ref="C24">IF($E$3=0,(SUM(IF((CRDJ[Date]=A24)*(CRDJ[Account Code]=TRIM($B$2)),CRDJ[Debit]))),(SUM(IF((CRDJ[Date]=A24)*(CRDJ[Account Code]=TRIM($B$2))*(CRDJ[Sort Code]=$E$3),CRDJ[Debit]))))</f>
        <v>0</v>
      </c>
      <c r="D24" s="281">
        <f t="array" ref="D24">IF($E$3=0,(SUM(IF((CRDJ[Date]=A24)*(CRDJ[Account Code]=TRIM($B$2)),CRDJ[Credit]))),(SUM(IF((CRDJ[Date]=A24)*(CRDJ[Account Code]=TRIM($B$2))*(CRDJ[Sort Code]=$E$3),CRDJ[Credit]))))</f>
        <v>0</v>
      </c>
      <c r="E24" s="280"/>
    </row>
    <row r="25" spans="1:5" x14ac:dyDescent="0.25">
      <c r="A25" s="279">
        <f>Account!$G$14</f>
        <v>44651</v>
      </c>
      <c r="B25" s="94" t="s">
        <v>377</v>
      </c>
      <c r="C25" s="281">
        <f t="array" ref="C25">IF($E$3=0,(SUM(IF((GJ[Date]=A25)*(GJ[Account Code]=TRIM($B$2)),GJ[Debit]))),(SUM(IF((GJ[Date]=A25)*(GJ[Account Code]=TRIM($B$2))*(GJ[Sort Code]=$E$3),GJ[Debit]))))</f>
        <v>0</v>
      </c>
      <c r="D25" s="281">
        <f t="array" ref="D25">IF($E$3=0,(SUM(IF((GJ[Date]=A25)*(GJ[Account Code]=TRIM($B$2)),GJ[Credit]))),(SUM(IF((GJ[Date]=A25)*(GJ[Account Code]=TRIM($B$2))*(GJ[Sort Code]=$E$3),GJ[Credit]))))</f>
        <v>0</v>
      </c>
      <c r="E25" s="280"/>
    </row>
    <row r="26" spans="1:5" x14ac:dyDescent="0.25">
      <c r="A26" s="1138">
        <f>A25</f>
        <v>44651</v>
      </c>
      <c r="B26" s="1139"/>
      <c r="C26" s="285">
        <f>SUM(C22:C25)</f>
        <v>1446.64</v>
      </c>
      <c r="D26" s="285">
        <f>SUM(D22:D25)</f>
        <v>1446.64</v>
      </c>
      <c r="E26" s="285">
        <f>IF($E$4=$C$4,C26-D26,D26-C26)</f>
        <v>0</v>
      </c>
    </row>
    <row r="27" spans="1:5" x14ac:dyDescent="0.25">
      <c r="A27" s="1136">
        <f>A26</f>
        <v>44651</v>
      </c>
      <c r="B27" s="1137"/>
      <c r="C27" s="278">
        <f>C20+C26</f>
        <v>4339.92</v>
      </c>
      <c r="D27" s="278">
        <f>D20+D26</f>
        <v>4339.92</v>
      </c>
      <c r="E27" s="278">
        <f>IF($E$4=$C$4,C27-D27,D27-C27)</f>
        <v>0</v>
      </c>
    </row>
    <row r="28" spans="1:5" x14ac:dyDescent="0.25">
      <c r="A28" s="279"/>
      <c r="B28" s="280"/>
      <c r="C28" s="281"/>
      <c r="D28" s="281"/>
      <c r="E28" s="280"/>
    </row>
    <row r="29" spans="1:5" x14ac:dyDescent="0.25">
      <c r="A29" s="279">
        <f>Account!$G$15</f>
        <v>44681</v>
      </c>
      <c r="B29" s="94" t="s">
        <v>374</v>
      </c>
      <c r="C29" s="281">
        <f t="array" ref="C29">IF($E$3=0,(SUM(IF((CkDJ[Date]=A29)*(CkDJ[Account Code]=TRIM($B$2)),CkDJ[Debit]))),(SUM(IF((CkDJ[Date]=A29)*(CkDJ[Account Code]=TRIM($B$2))*(CkDJ[Sort Code]=$E$3),CkDJ[Debit]))))</f>
        <v>1446.64</v>
      </c>
      <c r="D29" s="281">
        <f t="array" ref="D29">IF($E$3=0,(SUM(IF((CkDJ[Date]=A29)*(CkDJ[Account Code]=TRIM($B$2)),CkDJ[Credit]))),(SUM(IF((CkDJ[Date]=A29)*(CkDJ[Account Code]=TRIM($B$2))*(CkDJ[Sort Code]=$E$3),CkDJ[Credit]))))</f>
        <v>1446.64</v>
      </c>
      <c r="E29" s="280"/>
    </row>
    <row r="30" spans="1:5" x14ac:dyDescent="0.25">
      <c r="A30" s="279">
        <f>Account!$G$15</f>
        <v>44681</v>
      </c>
      <c r="B30" s="282" t="s">
        <v>375</v>
      </c>
      <c r="C30" s="281">
        <f t="array" ref="C30">IF($E$3=0,(SUM(IF((CsDJ[Date]=A30)*(CsDJ[Account Code]=TRIM($B$2)),CsDJ[Debit]))),(SUM(IF((CsDJ[Date]=A30)*(CsDJ[Account Code]=TRIM($B$2))*(CsDJ[Sort Code]=$E$3),CsDJ[Debit]))))</f>
        <v>0</v>
      </c>
      <c r="D30" s="281">
        <f t="array" ref="D30">IF($E$3=0,(SUM(IF((CsDJ[Date]=A30)*(CsDJ[Account Code]=TRIM($B$2)),CsDJ[Credit]))),(SUM(IF((CsDJ[Date]=A30)*(CsDJ[Account Code]=TRIM($B$2))*(CsDJ[Sort Code]=$E$3),CsDJ[Credit]))))</f>
        <v>0</v>
      </c>
      <c r="E30" s="280"/>
    </row>
    <row r="31" spans="1:5" x14ac:dyDescent="0.25">
      <c r="A31" s="279">
        <f>Account!$G$15</f>
        <v>44681</v>
      </c>
      <c r="B31" s="283" t="s">
        <v>376</v>
      </c>
      <c r="C31" s="281">
        <f t="array" ref="C31">IF($E$3=0,(SUM(IF((CRDJ[Date]=A31)*(CRDJ[Account Code]=TRIM($B$2)),CRDJ[Debit]))),(SUM(IF((CRDJ[Date]=A31)*(CRDJ[Account Code]=TRIM($B$2))*(CRDJ[Sort Code]=$E$3),CRDJ[Debit]))))</f>
        <v>0</v>
      </c>
      <c r="D31" s="281">
        <f t="array" ref="D31">IF($E$3=0,(SUM(IF((CRDJ[Date]=A31)*(CRDJ[Account Code]=TRIM($B$2)),CRDJ[Credit]))),(SUM(IF((CRDJ[Date]=A31)*(CRDJ[Account Code]=TRIM($B$2))*(CRDJ[Sort Code]=$E$3),CRDJ[Credit]))))</f>
        <v>0</v>
      </c>
      <c r="E31" s="280"/>
    </row>
    <row r="32" spans="1:5" x14ac:dyDescent="0.25">
      <c r="A32" s="279">
        <f>Account!$G$15</f>
        <v>44681</v>
      </c>
      <c r="B32" s="94" t="s">
        <v>377</v>
      </c>
      <c r="C32" s="281">
        <f t="array" ref="C32">IF($E$3=0,(SUM(IF((GJ[Date]=A32)*(GJ[Account Code]=TRIM($B$2)),GJ[Debit]))),(SUM(IF((GJ[Date]=A32)*(GJ[Account Code]=TRIM($B$2))*(GJ[Sort Code]=$E$3),GJ[Debit]))))</f>
        <v>0</v>
      </c>
      <c r="D32" s="281">
        <f t="array" ref="D32">IF($E$3=0,(SUM(IF((GJ[Date]=A32)*(GJ[Account Code]=TRIM($B$2)),GJ[Credit]))),(SUM(IF((GJ[Date]=A32)*(GJ[Account Code]=TRIM($B$2))*(GJ[Sort Code]=$E$3),GJ[Credit]))))</f>
        <v>0</v>
      </c>
      <c r="E32" s="280"/>
    </row>
    <row r="33" spans="1:5" x14ac:dyDescent="0.25">
      <c r="A33" s="1138">
        <f>A32</f>
        <v>44681</v>
      </c>
      <c r="B33" s="1139"/>
      <c r="C33" s="285">
        <f>SUM(C29:C32)</f>
        <v>1446.64</v>
      </c>
      <c r="D33" s="285">
        <f>SUM(D29:D32)</f>
        <v>1446.64</v>
      </c>
      <c r="E33" s="285">
        <f>IF($E$4=$C$4,C33-D33,D33-C33)</f>
        <v>0</v>
      </c>
    </row>
    <row r="34" spans="1:5" x14ac:dyDescent="0.25">
      <c r="A34" s="1136">
        <f>A33</f>
        <v>44681</v>
      </c>
      <c r="B34" s="1137"/>
      <c r="C34" s="278">
        <f>C27+C33</f>
        <v>5786.56</v>
      </c>
      <c r="D34" s="278">
        <f>D27+D33</f>
        <v>5786.56</v>
      </c>
      <c r="E34" s="278">
        <f>IF($E$4=$C$4,C34-D34,D34-C34)</f>
        <v>0</v>
      </c>
    </row>
    <row r="35" spans="1:5" x14ac:dyDescent="0.25">
      <c r="A35" s="279"/>
      <c r="B35" s="280"/>
      <c r="C35" s="281"/>
      <c r="D35" s="281"/>
      <c r="E35" s="280"/>
    </row>
    <row r="36" spans="1:5" x14ac:dyDescent="0.25">
      <c r="A36" s="279">
        <f>Account!$G$16</f>
        <v>44712</v>
      </c>
      <c r="B36" s="94" t="s">
        <v>374</v>
      </c>
      <c r="C36" s="281">
        <f t="array" ref="C36">IF($E$3=0,(SUM(IF((CkDJ[Date]=A36)*(CkDJ[Account Code]=TRIM($B$2)),CkDJ[Debit]))),(SUM(IF((CkDJ[Date]=A36)*(CkDJ[Account Code]=TRIM($B$2))*(CkDJ[Sort Code]=$E$3),CkDJ[Debit]))))</f>
        <v>1446.64</v>
      </c>
      <c r="D36" s="281">
        <f t="array" ref="D36">IF($E$3=0,(SUM(IF((CkDJ[Date]=A36)*(CkDJ[Account Code]=TRIM($B$2)),CkDJ[Credit]))),(SUM(IF((CkDJ[Date]=A36)*(CkDJ[Account Code]=TRIM($B$2))*(CkDJ[Sort Code]=$E$3),CkDJ[Credit]))))</f>
        <v>1446.64</v>
      </c>
      <c r="E36" s="280"/>
    </row>
    <row r="37" spans="1:5" x14ac:dyDescent="0.25">
      <c r="A37" s="279">
        <f>Account!$G$16</f>
        <v>44712</v>
      </c>
      <c r="B37" s="282" t="s">
        <v>375</v>
      </c>
      <c r="C37" s="281">
        <f t="array" ref="C37">IF($E$3=0,(SUM(IF((CsDJ[Date]=A37)*(CsDJ[Account Code]=TRIM($B$2)),CsDJ[Debit]))),(SUM(IF((CsDJ[Date]=A37)*(CsDJ[Account Code]=TRIM($B$2))*(CsDJ[Sort Code]=$E$3),CsDJ[Debit]))))</f>
        <v>0</v>
      </c>
      <c r="D37" s="281">
        <f t="array" ref="D37">IF($E$3=0,(SUM(IF((CsDJ[Date]=A37)*(CsDJ[Account Code]=TRIM($B$2)),CsDJ[Credit]))),(SUM(IF((CsDJ[Date]=A37)*(CsDJ[Account Code]=TRIM($B$2))*(CsDJ[Sort Code]=$E$3),CsDJ[Credit]))))</f>
        <v>0</v>
      </c>
      <c r="E37" s="280"/>
    </row>
    <row r="38" spans="1:5" x14ac:dyDescent="0.25">
      <c r="A38" s="279">
        <f>Account!$G$16</f>
        <v>44712</v>
      </c>
      <c r="B38" s="283" t="s">
        <v>376</v>
      </c>
      <c r="C38" s="281">
        <f t="array" ref="C38">IF($E$3=0,(SUM(IF((CRDJ[Date]=A38)*(CRDJ[Account Code]=TRIM($B$2)),CRDJ[Debit]))),(SUM(IF((CRDJ[Date]=A38)*(CRDJ[Account Code]=TRIM($B$2))*(CRDJ[Sort Code]=$E$3),CRDJ[Debit]))))</f>
        <v>0</v>
      </c>
      <c r="D38" s="281">
        <f t="array" ref="D38">IF($E$3=0,(SUM(IF((CRDJ[Date]=A38)*(CRDJ[Account Code]=TRIM($B$2)),CRDJ[Credit]))),(SUM(IF((CRDJ[Date]=A38)*(CRDJ[Account Code]=TRIM($B$2))*(CRDJ[Sort Code]=$E$3),CRDJ[Credit]))))</f>
        <v>0</v>
      </c>
      <c r="E38" s="280"/>
    </row>
    <row r="39" spans="1:5" x14ac:dyDescent="0.25">
      <c r="A39" s="279">
        <f>Account!$G$16</f>
        <v>44712</v>
      </c>
      <c r="B39" s="94" t="s">
        <v>377</v>
      </c>
      <c r="C39" s="281">
        <f t="array" ref="C39">IF($E$3=0,(SUM(IF((GJ[Date]=A39)*(GJ[Account Code]=TRIM($B$2)),GJ[Debit]))),(SUM(IF((GJ[Date]=A39)*(GJ[Account Code]=TRIM($B$2))*(GJ[Sort Code]=$E$3),GJ[Debit]))))</f>
        <v>0</v>
      </c>
      <c r="D39" s="281">
        <f t="array" ref="D39">IF($E$3=0,(SUM(IF((GJ[Date]=A39)*(GJ[Account Code]=TRIM($B$2)),GJ[Credit]))),(SUM(IF((GJ[Date]=A39)*(GJ[Account Code]=TRIM($B$2))*(GJ[Sort Code]=$E$3),GJ[Credit]))))</f>
        <v>0</v>
      </c>
      <c r="E39" s="280"/>
    </row>
    <row r="40" spans="1:5" x14ac:dyDescent="0.25">
      <c r="A40" s="1138">
        <f>A39</f>
        <v>44712</v>
      </c>
      <c r="B40" s="1139"/>
      <c r="C40" s="285">
        <f>SUM(C36:C39)</f>
        <v>1446.64</v>
      </c>
      <c r="D40" s="285">
        <f>SUM(D36:D39)</f>
        <v>1446.64</v>
      </c>
      <c r="E40" s="285">
        <f>IF($E$4=$C$4,C40-D40,D40-C40)</f>
        <v>0</v>
      </c>
    </row>
    <row r="41" spans="1:5" x14ac:dyDescent="0.25">
      <c r="A41" s="1136">
        <f>A40</f>
        <v>44712</v>
      </c>
      <c r="B41" s="1137"/>
      <c r="C41" s="278">
        <f>C34+C40</f>
        <v>7233.2</v>
      </c>
      <c r="D41" s="278">
        <f>D34+D40</f>
        <v>7233.2</v>
      </c>
      <c r="E41" s="278">
        <f>IF($E$4=$C$4,C41-D41,D41-C41)</f>
        <v>0</v>
      </c>
    </row>
    <row r="42" spans="1:5" x14ac:dyDescent="0.25">
      <c r="A42" s="279"/>
      <c r="B42" s="280"/>
      <c r="C42" s="281"/>
      <c r="D42" s="281"/>
      <c r="E42" s="280"/>
    </row>
    <row r="43" spans="1:5" x14ac:dyDescent="0.25">
      <c r="A43" s="279">
        <f>Account!$G$17</f>
        <v>44742</v>
      </c>
      <c r="B43" s="94" t="s">
        <v>374</v>
      </c>
      <c r="C43" s="281">
        <f t="array" ref="C43">IF($E$3=0,(SUM(IF((CkDJ[Date]=A43)*(CkDJ[Account Code]=TRIM($B$2)),CkDJ[Debit]))),(SUM(IF((CkDJ[Date]=A43)*(CkDJ[Account Code]=TRIM($B$2))*(CkDJ[Sort Code]=$E$3),CkDJ[Debit]))))</f>
        <v>1588.98</v>
      </c>
      <c r="D43" s="281">
        <f t="array" ref="D43">IF($E$3=0,(SUM(IF((CkDJ[Date]=A43)*(CkDJ[Account Code]=TRIM($B$2)),CkDJ[Credit]))),(SUM(IF((CkDJ[Date]=A43)*(CkDJ[Account Code]=TRIM($B$2))*(CkDJ[Sort Code]=$E$3),CkDJ[Credit]))))</f>
        <v>1588.98</v>
      </c>
      <c r="E43" s="280"/>
    </row>
    <row r="44" spans="1:5" x14ac:dyDescent="0.25">
      <c r="A44" s="279">
        <f>Account!$G$17</f>
        <v>44742</v>
      </c>
      <c r="B44" s="282" t="s">
        <v>375</v>
      </c>
      <c r="C44" s="281">
        <f t="array" ref="C44">IF($E$3=0,(SUM(IF((CsDJ[Date]=A44)*(CsDJ[Account Code]=TRIM($B$2)),CsDJ[Debit]))),(SUM(IF((CsDJ[Date]=A44)*(CsDJ[Account Code]=TRIM($B$2))*(CsDJ[Sort Code]=$E$3),CsDJ[Debit]))))</f>
        <v>0</v>
      </c>
      <c r="D44" s="281">
        <f t="array" ref="D44">IF($E$3=0,(SUM(IF((CsDJ[Date]=A44)*(CsDJ[Account Code]=TRIM($B$2)),CsDJ[Credit]))),(SUM(IF((CsDJ[Date]=A44)*(CsDJ[Account Code]=TRIM($B$2))*(CsDJ[Sort Code]=$E$3),CsDJ[Credit]))))</f>
        <v>0</v>
      </c>
      <c r="E44" s="280"/>
    </row>
    <row r="45" spans="1:5" x14ac:dyDescent="0.25">
      <c r="A45" s="279">
        <f>Account!$G$17</f>
        <v>44742</v>
      </c>
      <c r="B45" s="283" t="s">
        <v>376</v>
      </c>
      <c r="C45" s="281">
        <f t="array" ref="C45">IF($E$3=0,(SUM(IF((CRDJ[Date]=A45)*(CRDJ[Account Code]=TRIM($B$2)),CRDJ[Debit]))),(SUM(IF((CRDJ[Date]=A45)*(CRDJ[Account Code]=TRIM($B$2))*(CRDJ[Sort Code]=$E$3),CRDJ[Debit]))))</f>
        <v>0</v>
      </c>
      <c r="D45" s="281">
        <f t="array" ref="D45">IF($E$3=0,(SUM(IF((CRDJ[Date]=A45)*(CRDJ[Account Code]=TRIM($B$2)),CRDJ[Credit]))),(SUM(IF((CRDJ[Date]=A45)*(CRDJ[Account Code]=TRIM($B$2))*(CRDJ[Sort Code]=$E$3),CRDJ[Credit]))))</f>
        <v>0</v>
      </c>
      <c r="E45" s="280"/>
    </row>
    <row r="46" spans="1:5" x14ac:dyDescent="0.25">
      <c r="A46" s="279">
        <f>Account!$G$17</f>
        <v>44742</v>
      </c>
      <c r="B46" s="94" t="s">
        <v>377</v>
      </c>
      <c r="C46" s="281">
        <f t="array" ref="C46">IF($E$3=0,(SUM(IF((GJ[Date]=A46)*(GJ[Account Code]=TRIM($B$2)),GJ[Debit]))),(SUM(IF((GJ[Date]=A46)*(GJ[Account Code]=TRIM($B$2))*(GJ[Sort Code]=$E$3),GJ[Debit]))))</f>
        <v>0</v>
      </c>
      <c r="D46" s="281">
        <f t="array" ref="D46">IF($E$3=0,(SUM(IF((GJ[Date]=A46)*(GJ[Account Code]=TRIM($B$2)),GJ[Credit]))),(SUM(IF((GJ[Date]=A46)*(GJ[Account Code]=TRIM($B$2))*(GJ[Sort Code]=$E$3),GJ[Credit]))))</f>
        <v>0</v>
      </c>
      <c r="E46" s="280"/>
    </row>
    <row r="47" spans="1:5" x14ac:dyDescent="0.25">
      <c r="A47" s="1138">
        <f>A46</f>
        <v>44742</v>
      </c>
      <c r="B47" s="1139"/>
      <c r="C47" s="285">
        <f>SUM(C43:C46)</f>
        <v>1588.98</v>
      </c>
      <c r="D47" s="285">
        <f>SUM(D43:D46)</f>
        <v>1588.98</v>
      </c>
      <c r="E47" s="285">
        <f>IF($E$4=$C$4,C47-D47,D47-C47)</f>
        <v>0</v>
      </c>
    </row>
    <row r="48" spans="1:5" x14ac:dyDescent="0.25">
      <c r="A48" s="1136">
        <f>A47</f>
        <v>44742</v>
      </c>
      <c r="B48" s="1137"/>
      <c r="C48" s="278">
        <f>C41+C47</f>
        <v>8822.18</v>
      </c>
      <c r="D48" s="278">
        <f>D41+D47</f>
        <v>8822.18</v>
      </c>
      <c r="E48" s="278">
        <f>IF($E$4=$C$4,C48-D48,D48-C48)</f>
        <v>0</v>
      </c>
    </row>
    <row r="49" spans="1:5" x14ac:dyDescent="0.25">
      <c r="A49" s="279"/>
      <c r="B49" s="280"/>
      <c r="C49" s="281"/>
      <c r="D49" s="281"/>
      <c r="E49" s="280"/>
    </row>
    <row r="50" spans="1:5" x14ac:dyDescent="0.25">
      <c r="A50" s="279">
        <f>Account!$G$18</f>
        <v>44773</v>
      </c>
      <c r="B50" s="94" t="s">
        <v>374</v>
      </c>
      <c r="C50" s="281">
        <f t="array" ref="C50">IF($E$3=0,(SUM(IF((CkDJ[Date]=A50)*(CkDJ[Account Code]=TRIM($B$2)),CkDJ[Debit]))),(SUM(IF((CkDJ[Date]=A50)*(CkDJ[Account Code]=TRIM($B$2))*(CkDJ[Sort Code]=$E$3),CkDJ[Debit]))))</f>
        <v>1588</v>
      </c>
      <c r="D50" s="281">
        <f t="array" ref="D50">IF($E$3=0,(SUM(IF((CkDJ[Date]=A50)*(CkDJ[Account Code]=TRIM($B$2)),CkDJ[Credit]))),(SUM(IF((CkDJ[Date]=A50)*(CkDJ[Account Code]=TRIM($B$2))*(CkDJ[Sort Code]=$E$3),CkDJ[Credit]))))</f>
        <v>1588.98</v>
      </c>
      <c r="E50" s="280"/>
    </row>
    <row r="51" spans="1:5" x14ac:dyDescent="0.25">
      <c r="A51" s="279">
        <f>Account!$G$18</f>
        <v>44773</v>
      </c>
      <c r="B51" s="282" t="s">
        <v>375</v>
      </c>
      <c r="C51" s="281">
        <f t="array" ref="C51">IF($E$3=0,(SUM(IF((CsDJ[Date]=A51)*(CsDJ[Account Code]=TRIM($B$2)),CsDJ[Debit]))),(SUM(IF((CsDJ[Date]=A51)*(CsDJ[Account Code]=TRIM($B$2))*(CsDJ[Sort Code]=$E$3),CsDJ[Debit]))))</f>
        <v>0</v>
      </c>
      <c r="D51" s="281">
        <f t="array" ref="D51">IF($E$3=0,(SUM(IF((CsDJ[Date]=A51)*(CsDJ[Account Code]=TRIM($B$2)),CsDJ[Credit]))),(SUM(IF((CsDJ[Date]=A51)*(CsDJ[Account Code]=TRIM($B$2))*(CsDJ[Sort Code]=$E$3),CsDJ[Credit]))))</f>
        <v>0</v>
      </c>
      <c r="E51" s="280"/>
    </row>
    <row r="52" spans="1:5" x14ac:dyDescent="0.25">
      <c r="A52" s="279">
        <f>Account!$G$18</f>
        <v>44773</v>
      </c>
      <c r="B52" s="283" t="s">
        <v>376</v>
      </c>
      <c r="C52" s="281">
        <f t="array" ref="C52">IF($E$3=0,(SUM(IF((CRDJ[Date]=A52)*(CRDJ[Account Code]=TRIM($B$2)),CRDJ[Debit]))),(SUM(IF((CRDJ[Date]=A52)*(CRDJ[Account Code]=TRIM($B$2))*(CRDJ[Sort Code]=$E$3),CRDJ[Debit]))))</f>
        <v>0</v>
      </c>
      <c r="D52" s="281">
        <f t="array" ref="D52">IF($E$3=0,(SUM(IF((CRDJ[Date]=A52)*(CRDJ[Account Code]=TRIM($B$2)),CRDJ[Credit]))),(SUM(IF((CRDJ[Date]=A52)*(CRDJ[Account Code]=TRIM($B$2))*(CRDJ[Sort Code]=$E$3),CRDJ[Credit]))))</f>
        <v>0</v>
      </c>
      <c r="E52" s="280"/>
    </row>
    <row r="53" spans="1:5" x14ac:dyDescent="0.25">
      <c r="A53" s="279">
        <f>Account!$G$18</f>
        <v>44773</v>
      </c>
      <c r="B53" s="94" t="s">
        <v>377</v>
      </c>
      <c r="C53" s="281">
        <f t="array" ref="C53">IF($E$3=0,(SUM(IF((GJ[Date]=A53)*(GJ[Account Code]=TRIM($B$2)),GJ[Debit]))),(SUM(IF((GJ[Date]=A53)*(GJ[Account Code]=TRIM($B$2))*(GJ[Sort Code]=$E$3),GJ[Debit]))))</f>
        <v>0</v>
      </c>
      <c r="D53" s="281">
        <f t="array" ref="D53">IF($E$3=0,(SUM(IF((GJ[Date]=A53)*(GJ[Account Code]=TRIM($B$2)),GJ[Credit]))),(SUM(IF((GJ[Date]=A53)*(GJ[Account Code]=TRIM($B$2))*(GJ[Sort Code]=$E$3),GJ[Credit]))))</f>
        <v>0</v>
      </c>
      <c r="E53" s="280"/>
    </row>
    <row r="54" spans="1:5" x14ac:dyDescent="0.25">
      <c r="A54" s="1138">
        <f>A53</f>
        <v>44773</v>
      </c>
      <c r="B54" s="1139"/>
      <c r="C54" s="285">
        <f>SUM(C50:C53)</f>
        <v>1588</v>
      </c>
      <c r="D54" s="285">
        <f>SUM(D50:D53)</f>
        <v>1588.98</v>
      </c>
      <c r="E54" s="285">
        <f>IF($E$4=$C$4,C54-D54,D54-C54)</f>
        <v>0.98</v>
      </c>
    </row>
    <row r="55" spans="1:5" x14ac:dyDescent="0.25">
      <c r="A55" s="1136">
        <f>A54</f>
        <v>44773</v>
      </c>
      <c r="B55" s="1137"/>
      <c r="C55" s="278">
        <f>C48+C54</f>
        <v>10410.18</v>
      </c>
      <c r="D55" s="278">
        <f>D48+D54</f>
        <v>10411.16</v>
      </c>
      <c r="E55" s="278">
        <f>IF($E$4=$C$4,C55-D55,D55-C55)</f>
        <v>0.98</v>
      </c>
    </row>
    <row r="56" spans="1:5" x14ac:dyDescent="0.25">
      <c r="A56" s="279"/>
      <c r="B56" s="280"/>
      <c r="C56" s="281"/>
      <c r="D56" s="281"/>
      <c r="E56" s="280"/>
    </row>
    <row r="57" spans="1:5" x14ac:dyDescent="0.25">
      <c r="A57" s="279">
        <f>Account!$G$19</f>
        <v>44804</v>
      </c>
      <c r="B57" s="94" t="s">
        <v>374</v>
      </c>
      <c r="C57" s="281">
        <f t="array" ref="C57">IF($E$3=0,(SUM(IF((CkDJ[Date]=A57)*(CkDJ[Account Code]=TRIM($B$2)),CkDJ[Debit]))),(SUM(IF((CkDJ[Date]=A57)*(CkDJ[Account Code]=TRIM($B$2))*(CkDJ[Sort Code]=$E$3),CkDJ[Debit]))))</f>
        <v>1589.96</v>
      </c>
      <c r="D57" s="281">
        <f t="array" ref="D57">IF($E$3=0,(SUM(IF((CkDJ[Date]=A57)*(CkDJ[Account Code]=TRIM($B$2)),CkDJ[Credit]))),(SUM(IF((CkDJ[Date]=A57)*(CkDJ[Account Code]=TRIM($B$2))*(CkDJ[Sort Code]=$E$3),CkDJ[Credit]))))</f>
        <v>1588.98</v>
      </c>
      <c r="E57" s="280"/>
    </row>
    <row r="58" spans="1:5" x14ac:dyDescent="0.25">
      <c r="A58" s="279">
        <f>Account!$G$19</f>
        <v>44804</v>
      </c>
      <c r="B58" s="282" t="s">
        <v>375</v>
      </c>
      <c r="C58" s="281">
        <f t="array" ref="C58">IF($E$3=0,(SUM(IF((CsDJ[Date]=A58)*(CsDJ[Account Code]=TRIM($B$2)),CsDJ[Debit]))),(SUM(IF((CsDJ[Date]=A58)*(CsDJ[Account Code]=TRIM($B$2))*(CsDJ[Sort Code]=$E$3),CsDJ[Debit]))))</f>
        <v>0</v>
      </c>
      <c r="D58" s="281">
        <f t="array" ref="D58">IF($E$3=0,(SUM(IF((CsDJ[Date]=A58)*(CsDJ[Account Code]=TRIM($B$2)),CsDJ[Credit]))),(SUM(IF((CsDJ[Date]=A58)*(CsDJ[Account Code]=TRIM($B$2))*(CsDJ[Sort Code]=$E$3),CsDJ[Credit]))))</f>
        <v>0</v>
      </c>
      <c r="E58" s="280"/>
    </row>
    <row r="59" spans="1:5" x14ac:dyDescent="0.25">
      <c r="A59" s="279">
        <f>Account!$G$19</f>
        <v>44804</v>
      </c>
      <c r="B59" s="283" t="s">
        <v>376</v>
      </c>
      <c r="C59" s="281">
        <f t="array" ref="C59">IF($E$3=0,(SUM(IF((CRDJ[Date]=A59)*(CRDJ[Account Code]=TRIM($B$2)),CRDJ[Debit]))),(SUM(IF((CRDJ[Date]=A59)*(CRDJ[Account Code]=TRIM($B$2))*(CRDJ[Sort Code]=$E$3),CRDJ[Debit]))))</f>
        <v>0</v>
      </c>
      <c r="D59" s="281">
        <f t="array" ref="D59">IF($E$3=0,(SUM(IF((CRDJ[Date]=A59)*(CRDJ[Account Code]=TRIM($B$2)),CRDJ[Credit]))),(SUM(IF((CRDJ[Date]=A59)*(CRDJ[Account Code]=TRIM($B$2))*(CRDJ[Sort Code]=$E$3),CRDJ[Credit]))))</f>
        <v>0</v>
      </c>
      <c r="E59" s="280"/>
    </row>
    <row r="60" spans="1:5" x14ac:dyDescent="0.25">
      <c r="A60" s="279">
        <f>Account!$G$19</f>
        <v>44804</v>
      </c>
      <c r="B60" s="94" t="s">
        <v>377</v>
      </c>
      <c r="C60" s="281">
        <f t="array" ref="C60">IF($E$3=0,(SUM(IF((GJ[Date]=A60)*(GJ[Account Code]=TRIM($B$2)),GJ[Debit]))),(SUM(IF((GJ[Date]=A60)*(GJ[Account Code]=TRIM($B$2))*(GJ[Sort Code]=$E$3),GJ[Debit]))))</f>
        <v>0</v>
      </c>
      <c r="D60" s="281">
        <f t="array" ref="D60">IF($E$3=0,(SUM(IF((GJ[Date]=A60)*(GJ[Account Code]=TRIM($B$2)),GJ[Credit]))),(SUM(IF((GJ[Date]=A60)*(GJ[Account Code]=TRIM($B$2))*(GJ[Sort Code]=$E$3),GJ[Credit]))))</f>
        <v>0</v>
      </c>
      <c r="E60" s="280"/>
    </row>
    <row r="61" spans="1:5" x14ac:dyDescent="0.25">
      <c r="A61" s="1138">
        <f>A60</f>
        <v>44804</v>
      </c>
      <c r="B61" s="1139"/>
      <c r="C61" s="285">
        <f>SUM(C57:C60)</f>
        <v>1589.96</v>
      </c>
      <c r="D61" s="285">
        <f>SUM(D57:D60)</f>
        <v>1588.98</v>
      </c>
      <c r="E61" s="285">
        <f>IF($E$4=$C$4,C61-D61,D61-C61)</f>
        <v>-0.98</v>
      </c>
    </row>
    <row r="62" spans="1:5" x14ac:dyDescent="0.25">
      <c r="A62" s="1136">
        <f>A61</f>
        <v>44804</v>
      </c>
      <c r="B62" s="1137"/>
      <c r="C62" s="278">
        <f>C55+C61</f>
        <v>12000.14</v>
      </c>
      <c r="D62" s="278">
        <f>D55+D61</f>
        <v>12000.14</v>
      </c>
      <c r="E62" s="278">
        <f>IF($E$4=$C$4,C62-D62,D62-C62)</f>
        <v>0</v>
      </c>
    </row>
    <row r="63" spans="1:5" x14ac:dyDescent="0.25">
      <c r="A63" s="279"/>
      <c r="B63" s="280"/>
      <c r="C63" s="281"/>
      <c r="D63" s="281"/>
      <c r="E63" s="280"/>
    </row>
    <row r="64" spans="1:5" x14ac:dyDescent="0.25">
      <c r="A64" s="279">
        <f>Account!$G$20</f>
        <v>44834</v>
      </c>
      <c r="B64" s="94" t="s">
        <v>374</v>
      </c>
      <c r="C64" s="281">
        <f t="array" ref="C64">IF($E$3=0,(SUM(IF((CkDJ[Date]=A64)*(CkDJ[Account Code]=TRIM($B$2)),CkDJ[Debit]))),(SUM(IF((CkDJ[Date]=A64)*(CkDJ[Account Code]=TRIM($B$2))*(CkDJ[Sort Code]=$E$3),CkDJ[Debit]))))</f>
        <v>1588.98</v>
      </c>
      <c r="D64" s="281">
        <f t="array" ref="D64">IF($E$3=0,(SUM(IF((CkDJ[Date]=A64)*(CkDJ[Account Code]=TRIM($B$2)),CkDJ[Credit]))),(SUM(IF((CkDJ[Date]=A64)*(CkDJ[Account Code]=TRIM($B$2))*(CkDJ[Sort Code]=$E$3),CkDJ[Credit]))))</f>
        <v>1588.98</v>
      </c>
      <c r="E64" s="280"/>
    </row>
    <row r="65" spans="1:5" x14ac:dyDescent="0.25">
      <c r="A65" s="279">
        <f>Account!$G$20</f>
        <v>44834</v>
      </c>
      <c r="B65" s="282" t="s">
        <v>375</v>
      </c>
      <c r="C65" s="281">
        <f t="array" ref="C65">IF($E$3=0,(SUM(IF((CsDJ[Date]=A65)*(CsDJ[Account Code]=TRIM($B$2)),CsDJ[Debit]))),(SUM(IF((CsDJ[Date]=A65)*(CsDJ[Account Code]=TRIM($B$2))*(CsDJ[Sort Code]=$E$3),CsDJ[Debit]))))</f>
        <v>0</v>
      </c>
      <c r="D65" s="281">
        <f t="array" ref="D65">IF($E$3=0,(SUM(IF((CsDJ[Date]=A65)*(CsDJ[Account Code]=TRIM($B$2)),CsDJ[Credit]))),(SUM(IF((CsDJ[Date]=A65)*(CsDJ[Account Code]=TRIM($B$2))*(CsDJ[Sort Code]=$E$3),CsDJ[Credit]))))</f>
        <v>0</v>
      </c>
      <c r="E65" s="280"/>
    </row>
    <row r="66" spans="1:5" x14ac:dyDescent="0.25">
      <c r="A66" s="279">
        <f>Account!$G$20</f>
        <v>44834</v>
      </c>
      <c r="B66" s="283" t="s">
        <v>376</v>
      </c>
      <c r="C66" s="281">
        <f t="array" ref="C66">IF($E$3=0,(SUM(IF((CRDJ[Date]=A66)*(CRDJ[Account Code]=TRIM($B$2)),CRDJ[Debit]))),(SUM(IF((CRDJ[Date]=A66)*(CRDJ[Account Code]=TRIM($B$2))*(CRDJ[Sort Code]=$E$3),CRDJ[Debit]))))</f>
        <v>0</v>
      </c>
      <c r="D66" s="281">
        <f t="array" ref="D66">IF($E$3=0,(SUM(IF((CRDJ[Date]=A66)*(CRDJ[Account Code]=TRIM($B$2)),CRDJ[Credit]))),(SUM(IF((CRDJ[Date]=A66)*(CRDJ[Account Code]=TRIM($B$2))*(CRDJ[Sort Code]=$E$3),CRDJ[Credit]))))</f>
        <v>0</v>
      </c>
      <c r="E66" s="280"/>
    </row>
    <row r="67" spans="1:5" x14ac:dyDescent="0.25">
      <c r="A67" s="279">
        <f>Account!$G$20</f>
        <v>44834</v>
      </c>
      <c r="B67" s="94" t="s">
        <v>377</v>
      </c>
      <c r="C67" s="281">
        <f t="array" ref="C67">IF($E$3=0,(SUM(IF((GJ[Date]=A67)*(GJ[Account Code]=TRIM($B$2)),GJ[Debit]))),(SUM(IF((GJ[Date]=A67)*(GJ[Account Code]=TRIM($B$2))*(GJ[Sort Code]=$E$3),GJ[Debit]))))</f>
        <v>0</v>
      </c>
      <c r="D67" s="281">
        <f t="array" ref="D67">IF($E$3=0,(SUM(IF((GJ[Date]=A67)*(GJ[Account Code]=TRIM($B$2)),GJ[Credit]))),(SUM(IF((GJ[Date]=A67)*(GJ[Account Code]=TRIM($B$2))*(GJ[Sort Code]=$E$3),GJ[Credit]))))</f>
        <v>0</v>
      </c>
      <c r="E67" s="280"/>
    </row>
    <row r="68" spans="1:5" x14ac:dyDescent="0.25">
      <c r="A68" s="1138">
        <f>A67</f>
        <v>44834</v>
      </c>
      <c r="B68" s="1139"/>
      <c r="C68" s="285">
        <f>SUM(C64:C67)</f>
        <v>1588.98</v>
      </c>
      <c r="D68" s="285">
        <f>SUM(D64:D67)</f>
        <v>1588.98</v>
      </c>
      <c r="E68" s="285">
        <f>IF($E$4=$C$4,C68-D68,D68-C68)</f>
        <v>0</v>
      </c>
    </row>
    <row r="69" spans="1:5" x14ac:dyDescent="0.25">
      <c r="A69" s="1136">
        <f>A68</f>
        <v>44834</v>
      </c>
      <c r="B69" s="1137"/>
      <c r="C69" s="278">
        <f>C62+C68</f>
        <v>13589.12</v>
      </c>
      <c r="D69" s="278">
        <f>D62+D68</f>
        <v>13589.12</v>
      </c>
      <c r="E69" s="278">
        <f>IF($E$4=$C$4,C69-D69,D69-C69)</f>
        <v>0</v>
      </c>
    </row>
    <row r="70" spans="1:5" x14ac:dyDescent="0.25">
      <c r="A70" s="279"/>
      <c r="B70" s="280"/>
      <c r="C70" s="281"/>
      <c r="D70" s="281"/>
      <c r="E70" s="280"/>
    </row>
    <row r="71" spans="1:5" x14ac:dyDescent="0.25">
      <c r="A71" s="279">
        <f>Account!$G$21</f>
        <v>44865</v>
      </c>
      <c r="B71" s="94" t="s">
        <v>374</v>
      </c>
      <c r="C71" s="281">
        <f t="array" ref="C71">IF($E$3=0,(SUM(IF((CkDJ[Date]=A71)*(CkDJ[Account Code]=TRIM($B$2)),CkDJ[Debit]))),(SUM(IF((CkDJ[Date]=A71)*(CkDJ[Account Code]=TRIM($B$2))*(CkDJ[Sort Code]=$E$3),CkDJ[Debit]))))</f>
        <v>1588.98</v>
      </c>
      <c r="D71" s="281">
        <f t="array" ref="D71">IF($E$3=0,(SUM(IF((CkDJ[Date]=A71)*(CkDJ[Account Code]=TRIM($B$2)),CkDJ[Credit]))),(SUM(IF((CkDJ[Date]=A71)*(CkDJ[Account Code]=TRIM($B$2))*(CkDJ[Sort Code]=$E$3),CkDJ[Credit]))))</f>
        <v>1588.98</v>
      </c>
      <c r="E71" s="280"/>
    </row>
    <row r="72" spans="1:5" x14ac:dyDescent="0.25">
      <c r="A72" s="279">
        <f>Account!$G$21</f>
        <v>44865</v>
      </c>
      <c r="B72" s="282" t="s">
        <v>375</v>
      </c>
      <c r="C72" s="281">
        <f t="array" ref="C72">IF($E$3=0,(SUM(IF((CsDJ[Date]=A72)*(CsDJ[Account Code]=TRIM($B$2)),CsDJ[Debit]))),(SUM(IF((CsDJ[Date]=A72)*(CsDJ[Account Code]=TRIM($B$2))*(CsDJ[Sort Code]=$E$3),CsDJ[Debit]))))</f>
        <v>0</v>
      </c>
      <c r="D72" s="281">
        <f t="array" ref="D72">IF($E$3=0,(SUM(IF((CsDJ[Date]=A72)*(CsDJ[Account Code]=TRIM($B$2)),CsDJ[Credit]))),(SUM(IF((CsDJ[Date]=A72)*(CsDJ[Account Code]=TRIM($B$2))*(CsDJ[Sort Code]=$E$3),CsDJ[Credit]))))</f>
        <v>0</v>
      </c>
      <c r="E72" s="280"/>
    </row>
    <row r="73" spans="1:5" x14ac:dyDescent="0.25">
      <c r="A73" s="279">
        <f>Account!$G$21</f>
        <v>44865</v>
      </c>
      <c r="B73" s="283" t="s">
        <v>376</v>
      </c>
      <c r="C73" s="281">
        <f t="array" ref="C73">IF($E$3=0,(SUM(IF((CRDJ[Date]=A73)*(CRDJ[Account Code]=TRIM($B$2)),CRDJ[Debit]))),(SUM(IF((CRDJ[Date]=A73)*(CRDJ[Account Code]=TRIM($B$2))*(CRDJ[Sort Code]=$E$3),CRDJ[Debit]))))</f>
        <v>0</v>
      </c>
      <c r="D73" s="281">
        <f t="array" ref="D73">IF($E$3=0,(SUM(IF((CRDJ[Date]=A73)*(CRDJ[Account Code]=TRIM($B$2)),CRDJ[Credit]))),(SUM(IF((CRDJ[Date]=A73)*(CRDJ[Account Code]=TRIM($B$2))*(CRDJ[Sort Code]=$E$3),CRDJ[Credit]))))</f>
        <v>0</v>
      </c>
      <c r="E73" s="280"/>
    </row>
    <row r="74" spans="1:5" x14ac:dyDescent="0.25">
      <c r="A74" s="279">
        <f>Account!$G$21</f>
        <v>44865</v>
      </c>
      <c r="B74" s="94" t="s">
        <v>377</v>
      </c>
      <c r="C74" s="281">
        <f t="array" ref="C74">IF($E$3=0,(SUM(IF((GJ[Date]=A74)*(GJ[Account Code]=TRIM($B$2)),GJ[Debit]))),(SUM(IF((GJ[Date]=A74)*(GJ[Account Code]=TRIM($B$2))*(GJ[Sort Code]=$E$3),GJ[Debit]))))</f>
        <v>0</v>
      </c>
      <c r="D74" s="281">
        <f t="array" ref="D74">IF($E$3=0,(SUM(IF((GJ[Date]=A74)*(GJ[Account Code]=TRIM($B$2)),GJ[Credit]))),(SUM(IF((GJ[Date]=A74)*(GJ[Account Code]=TRIM($B$2))*(GJ[Sort Code]=$E$3),GJ[Credit]))))</f>
        <v>0</v>
      </c>
      <c r="E74" s="280"/>
    </row>
    <row r="75" spans="1:5" x14ac:dyDescent="0.25">
      <c r="A75" s="1138">
        <f>A74</f>
        <v>44865</v>
      </c>
      <c r="B75" s="1139"/>
      <c r="C75" s="285">
        <f>SUM(C71:C74)</f>
        <v>1588.98</v>
      </c>
      <c r="D75" s="285">
        <f>SUM(D71:D74)</f>
        <v>1588.98</v>
      </c>
      <c r="E75" s="285">
        <f>IF($E$4=$C$4,C75-D75,D75-C75)</f>
        <v>0</v>
      </c>
    </row>
    <row r="76" spans="1:5" x14ac:dyDescent="0.25">
      <c r="A76" s="1136">
        <f>A75</f>
        <v>44865</v>
      </c>
      <c r="B76" s="1137"/>
      <c r="C76" s="278">
        <f>C69+C75</f>
        <v>15178.1</v>
      </c>
      <c r="D76" s="278">
        <f>D69+D75</f>
        <v>15178.1</v>
      </c>
      <c r="E76" s="278">
        <f>IF($E$4=$C$4,C76-D76,D76-C76)</f>
        <v>0</v>
      </c>
    </row>
    <row r="77" spans="1:5" x14ac:dyDescent="0.25">
      <c r="A77" s="279"/>
      <c r="B77" s="280"/>
      <c r="C77" s="281"/>
      <c r="D77" s="281"/>
      <c r="E77" s="280"/>
    </row>
    <row r="78" spans="1:5" x14ac:dyDescent="0.25">
      <c r="A78" s="279">
        <f>Account!$G$22</f>
        <v>44895</v>
      </c>
      <c r="B78" s="94" t="s">
        <v>374</v>
      </c>
      <c r="C78" s="281">
        <f t="array" ref="C78">IF($E$3=0,(SUM(IF((CkDJ[Date]=A78)*(CkDJ[Account Code]=TRIM($B$2)),CkDJ[Debit]))),(SUM(IF((CkDJ[Date]=A78)*(CkDJ[Account Code]=TRIM($B$2))*(CkDJ[Sort Code]=$E$3),CkDJ[Debit]))))</f>
        <v>1588.98</v>
      </c>
      <c r="D78" s="281">
        <f t="array" ref="D78">IF($E$3=0,(SUM(IF((CkDJ[Date]=A78)*(CkDJ[Account Code]=TRIM($B$2)),CkDJ[Credit]))),(SUM(IF((CkDJ[Date]=A78)*(CkDJ[Account Code]=TRIM($B$2))*(CkDJ[Sort Code]=$E$3),CkDJ[Credit]))))</f>
        <v>1588.98</v>
      </c>
      <c r="E78" s="280"/>
    </row>
    <row r="79" spans="1:5" x14ac:dyDescent="0.25">
      <c r="A79" s="279">
        <f>Account!$G$22</f>
        <v>44895</v>
      </c>
      <c r="B79" s="282" t="s">
        <v>375</v>
      </c>
      <c r="C79" s="281">
        <f t="array" ref="C79">IF($E$3=0,(SUM(IF((CsDJ[Date]=A79)*(CsDJ[Account Code]=TRIM($B$2)),CsDJ[Debit]))),(SUM(IF((CsDJ[Date]=A79)*(CsDJ[Account Code]=TRIM($B$2))*(CsDJ[Sort Code]=$E$3),CsDJ[Debit]))))</f>
        <v>0</v>
      </c>
      <c r="D79" s="281">
        <f t="array" ref="D79">IF($E$3=0,(SUM(IF((CsDJ[Date]=A79)*(CsDJ[Account Code]=TRIM($B$2)),CsDJ[Credit]))),(SUM(IF((CsDJ[Date]=A79)*(CsDJ[Account Code]=TRIM($B$2))*(CsDJ[Sort Code]=$E$3),CsDJ[Credit]))))</f>
        <v>0</v>
      </c>
      <c r="E79" s="280"/>
    </row>
    <row r="80" spans="1:5" x14ac:dyDescent="0.25">
      <c r="A80" s="279">
        <f>Account!$G$22</f>
        <v>44895</v>
      </c>
      <c r="B80" s="283" t="s">
        <v>376</v>
      </c>
      <c r="C80" s="281">
        <f t="array" ref="C80">IF($E$3=0,(SUM(IF((CRDJ[Date]=A80)*(CRDJ[Account Code]=TRIM($B$2)),CRDJ[Debit]))),(SUM(IF((CRDJ[Date]=A80)*(CRDJ[Account Code]=TRIM($B$2))*(CRDJ[Sort Code]=$E$3),CRDJ[Debit]))))</f>
        <v>0</v>
      </c>
      <c r="D80" s="281">
        <f t="array" ref="D80">IF($E$3=0,(SUM(IF((CRDJ[Date]=A80)*(CRDJ[Account Code]=TRIM($B$2)),CRDJ[Credit]))),(SUM(IF((CRDJ[Date]=A80)*(CRDJ[Account Code]=TRIM($B$2))*(CRDJ[Sort Code]=$E$3),CRDJ[Credit]))))</f>
        <v>0</v>
      </c>
      <c r="E80" s="280"/>
    </row>
    <row r="81" spans="1:5" x14ac:dyDescent="0.25">
      <c r="A81" s="279">
        <f>Account!$G$22</f>
        <v>44895</v>
      </c>
      <c r="B81" s="94" t="s">
        <v>377</v>
      </c>
      <c r="C81" s="281">
        <f t="array" ref="C81">IF($E$3=0,(SUM(IF((GJ[Date]=A81)*(GJ[Account Code]=TRIM($B$2)),GJ[Debit]))),(SUM(IF((GJ[Date]=A81)*(GJ[Account Code]=TRIM($B$2))*(GJ[Sort Code]=$E$3),GJ[Debit]))))</f>
        <v>0</v>
      </c>
      <c r="D81" s="281">
        <f t="array" ref="D81">IF($E$3=0,(SUM(IF((GJ[Date]=A81)*(GJ[Account Code]=TRIM($B$2)),GJ[Credit]))),(SUM(IF((GJ[Date]=A81)*(GJ[Account Code]=TRIM($B$2))*(GJ[Sort Code]=$E$3),GJ[Credit]))))</f>
        <v>0</v>
      </c>
      <c r="E81" s="280"/>
    </row>
    <row r="82" spans="1:5" x14ac:dyDescent="0.25">
      <c r="A82" s="1138">
        <f>A81</f>
        <v>44895</v>
      </c>
      <c r="B82" s="1139"/>
      <c r="C82" s="285">
        <f>SUM(C78:C81)</f>
        <v>1588.98</v>
      </c>
      <c r="D82" s="285">
        <f>SUM(D78:D81)</f>
        <v>1588.98</v>
      </c>
      <c r="E82" s="285">
        <f>IF($E$4=$C$4,C82-D82,D82-C82)</f>
        <v>0</v>
      </c>
    </row>
    <row r="83" spans="1:5" x14ac:dyDescent="0.25">
      <c r="A83" s="1136">
        <f>A82</f>
        <v>44895</v>
      </c>
      <c r="B83" s="1137"/>
      <c r="C83" s="278">
        <f>C76+C82</f>
        <v>16767.080000000002</v>
      </c>
      <c r="D83" s="278">
        <f>D76+D82</f>
        <v>16767.080000000002</v>
      </c>
      <c r="E83" s="278">
        <f>IF($E$4=$C$4,C83-D83,D83-C83)</f>
        <v>0</v>
      </c>
    </row>
    <row r="84" spans="1:5" x14ac:dyDescent="0.25">
      <c r="A84" s="279"/>
      <c r="B84" s="280"/>
      <c r="C84" s="281"/>
      <c r="D84" s="281"/>
      <c r="E84" s="280"/>
    </row>
    <row r="85" spans="1:5" x14ac:dyDescent="0.25">
      <c r="A85" s="279">
        <f>Account!$G$23</f>
        <v>44926</v>
      </c>
      <c r="B85" s="94" t="s">
        <v>374</v>
      </c>
      <c r="C85" s="281">
        <f t="array" ref="C85">IF($E$3=0,(SUM(IF((CkDJ[Date]=A85)*(CkDJ[Account Code]=TRIM($B$2)),CkDJ[Debit]))),(SUM(IF((CkDJ[Date]=A85)*(CkDJ[Account Code]=TRIM($B$2))*(CkDJ[Sort Code]=$E$3),CkDJ[Debit]))))</f>
        <v>1588.98</v>
      </c>
      <c r="D85" s="281">
        <f t="array" ref="D85">IF($E$3=0,(SUM(IF((CkDJ[Date]=A85)*(CkDJ[Account Code]=TRIM($B$2)),CkDJ[Credit]))),(SUM(IF((CkDJ[Date]=A85)*(CkDJ[Account Code]=TRIM($B$2))*(CkDJ[Sort Code]=$E$3),CkDJ[Credit]))))</f>
        <v>1588.98</v>
      </c>
      <c r="E85" s="280"/>
    </row>
    <row r="86" spans="1:5" x14ac:dyDescent="0.25">
      <c r="A86" s="279">
        <f>Account!$G$23</f>
        <v>44926</v>
      </c>
      <c r="B86" s="282" t="s">
        <v>375</v>
      </c>
      <c r="C86" s="281">
        <f t="array" ref="C86">IF($E$3=0,(SUM(IF((CsDJ[Date]=A86)*(CsDJ[Account Code]=TRIM($B$2)),CsDJ[Debit]))),(SUM(IF((CsDJ[Date]=A86)*(CsDJ[Account Code]=TRIM($B$2))*(CsDJ[Sort Code]=$E$3),CsDJ[Debit]))))</f>
        <v>0</v>
      </c>
      <c r="D86" s="281">
        <f t="array" ref="D86">IF($E$3=0,(SUM(IF((CsDJ[Date]=A86)*(CsDJ[Account Code]=TRIM($B$2)),CsDJ[Credit]))),(SUM(IF((CsDJ[Date]=A86)*(CsDJ[Account Code]=TRIM($B$2))*(CsDJ[Sort Code]=$E$3),CsDJ[Credit]))))</f>
        <v>0</v>
      </c>
      <c r="E86" s="280"/>
    </row>
    <row r="87" spans="1:5" x14ac:dyDescent="0.25">
      <c r="A87" s="279">
        <f>Account!$G$23</f>
        <v>44926</v>
      </c>
      <c r="B87" s="283" t="s">
        <v>376</v>
      </c>
      <c r="C87" s="281">
        <f t="array" ref="C87">IF($E$3=0,(SUM(IF((CRDJ[Date]=A87)*(CRDJ[Account Code]=TRIM($B$2)),CRDJ[Debit]))),(SUM(IF((CRDJ[Date]=A87)*(CRDJ[Account Code]=TRIM($B$2))*(CRDJ[Sort Code]=$E$3),CRDJ[Debit]))))</f>
        <v>0</v>
      </c>
      <c r="D87" s="281">
        <f t="array" ref="D87">IF($E$3=0,(SUM(IF((CRDJ[Date]=A87)*(CRDJ[Account Code]=TRIM($B$2)),CRDJ[Credit]))),(SUM(IF((CRDJ[Date]=A87)*(CRDJ[Account Code]=TRIM($B$2))*(CRDJ[Sort Code]=$E$3),CRDJ[Credit]))))</f>
        <v>0</v>
      </c>
      <c r="E87" s="280"/>
    </row>
    <row r="88" spans="1:5" x14ac:dyDescent="0.25">
      <c r="A88" s="279">
        <f>Account!$G$23</f>
        <v>44926</v>
      </c>
      <c r="B88" s="94" t="s">
        <v>377</v>
      </c>
      <c r="C88" s="281">
        <f t="array" ref="C88">IF($E$3=0,(SUM(IF((GJ[Date]=A88)*(GJ[Account Code]=TRIM($B$2)),GJ[Debit]))),(SUM(IF((GJ[Date]=A88)*(GJ[Account Code]=TRIM($B$2))*(GJ[Sort Code]=$E$3),GJ[Debit]))))</f>
        <v>0</v>
      </c>
      <c r="D88" s="281">
        <f t="array" ref="D88">IF($E$3=0,(SUM(IF((GJ[Date]=A88)*(GJ[Account Code]=TRIM($B$2)),GJ[Credit]))),(SUM(IF((GJ[Date]=A88)*(GJ[Account Code]=TRIM($B$2))*(GJ[Sort Code]=$E$3),GJ[Credit]))))</f>
        <v>0</v>
      </c>
      <c r="E88" s="280"/>
    </row>
    <row r="89" spans="1:5" x14ac:dyDescent="0.25">
      <c r="A89" s="1138">
        <f>A88</f>
        <v>44926</v>
      </c>
      <c r="B89" s="1139"/>
      <c r="C89" s="285">
        <f>SUM(C85:C88)</f>
        <v>1588.98</v>
      </c>
      <c r="D89" s="285">
        <f>SUM(D85:D88)</f>
        <v>1588.98</v>
      </c>
      <c r="E89" s="285">
        <f>IF($E$4=$C$4,C89-D89,D89-C89)</f>
        <v>0</v>
      </c>
    </row>
    <row r="90" spans="1:5" x14ac:dyDescent="0.25">
      <c r="A90" s="1136">
        <f>A89</f>
        <v>44926</v>
      </c>
      <c r="B90" s="1137"/>
      <c r="C90" s="278">
        <f>C83+C89</f>
        <v>18356.060000000001</v>
      </c>
      <c r="D90" s="278">
        <f>D83+D89</f>
        <v>18356.060000000001</v>
      </c>
      <c r="E90" s="278">
        <f>IF($E$4=$C$4,C90-D90,D90-C90)</f>
        <v>0</v>
      </c>
    </row>
  </sheetData>
  <sheetProtection sheet="1" objects="1" scenarios="1"/>
  <mergeCells count="29">
    <mergeCell ref="A41:B41"/>
    <mergeCell ref="A47:B47"/>
    <mergeCell ref="A13:B13"/>
    <mergeCell ref="A82:B82"/>
    <mergeCell ref="A83:B83"/>
    <mergeCell ref="A89:B89"/>
    <mergeCell ref="A90:B90"/>
    <mergeCell ref="A61:B61"/>
    <mergeCell ref="A62:B62"/>
    <mergeCell ref="A68:B68"/>
    <mergeCell ref="A69:B69"/>
    <mergeCell ref="A75:B75"/>
    <mergeCell ref="A76:B76"/>
    <mergeCell ref="C2:E2"/>
    <mergeCell ref="A55:B55"/>
    <mergeCell ref="A19:B19"/>
    <mergeCell ref="A20:B20"/>
    <mergeCell ref="A26:B26"/>
    <mergeCell ref="A27:B27"/>
    <mergeCell ref="D4:D5"/>
    <mergeCell ref="A12:B12"/>
    <mergeCell ref="A48:B48"/>
    <mergeCell ref="A54:B54"/>
    <mergeCell ref="A4:A5"/>
    <mergeCell ref="B4:B5"/>
    <mergeCell ref="C4:C5"/>
    <mergeCell ref="A33:B33"/>
    <mergeCell ref="A34:B34"/>
    <mergeCell ref="A40:B40"/>
  </mergeCells>
  <printOptions horizontalCentered="1"/>
  <pageMargins left="0.43307086614173201" right="0.23622047244094499" top="0.74803149606299202" bottom="1.7322834645669301" header="0.31496062992126" footer="1.49606299212598"/>
  <pageSetup paperSize="5" scale="95" orientation="portrait" horizontalDpi="300" verticalDpi="300" r:id="rId1"/>
  <headerFooter>
    <oddFooter>Page &amp;P of &amp;N</oddFooter>
  </headerFooter>
  <rowBreaks count="1" manualBreakCount="1">
    <brk id="48" max="16383" man="1"/>
  </row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5">
    <tabColor rgb="FF0070C0"/>
  </sheetPr>
  <dimension ref="A1:G90"/>
  <sheetViews>
    <sheetView zoomScaleNormal="100" workbookViewId="0">
      <selection activeCell="I10" sqref="I10"/>
    </sheetView>
  </sheetViews>
  <sheetFormatPr defaultRowHeight="15.75" x14ac:dyDescent="0.25"/>
  <cols>
    <col min="1" max="1" width="13.375" style="6" bestFit="1" customWidth="1"/>
    <col min="2" max="2" width="32.5" customWidth="1"/>
    <col min="3" max="4" width="16.625" style="7" customWidth="1"/>
    <col min="5" max="5" width="16.625" customWidth="1"/>
  </cols>
  <sheetData>
    <row r="1" spans="1:5" ht="32.25" x14ac:dyDescent="0.5">
      <c r="A1" s="273" t="s">
        <v>508</v>
      </c>
      <c r="B1" s="104" t="str">
        <f>Account!$G$1</f>
        <v>FUND 501 CARP</v>
      </c>
    </row>
    <row r="2" spans="1:5" ht="37.5" x14ac:dyDescent="0.85">
      <c r="A2" s="273" t="s">
        <v>370</v>
      </c>
      <c r="B2" s="26" t="s">
        <v>1444</v>
      </c>
      <c r="C2" s="1135">
        <f t="array" ref="C2">IF(B2=0,0,(INDEX(AccountCodes[PPSAS CODE],MATCH(B2,AccountCodes[NGAS CODE],0))))</f>
        <v>2020103001</v>
      </c>
      <c r="D2" s="1135"/>
      <c r="E2" s="1135"/>
    </row>
    <row r="3" spans="1:5" ht="23.25" x14ac:dyDescent="0.25">
      <c r="A3" s="273" t="s">
        <v>371</v>
      </c>
      <c r="B3" s="492" t="str">
        <f t="array" ref="B3">IF(B2=0,0,(INDEX(AccountCodes[ACCOUNT NAME],MATCH(B2,AccountCodes[NGAS CODE],0))))</f>
        <v>Due to Pag-IBIG - Pag-IBIG Premium</v>
      </c>
      <c r="C3"/>
      <c r="D3"/>
    </row>
    <row r="4" spans="1:5" ht="15.75" customHeight="1" x14ac:dyDescent="0.25">
      <c r="A4" s="1141" t="s">
        <v>0</v>
      </c>
      <c r="B4" s="1140" t="s">
        <v>372</v>
      </c>
      <c r="C4" s="1140" t="s">
        <v>1</v>
      </c>
      <c r="D4" s="1140" t="s">
        <v>2</v>
      </c>
      <c r="E4" s="175" t="str">
        <f t="array" ref="E4">IF(C2=0,0,INDEX(AccountCodes[Normal Balance],MATCH(C2,AccountCodes[PPSAS CODE])))</f>
        <v>Credit</v>
      </c>
    </row>
    <row r="5" spans="1:5" x14ac:dyDescent="0.25">
      <c r="A5" s="1141"/>
      <c r="B5" s="1140"/>
      <c r="C5" s="1140"/>
      <c r="D5" s="1140"/>
      <c r="E5" s="18" t="s">
        <v>379</v>
      </c>
    </row>
    <row r="6" spans="1:5" x14ac:dyDescent="0.25">
      <c r="A6" s="21">
        <f>PostTB!A2</f>
        <v>44561</v>
      </c>
      <c r="B6" s="22" t="s">
        <v>373</v>
      </c>
      <c r="C6" s="20">
        <f>SUMIF(PostTB[Account Code (Old)],TRIM(B2),(PostTB[Debit]))</f>
        <v>0</v>
      </c>
      <c r="D6" s="20">
        <f>SUMIF(PostTB[Account Code (Old)],TRIM(B2),(PostTB[Credit]))</f>
        <v>0</v>
      </c>
      <c r="E6" s="20">
        <f>IF($E$4=$C$4,C6-D6,D6-C6)</f>
        <v>0</v>
      </c>
    </row>
    <row r="7" spans="1:5" x14ac:dyDescent="0.25">
      <c r="A7" s="11"/>
      <c r="B7" s="12"/>
      <c r="C7" s="13"/>
      <c r="D7" s="13"/>
      <c r="E7" s="12"/>
    </row>
    <row r="8" spans="1:5" x14ac:dyDescent="0.25">
      <c r="A8" s="279">
        <f>Account!$G$12</f>
        <v>44592</v>
      </c>
      <c r="B8" s="14" t="s">
        <v>374</v>
      </c>
      <c r="C8" s="17">
        <f t="array" ref="C8">SUM(IF((CkDJ[Date]=A8)*(CkDJ[Account Code]=TRIM($B$2)),CkDJ[Debit]))</f>
        <v>1446.64</v>
      </c>
      <c r="D8" s="17">
        <f t="array" ref="D8">SUM(IF((CkDJ[Date]=A8)*(CkDJ[Account Code]=TRIM($B$2)),CkDJ[Credit]))</f>
        <v>1446.64</v>
      </c>
      <c r="E8" s="12"/>
    </row>
    <row r="9" spans="1:5" x14ac:dyDescent="0.25">
      <c r="A9" s="279">
        <f>Account!$G$12</f>
        <v>44592</v>
      </c>
      <c r="B9" s="15" t="s">
        <v>375</v>
      </c>
      <c r="C9" s="13">
        <f t="array" ref="C9">SUM(IF((CsDJ[Date]=A9)*(CsDJ[Account Code]=TRIM($B$2)),CsDJ[Debit]))</f>
        <v>0</v>
      </c>
      <c r="D9" s="13">
        <f t="array" ref="D9">SUM(IF((CsDJ[Date]=A9)*(CsDJ[Account Code]=TRIM($B$2)),CsDJ[Credit]))</f>
        <v>0</v>
      </c>
      <c r="E9" s="12"/>
    </row>
    <row r="10" spans="1:5" x14ac:dyDescent="0.25">
      <c r="A10" s="279">
        <f>Account!$G$12</f>
        <v>44592</v>
      </c>
      <c r="B10" s="16" t="s">
        <v>376</v>
      </c>
      <c r="C10" s="13">
        <f t="array" ref="C10">SUM(IF((CRDJ[Date]=A10)*(CRDJ[Account Code]=TRIM($B$2)),CRDJ[Debit]))</f>
        <v>0</v>
      </c>
      <c r="D10" s="13">
        <f t="array" ref="D10">SUM(IF((CRDJ[Date]=A10)*(CRDJ[Account Code]=TRIM($B$2)),CRDJ[Credit]))</f>
        <v>0</v>
      </c>
      <c r="E10" s="10"/>
    </row>
    <row r="11" spans="1:5" x14ac:dyDescent="0.25">
      <c r="A11" s="279">
        <f>Account!$G$12</f>
        <v>44592</v>
      </c>
      <c r="B11" s="14" t="s">
        <v>377</v>
      </c>
      <c r="C11" s="13">
        <f t="array" ref="C11">SUM(IF((GJ[Date]=A11)*(GJ[Account Code]=TRIM($B$2)),GJ[Debit]))</f>
        <v>0</v>
      </c>
      <c r="D11" s="13">
        <f t="array" ref="D11">SUM(IF((GJ[Date]=A11)*(GJ[Account Code]=TRIM($B$2)),GJ[Credit]))</f>
        <v>0</v>
      </c>
      <c r="E11" s="12"/>
    </row>
    <row r="12" spans="1:5" x14ac:dyDescent="0.25">
      <c r="A12" s="1142">
        <f>A11</f>
        <v>44592</v>
      </c>
      <c r="B12" s="1143"/>
      <c r="C12" s="23">
        <f>SUM(C8:C11)</f>
        <v>1446.64</v>
      </c>
      <c r="D12" s="23">
        <f>SUM(D8:D11)</f>
        <v>1446.64</v>
      </c>
      <c r="E12" s="23">
        <f>IF($E$4=$C$4,C12-D12,D12-C12)</f>
        <v>0</v>
      </c>
    </row>
    <row r="13" spans="1:5" x14ac:dyDescent="0.25">
      <c r="A13" s="1144">
        <f>A12</f>
        <v>44592</v>
      </c>
      <c r="B13" s="1145"/>
      <c r="C13" s="20">
        <f>C6+C12</f>
        <v>1446.64</v>
      </c>
      <c r="D13" s="20">
        <f>D6+D12</f>
        <v>1446.64</v>
      </c>
      <c r="E13" s="20">
        <f>IF($E$4=$C$4,C13-D13,D13-C13)</f>
        <v>0</v>
      </c>
    </row>
    <row r="14" spans="1:5" x14ac:dyDescent="0.25">
      <c r="A14" s="19"/>
      <c r="B14" s="19"/>
      <c r="C14" s="13"/>
      <c r="D14" s="13"/>
      <c r="E14" s="12"/>
    </row>
    <row r="15" spans="1:5" x14ac:dyDescent="0.25">
      <c r="A15" s="279">
        <f>Account!$G$13</f>
        <v>44620</v>
      </c>
      <c r="B15" s="14" t="s">
        <v>374</v>
      </c>
      <c r="C15" s="17">
        <f t="array" ref="C15">SUM(IF((CkDJ[Date]=A15)*(CkDJ[Account Code]=TRIM($B$2)),CkDJ[Debit]))</f>
        <v>1446.64</v>
      </c>
      <c r="D15" s="17">
        <f t="array" ref="D15">SUM(IF((CkDJ[Date]=A15)*(CkDJ[Account Code]=TRIM($B$2)),CkDJ[Credit]))</f>
        <v>1446.64</v>
      </c>
      <c r="E15" s="12"/>
    </row>
    <row r="16" spans="1:5" x14ac:dyDescent="0.25">
      <c r="A16" s="279">
        <f>Account!$G$13</f>
        <v>44620</v>
      </c>
      <c r="B16" s="15" t="s">
        <v>375</v>
      </c>
      <c r="C16" s="13">
        <f t="array" ref="C16">SUM(IF((CsDJ[Date]=A16)*(CsDJ[Account Code]=TRIM($B$2)),CsDJ[Debit]))</f>
        <v>0</v>
      </c>
      <c r="D16" s="13">
        <f t="array" ref="D16">SUM(IF((CsDJ[Date]=A16)*(CsDJ[Account Code]=TRIM($B$2)),CsDJ[Credit]))</f>
        <v>0</v>
      </c>
      <c r="E16" s="12"/>
    </row>
    <row r="17" spans="1:5" x14ac:dyDescent="0.25">
      <c r="A17" s="279">
        <f>Account!$G$13</f>
        <v>44620</v>
      </c>
      <c r="B17" s="16" t="s">
        <v>376</v>
      </c>
      <c r="C17" s="13">
        <f t="array" ref="C17">SUM(IF((CRDJ[Date]=A17)*(CRDJ[Account Code]=TRIM($B$2)),CRDJ[Debit]))</f>
        <v>0</v>
      </c>
      <c r="D17" s="13">
        <f t="array" ref="D17">SUM(IF((CRDJ[Date]=A17)*(CRDJ[Account Code]=TRIM($B$2)),CRDJ[Credit]))</f>
        <v>0</v>
      </c>
      <c r="E17" s="12"/>
    </row>
    <row r="18" spans="1:5" x14ac:dyDescent="0.25">
      <c r="A18" s="279">
        <f>Account!$G$13</f>
        <v>44620</v>
      </c>
      <c r="B18" s="14" t="s">
        <v>377</v>
      </c>
      <c r="C18" s="13">
        <f t="array" ref="C18">SUM(IF((GJ[Date]=A18)*(GJ[Account Code]=TRIM($B$2)),GJ[Debit]))</f>
        <v>0</v>
      </c>
      <c r="D18" s="13">
        <f t="array" ref="D18">SUM(IF((GJ[Date]=A18)*(GJ[Account Code]=TRIM($B$2)),GJ[Credit]))</f>
        <v>0</v>
      </c>
      <c r="E18" s="12"/>
    </row>
    <row r="19" spans="1:5" x14ac:dyDescent="0.25">
      <c r="A19" s="1142">
        <f>A18</f>
        <v>44620</v>
      </c>
      <c r="B19" s="1143"/>
      <c r="C19" s="23">
        <f>SUM(C15:C18)</f>
        <v>1446.64</v>
      </c>
      <c r="D19" s="23">
        <f>SUM(D15:D18)</f>
        <v>1446.64</v>
      </c>
      <c r="E19" s="23">
        <f>IF($E$4=$C$4,C19-D19,D19-C19)</f>
        <v>0</v>
      </c>
    </row>
    <row r="20" spans="1:5" x14ac:dyDescent="0.25">
      <c r="A20" s="1144">
        <f>A19</f>
        <v>44620</v>
      </c>
      <c r="B20" s="1145"/>
      <c r="C20" s="20">
        <f>C13+C19</f>
        <v>2893.28</v>
      </c>
      <c r="D20" s="20">
        <f>D13+D19</f>
        <v>2893.28</v>
      </c>
      <c r="E20" s="20">
        <f>IF($E$4=$C$4,C20-D20,D20-C20)</f>
        <v>0</v>
      </c>
    </row>
    <row r="21" spans="1:5" x14ac:dyDescent="0.25">
      <c r="A21" s="11"/>
      <c r="B21" s="12"/>
      <c r="C21" s="13"/>
      <c r="D21" s="13"/>
      <c r="E21" s="12"/>
    </row>
    <row r="22" spans="1:5" x14ac:dyDescent="0.25">
      <c r="A22" s="279">
        <f>Account!$G$14</f>
        <v>44651</v>
      </c>
      <c r="B22" s="14" t="s">
        <v>374</v>
      </c>
      <c r="C22" s="17">
        <f t="array" ref="C22">SUM(IF((CkDJ[Date]=A22)*(CkDJ[Account Code]=TRIM($B$2)),CkDJ[Debit]))</f>
        <v>1446.64</v>
      </c>
      <c r="D22" s="17">
        <f t="array" ref="D22">SUM(IF((CkDJ[Date]=A22)*(CkDJ[Account Code]=TRIM($B$2)),CkDJ[Credit]))</f>
        <v>1446.64</v>
      </c>
      <c r="E22" s="12"/>
    </row>
    <row r="23" spans="1:5" x14ac:dyDescent="0.25">
      <c r="A23" s="279">
        <f>Account!$G$14</f>
        <v>44651</v>
      </c>
      <c r="B23" s="15" t="s">
        <v>375</v>
      </c>
      <c r="C23" s="13">
        <f t="array" ref="C23">SUM(IF((CsDJ[Date]=A23)*(CsDJ[Account Code]=TRIM($B$2)),CsDJ[Debit]))</f>
        <v>0</v>
      </c>
      <c r="D23" s="13">
        <f t="array" ref="D23">SUM(IF((CsDJ[Date]=A23)*(CsDJ[Account Code]=TRIM($B$2)),CsDJ[Credit]))</f>
        <v>0</v>
      </c>
      <c r="E23" s="12"/>
    </row>
    <row r="24" spans="1:5" x14ac:dyDescent="0.25">
      <c r="A24" s="279">
        <f>Account!$G$14</f>
        <v>44651</v>
      </c>
      <c r="B24" s="16" t="s">
        <v>376</v>
      </c>
      <c r="C24" s="13">
        <f t="array" ref="C24">SUM(IF((CRDJ[Date]=A24)*(CRDJ[Account Code]=TRIM($B$2)),CRDJ[Debit]))</f>
        <v>0</v>
      </c>
      <c r="D24" s="13">
        <f t="array" ref="D24">SUM(IF((CRDJ[Date]=A24)*(CRDJ[Account Code]=TRIM($B$2)),CRDJ[Credit]))</f>
        <v>0</v>
      </c>
      <c r="E24" s="12"/>
    </row>
    <row r="25" spans="1:5" x14ac:dyDescent="0.25">
      <c r="A25" s="279">
        <f>Account!$G$14</f>
        <v>44651</v>
      </c>
      <c r="B25" s="14" t="s">
        <v>377</v>
      </c>
      <c r="C25" s="13">
        <f t="array" ref="C25">SUM(IF((GJ[Date]=A25)*(GJ[Account Code]=TRIM($B$2)),GJ[Debit]))</f>
        <v>0</v>
      </c>
      <c r="D25" s="13">
        <f t="array" ref="D25">SUM(IF((GJ[Date]=A25)*(GJ[Account Code]=TRIM($B$2)),GJ[Credit]))</f>
        <v>0</v>
      </c>
      <c r="E25" s="12"/>
    </row>
    <row r="26" spans="1:5" x14ac:dyDescent="0.25">
      <c r="A26" s="1142">
        <f>A25</f>
        <v>44651</v>
      </c>
      <c r="B26" s="1143"/>
      <c r="C26" s="23">
        <f>SUM(C22:C25)</f>
        <v>1446.64</v>
      </c>
      <c r="D26" s="23">
        <f>SUM(D22:D25)</f>
        <v>1446.64</v>
      </c>
      <c r="E26" s="23">
        <f>IF($E$4=$C$4,C26-D26,D26-C26)</f>
        <v>0</v>
      </c>
    </row>
    <row r="27" spans="1:5" x14ac:dyDescent="0.25">
      <c r="A27" s="1144">
        <f>A26</f>
        <v>44651</v>
      </c>
      <c r="B27" s="1145"/>
      <c r="C27" s="20">
        <f>C20+C26</f>
        <v>4339.92</v>
      </c>
      <c r="D27" s="20">
        <f>D20+D26</f>
        <v>4339.92</v>
      </c>
      <c r="E27" s="20">
        <f>IF($E$4=$C$4,C27-D27,D27-C27)</f>
        <v>0</v>
      </c>
    </row>
    <row r="28" spans="1:5" x14ac:dyDescent="0.25">
      <c r="A28" s="11"/>
      <c r="B28" s="12"/>
      <c r="C28" s="13"/>
      <c r="D28" s="13"/>
      <c r="E28" s="12"/>
    </row>
    <row r="29" spans="1:5" x14ac:dyDescent="0.25">
      <c r="A29" s="279">
        <f>Account!$G$15</f>
        <v>44681</v>
      </c>
      <c r="B29" s="14" t="s">
        <v>374</v>
      </c>
      <c r="C29" s="17">
        <f t="array" ref="C29">SUM(IF((CkDJ[Date]=A29)*(CkDJ[Account Code]=TRIM($B$2)),CkDJ[Debit]))</f>
        <v>1446.64</v>
      </c>
      <c r="D29" s="17">
        <f t="array" ref="D29">SUM(IF((CkDJ[Date]=A29)*(CkDJ[Account Code]=TRIM($B$2)),CkDJ[Credit]))</f>
        <v>1446.64</v>
      </c>
      <c r="E29" s="12"/>
    </row>
    <row r="30" spans="1:5" x14ac:dyDescent="0.25">
      <c r="A30" s="279">
        <f>Account!$G$15</f>
        <v>44681</v>
      </c>
      <c r="B30" s="15" t="s">
        <v>375</v>
      </c>
      <c r="C30" s="13">
        <f t="array" ref="C30">SUM(IF((CsDJ[Date]=A30)*(CsDJ[Account Code]=TRIM($B$2)),CsDJ[Debit]))</f>
        <v>0</v>
      </c>
      <c r="D30" s="13">
        <f t="array" ref="D30">SUM(IF((CsDJ[Date]=A30)*(CsDJ[Account Code]=TRIM($B$2)),CsDJ[Credit]))</f>
        <v>0</v>
      </c>
      <c r="E30" s="12"/>
    </row>
    <row r="31" spans="1:5" x14ac:dyDescent="0.25">
      <c r="A31" s="279">
        <f>Account!$G$15</f>
        <v>44681</v>
      </c>
      <c r="B31" s="16" t="s">
        <v>376</v>
      </c>
      <c r="C31" s="13">
        <f t="array" ref="C31">SUM(IF((CRDJ[Date]=A31)*(CRDJ[Account Code]=TRIM($B$2)),CRDJ[Debit]))</f>
        <v>0</v>
      </c>
      <c r="D31" s="13">
        <f t="array" ref="D31">SUM(IF((CRDJ[Date]=A31)*(CRDJ[Account Code]=TRIM($B$2)),CRDJ[Credit]))</f>
        <v>0</v>
      </c>
      <c r="E31" s="12"/>
    </row>
    <row r="32" spans="1:5" x14ac:dyDescent="0.25">
      <c r="A32" s="279">
        <f>Account!$G$15</f>
        <v>44681</v>
      </c>
      <c r="B32" s="14" t="s">
        <v>377</v>
      </c>
      <c r="C32" s="13">
        <f t="array" ref="C32">SUM(IF((GJ[Date]=A32)*(GJ[Account Code]=TRIM($B$2)),GJ[Debit]))</f>
        <v>0</v>
      </c>
      <c r="D32" s="13">
        <f t="array" ref="D32">SUM(IF((GJ[Date]=A32)*(GJ[Account Code]=TRIM($B$2)),GJ[Credit]))</f>
        <v>0</v>
      </c>
      <c r="E32" s="12"/>
    </row>
    <row r="33" spans="1:5" x14ac:dyDescent="0.25">
      <c r="A33" s="1142">
        <f>A32</f>
        <v>44681</v>
      </c>
      <c r="B33" s="1143"/>
      <c r="C33" s="23">
        <f>SUM(C29:C32)</f>
        <v>1446.64</v>
      </c>
      <c r="D33" s="23">
        <f>SUM(D29:D32)</f>
        <v>1446.64</v>
      </c>
      <c r="E33" s="23">
        <f>IF($E$4=$C$4,C33-D33,D33-C33)</f>
        <v>0</v>
      </c>
    </row>
    <row r="34" spans="1:5" x14ac:dyDescent="0.25">
      <c r="A34" s="1144">
        <f>A33</f>
        <v>44681</v>
      </c>
      <c r="B34" s="1145"/>
      <c r="C34" s="20">
        <f>C27+C33</f>
        <v>5786.56</v>
      </c>
      <c r="D34" s="20">
        <f>D27+D33</f>
        <v>5786.56</v>
      </c>
      <c r="E34" s="20">
        <f>IF($E$4=$C$4,C34-D34,D34-C34)</f>
        <v>0</v>
      </c>
    </row>
    <row r="35" spans="1:5" x14ac:dyDescent="0.25">
      <c r="A35" s="11"/>
      <c r="B35" s="12"/>
      <c r="C35" s="13"/>
      <c r="D35" s="13"/>
      <c r="E35" s="12"/>
    </row>
    <row r="36" spans="1:5" x14ac:dyDescent="0.25">
      <c r="A36" s="279">
        <f>Account!$G$16</f>
        <v>44712</v>
      </c>
      <c r="B36" s="14" t="s">
        <v>374</v>
      </c>
      <c r="C36" s="17">
        <f t="array" ref="C36">SUM(IF((CkDJ[Date]=A36)*(CkDJ[Account Code]=TRIM($B$2)),CkDJ[Debit]))</f>
        <v>1446.64</v>
      </c>
      <c r="D36" s="17">
        <f t="array" ref="D36">SUM(IF((CkDJ[Date]=A36)*(CkDJ[Account Code]=TRIM($B$2)),CkDJ[Credit]))</f>
        <v>1446.64</v>
      </c>
      <c r="E36" s="12"/>
    </row>
    <row r="37" spans="1:5" x14ac:dyDescent="0.25">
      <c r="A37" s="279">
        <f>Account!$G$16</f>
        <v>44712</v>
      </c>
      <c r="B37" s="15" t="s">
        <v>375</v>
      </c>
      <c r="C37" s="13">
        <f t="array" ref="C37">SUM(IF((CsDJ[Date]=A37)*(CsDJ[Account Code]=TRIM($B$2)),CsDJ[Debit]))</f>
        <v>0</v>
      </c>
      <c r="D37" s="13">
        <f t="array" ref="D37">SUM(IF((CsDJ[Date]=A37)*(CsDJ[Account Code]=TRIM($B$2)),CsDJ[Credit]))</f>
        <v>0</v>
      </c>
      <c r="E37" s="12"/>
    </row>
    <row r="38" spans="1:5" x14ac:dyDescent="0.25">
      <c r="A38" s="279">
        <f>Account!$G$16</f>
        <v>44712</v>
      </c>
      <c r="B38" s="16" t="s">
        <v>376</v>
      </c>
      <c r="C38" s="13">
        <f t="array" ref="C38">SUM(IF((CRDJ[Date]=A38)*(CRDJ[Account Code]=TRIM($B$2)),CRDJ[Debit]))</f>
        <v>0</v>
      </c>
      <c r="D38" s="13">
        <f t="array" ref="D38">SUM(IF((CRDJ[Date]=A38)*(CRDJ[Account Code]=TRIM($B$2)),CRDJ[Credit]))</f>
        <v>0</v>
      </c>
      <c r="E38" s="12"/>
    </row>
    <row r="39" spans="1:5" x14ac:dyDescent="0.25">
      <c r="A39" s="279">
        <f>Account!$G$16</f>
        <v>44712</v>
      </c>
      <c r="B39" s="14" t="s">
        <v>377</v>
      </c>
      <c r="C39" s="13">
        <f t="array" ref="C39">SUM(IF((GJ[Date]=A39)*(GJ[Account Code]=TRIM($B$2)),GJ[Debit]))</f>
        <v>0</v>
      </c>
      <c r="D39" s="13">
        <f t="array" ref="D39">SUM(IF((GJ[Date]=A39)*(GJ[Account Code]=TRIM($B$2)),GJ[Credit]))</f>
        <v>0</v>
      </c>
      <c r="E39" s="12"/>
    </row>
    <row r="40" spans="1:5" x14ac:dyDescent="0.25">
      <c r="A40" s="1142">
        <f>A39</f>
        <v>44712</v>
      </c>
      <c r="B40" s="1143"/>
      <c r="C40" s="23">
        <f>SUM(C36:C39)</f>
        <v>1446.64</v>
      </c>
      <c r="D40" s="23">
        <f>SUM(D36:D39)</f>
        <v>1446.64</v>
      </c>
      <c r="E40" s="23">
        <f>IF($E$4=$C$4,C40-D40,D40-C40)</f>
        <v>0</v>
      </c>
    </row>
    <row r="41" spans="1:5" x14ac:dyDescent="0.25">
      <c r="A41" s="1144">
        <f>A40</f>
        <v>44712</v>
      </c>
      <c r="B41" s="1145"/>
      <c r="C41" s="20">
        <f>C34+C40</f>
        <v>7233.2</v>
      </c>
      <c r="D41" s="20">
        <f>D34+D40</f>
        <v>7233.2</v>
      </c>
      <c r="E41" s="20">
        <f>IF($E$4=$C$4,C41-D41,D41-C41)</f>
        <v>0</v>
      </c>
    </row>
    <row r="42" spans="1:5" x14ac:dyDescent="0.25">
      <c r="A42" s="11"/>
      <c r="B42" s="12"/>
      <c r="C42" s="13"/>
      <c r="D42" s="13"/>
      <c r="E42" s="12"/>
    </row>
    <row r="43" spans="1:5" x14ac:dyDescent="0.25">
      <c r="A43" s="279">
        <f>Account!$G$17</f>
        <v>44742</v>
      </c>
      <c r="B43" s="14" t="s">
        <v>374</v>
      </c>
      <c r="C43" s="17">
        <f t="array" ref="C43">SUM(IF((CkDJ[Date]=A43)*(CkDJ[Account Code]=TRIM($B$2)),CkDJ[Debit]))</f>
        <v>1588.98</v>
      </c>
      <c r="D43" s="17">
        <f t="array" ref="D43">SUM(IF((CkDJ[Date]=A43)*(CkDJ[Account Code]=TRIM($B$2)),CkDJ[Credit]))</f>
        <v>1588.98</v>
      </c>
      <c r="E43" s="12"/>
    </row>
    <row r="44" spans="1:5" x14ac:dyDescent="0.25">
      <c r="A44" s="279">
        <f>Account!$G$17</f>
        <v>44742</v>
      </c>
      <c r="B44" s="15" t="s">
        <v>375</v>
      </c>
      <c r="C44" s="13">
        <f t="array" ref="C44">SUM(IF((CsDJ[Date]=A44)*(CsDJ[Account Code]=TRIM($B$2)),CsDJ[Debit]))</f>
        <v>0</v>
      </c>
      <c r="D44" s="13">
        <f t="array" ref="D44">SUM(IF((CsDJ[Date]=A44)*(CsDJ[Account Code]=TRIM($B$2)),CsDJ[Credit]))</f>
        <v>0</v>
      </c>
      <c r="E44" s="12"/>
    </row>
    <row r="45" spans="1:5" x14ac:dyDescent="0.25">
      <c r="A45" s="279">
        <f>Account!$G$17</f>
        <v>44742</v>
      </c>
      <c r="B45" s="16" t="s">
        <v>376</v>
      </c>
      <c r="C45" s="13">
        <f t="array" ref="C45">SUM(IF((CRDJ[Date]=A45)*(CRDJ[Account Code]=TRIM($B$2)),CRDJ[Debit]))</f>
        <v>0</v>
      </c>
      <c r="D45" s="13">
        <f t="array" ref="D45">SUM(IF((CRDJ[Date]=A45)*(CRDJ[Account Code]=TRIM($B$2)),CRDJ[Credit]))</f>
        <v>0</v>
      </c>
      <c r="E45" s="12"/>
    </row>
    <row r="46" spans="1:5" x14ac:dyDescent="0.25">
      <c r="A46" s="279">
        <f>Account!$G$17</f>
        <v>44742</v>
      </c>
      <c r="B46" s="14" t="s">
        <v>377</v>
      </c>
      <c r="C46" s="13">
        <f t="array" ref="C46">SUM(IF((GJ[Date]=A46)*(GJ[Account Code]=TRIM($B$2)),GJ[Debit]))</f>
        <v>0</v>
      </c>
      <c r="D46" s="13">
        <f t="array" ref="D46">SUM(IF((GJ[Date]=A46)*(GJ[Account Code]=TRIM($B$2)),GJ[Credit]))</f>
        <v>0</v>
      </c>
      <c r="E46" s="12"/>
    </row>
    <row r="47" spans="1:5" x14ac:dyDescent="0.25">
      <c r="A47" s="1142">
        <f>A46</f>
        <v>44742</v>
      </c>
      <c r="B47" s="1143"/>
      <c r="C47" s="23">
        <f>SUM(C43:C46)</f>
        <v>1588.98</v>
      </c>
      <c r="D47" s="23">
        <f>SUM(D43:D46)</f>
        <v>1588.98</v>
      </c>
      <c r="E47" s="23">
        <f>IF($E$4=$C$4,C47-D47,D47-C47)</f>
        <v>0</v>
      </c>
    </row>
    <row r="48" spans="1:5" x14ac:dyDescent="0.25">
      <c r="A48" s="1144">
        <f>A47</f>
        <v>44742</v>
      </c>
      <c r="B48" s="1145"/>
      <c r="C48" s="20">
        <f>C41+C47</f>
        <v>8822.18</v>
      </c>
      <c r="D48" s="20">
        <f>D41+D47</f>
        <v>8822.18</v>
      </c>
      <c r="E48" s="20">
        <f>IF($E$4=$C$4,C48-D48,D48-C48)</f>
        <v>0</v>
      </c>
    </row>
    <row r="49" spans="1:5" x14ac:dyDescent="0.25">
      <c r="A49" s="11"/>
      <c r="B49" s="12"/>
      <c r="C49" s="13"/>
      <c r="D49" s="13"/>
      <c r="E49" s="12"/>
    </row>
    <row r="50" spans="1:5" x14ac:dyDescent="0.25">
      <c r="A50" s="279">
        <f>Account!$G$18</f>
        <v>44773</v>
      </c>
      <c r="B50" s="14" t="s">
        <v>374</v>
      </c>
      <c r="C50" s="17">
        <f t="array" ref="C50">SUM(IF((CkDJ[Date]=A50)*(CkDJ[Account Code]=TRIM($B$2)),CkDJ[Debit]))</f>
        <v>1588</v>
      </c>
      <c r="D50" s="17">
        <f t="array" ref="D50">SUM(IF((CkDJ[Date]=A50)*(CkDJ[Account Code]=TRIM($B$2)),CkDJ[Credit]))</f>
        <v>1588.98</v>
      </c>
      <c r="E50" s="12"/>
    </row>
    <row r="51" spans="1:5" x14ac:dyDescent="0.25">
      <c r="A51" s="279">
        <f>Account!$G$18</f>
        <v>44773</v>
      </c>
      <c r="B51" s="15" t="s">
        <v>375</v>
      </c>
      <c r="C51" s="13">
        <f t="array" ref="C51">SUM(IF((CsDJ[Date]=A51)*(CsDJ[Account Code]=TRIM($B$2)),CsDJ[Debit]))</f>
        <v>0</v>
      </c>
      <c r="D51" s="13">
        <f t="array" ref="D51">SUM(IF((CsDJ[Date]=A51)*(CsDJ[Account Code]=TRIM($B$2)),CsDJ[Credit]))</f>
        <v>0</v>
      </c>
      <c r="E51" s="12"/>
    </row>
    <row r="52" spans="1:5" x14ac:dyDescent="0.25">
      <c r="A52" s="279">
        <f>Account!$G$18</f>
        <v>44773</v>
      </c>
      <c r="B52" s="16" t="s">
        <v>376</v>
      </c>
      <c r="C52" s="13">
        <f t="array" ref="C52">SUM(IF((CRDJ[Date]=A52)*(CRDJ[Account Code]=TRIM($B$2)),CRDJ[Debit]))</f>
        <v>0</v>
      </c>
      <c r="D52" s="13">
        <f t="array" ref="D52">SUM(IF((CRDJ[Date]=A52)*(CRDJ[Account Code]=TRIM($B$2)),CRDJ[Credit]))</f>
        <v>0</v>
      </c>
      <c r="E52" s="12"/>
    </row>
    <row r="53" spans="1:5" x14ac:dyDescent="0.25">
      <c r="A53" s="279">
        <f>Account!$G$18</f>
        <v>44773</v>
      </c>
      <c r="B53" s="14" t="s">
        <v>377</v>
      </c>
      <c r="C53" s="13">
        <f t="array" ref="C53">SUM(IF((GJ[Date]=A53)*(GJ[Account Code]=TRIM($B$2)),GJ[Debit]))</f>
        <v>0</v>
      </c>
      <c r="D53" s="13">
        <f t="array" ref="D53">SUM(IF((GJ[Date]=A53)*(GJ[Account Code]=TRIM($B$2)),GJ[Credit]))</f>
        <v>0</v>
      </c>
      <c r="E53" s="12"/>
    </row>
    <row r="54" spans="1:5" x14ac:dyDescent="0.25">
      <c r="A54" s="1142">
        <f>A53</f>
        <v>44773</v>
      </c>
      <c r="B54" s="1143"/>
      <c r="C54" s="23">
        <f>SUM(C50:C53)</f>
        <v>1588</v>
      </c>
      <c r="D54" s="23">
        <f>SUM(D50:D53)</f>
        <v>1588.98</v>
      </c>
      <c r="E54" s="23">
        <f>IF($E$4=$C$4,C54-D54,D54-C54)</f>
        <v>0.98</v>
      </c>
    </row>
    <row r="55" spans="1:5" x14ac:dyDescent="0.25">
      <c r="A55" s="1144">
        <f>A54</f>
        <v>44773</v>
      </c>
      <c r="B55" s="1145"/>
      <c r="C55" s="20">
        <f>C48+C54</f>
        <v>10410.18</v>
      </c>
      <c r="D55" s="20">
        <f>D48+D54</f>
        <v>10411.16</v>
      </c>
      <c r="E55" s="20">
        <f>IF($E$4=$C$4,C55-D55,D55-C55)</f>
        <v>0.98</v>
      </c>
    </row>
    <row r="56" spans="1:5" x14ac:dyDescent="0.25">
      <c r="A56" s="11"/>
      <c r="B56" s="12"/>
      <c r="C56" s="13"/>
      <c r="D56" s="13"/>
      <c r="E56" s="12"/>
    </row>
    <row r="57" spans="1:5" x14ac:dyDescent="0.25">
      <c r="A57" s="279">
        <f>Account!$G$19</f>
        <v>44804</v>
      </c>
      <c r="B57" s="14" t="s">
        <v>374</v>
      </c>
      <c r="C57" s="17">
        <f t="array" ref="C57">SUM(IF((CkDJ[Date]=A57)*(CkDJ[Account Code]=TRIM($B$2)),CkDJ[Debit]))</f>
        <v>1589.96</v>
      </c>
      <c r="D57" s="17">
        <f t="array" ref="D57">SUM(IF((CkDJ[Date]=A57)*(CkDJ[Account Code]=TRIM($B$2)),CkDJ[Credit]))</f>
        <v>1588.98</v>
      </c>
      <c r="E57" s="12"/>
    </row>
    <row r="58" spans="1:5" x14ac:dyDescent="0.25">
      <c r="A58" s="279">
        <f>Account!$G$19</f>
        <v>44804</v>
      </c>
      <c r="B58" s="15" t="s">
        <v>375</v>
      </c>
      <c r="C58" s="13">
        <f t="array" ref="C58">SUM(IF((CsDJ[Date]=A58)*(CsDJ[Account Code]=TRIM($B$2)),CsDJ[Debit]))</f>
        <v>0</v>
      </c>
      <c r="D58" s="13">
        <f t="array" ref="D58">SUM(IF((CsDJ[Date]=A58)*(CsDJ[Account Code]=TRIM($B$2)),CsDJ[Credit]))</f>
        <v>0</v>
      </c>
      <c r="E58" s="12"/>
    </row>
    <row r="59" spans="1:5" x14ac:dyDescent="0.25">
      <c r="A59" s="279">
        <f>Account!$G$19</f>
        <v>44804</v>
      </c>
      <c r="B59" s="16" t="s">
        <v>376</v>
      </c>
      <c r="C59" s="13">
        <f t="array" ref="C59">SUM(IF((CRDJ[Date]=A59)*(CRDJ[Account Code]=TRIM($B$2)),CRDJ[Debit]))</f>
        <v>0</v>
      </c>
      <c r="D59" s="13">
        <f t="array" ref="D59">SUM(IF((CRDJ[Date]=A59)*(CRDJ[Account Code]=TRIM($B$2)),CRDJ[Credit]))</f>
        <v>0</v>
      </c>
      <c r="E59" s="12"/>
    </row>
    <row r="60" spans="1:5" x14ac:dyDescent="0.25">
      <c r="A60" s="279">
        <f>Account!$G$19</f>
        <v>44804</v>
      </c>
      <c r="B60" s="14" t="s">
        <v>377</v>
      </c>
      <c r="C60" s="13">
        <f t="array" ref="C60">SUM(IF((GJ[Date]=A60)*(GJ[Account Code]=TRIM($B$2)),GJ[Debit]))</f>
        <v>0</v>
      </c>
      <c r="D60" s="13">
        <f t="array" ref="D60">SUM(IF((GJ[Date]=A60)*(GJ[Account Code]=TRIM($B$2)),GJ[Credit]))</f>
        <v>0</v>
      </c>
      <c r="E60" s="12"/>
    </row>
    <row r="61" spans="1:5" x14ac:dyDescent="0.25">
      <c r="A61" s="1142">
        <f>A60</f>
        <v>44804</v>
      </c>
      <c r="B61" s="1143"/>
      <c r="C61" s="23">
        <f>SUM(C57:C60)</f>
        <v>1589.96</v>
      </c>
      <c r="D61" s="23">
        <f>SUM(D57:D60)</f>
        <v>1588.98</v>
      </c>
      <c r="E61" s="23">
        <f>IF($E$4=$C$4,C61-D61,D61-C61)</f>
        <v>-0.98</v>
      </c>
    </row>
    <row r="62" spans="1:5" x14ac:dyDescent="0.25">
      <c r="A62" s="1144">
        <f>A61</f>
        <v>44804</v>
      </c>
      <c r="B62" s="1145"/>
      <c r="C62" s="20">
        <f>C55+C61</f>
        <v>12000.14</v>
      </c>
      <c r="D62" s="20">
        <f>D55+D61</f>
        <v>12000.14</v>
      </c>
      <c r="E62" s="20">
        <f>IF($E$4=$C$4,C62-D62,D62-C62)</f>
        <v>0</v>
      </c>
    </row>
    <row r="63" spans="1:5" x14ac:dyDescent="0.25">
      <c r="A63" s="11"/>
      <c r="B63" s="12"/>
      <c r="C63" s="13"/>
      <c r="D63" s="13"/>
      <c r="E63" s="12"/>
    </row>
    <row r="64" spans="1:5" x14ac:dyDescent="0.25">
      <c r="A64" s="279">
        <f>Account!$G$20</f>
        <v>44834</v>
      </c>
      <c r="B64" s="14" t="s">
        <v>374</v>
      </c>
      <c r="C64" s="17">
        <f t="array" ref="C64">SUM(IF((CkDJ[Date]=A64)*(CkDJ[Account Code]=TRIM($B$2)),CkDJ[Debit]))</f>
        <v>1588.98</v>
      </c>
      <c r="D64" s="17">
        <f t="array" ref="D64">SUM(IF((CkDJ[Date]=A64)*(CkDJ[Account Code]=TRIM($B$2)),CkDJ[Credit]))</f>
        <v>1588.98</v>
      </c>
      <c r="E64" s="12"/>
    </row>
    <row r="65" spans="1:7" x14ac:dyDescent="0.25">
      <c r="A65" s="279">
        <f>Account!$G$20</f>
        <v>44834</v>
      </c>
      <c r="B65" s="15" t="s">
        <v>375</v>
      </c>
      <c r="C65" s="13">
        <f t="array" ref="C65">SUM(IF((CsDJ[Date]=A65)*(CsDJ[Account Code]=TRIM($B$2)),CsDJ[Debit]))</f>
        <v>0</v>
      </c>
      <c r="D65" s="13">
        <f t="array" ref="D65">SUM(IF((CsDJ[Date]=A65)*(CsDJ[Account Code]=TRIM($B$2)),CsDJ[Credit]))</f>
        <v>0</v>
      </c>
      <c r="E65" s="12"/>
    </row>
    <row r="66" spans="1:7" x14ac:dyDescent="0.25">
      <c r="A66" s="279">
        <f>Account!$G$20</f>
        <v>44834</v>
      </c>
      <c r="B66" s="16" t="s">
        <v>376</v>
      </c>
      <c r="C66" s="13">
        <f t="array" ref="C66">SUM(IF((CRDJ[Date]=A66)*(CRDJ[Account Code]=TRIM($B$2)),CRDJ[Debit]))</f>
        <v>0</v>
      </c>
      <c r="D66" s="13">
        <f t="array" ref="D66">SUM(IF((CRDJ[Date]=A66)*(CRDJ[Account Code]=TRIM($B$2)),CRDJ[Credit]))</f>
        <v>0</v>
      </c>
      <c r="E66" s="12"/>
    </row>
    <row r="67" spans="1:7" x14ac:dyDescent="0.25">
      <c r="A67" s="279">
        <f>Account!$G$20</f>
        <v>44834</v>
      </c>
      <c r="B67" s="14" t="s">
        <v>377</v>
      </c>
      <c r="C67" s="13">
        <f t="array" ref="C67">SUM(IF((GJ[Date]=A67)*(GJ[Account Code]=TRIM($B$2)),GJ[Debit]))</f>
        <v>0</v>
      </c>
      <c r="D67" s="13">
        <f t="array" ref="D67">SUM(IF((GJ[Date]=A67)*(GJ[Account Code]=TRIM($B$2)),GJ[Credit]))</f>
        <v>0</v>
      </c>
      <c r="E67" s="12"/>
    </row>
    <row r="68" spans="1:7" x14ac:dyDescent="0.25">
      <c r="A68" s="1142">
        <f>A67</f>
        <v>44834</v>
      </c>
      <c r="B68" s="1143"/>
      <c r="C68" s="23">
        <f>SUM(C64:C67)</f>
        <v>1588.98</v>
      </c>
      <c r="D68" s="23">
        <f>SUM(D64:D67)</f>
        <v>1588.98</v>
      </c>
      <c r="E68" s="23">
        <f>IF($E$4=$C$4,C68-D68,D68-C68)</f>
        <v>0</v>
      </c>
    </row>
    <row r="69" spans="1:7" x14ac:dyDescent="0.25">
      <c r="A69" s="1144">
        <f>A68</f>
        <v>44834</v>
      </c>
      <c r="B69" s="1145"/>
      <c r="C69" s="20">
        <f>C62+C68</f>
        <v>13589.12</v>
      </c>
      <c r="D69" s="20">
        <f>D62+D68</f>
        <v>13589.12</v>
      </c>
      <c r="E69" s="20">
        <f>IF($E$4=$C$4,C69-D69,D69-C69)</f>
        <v>0</v>
      </c>
    </row>
    <row r="70" spans="1:7" x14ac:dyDescent="0.25">
      <c r="A70" s="11"/>
      <c r="B70" s="12"/>
      <c r="C70" s="13"/>
      <c r="D70" s="13"/>
      <c r="E70" s="12"/>
    </row>
    <row r="71" spans="1:7" x14ac:dyDescent="0.25">
      <c r="A71" s="279">
        <f>Account!$G$21</f>
        <v>44865</v>
      </c>
      <c r="B71" s="14" t="s">
        <v>374</v>
      </c>
      <c r="C71" s="17">
        <f t="array" ref="C71">SUM(IF((CkDJ[Date]=A71)*(CkDJ[Account Code]=TRIM($B$2)),CkDJ[Debit]))</f>
        <v>1588.98</v>
      </c>
      <c r="D71" s="17">
        <f t="array" ref="D71">SUM(IF((CkDJ[Date]=A71)*(CkDJ[Account Code]=TRIM($B$2)),CkDJ[Credit]))</f>
        <v>1588.98</v>
      </c>
      <c r="E71" s="12"/>
    </row>
    <row r="72" spans="1:7" x14ac:dyDescent="0.25">
      <c r="A72" s="279">
        <f>Account!$G$21</f>
        <v>44865</v>
      </c>
      <c r="B72" s="15" t="s">
        <v>375</v>
      </c>
      <c r="C72" s="13">
        <f t="array" ref="C72">SUM(IF((CsDJ[Date]=A72)*(CsDJ[Account Code]=TRIM($B$2)),CsDJ[Debit]))</f>
        <v>0</v>
      </c>
      <c r="D72" s="13">
        <f t="array" ref="D72">SUM(IF((CsDJ[Date]=A72)*(CsDJ[Account Code]=TRIM($B$2)),CsDJ[Credit]))</f>
        <v>0</v>
      </c>
      <c r="E72" s="12"/>
    </row>
    <row r="73" spans="1:7" x14ac:dyDescent="0.25">
      <c r="A73" s="279">
        <f>Account!$G$21</f>
        <v>44865</v>
      </c>
      <c r="B73" s="16" t="s">
        <v>376</v>
      </c>
      <c r="C73" s="13">
        <f t="array" ref="C73">SUM(IF((CRDJ[Date]=A73)*(CRDJ[Account Code]=TRIM($B$2)),CRDJ[Debit]))</f>
        <v>0</v>
      </c>
      <c r="D73" s="13">
        <f t="array" ref="D73">SUM(IF((CRDJ[Date]=A73)*(CRDJ[Account Code]=TRIM($B$2)),CRDJ[Credit]))</f>
        <v>0</v>
      </c>
      <c r="E73" s="12"/>
    </row>
    <row r="74" spans="1:7" x14ac:dyDescent="0.25">
      <c r="A74" s="279">
        <f>Account!$G$21</f>
        <v>44865</v>
      </c>
      <c r="B74" s="14" t="s">
        <v>377</v>
      </c>
      <c r="C74" s="13">
        <f t="array" ref="C74">SUM(IF((GJ[Date]=A74)*(GJ[Account Code]=TRIM($B$2)),GJ[Debit]))</f>
        <v>0</v>
      </c>
      <c r="D74" s="13">
        <f t="array" ref="D74">SUM(IF((GJ[Date]=A74)*(GJ[Account Code]=TRIM($B$2)),GJ[Credit]))</f>
        <v>0</v>
      </c>
      <c r="E74" s="12"/>
    </row>
    <row r="75" spans="1:7" x14ac:dyDescent="0.25">
      <c r="A75" s="1142">
        <f>A74</f>
        <v>44865</v>
      </c>
      <c r="B75" s="1143"/>
      <c r="C75" s="23">
        <f>SUM(C71:C74)</f>
        <v>1588.98</v>
      </c>
      <c r="D75" s="23">
        <f>SUM(D71:D74)</f>
        <v>1588.98</v>
      </c>
      <c r="E75" s="23">
        <f>IF($E$4=$C$4,C75-D75,D75-C75)</f>
        <v>0</v>
      </c>
    </row>
    <row r="76" spans="1:7" x14ac:dyDescent="0.25">
      <c r="A76" s="1144">
        <f>A75</f>
        <v>44865</v>
      </c>
      <c r="B76" s="1145"/>
      <c r="C76" s="20">
        <f>C69+C75</f>
        <v>15178.1</v>
      </c>
      <c r="D76" s="20">
        <f>D69+D75</f>
        <v>15178.1</v>
      </c>
      <c r="E76" s="20">
        <f>IF($E$4=$C$4,C76-D76,D76-C76)</f>
        <v>0</v>
      </c>
    </row>
    <row r="77" spans="1:7" x14ac:dyDescent="0.25">
      <c r="A77" s="11"/>
      <c r="B77" s="12"/>
      <c r="C77" s="13"/>
      <c r="D77" s="13"/>
      <c r="E77" s="12"/>
      <c r="G77" s="30"/>
    </row>
    <row r="78" spans="1:7" x14ac:dyDescent="0.25">
      <c r="A78" s="279">
        <f>Account!$G$22</f>
        <v>44895</v>
      </c>
      <c r="B78" s="14" t="s">
        <v>374</v>
      </c>
      <c r="C78" s="17">
        <f t="array" ref="C78">SUM(IF((CkDJ[Date]=A78)*(CkDJ[Account Code]=TRIM($B$2)),CkDJ[Debit]))</f>
        <v>1588.98</v>
      </c>
      <c r="D78" s="17">
        <f t="array" ref="D78">SUM(IF((CkDJ[Date]=A78)*(CkDJ[Account Code]=TRIM($B$2)),CkDJ[Credit]))</f>
        <v>1588.98</v>
      </c>
      <c r="E78" s="12"/>
    </row>
    <row r="79" spans="1:7" x14ac:dyDescent="0.25">
      <c r="A79" s="279">
        <f>Account!$G$22</f>
        <v>44895</v>
      </c>
      <c r="B79" s="15" t="s">
        <v>375</v>
      </c>
      <c r="C79" s="13">
        <f t="array" ref="C79">SUM(IF((CsDJ[Date]=A79)*(CsDJ[Account Code]=TRIM($B$2)),CsDJ[Debit]))</f>
        <v>0</v>
      </c>
      <c r="D79" s="13">
        <f t="array" ref="D79">SUM(IF((CsDJ[Date]=A79)*(CsDJ[Account Code]=TRIM($B$2)),CsDJ[Credit]))</f>
        <v>0</v>
      </c>
      <c r="E79" s="12"/>
    </row>
    <row r="80" spans="1:7" x14ac:dyDescent="0.25">
      <c r="A80" s="279">
        <f>Account!$G$22</f>
        <v>44895</v>
      </c>
      <c r="B80" s="16" t="s">
        <v>376</v>
      </c>
      <c r="C80" s="13">
        <f t="array" ref="C80">SUM(IF((CRDJ[Date]=A80)*(CRDJ[Account Code]=TRIM($B$2)),CRDJ[Debit]))</f>
        <v>0</v>
      </c>
      <c r="D80" s="13">
        <f t="array" ref="D80">SUM(IF((CRDJ[Date]=A80)*(CRDJ[Account Code]=TRIM($B$2)),CRDJ[Credit]))</f>
        <v>0</v>
      </c>
      <c r="E80" s="12"/>
    </row>
    <row r="81" spans="1:5" x14ac:dyDescent="0.25">
      <c r="A81" s="279">
        <f>Account!$G$22</f>
        <v>44895</v>
      </c>
      <c r="B81" s="14" t="s">
        <v>377</v>
      </c>
      <c r="C81" s="13">
        <f t="array" ref="C81">SUM(IF((GJ[Date]=A81)*(GJ[Account Code]=TRIM($B$2)),GJ[Debit]))</f>
        <v>0</v>
      </c>
      <c r="D81" s="13">
        <f t="array" ref="D81">SUM(IF((GJ[Date]=A81)*(GJ[Account Code]=TRIM($B$2)),GJ[Credit]))</f>
        <v>0</v>
      </c>
      <c r="E81" s="12"/>
    </row>
    <row r="82" spans="1:5" x14ac:dyDescent="0.25">
      <c r="A82" s="1142">
        <f>A81</f>
        <v>44895</v>
      </c>
      <c r="B82" s="1143"/>
      <c r="C82" s="23">
        <f>SUM(C78:C81)</f>
        <v>1588.98</v>
      </c>
      <c r="D82" s="23">
        <f>SUM(D78:D81)</f>
        <v>1588.98</v>
      </c>
      <c r="E82" s="23">
        <f>IF($E$4=$C$4,C82-D82,D82-C82)</f>
        <v>0</v>
      </c>
    </row>
    <row r="83" spans="1:5" x14ac:dyDescent="0.25">
      <c r="A83" s="1144">
        <f>A82</f>
        <v>44895</v>
      </c>
      <c r="B83" s="1145"/>
      <c r="C83" s="20">
        <f>C76+C82</f>
        <v>16767.080000000002</v>
      </c>
      <c r="D83" s="20">
        <f>D76+D82</f>
        <v>16767.080000000002</v>
      </c>
      <c r="E83" s="20">
        <f>IF($E$4=$C$4,C83-D83,D83-C83)</f>
        <v>0</v>
      </c>
    </row>
    <row r="84" spans="1:5" x14ac:dyDescent="0.25">
      <c r="A84" s="11"/>
      <c r="B84" s="12"/>
      <c r="C84" s="13"/>
      <c r="D84" s="13"/>
      <c r="E84" s="12"/>
    </row>
    <row r="85" spans="1:5" x14ac:dyDescent="0.25">
      <c r="A85" s="279">
        <f>Account!$G$23</f>
        <v>44926</v>
      </c>
      <c r="B85" s="14" t="s">
        <v>374</v>
      </c>
      <c r="C85" s="17">
        <f t="array" ref="C85">SUM(IF((CkDJ[Date]=A85)*(CkDJ[Account Code]=TRIM($B$2)),CkDJ[Debit]))</f>
        <v>1588.98</v>
      </c>
      <c r="D85" s="17">
        <f t="array" ref="D85">SUM(IF((CkDJ[Date]=A85)*(CkDJ[Account Code]=TRIM($B$2)),CkDJ[Credit]))</f>
        <v>1588.98</v>
      </c>
      <c r="E85" s="12"/>
    </row>
    <row r="86" spans="1:5" x14ac:dyDescent="0.25">
      <c r="A86" s="279">
        <f>Account!$G$23</f>
        <v>44926</v>
      </c>
      <c r="B86" s="15" t="s">
        <v>375</v>
      </c>
      <c r="C86" s="13">
        <f t="array" ref="C86">SUM(IF((CsDJ[Date]=A86)*(CsDJ[Account Code]=TRIM($B$2)),CsDJ[Debit]))</f>
        <v>0</v>
      </c>
      <c r="D86" s="13">
        <f t="array" ref="D86">SUM(IF((CsDJ[Date]=A86)*(CsDJ[Account Code]=TRIM($B$2)),CsDJ[Credit]))</f>
        <v>0</v>
      </c>
      <c r="E86" s="12"/>
    </row>
    <row r="87" spans="1:5" x14ac:dyDescent="0.25">
      <c r="A87" s="279">
        <f>Account!$G$23</f>
        <v>44926</v>
      </c>
      <c r="B87" s="16" t="s">
        <v>376</v>
      </c>
      <c r="C87" s="13">
        <f t="array" ref="C87">SUM(IF((CRDJ[Date]=A87)*(CRDJ[Account Code]=TRIM($B$2)),CRDJ[Debit]))</f>
        <v>0</v>
      </c>
      <c r="D87" s="13">
        <f t="array" ref="D87">SUM(IF((CRDJ[Date]=A87)*(CRDJ[Account Code]=TRIM($B$2)),CRDJ[Credit]))</f>
        <v>0</v>
      </c>
      <c r="E87" s="12"/>
    </row>
    <row r="88" spans="1:5" x14ac:dyDescent="0.25">
      <c r="A88" s="279">
        <f>Account!$G$23</f>
        <v>44926</v>
      </c>
      <c r="B88" s="14" t="s">
        <v>377</v>
      </c>
      <c r="C88" s="13">
        <f t="array" ref="C88">SUM(IF((GJ[Date]=A88)*(GJ[Account Code]=TRIM($B$2)),GJ[Debit]))</f>
        <v>0</v>
      </c>
      <c r="D88" s="13">
        <f t="array" ref="D88">SUM(IF((GJ[Date]=A88)*(GJ[Account Code]=TRIM($B$2)),GJ[Credit]))</f>
        <v>0</v>
      </c>
      <c r="E88" s="12"/>
    </row>
    <row r="89" spans="1:5" x14ac:dyDescent="0.25">
      <c r="A89" s="1142">
        <f>A88</f>
        <v>44926</v>
      </c>
      <c r="B89" s="1143"/>
      <c r="C89" s="23">
        <f>SUM(C85:C88)</f>
        <v>1588.98</v>
      </c>
      <c r="D89" s="23">
        <f>SUM(D85:D88)</f>
        <v>1588.98</v>
      </c>
      <c r="E89" s="23">
        <f>IF($E$4=$C$4,C89-D89,D89-C89)</f>
        <v>0</v>
      </c>
    </row>
    <row r="90" spans="1:5" x14ac:dyDescent="0.25">
      <c r="A90" s="1144">
        <f>A89</f>
        <v>44926</v>
      </c>
      <c r="B90" s="1145"/>
      <c r="C90" s="20">
        <f>C83+C89</f>
        <v>18356.060000000001</v>
      </c>
      <c r="D90" s="20">
        <f>D83+D89</f>
        <v>18356.060000000001</v>
      </c>
      <c r="E90" s="20">
        <f>IF($E$4=$C$4,C90-D90,D90-C90)</f>
        <v>0</v>
      </c>
    </row>
  </sheetData>
  <sheetProtection sheet="1" objects="1" scenarios="1"/>
  <mergeCells count="29">
    <mergeCell ref="A82:B82"/>
    <mergeCell ref="A83:B83"/>
    <mergeCell ref="A89:B89"/>
    <mergeCell ref="A90:B90"/>
    <mergeCell ref="A62:B62"/>
    <mergeCell ref="A68:B68"/>
    <mergeCell ref="A69:B69"/>
    <mergeCell ref="A75:B75"/>
    <mergeCell ref="A76:B76"/>
    <mergeCell ref="A47:B47"/>
    <mergeCell ref="A48:B48"/>
    <mergeCell ref="A54:B54"/>
    <mergeCell ref="A55:B55"/>
    <mergeCell ref="A61:B61"/>
    <mergeCell ref="A27:B27"/>
    <mergeCell ref="A33:B33"/>
    <mergeCell ref="A34:B34"/>
    <mergeCell ref="A40:B40"/>
    <mergeCell ref="A41:B41"/>
    <mergeCell ref="A12:B12"/>
    <mergeCell ref="A13:B13"/>
    <mergeCell ref="A19:B19"/>
    <mergeCell ref="A20:B20"/>
    <mergeCell ref="A26:B26"/>
    <mergeCell ref="C2:E2"/>
    <mergeCell ref="A4:A5"/>
    <mergeCell ref="B4:B5"/>
    <mergeCell ref="C4:C5"/>
    <mergeCell ref="D4:D5"/>
  </mergeCells>
  <printOptions horizontalCentered="1"/>
  <pageMargins left="0.43307086614173229" right="0.23622047244094491" top="0.74803149606299213" bottom="1.7322834645669292" header="0.31496062992125984" footer="1.4960629921259843"/>
  <pageSetup paperSize="14" scale="95" orientation="portrait" horizontalDpi="4294967293" verticalDpi="4294967293" r:id="rId1"/>
  <headerFooter>
    <oddFooter>Page &amp;P of &amp;N</oddFooter>
  </headerFooter>
  <rowBreaks count="1" manualBreakCount="1">
    <brk id="4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>
    <tabColor rgb="FF0070C0"/>
  </sheetPr>
  <dimension ref="A1:E90"/>
  <sheetViews>
    <sheetView workbookViewId="0">
      <selection activeCell="B2" sqref="B2"/>
    </sheetView>
  </sheetViews>
  <sheetFormatPr defaultRowHeight="15.75" x14ac:dyDescent="0.25"/>
  <cols>
    <col min="1" max="1" width="13.375" style="6" bestFit="1" customWidth="1"/>
    <col min="2" max="2" width="32.5" customWidth="1"/>
    <col min="3" max="4" width="16.625" style="7" customWidth="1"/>
    <col min="5" max="5" width="16.625" customWidth="1"/>
  </cols>
  <sheetData>
    <row r="1" spans="1:5" ht="32.25" x14ac:dyDescent="0.5">
      <c r="A1" s="273" t="s">
        <v>508</v>
      </c>
      <c r="B1" s="104" t="str">
        <f>Account!$G$1</f>
        <v>FUND 501 CARP</v>
      </c>
    </row>
    <row r="2" spans="1:5" ht="37.5" x14ac:dyDescent="0.85">
      <c r="A2" s="273" t="s">
        <v>370</v>
      </c>
      <c r="B2" s="26" t="s">
        <v>1440</v>
      </c>
      <c r="C2" s="1135">
        <f t="array" ref="C2">IF(B2=0,0,(INDEX(AccountCodes[PPSAS CODE],MATCH(B2,AccountCodes[NGAS CODE],0))))</f>
        <v>2020102001</v>
      </c>
      <c r="D2" s="1135"/>
      <c r="E2" s="1135"/>
    </row>
    <row r="3" spans="1:5" ht="23.25" x14ac:dyDescent="0.35">
      <c r="A3" s="273" t="s">
        <v>371</v>
      </c>
      <c r="B3" s="492" t="str">
        <f t="array" ref="B3">IF(B2=0,0,(INDEX(AccountCodes[ACCOUNT NAME],MATCH(B2,AccountCodes[NGAS CODE],0))))</f>
        <v>Due to GSIS - Life and Retirement Premium</v>
      </c>
      <c r="C3" s="5" t="s">
        <v>718</v>
      </c>
      <c r="D3" s="180" t="s">
        <v>762</v>
      </c>
      <c r="E3" s="139"/>
    </row>
    <row r="4" spans="1:5" ht="15.75" customHeight="1" x14ac:dyDescent="0.25">
      <c r="A4" s="1141" t="s">
        <v>0</v>
      </c>
      <c r="B4" s="1140" t="s">
        <v>372</v>
      </c>
      <c r="C4" s="1140" t="s">
        <v>1</v>
      </c>
      <c r="D4" s="1140" t="s">
        <v>2</v>
      </c>
      <c r="E4" s="874" t="str">
        <f t="array" ref="E4">IF(C2=0,0,INDEX(AccountCodes[Normal Balance],MATCH(C2,AccountCodes[PPSAS CODE])))</f>
        <v>Credit</v>
      </c>
    </row>
    <row r="5" spans="1:5" x14ac:dyDescent="0.25">
      <c r="A5" s="1141"/>
      <c r="B5" s="1140"/>
      <c r="C5" s="1140"/>
      <c r="D5" s="1140"/>
      <c r="E5" s="18" t="s">
        <v>379</v>
      </c>
    </row>
    <row r="6" spans="1:5" x14ac:dyDescent="0.25">
      <c r="A6" s="21">
        <f>PostTB!A2</f>
        <v>44561</v>
      </c>
      <c r="B6" s="22" t="s">
        <v>373</v>
      </c>
      <c r="C6" s="20">
        <f t="array" ref="C6">SUM(IF((PostTB[Account Code (Old)]=TRIM($B$2))*(PostTB[Sort Code]=$D$3),PostTB[Debit]))</f>
        <v>0</v>
      </c>
      <c r="D6" s="20">
        <f t="array" ref="D6">SUM(IF((PostTB[Account Code (Old)]=TRIM($B$2))*(PostTB[Sort Code]=$D$3),PostTB[Credit]))</f>
        <v>0</v>
      </c>
      <c r="E6" s="20">
        <f>IF($E$4=$C$4,C6-D6,D6-C6)</f>
        <v>0</v>
      </c>
    </row>
    <row r="7" spans="1:5" x14ac:dyDescent="0.25">
      <c r="A7" s="11"/>
      <c r="B7" s="12"/>
      <c r="C7" s="13"/>
      <c r="D7" s="13"/>
      <c r="E7" s="12"/>
    </row>
    <row r="8" spans="1:5" x14ac:dyDescent="0.25">
      <c r="A8" s="279">
        <f>Account!$G$12</f>
        <v>44592</v>
      </c>
      <c r="B8" s="14" t="s">
        <v>374</v>
      </c>
      <c r="C8" s="13">
        <f t="array" ref="C8">SUM(IF((CkDJ[Date]=A8)*(CkDJ[Account Code]=TRIM($B$2))*(CkDJ[Sort Code]=$D$3),CkDJ[Debit]))</f>
        <v>6324.3</v>
      </c>
      <c r="D8" s="13">
        <f t="array" ref="D8">SUM(IF((CkDJ[Date]=A8)*(CkDJ[Account Code]=TRIM($B$2))*(CkDJ[Sort Code]=$D$3),CkDJ[Credit]))</f>
        <v>6324.3</v>
      </c>
      <c r="E8" s="12"/>
    </row>
    <row r="9" spans="1:5" x14ac:dyDescent="0.25">
      <c r="A9" s="279">
        <f>Account!$G$12</f>
        <v>44592</v>
      </c>
      <c r="B9" s="15" t="s">
        <v>375</v>
      </c>
      <c r="C9" s="13">
        <f t="array" ref="C9">SUM(IF((CsDJ[Date]=A9)*(CsDJ[Account Code]=TRIM($B$2))*(CsDJ[Sort Code]=$D$3),CsDJ[Debit]))</f>
        <v>0</v>
      </c>
      <c r="D9" s="13">
        <f t="array" ref="D9">SUM(IF((CsDJ[Date]=A9)*(CsDJ[Account Code]=TRIM($B$2))*(CsDJ[Sort Code]=$D$3),CsDJ[Credit]))</f>
        <v>0</v>
      </c>
      <c r="E9" s="12"/>
    </row>
    <row r="10" spans="1:5" x14ac:dyDescent="0.25">
      <c r="A10" s="279">
        <f>Account!$G$12</f>
        <v>44592</v>
      </c>
      <c r="B10" s="16" t="s">
        <v>376</v>
      </c>
      <c r="C10" s="13">
        <f t="array" ref="C10">SUM(IF((CRDJ[Date]=A10)*(CRDJ[Account Code]=TRIM($B$2))*(CRDJ[Sort Code]=$D$3),CRDJ[Debit]))</f>
        <v>0</v>
      </c>
      <c r="D10" s="13">
        <f t="array" ref="D10">SUM(IF((CRDJ[Date]=A10)*(CRDJ[Account Code]=TRIM($B$2))*(CRDJ[Sort Code]=$D$3),CRDJ[Credit]))</f>
        <v>0</v>
      </c>
      <c r="E10" s="10"/>
    </row>
    <row r="11" spans="1:5" x14ac:dyDescent="0.25">
      <c r="A11" s="279">
        <f>Account!$G$12</f>
        <v>44592</v>
      </c>
      <c r="B11" s="14" t="s">
        <v>377</v>
      </c>
      <c r="C11" s="13">
        <f t="array" ref="C11">SUM(IF((GJ[Date]=A11)*(GJ[Account Code]=TRIM($B$2))*(GJ[Sort Code]=$D$3),GJ[Debit]))</f>
        <v>0</v>
      </c>
      <c r="D11" s="13">
        <f t="array" ref="D11">SUM(IF((GJ[Date]=A11)*(GJ[Account Code]=TRIM($B$2))*(GJ[Sort Code]=$D$3),GJ[Credit]))</f>
        <v>0</v>
      </c>
      <c r="E11" s="12"/>
    </row>
    <row r="12" spans="1:5" x14ac:dyDescent="0.25">
      <c r="A12" s="1142">
        <f>A11</f>
        <v>44592</v>
      </c>
      <c r="B12" s="1143"/>
      <c r="C12" s="23">
        <f>SUM(C8:C11)</f>
        <v>6324.3</v>
      </c>
      <c r="D12" s="23">
        <f>SUM(D8:D11)</f>
        <v>6324.3</v>
      </c>
      <c r="E12" s="23">
        <f>IF($E$4=$C$4,C12-D12,D12-C12)</f>
        <v>0</v>
      </c>
    </row>
    <row r="13" spans="1:5" x14ac:dyDescent="0.25">
      <c r="A13" s="1144">
        <f>A12</f>
        <v>44592</v>
      </c>
      <c r="B13" s="1145"/>
      <c r="C13" s="20">
        <f>C6+C12</f>
        <v>6324.3</v>
      </c>
      <c r="D13" s="20">
        <f>D6+D12</f>
        <v>6324.3</v>
      </c>
      <c r="E13" s="20">
        <f>IF($E$4=$C$4,C13-D13,D13-C13)</f>
        <v>0</v>
      </c>
    </row>
    <row r="14" spans="1:5" x14ac:dyDescent="0.25">
      <c r="A14" s="19"/>
      <c r="B14" s="19"/>
      <c r="C14" s="13"/>
      <c r="D14" s="13"/>
      <c r="E14" s="12"/>
    </row>
    <row r="15" spans="1:5" x14ac:dyDescent="0.25">
      <c r="A15" s="279">
        <f>Account!$G$13</f>
        <v>44620</v>
      </c>
      <c r="B15" s="14" t="s">
        <v>374</v>
      </c>
      <c r="C15" s="13">
        <f t="array" ref="C15">SUM(IF((CkDJ[Date]=A15)*(CkDJ[Account Code]=TRIM($B$2))*(CkDJ[Sort Code]=$D$3),CkDJ[Debit]))</f>
        <v>6324.3</v>
      </c>
      <c r="D15" s="13">
        <f t="array" ref="D15">SUM(IF((CkDJ[Date]=A15)*(CkDJ[Account Code]=TRIM($B$2))*(CkDJ[Sort Code]=$D$3),CkDJ[Credit]))</f>
        <v>6324.3</v>
      </c>
      <c r="E15" s="12"/>
    </row>
    <row r="16" spans="1:5" x14ac:dyDescent="0.25">
      <c r="A16" s="279">
        <f>Account!$G$13</f>
        <v>44620</v>
      </c>
      <c r="B16" s="15" t="s">
        <v>375</v>
      </c>
      <c r="C16" s="13">
        <f t="array" ref="C16">SUM(IF((CsDJ[Date]=A16)*(CsDJ[Account Code]=TRIM($B$2))*(CsDJ[Sort Code]=$D$3),CsDJ[Debit]))</f>
        <v>0</v>
      </c>
      <c r="D16" s="13">
        <f t="array" ref="D16">SUM(IF((CsDJ[Date]=A16)*(CsDJ[Account Code]=TRIM($B$2))*(CsDJ[Sort Code]=$D$3),CsDJ[Credit]))</f>
        <v>0</v>
      </c>
      <c r="E16" s="12"/>
    </row>
    <row r="17" spans="1:5" x14ac:dyDescent="0.25">
      <c r="A17" s="279">
        <f>Account!$G$13</f>
        <v>44620</v>
      </c>
      <c r="B17" s="16" t="s">
        <v>376</v>
      </c>
      <c r="C17" s="13">
        <f t="array" ref="C17">SUM(IF((CRDJ[Date]=A17)*(CRDJ[Account Code]=TRIM($B$2))*(CRDJ[Sort Code]=$D$3),CRDJ[Debit]))</f>
        <v>0</v>
      </c>
      <c r="D17" s="13">
        <f t="array" ref="D17">SUM(IF((CRDJ[Date]=A17)*(CRDJ[Account Code]=TRIM($B$2))*(CRDJ[Sort Code]=$D$3),CRDJ[Credit]))</f>
        <v>0</v>
      </c>
      <c r="E17" s="12"/>
    </row>
    <row r="18" spans="1:5" x14ac:dyDescent="0.25">
      <c r="A18" s="279">
        <f>Account!$G$13</f>
        <v>44620</v>
      </c>
      <c r="B18" s="14" t="s">
        <v>377</v>
      </c>
      <c r="C18" s="13">
        <f t="array" ref="C18">SUM(IF((GJ[Date]=A18)*(GJ[Account Code]=TRIM($B$2))*(GJ[Sort Code]=$D$3),GJ[Debit]))</f>
        <v>0</v>
      </c>
      <c r="D18" s="13">
        <f t="array" ref="D18">SUM(IF((GJ[Date]=A18)*(GJ[Account Code]=TRIM($B$2))*(GJ[Sort Code]=$D$3),GJ[Credit]))</f>
        <v>0</v>
      </c>
      <c r="E18" s="12"/>
    </row>
    <row r="19" spans="1:5" x14ac:dyDescent="0.25">
      <c r="A19" s="1142">
        <f>A18</f>
        <v>44620</v>
      </c>
      <c r="B19" s="1143"/>
      <c r="C19" s="23">
        <f>SUM(C15:C18)</f>
        <v>6324.3</v>
      </c>
      <c r="D19" s="23">
        <f>SUM(D15:D18)</f>
        <v>6324.3</v>
      </c>
      <c r="E19" s="23">
        <f>IF($E$4=$C$4,C19-D19,D19-C19)</f>
        <v>0</v>
      </c>
    </row>
    <row r="20" spans="1:5" x14ac:dyDescent="0.25">
      <c r="A20" s="1144">
        <f>A19</f>
        <v>44620</v>
      </c>
      <c r="B20" s="1145"/>
      <c r="C20" s="20">
        <f>C13+C19</f>
        <v>12648.6</v>
      </c>
      <c r="D20" s="20">
        <f>D13+D19</f>
        <v>12648.6</v>
      </c>
      <c r="E20" s="20">
        <f>IF($E$4=$C$4,C20-D20,D20-C20)</f>
        <v>0</v>
      </c>
    </row>
    <row r="21" spans="1:5" x14ac:dyDescent="0.25">
      <c r="A21" s="11"/>
      <c r="B21" s="12"/>
      <c r="C21" s="13"/>
      <c r="D21" s="13"/>
      <c r="E21" s="12"/>
    </row>
    <row r="22" spans="1:5" x14ac:dyDescent="0.25">
      <c r="A22" s="279">
        <f>Account!$G$14</f>
        <v>44651</v>
      </c>
      <c r="B22" s="14" t="s">
        <v>374</v>
      </c>
      <c r="C22" s="13">
        <f t="array" ref="C22">SUM(IF((CkDJ[Date]=A22)*(CkDJ[Account Code]=TRIM($B$2))*(CkDJ[Sort Code]=$D$3),CkDJ[Debit]))</f>
        <v>6324.3</v>
      </c>
      <c r="D22" s="13">
        <f t="array" ref="D22">SUM(IF((CkDJ[Date]=A22)*(CkDJ[Account Code]=TRIM($B$2))*(CkDJ[Sort Code]=$D$3),CkDJ[Credit]))</f>
        <v>6324.3</v>
      </c>
      <c r="E22" s="12"/>
    </row>
    <row r="23" spans="1:5" x14ac:dyDescent="0.25">
      <c r="A23" s="279">
        <f>Account!$G$14</f>
        <v>44651</v>
      </c>
      <c r="B23" s="15" t="s">
        <v>375</v>
      </c>
      <c r="C23" s="13">
        <f t="array" ref="C23">SUM(IF((CsDJ[Date]=A23)*(CsDJ[Account Code]=TRIM($B$2))*(CsDJ[Sort Code]=$D$3),CsDJ[Debit]))</f>
        <v>0</v>
      </c>
      <c r="D23" s="13">
        <f t="array" ref="D23">SUM(IF((CsDJ[Date]=A23)*(CsDJ[Account Code]=TRIM($B$2))*(CsDJ[Sort Code]=$D$3),CsDJ[Credit]))</f>
        <v>0</v>
      </c>
      <c r="E23" s="12"/>
    </row>
    <row r="24" spans="1:5" x14ac:dyDescent="0.25">
      <c r="A24" s="279">
        <f>Account!$G$14</f>
        <v>44651</v>
      </c>
      <c r="B24" s="16" t="s">
        <v>376</v>
      </c>
      <c r="C24" s="13">
        <f t="array" ref="C24">SUM(IF((CRDJ[Date]=A24)*(CRDJ[Account Code]=TRIM($B$2))*(CRDJ[Sort Code]=$D$3),CRDJ[Debit]))</f>
        <v>0</v>
      </c>
      <c r="D24" s="13">
        <f t="array" ref="D24">SUM(IF((CRDJ[Date]=A24)*(CRDJ[Account Code]=TRIM($B$2))*(CRDJ[Sort Code]=$D$3),CRDJ[Credit]))</f>
        <v>0</v>
      </c>
      <c r="E24" s="12"/>
    </row>
    <row r="25" spans="1:5" x14ac:dyDescent="0.25">
      <c r="A25" s="279">
        <f>Account!$G$14</f>
        <v>44651</v>
      </c>
      <c r="B25" s="14" t="s">
        <v>377</v>
      </c>
      <c r="C25" s="13">
        <f t="array" ref="C25">SUM(IF((GJ[Date]=A25)*(GJ[Account Code]=TRIM($B$2))*(GJ[Sort Code]=$D$3),GJ[Debit]))</f>
        <v>0</v>
      </c>
      <c r="D25" s="13">
        <f t="array" ref="D25">SUM(IF((GJ[Date]=A25)*(GJ[Account Code]=TRIM($B$2))*(GJ[Sort Code]=$D$3),GJ[Credit]))</f>
        <v>0</v>
      </c>
      <c r="E25" s="12"/>
    </row>
    <row r="26" spans="1:5" x14ac:dyDescent="0.25">
      <c r="A26" s="1142">
        <f>A25</f>
        <v>44651</v>
      </c>
      <c r="B26" s="1143"/>
      <c r="C26" s="23">
        <f>SUM(C22:C25)</f>
        <v>6324.3</v>
      </c>
      <c r="D26" s="23">
        <f>SUM(D22:D25)</f>
        <v>6324.3</v>
      </c>
      <c r="E26" s="23">
        <f>IF($E$4=$C$4,C26-D26,D26-C26)</f>
        <v>0</v>
      </c>
    </row>
    <row r="27" spans="1:5" x14ac:dyDescent="0.25">
      <c r="A27" s="1144">
        <f>A26</f>
        <v>44651</v>
      </c>
      <c r="B27" s="1145"/>
      <c r="C27" s="20">
        <f>C20+C26</f>
        <v>18972.900000000001</v>
      </c>
      <c r="D27" s="20">
        <f>D20+D26</f>
        <v>18972.900000000001</v>
      </c>
      <c r="E27" s="20">
        <f>IF($E$4=$C$4,C27-D27,D27-C27)</f>
        <v>0</v>
      </c>
    </row>
    <row r="28" spans="1:5" x14ac:dyDescent="0.25">
      <c r="A28" s="11"/>
      <c r="B28" s="12"/>
      <c r="C28" s="13"/>
      <c r="D28" s="13"/>
      <c r="E28" s="12"/>
    </row>
    <row r="29" spans="1:5" x14ac:dyDescent="0.25">
      <c r="A29" s="279">
        <f>Account!$G$15</f>
        <v>44681</v>
      </c>
      <c r="B29" s="14" t="s">
        <v>374</v>
      </c>
      <c r="C29" s="13">
        <f t="array" ref="C29">SUM(IF((CkDJ[Date]=A29)*(CkDJ[Account Code]=TRIM($B$2))*(CkDJ[Sort Code]=$D$3),CkDJ[Debit]))</f>
        <v>6324.3</v>
      </c>
      <c r="D29" s="13">
        <f t="array" ref="D29">SUM(IF((CkDJ[Date]=A29)*(CkDJ[Account Code]=TRIM($B$2))*(CkDJ[Sort Code]=$D$3),CkDJ[Credit]))</f>
        <v>6324.3</v>
      </c>
      <c r="E29" s="12"/>
    </row>
    <row r="30" spans="1:5" x14ac:dyDescent="0.25">
      <c r="A30" s="279">
        <f>Account!$G$15</f>
        <v>44681</v>
      </c>
      <c r="B30" s="15" t="s">
        <v>375</v>
      </c>
      <c r="C30" s="13">
        <f t="array" ref="C30">SUM(IF((CsDJ[Date]=A30)*(CsDJ[Account Code]=TRIM($B$2))*(CsDJ[Sort Code]=$D$3),CsDJ[Debit]))</f>
        <v>0</v>
      </c>
      <c r="D30" s="13">
        <f t="array" ref="D30">SUM(IF((CsDJ[Date]=A30)*(CsDJ[Account Code]=TRIM($B$2))*(CsDJ[Sort Code]=$D$3),CsDJ[Credit]))</f>
        <v>0</v>
      </c>
      <c r="E30" s="12"/>
    </row>
    <row r="31" spans="1:5" x14ac:dyDescent="0.25">
      <c r="A31" s="279">
        <f>Account!$G$15</f>
        <v>44681</v>
      </c>
      <c r="B31" s="16" t="s">
        <v>376</v>
      </c>
      <c r="C31" s="13">
        <f t="array" ref="C31">SUM(IF((CRDJ[Date]=A31)*(CRDJ[Account Code]=TRIM($B$2))*(CRDJ[Sort Code]=$D$3),CRDJ[Debit]))</f>
        <v>0</v>
      </c>
      <c r="D31" s="13">
        <f t="array" ref="D31">SUM(IF((CRDJ[Date]=A31)*(CRDJ[Account Code]=TRIM($B$2))*(CRDJ[Sort Code]=$D$3),CRDJ[Credit]))</f>
        <v>0</v>
      </c>
      <c r="E31" s="12"/>
    </row>
    <row r="32" spans="1:5" x14ac:dyDescent="0.25">
      <c r="A32" s="279">
        <f>Account!$G$15</f>
        <v>44681</v>
      </c>
      <c r="B32" s="14" t="s">
        <v>377</v>
      </c>
      <c r="C32" s="13">
        <f t="array" ref="C32">SUM(IF((GJ[Date]=A32)*(GJ[Account Code]=TRIM($B$2))*(GJ[Sort Code]=$D$3),GJ[Debit]))</f>
        <v>0</v>
      </c>
      <c r="D32" s="13">
        <f t="array" ref="D32">SUM(IF((GJ[Date]=A32)*(GJ[Account Code]=TRIM($B$2))*(GJ[Sort Code]=$D$3),GJ[Credit]))</f>
        <v>0</v>
      </c>
      <c r="E32" s="12"/>
    </row>
    <row r="33" spans="1:5" x14ac:dyDescent="0.25">
      <c r="A33" s="1142">
        <f>A32</f>
        <v>44681</v>
      </c>
      <c r="B33" s="1143"/>
      <c r="C33" s="23">
        <f>SUM(C29:C32)</f>
        <v>6324.3</v>
      </c>
      <c r="D33" s="23">
        <f>SUM(D29:D32)</f>
        <v>6324.3</v>
      </c>
      <c r="E33" s="23">
        <f>IF($E$4=$C$4,C33-D33,D33-C33)</f>
        <v>0</v>
      </c>
    </row>
    <row r="34" spans="1:5" x14ac:dyDescent="0.25">
      <c r="A34" s="1144">
        <f>A33</f>
        <v>44681</v>
      </c>
      <c r="B34" s="1145"/>
      <c r="C34" s="20">
        <f>C27+C33</f>
        <v>25297.200000000001</v>
      </c>
      <c r="D34" s="20">
        <f>D27+D33</f>
        <v>25297.200000000001</v>
      </c>
      <c r="E34" s="20">
        <f>IF($E$4=$C$4,C34-D34,D34-C34)</f>
        <v>0</v>
      </c>
    </row>
    <row r="35" spans="1:5" x14ac:dyDescent="0.25">
      <c r="A35" s="11"/>
      <c r="B35" s="12"/>
      <c r="C35" s="13"/>
      <c r="D35" s="13"/>
      <c r="E35" s="12"/>
    </row>
    <row r="36" spans="1:5" x14ac:dyDescent="0.25">
      <c r="A36" s="279">
        <f>Account!$G$16</f>
        <v>44712</v>
      </c>
      <c r="B36" s="14" t="s">
        <v>374</v>
      </c>
      <c r="C36" s="13">
        <f t="array" ref="C36">SUM(IF((CkDJ[Date]=A36)*(CkDJ[Account Code]=TRIM($B$2))*(CkDJ[Sort Code]=$D$3),CkDJ[Debit]))</f>
        <v>6324.3</v>
      </c>
      <c r="D36" s="13">
        <f t="array" ref="D36">SUM(IF((CkDJ[Date]=A36)*(CkDJ[Account Code]=TRIM($B$2))*(CkDJ[Sort Code]=$D$3),CkDJ[Credit]))</f>
        <v>12854.63</v>
      </c>
      <c r="E36" s="12"/>
    </row>
    <row r="37" spans="1:5" x14ac:dyDescent="0.25">
      <c r="A37" s="279">
        <f>Account!$G$16</f>
        <v>44712</v>
      </c>
      <c r="B37" s="15" t="s">
        <v>375</v>
      </c>
      <c r="C37" s="13">
        <f t="array" ref="C37">SUM(IF((CsDJ[Date]=A37)*(CsDJ[Account Code]=TRIM($B$2))*(CsDJ[Sort Code]=$D$3),CsDJ[Debit]))</f>
        <v>0</v>
      </c>
      <c r="D37" s="13">
        <f t="array" ref="D37">SUM(IF((CsDJ[Date]=A37)*(CsDJ[Account Code]=TRIM($B$2))*(CsDJ[Sort Code]=$D$3),CsDJ[Credit]))</f>
        <v>0</v>
      </c>
      <c r="E37" s="12"/>
    </row>
    <row r="38" spans="1:5" x14ac:dyDescent="0.25">
      <c r="A38" s="279">
        <f>Account!$G$16</f>
        <v>44712</v>
      </c>
      <c r="B38" s="16" t="s">
        <v>376</v>
      </c>
      <c r="C38" s="13">
        <f t="array" ref="C38">SUM(IF((CRDJ[Date]=A38)*(CRDJ[Account Code]=TRIM($B$2))*(CRDJ[Sort Code]=$D$3),CRDJ[Debit]))</f>
        <v>0</v>
      </c>
      <c r="D38" s="13">
        <f t="array" ref="D38">SUM(IF((CRDJ[Date]=A38)*(CRDJ[Account Code]=TRIM($B$2))*(CRDJ[Sort Code]=$D$3),CRDJ[Credit]))</f>
        <v>0</v>
      </c>
      <c r="E38" s="12"/>
    </row>
    <row r="39" spans="1:5" x14ac:dyDescent="0.25">
      <c r="A39" s="279">
        <f>Account!$G$16</f>
        <v>44712</v>
      </c>
      <c r="B39" s="14" t="s">
        <v>377</v>
      </c>
      <c r="C39" s="13">
        <f t="array" ref="C39">SUM(IF((GJ[Date]=A39)*(GJ[Account Code]=TRIM($B$2))*(GJ[Sort Code]=$D$3),GJ[Debit]))</f>
        <v>0</v>
      </c>
      <c r="D39" s="13">
        <f t="array" ref="D39">SUM(IF((GJ[Date]=A39)*(GJ[Account Code]=TRIM($B$2))*(GJ[Sort Code]=$D$3),GJ[Credit]))</f>
        <v>0</v>
      </c>
      <c r="E39" s="12"/>
    </row>
    <row r="40" spans="1:5" x14ac:dyDescent="0.25">
      <c r="A40" s="1142">
        <f>A39</f>
        <v>44712</v>
      </c>
      <c r="B40" s="1143"/>
      <c r="C40" s="23">
        <f>SUM(C36:C39)</f>
        <v>6324.3</v>
      </c>
      <c r="D40" s="23">
        <f>SUM(D36:D39)</f>
        <v>12854.63</v>
      </c>
      <c r="E40" s="23">
        <f>IF($E$4=$C$4,C40-D40,D40-C40)</f>
        <v>6530.33</v>
      </c>
    </row>
    <row r="41" spans="1:5" x14ac:dyDescent="0.25">
      <c r="A41" s="1144">
        <f>A40</f>
        <v>44712</v>
      </c>
      <c r="B41" s="1145"/>
      <c r="C41" s="20">
        <f>C34+C40</f>
        <v>31621.5</v>
      </c>
      <c r="D41" s="20">
        <f>D34+D40</f>
        <v>38151.83</v>
      </c>
      <c r="E41" s="20">
        <f>IF($E$4=$C$4,C41-D41,D41-C41)</f>
        <v>6530.33</v>
      </c>
    </row>
    <row r="42" spans="1:5" x14ac:dyDescent="0.25">
      <c r="A42" s="11"/>
      <c r="B42" s="12"/>
      <c r="C42" s="13"/>
      <c r="D42" s="13"/>
      <c r="E42" s="12"/>
    </row>
    <row r="43" spans="1:5" x14ac:dyDescent="0.25">
      <c r="A43" s="279">
        <f>Account!$G$17</f>
        <v>44742</v>
      </c>
      <c r="B43" s="14" t="s">
        <v>374</v>
      </c>
      <c r="C43" s="13">
        <f t="array" ref="C43">SUM(IF((CkDJ[Date]=A43)*(CkDJ[Account Code]=TRIM($B$2))*(CkDJ[Sort Code]=$D$3),CkDJ[Debit]))</f>
        <v>13680.74</v>
      </c>
      <c r="D43" s="13">
        <f t="array" ref="D43">SUM(IF((CkDJ[Date]=A43)*(CkDJ[Account Code]=TRIM($B$2))*(CkDJ[Sort Code]=$D$3),CkDJ[Credit]))</f>
        <v>7150.41</v>
      </c>
      <c r="E43" s="12"/>
    </row>
    <row r="44" spans="1:5" x14ac:dyDescent="0.25">
      <c r="A44" s="279">
        <f>Account!$G$17</f>
        <v>44742</v>
      </c>
      <c r="B44" s="15" t="s">
        <v>375</v>
      </c>
      <c r="C44" s="13">
        <f t="array" ref="C44">SUM(IF((CsDJ[Date]=A44)*(CsDJ[Account Code]=TRIM($B$2))*(CsDJ[Sort Code]=$D$3),CsDJ[Debit]))</f>
        <v>0</v>
      </c>
      <c r="D44" s="13">
        <f t="array" ref="D44">SUM(IF((CsDJ[Date]=A44)*(CsDJ[Account Code]=TRIM($B$2))*(CsDJ[Sort Code]=$D$3),CsDJ[Credit]))</f>
        <v>0</v>
      </c>
      <c r="E44" s="12"/>
    </row>
    <row r="45" spans="1:5" x14ac:dyDescent="0.25">
      <c r="A45" s="279">
        <f>Account!$G$17</f>
        <v>44742</v>
      </c>
      <c r="B45" s="16" t="s">
        <v>376</v>
      </c>
      <c r="C45" s="13">
        <f t="array" ref="C45">SUM(IF((CRDJ[Date]=A45)*(CRDJ[Account Code]=TRIM($B$2))*(CRDJ[Sort Code]=$D$3),CRDJ[Debit]))</f>
        <v>0</v>
      </c>
      <c r="D45" s="13">
        <f t="array" ref="D45">SUM(IF((CRDJ[Date]=A45)*(CRDJ[Account Code]=TRIM($B$2))*(CRDJ[Sort Code]=$D$3),CRDJ[Credit]))</f>
        <v>0</v>
      </c>
      <c r="E45" s="12"/>
    </row>
    <row r="46" spans="1:5" x14ac:dyDescent="0.25">
      <c r="A46" s="279">
        <f>Account!$G$17</f>
        <v>44742</v>
      </c>
      <c r="B46" s="14" t="s">
        <v>377</v>
      </c>
      <c r="C46" s="13">
        <f t="array" ref="C46">SUM(IF((GJ[Date]=A46)*(GJ[Account Code]=TRIM($B$2))*(GJ[Sort Code]=$D$3),GJ[Debit]))</f>
        <v>0</v>
      </c>
      <c r="D46" s="13">
        <f t="array" ref="D46">SUM(IF((GJ[Date]=A46)*(GJ[Account Code]=TRIM($B$2))*(GJ[Sort Code]=$D$3),GJ[Credit]))</f>
        <v>0</v>
      </c>
      <c r="E46" s="12"/>
    </row>
    <row r="47" spans="1:5" x14ac:dyDescent="0.25">
      <c r="A47" s="1142">
        <f>A46</f>
        <v>44742</v>
      </c>
      <c r="B47" s="1143"/>
      <c r="C47" s="23">
        <f>SUM(C43:C46)</f>
        <v>13680.74</v>
      </c>
      <c r="D47" s="23">
        <f>SUM(D43:D46)</f>
        <v>7150.41</v>
      </c>
      <c r="E47" s="23">
        <f>IF($E$4=$C$4,C47-D47,D47-C47)</f>
        <v>-6530.33</v>
      </c>
    </row>
    <row r="48" spans="1:5" x14ac:dyDescent="0.25">
      <c r="A48" s="1144">
        <f>A47</f>
        <v>44742</v>
      </c>
      <c r="B48" s="1145"/>
      <c r="C48" s="20">
        <f>C41+C47</f>
        <v>45302.239999999998</v>
      </c>
      <c r="D48" s="20">
        <f>D41+D47</f>
        <v>45302.239999999998</v>
      </c>
      <c r="E48" s="20">
        <f>IF($E$4=$C$4,C48-D48,D48-C48)</f>
        <v>0</v>
      </c>
    </row>
    <row r="49" spans="1:5" x14ac:dyDescent="0.25">
      <c r="A49" s="11"/>
      <c r="B49" s="12"/>
      <c r="C49" s="13"/>
      <c r="D49" s="13"/>
      <c r="E49" s="12"/>
    </row>
    <row r="50" spans="1:5" x14ac:dyDescent="0.25">
      <c r="A50" s="279">
        <f>Account!$G$18</f>
        <v>44773</v>
      </c>
      <c r="B50" s="14" t="s">
        <v>374</v>
      </c>
      <c r="C50" s="13">
        <f t="array" ref="C50">SUM(IF((CkDJ[Date]=A50)*(CkDJ[Account Code]=TRIM($B$2))*(CkDJ[Sort Code]=$D$3),CkDJ[Debit]))</f>
        <v>7150.41</v>
      </c>
      <c r="D50" s="13">
        <f t="array" ref="D50">SUM(IF((CkDJ[Date]=A50)*(CkDJ[Account Code]=TRIM($B$2))*(CkDJ[Sort Code]=$D$3),CkDJ[Credit]))</f>
        <v>7150.41</v>
      </c>
      <c r="E50" s="12"/>
    </row>
    <row r="51" spans="1:5" x14ac:dyDescent="0.25">
      <c r="A51" s="279">
        <f>Account!$G$18</f>
        <v>44773</v>
      </c>
      <c r="B51" s="15" t="s">
        <v>375</v>
      </c>
      <c r="C51" s="13">
        <f t="array" ref="C51">SUM(IF((CsDJ[Date]=A51)*(CsDJ[Account Code]=TRIM($B$2))*(CsDJ[Sort Code]=$D$3),CsDJ[Debit]))</f>
        <v>0</v>
      </c>
      <c r="D51" s="13">
        <f t="array" ref="D51">SUM(IF((CsDJ[Date]=A51)*(CsDJ[Account Code]=TRIM($B$2))*(CsDJ[Sort Code]=$D$3),CsDJ[Credit]))</f>
        <v>0</v>
      </c>
      <c r="E51" s="12"/>
    </row>
    <row r="52" spans="1:5" x14ac:dyDescent="0.25">
      <c r="A52" s="279">
        <f>Account!$G$18</f>
        <v>44773</v>
      </c>
      <c r="B52" s="16" t="s">
        <v>376</v>
      </c>
      <c r="C52" s="13">
        <f t="array" ref="C52">SUM(IF((CRDJ[Date]=A52)*(CRDJ[Account Code]=TRIM($B$2))*(CRDJ[Sort Code]=$D$3),CRDJ[Debit]))</f>
        <v>0</v>
      </c>
      <c r="D52" s="13">
        <f t="array" ref="D52">SUM(IF((CRDJ[Date]=A52)*(CRDJ[Account Code]=TRIM($B$2))*(CRDJ[Sort Code]=$D$3),CRDJ[Credit]))</f>
        <v>0</v>
      </c>
      <c r="E52" s="12"/>
    </row>
    <row r="53" spans="1:5" x14ac:dyDescent="0.25">
      <c r="A53" s="279">
        <f>Account!$G$18</f>
        <v>44773</v>
      </c>
      <c r="B53" s="14" t="s">
        <v>377</v>
      </c>
      <c r="C53" s="13">
        <f t="array" ref="C53">SUM(IF((GJ[Date]=A53)*(GJ[Account Code]=TRIM($B$2))*(GJ[Sort Code]=$D$3),GJ[Debit]))</f>
        <v>0</v>
      </c>
      <c r="D53" s="13">
        <f t="array" ref="D53">SUM(IF((GJ[Date]=A53)*(GJ[Account Code]=TRIM($B$2))*(GJ[Sort Code]=$D$3),GJ[Credit]))</f>
        <v>0</v>
      </c>
      <c r="E53" s="12"/>
    </row>
    <row r="54" spans="1:5" x14ac:dyDescent="0.25">
      <c r="A54" s="1142">
        <f>A53</f>
        <v>44773</v>
      </c>
      <c r="B54" s="1143"/>
      <c r="C54" s="23">
        <f>SUM(C50:C53)</f>
        <v>7150.41</v>
      </c>
      <c r="D54" s="23">
        <f>SUM(D50:D53)</f>
        <v>7150.41</v>
      </c>
      <c r="E54" s="23">
        <f>IF($E$4=$C$4,C54-D54,D54-C54)</f>
        <v>0</v>
      </c>
    </row>
    <row r="55" spans="1:5" x14ac:dyDescent="0.25">
      <c r="A55" s="1144">
        <f>A54</f>
        <v>44773</v>
      </c>
      <c r="B55" s="1145"/>
      <c r="C55" s="20">
        <f>C48+C54</f>
        <v>52452.65</v>
      </c>
      <c r="D55" s="20">
        <f>D48+D54</f>
        <v>52452.65</v>
      </c>
      <c r="E55" s="20">
        <f>IF($E$4=$C$4,C55-D55,D55-C55)</f>
        <v>0</v>
      </c>
    </row>
    <row r="56" spans="1:5" x14ac:dyDescent="0.25">
      <c r="A56" s="11"/>
      <c r="B56" s="12"/>
      <c r="C56" s="13"/>
      <c r="D56" s="13"/>
      <c r="E56" s="12"/>
    </row>
    <row r="57" spans="1:5" x14ac:dyDescent="0.25">
      <c r="A57" s="279">
        <f>Account!$G$19</f>
        <v>44804</v>
      </c>
      <c r="B57" s="14" t="s">
        <v>374</v>
      </c>
      <c r="C57" s="13">
        <f t="array" ref="C57">SUM(IF((CkDJ[Date]=A57)*(CkDJ[Account Code]=TRIM($B$2))*(CkDJ[Sort Code]=$D$3),CkDJ[Debit]))</f>
        <v>7150.41</v>
      </c>
      <c r="D57" s="13">
        <f t="array" ref="D57">SUM(IF((CkDJ[Date]=A57)*(CkDJ[Account Code]=TRIM($B$2))*(CkDJ[Sort Code]=$D$3),CkDJ[Credit]))</f>
        <v>7150.41</v>
      </c>
      <c r="E57" s="12"/>
    </row>
    <row r="58" spans="1:5" x14ac:dyDescent="0.25">
      <c r="A58" s="279">
        <f>Account!$G$19</f>
        <v>44804</v>
      </c>
      <c r="B58" s="15" t="s">
        <v>375</v>
      </c>
      <c r="C58" s="13">
        <f t="array" ref="C58">SUM(IF((CsDJ[Date]=A58)*(CsDJ[Account Code]=TRIM($B$2))*(CsDJ[Sort Code]=$D$3),CsDJ[Debit]))</f>
        <v>0</v>
      </c>
      <c r="D58" s="13">
        <f t="array" ref="D58">SUM(IF((CsDJ[Date]=A58)*(CsDJ[Account Code]=TRIM($B$2))*(CsDJ[Sort Code]=$D$3),CsDJ[Credit]))</f>
        <v>0</v>
      </c>
      <c r="E58" s="12"/>
    </row>
    <row r="59" spans="1:5" x14ac:dyDescent="0.25">
      <c r="A59" s="279">
        <f>Account!$G$19</f>
        <v>44804</v>
      </c>
      <c r="B59" s="16" t="s">
        <v>376</v>
      </c>
      <c r="C59" s="13">
        <f t="array" ref="C59">SUM(IF((CRDJ[Date]=A59)*(CRDJ[Account Code]=TRIM($B$2))*(CRDJ[Sort Code]=$D$3),CRDJ[Debit]))</f>
        <v>0</v>
      </c>
      <c r="D59" s="13">
        <f t="array" ref="D59">SUM(IF((CRDJ[Date]=A59)*(CRDJ[Account Code]=TRIM($B$2))*(CRDJ[Sort Code]=$D$3),CRDJ[Credit]))</f>
        <v>0</v>
      </c>
      <c r="E59" s="12"/>
    </row>
    <row r="60" spans="1:5" x14ac:dyDescent="0.25">
      <c r="A60" s="279">
        <f>Account!$G$19</f>
        <v>44804</v>
      </c>
      <c r="B60" s="14" t="s">
        <v>377</v>
      </c>
      <c r="C60" s="13">
        <f t="array" ref="C60">SUM(IF((GJ[Date]=A60)*(GJ[Account Code]=TRIM($B$2))*(GJ[Sort Code]=$D$3),GJ[Debit]))</f>
        <v>0</v>
      </c>
      <c r="D60" s="13">
        <f t="array" ref="D60">SUM(IF((GJ[Date]=A60)*(GJ[Account Code]=TRIM($B$2))*(GJ[Sort Code]=$D$3),GJ[Credit]))</f>
        <v>0</v>
      </c>
      <c r="E60" s="12"/>
    </row>
    <row r="61" spans="1:5" x14ac:dyDescent="0.25">
      <c r="A61" s="1142">
        <f>A60</f>
        <v>44804</v>
      </c>
      <c r="B61" s="1143"/>
      <c r="C61" s="23">
        <f>SUM(C57:C60)</f>
        <v>7150.41</v>
      </c>
      <c r="D61" s="23">
        <f>SUM(D57:D60)</f>
        <v>7150.41</v>
      </c>
      <c r="E61" s="23">
        <f>IF($E$4=$C$4,C61-D61,D61-C61)</f>
        <v>0</v>
      </c>
    </row>
    <row r="62" spans="1:5" x14ac:dyDescent="0.25">
      <c r="A62" s="1144">
        <f>A61</f>
        <v>44804</v>
      </c>
      <c r="B62" s="1145"/>
      <c r="C62" s="20">
        <f>C55+C61</f>
        <v>59603.06</v>
      </c>
      <c r="D62" s="20">
        <f>D55+D61</f>
        <v>59603.06</v>
      </c>
      <c r="E62" s="20">
        <f>IF($E$4=$C$4,C62-D62,D62-C62)</f>
        <v>0</v>
      </c>
    </row>
    <row r="63" spans="1:5" x14ac:dyDescent="0.25">
      <c r="A63" s="11"/>
      <c r="B63" s="12"/>
      <c r="C63" s="13"/>
      <c r="D63" s="13"/>
      <c r="E63" s="12"/>
    </row>
    <row r="64" spans="1:5" x14ac:dyDescent="0.25">
      <c r="A64" s="279">
        <f>Account!$G$20</f>
        <v>44834</v>
      </c>
      <c r="B64" s="14" t="s">
        <v>374</v>
      </c>
      <c r="C64" s="13">
        <f t="array" ref="C64">SUM(IF((CkDJ[Date]=A64)*(CkDJ[Account Code]=TRIM($B$2))*(CkDJ[Sort Code]=$D$3),CkDJ[Debit]))</f>
        <v>7150.41</v>
      </c>
      <c r="D64" s="13">
        <f t="array" ref="D64">SUM(IF((CkDJ[Date]=A64)*(CkDJ[Account Code]=TRIM($B$2))*(CkDJ[Sort Code]=$D$3),CkDJ[Credit]))</f>
        <v>7150.41</v>
      </c>
      <c r="E64" s="12"/>
    </row>
    <row r="65" spans="1:5" x14ac:dyDescent="0.25">
      <c r="A65" s="279">
        <f>Account!$G$20</f>
        <v>44834</v>
      </c>
      <c r="B65" s="15" t="s">
        <v>375</v>
      </c>
      <c r="C65" s="13">
        <f t="array" ref="C65">SUM(IF((CsDJ[Date]=A65)*(CsDJ[Account Code]=TRIM($B$2))*(CsDJ[Sort Code]=$D$3),CsDJ[Debit]))</f>
        <v>0</v>
      </c>
      <c r="D65" s="13">
        <f t="array" ref="D65">SUM(IF((CsDJ[Date]=A65)*(CsDJ[Account Code]=TRIM($B$2))*(CsDJ[Sort Code]=$D$3),CsDJ[Credit]))</f>
        <v>0</v>
      </c>
      <c r="E65" s="12"/>
    </row>
    <row r="66" spans="1:5" x14ac:dyDescent="0.25">
      <c r="A66" s="279">
        <f>Account!$G$20</f>
        <v>44834</v>
      </c>
      <c r="B66" s="16" t="s">
        <v>376</v>
      </c>
      <c r="C66" s="13">
        <f t="array" ref="C66">SUM(IF((CRDJ[Date]=A66)*(CRDJ[Account Code]=TRIM($B$2))*(CRDJ[Sort Code]=$D$3),CRDJ[Debit]))</f>
        <v>0</v>
      </c>
      <c r="D66" s="13">
        <f t="array" ref="D66">SUM(IF((CRDJ[Date]=A66)*(CRDJ[Account Code]=TRIM($B$2))*(CRDJ[Sort Code]=$D$3),CRDJ[Credit]))</f>
        <v>0</v>
      </c>
      <c r="E66" s="12"/>
    </row>
    <row r="67" spans="1:5" x14ac:dyDescent="0.25">
      <c r="A67" s="279">
        <f>Account!$G$20</f>
        <v>44834</v>
      </c>
      <c r="B67" s="14" t="s">
        <v>377</v>
      </c>
      <c r="C67" s="13">
        <f t="array" ref="C67">SUM(IF((GJ[Date]=A67)*(GJ[Account Code]=TRIM($B$2))*(GJ[Sort Code]=$D$3),GJ[Debit]))</f>
        <v>0</v>
      </c>
      <c r="D67" s="13">
        <f t="array" ref="D67">SUM(IF((GJ[Date]=A67)*(GJ[Account Code]=TRIM($B$2))*(GJ[Sort Code]=$D$3),GJ[Credit]))</f>
        <v>0</v>
      </c>
      <c r="E67" s="12"/>
    </row>
    <row r="68" spans="1:5" x14ac:dyDescent="0.25">
      <c r="A68" s="1142">
        <f>A67</f>
        <v>44834</v>
      </c>
      <c r="B68" s="1143"/>
      <c r="C68" s="23">
        <f>SUM(C64:C67)</f>
        <v>7150.41</v>
      </c>
      <c r="D68" s="23">
        <f>SUM(D64:D67)</f>
        <v>7150.41</v>
      </c>
      <c r="E68" s="23">
        <f>IF($E$4=$C$4,C68-D68,D68-C68)</f>
        <v>0</v>
      </c>
    </row>
    <row r="69" spans="1:5" x14ac:dyDescent="0.25">
      <c r="A69" s="1144">
        <f>A68</f>
        <v>44834</v>
      </c>
      <c r="B69" s="1145"/>
      <c r="C69" s="20">
        <f>C62+C68</f>
        <v>66753.47</v>
      </c>
      <c r="D69" s="20">
        <f>D62+D68</f>
        <v>66753.47</v>
      </c>
      <c r="E69" s="20">
        <f>IF($E$4=$C$4,C69-D69,D69-C69)</f>
        <v>0</v>
      </c>
    </row>
    <row r="70" spans="1:5" x14ac:dyDescent="0.25">
      <c r="A70" s="11"/>
      <c r="B70" s="12"/>
      <c r="C70" s="13"/>
      <c r="D70" s="13"/>
      <c r="E70" s="12"/>
    </row>
    <row r="71" spans="1:5" x14ac:dyDescent="0.25">
      <c r="A71" s="279">
        <f>Account!$G$21</f>
        <v>44865</v>
      </c>
      <c r="B71" s="14" t="s">
        <v>374</v>
      </c>
      <c r="C71" s="13">
        <f t="array" ref="C71">SUM(IF((CkDJ[Date]=A71)*(CkDJ[Account Code]=TRIM($B$2))*(CkDJ[Sort Code]=$D$3),CkDJ[Debit]))</f>
        <v>7150.41</v>
      </c>
      <c r="D71" s="13">
        <f t="array" ref="D71">SUM(IF((CkDJ[Date]=A71)*(CkDJ[Account Code]=TRIM($B$2))*(CkDJ[Sort Code]=$D$3),CkDJ[Credit]))</f>
        <v>7150.41</v>
      </c>
      <c r="E71" s="12"/>
    </row>
    <row r="72" spans="1:5" x14ac:dyDescent="0.25">
      <c r="A72" s="279">
        <f>Account!$G$21</f>
        <v>44865</v>
      </c>
      <c r="B72" s="15" t="s">
        <v>375</v>
      </c>
      <c r="C72" s="13">
        <f t="array" ref="C72">SUM(IF((CsDJ[Date]=A72)*(CsDJ[Account Code]=TRIM($B$2))*(CsDJ[Sort Code]=$D$3),CsDJ[Debit]))</f>
        <v>0</v>
      </c>
      <c r="D72" s="13">
        <f t="array" ref="D72">SUM(IF((CsDJ[Date]=A72)*(CsDJ[Account Code]=TRIM($B$2))*(CsDJ[Sort Code]=$D$3),CsDJ[Credit]))</f>
        <v>0</v>
      </c>
      <c r="E72" s="12"/>
    </row>
    <row r="73" spans="1:5" x14ac:dyDescent="0.25">
      <c r="A73" s="279">
        <f>Account!$G$21</f>
        <v>44865</v>
      </c>
      <c r="B73" s="16" t="s">
        <v>376</v>
      </c>
      <c r="C73" s="13">
        <f t="array" ref="C73">SUM(IF((CRDJ[Date]=A73)*(CRDJ[Account Code]=TRIM($B$2))*(CRDJ[Sort Code]=$D$3),CRDJ[Debit]))</f>
        <v>0</v>
      </c>
      <c r="D73" s="13">
        <f t="array" ref="D73">SUM(IF((CRDJ[Date]=A73)*(CRDJ[Account Code]=TRIM($B$2))*(CRDJ[Sort Code]=$D$3),CRDJ[Credit]))</f>
        <v>0</v>
      </c>
      <c r="E73" s="12"/>
    </row>
    <row r="74" spans="1:5" x14ac:dyDescent="0.25">
      <c r="A74" s="279">
        <f>Account!$G$21</f>
        <v>44865</v>
      </c>
      <c r="B74" s="14" t="s">
        <v>377</v>
      </c>
      <c r="C74" s="13">
        <f t="array" ref="C74">SUM(IF((GJ[Date]=A74)*(GJ[Account Code]=TRIM($B$2))*(GJ[Sort Code]=$D$3),GJ[Debit]))</f>
        <v>0</v>
      </c>
      <c r="D74" s="13">
        <f t="array" ref="D74">SUM(IF((GJ[Date]=A74)*(GJ[Account Code]=TRIM($B$2))*(GJ[Sort Code]=$D$3),GJ[Credit]))</f>
        <v>0</v>
      </c>
      <c r="E74" s="12"/>
    </row>
    <row r="75" spans="1:5" x14ac:dyDescent="0.25">
      <c r="A75" s="1142">
        <f>A74</f>
        <v>44865</v>
      </c>
      <c r="B75" s="1143"/>
      <c r="C75" s="23">
        <f>SUM(C71:C74)</f>
        <v>7150.41</v>
      </c>
      <c r="D75" s="23">
        <f>SUM(D71:D74)</f>
        <v>7150.41</v>
      </c>
      <c r="E75" s="23">
        <f>IF($E$4=$C$4,C75-D75,D75-C75)</f>
        <v>0</v>
      </c>
    </row>
    <row r="76" spans="1:5" x14ac:dyDescent="0.25">
      <c r="A76" s="1144">
        <f>A75</f>
        <v>44865</v>
      </c>
      <c r="B76" s="1145"/>
      <c r="C76" s="20">
        <f>C69+C75</f>
        <v>73903.88</v>
      </c>
      <c r="D76" s="20">
        <f>D69+D75</f>
        <v>73903.88</v>
      </c>
      <c r="E76" s="20">
        <f>IF($E$4=$C$4,C76-D76,D76-C76)</f>
        <v>0</v>
      </c>
    </row>
    <row r="77" spans="1:5" x14ac:dyDescent="0.25">
      <c r="A77" s="11"/>
      <c r="B77" s="12"/>
      <c r="C77" s="13"/>
      <c r="D77" s="13"/>
      <c r="E77" s="12"/>
    </row>
    <row r="78" spans="1:5" x14ac:dyDescent="0.25">
      <c r="A78" s="279">
        <f>Account!$G$22</f>
        <v>44895</v>
      </c>
      <c r="B78" s="14" t="s">
        <v>374</v>
      </c>
      <c r="C78" s="13">
        <f t="array" ref="C78">SUM(IF((CkDJ[Date]=A78)*(CkDJ[Account Code]=TRIM($B$2))*(CkDJ[Sort Code]=$D$3),CkDJ[Debit]))</f>
        <v>7150.41</v>
      </c>
      <c r="D78" s="13">
        <f t="array" ref="D78">SUM(IF((CkDJ[Date]=A78)*(CkDJ[Account Code]=TRIM($B$2))*(CkDJ[Sort Code]=$D$3),CkDJ[Credit]))</f>
        <v>7150.41</v>
      </c>
      <c r="E78" s="12"/>
    </row>
    <row r="79" spans="1:5" x14ac:dyDescent="0.25">
      <c r="A79" s="279">
        <f>Account!$G$22</f>
        <v>44895</v>
      </c>
      <c r="B79" s="15" t="s">
        <v>375</v>
      </c>
      <c r="C79" s="13">
        <f t="array" ref="C79">SUM(IF((CsDJ[Date]=A79)*(CsDJ[Account Code]=TRIM($B$2))*(CsDJ[Sort Code]=$D$3),CsDJ[Debit]))</f>
        <v>0</v>
      </c>
      <c r="D79" s="13">
        <f t="array" ref="D79">SUM(IF((CsDJ[Date]=A79)*(CsDJ[Account Code]=TRIM($B$2))*(CsDJ[Sort Code]=$D$3),CsDJ[Credit]))</f>
        <v>0</v>
      </c>
      <c r="E79" s="12"/>
    </row>
    <row r="80" spans="1:5" x14ac:dyDescent="0.25">
      <c r="A80" s="279">
        <f>Account!$G$22</f>
        <v>44895</v>
      </c>
      <c r="B80" s="16" t="s">
        <v>376</v>
      </c>
      <c r="C80" s="13">
        <f t="array" ref="C80">SUM(IF((CRDJ[Date]=A80)*(CRDJ[Account Code]=TRIM($B$2))*(CRDJ[Sort Code]=$D$3),CRDJ[Debit]))</f>
        <v>0</v>
      </c>
      <c r="D80" s="13">
        <f t="array" ref="D80">SUM(IF((CRDJ[Date]=A80)*(CRDJ[Account Code]=TRIM($B$2))*(CRDJ[Sort Code]=$D$3),CRDJ[Credit]))</f>
        <v>0</v>
      </c>
      <c r="E80" s="12"/>
    </row>
    <row r="81" spans="1:5" x14ac:dyDescent="0.25">
      <c r="A81" s="279">
        <f>Account!$G$22</f>
        <v>44895</v>
      </c>
      <c r="B81" s="14" t="s">
        <v>377</v>
      </c>
      <c r="C81" s="13">
        <f t="array" ref="C81">SUM(IF((GJ[Date]=A81)*(GJ[Account Code]=TRIM($B$2))*(GJ[Sort Code]=$D$3),GJ[Debit]))</f>
        <v>0</v>
      </c>
      <c r="D81" s="13">
        <f t="array" ref="D81">SUM(IF((GJ[Date]=A81)*(GJ[Account Code]=TRIM($B$2))*(GJ[Sort Code]=$D$3),GJ[Credit]))</f>
        <v>0</v>
      </c>
      <c r="E81" s="12"/>
    </row>
    <row r="82" spans="1:5" x14ac:dyDescent="0.25">
      <c r="A82" s="1142">
        <f>A81</f>
        <v>44895</v>
      </c>
      <c r="B82" s="1143"/>
      <c r="C82" s="23">
        <f>SUM(C78:C81)</f>
        <v>7150.41</v>
      </c>
      <c r="D82" s="23">
        <f>SUM(D78:D81)</f>
        <v>7150.41</v>
      </c>
      <c r="E82" s="23">
        <f>IF($E$4=$C$4,C82-D82,D82-C82)</f>
        <v>0</v>
      </c>
    </row>
    <row r="83" spans="1:5" x14ac:dyDescent="0.25">
      <c r="A83" s="1144">
        <f>A82</f>
        <v>44895</v>
      </c>
      <c r="B83" s="1145"/>
      <c r="C83" s="20">
        <f>C76+C82</f>
        <v>81054.289999999994</v>
      </c>
      <c r="D83" s="20">
        <f>D76+D82</f>
        <v>81054.289999999994</v>
      </c>
      <c r="E83" s="20">
        <f>IF($E$4=$C$4,C83-D83,D83-C83)</f>
        <v>0</v>
      </c>
    </row>
    <row r="84" spans="1:5" x14ac:dyDescent="0.25">
      <c r="A84" s="11"/>
      <c r="B84" s="12"/>
      <c r="C84" s="13"/>
      <c r="D84" s="13"/>
      <c r="E84" s="12"/>
    </row>
    <row r="85" spans="1:5" x14ac:dyDescent="0.25">
      <c r="A85" s="279">
        <f>Account!$G$23</f>
        <v>44926</v>
      </c>
      <c r="B85" s="14" t="s">
        <v>374</v>
      </c>
      <c r="C85" s="13">
        <f t="array" ref="C85">SUM(IF((CkDJ[Date]=A85)*(CkDJ[Account Code]=TRIM($B$2))*(CkDJ[Sort Code]=$D$3),CkDJ[Debit]))</f>
        <v>7150.41</v>
      </c>
      <c r="D85" s="13">
        <f t="array" ref="D85">SUM(IF((CkDJ[Date]=A85)*(CkDJ[Account Code]=TRIM($B$2))*(CkDJ[Sort Code]=$D$3),CkDJ[Credit]))</f>
        <v>7150.41</v>
      </c>
      <c r="E85" s="12"/>
    </row>
    <row r="86" spans="1:5" x14ac:dyDescent="0.25">
      <c r="A86" s="279">
        <f>Account!$G$23</f>
        <v>44926</v>
      </c>
      <c r="B86" s="15" t="s">
        <v>375</v>
      </c>
      <c r="C86" s="13">
        <f t="array" ref="C86">SUM(IF((CsDJ[Date]=A86)*(CsDJ[Account Code]=TRIM($B$2))*(CsDJ[Sort Code]=$D$3),CsDJ[Debit]))</f>
        <v>0</v>
      </c>
      <c r="D86" s="13">
        <f t="array" ref="D86">SUM(IF((CsDJ[Date]=A86)*(CsDJ[Account Code]=TRIM($B$2))*(CsDJ[Sort Code]=$D$3),CsDJ[Credit]))</f>
        <v>0</v>
      </c>
      <c r="E86" s="12"/>
    </row>
    <row r="87" spans="1:5" x14ac:dyDescent="0.25">
      <c r="A87" s="279">
        <f>Account!$G$23</f>
        <v>44926</v>
      </c>
      <c r="B87" s="16" t="s">
        <v>376</v>
      </c>
      <c r="C87" s="13">
        <f t="array" ref="C87">SUM(IF((CRDJ[Date]=A87)*(CRDJ[Account Code]=TRIM($B$2))*(CRDJ[Sort Code]=$D$3),CRDJ[Debit]))</f>
        <v>0</v>
      </c>
      <c r="D87" s="13">
        <f t="array" ref="D87">SUM(IF((CRDJ[Date]=A87)*(CRDJ[Account Code]=TRIM($B$2))*(CRDJ[Sort Code]=$D$3),CRDJ[Credit]))</f>
        <v>0</v>
      </c>
      <c r="E87" s="12"/>
    </row>
    <row r="88" spans="1:5" x14ac:dyDescent="0.25">
      <c r="A88" s="279">
        <f>Account!$G$23</f>
        <v>44926</v>
      </c>
      <c r="B88" s="14" t="s">
        <v>377</v>
      </c>
      <c r="C88" s="13">
        <f t="array" ref="C88">SUM(IF((GJ[Date]=A88)*(GJ[Account Code]=TRIM($B$2))*(GJ[Sort Code]=$D$3),GJ[Debit]))</f>
        <v>0</v>
      </c>
      <c r="D88" s="13">
        <f t="array" ref="D88">SUM(IF((GJ[Date]=A88)*(GJ[Account Code]=TRIM($B$2))*(GJ[Sort Code]=$D$3),GJ[Credit]))</f>
        <v>0</v>
      </c>
      <c r="E88" s="12"/>
    </row>
    <row r="89" spans="1:5" x14ac:dyDescent="0.25">
      <c r="A89" s="1142">
        <f>A88</f>
        <v>44926</v>
      </c>
      <c r="B89" s="1143"/>
      <c r="C89" s="23">
        <f>SUM(C85:C88)</f>
        <v>7150.41</v>
      </c>
      <c r="D89" s="23">
        <f>SUM(D85:D88)</f>
        <v>7150.41</v>
      </c>
      <c r="E89" s="23">
        <f>IF($E$4=$C$4,C89-D89,D89-C89)</f>
        <v>0</v>
      </c>
    </row>
    <row r="90" spans="1:5" x14ac:dyDescent="0.25">
      <c r="A90" s="1144">
        <f>A89</f>
        <v>44926</v>
      </c>
      <c r="B90" s="1145"/>
      <c r="C90" s="20">
        <f>C83+C89</f>
        <v>88204.7</v>
      </c>
      <c r="D90" s="20">
        <f>D83+D89</f>
        <v>88204.7</v>
      </c>
      <c r="E90" s="20">
        <f>IF($E$4=$C$4,C90-D90,D90-C90)</f>
        <v>0</v>
      </c>
    </row>
  </sheetData>
  <sheetProtection sheet="1" objects="1" scenarios="1"/>
  <mergeCells count="29">
    <mergeCell ref="A76:B76"/>
    <mergeCell ref="A82:B82"/>
    <mergeCell ref="A83:B83"/>
    <mergeCell ref="A89:B89"/>
    <mergeCell ref="A90:B90"/>
    <mergeCell ref="A75:B75"/>
    <mergeCell ref="A34:B34"/>
    <mergeCell ref="A40:B40"/>
    <mergeCell ref="A41:B41"/>
    <mergeCell ref="A47:B47"/>
    <mergeCell ref="A48:B48"/>
    <mergeCell ref="A54:B54"/>
    <mergeCell ref="A55:B55"/>
    <mergeCell ref="A61:B61"/>
    <mergeCell ref="A62:B62"/>
    <mergeCell ref="A68:B68"/>
    <mergeCell ref="A69:B69"/>
    <mergeCell ref="C2:E2"/>
    <mergeCell ref="A33:B33"/>
    <mergeCell ref="A4:A5"/>
    <mergeCell ref="B4:B5"/>
    <mergeCell ref="C4:C5"/>
    <mergeCell ref="D4:D5"/>
    <mergeCell ref="A12:B12"/>
    <mergeCell ref="A13:B13"/>
    <mergeCell ref="A19:B19"/>
    <mergeCell ref="A20:B20"/>
    <mergeCell ref="A26:B26"/>
    <mergeCell ref="A27:B27"/>
  </mergeCells>
  <printOptions horizontalCentered="1"/>
  <pageMargins left="0.25" right="0.25" top="0.75" bottom="1.75" header="0.3" footer="1.5"/>
  <pageSetup paperSize="5" scale="95" orientation="portrait" horizontalDpi="300" verticalDpi="300" r:id="rId1"/>
  <headerFooter>
    <oddFooter>Page &amp;P of &amp;N</oddFooter>
  </headerFooter>
  <rowBreaks count="1" manualBreakCount="1">
    <brk id="4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7">
    <tabColor rgb="FF0070C0"/>
  </sheetPr>
  <dimension ref="A1:E90"/>
  <sheetViews>
    <sheetView workbookViewId="0">
      <selection activeCell="B3" sqref="B3"/>
    </sheetView>
  </sheetViews>
  <sheetFormatPr defaultColWidth="9" defaultRowHeight="15.75" x14ac:dyDescent="0.25"/>
  <cols>
    <col min="1" max="1" width="13.375" style="6" bestFit="1" customWidth="1"/>
    <col min="2" max="2" width="32.5" customWidth="1"/>
    <col min="3" max="4" width="16.625" style="173" customWidth="1"/>
    <col min="5" max="5" width="16.625" customWidth="1"/>
  </cols>
  <sheetData>
    <row r="1" spans="1:5" ht="32.25" x14ac:dyDescent="0.5">
      <c r="A1" s="273" t="s">
        <v>508</v>
      </c>
      <c r="B1" s="104" t="str">
        <f>Account!$G$1</f>
        <v>FUND 501 CARP</v>
      </c>
    </row>
    <row r="2" spans="1:5" ht="37.5" x14ac:dyDescent="0.85">
      <c r="A2" s="273" t="s">
        <v>370</v>
      </c>
      <c r="B2" s="26" t="s">
        <v>1566</v>
      </c>
      <c r="C2" s="1135" t="str">
        <f t="array" ref="C2">IF(B2=0,0,(INDEX(AccountCodes[PPSAS CODE],MATCH(B2,AccountCodes[NGAS CODE],0))))</f>
        <v>1010202000FO</v>
      </c>
      <c r="D2" s="1135"/>
      <c r="E2" s="1135"/>
    </row>
    <row r="3" spans="1:5" ht="23.25" x14ac:dyDescent="0.35">
      <c r="A3" s="273" t="s">
        <v>371</v>
      </c>
      <c r="B3" s="492" t="str">
        <f t="array" ref="B3">IF(B2=0,0,(INDEX(AccountCodes[ACCOUNT NAME],MATCH(B2,AccountCodes[NGAS CODE],0))))</f>
        <v>Cash in Bank-Local Currency, Current Account - FO</v>
      </c>
      <c r="C3" s="266" t="s">
        <v>837</v>
      </c>
      <c r="D3" s="180" t="s">
        <v>762</v>
      </c>
      <c r="E3" s="180"/>
    </row>
    <row r="4" spans="1:5" ht="15.75" customHeight="1" x14ac:dyDescent="0.25">
      <c r="A4" s="1141" t="s">
        <v>0</v>
      </c>
      <c r="B4" s="1140" t="s">
        <v>372</v>
      </c>
      <c r="C4" s="1140" t="s">
        <v>1</v>
      </c>
      <c r="D4" s="1140" t="s">
        <v>2</v>
      </c>
      <c r="E4" s="175" t="str">
        <f t="array" ref="E4">IF(C2=0,0,INDEX(AccountCodes[Normal Balance],MATCH(C2,AccountCodes[PPSAS CODE])))</f>
        <v>Debit</v>
      </c>
    </row>
    <row r="5" spans="1:5" x14ac:dyDescent="0.25">
      <c r="A5" s="1141"/>
      <c r="B5" s="1140"/>
      <c r="C5" s="1140"/>
      <c r="D5" s="1140"/>
      <c r="E5" s="18" t="s">
        <v>379</v>
      </c>
    </row>
    <row r="6" spans="1:5" x14ac:dyDescent="0.25">
      <c r="A6" s="21">
        <f>PostTB!A2</f>
        <v>44561</v>
      </c>
      <c r="B6" s="22" t="s">
        <v>373</v>
      </c>
      <c r="C6" s="176">
        <f t="array" ref="C6">SUM(IF((PostTB[Account Code (Old)]=TRIM($B$2))*(PostTB[Sort Code]=$D$3)*(PostTB[Ofc Code]=$E$3),PostTB[Debit]))</f>
        <v>4878727.6900000004</v>
      </c>
      <c r="D6" s="176">
        <f t="array" ref="D6">SUM(IF((PostTB[Account Code (Old)]=TRIM($B$2))*(PostTB[Sort Code]=$D$3)*(PostTB[Ofc Code]=$E$3),PostTB[Credit]))</f>
        <v>0</v>
      </c>
      <c r="E6" s="176">
        <f>IF($E$4=$C$4,C6-D6,D6-C6)</f>
        <v>4878727.6900000004</v>
      </c>
    </row>
    <row r="7" spans="1:5" x14ac:dyDescent="0.25">
      <c r="A7" s="11"/>
      <c r="B7" s="12"/>
      <c r="C7" s="177"/>
      <c r="D7" s="177"/>
      <c r="E7" s="12"/>
    </row>
    <row r="8" spans="1:5" x14ac:dyDescent="0.25">
      <c r="A8" s="279">
        <f>Account!$G$12</f>
        <v>44592</v>
      </c>
      <c r="B8" s="14" t="s">
        <v>374</v>
      </c>
      <c r="C8" s="177">
        <f t="array" ref="C8">SUM(IF((CkDJ[Date]=A8)*(CkDJ[Account Code]=TRIM($B$2))*(CkDJ[Sort Code]=$D$3)*(CkDJ[Ofc Code]=$E$3),CkDJ[Debit]))</f>
        <v>0</v>
      </c>
      <c r="D8" s="177">
        <f t="array" ref="D8">SUM(IF((CkDJ[Date]=A8)*(CkDJ[Account Code]=TRIM($B$2))*(CkDJ[Sort Code]=$D$3)*(CkDJ[Ofc Code]=$E$3),CkDJ[Credit]))</f>
        <v>0</v>
      </c>
      <c r="E8" s="12"/>
    </row>
    <row r="9" spans="1:5" x14ac:dyDescent="0.25">
      <c r="A9" s="279">
        <f>Account!$G$12</f>
        <v>44592</v>
      </c>
      <c r="B9" s="15" t="s">
        <v>375</v>
      </c>
      <c r="C9" s="177">
        <f t="array" ref="C9">SUM(IF((CsDJ[Date]=A9)*(CsDJ[Account Code]=TRIM($B$2))*(CsDJ[Sort Code]=$D$3)*(CsDJ[Ofc Code]=$E$3),CsDJ[Debit]))</f>
        <v>0</v>
      </c>
      <c r="D9" s="177">
        <f t="array" ref="D9">SUM(IF((CsDJ[Date]=A9)*(CsDJ[Account Code]=TRIM($B$2))*(CsDJ[Sort Code]=$D$3)*(CsDJ[Ofc Code]=$E$3),CsDJ[Credit]))</f>
        <v>0</v>
      </c>
      <c r="E9" s="12"/>
    </row>
    <row r="10" spans="1:5" x14ac:dyDescent="0.25">
      <c r="A10" s="279">
        <f>Account!$G$12</f>
        <v>44592</v>
      </c>
      <c r="B10" s="16" t="s">
        <v>376</v>
      </c>
      <c r="C10" s="177">
        <f t="array" ref="C10">SUM(IF((CRDJ[Date]=A10)*(CRDJ[Account Code]=TRIM($B$2))*(CRDJ[Sort Code]=$D$3)*(CRDJ[Ofc Code]=$E$3),CRDJ[Debit]))</f>
        <v>0</v>
      </c>
      <c r="D10" s="177">
        <f t="array" ref="D10">SUM(IF((CRDJ[Date]=A10)*(CRDJ[Account Code]=TRIM($B$2))*(CRDJ[Sort Code]=$D$3)*(CRDJ[Ofc Code]=$E$3),CRDJ[Credit]))</f>
        <v>0</v>
      </c>
      <c r="E10" s="178"/>
    </row>
    <row r="11" spans="1:5" x14ac:dyDescent="0.25">
      <c r="A11" s="279">
        <f>Account!$G$12</f>
        <v>44592</v>
      </c>
      <c r="B11" s="14" t="s">
        <v>377</v>
      </c>
      <c r="C11" s="177">
        <f t="array" ref="C11">SUM(IF((GJ[Date]=A11)*(GJ[Account Code]=TRIM($B$2))*(GJ[Sort Code]=$D$3)*(GJ[Ofc Code]=$E$3),GJ[Debit]))</f>
        <v>0</v>
      </c>
      <c r="D11" s="177">
        <f t="array" ref="D11">SUM(IF((GJ[Date]=A11)*(GJ[Account Code]=TRIM($B$2))*(GJ[Sort Code]=$D$3)*(GJ[Ofc Code]=$E$3),GJ[Credit]))</f>
        <v>0</v>
      </c>
      <c r="E11" s="12"/>
    </row>
    <row r="12" spans="1:5" x14ac:dyDescent="0.25">
      <c r="A12" s="1142">
        <f>A11</f>
        <v>44592</v>
      </c>
      <c r="B12" s="1143"/>
      <c r="C12" s="179">
        <f>SUM(C8:C11)</f>
        <v>0</v>
      </c>
      <c r="D12" s="179">
        <f>SUM(D8:D11)</f>
        <v>0</v>
      </c>
      <c r="E12" s="179">
        <f>IF($E$4=$C$4,C12-D12,D12-C12)</f>
        <v>0</v>
      </c>
    </row>
    <row r="13" spans="1:5" x14ac:dyDescent="0.25">
      <c r="A13" s="1144">
        <f>A12</f>
        <v>44592</v>
      </c>
      <c r="B13" s="1145"/>
      <c r="C13" s="176">
        <f>C6+C12</f>
        <v>4878727.6900000004</v>
      </c>
      <c r="D13" s="176">
        <f>D6+D12</f>
        <v>0</v>
      </c>
      <c r="E13" s="176">
        <f>IF($E$4=$C$4,C13-D13,D13-C13)</f>
        <v>4878727.6900000004</v>
      </c>
    </row>
    <row r="14" spans="1:5" x14ac:dyDescent="0.25">
      <c r="A14" s="19"/>
      <c r="B14" s="19"/>
      <c r="C14" s="177"/>
      <c r="D14" s="177"/>
      <c r="E14" s="12"/>
    </row>
    <row r="15" spans="1:5" x14ac:dyDescent="0.25">
      <c r="A15" s="279">
        <f>Account!$G$13</f>
        <v>44620</v>
      </c>
      <c r="B15" s="14" t="s">
        <v>374</v>
      </c>
      <c r="C15" s="177">
        <f t="array" ref="C15">SUM(IF((CkDJ[Date]=A15)*(CkDJ[Account Code]=TRIM($B$2))*(CkDJ[Sort Code]=$D$3)*(CkDJ[Ofc Code]=$E$3),CkDJ[Debit]))</f>
        <v>0</v>
      </c>
      <c r="D15" s="177">
        <f t="array" ref="D15">SUM(IF((CkDJ[Date]=A15)*(CkDJ[Account Code]=TRIM($B$2))*(CkDJ[Sort Code]=$D$3)*(CkDJ[Ofc Code]=$E$3),CkDJ[Credit]))</f>
        <v>0</v>
      </c>
      <c r="E15" s="12"/>
    </row>
    <row r="16" spans="1:5" x14ac:dyDescent="0.25">
      <c r="A16" s="279">
        <f>Account!$G$13</f>
        <v>44620</v>
      </c>
      <c r="B16" s="15" t="s">
        <v>375</v>
      </c>
      <c r="C16" s="177">
        <f t="array" ref="C16">SUM(IF((CsDJ[Date]=A16)*(CsDJ[Account Code]=TRIM($B$2))*(CsDJ[Sort Code]=$D$3)*(CsDJ[Ofc Code]=$E$3),CsDJ[Debit]))</f>
        <v>0</v>
      </c>
      <c r="D16" s="177">
        <f t="array" ref="D16">SUM(IF((CsDJ[Date]=A16)*(CsDJ[Account Code]=TRIM($B$2))*(CsDJ[Sort Code]=$D$3)*(CsDJ[Ofc Code]=$E$3),CsDJ[Credit]))</f>
        <v>0</v>
      </c>
      <c r="E16" s="12"/>
    </row>
    <row r="17" spans="1:5" x14ac:dyDescent="0.25">
      <c r="A17" s="279">
        <f>Account!$G$13</f>
        <v>44620</v>
      </c>
      <c r="B17" s="16" t="s">
        <v>376</v>
      </c>
      <c r="C17" s="177">
        <f t="array" ref="C17">SUM(IF((CRDJ[Date]=A17)*(CRDJ[Account Code]=TRIM($B$2))*(CRDJ[Sort Code]=$D$3)*(CRDJ[Ofc Code]=$E$3),CRDJ[Debit]))</f>
        <v>0</v>
      </c>
      <c r="D17" s="177">
        <f t="array" ref="D17">SUM(IF((CRDJ[Date]=A17)*(CRDJ[Account Code]=TRIM($B$2))*(CRDJ[Sort Code]=$D$3)*(CRDJ[Ofc Code]=$E$3),CRDJ[Credit]))</f>
        <v>0</v>
      </c>
      <c r="E17" s="12"/>
    </row>
    <row r="18" spans="1:5" x14ac:dyDescent="0.25">
      <c r="A18" s="279">
        <f>Account!$G$13</f>
        <v>44620</v>
      </c>
      <c r="B18" s="14" t="s">
        <v>377</v>
      </c>
      <c r="C18" s="177">
        <f t="array" ref="C18">SUM(IF((GJ[Date]=A18)*(GJ[Account Code]=TRIM($B$2))*(GJ[Sort Code]=$D$3)*(GJ[Ofc Code]=$E$3),GJ[Debit]))</f>
        <v>0</v>
      </c>
      <c r="D18" s="177">
        <f t="array" ref="D18">SUM(IF((GJ[Date]=A18)*(GJ[Account Code]=TRIM($B$2))*(GJ[Sort Code]=$D$3)*(GJ[Ofc Code]=$E$3),GJ[Credit]))</f>
        <v>0</v>
      </c>
      <c r="E18" s="12"/>
    </row>
    <row r="19" spans="1:5" x14ac:dyDescent="0.25">
      <c r="A19" s="1142">
        <f>A18</f>
        <v>44620</v>
      </c>
      <c r="B19" s="1143"/>
      <c r="C19" s="179">
        <f>SUM(C15:C18)</f>
        <v>0</v>
      </c>
      <c r="D19" s="179">
        <f>SUM(D15:D18)</f>
        <v>0</v>
      </c>
      <c r="E19" s="179">
        <f>IF($E$4=$C$4,C19-D19,D19-C19)</f>
        <v>0</v>
      </c>
    </row>
    <row r="20" spans="1:5" x14ac:dyDescent="0.25">
      <c r="A20" s="1144">
        <f>A19</f>
        <v>44620</v>
      </c>
      <c r="B20" s="1145"/>
      <c r="C20" s="176">
        <f>C13+C19</f>
        <v>4878727.6900000004</v>
      </c>
      <c r="D20" s="176">
        <f>D13+D19</f>
        <v>0</v>
      </c>
      <c r="E20" s="176">
        <f>IF($E$4=$C$4,C20-D20,D20-C20)</f>
        <v>4878727.6900000004</v>
      </c>
    </row>
    <row r="21" spans="1:5" x14ac:dyDescent="0.25">
      <c r="A21" s="11"/>
      <c r="B21" s="12"/>
      <c r="C21" s="177"/>
      <c r="D21" s="177"/>
      <c r="E21" s="12"/>
    </row>
    <row r="22" spans="1:5" x14ac:dyDescent="0.25">
      <c r="A22" s="279">
        <f>Account!$G$14</f>
        <v>44651</v>
      </c>
      <c r="B22" s="14" t="s">
        <v>374</v>
      </c>
      <c r="C22" s="177">
        <f t="array" ref="C22">SUM(IF((CkDJ[Date]=A22)*(CkDJ[Account Code]=TRIM($B$2))*(CkDJ[Sort Code]=$D$3)*(CkDJ[Ofc Code]=$E$3),CkDJ[Debit]))</f>
        <v>0</v>
      </c>
      <c r="D22" s="177">
        <f t="array" ref="D22">SUM(IF((CkDJ[Date]=A22)*(CkDJ[Account Code]=TRIM($B$2))*(CkDJ[Sort Code]=$D$3)*(CkDJ[Ofc Code]=$E$3),CkDJ[Credit]))</f>
        <v>0</v>
      </c>
      <c r="E22" s="12"/>
    </row>
    <row r="23" spans="1:5" x14ac:dyDescent="0.25">
      <c r="A23" s="279">
        <f>Account!$G$14</f>
        <v>44651</v>
      </c>
      <c r="B23" s="15" t="s">
        <v>375</v>
      </c>
      <c r="C23" s="177">
        <f t="array" ref="C23">SUM(IF((CsDJ[Date]=A23)*(CsDJ[Account Code]=TRIM($B$2))*(CsDJ[Sort Code]=$D$3)*(CsDJ[Ofc Code]=$E$3),CsDJ[Debit]))</f>
        <v>0</v>
      </c>
      <c r="D23" s="177">
        <f t="array" ref="D23">SUM(IF((CsDJ[Date]=A23)*(CsDJ[Account Code]=TRIM($B$2))*(CsDJ[Sort Code]=$D$3)*(CsDJ[Ofc Code]=$E$3),CsDJ[Credit]))</f>
        <v>0</v>
      </c>
      <c r="E23" s="12"/>
    </row>
    <row r="24" spans="1:5" x14ac:dyDescent="0.25">
      <c r="A24" s="279">
        <f>Account!$G$14</f>
        <v>44651</v>
      </c>
      <c r="B24" s="16" t="s">
        <v>376</v>
      </c>
      <c r="C24" s="177">
        <f t="array" ref="C24">SUM(IF((CRDJ[Date]=A24)*(CRDJ[Account Code]=TRIM($B$2))*(CRDJ[Sort Code]=$D$3)*(CRDJ[Ofc Code]=$E$3),CRDJ[Debit]))</f>
        <v>0</v>
      </c>
      <c r="D24" s="177">
        <f t="array" ref="D24">SUM(IF((CRDJ[Date]=A24)*(CRDJ[Account Code]=TRIM($B$2))*(CRDJ[Sort Code]=$D$3)*(CRDJ[Ofc Code]=$E$3),CRDJ[Credit]))</f>
        <v>0</v>
      </c>
      <c r="E24" s="12"/>
    </row>
    <row r="25" spans="1:5" x14ac:dyDescent="0.25">
      <c r="A25" s="279">
        <f>Account!$G$14</f>
        <v>44651</v>
      </c>
      <c r="B25" s="14" t="s">
        <v>377</v>
      </c>
      <c r="C25" s="177">
        <f t="array" ref="C25">SUM(IF((GJ[Date]=A25)*(GJ[Account Code]=TRIM($B$2))*(GJ[Sort Code]=$D$3)*(GJ[Ofc Code]=$E$3),GJ[Debit]))</f>
        <v>0</v>
      </c>
      <c r="D25" s="177">
        <f t="array" ref="D25">SUM(IF((GJ[Date]=A25)*(GJ[Account Code]=TRIM($B$2))*(GJ[Sort Code]=$D$3)*(GJ[Ofc Code]=$E$3),GJ[Credit]))</f>
        <v>0</v>
      </c>
      <c r="E25" s="12"/>
    </row>
    <row r="26" spans="1:5" x14ac:dyDescent="0.25">
      <c r="A26" s="1142">
        <f>A25</f>
        <v>44651</v>
      </c>
      <c r="B26" s="1143"/>
      <c r="C26" s="179">
        <f>SUM(C22:C25)</f>
        <v>0</v>
      </c>
      <c r="D26" s="179">
        <f>SUM(D22:D25)</f>
        <v>0</v>
      </c>
      <c r="E26" s="179">
        <f>IF($E$4=$C$4,C26-D26,D26-C26)</f>
        <v>0</v>
      </c>
    </row>
    <row r="27" spans="1:5" x14ac:dyDescent="0.25">
      <c r="A27" s="1144">
        <f>A26</f>
        <v>44651</v>
      </c>
      <c r="B27" s="1145"/>
      <c r="C27" s="176">
        <f>C20+C26</f>
        <v>4878727.6900000004</v>
      </c>
      <c r="D27" s="176">
        <f>D20+D26</f>
        <v>0</v>
      </c>
      <c r="E27" s="176">
        <f>IF($E$4=$C$4,C27-D27,D27-C27)</f>
        <v>4878727.6900000004</v>
      </c>
    </row>
    <row r="28" spans="1:5" x14ac:dyDescent="0.25">
      <c r="A28" s="11"/>
      <c r="B28" s="12"/>
      <c r="C28" s="177"/>
      <c r="D28" s="177"/>
      <c r="E28" s="12"/>
    </row>
    <row r="29" spans="1:5" x14ac:dyDescent="0.25">
      <c r="A29" s="279">
        <f>Account!$G$15</f>
        <v>44681</v>
      </c>
      <c r="B29" s="14" t="s">
        <v>374</v>
      </c>
      <c r="C29" s="177">
        <f t="array" ref="C29">SUM(IF((CkDJ[Date]=A29)*(CkDJ[Account Code]=TRIM($B$2))*(CkDJ[Sort Code]=$D$3)*(CkDJ[Ofc Code]=$E$3),CkDJ[Debit]))</f>
        <v>0</v>
      </c>
      <c r="D29" s="177">
        <f t="array" ref="D29">SUM(IF((CkDJ[Date]=A29)*(CkDJ[Account Code]=TRIM($B$2))*(CkDJ[Sort Code]=$D$3)*(CkDJ[Ofc Code]=$E$3),CkDJ[Credit]))</f>
        <v>0</v>
      </c>
      <c r="E29" s="12"/>
    </row>
    <row r="30" spans="1:5" x14ac:dyDescent="0.25">
      <c r="A30" s="279">
        <f>Account!$G$15</f>
        <v>44681</v>
      </c>
      <c r="B30" s="15" t="s">
        <v>375</v>
      </c>
      <c r="C30" s="177">
        <f t="array" ref="C30">SUM(IF((CsDJ[Date]=A30)*(CsDJ[Account Code]=TRIM($B$2))*(CsDJ[Sort Code]=$D$3)*(CsDJ[Ofc Code]=$E$3),CsDJ[Debit]))</f>
        <v>0</v>
      </c>
      <c r="D30" s="177">
        <f t="array" ref="D30">SUM(IF((CsDJ[Date]=A30)*(CsDJ[Account Code]=TRIM($B$2))*(CsDJ[Sort Code]=$D$3)*(CsDJ[Ofc Code]=$E$3),CsDJ[Credit]))</f>
        <v>0</v>
      </c>
      <c r="E30" s="12"/>
    </row>
    <row r="31" spans="1:5" x14ac:dyDescent="0.25">
      <c r="A31" s="279">
        <f>Account!$G$15</f>
        <v>44681</v>
      </c>
      <c r="B31" s="16" t="s">
        <v>376</v>
      </c>
      <c r="C31" s="177">
        <f t="array" ref="C31">SUM(IF((CRDJ[Date]=A31)*(CRDJ[Account Code]=TRIM($B$2))*(CRDJ[Sort Code]=$D$3)*(CRDJ[Ofc Code]=$E$3),CRDJ[Debit]))</f>
        <v>0</v>
      </c>
      <c r="D31" s="177">
        <f t="array" ref="D31">SUM(IF((CRDJ[Date]=A31)*(CRDJ[Account Code]=TRIM($B$2))*(CRDJ[Sort Code]=$D$3)*(CRDJ[Ofc Code]=$E$3),CRDJ[Credit]))</f>
        <v>0</v>
      </c>
      <c r="E31" s="12"/>
    </row>
    <row r="32" spans="1:5" x14ac:dyDescent="0.25">
      <c r="A32" s="279">
        <f>Account!$G$15</f>
        <v>44681</v>
      </c>
      <c r="B32" s="14" t="s">
        <v>377</v>
      </c>
      <c r="C32" s="177">
        <f t="array" ref="C32">SUM(IF((GJ[Date]=A32)*(GJ[Account Code]=TRIM($B$2))*(GJ[Sort Code]=$D$3)*(GJ[Ofc Code]=$E$3),GJ[Debit]))</f>
        <v>0</v>
      </c>
      <c r="D32" s="177">
        <f t="array" ref="D32">SUM(IF((GJ[Date]=A32)*(GJ[Account Code]=TRIM($B$2))*(GJ[Sort Code]=$D$3)*(GJ[Ofc Code]=$E$3),GJ[Credit]))</f>
        <v>0</v>
      </c>
      <c r="E32" s="12"/>
    </row>
    <row r="33" spans="1:5" x14ac:dyDescent="0.25">
      <c r="A33" s="1142">
        <f>A32</f>
        <v>44681</v>
      </c>
      <c r="B33" s="1143"/>
      <c r="C33" s="179">
        <f>SUM(C29:C32)</f>
        <v>0</v>
      </c>
      <c r="D33" s="179">
        <f>SUM(D29:D32)</f>
        <v>0</v>
      </c>
      <c r="E33" s="179">
        <f>IF($E$4=$C$4,C33-D33,D33-C33)</f>
        <v>0</v>
      </c>
    </row>
    <row r="34" spans="1:5" x14ac:dyDescent="0.25">
      <c r="A34" s="1144">
        <f>A33</f>
        <v>44681</v>
      </c>
      <c r="B34" s="1145"/>
      <c r="C34" s="176">
        <f>C27+C33</f>
        <v>4878727.6900000004</v>
      </c>
      <c r="D34" s="176">
        <f>D27+D33</f>
        <v>0</v>
      </c>
      <c r="E34" s="176">
        <f>IF($E$4=$C$4,C34-D34,D34-C34)</f>
        <v>4878727.6900000004</v>
      </c>
    </row>
    <row r="35" spans="1:5" x14ac:dyDescent="0.25">
      <c r="A35" s="11"/>
      <c r="B35" s="12"/>
      <c r="C35" s="177"/>
      <c r="D35" s="177"/>
      <c r="E35" s="12"/>
    </row>
    <row r="36" spans="1:5" x14ac:dyDescent="0.25">
      <c r="A36" s="279">
        <f>Account!$G$16</f>
        <v>44712</v>
      </c>
      <c r="B36" s="14" t="s">
        <v>374</v>
      </c>
      <c r="C36" s="177">
        <f t="array" ref="C36">SUM(IF((CkDJ[Date]=A36)*(CkDJ[Account Code]=TRIM($B$2))*(CkDJ[Sort Code]=$D$3)*(CkDJ[Ofc Code]=$E$3),CkDJ[Debit]))</f>
        <v>0</v>
      </c>
      <c r="D36" s="177">
        <f t="array" ref="D36">SUM(IF((CkDJ[Date]=A36)*(CkDJ[Account Code]=TRIM($B$2))*(CkDJ[Sort Code]=$D$3)*(CkDJ[Ofc Code]=$E$3),CkDJ[Credit]))</f>
        <v>0</v>
      </c>
      <c r="E36" s="12"/>
    </row>
    <row r="37" spans="1:5" x14ac:dyDescent="0.25">
      <c r="A37" s="279">
        <f>Account!$G$16</f>
        <v>44712</v>
      </c>
      <c r="B37" s="15" t="s">
        <v>375</v>
      </c>
      <c r="C37" s="177">
        <f t="array" ref="C37">SUM(IF((CsDJ[Date]=A37)*(CsDJ[Account Code]=TRIM($B$2))*(CsDJ[Sort Code]=$D$3)*(CsDJ[Ofc Code]=$E$3),CsDJ[Debit]))</f>
        <v>0</v>
      </c>
      <c r="D37" s="177">
        <f t="array" ref="D37">SUM(IF((CsDJ[Date]=A37)*(CsDJ[Account Code]=TRIM($B$2))*(CsDJ[Sort Code]=$D$3)*(CsDJ[Ofc Code]=$E$3),CsDJ[Credit]))</f>
        <v>0</v>
      </c>
      <c r="E37" s="12"/>
    </row>
    <row r="38" spans="1:5" x14ac:dyDescent="0.25">
      <c r="A38" s="279">
        <f>Account!$G$16</f>
        <v>44712</v>
      </c>
      <c r="B38" s="16" t="s">
        <v>376</v>
      </c>
      <c r="C38" s="177">
        <f t="array" ref="C38">SUM(IF((CRDJ[Date]=A38)*(CRDJ[Account Code]=TRIM($B$2))*(CRDJ[Sort Code]=$D$3)*(CRDJ[Ofc Code]=$E$3),CRDJ[Debit]))</f>
        <v>0</v>
      </c>
      <c r="D38" s="177">
        <f t="array" ref="D38">SUM(IF((CRDJ[Date]=A38)*(CRDJ[Account Code]=TRIM($B$2))*(CRDJ[Sort Code]=$D$3)*(CRDJ[Ofc Code]=$E$3),CRDJ[Credit]))</f>
        <v>0</v>
      </c>
      <c r="E38" s="12"/>
    </row>
    <row r="39" spans="1:5" x14ac:dyDescent="0.25">
      <c r="A39" s="279">
        <f>Account!$G$16</f>
        <v>44712</v>
      </c>
      <c r="B39" s="14" t="s">
        <v>377</v>
      </c>
      <c r="C39" s="177">
        <f t="array" ref="C39">SUM(IF((GJ[Date]=A39)*(GJ[Account Code]=TRIM($B$2))*(GJ[Sort Code]=$D$3)*(GJ[Ofc Code]=$E$3),GJ[Debit]))</f>
        <v>0</v>
      </c>
      <c r="D39" s="177">
        <f t="array" ref="D39">SUM(IF((GJ[Date]=A39)*(GJ[Account Code]=TRIM($B$2))*(GJ[Sort Code]=$D$3)*(GJ[Ofc Code]=$E$3),GJ[Credit]))</f>
        <v>0</v>
      </c>
      <c r="E39" s="12"/>
    </row>
    <row r="40" spans="1:5" x14ac:dyDescent="0.25">
      <c r="A40" s="1142">
        <f>A39</f>
        <v>44712</v>
      </c>
      <c r="B40" s="1143"/>
      <c r="C40" s="179">
        <f>SUM(C36:C39)</f>
        <v>0</v>
      </c>
      <c r="D40" s="179">
        <f>SUM(D36:D39)</f>
        <v>0</v>
      </c>
      <c r="E40" s="179">
        <f>IF($E$4=$C$4,C40-D40,D40-C40)</f>
        <v>0</v>
      </c>
    </row>
    <row r="41" spans="1:5" x14ac:dyDescent="0.25">
      <c r="A41" s="1144">
        <f>A40</f>
        <v>44712</v>
      </c>
      <c r="B41" s="1145"/>
      <c r="C41" s="176">
        <f>C34+C40</f>
        <v>4878727.6900000004</v>
      </c>
      <c r="D41" s="176">
        <f>D34+D40</f>
        <v>0</v>
      </c>
      <c r="E41" s="176">
        <f>IF($E$4=$C$4,C41-D41,D41-C41)</f>
        <v>4878727.6900000004</v>
      </c>
    </row>
    <row r="42" spans="1:5" x14ac:dyDescent="0.25">
      <c r="A42" s="11"/>
      <c r="B42" s="12"/>
      <c r="C42" s="177"/>
      <c r="D42" s="177"/>
      <c r="E42" s="12"/>
    </row>
    <row r="43" spans="1:5" x14ac:dyDescent="0.25">
      <c r="A43" s="279">
        <f>Account!$G$17</f>
        <v>44742</v>
      </c>
      <c r="B43" s="14" t="s">
        <v>374</v>
      </c>
      <c r="C43" s="177">
        <f t="array" ref="C43">SUM(IF((CkDJ[Date]=A43)*(CkDJ[Account Code]=TRIM($B$2))*(CkDJ[Sort Code]=$D$3)*(CkDJ[Ofc Code]=$E$3),CkDJ[Debit]))</f>
        <v>0</v>
      </c>
      <c r="D43" s="177">
        <f t="array" ref="D43">SUM(IF((CkDJ[Date]=A43)*(CkDJ[Account Code]=TRIM($B$2))*(CkDJ[Sort Code]=$D$3)*(CkDJ[Ofc Code]=$E$3),CkDJ[Credit]))</f>
        <v>0</v>
      </c>
      <c r="E43" s="12"/>
    </row>
    <row r="44" spans="1:5" x14ac:dyDescent="0.25">
      <c r="A44" s="279">
        <f>Account!$G$17</f>
        <v>44742</v>
      </c>
      <c r="B44" s="15" t="s">
        <v>375</v>
      </c>
      <c r="C44" s="177">
        <f t="array" ref="C44">SUM(IF((CsDJ[Date]=A44)*(CsDJ[Account Code]=TRIM($B$2))*(CsDJ[Sort Code]=$D$3)*(CsDJ[Ofc Code]=$E$3),CsDJ[Debit]))</f>
        <v>0</v>
      </c>
      <c r="D44" s="177">
        <f t="array" ref="D44">SUM(IF((CsDJ[Date]=A44)*(CsDJ[Account Code]=TRIM($B$2))*(CsDJ[Sort Code]=$D$3)*(CsDJ[Ofc Code]=$E$3),CsDJ[Credit]))</f>
        <v>0</v>
      </c>
      <c r="E44" s="12"/>
    </row>
    <row r="45" spans="1:5" x14ac:dyDescent="0.25">
      <c r="A45" s="279">
        <f>Account!$G$17</f>
        <v>44742</v>
      </c>
      <c r="B45" s="16" t="s">
        <v>376</v>
      </c>
      <c r="C45" s="177">
        <f t="array" ref="C45">SUM(IF((CRDJ[Date]=A45)*(CRDJ[Account Code]=TRIM($B$2))*(CRDJ[Sort Code]=$D$3)*(CRDJ[Ofc Code]=$E$3),CRDJ[Debit]))</f>
        <v>0</v>
      </c>
      <c r="D45" s="177">
        <f t="array" ref="D45">SUM(IF((CRDJ[Date]=A45)*(CRDJ[Account Code]=TRIM($B$2))*(CRDJ[Sort Code]=$D$3)*(CRDJ[Ofc Code]=$E$3),CRDJ[Credit]))</f>
        <v>0</v>
      </c>
      <c r="E45" s="12"/>
    </row>
    <row r="46" spans="1:5" x14ac:dyDescent="0.25">
      <c r="A46" s="279">
        <f>Account!$G$17</f>
        <v>44742</v>
      </c>
      <c r="B46" s="14" t="s">
        <v>377</v>
      </c>
      <c r="C46" s="177">
        <f t="array" ref="C46">SUM(IF((GJ[Date]=A46)*(GJ[Account Code]=TRIM($B$2))*(GJ[Sort Code]=$D$3)*(GJ[Ofc Code]=$E$3),GJ[Debit]))</f>
        <v>0</v>
      </c>
      <c r="D46" s="177">
        <f t="array" ref="D46">SUM(IF((GJ[Date]=A46)*(GJ[Account Code]=TRIM($B$2))*(GJ[Sort Code]=$D$3)*(GJ[Ofc Code]=$E$3),GJ[Credit]))</f>
        <v>0</v>
      </c>
      <c r="E46" s="12"/>
    </row>
    <row r="47" spans="1:5" x14ac:dyDescent="0.25">
      <c r="A47" s="1142">
        <f>A46</f>
        <v>44742</v>
      </c>
      <c r="B47" s="1143"/>
      <c r="C47" s="179">
        <f>SUM(C43:C46)</f>
        <v>0</v>
      </c>
      <c r="D47" s="179">
        <f>SUM(D43:D46)</f>
        <v>0</v>
      </c>
      <c r="E47" s="179">
        <f>IF($E$4=$C$4,C47-D47,D47-C47)</f>
        <v>0</v>
      </c>
    </row>
    <row r="48" spans="1:5" x14ac:dyDescent="0.25">
      <c r="A48" s="1144">
        <f>A47</f>
        <v>44742</v>
      </c>
      <c r="B48" s="1145"/>
      <c r="C48" s="176">
        <f>C41+C47</f>
        <v>4878727.6900000004</v>
      </c>
      <c r="D48" s="176">
        <f>D41+D47</f>
        <v>0</v>
      </c>
      <c r="E48" s="176">
        <f>IF($E$4=$C$4,C48-D48,D48-C48)</f>
        <v>4878727.6900000004</v>
      </c>
    </row>
    <row r="49" spans="1:5" x14ac:dyDescent="0.25">
      <c r="A49" s="11"/>
      <c r="B49" s="12"/>
      <c r="C49" s="177"/>
      <c r="D49" s="177"/>
      <c r="E49" s="12"/>
    </row>
    <row r="50" spans="1:5" x14ac:dyDescent="0.25">
      <c r="A50" s="279">
        <f>Account!$G$18</f>
        <v>44773</v>
      </c>
      <c r="B50" s="14" t="s">
        <v>374</v>
      </c>
      <c r="C50" s="177">
        <f t="array" ref="C50">SUM(IF((CkDJ[Date]=A50)*(CkDJ[Account Code]=TRIM($B$2))*(CkDJ[Sort Code]=$D$3)*(CkDJ[Ofc Code]=$E$3),CkDJ[Debit]))</f>
        <v>0</v>
      </c>
      <c r="D50" s="177">
        <f t="array" ref="D50">SUM(IF((CkDJ[Date]=A50)*(CkDJ[Account Code]=TRIM($B$2))*(CkDJ[Sort Code]=$D$3)*(CkDJ[Ofc Code]=$E$3),CkDJ[Credit]))</f>
        <v>0</v>
      </c>
      <c r="E50" s="12"/>
    </row>
    <row r="51" spans="1:5" x14ac:dyDescent="0.25">
      <c r="A51" s="279">
        <f>Account!$G$18</f>
        <v>44773</v>
      </c>
      <c r="B51" s="15" t="s">
        <v>375</v>
      </c>
      <c r="C51" s="177">
        <f t="array" ref="C51">SUM(IF((CsDJ[Date]=A51)*(CsDJ[Account Code]=TRIM($B$2))*(CsDJ[Sort Code]=$D$3)*(CsDJ[Ofc Code]=$E$3),CsDJ[Debit]))</f>
        <v>0</v>
      </c>
      <c r="D51" s="177">
        <f t="array" ref="D51">SUM(IF((CsDJ[Date]=A51)*(CsDJ[Account Code]=TRIM($B$2))*(CsDJ[Sort Code]=$D$3)*(CsDJ[Ofc Code]=$E$3),CsDJ[Credit]))</f>
        <v>0</v>
      </c>
      <c r="E51" s="12"/>
    </row>
    <row r="52" spans="1:5" x14ac:dyDescent="0.25">
      <c r="A52" s="279">
        <f>Account!$G$18</f>
        <v>44773</v>
      </c>
      <c r="B52" s="16" t="s">
        <v>376</v>
      </c>
      <c r="C52" s="177">
        <f t="array" ref="C52">SUM(IF((CRDJ[Date]=A52)*(CRDJ[Account Code]=TRIM($B$2))*(CRDJ[Sort Code]=$D$3)*(CRDJ[Ofc Code]=$E$3),CRDJ[Debit]))</f>
        <v>0</v>
      </c>
      <c r="D52" s="177">
        <f t="array" ref="D52">SUM(IF((CRDJ[Date]=A52)*(CRDJ[Account Code]=TRIM($B$2))*(CRDJ[Sort Code]=$D$3)*(CRDJ[Ofc Code]=$E$3),CRDJ[Credit]))</f>
        <v>0</v>
      </c>
      <c r="E52" s="12"/>
    </row>
    <row r="53" spans="1:5" x14ac:dyDescent="0.25">
      <c r="A53" s="279">
        <f>Account!$G$18</f>
        <v>44773</v>
      </c>
      <c r="B53" s="14" t="s">
        <v>377</v>
      </c>
      <c r="C53" s="177">
        <f t="array" ref="C53">SUM(IF((GJ[Date]=A53)*(GJ[Account Code]=TRIM($B$2))*(GJ[Sort Code]=$D$3)*(GJ[Ofc Code]=$E$3),GJ[Debit]))</f>
        <v>0</v>
      </c>
      <c r="D53" s="177">
        <f t="array" ref="D53">SUM(IF((GJ[Date]=A53)*(GJ[Account Code]=TRIM($B$2))*(GJ[Sort Code]=$D$3)*(GJ[Ofc Code]=$E$3),GJ[Credit]))</f>
        <v>0</v>
      </c>
      <c r="E53" s="12"/>
    </row>
    <row r="54" spans="1:5" x14ac:dyDescent="0.25">
      <c r="A54" s="1142">
        <f>A53</f>
        <v>44773</v>
      </c>
      <c r="B54" s="1143"/>
      <c r="C54" s="179">
        <f>SUM(C50:C53)</f>
        <v>0</v>
      </c>
      <c r="D54" s="179">
        <f>SUM(D50:D53)</f>
        <v>0</v>
      </c>
      <c r="E54" s="179">
        <f>IF($E$4=$C$4,C54-D54,D54-C54)</f>
        <v>0</v>
      </c>
    </row>
    <row r="55" spans="1:5" x14ac:dyDescent="0.25">
      <c r="A55" s="1144">
        <f>A54</f>
        <v>44773</v>
      </c>
      <c r="B55" s="1145"/>
      <c r="C55" s="176">
        <f>C48+C54</f>
        <v>4878727.6900000004</v>
      </c>
      <c r="D55" s="176">
        <f>D48+D54</f>
        <v>0</v>
      </c>
      <c r="E55" s="176">
        <f>IF($E$4=$C$4,C55-D55,D55-C55)</f>
        <v>4878727.6900000004</v>
      </c>
    </row>
    <row r="56" spans="1:5" x14ac:dyDescent="0.25">
      <c r="A56" s="11"/>
      <c r="B56" s="12"/>
      <c r="C56" s="177"/>
      <c r="D56" s="177"/>
      <c r="E56" s="12"/>
    </row>
    <row r="57" spans="1:5" x14ac:dyDescent="0.25">
      <c r="A57" s="279">
        <f>Account!$G$19</f>
        <v>44804</v>
      </c>
      <c r="B57" s="14" t="s">
        <v>374</v>
      </c>
      <c r="C57" s="177">
        <f t="array" ref="C57">SUM(IF((CkDJ[Date]=A57)*(CkDJ[Account Code]=TRIM($B$2))*(CkDJ[Sort Code]=$D$3)*(CkDJ[Ofc Code]=$E$3),CkDJ[Debit]))</f>
        <v>0</v>
      </c>
      <c r="D57" s="177">
        <f t="array" ref="D57">SUM(IF((CkDJ[Date]=A57)*(CkDJ[Account Code]=TRIM($B$2))*(CkDJ[Sort Code]=$D$3)*(CkDJ[Ofc Code]=$E$3),CkDJ[Credit]))</f>
        <v>0</v>
      </c>
      <c r="E57" s="12"/>
    </row>
    <row r="58" spans="1:5" x14ac:dyDescent="0.25">
      <c r="A58" s="279">
        <f>Account!$G$19</f>
        <v>44804</v>
      </c>
      <c r="B58" s="15" t="s">
        <v>375</v>
      </c>
      <c r="C58" s="177">
        <f t="array" ref="C58">SUM(IF((CsDJ[Date]=A58)*(CsDJ[Account Code]=TRIM($B$2))*(CsDJ[Sort Code]=$D$3)*(CsDJ[Ofc Code]=$E$3),CsDJ[Debit]))</f>
        <v>0</v>
      </c>
      <c r="D58" s="177">
        <f t="array" ref="D58">SUM(IF((CsDJ[Date]=A58)*(CsDJ[Account Code]=TRIM($B$2))*(CsDJ[Sort Code]=$D$3)*(CsDJ[Ofc Code]=$E$3),CsDJ[Credit]))</f>
        <v>0</v>
      </c>
      <c r="E58" s="12"/>
    </row>
    <row r="59" spans="1:5" x14ac:dyDescent="0.25">
      <c r="A59" s="279">
        <f>Account!$G$19</f>
        <v>44804</v>
      </c>
      <c r="B59" s="16" t="s">
        <v>376</v>
      </c>
      <c r="C59" s="177">
        <f t="array" ref="C59">SUM(IF((CRDJ[Date]=A59)*(CRDJ[Account Code]=TRIM($B$2))*(CRDJ[Sort Code]=$D$3)*(CRDJ[Ofc Code]=$E$3),CRDJ[Debit]))</f>
        <v>0</v>
      </c>
      <c r="D59" s="177">
        <f t="array" ref="D59">SUM(IF((CRDJ[Date]=A59)*(CRDJ[Account Code]=TRIM($B$2))*(CRDJ[Sort Code]=$D$3)*(CRDJ[Ofc Code]=$E$3),CRDJ[Credit]))</f>
        <v>0</v>
      </c>
      <c r="E59" s="12"/>
    </row>
    <row r="60" spans="1:5" x14ac:dyDescent="0.25">
      <c r="A60" s="279">
        <f>Account!$G$19</f>
        <v>44804</v>
      </c>
      <c r="B60" s="14" t="s">
        <v>377</v>
      </c>
      <c r="C60" s="177">
        <f t="array" ref="C60">SUM(IF((GJ[Date]=A60)*(GJ[Account Code]=TRIM($B$2))*(GJ[Sort Code]=$D$3)*(GJ[Ofc Code]=$E$3),GJ[Debit]))</f>
        <v>0</v>
      </c>
      <c r="D60" s="177">
        <f t="array" ref="D60">SUM(IF((GJ[Date]=A60)*(GJ[Account Code]=TRIM($B$2))*(GJ[Sort Code]=$D$3)*(GJ[Ofc Code]=$E$3),GJ[Credit]))</f>
        <v>0</v>
      </c>
      <c r="E60" s="12"/>
    </row>
    <row r="61" spans="1:5" x14ac:dyDescent="0.25">
      <c r="A61" s="1142">
        <f>A60</f>
        <v>44804</v>
      </c>
      <c r="B61" s="1143"/>
      <c r="C61" s="179">
        <f>SUM(C57:C60)</f>
        <v>0</v>
      </c>
      <c r="D61" s="179">
        <f>SUM(D57:D60)</f>
        <v>0</v>
      </c>
      <c r="E61" s="179">
        <f>IF($E$4=$C$4,C61-D61,D61-C61)</f>
        <v>0</v>
      </c>
    </row>
    <row r="62" spans="1:5" x14ac:dyDescent="0.25">
      <c r="A62" s="1144">
        <f>A61</f>
        <v>44804</v>
      </c>
      <c r="B62" s="1145"/>
      <c r="C62" s="176">
        <f>C55+C61</f>
        <v>4878727.6900000004</v>
      </c>
      <c r="D62" s="176">
        <f>D55+D61</f>
        <v>0</v>
      </c>
      <c r="E62" s="176">
        <f>IF($E$4=$C$4,C62-D62,D62-C62)</f>
        <v>4878727.6900000004</v>
      </c>
    </row>
    <row r="63" spans="1:5" x14ac:dyDescent="0.25">
      <c r="A63" s="11"/>
      <c r="B63" s="12"/>
      <c r="C63" s="177"/>
      <c r="D63" s="177"/>
      <c r="E63" s="12"/>
    </row>
    <row r="64" spans="1:5" x14ac:dyDescent="0.25">
      <c r="A64" s="279">
        <f>Account!$G$20</f>
        <v>44834</v>
      </c>
      <c r="B64" s="14" t="s">
        <v>374</v>
      </c>
      <c r="C64" s="177">
        <f t="array" ref="C64">SUM(IF((CkDJ[Date]=A64)*(CkDJ[Account Code]=TRIM($B$2))*(CkDJ[Sort Code]=$D$3)*(CkDJ[Ofc Code]=$E$3),CkDJ[Debit]))</f>
        <v>0</v>
      </c>
      <c r="D64" s="177">
        <f t="array" ref="D64">SUM(IF((CkDJ[Date]=A64)*(CkDJ[Account Code]=TRIM($B$2))*(CkDJ[Sort Code]=$D$3)*(CkDJ[Ofc Code]=$E$3),CkDJ[Credit]))</f>
        <v>0</v>
      </c>
      <c r="E64" s="12"/>
    </row>
    <row r="65" spans="1:5" x14ac:dyDescent="0.25">
      <c r="A65" s="279">
        <f>Account!$G$20</f>
        <v>44834</v>
      </c>
      <c r="B65" s="15" t="s">
        <v>375</v>
      </c>
      <c r="C65" s="177">
        <f t="array" ref="C65">SUM(IF((CsDJ[Date]=A65)*(CsDJ[Account Code]=TRIM($B$2))*(CsDJ[Sort Code]=$D$3)*(CsDJ[Ofc Code]=$E$3),CsDJ[Debit]))</f>
        <v>0</v>
      </c>
      <c r="D65" s="177">
        <f t="array" ref="D65">SUM(IF((CsDJ[Date]=A65)*(CsDJ[Account Code]=TRIM($B$2))*(CsDJ[Sort Code]=$D$3)*(CsDJ[Ofc Code]=$E$3),CsDJ[Credit]))</f>
        <v>0</v>
      </c>
      <c r="E65" s="12"/>
    </row>
    <row r="66" spans="1:5" x14ac:dyDescent="0.25">
      <c r="A66" s="279">
        <f>Account!$G$20</f>
        <v>44834</v>
      </c>
      <c r="B66" s="16" t="s">
        <v>376</v>
      </c>
      <c r="C66" s="177">
        <f t="array" ref="C66">SUM(IF((CRDJ[Date]=A66)*(CRDJ[Account Code]=TRIM($B$2))*(CRDJ[Sort Code]=$D$3)*(CRDJ[Ofc Code]=$E$3),CRDJ[Debit]))</f>
        <v>0</v>
      </c>
      <c r="D66" s="177">
        <f t="array" ref="D66">SUM(IF((CRDJ[Date]=A66)*(CRDJ[Account Code]=TRIM($B$2))*(CRDJ[Sort Code]=$D$3)*(CRDJ[Ofc Code]=$E$3),CRDJ[Credit]))</f>
        <v>0</v>
      </c>
      <c r="E66" s="12"/>
    </row>
    <row r="67" spans="1:5" x14ac:dyDescent="0.25">
      <c r="A67" s="279">
        <f>Account!$G$20</f>
        <v>44834</v>
      </c>
      <c r="B67" s="14" t="s">
        <v>377</v>
      </c>
      <c r="C67" s="177">
        <f t="array" ref="C67">SUM(IF((GJ[Date]=A67)*(GJ[Account Code]=TRIM($B$2))*(GJ[Sort Code]=$D$3)*(GJ[Ofc Code]=$E$3),GJ[Debit]))</f>
        <v>0</v>
      </c>
      <c r="D67" s="177">
        <f t="array" ref="D67">SUM(IF((GJ[Date]=A67)*(GJ[Account Code]=TRIM($B$2))*(GJ[Sort Code]=$D$3)*(GJ[Ofc Code]=$E$3),GJ[Credit]))</f>
        <v>0</v>
      </c>
      <c r="E67" s="12"/>
    </row>
    <row r="68" spans="1:5" x14ac:dyDescent="0.25">
      <c r="A68" s="1142">
        <f>A67</f>
        <v>44834</v>
      </c>
      <c r="B68" s="1143"/>
      <c r="C68" s="179">
        <f>SUM(C64:C67)</f>
        <v>0</v>
      </c>
      <c r="D68" s="179">
        <f>SUM(D64:D67)</f>
        <v>0</v>
      </c>
      <c r="E68" s="179">
        <f>IF($E$4=$C$4,C68-D68,D68-C68)</f>
        <v>0</v>
      </c>
    </row>
    <row r="69" spans="1:5" x14ac:dyDescent="0.25">
      <c r="A69" s="1144">
        <f>A68</f>
        <v>44834</v>
      </c>
      <c r="B69" s="1145"/>
      <c r="C69" s="176">
        <f>C62+C68</f>
        <v>4878727.6900000004</v>
      </c>
      <c r="D69" s="176">
        <f>D62+D68</f>
        <v>0</v>
      </c>
      <c r="E69" s="176">
        <f>IF($E$4=$C$4,C69-D69,D69-C69)</f>
        <v>4878727.6900000004</v>
      </c>
    </row>
    <row r="70" spans="1:5" x14ac:dyDescent="0.25">
      <c r="A70" s="11"/>
      <c r="B70" s="12"/>
      <c r="C70" s="177"/>
      <c r="D70" s="177"/>
      <c r="E70" s="12"/>
    </row>
    <row r="71" spans="1:5" x14ac:dyDescent="0.25">
      <c r="A71" s="279">
        <f>Account!$G$21</f>
        <v>44865</v>
      </c>
      <c r="B71" s="14" t="s">
        <v>374</v>
      </c>
      <c r="C71" s="177">
        <f t="array" ref="C71">SUM(IF((CkDJ[Date]=A71)*(CkDJ[Account Code]=TRIM($B$2))*(CkDJ[Sort Code]=$D$3)*(CkDJ[Ofc Code]=$E$3),CkDJ[Debit]))</f>
        <v>0</v>
      </c>
      <c r="D71" s="177">
        <f t="array" ref="D71">SUM(IF((CkDJ[Date]=A71)*(CkDJ[Account Code]=TRIM($B$2))*(CkDJ[Sort Code]=$D$3)*(CkDJ[Ofc Code]=$E$3),CkDJ[Credit]))</f>
        <v>0</v>
      </c>
      <c r="E71" s="12"/>
    </row>
    <row r="72" spans="1:5" x14ac:dyDescent="0.25">
      <c r="A72" s="279">
        <f>Account!$G$21</f>
        <v>44865</v>
      </c>
      <c r="B72" s="15" t="s">
        <v>375</v>
      </c>
      <c r="C72" s="177">
        <f t="array" ref="C72">SUM(IF((CsDJ[Date]=A72)*(CsDJ[Account Code]=TRIM($B$2))*(CsDJ[Sort Code]=$D$3)*(CsDJ[Ofc Code]=$E$3),CsDJ[Debit]))</f>
        <v>0</v>
      </c>
      <c r="D72" s="177">
        <f t="array" ref="D72">SUM(IF((CsDJ[Date]=A72)*(CsDJ[Account Code]=TRIM($B$2))*(CsDJ[Sort Code]=$D$3)*(CsDJ[Ofc Code]=$E$3),CsDJ[Credit]))</f>
        <v>0</v>
      </c>
      <c r="E72" s="12"/>
    </row>
    <row r="73" spans="1:5" x14ac:dyDescent="0.25">
      <c r="A73" s="279">
        <f>Account!$G$21</f>
        <v>44865</v>
      </c>
      <c r="B73" s="16" t="s">
        <v>376</v>
      </c>
      <c r="C73" s="177">
        <f t="array" ref="C73">SUM(IF((CRDJ[Date]=A73)*(CRDJ[Account Code]=TRIM($B$2))*(CRDJ[Sort Code]=$D$3)*(CRDJ[Ofc Code]=$E$3),CRDJ[Debit]))</f>
        <v>0</v>
      </c>
      <c r="D73" s="177">
        <f t="array" ref="D73">SUM(IF((CRDJ[Date]=A73)*(CRDJ[Account Code]=TRIM($B$2))*(CRDJ[Sort Code]=$D$3)*(CRDJ[Ofc Code]=$E$3),CRDJ[Credit]))</f>
        <v>0</v>
      </c>
      <c r="E73" s="12"/>
    </row>
    <row r="74" spans="1:5" x14ac:dyDescent="0.25">
      <c r="A74" s="279">
        <f>Account!$G$21</f>
        <v>44865</v>
      </c>
      <c r="B74" s="14" t="s">
        <v>377</v>
      </c>
      <c r="C74" s="177">
        <f t="array" ref="C74">SUM(IF((GJ[Date]=A74)*(GJ[Account Code]=TRIM($B$2))*(GJ[Sort Code]=$D$3)*(GJ[Ofc Code]=$E$3),GJ[Debit]))</f>
        <v>0</v>
      </c>
      <c r="D74" s="177">
        <f t="array" ref="D74">SUM(IF((GJ[Date]=A74)*(GJ[Account Code]=TRIM($B$2))*(GJ[Sort Code]=$D$3)*(GJ[Ofc Code]=$E$3),GJ[Credit]))</f>
        <v>0</v>
      </c>
      <c r="E74" s="12"/>
    </row>
    <row r="75" spans="1:5" x14ac:dyDescent="0.25">
      <c r="A75" s="1142">
        <f>A74</f>
        <v>44865</v>
      </c>
      <c r="B75" s="1143"/>
      <c r="C75" s="179">
        <f>SUM(C71:C74)</f>
        <v>0</v>
      </c>
      <c r="D75" s="179">
        <f>SUM(D71:D74)</f>
        <v>0</v>
      </c>
      <c r="E75" s="179">
        <f>IF($E$4=$C$4,C75-D75,D75-C75)</f>
        <v>0</v>
      </c>
    </row>
    <row r="76" spans="1:5" x14ac:dyDescent="0.25">
      <c r="A76" s="1144">
        <f>A75</f>
        <v>44865</v>
      </c>
      <c r="B76" s="1145"/>
      <c r="C76" s="176">
        <f>C69+C75</f>
        <v>4878727.6900000004</v>
      </c>
      <c r="D76" s="176">
        <f>D69+D75</f>
        <v>0</v>
      </c>
      <c r="E76" s="176">
        <f>IF($E$4=$C$4,C76-D76,D76-C76)</f>
        <v>4878727.6900000004</v>
      </c>
    </row>
    <row r="77" spans="1:5" x14ac:dyDescent="0.25">
      <c r="A77" s="11"/>
      <c r="B77" s="12"/>
      <c r="C77" s="177"/>
      <c r="D77" s="177"/>
      <c r="E77" s="12"/>
    </row>
    <row r="78" spans="1:5" x14ac:dyDescent="0.25">
      <c r="A78" s="279">
        <f>Account!$G$22</f>
        <v>44895</v>
      </c>
      <c r="B78" s="14" t="s">
        <v>374</v>
      </c>
      <c r="C78" s="177">
        <f t="array" ref="C78">SUM(IF((CkDJ[Date]=A78)*(CkDJ[Account Code]=TRIM($B$2))*(CkDJ[Sort Code]=$D$3)*(CkDJ[Ofc Code]=$E$3),CkDJ[Debit]))</f>
        <v>0</v>
      </c>
      <c r="D78" s="177">
        <f t="array" ref="D78">SUM(IF((CkDJ[Date]=A78)*(CkDJ[Account Code]=TRIM($B$2))*(CkDJ[Sort Code]=$D$3)*(CkDJ[Ofc Code]=$E$3),CkDJ[Credit]))</f>
        <v>0</v>
      </c>
      <c r="E78" s="12"/>
    </row>
    <row r="79" spans="1:5" x14ac:dyDescent="0.25">
      <c r="A79" s="279">
        <f>Account!$G$22</f>
        <v>44895</v>
      </c>
      <c r="B79" s="15" t="s">
        <v>375</v>
      </c>
      <c r="C79" s="177">
        <f t="array" ref="C79">SUM(IF((CsDJ[Date]=A79)*(CsDJ[Account Code]=TRIM($B$2))*(CsDJ[Sort Code]=$D$3)*(CsDJ[Ofc Code]=$E$3),CsDJ[Debit]))</f>
        <v>0</v>
      </c>
      <c r="D79" s="177">
        <f t="array" ref="D79">SUM(IF((CsDJ[Date]=A79)*(CsDJ[Account Code]=TRIM($B$2))*(CsDJ[Sort Code]=$D$3)*(CsDJ[Ofc Code]=$E$3),CsDJ[Credit]))</f>
        <v>0</v>
      </c>
      <c r="E79" s="12"/>
    </row>
    <row r="80" spans="1:5" x14ac:dyDescent="0.25">
      <c r="A80" s="279">
        <f>Account!$G$22</f>
        <v>44895</v>
      </c>
      <c r="B80" s="16" t="s">
        <v>376</v>
      </c>
      <c r="C80" s="177">
        <f t="array" ref="C80">SUM(IF((CRDJ[Date]=A80)*(CRDJ[Account Code]=TRIM($B$2))*(CRDJ[Sort Code]=$D$3)*(CRDJ[Ofc Code]=$E$3),CRDJ[Debit]))</f>
        <v>0</v>
      </c>
      <c r="D80" s="177">
        <f t="array" ref="D80">SUM(IF((CRDJ[Date]=A80)*(CRDJ[Account Code]=TRIM($B$2))*(CRDJ[Sort Code]=$D$3)*(CRDJ[Ofc Code]=$E$3),CRDJ[Credit]))</f>
        <v>0</v>
      </c>
      <c r="E80" s="12"/>
    </row>
    <row r="81" spans="1:5" x14ac:dyDescent="0.25">
      <c r="A81" s="279">
        <f>Account!$G$22</f>
        <v>44895</v>
      </c>
      <c r="B81" s="14" t="s">
        <v>377</v>
      </c>
      <c r="C81" s="177">
        <f t="array" ref="C81">SUM(IF((GJ[Date]=A81)*(GJ[Account Code]=TRIM($B$2))*(GJ[Sort Code]=$D$3)*(GJ[Ofc Code]=$E$3),GJ[Debit]))</f>
        <v>0</v>
      </c>
      <c r="D81" s="177">
        <f t="array" ref="D81">SUM(IF((GJ[Date]=A81)*(GJ[Account Code]=TRIM($B$2))*(GJ[Sort Code]=$D$3)*(GJ[Ofc Code]=$E$3),GJ[Credit]))</f>
        <v>0</v>
      </c>
      <c r="E81" s="12"/>
    </row>
    <row r="82" spans="1:5" x14ac:dyDescent="0.25">
      <c r="A82" s="1142">
        <f>A81</f>
        <v>44895</v>
      </c>
      <c r="B82" s="1143"/>
      <c r="C82" s="179">
        <f>SUM(C78:C81)</f>
        <v>0</v>
      </c>
      <c r="D82" s="179">
        <f>SUM(D78:D81)</f>
        <v>0</v>
      </c>
      <c r="E82" s="179">
        <f>IF($E$4=$C$4,C82-D82,D82-C82)</f>
        <v>0</v>
      </c>
    </row>
    <row r="83" spans="1:5" x14ac:dyDescent="0.25">
      <c r="A83" s="1144">
        <f>A82</f>
        <v>44895</v>
      </c>
      <c r="B83" s="1145"/>
      <c r="C83" s="176">
        <f>C76+C82</f>
        <v>4878727.6900000004</v>
      </c>
      <c r="D83" s="176">
        <f>D76+D82</f>
        <v>0</v>
      </c>
      <c r="E83" s="176">
        <f>IF($E$4=$C$4,C83-D83,D83-C83)</f>
        <v>4878727.6900000004</v>
      </c>
    </row>
    <row r="84" spans="1:5" x14ac:dyDescent="0.25">
      <c r="A84" s="11"/>
      <c r="B84" s="12"/>
      <c r="C84" s="177"/>
      <c r="D84" s="177"/>
      <c r="E84" s="12"/>
    </row>
    <row r="85" spans="1:5" x14ac:dyDescent="0.25">
      <c r="A85" s="279">
        <f>Account!$G$23</f>
        <v>44926</v>
      </c>
      <c r="B85" s="14" t="s">
        <v>374</v>
      </c>
      <c r="C85" s="177">
        <f t="array" ref="C85">SUM(IF((CkDJ[Date]=A85)*(CkDJ[Account Code]=TRIM($B$2))*(CkDJ[Sort Code]=$D$3)*(CkDJ[Ofc Code]=$E$3),CkDJ[Debit]))</f>
        <v>0</v>
      </c>
      <c r="D85" s="177">
        <f t="array" ref="D85">SUM(IF((CkDJ[Date]=A85)*(CkDJ[Account Code]=TRIM($B$2))*(CkDJ[Sort Code]=$D$3)*(CkDJ[Ofc Code]=$E$3),CkDJ[Credit]))</f>
        <v>0</v>
      </c>
      <c r="E85" s="12"/>
    </row>
    <row r="86" spans="1:5" x14ac:dyDescent="0.25">
      <c r="A86" s="279">
        <f>Account!$G$23</f>
        <v>44926</v>
      </c>
      <c r="B86" s="15" t="s">
        <v>375</v>
      </c>
      <c r="C86" s="177">
        <f t="array" ref="C86">SUM(IF((CsDJ[Date]=A86)*(CsDJ[Account Code]=TRIM($B$2))*(CsDJ[Sort Code]=$D$3)*(CsDJ[Ofc Code]=$E$3),CsDJ[Debit]))</f>
        <v>0</v>
      </c>
      <c r="D86" s="177">
        <f t="array" ref="D86">SUM(IF((CsDJ[Date]=A86)*(CsDJ[Account Code]=TRIM($B$2))*(CsDJ[Sort Code]=$D$3)*(CsDJ[Ofc Code]=$E$3),CsDJ[Credit]))</f>
        <v>0</v>
      </c>
      <c r="E86" s="12"/>
    </row>
    <row r="87" spans="1:5" x14ac:dyDescent="0.25">
      <c r="A87" s="279">
        <f>Account!$G$23</f>
        <v>44926</v>
      </c>
      <c r="B87" s="16" t="s">
        <v>376</v>
      </c>
      <c r="C87" s="177">
        <f t="array" ref="C87">SUM(IF((CRDJ[Date]=A87)*(CRDJ[Account Code]=TRIM($B$2))*(CRDJ[Sort Code]=$D$3)*(CRDJ[Ofc Code]=$E$3),CRDJ[Debit]))</f>
        <v>0</v>
      </c>
      <c r="D87" s="177">
        <f t="array" ref="D87">SUM(IF((CRDJ[Date]=A87)*(CRDJ[Account Code]=TRIM($B$2))*(CRDJ[Sort Code]=$D$3)*(CRDJ[Ofc Code]=$E$3),CRDJ[Credit]))</f>
        <v>0</v>
      </c>
      <c r="E87" s="12"/>
    </row>
    <row r="88" spans="1:5" x14ac:dyDescent="0.25">
      <c r="A88" s="279">
        <f>Account!$G$23</f>
        <v>44926</v>
      </c>
      <c r="B88" s="14" t="s">
        <v>377</v>
      </c>
      <c r="C88" s="177">
        <f t="array" ref="C88">SUM(IF((GJ[Date]=A88)*(GJ[Account Code]=TRIM($B$2))*(GJ[Sort Code]=$D$3)*(GJ[Ofc Code]=$E$3),GJ[Debit]))</f>
        <v>0</v>
      </c>
      <c r="D88" s="177">
        <f t="array" ref="D88">SUM(IF((GJ[Date]=A88)*(GJ[Account Code]=TRIM($B$2))*(GJ[Sort Code]=$D$3)*(GJ[Ofc Code]=$E$3),GJ[Credit]))</f>
        <v>0</v>
      </c>
      <c r="E88" s="12"/>
    </row>
    <row r="89" spans="1:5" x14ac:dyDescent="0.25">
      <c r="A89" s="1142">
        <f>A88</f>
        <v>44926</v>
      </c>
      <c r="B89" s="1143"/>
      <c r="C89" s="179">
        <f>SUM(C85:C88)</f>
        <v>0</v>
      </c>
      <c r="D89" s="179">
        <f>SUM(D85:D88)</f>
        <v>0</v>
      </c>
      <c r="E89" s="179">
        <f>IF($E$4=$C$4,C89-D89,D89-C89)</f>
        <v>0</v>
      </c>
    </row>
    <row r="90" spans="1:5" x14ac:dyDescent="0.25">
      <c r="A90" s="1144">
        <f>A89</f>
        <v>44926</v>
      </c>
      <c r="B90" s="1145"/>
      <c r="C90" s="176">
        <f>C83+C89</f>
        <v>4878727.6900000004</v>
      </c>
      <c r="D90" s="176">
        <f>D83+D89</f>
        <v>0</v>
      </c>
      <c r="E90" s="176">
        <f>IF($E$4=$C$4,C90-D90,D90-C90)</f>
        <v>4878727.6900000004</v>
      </c>
    </row>
  </sheetData>
  <sheetProtection sheet="1" objects="1" scenarios="1"/>
  <mergeCells count="29">
    <mergeCell ref="A82:B82"/>
    <mergeCell ref="A83:B83"/>
    <mergeCell ref="A89:B89"/>
    <mergeCell ref="A90:B90"/>
    <mergeCell ref="A61:B61"/>
    <mergeCell ref="A62:B62"/>
    <mergeCell ref="A68:B68"/>
    <mergeCell ref="A69:B69"/>
    <mergeCell ref="A75:B75"/>
    <mergeCell ref="A76:B76"/>
    <mergeCell ref="A55:B55"/>
    <mergeCell ref="A19:B19"/>
    <mergeCell ref="A20:B20"/>
    <mergeCell ref="A26:B26"/>
    <mergeCell ref="A27:B27"/>
    <mergeCell ref="A33:B33"/>
    <mergeCell ref="A34:B34"/>
    <mergeCell ref="A40:B40"/>
    <mergeCell ref="A41:B41"/>
    <mergeCell ref="A47:B47"/>
    <mergeCell ref="A48:B48"/>
    <mergeCell ref="A54:B54"/>
    <mergeCell ref="C2:E2"/>
    <mergeCell ref="A13:B13"/>
    <mergeCell ref="A4:A5"/>
    <mergeCell ref="B4:B5"/>
    <mergeCell ref="C4:C5"/>
    <mergeCell ref="D4:D5"/>
    <mergeCell ref="A12:B12"/>
  </mergeCells>
  <printOptions horizontalCentered="1"/>
  <pageMargins left="0.25" right="0.25" top="0.75" bottom="1.75" header="0.3" footer="1.5"/>
  <pageSetup paperSize="5" scale="95" orientation="portrait" horizontalDpi="300" verticalDpi="300" r:id="rId1"/>
  <headerFooter>
    <oddFooter>Page &amp;P of &amp;N</oddFooter>
  </headerFooter>
  <rowBreaks count="1" manualBreakCount="1">
    <brk id="48" max="16383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/>
  <dimension ref="A1:D286"/>
  <sheetViews>
    <sheetView topLeftCell="A70" workbookViewId="0">
      <selection activeCell="A84" sqref="A84"/>
    </sheetView>
  </sheetViews>
  <sheetFormatPr defaultRowHeight="15.75" x14ac:dyDescent="0.25"/>
  <cols>
    <col min="1" max="1" width="80.125" style="30" bestFit="1" customWidth="1"/>
    <col min="2" max="2" width="16.875" style="30" customWidth="1"/>
    <col min="3" max="3" width="16.375" style="30" customWidth="1"/>
    <col min="4" max="4" width="16.625" style="108" customWidth="1"/>
    <col min="5" max="255" width="9" style="30"/>
    <col min="256" max="256" width="15.5" style="30" customWidth="1"/>
    <col min="257" max="257" width="16.875" style="30" customWidth="1"/>
    <col min="258" max="258" width="16.375" style="30" customWidth="1"/>
    <col min="259" max="259" width="16.625" style="30" customWidth="1"/>
    <col min="260" max="260" width="12.875" style="30" customWidth="1"/>
    <col min="261" max="511" width="9" style="30"/>
    <col min="512" max="512" width="15.5" style="30" customWidth="1"/>
    <col min="513" max="513" width="16.875" style="30" customWidth="1"/>
    <col min="514" max="514" width="16.375" style="30" customWidth="1"/>
    <col min="515" max="515" width="16.625" style="30" customWidth="1"/>
    <col min="516" max="516" width="12.875" style="30" customWidth="1"/>
    <col min="517" max="767" width="9" style="30"/>
    <col min="768" max="768" width="15.5" style="30" customWidth="1"/>
    <col min="769" max="769" width="16.875" style="30" customWidth="1"/>
    <col min="770" max="770" width="16.375" style="30" customWidth="1"/>
    <col min="771" max="771" width="16.625" style="30" customWidth="1"/>
    <col min="772" max="772" width="12.875" style="30" customWidth="1"/>
    <col min="773" max="1023" width="9" style="30"/>
    <col min="1024" max="1024" width="15.5" style="30" customWidth="1"/>
    <col min="1025" max="1025" width="16.875" style="30" customWidth="1"/>
    <col min="1026" max="1026" width="16.375" style="30" customWidth="1"/>
    <col min="1027" max="1027" width="16.625" style="30" customWidth="1"/>
    <col min="1028" max="1028" width="12.875" style="30" customWidth="1"/>
    <col min="1029" max="1279" width="9" style="30"/>
    <col min="1280" max="1280" width="15.5" style="30" customWidth="1"/>
    <col min="1281" max="1281" width="16.875" style="30" customWidth="1"/>
    <col min="1282" max="1282" width="16.375" style="30" customWidth="1"/>
    <col min="1283" max="1283" width="16.625" style="30" customWidth="1"/>
    <col min="1284" max="1284" width="12.875" style="30" customWidth="1"/>
    <col min="1285" max="1535" width="9" style="30"/>
    <col min="1536" max="1536" width="15.5" style="30" customWidth="1"/>
    <col min="1537" max="1537" width="16.875" style="30" customWidth="1"/>
    <col min="1538" max="1538" width="16.375" style="30" customWidth="1"/>
    <col min="1539" max="1539" width="16.625" style="30" customWidth="1"/>
    <col min="1540" max="1540" width="12.875" style="30" customWidth="1"/>
    <col min="1541" max="1791" width="9" style="30"/>
    <col min="1792" max="1792" width="15.5" style="30" customWidth="1"/>
    <col min="1793" max="1793" width="16.875" style="30" customWidth="1"/>
    <col min="1794" max="1794" width="16.375" style="30" customWidth="1"/>
    <col min="1795" max="1795" width="16.625" style="30" customWidth="1"/>
    <col min="1796" max="1796" width="12.875" style="30" customWidth="1"/>
    <col min="1797" max="2047" width="9" style="30"/>
    <col min="2048" max="2048" width="15.5" style="30" customWidth="1"/>
    <col min="2049" max="2049" width="16.875" style="30" customWidth="1"/>
    <col min="2050" max="2050" width="16.375" style="30" customWidth="1"/>
    <col min="2051" max="2051" width="16.625" style="30" customWidth="1"/>
    <col min="2052" max="2052" width="12.875" style="30" customWidth="1"/>
    <col min="2053" max="2303" width="9" style="30"/>
    <col min="2304" max="2304" width="15.5" style="30" customWidth="1"/>
    <col min="2305" max="2305" width="16.875" style="30" customWidth="1"/>
    <col min="2306" max="2306" width="16.375" style="30" customWidth="1"/>
    <col min="2307" max="2307" width="16.625" style="30" customWidth="1"/>
    <col min="2308" max="2308" width="12.875" style="30" customWidth="1"/>
    <col min="2309" max="2559" width="9" style="30"/>
    <col min="2560" max="2560" width="15.5" style="30" customWidth="1"/>
    <col min="2561" max="2561" width="16.875" style="30" customWidth="1"/>
    <col min="2562" max="2562" width="16.375" style="30" customWidth="1"/>
    <col min="2563" max="2563" width="16.625" style="30" customWidth="1"/>
    <col min="2564" max="2564" width="12.875" style="30" customWidth="1"/>
    <col min="2565" max="2815" width="9" style="30"/>
    <col min="2816" max="2816" width="15.5" style="30" customWidth="1"/>
    <col min="2817" max="2817" width="16.875" style="30" customWidth="1"/>
    <col min="2818" max="2818" width="16.375" style="30" customWidth="1"/>
    <col min="2819" max="2819" width="16.625" style="30" customWidth="1"/>
    <col min="2820" max="2820" width="12.875" style="30" customWidth="1"/>
    <col min="2821" max="3071" width="9" style="30"/>
    <col min="3072" max="3072" width="15.5" style="30" customWidth="1"/>
    <col min="3073" max="3073" width="16.875" style="30" customWidth="1"/>
    <col min="3074" max="3074" width="16.375" style="30" customWidth="1"/>
    <col min="3075" max="3075" width="16.625" style="30" customWidth="1"/>
    <col min="3076" max="3076" width="12.875" style="30" customWidth="1"/>
    <col min="3077" max="3327" width="9" style="30"/>
    <col min="3328" max="3328" width="15.5" style="30" customWidth="1"/>
    <col min="3329" max="3329" width="16.875" style="30" customWidth="1"/>
    <col min="3330" max="3330" width="16.375" style="30" customWidth="1"/>
    <col min="3331" max="3331" width="16.625" style="30" customWidth="1"/>
    <col min="3332" max="3332" width="12.875" style="30" customWidth="1"/>
    <col min="3333" max="3583" width="9" style="30"/>
    <col min="3584" max="3584" width="15.5" style="30" customWidth="1"/>
    <col min="3585" max="3585" width="16.875" style="30" customWidth="1"/>
    <col min="3586" max="3586" width="16.375" style="30" customWidth="1"/>
    <col min="3587" max="3587" width="16.625" style="30" customWidth="1"/>
    <col min="3588" max="3588" width="12.875" style="30" customWidth="1"/>
    <col min="3589" max="3839" width="9" style="30"/>
    <col min="3840" max="3840" width="15.5" style="30" customWidth="1"/>
    <col min="3841" max="3841" width="16.875" style="30" customWidth="1"/>
    <col min="3842" max="3842" width="16.375" style="30" customWidth="1"/>
    <col min="3843" max="3843" width="16.625" style="30" customWidth="1"/>
    <col min="3844" max="3844" width="12.875" style="30" customWidth="1"/>
    <col min="3845" max="4095" width="9" style="30"/>
    <col min="4096" max="4096" width="15.5" style="30" customWidth="1"/>
    <col min="4097" max="4097" width="16.875" style="30" customWidth="1"/>
    <col min="4098" max="4098" width="16.375" style="30" customWidth="1"/>
    <col min="4099" max="4099" width="16.625" style="30" customWidth="1"/>
    <col min="4100" max="4100" width="12.875" style="30" customWidth="1"/>
    <col min="4101" max="4351" width="9" style="30"/>
    <col min="4352" max="4352" width="15.5" style="30" customWidth="1"/>
    <col min="4353" max="4353" width="16.875" style="30" customWidth="1"/>
    <col min="4354" max="4354" width="16.375" style="30" customWidth="1"/>
    <col min="4355" max="4355" width="16.625" style="30" customWidth="1"/>
    <col min="4356" max="4356" width="12.875" style="30" customWidth="1"/>
    <col min="4357" max="4607" width="9" style="30"/>
    <col min="4608" max="4608" width="15.5" style="30" customWidth="1"/>
    <col min="4609" max="4609" width="16.875" style="30" customWidth="1"/>
    <col min="4610" max="4610" width="16.375" style="30" customWidth="1"/>
    <col min="4611" max="4611" width="16.625" style="30" customWidth="1"/>
    <col min="4612" max="4612" width="12.875" style="30" customWidth="1"/>
    <col min="4613" max="4863" width="9" style="30"/>
    <col min="4864" max="4864" width="15.5" style="30" customWidth="1"/>
    <col min="4865" max="4865" width="16.875" style="30" customWidth="1"/>
    <col min="4866" max="4866" width="16.375" style="30" customWidth="1"/>
    <col min="4867" max="4867" width="16.625" style="30" customWidth="1"/>
    <col min="4868" max="4868" width="12.875" style="30" customWidth="1"/>
    <col min="4869" max="5119" width="9" style="30"/>
    <col min="5120" max="5120" width="15.5" style="30" customWidth="1"/>
    <col min="5121" max="5121" width="16.875" style="30" customWidth="1"/>
    <col min="5122" max="5122" width="16.375" style="30" customWidth="1"/>
    <col min="5123" max="5123" width="16.625" style="30" customWidth="1"/>
    <col min="5124" max="5124" width="12.875" style="30" customWidth="1"/>
    <col min="5125" max="5375" width="9" style="30"/>
    <col min="5376" max="5376" width="15.5" style="30" customWidth="1"/>
    <col min="5377" max="5377" width="16.875" style="30" customWidth="1"/>
    <col min="5378" max="5378" width="16.375" style="30" customWidth="1"/>
    <col min="5379" max="5379" width="16.625" style="30" customWidth="1"/>
    <col min="5380" max="5380" width="12.875" style="30" customWidth="1"/>
    <col min="5381" max="5631" width="9" style="30"/>
    <col min="5632" max="5632" width="15.5" style="30" customWidth="1"/>
    <col min="5633" max="5633" width="16.875" style="30" customWidth="1"/>
    <col min="5634" max="5634" width="16.375" style="30" customWidth="1"/>
    <col min="5635" max="5635" width="16.625" style="30" customWidth="1"/>
    <col min="5636" max="5636" width="12.875" style="30" customWidth="1"/>
    <col min="5637" max="5887" width="9" style="30"/>
    <col min="5888" max="5888" width="15.5" style="30" customWidth="1"/>
    <col min="5889" max="5889" width="16.875" style="30" customWidth="1"/>
    <col min="5890" max="5890" width="16.375" style="30" customWidth="1"/>
    <col min="5891" max="5891" width="16.625" style="30" customWidth="1"/>
    <col min="5892" max="5892" width="12.875" style="30" customWidth="1"/>
    <col min="5893" max="6143" width="9" style="30"/>
    <col min="6144" max="6144" width="15.5" style="30" customWidth="1"/>
    <col min="6145" max="6145" width="16.875" style="30" customWidth="1"/>
    <col min="6146" max="6146" width="16.375" style="30" customWidth="1"/>
    <col min="6147" max="6147" width="16.625" style="30" customWidth="1"/>
    <col min="6148" max="6148" width="12.875" style="30" customWidth="1"/>
    <col min="6149" max="6399" width="9" style="30"/>
    <col min="6400" max="6400" width="15.5" style="30" customWidth="1"/>
    <col min="6401" max="6401" width="16.875" style="30" customWidth="1"/>
    <col min="6402" max="6402" width="16.375" style="30" customWidth="1"/>
    <col min="6403" max="6403" width="16.625" style="30" customWidth="1"/>
    <col min="6404" max="6404" width="12.875" style="30" customWidth="1"/>
    <col min="6405" max="6655" width="9" style="30"/>
    <col min="6656" max="6656" width="15.5" style="30" customWidth="1"/>
    <col min="6657" max="6657" width="16.875" style="30" customWidth="1"/>
    <col min="6658" max="6658" width="16.375" style="30" customWidth="1"/>
    <col min="6659" max="6659" width="16.625" style="30" customWidth="1"/>
    <col min="6660" max="6660" width="12.875" style="30" customWidth="1"/>
    <col min="6661" max="6911" width="9" style="30"/>
    <col min="6912" max="6912" width="15.5" style="30" customWidth="1"/>
    <col min="6913" max="6913" width="16.875" style="30" customWidth="1"/>
    <col min="6914" max="6914" width="16.375" style="30" customWidth="1"/>
    <col min="6915" max="6915" width="16.625" style="30" customWidth="1"/>
    <col min="6916" max="6916" width="12.875" style="30" customWidth="1"/>
    <col min="6917" max="7167" width="9" style="30"/>
    <col min="7168" max="7168" width="15.5" style="30" customWidth="1"/>
    <col min="7169" max="7169" width="16.875" style="30" customWidth="1"/>
    <col min="7170" max="7170" width="16.375" style="30" customWidth="1"/>
    <col min="7171" max="7171" width="16.625" style="30" customWidth="1"/>
    <col min="7172" max="7172" width="12.875" style="30" customWidth="1"/>
    <col min="7173" max="7423" width="9" style="30"/>
    <col min="7424" max="7424" width="15.5" style="30" customWidth="1"/>
    <col min="7425" max="7425" width="16.875" style="30" customWidth="1"/>
    <col min="7426" max="7426" width="16.375" style="30" customWidth="1"/>
    <col min="7427" max="7427" width="16.625" style="30" customWidth="1"/>
    <col min="7428" max="7428" width="12.875" style="30" customWidth="1"/>
    <col min="7429" max="7679" width="9" style="30"/>
    <col min="7680" max="7680" width="15.5" style="30" customWidth="1"/>
    <col min="7681" max="7681" width="16.875" style="30" customWidth="1"/>
    <col min="7682" max="7682" width="16.375" style="30" customWidth="1"/>
    <col min="7683" max="7683" width="16.625" style="30" customWidth="1"/>
    <col min="7684" max="7684" width="12.875" style="30" customWidth="1"/>
    <col min="7685" max="7935" width="9" style="30"/>
    <col min="7936" max="7936" width="15.5" style="30" customWidth="1"/>
    <col min="7937" max="7937" width="16.875" style="30" customWidth="1"/>
    <col min="7938" max="7938" width="16.375" style="30" customWidth="1"/>
    <col min="7939" max="7939" width="16.625" style="30" customWidth="1"/>
    <col min="7940" max="7940" width="12.875" style="30" customWidth="1"/>
    <col min="7941" max="8191" width="9" style="30"/>
    <col min="8192" max="8192" width="15.5" style="30" customWidth="1"/>
    <col min="8193" max="8193" width="16.875" style="30" customWidth="1"/>
    <col min="8194" max="8194" width="16.375" style="30" customWidth="1"/>
    <col min="8195" max="8195" width="16.625" style="30" customWidth="1"/>
    <col min="8196" max="8196" width="12.875" style="30" customWidth="1"/>
    <col min="8197" max="8447" width="9" style="30"/>
    <col min="8448" max="8448" width="15.5" style="30" customWidth="1"/>
    <col min="8449" max="8449" width="16.875" style="30" customWidth="1"/>
    <col min="8450" max="8450" width="16.375" style="30" customWidth="1"/>
    <col min="8451" max="8451" width="16.625" style="30" customWidth="1"/>
    <col min="8452" max="8452" width="12.875" style="30" customWidth="1"/>
    <col min="8453" max="8703" width="9" style="30"/>
    <col min="8704" max="8704" width="15.5" style="30" customWidth="1"/>
    <col min="8705" max="8705" width="16.875" style="30" customWidth="1"/>
    <col min="8706" max="8706" width="16.375" style="30" customWidth="1"/>
    <col min="8707" max="8707" width="16.625" style="30" customWidth="1"/>
    <col min="8708" max="8708" width="12.875" style="30" customWidth="1"/>
    <col min="8709" max="8959" width="9" style="30"/>
    <col min="8960" max="8960" width="15.5" style="30" customWidth="1"/>
    <col min="8961" max="8961" width="16.875" style="30" customWidth="1"/>
    <col min="8962" max="8962" width="16.375" style="30" customWidth="1"/>
    <col min="8963" max="8963" width="16.625" style="30" customWidth="1"/>
    <col min="8964" max="8964" width="12.875" style="30" customWidth="1"/>
    <col min="8965" max="9215" width="9" style="30"/>
    <col min="9216" max="9216" width="15.5" style="30" customWidth="1"/>
    <col min="9217" max="9217" width="16.875" style="30" customWidth="1"/>
    <col min="9218" max="9218" width="16.375" style="30" customWidth="1"/>
    <col min="9219" max="9219" width="16.625" style="30" customWidth="1"/>
    <col min="9220" max="9220" width="12.875" style="30" customWidth="1"/>
    <col min="9221" max="9471" width="9" style="30"/>
    <col min="9472" max="9472" width="15.5" style="30" customWidth="1"/>
    <col min="9473" max="9473" width="16.875" style="30" customWidth="1"/>
    <col min="9474" max="9474" width="16.375" style="30" customWidth="1"/>
    <col min="9475" max="9475" width="16.625" style="30" customWidth="1"/>
    <col min="9476" max="9476" width="12.875" style="30" customWidth="1"/>
    <col min="9477" max="9727" width="9" style="30"/>
    <col min="9728" max="9728" width="15.5" style="30" customWidth="1"/>
    <col min="9729" max="9729" width="16.875" style="30" customWidth="1"/>
    <col min="9730" max="9730" width="16.375" style="30" customWidth="1"/>
    <col min="9731" max="9731" width="16.625" style="30" customWidth="1"/>
    <col min="9732" max="9732" width="12.875" style="30" customWidth="1"/>
    <col min="9733" max="9983" width="9" style="30"/>
    <col min="9984" max="9984" width="15.5" style="30" customWidth="1"/>
    <col min="9985" max="9985" width="16.875" style="30" customWidth="1"/>
    <col min="9986" max="9986" width="16.375" style="30" customWidth="1"/>
    <col min="9987" max="9987" width="16.625" style="30" customWidth="1"/>
    <col min="9988" max="9988" width="12.875" style="30" customWidth="1"/>
    <col min="9989" max="10239" width="9" style="30"/>
    <col min="10240" max="10240" width="15.5" style="30" customWidth="1"/>
    <col min="10241" max="10241" width="16.875" style="30" customWidth="1"/>
    <col min="10242" max="10242" width="16.375" style="30" customWidth="1"/>
    <col min="10243" max="10243" width="16.625" style="30" customWidth="1"/>
    <col min="10244" max="10244" width="12.875" style="30" customWidth="1"/>
    <col min="10245" max="10495" width="9" style="30"/>
    <col min="10496" max="10496" width="15.5" style="30" customWidth="1"/>
    <col min="10497" max="10497" width="16.875" style="30" customWidth="1"/>
    <col min="10498" max="10498" width="16.375" style="30" customWidth="1"/>
    <col min="10499" max="10499" width="16.625" style="30" customWidth="1"/>
    <col min="10500" max="10500" width="12.875" style="30" customWidth="1"/>
    <col min="10501" max="10751" width="9" style="30"/>
    <col min="10752" max="10752" width="15.5" style="30" customWidth="1"/>
    <col min="10753" max="10753" width="16.875" style="30" customWidth="1"/>
    <col min="10754" max="10754" width="16.375" style="30" customWidth="1"/>
    <col min="10755" max="10755" width="16.625" style="30" customWidth="1"/>
    <col min="10756" max="10756" width="12.875" style="30" customWidth="1"/>
    <col min="10757" max="11007" width="9" style="30"/>
    <col min="11008" max="11008" width="15.5" style="30" customWidth="1"/>
    <col min="11009" max="11009" width="16.875" style="30" customWidth="1"/>
    <col min="11010" max="11010" width="16.375" style="30" customWidth="1"/>
    <col min="11011" max="11011" width="16.625" style="30" customWidth="1"/>
    <col min="11012" max="11012" width="12.875" style="30" customWidth="1"/>
    <col min="11013" max="11263" width="9" style="30"/>
    <col min="11264" max="11264" width="15.5" style="30" customWidth="1"/>
    <col min="11265" max="11265" width="16.875" style="30" customWidth="1"/>
    <col min="11266" max="11266" width="16.375" style="30" customWidth="1"/>
    <col min="11267" max="11267" width="16.625" style="30" customWidth="1"/>
    <col min="11268" max="11268" width="12.875" style="30" customWidth="1"/>
    <col min="11269" max="11519" width="9" style="30"/>
    <col min="11520" max="11520" width="15.5" style="30" customWidth="1"/>
    <col min="11521" max="11521" width="16.875" style="30" customWidth="1"/>
    <col min="11522" max="11522" width="16.375" style="30" customWidth="1"/>
    <col min="11523" max="11523" width="16.625" style="30" customWidth="1"/>
    <col min="11524" max="11524" width="12.875" style="30" customWidth="1"/>
    <col min="11525" max="11775" width="9" style="30"/>
    <col min="11776" max="11776" width="15.5" style="30" customWidth="1"/>
    <col min="11777" max="11777" width="16.875" style="30" customWidth="1"/>
    <col min="11778" max="11778" width="16.375" style="30" customWidth="1"/>
    <col min="11779" max="11779" width="16.625" style="30" customWidth="1"/>
    <col min="11780" max="11780" width="12.875" style="30" customWidth="1"/>
    <col min="11781" max="12031" width="9" style="30"/>
    <col min="12032" max="12032" width="15.5" style="30" customWidth="1"/>
    <col min="12033" max="12033" width="16.875" style="30" customWidth="1"/>
    <col min="12034" max="12034" width="16.375" style="30" customWidth="1"/>
    <col min="12035" max="12035" width="16.625" style="30" customWidth="1"/>
    <col min="12036" max="12036" width="12.875" style="30" customWidth="1"/>
    <col min="12037" max="12287" width="9" style="30"/>
    <col min="12288" max="12288" width="15.5" style="30" customWidth="1"/>
    <col min="12289" max="12289" width="16.875" style="30" customWidth="1"/>
    <col min="12290" max="12290" width="16.375" style="30" customWidth="1"/>
    <col min="12291" max="12291" width="16.625" style="30" customWidth="1"/>
    <col min="12292" max="12292" width="12.875" style="30" customWidth="1"/>
    <col min="12293" max="12543" width="9" style="30"/>
    <col min="12544" max="12544" width="15.5" style="30" customWidth="1"/>
    <col min="12545" max="12545" width="16.875" style="30" customWidth="1"/>
    <col min="12546" max="12546" width="16.375" style="30" customWidth="1"/>
    <col min="12547" max="12547" width="16.625" style="30" customWidth="1"/>
    <col min="12548" max="12548" width="12.875" style="30" customWidth="1"/>
    <col min="12549" max="12799" width="9" style="30"/>
    <col min="12800" max="12800" width="15.5" style="30" customWidth="1"/>
    <col min="12801" max="12801" width="16.875" style="30" customWidth="1"/>
    <col min="12802" max="12802" width="16.375" style="30" customWidth="1"/>
    <col min="12803" max="12803" width="16.625" style="30" customWidth="1"/>
    <col min="12804" max="12804" width="12.875" style="30" customWidth="1"/>
    <col min="12805" max="13055" width="9" style="30"/>
    <col min="13056" max="13056" width="15.5" style="30" customWidth="1"/>
    <col min="13057" max="13057" width="16.875" style="30" customWidth="1"/>
    <col min="13058" max="13058" width="16.375" style="30" customWidth="1"/>
    <col min="13059" max="13059" width="16.625" style="30" customWidth="1"/>
    <col min="13060" max="13060" width="12.875" style="30" customWidth="1"/>
    <col min="13061" max="13311" width="9" style="30"/>
    <col min="13312" max="13312" width="15.5" style="30" customWidth="1"/>
    <col min="13313" max="13313" width="16.875" style="30" customWidth="1"/>
    <col min="13314" max="13314" width="16.375" style="30" customWidth="1"/>
    <col min="13315" max="13315" width="16.625" style="30" customWidth="1"/>
    <col min="13316" max="13316" width="12.875" style="30" customWidth="1"/>
    <col min="13317" max="13567" width="9" style="30"/>
    <col min="13568" max="13568" width="15.5" style="30" customWidth="1"/>
    <col min="13569" max="13569" width="16.875" style="30" customWidth="1"/>
    <col min="13570" max="13570" width="16.375" style="30" customWidth="1"/>
    <col min="13571" max="13571" width="16.625" style="30" customWidth="1"/>
    <col min="13572" max="13572" width="12.875" style="30" customWidth="1"/>
    <col min="13573" max="13823" width="9" style="30"/>
    <col min="13824" max="13824" width="15.5" style="30" customWidth="1"/>
    <col min="13825" max="13825" width="16.875" style="30" customWidth="1"/>
    <col min="13826" max="13826" width="16.375" style="30" customWidth="1"/>
    <col min="13827" max="13827" width="16.625" style="30" customWidth="1"/>
    <col min="13828" max="13828" width="12.875" style="30" customWidth="1"/>
    <col min="13829" max="14079" width="9" style="30"/>
    <col min="14080" max="14080" width="15.5" style="30" customWidth="1"/>
    <col min="14081" max="14081" width="16.875" style="30" customWidth="1"/>
    <col min="14082" max="14082" width="16.375" style="30" customWidth="1"/>
    <col min="14083" max="14083" width="16.625" style="30" customWidth="1"/>
    <col min="14084" max="14084" width="12.875" style="30" customWidth="1"/>
    <col min="14085" max="14335" width="9" style="30"/>
    <col min="14336" max="14336" width="15.5" style="30" customWidth="1"/>
    <col min="14337" max="14337" width="16.875" style="30" customWidth="1"/>
    <col min="14338" max="14338" width="16.375" style="30" customWidth="1"/>
    <col min="14339" max="14339" width="16.625" style="30" customWidth="1"/>
    <col min="14340" max="14340" width="12.875" style="30" customWidth="1"/>
    <col min="14341" max="14591" width="9" style="30"/>
    <col min="14592" max="14592" width="15.5" style="30" customWidth="1"/>
    <col min="14593" max="14593" width="16.875" style="30" customWidth="1"/>
    <col min="14594" max="14594" width="16.375" style="30" customWidth="1"/>
    <col min="14595" max="14595" width="16.625" style="30" customWidth="1"/>
    <col min="14596" max="14596" width="12.875" style="30" customWidth="1"/>
    <col min="14597" max="14847" width="9" style="30"/>
    <col min="14848" max="14848" width="15.5" style="30" customWidth="1"/>
    <col min="14849" max="14849" width="16.875" style="30" customWidth="1"/>
    <col min="14850" max="14850" width="16.375" style="30" customWidth="1"/>
    <col min="14851" max="14851" width="16.625" style="30" customWidth="1"/>
    <col min="14852" max="14852" width="12.875" style="30" customWidth="1"/>
    <col min="14853" max="15103" width="9" style="30"/>
    <col min="15104" max="15104" width="15.5" style="30" customWidth="1"/>
    <col min="15105" max="15105" width="16.875" style="30" customWidth="1"/>
    <col min="15106" max="15106" width="16.375" style="30" customWidth="1"/>
    <col min="15107" max="15107" width="16.625" style="30" customWidth="1"/>
    <col min="15108" max="15108" width="12.875" style="30" customWidth="1"/>
    <col min="15109" max="15359" width="9" style="30"/>
    <col min="15360" max="15360" width="15.5" style="30" customWidth="1"/>
    <col min="15361" max="15361" width="16.875" style="30" customWidth="1"/>
    <col min="15362" max="15362" width="16.375" style="30" customWidth="1"/>
    <col min="15363" max="15363" width="16.625" style="30" customWidth="1"/>
    <col min="15364" max="15364" width="12.875" style="30" customWidth="1"/>
    <col min="15365" max="15615" width="9" style="30"/>
    <col min="15616" max="15616" width="15.5" style="30" customWidth="1"/>
    <col min="15617" max="15617" width="16.875" style="30" customWidth="1"/>
    <col min="15618" max="15618" width="16.375" style="30" customWidth="1"/>
    <col min="15619" max="15619" width="16.625" style="30" customWidth="1"/>
    <col min="15620" max="15620" width="12.875" style="30" customWidth="1"/>
    <col min="15621" max="15871" width="9" style="30"/>
    <col min="15872" max="15872" width="15.5" style="30" customWidth="1"/>
    <col min="15873" max="15873" width="16.875" style="30" customWidth="1"/>
    <col min="15874" max="15874" width="16.375" style="30" customWidth="1"/>
    <col min="15875" max="15875" width="16.625" style="30" customWidth="1"/>
    <col min="15876" max="15876" width="12.875" style="30" customWidth="1"/>
    <col min="15877" max="16127" width="9" style="30"/>
    <col min="16128" max="16128" width="15.5" style="30" customWidth="1"/>
    <col min="16129" max="16129" width="16.875" style="30" customWidth="1"/>
    <col min="16130" max="16130" width="16.375" style="30" customWidth="1"/>
    <col min="16131" max="16131" width="16.625" style="30" customWidth="1"/>
    <col min="16132" max="16132" width="12.875" style="30" customWidth="1"/>
    <col min="16133" max="16384" width="9" style="30"/>
  </cols>
  <sheetData>
    <row r="1" spans="1:4" ht="22.5" x14ac:dyDescent="0.5">
      <c r="A1" s="27" t="s">
        <v>355</v>
      </c>
      <c r="B1" s="106"/>
      <c r="C1" s="106"/>
      <c r="D1" s="128"/>
    </row>
    <row r="2" spans="1:4" ht="16.5" x14ac:dyDescent="0.25">
      <c r="A2" s="28" t="s">
        <v>400</v>
      </c>
      <c r="B2" s="106"/>
      <c r="C2" s="106"/>
      <c r="D2" s="128"/>
    </row>
    <row r="3" spans="1:4" ht="16.5" x14ac:dyDescent="0.25">
      <c r="A3" s="2" t="str">
        <f>Account!$G$1</f>
        <v>FUND 501 CARP</v>
      </c>
      <c r="B3" s="106"/>
      <c r="C3" s="106"/>
      <c r="D3" s="128"/>
    </row>
    <row r="4" spans="1:4" ht="16.5" x14ac:dyDescent="0.25">
      <c r="A4" s="28" t="s">
        <v>514</v>
      </c>
      <c r="B4" s="106"/>
      <c r="C4" s="106"/>
      <c r="D4" s="128"/>
    </row>
    <row r="5" spans="1:4" ht="16.5" x14ac:dyDescent="0.25">
      <c r="A5" s="107">
        <f>Account!$G$2</f>
        <v>44500</v>
      </c>
      <c r="B5" s="106"/>
      <c r="C5" s="106"/>
      <c r="D5" s="128"/>
    </row>
    <row r="6" spans="1:4" x14ac:dyDescent="0.25">
      <c r="A6" s="29"/>
      <c r="B6" s="29"/>
      <c r="C6" s="29"/>
    </row>
    <row r="7" spans="1:4" x14ac:dyDescent="0.25">
      <c r="A7" s="119" t="s">
        <v>518</v>
      </c>
      <c r="D7" s="129"/>
    </row>
    <row r="8" spans="1:4" x14ac:dyDescent="0.25">
      <c r="A8" s="120"/>
    </row>
    <row r="9" spans="1:4" x14ac:dyDescent="0.25">
      <c r="A9" s="121" t="s">
        <v>519</v>
      </c>
      <c r="D9" s="130"/>
    </row>
    <row r="10" spans="1:4" x14ac:dyDescent="0.25">
      <c r="A10" s="121"/>
      <c r="D10" s="130"/>
    </row>
    <row r="11" spans="1:4" x14ac:dyDescent="0.25">
      <c r="A11" s="160" t="s">
        <v>520</v>
      </c>
    </row>
    <row r="12" spans="1:4" x14ac:dyDescent="0.25">
      <c r="A12" s="159" t="s">
        <v>520</v>
      </c>
    </row>
    <row r="13" spans="1:4" x14ac:dyDescent="0.25">
      <c r="A13" s="159" t="s">
        <v>521</v>
      </c>
    </row>
    <row r="14" spans="1:4" x14ac:dyDescent="0.25">
      <c r="A14" s="159" t="s">
        <v>522</v>
      </c>
    </row>
    <row r="15" spans="1:4" x14ac:dyDescent="0.25">
      <c r="A15" s="159" t="s">
        <v>523</v>
      </c>
    </row>
    <row r="16" spans="1:4" x14ac:dyDescent="0.25">
      <c r="A16" s="123"/>
      <c r="D16" s="130"/>
    </row>
    <row r="17" spans="1:4" x14ac:dyDescent="0.25">
      <c r="A17" s="160" t="s">
        <v>524</v>
      </c>
      <c r="D17" s="130"/>
    </row>
    <row r="18" spans="1:4" x14ac:dyDescent="0.25">
      <c r="A18" s="159" t="s">
        <v>525</v>
      </c>
      <c r="D18" s="130"/>
    </row>
    <row r="19" spans="1:4" x14ac:dyDescent="0.25">
      <c r="A19" s="159" t="s">
        <v>526</v>
      </c>
      <c r="D19" s="130"/>
    </row>
    <row r="20" spans="1:4" x14ac:dyDescent="0.25">
      <c r="A20" s="159" t="s">
        <v>527</v>
      </c>
      <c r="D20" s="130"/>
    </row>
    <row r="21" spans="1:4" x14ac:dyDescent="0.25">
      <c r="A21" s="159" t="s">
        <v>528</v>
      </c>
      <c r="D21" s="130"/>
    </row>
    <row r="22" spans="1:4" x14ac:dyDescent="0.25">
      <c r="A22" s="159" t="s">
        <v>529</v>
      </c>
      <c r="D22" s="130"/>
    </row>
    <row r="23" spans="1:4" x14ac:dyDescent="0.25">
      <c r="A23" s="123"/>
    </row>
    <row r="24" spans="1:4" x14ac:dyDescent="0.25">
      <c r="A24" s="122" t="s">
        <v>530</v>
      </c>
    </row>
    <row r="25" spans="1:4" x14ac:dyDescent="0.25">
      <c r="A25" s="123" t="s">
        <v>531</v>
      </c>
      <c r="B25" s="109"/>
      <c r="C25" s="109"/>
    </row>
    <row r="26" spans="1:4" x14ac:dyDescent="0.25">
      <c r="A26" s="123" t="s">
        <v>532</v>
      </c>
      <c r="D26" s="129"/>
    </row>
    <row r="27" spans="1:4" x14ac:dyDescent="0.25">
      <c r="A27" s="123" t="s">
        <v>533</v>
      </c>
    </row>
    <row r="28" spans="1:4" x14ac:dyDescent="0.25">
      <c r="A28" s="123"/>
      <c r="D28" s="130"/>
    </row>
    <row r="29" spans="1:4" x14ac:dyDescent="0.25">
      <c r="A29" s="122" t="s">
        <v>534</v>
      </c>
    </row>
    <row r="30" spans="1:4" x14ac:dyDescent="0.25">
      <c r="A30" s="123" t="s">
        <v>535</v>
      </c>
    </row>
    <row r="31" spans="1:4" x14ac:dyDescent="0.25">
      <c r="A31" s="123" t="s">
        <v>536</v>
      </c>
    </row>
    <row r="32" spans="1:4" x14ac:dyDescent="0.25">
      <c r="A32" s="123" t="s">
        <v>537</v>
      </c>
    </row>
    <row r="33" spans="1:4" x14ac:dyDescent="0.25">
      <c r="A33" s="123" t="s">
        <v>538</v>
      </c>
      <c r="D33" s="130"/>
    </row>
    <row r="34" spans="1:4" x14ac:dyDescent="0.25">
      <c r="A34" s="123"/>
    </row>
    <row r="35" spans="1:4" x14ac:dyDescent="0.25">
      <c r="A35" s="122" t="s">
        <v>539</v>
      </c>
      <c r="B35" s="109"/>
      <c r="C35" s="109"/>
    </row>
    <row r="36" spans="1:4" x14ac:dyDescent="0.25">
      <c r="A36" s="123" t="s">
        <v>540</v>
      </c>
      <c r="B36" s="109"/>
      <c r="C36" s="109"/>
    </row>
    <row r="37" spans="1:4" x14ac:dyDescent="0.25">
      <c r="A37" s="123" t="s">
        <v>541</v>
      </c>
      <c r="B37" s="115"/>
      <c r="C37" s="115"/>
    </row>
    <row r="38" spans="1:4" x14ac:dyDescent="0.25">
      <c r="A38" s="123" t="s">
        <v>542</v>
      </c>
      <c r="B38" s="116"/>
      <c r="C38" s="116"/>
    </row>
    <row r="39" spans="1:4" x14ac:dyDescent="0.25">
      <c r="A39" s="123"/>
      <c r="D39" s="127"/>
    </row>
    <row r="40" spans="1:4" x14ac:dyDescent="0.25">
      <c r="A40" s="122" t="s">
        <v>543</v>
      </c>
      <c r="D40" s="130"/>
    </row>
    <row r="41" spans="1:4" x14ac:dyDescent="0.25">
      <c r="A41" s="123" t="s">
        <v>544</v>
      </c>
      <c r="B41" s="110"/>
      <c r="C41" s="111"/>
      <c r="D41" s="130"/>
    </row>
    <row r="42" spans="1:4" x14ac:dyDescent="0.25">
      <c r="A42" s="123" t="s">
        <v>545</v>
      </c>
      <c r="B42" s="112"/>
      <c r="C42" s="113"/>
      <c r="D42" s="130"/>
    </row>
    <row r="43" spans="1:4" x14ac:dyDescent="0.25">
      <c r="A43" s="123" t="s">
        <v>546</v>
      </c>
      <c r="B43" s="114"/>
      <c r="C43" s="114"/>
      <c r="D43" s="130"/>
    </row>
    <row r="44" spans="1:4" x14ac:dyDescent="0.25">
      <c r="A44" s="123"/>
      <c r="B44" s="114"/>
      <c r="C44" s="114"/>
      <c r="D44" s="131"/>
    </row>
    <row r="45" spans="1:4" x14ac:dyDescent="0.25">
      <c r="A45" s="121" t="s">
        <v>547</v>
      </c>
      <c r="B45" s="117"/>
      <c r="C45" s="117"/>
      <c r="D45" s="118"/>
    </row>
    <row r="46" spans="1:4" x14ac:dyDescent="0.25">
      <c r="A46" s="123" t="s">
        <v>548</v>
      </c>
      <c r="B46" s="118"/>
      <c r="C46" s="118"/>
      <c r="D46" s="118"/>
    </row>
    <row r="47" spans="1:4" x14ac:dyDescent="0.25">
      <c r="A47" s="123" t="s">
        <v>549</v>
      </c>
    </row>
    <row r="48" spans="1:4" x14ac:dyDescent="0.25">
      <c r="A48" s="123" t="s">
        <v>550</v>
      </c>
    </row>
    <row r="49" spans="1:1" x14ac:dyDescent="0.25">
      <c r="A49" s="123" t="s">
        <v>551</v>
      </c>
    </row>
    <row r="50" spans="1:1" x14ac:dyDescent="0.25">
      <c r="A50" s="123" t="s">
        <v>552</v>
      </c>
    </row>
    <row r="51" spans="1:1" x14ac:dyDescent="0.25">
      <c r="A51" s="123"/>
    </row>
    <row r="52" spans="1:1" x14ac:dyDescent="0.25">
      <c r="A52" s="122" t="s">
        <v>553</v>
      </c>
    </row>
    <row r="53" spans="1:1" x14ac:dyDescent="0.25">
      <c r="A53" s="123" t="s">
        <v>554</v>
      </c>
    </row>
    <row r="54" spans="1:1" x14ac:dyDescent="0.25">
      <c r="A54" s="123" t="s">
        <v>555</v>
      </c>
    </row>
    <row r="55" spans="1:1" x14ac:dyDescent="0.25">
      <c r="A55" s="123" t="s">
        <v>556</v>
      </c>
    </row>
    <row r="56" spans="1:1" x14ac:dyDescent="0.25">
      <c r="A56" s="123" t="s">
        <v>557</v>
      </c>
    </row>
    <row r="57" spans="1:1" x14ac:dyDescent="0.25">
      <c r="A57" s="123" t="s">
        <v>558</v>
      </c>
    </row>
    <row r="58" spans="1:1" x14ac:dyDescent="0.25">
      <c r="A58" s="123" t="s">
        <v>559</v>
      </c>
    </row>
    <row r="59" spans="1:1" x14ac:dyDescent="0.25">
      <c r="A59" s="123" t="s">
        <v>560</v>
      </c>
    </row>
    <row r="60" spans="1:1" x14ac:dyDescent="0.25">
      <c r="A60" s="123" t="s">
        <v>561</v>
      </c>
    </row>
    <row r="61" spans="1:1" x14ac:dyDescent="0.25">
      <c r="A61" s="123" t="s">
        <v>562</v>
      </c>
    </row>
    <row r="62" spans="1:1" x14ac:dyDescent="0.25">
      <c r="A62" s="123" t="s">
        <v>563</v>
      </c>
    </row>
    <row r="63" spans="1:1" x14ac:dyDescent="0.25">
      <c r="A63" s="123" t="s">
        <v>564</v>
      </c>
    </row>
    <row r="64" spans="1:1" x14ac:dyDescent="0.25">
      <c r="A64" s="123" t="s">
        <v>565</v>
      </c>
    </row>
    <row r="65" spans="1:1" x14ac:dyDescent="0.25">
      <c r="A65" s="123"/>
    </row>
    <row r="66" spans="1:1" x14ac:dyDescent="0.25">
      <c r="A66" s="122" t="s">
        <v>516</v>
      </c>
    </row>
    <row r="67" spans="1:1" x14ac:dyDescent="0.25">
      <c r="A67" s="123" t="s">
        <v>566</v>
      </c>
    </row>
    <row r="68" spans="1:1" x14ac:dyDescent="0.25">
      <c r="A68" s="123" t="s">
        <v>567</v>
      </c>
    </row>
    <row r="69" spans="1:1" x14ac:dyDescent="0.25">
      <c r="A69" s="123" t="s">
        <v>568</v>
      </c>
    </row>
    <row r="70" spans="1:1" x14ac:dyDescent="0.25">
      <c r="A70" s="123"/>
    </row>
    <row r="71" spans="1:1" x14ac:dyDescent="0.25">
      <c r="A71" s="121" t="s">
        <v>515</v>
      </c>
    </row>
    <row r="72" spans="1:1" x14ac:dyDescent="0.25">
      <c r="A72" s="121"/>
    </row>
    <row r="73" spans="1:1" x14ac:dyDescent="0.25">
      <c r="A73" s="121" t="s">
        <v>569</v>
      </c>
    </row>
    <row r="74" spans="1:1" x14ac:dyDescent="0.25">
      <c r="A74" s="122" t="s">
        <v>570</v>
      </c>
    </row>
    <row r="75" spans="1:1" x14ac:dyDescent="0.25">
      <c r="A75" s="122"/>
    </row>
    <row r="76" spans="1:1" x14ac:dyDescent="0.25">
      <c r="A76" s="122" t="s">
        <v>571</v>
      </c>
    </row>
    <row r="77" spans="1:1" x14ac:dyDescent="0.25">
      <c r="A77" s="122"/>
    </row>
    <row r="78" spans="1:1" x14ac:dyDescent="0.25">
      <c r="A78" s="160" t="s">
        <v>730</v>
      </c>
    </row>
    <row r="79" spans="1:1" x14ac:dyDescent="0.25">
      <c r="A79" s="159" t="s">
        <v>572</v>
      </c>
    </row>
    <row r="80" spans="1:1" x14ac:dyDescent="0.25">
      <c r="A80" s="159" t="s">
        <v>573</v>
      </c>
    </row>
    <row r="81" spans="1:1" x14ac:dyDescent="0.25">
      <c r="A81" s="159" t="s">
        <v>574</v>
      </c>
    </row>
    <row r="82" spans="1:1" x14ac:dyDescent="0.25">
      <c r="A82" s="159" t="s">
        <v>575</v>
      </c>
    </row>
    <row r="83" spans="1:1" x14ac:dyDescent="0.25">
      <c r="A83" s="159" t="s">
        <v>576</v>
      </c>
    </row>
    <row r="84" spans="1:1" x14ac:dyDescent="0.25">
      <c r="A84" s="123"/>
    </row>
    <row r="85" spans="1:1" x14ac:dyDescent="0.25">
      <c r="A85" s="122" t="s">
        <v>577</v>
      </c>
    </row>
    <row r="86" spans="1:1" x14ac:dyDescent="0.25">
      <c r="A86" s="123" t="s">
        <v>578</v>
      </c>
    </row>
    <row r="87" spans="1:1" x14ac:dyDescent="0.25">
      <c r="A87" s="123" t="s">
        <v>579</v>
      </c>
    </row>
    <row r="88" spans="1:1" x14ac:dyDescent="0.25">
      <c r="A88" s="123" t="s">
        <v>580</v>
      </c>
    </row>
    <row r="89" spans="1:1" x14ac:dyDescent="0.25">
      <c r="A89" s="123" t="s">
        <v>581</v>
      </c>
    </row>
    <row r="90" spans="1:1" x14ac:dyDescent="0.25">
      <c r="A90" s="123"/>
    </row>
    <row r="91" spans="1:1" x14ac:dyDescent="0.25">
      <c r="A91" s="122" t="s">
        <v>582</v>
      </c>
    </row>
    <row r="92" spans="1:1" x14ac:dyDescent="0.25">
      <c r="A92" s="123" t="s">
        <v>583</v>
      </c>
    </row>
    <row r="93" spans="1:1" x14ac:dyDescent="0.25">
      <c r="A93" s="123" t="s">
        <v>584</v>
      </c>
    </row>
    <row r="94" spans="1:1" x14ac:dyDescent="0.25">
      <c r="A94" s="123" t="s">
        <v>585</v>
      </c>
    </row>
    <row r="95" spans="1:1" x14ac:dyDescent="0.25">
      <c r="A95" s="123" t="s">
        <v>586</v>
      </c>
    </row>
    <row r="96" spans="1:1" x14ac:dyDescent="0.25">
      <c r="A96" s="123"/>
    </row>
    <row r="97" spans="1:1" x14ac:dyDescent="0.25">
      <c r="A97" s="160" t="s">
        <v>587</v>
      </c>
    </row>
    <row r="98" spans="1:1" x14ac:dyDescent="0.25">
      <c r="A98" s="159" t="s">
        <v>588</v>
      </c>
    </row>
    <row r="99" spans="1:1" x14ac:dyDescent="0.25">
      <c r="A99" s="159" t="s">
        <v>589</v>
      </c>
    </row>
    <row r="100" spans="1:1" x14ac:dyDescent="0.25">
      <c r="A100" s="159" t="s">
        <v>590</v>
      </c>
    </row>
    <row r="101" spans="1:1" x14ac:dyDescent="0.25">
      <c r="A101" s="159" t="s">
        <v>591</v>
      </c>
    </row>
    <row r="102" spans="1:1" x14ac:dyDescent="0.25">
      <c r="A102" s="123"/>
    </row>
    <row r="103" spans="1:1" x14ac:dyDescent="0.25">
      <c r="A103" s="160" t="s">
        <v>592</v>
      </c>
    </row>
    <row r="104" spans="1:1" x14ac:dyDescent="0.25">
      <c r="A104" s="159" t="s">
        <v>729</v>
      </c>
    </row>
    <row r="105" spans="1:1" x14ac:dyDescent="0.25">
      <c r="A105" s="159" t="s">
        <v>68</v>
      </c>
    </row>
    <row r="106" spans="1:1" x14ac:dyDescent="0.25">
      <c r="A106" s="159" t="s">
        <v>593</v>
      </c>
    </row>
    <row r="107" spans="1:1" x14ac:dyDescent="0.25">
      <c r="A107" s="159" t="s">
        <v>594</v>
      </c>
    </row>
    <row r="108" spans="1:1" x14ac:dyDescent="0.25">
      <c r="A108" s="159" t="s">
        <v>595</v>
      </c>
    </row>
    <row r="109" spans="1:1" x14ac:dyDescent="0.25">
      <c r="A109" s="159" t="s">
        <v>596</v>
      </c>
    </row>
    <row r="110" spans="1:1" x14ac:dyDescent="0.25">
      <c r="A110" s="123"/>
    </row>
    <row r="111" spans="1:1" x14ac:dyDescent="0.25">
      <c r="A111" s="122" t="s">
        <v>597</v>
      </c>
    </row>
    <row r="112" spans="1:1" x14ac:dyDescent="0.25">
      <c r="A112" s="123" t="s">
        <v>598</v>
      </c>
    </row>
    <row r="113" spans="1:1" x14ac:dyDescent="0.25">
      <c r="A113" s="123" t="s">
        <v>731</v>
      </c>
    </row>
    <row r="114" spans="1:1" x14ac:dyDescent="0.25">
      <c r="A114" s="123" t="s">
        <v>599</v>
      </c>
    </row>
    <row r="115" spans="1:1" x14ac:dyDescent="0.25">
      <c r="A115" s="123"/>
    </row>
    <row r="116" spans="1:1" x14ac:dyDescent="0.25">
      <c r="A116" s="160" t="s">
        <v>600</v>
      </c>
    </row>
    <row r="117" spans="1:1" x14ac:dyDescent="0.25">
      <c r="A117" s="122"/>
    </row>
    <row r="118" spans="1:1" x14ac:dyDescent="0.25">
      <c r="A118" s="160" t="s">
        <v>601</v>
      </c>
    </row>
    <row r="119" spans="1:1" x14ac:dyDescent="0.25">
      <c r="A119" s="159" t="s">
        <v>602</v>
      </c>
    </row>
    <row r="120" spans="1:1" x14ac:dyDescent="0.25">
      <c r="A120" s="159" t="s">
        <v>603</v>
      </c>
    </row>
    <row r="121" spans="1:1" x14ac:dyDescent="0.25">
      <c r="A121" s="159" t="s">
        <v>604</v>
      </c>
    </row>
    <row r="122" spans="1:1" x14ac:dyDescent="0.25">
      <c r="A122" s="159" t="s">
        <v>605</v>
      </c>
    </row>
    <row r="123" spans="1:1" x14ac:dyDescent="0.25">
      <c r="A123" s="123"/>
    </row>
    <row r="124" spans="1:1" x14ac:dyDescent="0.25">
      <c r="A124" s="122" t="s">
        <v>606</v>
      </c>
    </row>
    <row r="125" spans="1:1" x14ac:dyDescent="0.25">
      <c r="A125" s="123" t="s">
        <v>607</v>
      </c>
    </row>
    <row r="126" spans="1:1" x14ac:dyDescent="0.25">
      <c r="A126" s="123" t="s">
        <v>732</v>
      </c>
    </row>
    <row r="127" spans="1:1" x14ac:dyDescent="0.25">
      <c r="A127" s="123" t="s">
        <v>608</v>
      </c>
    </row>
    <row r="128" spans="1:1" x14ac:dyDescent="0.25">
      <c r="A128" s="123" t="s">
        <v>609</v>
      </c>
    </row>
    <row r="129" spans="1:1" x14ac:dyDescent="0.25">
      <c r="A129" s="123" t="s">
        <v>610</v>
      </c>
    </row>
    <row r="130" spans="1:1" x14ac:dyDescent="0.25">
      <c r="A130" s="123"/>
    </row>
    <row r="131" spans="1:1" x14ac:dyDescent="0.25">
      <c r="A131" s="122" t="s">
        <v>611</v>
      </c>
    </row>
    <row r="132" spans="1:1" x14ac:dyDescent="0.25">
      <c r="A132" s="123" t="s">
        <v>612</v>
      </c>
    </row>
    <row r="133" spans="1:1" x14ac:dyDescent="0.25">
      <c r="A133" s="123" t="s">
        <v>613</v>
      </c>
    </row>
    <row r="134" spans="1:1" x14ac:dyDescent="0.25">
      <c r="A134" s="123" t="s">
        <v>614</v>
      </c>
    </row>
    <row r="135" spans="1:1" x14ac:dyDescent="0.25">
      <c r="A135" s="123" t="s">
        <v>615</v>
      </c>
    </row>
    <row r="136" spans="1:1" x14ac:dyDescent="0.25">
      <c r="A136" s="123"/>
    </row>
    <row r="137" spans="1:1" x14ac:dyDescent="0.25">
      <c r="A137" s="122" t="s">
        <v>616</v>
      </c>
    </row>
    <row r="138" spans="1:1" x14ac:dyDescent="0.25">
      <c r="A138" s="123" t="s">
        <v>617</v>
      </c>
    </row>
    <row r="139" spans="1:1" x14ac:dyDescent="0.25">
      <c r="A139" s="123" t="s">
        <v>618</v>
      </c>
    </row>
    <row r="140" spans="1:1" x14ac:dyDescent="0.25">
      <c r="A140" s="123" t="s">
        <v>619</v>
      </c>
    </row>
    <row r="141" spans="1:1" x14ac:dyDescent="0.25">
      <c r="A141" s="123" t="s">
        <v>615</v>
      </c>
    </row>
    <row r="142" spans="1:1" x14ac:dyDescent="0.25">
      <c r="A142" s="123"/>
    </row>
    <row r="143" spans="1:1" x14ac:dyDescent="0.25">
      <c r="A143" s="122" t="s">
        <v>620</v>
      </c>
    </row>
    <row r="144" spans="1:1" x14ac:dyDescent="0.25">
      <c r="A144" s="123" t="s">
        <v>621</v>
      </c>
    </row>
    <row r="145" spans="1:1" x14ac:dyDescent="0.25">
      <c r="A145" s="123"/>
    </row>
    <row r="146" spans="1:1" x14ac:dyDescent="0.25">
      <c r="A146" s="123" t="s">
        <v>622</v>
      </c>
    </row>
    <row r="147" spans="1:1" x14ac:dyDescent="0.25">
      <c r="A147" s="123" t="s">
        <v>623</v>
      </c>
    </row>
    <row r="148" spans="1:1" x14ac:dyDescent="0.25">
      <c r="A148" s="123" t="s">
        <v>624</v>
      </c>
    </row>
    <row r="149" spans="1:1" x14ac:dyDescent="0.25">
      <c r="A149" s="123" t="s">
        <v>625</v>
      </c>
    </row>
    <row r="150" spans="1:1" x14ac:dyDescent="0.25">
      <c r="A150" s="123" t="s">
        <v>626</v>
      </c>
    </row>
    <row r="151" spans="1:1" x14ac:dyDescent="0.25">
      <c r="A151" s="123" t="s">
        <v>620</v>
      </c>
    </row>
    <row r="152" spans="1:1" x14ac:dyDescent="0.25">
      <c r="A152" s="123"/>
    </row>
    <row r="153" spans="1:1" x14ac:dyDescent="0.25">
      <c r="A153" s="122" t="s">
        <v>627</v>
      </c>
    </row>
    <row r="154" spans="1:1" x14ac:dyDescent="0.25">
      <c r="A154" s="122"/>
    </row>
    <row r="155" spans="1:1" x14ac:dyDescent="0.25">
      <c r="A155" s="160" t="s">
        <v>516</v>
      </c>
    </row>
    <row r="156" spans="1:1" x14ac:dyDescent="0.25">
      <c r="A156" s="159" t="s">
        <v>628</v>
      </c>
    </row>
    <row r="157" spans="1:1" x14ac:dyDescent="0.25">
      <c r="A157" s="159" t="s">
        <v>629</v>
      </c>
    </row>
    <row r="158" spans="1:1" x14ac:dyDescent="0.25">
      <c r="A158" s="159" t="s">
        <v>630</v>
      </c>
    </row>
    <row r="159" spans="1:1" x14ac:dyDescent="0.25">
      <c r="A159" s="159" t="s">
        <v>631</v>
      </c>
    </row>
    <row r="160" spans="1:1" x14ac:dyDescent="0.25">
      <c r="A160" s="159" t="s">
        <v>632</v>
      </c>
    </row>
    <row r="161" spans="1:1" x14ac:dyDescent="0.25">
      <c r="A161" s="123"/>
    </row>
    <row r="162" spans="1:1" x14ac:dyDescent="0.25">
      <c r="A162" s="121" t="s">
        <v>517</v>
      </c>
    </row>
    <row r="163" spans="1:1" x14ac:dyDescent="0.25">
      <c r="A163" s="124"/>
    </row>
    <row r="164" spans="1:1" x14ac:dyDescent="0.25">
      <c r="A164" s="125" t="s">
        <v>633</v>
      </c>
    </row>
    <row r="165" spans="1:1" x14ac:dyDescent="0.25">
      <c r="A165" s="126"/>
    </row>
    <row r="166" spans="1:1" x14ac:dyDescent="0.25">
      <c r="A166" s="125" t="s">
        <v>634</v>
      </c>
    </row>
    <row r="167" spans="1:1" x14ac:dyDescent="0.25">
      <c r="A167" s="126"/>
    </row>
    <row r="168" spans="1:1" x14ac:dyDescent="0.25">
      <c r="A168" s="121" t="s">
        <v>519</v>
      </c>
    </row>
    <row r="169" spans="1:1" x14ac:dyDescent="0.25">
      <c r="A169" s="124"/>
    </row>
    <row r="170" spans="1:1" x14ac:dyDescent="0.25">
      <c r="A170" s="160" t="s">
        <v>635</v>
      </c>
    </row>
    <row r="171" spans="1:1" x14ac:dyDescent="0.25">
      <c r="A171" s="126"/>
    </row>
    <row r="172" spans="1:1" x14ac:dyDescent="0.25">
      <c r="A172" s="160" t="s">
        <v>636</v>
      </c>
    </row>
    <row r="173" spans="1:1" x14ac:dyDescent="0.25">
      <c r="A173" s="126"/>
    </row>
    <row r="174" spans="1:1" x14ac:dyDescent="0.25">
      <c r="A174" s="122" t="s">
        <v>637</v>
      </c>
    </row>
    <row r="175" spans="1:1" x14ac:dyDescent="0.25">
      <c r="A175" s="123" t="s">
        <v>638</v>
      </c>
    </row>
    <row r="176" spans="1:1" x14ac:dyDescent="0.25">
      <c r="A176" s="123" t="s">
        <v>639</v>
      </c>
    </row>
    <row r="177" spans="1:1" x14ac:dyDescent="0.25">
      <c r="A177" s="123" t="s">
        <v>640</v>
      </c>
    </row>
    <row r="178" spans="1:1" x14ac:dyDescent="0.25">
      <c r="A178" s="123" t="s">
        <v>641</v>
      </c>
    </row>
    <row r="179" spans="1:1" x14ac:dyDescent="0.25">
      <c r="A179" s="123"/>
    </row>
    <row r="180" spans="1:1" x14ac:dyDescent="0.25">
      <c r="A180" s="122" t="s">
        <v>642</v>
      </c>
    </row>
    <row r="181" spans="1:1" x14ac:dyDescent="0.25">
      <c r="A181" s="126"/>
    </row>
    <row r="182" spans="1:1" x14ac:dyDescent="0.25">
      <c r="A182" s="122" t="s">
        <v>643</v>
      </c>
    </row>
    <row r="183" spans="1:1" x14ac:dyDescent="0.25">
      <c r="A183" s="123" t="s">
        <v>644</v>
      </c>
    </row>
    <row r="184" spans="1:1" x14ac:dyDescent="0.25">
      <c r="A184" s="123" t="s">
        <v>645</v>
      </c>
    </row>
    <row r="185" spans="1:1" x14ac:dyDescent="0.25">
      <c r="A185" s="123" t="s">
        <v>646</v>
      </c>
    </row>
    <row r="186" spans="1:1" x14ac:dyDescent="0.25">
      <c r="A186" s="123" t="s">
        <v>647</v>
      </c>
    </row>
    <row r="187" spans="1:1" x14ac:dyDescent="0.25">
      <c r="A187" s="123"/>
    </row>
    <row r="188" spans="1:1" x14ac:dyDescent="0.25">
      <c r="A188" s="122" t="s">
        <v>648</v>
      </c>
    </row>
    <row r="189" spans="1:1" x14ac:dyDescent="0.25">
      <c r="A189" s="123" t="s">
        <v>649</v>
      </c>
    </row>
    <row r="190" spans="1:1" x14ac:dyDescent="0.25">
      <c r="A190" s="123" t="s">
        <v>650</v>
      </c>
    </row>
    <row r="191" spans="1:1" x14ac:dyDescent="0.25">
      <c r="A191" s="123"/>
    </row>
    <row r="192" spans="1:1" x14ac:dyDescent="0.25">
      <c r="A192" s="122" t="s">
        <v>651</v>
      </c>
    </row>
    <row r="193" spans="1:1" x14ac:dyDescent="0.25">
      <c r="A193" s="126"/>
    </row>
    <row r="194" spans="1:1" x14ac:dyDescent="0.25">
      <c r="A194" s="121" t="s">
        <v>515</v>
      </c>
    </row>
    <row r="195" spans="1:1" x14ac:dyDescent="0.25">
      <c r="A195" s="124"/>
    </row>
    <row r="196" spans="1:1" x14ac:dyDescent="0.25">
      <c r="A196" s="121" t="s">
        <v>569</v>
      </c>
    </row>
    <row r="197" spans="1:1" x14ac:dyDescent="0.25">
      <c r="A197" s="122" t="s">
        <v>652</v>
      </c>
    </row>
    <row r="198" spans="1:1" x14ac:dyDescent="0.25">
      <c r="A198" s="122"/>
    </row>
    <row r="199" spans="1:1" x14ac:dyDescent="0.25">
      <c r="A199" s="160" t="s">
        <v>653</v>
      </c>
    </row>
    <row r="200" spans="1:1" x14ac:dyDescent="0.25">
      <c r="A200" s="159" t="s">
        <v>654</v>
      </c>
    </row>
    <row r="201" spans="1:1" x14ac:dyDescent="0.25">
      <c r="A201" s="159" t="s">
        <v>655</v>
      </c>
    </row>
    <row r="202" spans="1:1" x14ac:dyDescent="0.25">
      <c r="A202" s="159" t="s">
        <v>656</v>
      </c>
    </row>
    <row r="203" spans="1:1" x14ac:dyDescent="0.25">
      <c r="A203" s="159" t="s">
        <v>657</v>
      </c>
    </row>
    <row r="204" spans="1:1" x14ac:dyDescent="0.25">
      <c r="A204" s="159" t="s">
        <v>658</v>
      </c>
    </row>
    <row r="205" spans="1:1" x14ac:dyDescent="0.25">
      <c r="A205" s="159" t="s">
        <v>659</v>
      </c>
    </row>
    <row r="206" spans="1:1" x14ac:dyDescent="0.25">
      <c r="A206" s="159" t="s">
        <v>660</v>
      </c>
    </row>
    <row r="207" spans="1:1" x14ac:dyDescent="0.25">
      <c r="A207" s="159" t="s">
        <v>661</v>
      </c>
    </row>
    <row r="208" spans="1:1" x14ac:dyDescent="0.25">
      <c r="A208" s="159" t="s">
        <v>662</v>
      </c>
    </row>
    <row r="209" spans="1:1" x14ac:dyDescent="0.25">
      <c r="A209" s="159" t="s">
        <v>663</v>
      </c>
    </row>
    <row r="210" spans="1:1" x14ac:dyDescent="0.25">
      <c r="A210" s="159" t="s">
        <v>664</v>
      </c>
    </row>
    <row r="211" spans="1:1" x14ac:dyDescent="0.25">
      <c r="A211" s="159" t="s">
        <v>665</v>
      </c>
    </row>
    <row r="212" spans="1:1" x14ac:dyDescent="0.25">
      <c r="A212" s="159" t="s">
        <v>666</v>
      </c>
    </row>
    <row r="213" spans="1:1" x14ac:dyDescent="0.25">
      <c r="A213" s="159" t="s">
        <v>667</v>
      </c>
    </row>
    <row r="214" spans="1:1" x14ac:dyDescent="0.25">
      <c r="A214" s="159" t="s">
        <v>668</v>
      </c>
    </row>
    <row r="215" spans="1:1" x14ac:dyDescent="0.25">
      <c r="A215" s="159" t="s">
        <v>669</v>
      </c>
    </row>
    <row r="216" spans="1:1" x14ac:dyDescent="0.25">
      <c r="A216" s="159" t="s">
        <v>670</v>
      </c>
    </row>
    <row r="217" spans="1:1" x14ac:dyDescent="0.25">
      <c r="A217" s="159" t="s">
        <v>671</v>
      </c>
    </row>
    <row r="218" spans="1:1" x14ac:dyDescent="0.25">
      <c r="A218" s="159" t="s">
        <v>672</v>
      </c>
    </row>
    <row r="219" spans="1:1" x14ac:dyDescent="0.25">
      <c r="A219" s="123"/>
    </row>
    <row r="220" spans="1:1" x14ac:dyDescent="0.25">
      <c r="A220" s="122" t="s">
        <v>673</v>
      </c>
    </row>
    <row r="221" spans="1:1" x14ac:dyDescent="0.25">
      <c r="A221" s="123" t="s">
        <v>674</v>
      </c>
    </row>
    <row r="222" spans="1:1" x14ac:dyDescent="0.25">
      <c r="A222" s="123" t="s">
        <v>675</v>
      </c>
    </row>
    <row r="223" spans="1:1" x14ac:dyDescent="0.25">
      <c r="A223" s="123" t="s">
        <v>676</v>
      </c>
    </row>
    <row r="224" spans="1:1" x14ac:dyDescent="0.25">
      <c r="A224" s="123" t="s">
        <v>677</v>
      </c>
    </row>
    <row r="225" spans="1:1" x14ac:dyDescent="0.25">
      <c r="A225" s="123" t="s">
        <v>678</v>
      </c>
    </row>
    <row r="226" spans="1:1" x14ac:dyDescent="0.25">
      <c r="A226" s="123"/>
    </row>
    <row r="227" spans="1:1" x14ac:dyDescent="0.25">
      <c r="A227" s="122" t="s">
        <v>679</v>
      </c>
    </row>
    <row r="228" spans="1:1" x14ac:dyDescent="0.25">
      <c r="A228" s="123" t="s">
        <v>680</v>
      </c>
    </row>
    <row r="229" spans="1:1" x14ac:dyDescent="0.25">
      <c r="A229" s="123" t="s">
        <v>681</v>
      </c>
    </row>
    <row r="230" spans="1:1" x14ac:dyDescent="0.25">
      <c r="A230" s="123" t="s">
        <v>682</v>
      </c>
    </row>
    <row r="231" spans="1:1" x14ac:dyDescent="0.25">
      <c r="A231" s="123" t="s">
        <v>585</v>
      </c>
    </row>
    <row r="232" spans="1:1" x14ac:dyDescent="0.25">
      <c r="A232" s="123" t="s">
        <v>683</v>
      </c>
    </row>
    <row r="233" spans="1:1" x14ac:dyDescent="0.25">
      <c r="A233" s="123"/>
    </row>
    <row r="234" spans="1:1" x14ac:dyDescent="0.25">
      <c r="A234" s="160" t="s">
        <v>684</v>
      </c>
    </row>
    <row r="235" spans="1:1" x14ac:dyDescent="0.25">
      <c r="A235" s="159" t="s">
        <v>685</v>
      </c>
    </row>
    <row r="236" spans="1:1" x14ac:dyDescent="0.25">
      <c r="A236" s="159" t="s">
        <v>686</v>
      </c>
    </row>
    <row r="237" spans="1:1" x14ac:dyDescent="0.25">
      <c r="A237" s="123"/>
    </row>
    <row r="238" spans="1:1" x14ac:dyDescent="0.25">
      <c r="A238" s="122" t="s">
        <v>733</v>
      </c>
    </row>
    <row r="239" spans="1:1" x14ac:dyDescent="0.25">
      <c r="A239" s="123" t="s">
        <v>687</v>
      </c>
    </row>
    <row r="240" spans="1:1" x14ac:dyDescent="0.25">
      <c r="A240" s="123" t="s">
        <v>688</v>
      </c>
    </row>
    <row r="241" spans="1:1" x14ac:dyDescent="0.25">
      <c r="A241" s="123"/>
    </row>
    <row r="242" spans="1:1" x14ac:dyDescent="0.25">
      <c r="A242" s="121" t="s">
        <v>517</v>
      </c>
    </row>
    <row r="243" spans="1:1" x14ac:dyDescent="0.25">
      <c r="A243" s="124"/>
    </row>
    <row r="244" spans="1:1" x14ac:dyDescent="0.25">
      <c r="A244" s="125" t="s">
        <v>633</v>
      </c>
    </row>
    <row r="245" spans="1:1" x14ac:dyDescent="0.25">
      <c r="A245" s="126"/>
    </row>
    <row r="246" spans="1:1" x14ac:dyDescent="0.25">
      <c r="A246" s="125" t="s">
        <v>689</v>
      </c>
    </row>
    <row r="247" spans="1:1" x14ac:dyDescent="0.25">
      <c r="A247" s="124"/>
    </row>
    <row r="248" spans="1:1" x14ac:dyDescent="0.25">
      <c r="A248" s="121" t="s">
        <v>690</v>
      </c>
    </row>
    <row r="249" spans="1:1" x14ac:dyDescent="0.25">
      <c r="A249" s="121"/>
    </row>
    <row r="250" spans="1:1" x14ac:dyDescent="0.25">
      <c r="A250" s="122" t="s">
        <v>691</v>
      </c>
    </row>
    <row r="251" spans="1:1" x14ac:dyDescent="0.25">
      <c r="A251" s="123" t="s">
        <v>692</v>
      </c>
    </row>
    <row r="252" spans="1:1" x14ac:dyDescent="0.25">
      <c r="A252" s="123" t="s">
        <v>693</v>
      </c>
    </row>
    <row r="253" spans="1:1" x14ac:dyDescent="0.25">
      <c r="A253" s="123"/>
    </row>
    <row r="254" spans="1:1" x14ac:dyDescent="0.25">
      <c r="A254" s="122" t="s">
        <v>694</v>
      </c>
    </row>
    <row r="255" spans="1:1" x14ac:dyDescent="0.25">
      <c r="A255" s="123" t="s">
        <v>695</v>
      </c>
    </row>
    <row r="256" spans="1:1" x14ac:dyDescent="0.25">
      <c r="A256" s="123" t="s">
        <v>696</v>
      </c>
    </row>
    <row r="257" spans="1:1" x14ac:dyDescent="0.25">
      <c r="A257" s="123" t="s">
        <v>697</v>
      </c>
    </row>
    <row r="258" spans="1:1" x14ac:dyDescent="0.25">
      <c r="A258" s="123"/>
    </row>
    <row r="259" spans="1:1" x14ac:dyDescent="0.25">
      <c r="A259" s="121" t="s">
        <v>698</v>
      </c>
    </row>
    <row r="260" spans="1:1" x14ac:dyDescent="0.25">
      <c r="A260" s="124"/>
    </row>
    <row r="261" spans="1:1" x14ac:dyDescent="0.25">
      <c r="A261" s="121" t="s">
        <v>699</v>
      </c>
    </row>
    <row r="262" spans="1:1" x14ac:dyDescent="0.25">
      <c r="A262" s="124"/>
    </row>
    <row r="263" spans="1:1" x14ac:dyDescent="0.25">
      <c r="A263" s="122" t="s">
        <v>700</v>
      </c>
    </row>
    <row r="264" spans="1:1" x14ac:dyDescent="0.25">
      <c r="A264" s="123" t="s">
        <v>701</v>
      </c>
    </row>
    <row r="265" spans="1:1" x14ac:dyDescent="0.25">
      <c r="A265" s="123" t="s">
        <v>702</v>
      </c>
    </row>
    <row r="266" spans="1:1" x14ac:dyDescent="0.25">
      <c r="A266" s="123" t="s">
        <v>703</v>
      </c>
    </row>
    <row r="267" spans="1:1" x14ac:dyDescent="0.25">
      <c r="A267" s="123" t="s">
        <v>704</v>
      </c>
    </row>
    <row r="268" spans="1:1" x14ac:dyDescent="0.25">
      <c r="A268" s="123" t="s">
        <v>705</v>
      </c>
    </row>
    <row r="269" spans="1:1" x14ac:dyDescent="0.25">
      <c r="A269" s="123"/>
    </row>
    <row r="270" spans="1:1" x14ac:dyDescent="0.25">
      <c r="A270" s="122" t="s">
        <v>706</v>
      </c>
    </row>
    <row r="271" spans="1:1" x14ac:dyDescent="0.25">
      <c r="A271" s="123" t="s">
        <v>707</v>
      </c>
    </row>
    <row r="272" spans="1:1" x14ac:dyDescent="0.25">
      <c r="A272" s="123" t="s">
        <v>708</v>
      </c>
    </row>
    <row r="273" spans="1:1" x14ac:dyDescent="0.25">
      <c r="A273" s="123"/>
    </row>
    <row r="274" spans="1:1" x14ac:dyDescent="0.25">
      <c r="A274" s="122" t="s">
        <v>709</v>
      </c>
    </row>
    <row r="275" spans="1:1" x14ac:dyDescent="0.25">
      <c r="A275" s="122"/>
    </row>
    <row r="276" spans="1:1" x14ac:dyDescent="0.25">
      <c r="A276" s="121" t="s">
        <v>517</v>
      </c>
    </row>
    <row r="277" spans="1:1" x14ac:dyDescent="0.25">
      <c r="A277" s="124"/>
    </row>
    <row r="278" spans="1:1" x14ac:dyDescent="0.25">
      <c r="A278" s="119" t="s">
        <v>710</v>
      </c>
    </row>
    <row r="279" spans="1:1" x14ac:dyDescent="0.25">
      <c r="A279" s="124"/>
    </row>
    <row r="280" spans="1:1" x14ac:dyDescent="0.25">
      <c r="A280" s="119" t="s">
        <v>711</v>
      </c>
    </row>
    <row r="281" spans="1:1" x14ac:dyDescent="0.25">
      <c r="A281" s="124"/>
    </row>
    <row r="282" spans="1:1" x14ac:dyDescent="0.25">
      <c r="A282" s="119" t="s">
        <v>712</v>
      </c>
    </row>
    <row r="283" spans="1:1" x14ac:dyDescent="0.25">
      <c r="A283" s="124"/>
    </row>
    <row r="284" spans="1:1" x14ac:dyDescent="0.25">
      <c r="A284" s="119" t="s">
        <v>713</v>
      </c>
    </row>
    <row r="285" spans="1:1" x14ac:dyDescent="0.25">
      <c r="A285" s="124"/>
    </row>
    <row r="286" spans="1:1" x14ac:dyDescent="0.25">
      <c r="A286" s="119" t="s">
        <v>714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70C0"/>
  </sheetPr>
  <dimension ref="A1:H108"/>
  <sheetViews>
    <sheetView topLeftCell="A52" zoomScaleNormal="100" workbookViewId="0">
      <selection activeCell="K106" sqref="K106"/>
    </sheetView>
  </sheetViews>
  <sheetFormatPr defaultRowHeight="15.75" x14ac:dyDescent="0.25"/>
  <cols>
    <col min="1" max="1" width="13.375" style="6" bestFit="1" customWidth="1"/>
    <col min="2" max="2" width="15.125" customWidth="1"/>
    <col min="3" max="3" width="7.625" style="7" customWidth="1"/>
    <col min="4" max="4" width="16.625" style="7" bestFit="1" customWidth="1"/>
    <col min="5" max="5" width="15.125" customWidth="1"/>
    <col min="6" max="7" width="15.625" customWidth="1"/>
    <col min="8" max="8" width="14.625" customWidth="1"/>
  </cols>
  <sheetData>
    <row r="1" spans="1:8" ht="32.25" x14ac:dyDescent="0.5">
      <c r="A1" s="5" t="s">
        <v>508</v>
      </c>
      <c r="B1" s="104" t="str">
        <f>Account!$G$1</f>
        <v>FUND 501 CARP</v>
      </c>
    </row>
    <row r="2" spans="1:8" ht="32.25" x14ac:dyDescent="0.5">
      <c r="A2" s="5" t="s">
        <v>370</v>
      </c>
      <c r="B2" s="804" t="s">
        <v>1566</v>
      </c>
      <c r="C2" s="1153" t="str">
        <f>VLOOKUP(B2,Code,3,)</f>
        <v>1010202000FO</v>
      </c>
      <c r="D2" s="1153"/>
      <c r="E2" s="1153"/>
      <c r="F2" s="1153"/>
    </row>
    <row r="3" spans="1:8" ht="23.25" x14ac:dyDescent="0.35">
      <c r="A3" s="5" t="s">
        <v>371</v>
      </c>
      <c r="B3" s="8" t="str">
        <f>VLOOKUP(B2,Code,2,)</f>
        <v>Cash in Bank-Local Currency, Current Account - FO</v>
      </c>
      <c r="C3"/>
      <c r="D3"/>
    </row>
    <row r="4" spans="1:8" ht="15.75" customHeight="1" x14ac:dyDescent="0.25">
      <c r="A4" s="1152" t="s">
        <v>0</v>
      </c>
      <c r="B4" s="1152" t="s">
        <v>739</v>
      </c>
      <c r="C4" s="1151" t="s">
        <v>718</v>
      </c>
      <c r="D4" s="1151" t="s">
        <v>440</v>
      </c>
      <c r="E4" s="1151" t="s">
        <v>1</v>
      </c>
      <c r="F4" s="1151" t="s">
        <v>2</v>
      </c>
      <c r="G4" s="1146" t="s">
        <v>839</v>
      </c>
      <c r="H4" s="553" t="str">
        <f t="array" ref="H4">IF(C2=0,0,INDEX(AccountCodes[Normal Balance],MATCH(C2,AccountCodes[PPSAS CODE])))</f>
        <v>Debit</v>
      </c>
    </row>
    <row r="5" spans="1:8" x14ac:dyDescent="0.25">
      <c r="A5" s="1152"/>
      <c r="B5" s="1152"/>
      <c r="C5" s="1151"/>
      <c r="D5" s="1151"/>
      <c r="E5" s="1151"/>
      <c r="F5" s="1151"/>
      <c r="G5" s="1146"/>
      <c r="H5" s="187" t="s">
        <v>379</v>
      </c>
    </row>
    <row r="6" spans="1:8" x14ac:dyDescent="0.25">
      <c r="A6" s="289">
        <f>PostTB!A2</f>
        <v>44561</v>
      </c>
      <c r="B6" s="189" t="str">
        <f>IF(C6=0,0,VLOOKUP(C6,Account!$F$26:$G$51,2))</f>
        <v>Regional Office</v>
      </c>
      <c r="C6" s="61" t="s">
        <v>494</v>
      </c>
      <c r="D6" s="22" t="s">
        <v>373</v>
      </c>
      <c r="E6" s="290">
        <f t="array" ref="E6">(SUM(IF((PostTB[Account Code (Old)]=TRIM($B$2))*(PostTB[Sort Code]=C6),PostTB[Debit])))</f>
        <v>0</v>
      </c>
      <c r="F6" s="290">
        <f t="array" ref="F6">(SUM(IF((PostTB[Account Code (Old)]=TRIM($B$2))*(PostTB[Sort Code]=C6),PostTB[Credit])))</f>
        <v>0</v>
      </c>
      <c r="G6" s="294">
        <f>IF($H$4=$E$4,E6-F6,F6-E6)</f>
        <v>0</v>
      </c>
      <c r="H6" s="290">
        <f>IF($H$4=$E$4,E6-F6,F6-E6)</f>
        <v>0</v>
      </c>
    </row>
    <row r="7" spans="1:8" x14ac:dyDescent="0.25">
      <c r="A7" s="289">
        <f>PostTB!A2</f>
        <v>44561</v>
      </c>
      <c r="B7" s="189" t="str">
        <f>IF(C7=0,0,VLOOKUP(C7,Account!$F$26:$G$51,2))</f>
        <v>Ilocos Norte IMO</v>
      </c>
      <c r="C7" s="61" t="s">
        <v>484</v>
      </c>
      <c r="D7" s="22"/>
      <c r="E7" s="290">
        <f t="array" ref="E7">(SUM(IF((PostTB[Account Code (Old)]=TRIM($B$2))*(PostTB[Sort Code]=C7),PostTB[Debit])))</f>
        <v>3925235.81</v>
      </c>
      <c r="F7" s="290">
        <f t="array" ref="F7">(SUM(IF((PostTB[Account Code (Old)]=TRIM($B$2))*(PostTB[Sort Code]=C7),PostTB[Credit])))</f>
        <v>0</v>
      </c>
      <c r="G7" s="294">
        <f>IF($H$4=$E$4,E7-F7,F7-E7)</f>
        <v>3925235.81</v>
      </c>
      <c r="H7" s="290">
        <f>IF($H$4=$E$4,E7-F7,F7-E7)</f>
        <v>3925235.81</v>
      </c>
    </row>
    <row r="8" spans="1:8" x14ac:dyDescent="0.25">
      <c r="A8" s="289">
        <f>PostTB!A2</f>
        <v>44561</v>
      </c>
      <c r="B8" s="189" t="str">
        <f>IF(C8=0,0,VLOOKUP(C8,Account!$F$26:$G$51,2))</f>
        <v>Ilocos Sur IMO</v>
      </c>
      <c r="C8" s="61" t="s">
        <v>485</v>
      </c>
      <c r="D8" s="22"/>
      <c r="E8" s="290">
        <f t="array" ref="E8">(SUM(IF((PostTB[Account Code (Old)]=TRIM($B$2))*(PostTB[Sort Code]=C8),PostTB[Debit])))</f>
        <v>2107459.96</v>
      </c>
      <c r="F8" s="290">
        <f t="array" ref="F8">(SUM(IF((PostTB[Account Code (Old)]=TRIM($B$2))*(PostTB[Sort Code]=C8),PostTB[Credit])))</f>
        <v>0</v>
      </c>
      <c r="G8" s="294">
        <f>IF($H$4=$E$4,E8-F8,F8-E8)</f>
        <v>2107459.96</v>
      </c>
      <c r="H8" s="290">
        <f>IF($H$4=$E$4,E8-F8,F8-E8)</f>
        <v>2107459.96</v>
      </c>
    </row>
    <row r="9" spans="1:8" x14ac:dyDescent="0.25">
      <c r="A9" s="289">
        <f>PostTB!A2</f>
        <v>44561</v>
      </c>
      <c r="B9" s="189" t="str">
        <f>IF(C9=0,0,VLOOKUP(C9,Account!$F$26:$G$51,2))</f>
        <v>La Union</v>
      </c>
      <c r="C9" s="61" t="s">
        <v>486</v>
      </c>
      <c r="D9" s="22"/>
      <c r="E9" s="290">
        <f t="array" ref="E9">(SUM(IF((PostTB[Account Code (Old)]=TRIM($B$2))*(PostTB[Sort Code]=C9),PostTB[Debit])))</f>
        <v>3460296.28</v>
      </c>
      <c r="F9" s="290">
        <f t="array" ref="F9">(SUM(IF((PostTB[Account Code (Old)]=TRIM($B$2))*(PostTB[Sort Code]=C9),PostTB[Credit])))</f>
        <v>0</v>
      </c>
      <c r="G9" s="294">
        <f>IF($H$4=$E$4,E9-F9,F9-E9)</f>
        <v>3460296.28</v>
      </c>
      <c r="H9" s="290">
        <f>IF($H$4=$E$4,E9-F9,F9-E9)</f>
        <v>3460296.28</v>
      </c>
    </row>
    <row r="10" spans="1:8" x14ac:dyDescent="0.25">
      <c r="A10" s="289">
        <f>PostTB!A2</f>
        <v>44561</v>
      </c>
      <c r="B10" s="189" t="str">
        <f>IF(C10=0,0,VLOOKUP(C10,Account!$F$26:$G$51,2))</f>
        <v>Pangasinan IMO</v>
      </c>
      <c r="C10" s="61" t="s">
        <v>762</v>
      </c>
      <c r="D10" s="22"/>
      <c r="E10" s="290">
        <f t="array" ref="E10">(SUM(IF((PostTB[Account Code (Old)]=TRIM($B$2))*(PostTB[Sort Code]=C10),PostTB[Debit])))</f>
        <v>4878727.6900000004</v>
      </c>
      <c r="F10" s="290">
        <f t="array" ref="F10">(SUM(IF((PostTB[Account Code (Old)]=TRIM($B$2))*(PostTB[Sort Code]=C10),PostTB[Credit])))</f>
        <v>0</v>
      </c>
      <c r="G10" s="294">
        <f>IF($H$4=$E$4,E10-F10,F10-E10)</f>
        <v>4878727.6900000004</v>
      </c>
      <c r="H10" s="290">
        <f>IF($H$4=$E$4,E10-F10,F10-E10)</f>
        <v>4878727.6900000004</v>
      </c>
    </row>
    <row r="11" spans="1:8" x14ac:dyDescent="0.25">
      <c r="A11" s="1147">
        <f>A10</f>
        <v>44561</v>
      </c>
      <c r="B11" s="1148"/>
      <c r="C11" s="1148"/>
      <c r="D11" s="1149"/>
      <c r="E11" s="20">
        <f>SUM(E6:E10)</f>
        <v>14371719.74</v>
      </c>
      <c r="F11" s="20">
        <f>SUM(F6:F10)</f>
        <v>0</v>
      </c>
      <c r="G11" s="295">
        <f>SUM(G6:G10)</f>
        <v>14371719.74</v>
      </c>
      <c r="H11" s="20">
        <f>SUM(H6:H10)</f>
        <v>14371719.74</v>
      </c>
    </row>
    <row r="12" spans="1:8" x14ac:dyDescent="0.25">
      <c r="A12" s="11"/>
      <c r="B12" s="188"/>
      <c r="C12" s="190"/>
      <c r="D12" s="12"/>
      <c r="E12" s="13"/>
      <c r="F12" s="13"/>
      <c r="G12" s="296"/>
      <c r="H12" s="12"/>
    </row>
    <row r="13" spans="1:8" x14ac:dyDescent="0.25">
      <c r="A13" s="11"/>
      <c r="B13" s="188"/>
      <c r="C13" s="190"/>
      <c r="D13" s="12"/>
      <c r="E13" s="13"/>
      <c r="F13" s="13"/>
      <c r="G13" s="296"/>
      <c r="H13" s="12"/>
    </row>
    <row r="14" spans="1:8" x14ac:dyDescent="0.25">
      <c r="A14" s="11">
        <f>Account!$G$12</f>
        <v>44592</v>
      </c>
      <c r="B14" s="189" t="str">
        <f>IF(C14=0,0,VLOOKUP(C14,Account!$F$26:$G$51,2))</f>
        <v>Regional Office</v>
      </c>
      <c r="C14" s="61" t="s">
        <v>494</v>
      </c>
      <c r="D14" s="14"/>
      <c r="E14" s="17">
        <f t="array" ref="E14">(SUM(IF((CkDJ[Date]=A14)*(CkDJ[Account Code]=TRIM($B$2))*(CkDJ[Sort Code]=C14),CkDJ[Debit])))+(SUM(IF((CsDJ[Date]=A14)*(CsDJ[Account Code]=TRIM($B$2))*(CsDJ[Sort Code]=C14),CsDJ[Debit])))+(SUM(IF((CRDJ[Date]=A14)*(CRDJ[Account Code]=TRIM($B$2))*(CRDJ[Sort Code]=C14),CRDJ[Debit])))+(SUM(IF((GJ[Date]=A14)*(GJ[Account Code]=TRIM($B$2))*(GJ[Sort Code]=C14),GJ[Debit])))</f>
        <v>0</v>
      </c>
      <c r="F14" s="17">
        <f t="array" ref="F14">(SUM(IF((CkDJ[Date]=A14)*(CkDJ[Account Code]=TRIM($B$2))*(CkDJ[Sort Code]=C14),CkDJ[Credit])))+(SUM(IF((CsDJ[Date]=A14)*(CsDJ[Account Code]=TRIM($B$2))*(CsDJ[Sort Code]=C14),CsDJ[Credit])))+(SUM(IF((CRDJ[Date]=A14)*(CRDJ[Account Code]=TRIM($B$2))*(CRDJ[Sort Code]=C14),CRDJ[Credit])))+(SUM(IF((GJ[Date]=A14)*(GJ[Account Code]=TRIM($B$2))*(GJ[Sort Code]=C14),GJ[Credit])))</f>
        <v>0</v>
      </c>
      <c r="G14" s="294">
        <f>IF($H$4=$E$4,E14-F14,F14-E14)</f>
        <v>0</v>
      </c>
      <c r="H14" s="291">
        <f>IF($H$4=$E$4,H6+E14-F14,H6+F14-E14)</f>
        <v>0</v>
      </c>
    </row>
    <row r="15" spans="1:8" x14ac:dyDescent="0.25">
      <c r="A15" s="11">
        <f>Account!$G$12</f>
        <v>44592</v>
      </c>
      <c r="B15" s="189" t="str">
        <f>IF(C15=0,0,VLOOKUP(C15,Account!$F$26:$G$51,2))</f>
        <v>Ilocos Norte IMO</v>
      </c>
      <c r="C15" s="61" t="s">
        <v>484</v>
      </c>
      <c r="D15" s="14"/>
      <c r="E15" s="17">
        <f t="array" ref="E15">(SUM(IF((CkDJ[Date]=A15)*(CkDJ[Account Code]=TRIM($B$2))*(CkDJ[Sort Code]=C15),CkDJ[Debit])))+(SUM(IF((CsDJ[Date]=A15)*(CsDJ[Account Code]=TRIM($B$2))*(CsDJ[Sort Code]=C15),CsDJ[Debit])))+(SUM(IF((CRDJ[Date]=A15)*(CRDJ[Account Code]=TRIM($B$2))*(CRDJ[Sort Code]=C15),CRDJ[Debit])))+(SUM(IF((GJ[Date]=A15)*(GJ[Account Code]=TRIM($B$2))*(GJ[Sort Code]=C15),GJ[Debit])))</f>
        <v>0</v>
      </c>
      <c r="F15" s="17">
        <f t="array" ref="F15">(SUM(IF((CkDJ[Date]=A15)*(CkDJ[Account Code]=TRIM($B$2))*(CkDJ[Sort Code]=C15),CkDJ[Credit])))+(SUM(IF((CsDJ[Date]=A15)*(CsDJ[Account Code]=TRIM($B$2))*(CsDJ[Sort Code]=C15),CsDJ[Credit])))+(SUM(IF((CRDJ[Date]=A15)*(CRDJ[Account Code]=TRIM($B$2))*(CRDJ[Sort Code]=C15),CRDJ[Credit])))+(SUM(IF((GJ[Date]=A15)*(GJ[Account Code]=TRIM($B$2))*(GJ[Sort Code]=C15),GJ[Credit])))</f>
        <v>0</v>
      </c>
      <c r="G15" s="294">
        <f>IF($H$4=$E$4,E15-F15,F15-E15)</f>
        <v>0</v>
      </c>
      <c r="H15" s="291">
        <f>IF($H$4=$E$4,H7+E15-F15,H7+F15-E15)</f>
        <v>3925235.81</v>
      </c>
    </row>
    <row r="16" spans="1:8" x14ac:dyDescent="0.25">
      <c r="A16" s="11">
        <f>Account!$G$12</f>
        <v>44592</v>
      </c>
      <c r="B16" s="189" t="str">
        <f>IF(C16=0,0,VLOOKUP(C16,Account!$F$26:$G$51,2))</f>
        <v>Ilocos Sur IMO</v>
      </c>
      <c r="C16" s="61" t="s">
        <v>485</v>
      </c>
      <c r="D16" s="14"/>
      <c r="E16" s="17">
        <f t="array" ref="E16">(SUM(IF((CkDJ[Date]=A16)*(CkDJ[Account Code]=TRIM($B$2))*(CkDJ[Sort Code]=C16),CkDJ[Debit])))+(SUM(IF((CsDJ[Date]=A16)*(CsDJ[Account Code]=TRIM($B$2))*(CsDJ[Sort Code]=C16),CsDJ[Debit])))+(SUM(IF((CRDJ[Date]=A16)*(CRDJ[Account Code]=TRIM($B$2))*(CRDJ[Sort Code]=C16),CRDJ[Debit])))+(SUM(IF((GJ[Date]=A16)*(GJ[Account Code]=TRIM($B$2))*(GJ[Sort Code]=C16),GJ[Debit])))</f>
        <v>0</v>
      </c>
      <c r="F16" s="17">
        <f t="array" ref="F16">(SUM(IF((CkDJ[Date]=A16)*(CkDJ[Account Code]=TRIM($B$2))*(CkDJ[Sort Code]=C16),CkDJ[Credit])))+(SUM(IF((CsDJ[Date]=A16)*(CsDJ[Account Code]=TRIM($B$2))*(CsDJ[Sort Code]=C16),CsDJ[Credit])))+(SUM(IF((CRDJ[Date]=A16)*(CRDJ[Account Code]=TRIM($B$2))*(CRDJ[Sort Code]=C16),CRDJ[Credit])))+(SUM(IF((GJ[Date]=A16)*(GJ[Account Code]=TRIM($B$2))*(GJ[Sort Code]=C16),GJ[Credit])))</f>
        <v>0</v>
      </c>
      <c r="G16" s="294">
        <f>IF($H$4=$E$4,E16-F16,F16-E16)</f>
        <v>0</v>
      </c>
      <c r="H16" s="291">
        <f>IF($H$4=$E$4,H8+E16-F16,H8+F16-E16)</f>
        <v>2107459.96</v>
      </c>
    </row>
    <row r="17" spans="1:8" x14ac:dyDescent="0.25">
      <c r="A17" s="11">
        <f>Account!$G$12</f>
        <v>44592</v>
      </c>
      <c r="B17" s="189" t="str">
        <f>IF(C17=0,0,VLOOKUP(C17,Account!$F$26:$G$51,2))</f>
        <v>La Union</v>
      </c>
      <c r="C17" s="61" t="s">
        <v>486</v>
      </c>
      <c r="D17" s="14"/>
      <c r="E17" s="17">
        <f t="array" ref="E17">(SUM(IF((CkDJ[Date]=A17)*(CkDJ[Account Code]=TRIM($B$2))*(CkDJ[Sort Code]=C17),CkDJ[Debit])))+(SUM(IF((CsDJ[Date]=A17)*(CsDJ[Account Code]=TRIM($B$2))*(CsDJ[Sort Code]=C17),CsDJ[Debit])))+(SUM(IF((CRDJ[Date]=A17)*(CRDJ[Account Code]=TRIM($B$2))*(CRDJ[Sort Code]=C17),CRDJ[Debit])))+(SUM(IF((GJ[Date]=A17)*(GJ[Account Code]=TRIM($B$2))*(GJ[Sort Code]=C17),GJ[Debit])))</f>
        <v>0</v>
      </c>
      <c r="F17" s="17">
        <f t="array" ref="F17">(SUM(IF((CkDJ[Date]=A17)*(CkDJ[Account Code]=TRIM($B$2))*(CkDJ[Sort Code]=C17),CkDJ[Credit])))+(SUM(IF((CsDJ[Date]=A17)*(CsDJ[Account Code]=TRIM($B$2))*(CsDJ[Sort Code]=C17),CsDJ[Credit])))+(SUM(IF((CRDJ[Date]=A17)*(CRDJ[Account Code]=TRIM($B$2))*(CRDJ[Sort Code]=C17),CRDJ[Credit])))+(SUM(IF((GJ[Date]=A17)*(GJ[Account Code]=TRIM($B$2))*(GJ[Sort Code]=C17),GJ[Credit])))</f>
        <v>0</v>
      </c>
      <c r="G17" s="294">
        <f>IF($H$4=$E$4,E17-F17,F17-E17)</f>
        <v>0</v>
      </c>
      <c r="H17" s="291">
        <f>IF($H$4=$E$4,H9+E17-F17,H9+F17-E17)</f>
        <v>3460296.28</v>
      </c>
    </row>
    <row r="18" spans="1:8" x14ac:dyDescent="0.25">
      <c r="A18" s="11">
        <f>Account!$G$12</f>
        <v>44592</v>
      </c>
      <c r="B18" s="189" t="str">
        <f>IF(C18=0,0,VLOOKUP(C18,Account!$F$26:$G$51,2))</f>
        <v>Pangasinan IMO</v>
      </c>
      <c r="C18" s="61" t="s">
        <v>762</v>
      </c>
      <c r="D18" s="14"/>
      <c r="E18" s="17">
        <f t="array" ref="E18">(SUM(IF((CkDJ[Date]=A18)*(CkDJ[Account Code]=TRIM($B$2))*(CkDJ[Sort Code]=C18),CkDJ[Debit])))+(SUM(IF((CsDJ[Date]=A18)*(CsDJ[Account Code]=TRIM($B$2))*(CsDJ[Sort Code]=C18),CsDJ[Debit])))+(SUM(IF((CRDJ[Date]=A18)*(CRDJ[Account Code]=TRIM($B$2))*(CRDJ[Sort Code]=C18),CRDJ[Debit])))+(SUM(IF((GJ[Date]=A18)*(GJ[Account Code]=TRIM($B$2))*(GJ[Sort Code]=C18),GJ[Debit])))</f>
        <v>0</v>
      </c>
      <c r="F18" s="17">
        <f t="array" ref="F18">(SUM(IF((CkDJ[Date]=A18)*(CkDJ[Account Code]=TRIM($B$2))*(CkDJ[Sort Code]=C18),CkDJ[Credit])))+(SUM(IF((CsDJ[Date]=A18)*(CsDJ[Account Code]=TRIM($B$2))*(CsDJ[Sort Code]=C18),CsDJ[Credit])))+(SUM(IF((CRDJ[Date]=A18)*(CRDJ[Account Code]=TRIM($B$2))*(CRDJ[Sort Code]=C18),CRDJ[Credit])))+(SUM(IF((GJ[Date]=A18)*(GJ[Account Code]=TRIM($B$2))*(GJ[Sort Code]=C18),GJ[Credit])))</f>
        <v>1694210.19</v>
      </c>
      <c r="G18" s="294">
        <f>IF($H$4=$E$4,E18-F18,F18-E18)</f>
        <v>-1694210.19</v>
      </c>
      <c r="H18" s="291">
        <f>IF($H$4=$E$4,H10+E18-F18,H10+F18-E18)</f>
        <v>3184517.5</v>
      </c>
    </row>
    <row r="19" spans="1:8" x14ac:dyDescent="0.25">
      <c r="A19" s="1142">
        <f>A18</f>
        <v>44592</v>
      </c>
      <c r="B19" s="1150"/>
      <c r="C19" s="1150"/>
      <c r="D19" s="1143"/>
      <c r="E19" s="191">
        <f>SUM(E14:E18)</f>
        <v>0</v>
      </c>
      <c r="F19" s="191">
        <f>SUM(F14:F18)</f>
        <v>1694210.19</v>
      </c>
      <c r="G19" s="297">
        <f>SUM(G14:G18)</f>
        <v>-1694210.19</v>
      </c>
      <c r="H19" s="23">
        <f>IF($H$4=$E$4,E19-F19,F19-E19)</f>
        <v>-1694210.19</v>
      </c>
    </row>
    <row r="20" spans="1:8" x14ac:dyDescent="0.25">
      <c r="A20" s="1147">
        <f>A19</f>
        <v>44592</v>
      </c>
      <c r="B20" s="1148"/>
      <c r="C20" s="1148"/>
      <c r="D20" s="1149"/>
      <c r="E20" s="20">
        <f>E11+E19</f>
        <v>14371719.74</v>
      </c>
      <c r="F20" s="20">
        <f>F11+F19</f>
        <v>1694210.19</v>
      </c>
      <c r="G20" s="295">
        <f>G11+G19</f>
        <v>12677509.550000001</v>
      </c>
      <c r="H20" s="20">
        <f>IF($H$4=$E$4,E20-F20,F20-E20)</f>
        <v>12677509.550000001</v>
      </c>
    </row>
    <row r="21" spans="1:8" x14ac:dyDescent="0.25">
      <c r="A21" s="11"/>
      <c r="B21" s="188"/>
      <c r="C21" s="190"/>
      <c r="D21" s="12"/>
      <c r="E21" s="13"/>
      <c r="F21" s="13"/>
      <c r="G21" s="296"/>
      <c r="H21" s="12"/>
    </row>
    <row r="22" spans="1:8" x14ac:dyDescent="0.25">
      <c r="A22" s="11">
        <f>Account!$G$13</f>
        <v>44620</v>
      </c>
      <c r="B22" s="189" t="str">
        <f>IF(C22=0,0,VLOOKUP(C22,Account!$F$26:$G$51,2))</f>
        <v>Regional Office</v>
      </c>
      <c r="C22" s="61" t="s">
        <v>494</v>
      </c>
      <c r="D22" s="14"/>
      <c r="E22" s="17">
        <f t="array" ref="E22">(SUM(IF((CkDJ[Date]=A22)*(CkDJ[Account Code]=TRIM($B$2))*(CkDJ[Sort Code]=C22),CkDJ[Debit])))+(SUM(IF((CsDJ[Date]=A22)*(CsDJ[Account Code]=TRIM($B$2))*(CsDJ[Sort Code]=C22),CsDJ[Debit])))+(SUM(IF((CRDJ[Date]=A22)*(CRDJ[Account Code]=TRIM($B$2))*(CRDJ[Sort Code]=C22),CRDJ[Debit])))+(SUM(IF((GJ[Date]=A22)*(GJ[Account Code]=TRIM($B$2))*(GJ[Sort Code]=C22),GJ[Debit])))</f>
        <v>0</v>
      </c>
      <c r="F22" s="17">
        <f t="array" ref="F22">(SUM(IF((CkDJ[Date]=A22)*(CkDJ[Account Code]=TRIM($B$2))*(CkDJ[Sort Code]=C22),CkDJ[Credit])))+(SUM(IF((CsDJ[Date]=A22)*(CsDJ[Account Code]=TRIM($B$2))*(CsDJ[Sort Code]=C22),CsDJ[Credit])))+(SUM(IF((CRDJ[Date]=A22)*(CRDJ[Account Code]=TRIM($B$2))*(CRDJ[Sort Code]=C22),CRDJ[Credit])))+(SUM(IF((GJ[Date]=A22)*(GJ[Account Code]=TRIM($B$2))*(GJ[Sort Code]=C22),GJ[Credit])))</f>
        <v>0</v>
      </c>
      <c r="G22" s="294">
        <f>IF($H$4=$E$4,E22-F22,F22-E22)</f>
        <v>0</v>
      </c>
      <c r="H22" s="291">
        <f>IF($H$4=$E$4,H14+E22-F22,H14+F22-E22)</f>
        <v>0</v>
      </c>
    </row>
    <row r="23" spans="1:8" x14ac:dyDescent="0.25">
      <c r="A23" s="11">
        <f>Account!$G$13</f>
        <v>44620</v>
      </c>
      <c r="B23" s="189" t="str">
        <f>IF(C23=0,0,VLOOKUP(C23,Account!$F$26:$G$51,2))</f>
        <v>Ilocos Norte IMO</v>
      </c>
      <c r="C23" s="61" t="s">
        <v>484</v>
      </c>
      <c r="D23" s="14"/>
      <c r="E23" s="17">
        <f t="array" ref="E23">(SUM(IF((CkDJ[Date]=A23)*(CkDJ[Account Code]=TRIM($B$2))*(CkDJ[Sort Code]=C23),CkDJ[Debit])))+(SUM(IF((CsDJ[Date]=A23)*(CsDJ[Account Code]=TRIM($B$2))*(CsDJ[Sort Code]=C23),CsDJ[Debit])))+(SUM(IF((CRDJ[Date]=A23)*(CRDJ[Account Code]=TRIM($B$2))*(CRDJ[Sort Code]=C23),CRDJ[Debit])))+(SUM(IF((GJ[Date]=A23)*(GJ[Account Code]=TRIM($B$2))*(GJ[Sort Code]=C23),GJ[Debit])))</f>
        <v>0</v>
      </c>
      <c r="F23" s="17">
        <f t="array" ref="F23">(SUM(IF((CkDJ[Date]=A23)*(CkDJ[Account Code]=TRIM($B$2))*(CkDJ[Sort Code]=C23),CkDJ[Credit])))+(SUM(IF((CsDJ[Date]=A23)*(CsDJ[Account Code]=TRIM($B$2))*(CsDJ[Sort Code]=C23),CsDJ[Credit])))+(SUM(IF((CRDJ[Date]=A23)*(CRDJ[Account Code]=TRIM($B$2))*(CRDJ[Sort Code]=C23),CRDJ[Credit])))+(SUM(IF((GJ[Date]=A23)*(GJ[Account Code]=TRIM($B$2))*(GJ[Sort Code]=C23),GJ[Credit])))</f>
        <v>0</v>
      </c>
      <c r="G23" s="294">
        <f>IF($H$4=$E$4,E23-F23,F23-E23)</f>
        <v>0</v>
      </c>
      <c r="H23" s="291">
        <f>IF($H$4=$E$4,H15+E23-F23,H15+F23-E23)</f>
        <v>3925235.81</v>
      </c>
    </row>
    <row r="24" spans="1:8" x14ac:dyDescent="0.25">
      <c r="A24" s="11">
        <f>Account!$G$13</f>
        <v>44620</v>
      </c>
      <c r="B24" s="189" t="str">
        <f>IF(C24=0,0,VLOOKUP(C24,Account!$F$26:$G$51,2))</f>
        <v>Ilocos Sur IMO</v>
      </c>
      <c r="C24" s="61" t="s">
        <v>485</v>
      </c>
      <c r="D24" s="14"/>
      <c r="E24" s="17">
        <f t="array" ref="E24">(SUM(IF((CkDJ[Date]=A24)*(CkDJ[Account Code]=TRIM($B$2))*(CkDJ[Sort Code]=C24),CkDJ[Debit])))+(SUM(IF((CsDJ[Date]=A24)*(CsDJ[Account Code]=TRIM($B$2))*(CsDJ[Sort Code]=C24),CsDJ[Debit])))+(SUM(IF((CRDJ[Date]=A24)*(CRDJ[Account Code]=TRIM($B$2))*(CRDJ[Sort Code]=C24),CRDJ[Debit])))+(SUM(IF((GJ[Date]=A24)*(GJ[Account Code]=TRIM($B$2))*(GJ[Sort Code]=C24),GJ[Debit])))</f>
        <v>0</v>
      </c>
      <c r="F24" s="17">
        <f t="array" ref="F24">(SUM(IF((CkDJ[Date]=A24)*(CkDJ[Account Code]=TRIM($B$2))*(CkDJ[Sort Code]=C24),CkDJ[Credit])))+(SUM(IF((CsDJ[Date]=A24)*(CsDJ[Account Code]=TRIM($B$2))*(CsDJ[Sort Code]=C24),CsDJ[Credit])))+(SUM(IF((CRDJ[Date]=A24)*(CRDJ[Account Code]=TRIM($B$2))*(CRDJ[Sort Code]=C24),CRDJ[Credit])))+(SUM(IF((GJ[Date]=A24)*(GJ[Account Code]=TRIM($B$2))*(GJ[Sort Code]=C24),GJ[Credit])))</f>
        <v>0</v>
      </c>
      <c r="G24" s="294">
        <f>IF($H$4=$E$4,E24-F24,F24-E24)</f>
        <v>0</v>
      </c>
      <c r="H24" s="291">
        <f>IF($H$4=$E$4,H16+E24-F24,H16+F24-E24)</f>
        <v>2107459.96</v>
      </c>
    </row>
    <row r="25" spans="1:8" x14ac:dyDescent="0.25">
      <c r="A25" s="11">
        <f>Account!$G$13</f>
        <v>44620</v>
      </c>
      <c r="B25" s="189" t="str">
        <f>IF(C25=0,0,VLOOKUP(C25,Account!$F$26:$G$51,2))</f>
        <v>La Union</v>
      </c>
      <c r="C25" s="61" t="s">
        <v>486</v>
      </c>
      <c r="D25" s="14"/>
      <c r="E25" s="17">
        <f t="array" ref="E25">(SUM(IF((CkDJ[Date]=A25)*(CkDJ[Account Code]=TRIM($B$2))*(CkDJ[Sort Code]=C25),CkDJ[Debit])))+(SUM(IF((CsDJ[Date]=A25)*(CsDJ[Account Code]=TRIM($B$2))*(CsDJ[Sort Code]=C25),CsDJ[Debit])))+(SUM(IF((CRDJ[Date]=A25)*(CRDJ[Account Code]=TRIM($B$2))*(CRDJ[Sort Code]=C25),CRDJ[Debit])))+(SUM(IF((GJ[Date]=A25)*(GJ[Account Code]=TRIM($B$2))*(GJ[Sort Code]=C25),GJ[Debit])))</f>
        <v>0</v>
      </c>
      <c r="F25" s="17">
        <f t="array" ref="F25">(SUM(IF((CkDJ[Date]=A25)*(CkDJ[Account Code]=TRIM($B$2))*(CkDJ[Sort Code]=C25),CkDJ[Credit])))+(SUM(IF((CsDJ[Date]=A25)*(CsDJ[Account Code]=TRIM($B$2))*(CsDJ[Sort Code]=C25),CsDJ[Credit])))+(SUM(IF((CRDJ[Date]=A25)*(CRDJ[Account Code]=TRIM($B$2))*(CRDJ[Sort Code]=C25),CRDJ[Credit])))+(SUM(IF((GJ[Date]=A25)*(GJ[Account Code]=TRIM($B$2))*(GJ[Sort Code]=C25),GJ[Credit])))</f>
        <v>0</v>
      </c>
      <c r="G25" s="294">
        <f>IF($H$4=$E$4,E25-F25,F25-E25)</f>
        <v>0</v>
      </c>
      <c r="H25" s="291">
        <f>IF($H$4=$E$4,H17+E25-F25,H17+F25-E25)</f>
        <v>3460296.28</v>
      </c>
    </row>
    <row r="26" spans="1:8" x14ac:dyDescent="0.25">
      <c r="A26" s="11">
        <f>Account!$G$13</f>
        <v>44620</v>
      </c>
      <c r="B26" s="189" t="str">
        <f>IF(C26=0,0,VLOOKUP(C26,Account!$F$26:$G$51,2))</f>
        <v>Pangasinan IMO</v>
      </c>
      <c r="C26" s="61" t="s">
        <v>762</v>
      </c>
      <c r="D26" s="14"/>
      <c r="E26" s="17">
        <f t="array" ref="E26">(SUM(IF((CkDJ[Date]=A26)*(CkDJ[Account Code]=TRIM($B$2))*(CkDJ[Sort Code]=C26),CkDJ[Debit])))+(SUM(IF((CsDJ[Date]=A26)*(CsDJ[Account Code]=TRIM($B$2))*(CsDJ[Sort Code]=C26),CsDJ[Debit])))+(SUM(IF((CRDJ[Date]=A26)*(CRDJ[Account Code]=TRIM($B$2))*(CRDJ[Sort Code]=C26),CRDJ[Debit])))+(SUM(IF((GJ[Date]=A26)*(GJ[Account Code]=TRIM($B$2))*(GJ[Sort Code]=C26),GJ[Debit])))</f>
        <v>184712.92</v>
      </c>
      <c r="F26" s="17">
        <f t="array" ref="F26">(SUM(IF((CkDJ[Date]=A26)*(CkDJ[Account Code]=TRIM($B$2))*(CkDJ[Sort Code]=C26),CkDJ[Credit])))+(SUM(IF((CsDJ[Date]=A26)*(CsDJ[Account Code]=TRIM($B$2))*(CsDJ[Sort Code]=C26),CsDJ[Credit])))+(SUM(IF((CRDJ[Date]=A26)*(CRDJ[Account Code]=TRIM($B$2))*(CRDJ[Sort Code]=C26),CRDJ[Credit])))+(SUM(IF((GJ[Date]=A26)*(GJ[Account Code]=TRIM($B$2))*(GJ[Sort Code]=C26),GJ[Credit])))</f>
        <v>433398.3</v>
      </c>
      <c r="G26" s="294">
        <f>IF($H$4=$E$4,E26-F26,F26-E26)</f>
        <v>-248685.38</v>
      </c>
      <c r="H26" s="291">
        <f>IF($H$4=$E$4,H18+E26-F26,H18+F26-E26)</f>
        <v>2935832.12</v>
      </c>
    </row>
    <row r="27" spans="1:8" x14ac:dyDescent="0.25">
      <c r="A27" s="1142">
        <f>A26</f>
        <v>44620</v>
      </c>
      <c r="B27" s="1150"/>
      <c r="C27" s="1150"/>
      <c r="D27" s="1143"/>
      <c r="E27" s="191">
        <f>SUM(E22:E26)</f>
        <v>184712.92</v>
      </c>
      <c r="F27" s="191">
        <f>SUM(F22:F26)</f>
        <v>433398.3</v>
      </c>
      <c r="G27" s="297">
        <f>SUM(G22:G26)</f>
        <v>-248685.38</v>
      </c>
      <c r="H27" s="23">
        <f>IF($H$4=$E$4,E27-F27,F27-E27)</f>
        <v>-248685.38</v>
      </c>
    </row>
    <row r="28" spans="1:8" x14ac:dyDescent="0.25">
      <c r="A28" s="1147">
        <f>A27</f>
        <v>44620</v>
      </c>
      <c r="B28" s="1148"/>
      <c r="C28" s="1148"/>
      <c r="D28" s="1149"/>
      <c r="E28" s="20">
        <f>E20+E27</f>
        <v>14556432.66</v>
      </c>
      <c r="F28" s="20">
        <f>F20+F27</f>
        <v>2127608.4900000002</v>
      </c>
      <c r="G28" s="295">
        <f>G19+G27</f>
        <v>-1942895.57</v>
      </c>
      <c r="H28" s="20">
        <f>IF($H$4=$E$4,E28-F28,F28-E28)</f>
        <v>12428824.17</v>
      </c>
    </row>
    <row r="29" spans="1:8" x14ac:dyDescent="0.25">
      <c r="A29" s="11"/>
      <c r="B29" s="188"/>
      <c r="C29" s="190"/>
      <c r="D29" s="12"/>
      <c r="E29" s="13"/>
      <c r="F29" s="13"/>
      <c r="G29" s="296"/>
      <c r="H29" s="12"/>
    </row>
    <row r="30" spans="1:8" x14ac:dyDescent="0.25">
      <c r="A30" s="11">
        <f>Account!$G$14</f>
        <v>44651</v>
      </c>
      <c r="B30" s="189" t="str">
        <f>IF(C30=0,0,VLOOKUP(C30,Account!$F$26:$G$51,2))</f>
        <v>Regional Office</v>
      </c>
      <c r="C30" s="61" t="s">
        <v>494</v>
      </c>
      <c r="D30" s="14"/>
      <c r="E30" s="17">
        <f t="array" ref="E30">(SUM(IF((CkDJ[Date]=A30)*(CkDJ[Account Code]=TRIM($B$2))*(CkDJ[Sort Code]=C30),CkDJ[Debit])))+(SUM(IF((CsDJ[Date]=A30)*(CsDJ[Account Code]=TRIM($B$2))*(CsDJ[Sort Code]=C30),CsDJ[Debit])))+(SUM(IF((CRDJ[Date]=A30)*(CRDJ[Account Code]=TRIM($B$2))*(CRDJ[Sort Code]=C30),CRDJ[Debit])))+(SUM(IF((GJ[Date]=A30)*(GJ[Account Code]=TRIM($B$2))*(GJ[Sort Code]=C30),GJ[Debit])))</f>
        <v>0</v>
      </c>
      <c r="F30" s="17">
        <f t="array" ref="F30">(SUM(IF((CkDJ[Date]=A30)*(CkDJ[Account Code]=TRIM($B$2))*(CkDJ[Sort Code]=C30),CkDJ[Credit])))+(SUM(IF((CsDJ[Date]=A30)*(CsDJ[Account Code]=TRIM($B$2))*(CsDJ[Sort Code]=C30),CsDJ[Credit])))+(SUM(IF((CRDJ[Date]=A30)*(CRDJ[Account Code]=TRIM($B$2))*(CRDJ[Sort Code]=C30),CRDJ[Credit])))+(SUM(IF((GJ[Date]=A30)*(GJ[Account Code]=TRIM($B$2))*(GJ[Sort Code]=C30),GJ[Credit])))</f>
        <v>0</v>
      </c>
      <c r="G30" s="294">
        <f>IF($H$4=$E$4,E30-F30,F30-E30)</f>
        <v>0</v>
      </c>
      <c r="H30" s="291">
        <f>IF($H$4=$E$4,H22+E30-F30,H22+F30-E30)</f>
        <v>0</v>
      </c>
    </row>
    <row r="31" spans="1:8" x14ac:dyDescent="0.25">
      <c r="A31" s="11">
        <f>Account!$G$14</f>
        <v>44651</v>
      </c>
      <c r="B31" s="189" t="str">
        <f>IF(C31=0,0,VLOOKUP(C31,Account!$F$26:$G$51,2))</f>
        <v>Ilocos Norte IMO</v>
      </c>
      <c r="C31" s="61" t="s">
        <v>484</v>
      </c>
      <c r="D31" s="14"/>
      <c r="E31" s="17">
        <f t="array" ref="E31">(SUM(IF((CkDJ[Date]=A31)*(CkDJ[Account Code]=TRIM($B$2))*(CkDJ[Sort Code]=C31),CkDJ[Debit])))+(SUM(IF((CsDJ[Date]=A31)*(CsDJ[Account Code]=TRIM($B$2))*(CsDJ[Sort Code]=C31),CsDJ[Debit])))+(SUM(IF((CRDJ[Date]=A31)*(CRDJ[Account Code]=TRIM($B$2))*(CRDJ[Sort Code]=C31),CRDJ[Debit])))+(SUM(IF((GJ[Date]=A31)*(GJ[Account Code]=TRIM($B$2))*(GJ[Sort Code]=C31),GJ[Debit])))</f>
        <v>0</v>
      </c>
      <c r="F31" s="17">
        <f t="array" ref="F31">(SUM(IF((CkDJ[Date]=A31)*(CkDJ[Account Code]=TRIM($B$2))*(CkDJ[Sort Code]=C31),CkDJ[Credit])))+(SUM(IF((CsDJ[Date]=A31)*(CsDJ[Account Code]=TRIM($B$2))*(CsDJ[Sort Code]=C31),CsDJ[Credit])))+(SUM(IF((CRDJ[Date]=A31)*(CRDJ[Account Code]=TRIM($B$2))*(CRDJ[Sort Code]=C31),CRDJ[Credit])))+(SUM(IF((GJ[Date]=A31)*(GJ[Account Code]=TRIM($B$2))*(GJ[Sort Code]=C31),GJ[Credit])))</f>
        <v>0</v>
      </c>
      <c r="G31" s="294">
        <f>IF($H$4=$E$4,E31-F31,F31-E31)</f>
        <v>0</v>
      </c>
      <c r="H31" s="291">
        <f>IF($H$4=$E$4,H23+E31-F31,H23+F31-E31)</f>
        <v>3925235.81</v>
      </c>
    </row>
    <row r="32" spans="1:8" x14ac:dyDescent="0.25">
      <c r="A32" s="11">
        <f>Account!$G$14</f>
        <v>44651</v>
      </c>
      <c r="B32" s="189" t="str">
        <f>IF(C32=0,0,VLOOKUP(C32,Account!$F$26:$G$51,2))</f>
        <v>Ilocos Sur IMO</v>
      </c>
      <c r="C32" s="61" t="s">
        <v>485</v>
      </c>
      <c r="D32" s="14"/>
      <c r="E32" s="17">
        <f t="array" ref="E32">(SUM(IF((CkDJ[Date]=A32)*(CkDJ[Account Code]=TRIM($B$2))*(CkDJ[Sort Code]=C32),CkDJ[Debit])))+(SUM(IF((CsDJ[Date]=A32)*(CsDJ[Account Code]=TRIM($B$2))*(CsDJ[Sort Code]=C32),CsDJ[Debit])))+(SUM(IF((CRDJ[Date]=A32)*(CRDJ[Account Code]=TRIM($B$2))*(CRDJ[Sort Code]=C32),CRDJ[Debit])))+(SUM(IF((GJ[Date]=A32)*(GJ[Account Code]=TRIM($B$2))*(GJ[Sort Code]=C32),GJ[Debit])))</f>
        <v>0</v>
      </c>
      <c r="F32" s="17">
        <f t="array" ref="F32">(SUM(IF((CkDJ[Date]=A32)*(CkDJ[Account Code]=TRIM($B$2))*(CkDJ[Sort Code]=C32),CkDJ[Credit])))+(SUM(IF((CsDJ[Date]=A32)*(CsDJ[Account Code]=TRIM($B$2))*(CsDJ[Sort Code]=C32),CsDJ[Credit])))+(SUM(IF((CRDJ[Date]=A32)*(CRDJ[Account Code]=TRIM($B$2))*(CRDJ[Sort Code]=C32),CRDJ[Credit])))+(SUM(IF((GJ[Date]=A32)*(GJ[Account Code]=TRIM($B$2))*(GJ[Sort Code]=C32),GJ[Credit])))</f>
        <v>0</v>
      </c>
      <c r="G32" s="294">
        <f>IF($H$4=$E$4,E32-F32,F32-E32)</f>
        <v>0</v>
      </c>
      <c r="H32" s="291">
        <f>IF($H$4=$E$4,H24+E32-F32,H24+F32-E32)</f>
        <v>2107459.96</v>
      </c>
    </row>
    <row r="33" spans="1:8" x14ac:dyDescent="0.25">
      <c r="A33" s="11">
        <f>Account!$G$14</f>
        <v>44651</v>
      </c>
      <c r="B33" s="189" t="str">
        <f>IF(C33=0,0,VLOOKUP(C33,Account!$F$26:$G$51,2))</f>
        <v>La Union</v>
      </c>
      <c r="C33" s="61" t="s">
        <v>486</v>
      </c>
      <c r="D33" s="14"/>
      <c r="E33" s="17">
        <f t="array" ref="E33">(SUM(IF((CkDJ[Date]=A33)*(CkDJ[Account Code]=TRIM($B$2))*(CkDJ[Sort Code]=C33),CkDJ[Debit])))+(SUM(IF((CsDJ[Date]=A33)*(CsDJ[Account Code]=TRIM($B$2))*(CsDJ[Sort Code]=C33),CsDJ[Debit])))+(SUM(IF((CRDJ[Date]=A33)*(CRDJ[Account Code]=TRIM($B$2))*(CRDJ[Sort Code]=C33),CRDJ[Debit])))+(SUM(IF((GJ[Date]=A33)*(GJ[Account Code]=TRIM($B$2))*(GJ[Sort Code]=C33),GJ[Debit])))</f>
        <v>0</v>
      </c>
      <c r="F33" s="17">
        <f t="array" ref="F33">(SUM(IF((CkDJ[Date]=A33)*(CkDJ[Account Code]=TRIM($B$2))*(CkDJ[Sort Code]=C33),CkDJ[Credit])))+(SUM(IF((CsDJ[Date]=A33)*(CsDJ[Account Code]=TRIM($B$2))*(CsDJ[Sort Code]=C33),CsDJ[Credit])))+(SUM(IF((CRDJ[Date]=A33)*(CRDJ[Account Code]=TRIM($B$2))*(CRDJ[Sort Code]=C33),CRDJ[Credit])))+(SUM(IF((GJ[Date]=A33)*(GJ[Account Code]=TRIM($B$2))*(GJ[Sort Code]=C33),GJ[Credit])))</f>
        <v>0</v>
      </c>
      <c r="G33" s="294">
        <f>IF($H$4=$E$4,E33-F33,F33-E33)</f>
        <v>0</v>
      </c>
      <c r="H33" s="291">
        <f>IF($H$4=$E$4,H25+E33-F33,H25+F33-E33)</f>
        <v>3460296.28</v>
      </c>
    </row>
    <row r="34" spans="1:8" x14ac:dyDescent="0.25">
      <c r="A34" s="11">
        <f>Account!$G$14</f>
        <v>44651</v>
      </c>
      <c r="B34" s="189" t="str">
        <f>IF(C34=0,0,VLOOKUP(C34,Account!$F$26:$G$51,2))</f>
        <v>Pangasinan IMO</v>
      </c>
      <c r="C34" s="61" t="s">
        <v>762</v>
      </c>
      <c r="D34" s="14"/>
      <c r="E34" s="17">
        <f t="array" ref="E34">(SUM(IF((CkDJ[Date]=A34)*(CkDJ[Account Code]=TRIM($B$2))*(CkDJ[Sort Code]=C34),CkDJ[Debit])))+(SUM(IF((CsDJ[Date]=A34)*(CsDJ[Account Code]=TRIM($B$2))*(CsDJ[Sort Code]=C34),CsDJ[Debit])))+(SUM(IF((CRDJ[Date]=A34)*(CRDJ[Account Code]=TRIM($B$2))*(CRDJ[Sort Code]=C34),CRDJ[Debit])))+(SUM(IF((GJ[Date]=A34)*(GJ[Account Code]=TRIM($B$2))*(GJ[Sort Code]=C34),GJ[Debit])))</f>
        <v>86689.32</v>
      </c>
      <c r="F34" s="17">
        <f t="array" ref="F34">(SUM(IF((CkDJ[Date]=A34)*(CkDJ[Account Code]=TRIM($B$2))*(CkDJ[Sort Code]=C34),CkDJ[Credit])))+(SUM(IF((CsDJ[Date]=A34)*(CsDJ[Account Code]=TRIM($B$2))*(CsDJ[Sort Code]=C34),CsDJ[Credit])))+(SUM(IF((CRDJ[Date]=A34)*(CRDJ[Account Code]=TRIM($B$2))*(CRDJ[Sort Code]=C34),CRDJ[Credit])))+(SUM(IF((GJ[Date]=A34)*(GJ[Account Code]=TRIM($B$2))*(GJ[Sort Code]=C34),GJ[Credit])))</f>
        <v>232756.46</v>
      </c>
      <c r="G34" s="294">
        <f>IF($H$4=$E$4,E34-F34,F34-E34)</f>
        <v>-146067.14000000001</v>
      </c>
      <c r="H34" s="291">
        <f>IF($H$4=$E$4,H26+E34-F34,H26+F34-E34)</f>
        <v>2789764.98</v>
      </c>
    </row>
    <row r="35" spans="1:8" x14ac:dyDescent="0.25">
      <c r="A35" s="1142">
        <f>A34</f>
        <v>44651</v>
      </c>
      <c r="B35" s="1150"/>
      <c r="C35" s="1150"/>
      <c r="D35" s="1143"/>
      <c r="E35" s="191">
        <f>SUM(E30:E34)</f>
        <v>86689.32</v>
      </c>
      <c r="F35" s="191">
        <f>SUM(F30:F34)</f>
        <v>232756.46</v>
      </c>
      <c r="G35" s="297">
        <f>SUM(G30:G34)</f>
        <v>-146067.14000000001</v>
      </c>
      <c r="H35" s="23">
        <f>IF($H$4=$E$4,E35-F35,F35-E35)</f>
        <v>-146067.14000000001</v>
      </c>
    </row>
    <row r="36" spans="1:8" x14ac:dyDescent="0.25">
      <c r="A36" s="1147">
        <f>A35</f>
        <v>44651</v>
      </c>
      <c r="B36" s="1148"/>
      <c r="C36" s="1148"/>
      <c r="D36" s="1149"/>
      <c r="E36" s="20">
        <f>E28+E35</f>
        <v>14643121.98</v>
      </c>
      <c r="F36" s="20">
        <f>F28+F35</f>
        <v>2360364.9500000002</v>
      </c>
      <c r="G36" s="295">
        <f>G27+G35</f>
        <v>-394752.52</v>
      </c>
      <c r="H36" s="20">
        <f>IF($H$4=$E$4,E36-F36,F36-E36)</f>
        <v>12282757.029999999</v>
      </c>
    </row>
    <row r="37" spans="1:8" x14ac:dyDescent="0.25">
      <c r="A37" s="11"/>
      <c r="B37" s="188"/>
      <c r="C37" s="190"/>
      <c r="D37" s="12"/>
      <c r="E37" s="13"/>
      <c r="F37" s="13"/>
      <c r="G37" s="296"/>
      <c r="H37" s="12"/>
    </row>
    <row r="38" spans="1:8" x14ac:dyDescent="0.25">
      <c r="A38" s="11">
        <f>Account!$G$15</f>
        <v>44681</v>
      </c>
      <c r="B38" s="189" t="str">
        <f>IF(C38=0,0,VLOOKUP(C38,Account!$F$26:$G$51,2))</f>
        <v>Regional Office</v>
      </c>
      <c r="C38" s="61" t="s">
        <v>494</v>
      </c>
      <c r="D38" s="14"/>
      <c r="E38" s="17">
        <f t="array" ref="E38">(SUM(IF((CkDJ[Date]=A38)*(CkDJ[Account Code]=TRIM($B$2))*(CkDJ[Sort Code]=C38),CkDJ[Debit])))+(SUM(IF((CsDJ[Date]=A38)*(CsDJ[Account Code]=TRIM($B$2))*(CsDJ[Sort Code]=C38),CsDJ[Debit])))+(SUM(IF((CRDJ[Date]=A38)*(CRDJ[Account Code]=TRIM($B$2))*(CRDJ[Sort Code]=C38),CRDJ[Debit])))+(SUM(IF((GJ[Date]=A38)*(GJ[Account Code]=TRIM($B$2))*(GJ[Sort Code]=C38),GJ[Debit])))</f>
        <v>0</v>
      </c>
      <c r="F38" s="17">
        <f t="array" ref="F38">(SUM(IF((CkDJ[Date]=A38)*(CkDJ[Account Code]=TRIM($B$2))*(CkDJ[Sort Code]=C38),CkDJ[Credit])))+(SUM(IF((CsDJ[Date]=A38)*(CsDJ[Account Code]=TRIM($B$2))*(CsDJ[Sort Code]=C38),CsDJ[Credit])))+(SUM(IF((CRDJ[Date]=A38)*(CRDJ[Account Code]=TRIM($B$2))*(CRDJ[Sort Code]=C38),CRDJ[Credit])))+(SUM(IF((GJ[Date]=A38)*(GJ[Account Code]=TRIM($B$2))*(GJ[Sort Code]=C38),GJ[Credit])))</f>
        <v>0</v>
      </c>
      <c r="G38" s="294">
        <f>IF($H$4=$E$4,E38-F38,F38-E38)</f>
        <v>0</v>
      </c>
      <c r="H38" s="291">
        <f>IF($H$4=$E$4,H30+E38-F38,H30+F38-E38)</f>
        <v>0</v>
      </c>
    </row>
    <row r="39" spans="1:8" x14ac:dyDescent="0.25">
      <c r="A39" s="11">
        <f>Account!$G$15</f>
        <v>44681</v>
      </c>
      <c r="B39" s="189" t="str">
        <f>IF(C39=0,0,VLOOKUP(C39,Account!$F$26:$G$51,2))</f>
        <v>Ilocos Norte IMO</v>
      </c>
      <c r="C39" s="61" t="s">
        <v>484</v>
      </c>
      <c r="D39" s="14"/>
      <c r="E39" s="17">
        <f t="array" ref="E39">(SUM(IF((CkDJ[Date]=A39)*(CkDJ[Account Code]=TRIM($B$2))*(CkDJ[Sort Code]=C39),CkDJ[Debit])))+(SUM(IF((CsDJ[Date]=A39)*(CsDJ[Account Code]=TRIM($B$2))*(CsDJ[Sort Code]=C39),CsDJ[Debit])))+(SUM(IF((CRDJ[Date]=A39)*(CRDJ[Account Code]=TRIM($B$2))*(CRDJ[Sort Code]=C39),CRDJ[Debit])))+(SUM(IF((GJ[Date]=A39)*(GJ[Account Code]=TRIM($B$2))*(GJ[Sort Code]=C39),GJ[Debit])))</f>
        <v>0</v>
      </c>
      <c r="F39" s="17">
        <f t="array" ref="F39">(SUM(IF((CkDJ[Date]=A39)*(CkDJ[Account Code]=TRIM($B$2))*(CkDJ[Sort Code]=C39),CkDJ[Credit])))+(SUM(IF((CsDJ[Date]=A39)*(CsDJ[Account Code]=TRIM($B$2))*(CsDJ[Sort Code]=C39),CsDJ[Credit])))+(SUM(IF((CRDJ[Date]=A39)*(CRDJ[Account Code]=TRIM($B$2))*(CRDJ[Sort Code]=C39),CRDJ[Credit])))+(SUM(IF((GJ[Date]=A39)*(GJ[Account Code]=TRIM($B$2))*(GJ[Sort Code]=C39),GJ[Credit])))</f>
        <v>0</v>
      </c>
      <c r="G39" s="294">
        <f>IF($H$4=$E$4,E39-F39,F39-E39)</f>
        <v>0</v>
      </c>
      <c r="H39" s="291">
        <f>IF($H$4=$E$4,H31+E39-F39,H31+F39-E39)</f>
        <v>3925235.81</v>
      </c>
    </row>
    <row r="40" spans="1:8" x14ac:dyDescent="0.25">
      <c r="A40" s="11">
        <f>Account!$G$15</f>
        <v>44681</v>
      </c>
      <c r="B40" s="189" t="str">
        <f>IF(C40=0,0,VLOOKUP(C40,Account!$F$26:$G$51,2))</f>
        <v>Ilocos Sur IMO</v>
      </c>
      <c r="C40" s="61" t="s">
        <v>485</v>
      </c>
      <c r="D40" s="14"/>
      <c r="E40" s="17">
        <f t="array" ref="E40">(SUM(IF((CkDJ[Date]=A40)*(CkDJ[Account Code]=TRIM($B$2))*(CkDJ[Sort Code]=C40),CkDJ[Debit])))+(SUM(IF((CsDJ[Date]=A40)*(CsDJ[Account Code]=TRIM($B$2))*(CsDJ[Sort Code]=C40),CsDJ[Debit])))+(SUM(IF((CRDJ[Date]=A40)*(CRDJ[Account Code]=TRIM($B$2))*(CRDJ[Sort Code]=C40),CRDJ[Debit])))+(SUM(IF((GJ[Date]=A40)*(GJ[Account Code]=TRIM($B$2))*(GJ[Sort Code]=C40),GJ[Debit])))</f>
        <v>0</v>
      </c>
      <c r="F40" s="17">
        <f t="array" ref="F40">(SUM(IF((CkDJ[Date]=A40)*(CkDJ[Account Code]=TRIM($B$2))*(CkDJ[Sort Code]=C40),CkDJ[Credit])))+(SUM(IF((CsDJ[Date]=A40)*(CsDJ[Account Code]=TRIM($B$2))*(CsDJ[Sort Code]=C40),CsDJ[Credit])))+(SUM(IF((CRDJ[Date]=A40)*(CRDJ[Account Code]=TRIM($B$2))*(CRDJ[Sort Code]=C40),CRDJ[Credit])))+(SUM(IF((GJ[Date]=A40)*(GJ[Account Code]=TRIM($B$2))*(GJ[Sort Code]=C40),GJ[Credit])))</f>
        <v>0</v>
      </c>
      <c r="G40" s="294">
        <f>IF($H$4=$E$4,E40-F40,F40-E40)</f>
        <v>0</v>
      </c>
      <c r="H40" s="291">
        <f>IF($H$4=$E$4,H32+E40-F40,H32+F40-E40)</f>
        <v>2107459.96</v>
      </c>
    </row>
    <row r="41" spans="1:8" x14ac:dyDescent="0.25">
      <c r="A41" s="11">
        <f>Account!$G$15</f>
        <v>44681</v>
      </c>
      <c r="B41" s="189" t="str">
        <f>IF(C41=0,0,VLOOKUP(C41,Account!$F$26:$G$51,2))</f>
        <v>La Union</v>
      </c>
      <c r="C41" s="61" t="s">
        <v>486</v>
      </c>
      <c r="D41" s="14"/>
      <c r="E41" s="17">
        <f t="array" ref="E41">(SUM(IF((CkDJ[Date]=A41)*(CkDJ[Account Code]=TRIM($B$2))*(CkDJ[Sort Code]=C41),CkDJ[Debit])))+(SUM(IF((CsDJ[Date]=A41)*(CsDJ[Account Code]=TRIM($B$2))*(CsDJ[Sort Code]=C41),CsDJ[Debit])))+(SUM(IF((CRDJ[Date]=A41)*(CRDJ[Account Code]=TRIM($B$2))*(CRDJ[Sort Code]=C41),CRDJ[Debit])))+(SUM(IF((GJ[Date]=A41)*(GJ[Account Code]=TRIM($B$2))*(GJ[Sort Code]=C41),GJ[Debit])))</f>
        <v>0</v>
      </c>
      <c r="F41" s="17">
        <f t="array" ref="F41">(SUM(IF((CkDJ[Date]=A41)*(CkDJ[Account Code]=TRIM($B$2))*(CkDJ[Sort Code]=C41),CkDJ[Credit])))+(SUM(IF((CsDJ[Date]=A41)*(CsDJ[Account Code]=TRIM($B$2))*(CsDJ[Sort Code]=C41),CsDJ[Credit])))+(SUM(IF((CRDJ[Date]=A41)*(CRDJ[Account Code]=TRIM($B$2))*(CRDJ[Sort Code]=C41),CRDJ[Credit])))+(SUM(IF((GJ[Date]=A41)*(GJ[Account Code]=TRIM($B$2))*(GJ[Sort Code]=C41),GJ[Credit])))</f>
        <v>0</v>
      </c>
      <c r="G41" s="294">
        <f>IF($H$4=$E$4,E41-F41,F41-E41)</f>
        <v>0</v>
      </c>
      <c r="H41" s="291">
        <f>IF($H$4=$E$4,H33+E41-F41,H33+F41-E41)</f>
        <v>3460296.28</v>
      </c>
    </row>
    <row r="42" spans="1:8" x14ac:dyDescent="0.25">
      <c r="A42" s="11">
        <f>Account!$G$15</f>
        <v>44681</v>
      </c>
      <c r="B42" s="189" t="str">
        <f>IF(C42=0,0,VLOOKUP(C42,Account!$F$26:$G$51,2))</f>
        <v>Pangasinan IMO</v>
      </c>
      <c r="C42" s="61" t="s">
        <v>762</v>
      </c>
      <c r="D42" s="14"/>
      <c r="E42" s="17">
        <f t="array" ref="E42">(SUM(IF((CkDJ[Date]=A42)*(CkDJ[Account Code]=TRIM($B$2))*(CkDJ[Sort Code]=C42),CkDJ[Debit])))+(SUM(IF((CsDJ[Date]=A42)*(CsDJ[Account Code]=TRIM($B$2))*(CsDJ[Sort Code]=C42),CsDJ[Debit])))+(SUM(IF((CRDJ[Date]=A42)*(CRDJ[Account Code]=TRIM($B$2))*(CRDJ[Sort Code]=C42),CRDJ[Debit])))+(SUM(IF((GJ[Date]=A42)*(GJ[Account Code]=TRIM($B$2))*(GJ[Sort Code]=C42),GJ[Debit])))</f>
        <v>2493024.62</v>
      </c>
      <c r="F42" s="17">
        <f t="array" ref="F42">(SUM(IF((CkDJ[Date]=A42)*(CkDJ[Account Code]=TRIM($B$2))*(CkDJ[Sort Code]=C42),CkDJ[Credit])))+(SUM(IF((CsDJ[Date]=A42)*(CsDJ[Account Code]=TRIM($B$2))*(CsDJ[Sort Code]=C42),CsDJ[Credit])))+(SUM(IF((CRDJ[Date]=A42)*(CRDJ[Account Code]=TRIM($B$2))*(CRDJ[Sort Code]=C42),CRDJ[Credit])))+(SUM(IF((GJ[Date]=A42)*(GJ[Account Code]=TRIM($B$2))*(GJ[Sort Code]=C42),GJ[Credit])))</f>
        <v>89495.23</v>
      </c>
      <c r="G42" s="294">
        <f>IF($H$4=$E$4,E42-F42,F42-E42)</f>
        <v>2403529.39</v>
      </c>
      <c r="H42" s="291">
        <f>IF($H$4=$E$4,H34+E42-F42,H34+F42-E42)</f>
        <v>5193294.37</v>
      </c>
    </row>
    <row r="43" spans="1:8" x14ac:dyDescent="0.25">
      <c r="A43" s="1142">
        <f>A42</f>
        <v>44681</v>
      </c>
      <c r="B43" s="1150"/>
      <c r="C43" s="1150"/>
      <c r="D43" s="1143"/>
      <c r="E43" s="191">
        <f>SUM(E38:E42)</f>
        <v>2493024.62</v>
      </c>
      <c r="F43" s="191">
        <f>SUM(F38:F42)</f>
        <v>89495.23</v>
      </c>
      <c r="G43" s="297">
        <f>SUM(G38:G42)</f>
        <v>2403529.39</v>
      </c>
      <c r="H43" s="23">
        <f>IF($H$4=$E$4,E43-F43,F43-E43)</f>
        <v>2403529.39</v>
      </c>
    </row>
    <row r="44" spans="1:8" x14ac:dyDescent="0.25">
      <c r="A44" s="1147">
        <f>A43</f>
        <v>44681</v>
      </c>
      <c r="B44" s="1148"/>
      <c r="C44" s="1148"/>
      <c r="D44" s="1149"/>
      <c r="E44" s="20">
        <f>E36+E43</f>
        <v>17136146.600000001</v>
      </c>
      <c r="F44" s="20">
        <f>F36+F43</f>
        <v>2449860.1800000002</v>
      </c>
      <c r="G44" s="295">
        <f>G35+G43</f>
        <v>2257462.25</v>
      </c>
      <c r="H44" s="20">
        <f>IF($H$4=$E$4,E44-F44,F44-E44)</f>
        <v>14686286.42</v>
      </c>
    </row>
    <row r="45" spans="1:8" x14ac:dyDescent="0.25">
      <c r="A45" s="11"/>
      <c r="B45" s="188"/>
      <c r="C45" s="190"/>
      <c r="D45" s="12"/>
      <c r="E45" s="13"/>
      <c r="F45" s="13"/>
      <c r="G45" s="296"/>
      <c r="H45" s="12"/>
    </row>
    <row r="46" spans="1:8" x14ac:dyDescent="0.25">
      <c r="A46" s="11">
        <f>Account!$G$16</f>
        <v>44712</v>
      </c>
      <c r="B46" s="189" t="str">
        <f>IF(C46=0,0,VLOOKUP(C46,Account!$F$26:$G$51,2))</f>
        <v>Regional Office</v>
      </c>
      <c r="C46" s="61" t="s">
        <v>494</v>
      </c>
      <c r="D46" s="14"/>
      <c r="E46" s="17">
        <f t="array" ref="E46">(SUM(IF((CkDJ[Date]=A46)*(CkDJ[Account Code]=TRIM($B$2))*(CkDJ[Sort Code]=C46),CkDJ[Debit])))+(SUM(IF((CsDJ[Date]=A46)*(CsDJ[Account Code]=TRIM($B$2))*(CsDJ[Sort Code]=C46),CsDJ[Debit])))+(SUM(IF((CRDJ[Date]=A46)*(CRDJ[Account Code]=TRIM($B$2))*(CRDJ[Sort Code]=C46),CRDJ[Debit])))+(SUM(IF((GJ[Date]=A46)*(GJ[Account Code]=TRIM($B$2))*(GJ[Sort Code]=C46),GJ[Debit])))</f>
        <v>0</v>
      </c>
      <c r="F46" s="17">
        <f t="array" ref="F46">(SUM(IF((CkDJ[Date]=A46)*(CkDJ[Account Code]=TRIM($B$2))*(CkDJ[Sort Code]=C46),CkDJ[Credit])))+(SUM(IF((CsDJ[Date]=A46)*(CsDJ[Account Code]=TRIM($B$2))*(CsDJ[Sort Code]=C46),CsDJ[Credit])))+(SUM(IF((CRDJ[Date]=A46)*(CRDJ[Account Code]=TRIM($B$2))*(CRDJ[Sort Code]=C46),CRDJ[Credit])))+(SUM(IF((GJ[Date]=A46)*(GJ[Account Code]=TRIM($B$2))*(GJ[Sort Code]=C46),GJ[Credit])))</f>
        <v>0</v>
      </c>
      <c r="G46" s="294">
        <f>IF($H$4=$E$4,E46-F46,F46-E46)</f>
        <v>0</v>
      </c>
      <c r="H46" s="291">
        <f>IF($H$4=$E$4,H38+E46-F46,H38+F46-E46)</f>
        <v>0</v>
      </c>
    </row>
    <row r="47" spans="1:8" x14ac:dyDescent="0.25">
      <c r="A47" s="11">
        <f>Account!$G$16</f>
        <v>44712</v>
      </c>
      <c r="B47" s="189" t="str">
        <f>IF(C47=0,0,VLOOKUP(C47,Account!$F$26:$G$51,2))</f>
        <v>Ilocos Norte IMO</v>
      </c>
      <c r="C47" s="61" t="s">
        <v>484</v>
      </c>
      <c r="D47" s="14"/>
      <c r="E47" s="17">
        <f t="array" ref="E47">(SUM(IF((CkDJ[Date]=A47)*(CkDJ[Account Code]=TRIM($B$2))*(CkDJ[Sort Code]=C47),CkDJ[Debit])))+(SUM(IF((CsDJ[Date]=A47)*(CsDJ[Account Code]=TRIM($B$2))*(CsDJ[Sort Code]=C47),CsDJ[Debit])))+(SUM(IF((CRDJ[Date]=A47)*(CRDJ[Account Code]=TRIM($B$2))*(CRDJ[Sort Code]=C47),CRDJ[Debit])))+(SUM(IF((GJ[Date]=A47)*(GJ[Account Code]=TRIM($B$2))*(GJ[Sort Code]=C47),GJ[Debit])))</f>
        <v>0</v>
      </c>
      <c r="F47" s="17">
        <f t="array" ref="F47">(SUM(IF((CkDJ[Date]=A47)*(CkDJ[Account Code]=TRIM($B$2))*(CkDJ[Sort Code]=C47),CkDJ[Credit])))+(SUM(IF((CsDJ[Date]=A47)*(CsDJ[Account Code]=TRIM($B$2))*(CsDJ[Sort Code]=C47),CsDJ[Credit])))+(SUM(IF((CRDJ[Date]=A47)*(CRDJ[Account Code]=TRIM($B$2))*(CRDJ[Sort Code]=C47),CRDJ[Credit])))+(SUM(IF((GJ[Date]=A47)*(GJ[Account Code]=TRIM($B$2))*(GJ[Sort Code]=C47),GJ[Credit])))</f>
        <v>0</v>
      </c>
      <c r="G47" s="294">
        <f>IF($H$4=$E$4,E47-F47,F47-E47)</f>
        <v>0</v>
      </c>
      <c r="H47" s="291">
        <f>IF($H$4=$E$4,H39+E47-F47,H39+F47-E47)</f>
        <v>3925235.81</v>
      </c>
    </row>
    <row r="48" spans="1:8" x14ac:dyDescent="0.25">
      <c r="A48" s="11">
        <f>Account!$G$16</f>
        <v>44712</v>
      </c>
      <c r="B48" s="189" t="str">
        <f>IF(C48=0,0,VLOOKUP(C48,Account!$F$26:$G$51,2))</f>
        <v>Ilocos Sur IMO</v>
      </c>
      <c r="C48" s="61" t="s">
        <v>485</v>
      </c>
      <c r="D48" s="14"/>
      <c r="E48" s="17">
        <f t="array" ref="E48">(SUM(IF((CkDJ[Date]=A48)*(CkDJ[Account Code]=TRIM($B$2))*(CkDJ[Sort Code]=C48),CkDJ[Debit])))+(SUM(IF((CsDJ[Date]=A48)*(CsDJ[Account Code]=TRIM($B$2))*(CsDJ[Sort Code]=C48),CsDJ[Debit])))+(SUM(IF((CRDJ[Date]=A48)*(CRDJ[Account Code]=TRIM($B$2))*(CRDJ[Sort Code]=C48),CRDJ[Debit])))+(SUM(IF((GJ[Date]=A48)*(GJ[Account Code]=TRIM($B$2))*(GJ[Sort Code]=C48),GJ[Debit])))</f>
        <v>0</v>
      </c>
      <c r="F48" s="17">
        <f t="array" ref="F48">(SUM(IF((CkDJ[Date]=A48)*(CkDJ[Account Code]=TRIM($B$2))*(CkDJ[Sort Code]=C48),CkDJ[Credit])))+(SUM(IF((CsDJ[Date]=A48)*(CsDJ[Account Code]=TRIM($B$2))*(CsDJ[Sort Code]=C48),CsDJ[Credit])))+(SUM(IF((CRDJ[Date]=A48)*(CRDJ[Account Code]=TRIM($B$2))*(CRDJ[Sort Code]=C48),CRDJ[Credit])))+(SUM(IF((GJ[Date]=A48)*(GJ[Account Code]=TRIM($B$2))*(GJ[Sort Code]=C48),GJ[Credit])))</f>
        <v>0</v>
      </c>
      <c r="G48" s="294">
        <f>IF($H$4=$E$4,E48-F48,F48-E48)</f>
        <v>0</v>
      </c>
      <c r="H48" s="291">
        <f>IF($H$4=$E$4,H40+E48-F48,H40+F48-E48)</f>
        <v>2107459.96</v>
      </c>
    </row>
    <row r="49" spans="1:8" x14ac:dyDescent="0.25">
      <c r="A49" s="11">
        <f>Account!$G$16</f>
        <v>44712</v>
      </c>
      <c r="B49" s="189" t="str">
        <f>IF(C49=0,0,VLOOKUP(C49,Account!$F$26:$G$51,2))</f>
        <v>La Union</v>
      </c>
      <c r="C49" s="61" t="s">
        <v>486</v>
      </c>
      <c r="D49" s="14"/>
      <c r="E49" s="17">
        <f t="array" ref="E49">(SUM(IF((CkDJ[Date]=A49)*(CkDJ[Account Code]=TRIM($B$2))*(CkDJ[Sort Code]=C49),CkDJ[Debit])))+(SUM(IF((CsDJ[Date]=A49)*(CsDJ[Account Code]=TRIM($B$2))*(CsDJ[Sort Code]=C49),CsDJ[Debit])))+(SUM(IF((CRDJ[Date]=A49)*(CRDJ[Account Code]=TRIM($B$2))*(CRDJ[Sort Code]=C49),CRDJ[Debit])))+(SUM(IF((GJ[Date]=A49)*(GJ[Account Code]=TRIM($B$2))*(GJ[Sort Code]=C49),GJ[Debit])))</f>
        <v>0</v>
      </c>
      <c r="F49" s="17">
        <f t="array" ref="F49">(SUM(IF((CkDJ[Date]=A49)*(CkDJ[Account Code]=TRIM($B$2))*(CkDJ[Sort Code]=C49),CkDJ[Credit])))+(SUM(IF((CsDJ[Date]=A49)*(CsDJ[Account Code]=TRIM($B$2))*(CsDJ[Sort Code]=C49),CsDJ[Credit])))+(SUM(IF((CRDJ[Date]=A49)*(CRDJ[Account Code]=TRIM($B$2))*(CRDJ[Sort Code]=C49),CRDJ[Credit])))+(SUM(IF((GJ[Date]=A49)*(GJ[Account Code]=TRIM($B$2))*(GJ[Sort Code]=C49),GJ[Credit])))</f>
        <v>0</v>
      </c>
      <c r="G49" s="294">
        <f>IF($H$4=$E$4,E49-F49,F49-E49)</f>
        <v>0</v>
      </c>
      <c r="H49" s="291">
        <f>IF($H$4=$E$4,H41+E49-F49,H41+F49-E49)</f>
        <v>3460296.28</v>
      </c>
    </row>
    <row r="50" spans="1:8" x14ac:dyDescent="0.25">
      <c r="A50" s="11">
        <f>Account!$G$16</f>
        <v>44712</v>
      </c>
      <c r="B50" s="189" t="str">
        <f>IF(C50=0,0,VLOOKUP(C50,Account!$F$26:$G$51,2))</f>
        <v>Pangasinan IMO</v>
      </c>
      <c r="C50" s="61" t="s">
        <v>762</v>
      </c>
      <c r="D50" s="14"/>
      <c r="E50" s="17">
        <f t="array" ref="E50">(SUM(IF((CkDJ[Date]=A50)*(CkDJ[Account Code]=TRIM($B$2))*(CkDJ[Sort Code]=C50),CkDJ[Debit])))+(SUM(IF((CsDJ[Date]=A50)*(CsDJ[Account Code]=TRIM($B$2))*(CsDJ[Sort Code]=C50),CsDJ[Debit])))+(SUM(IF((CRDJ[Date]=A50)*(CRDJ[Account Code]=TRIM($B$2))*(CRDJ[Sort Code]=C50),CRDJ[Debit])))+(SUM(IF((GJ[Date]=A50)*(GJ[Account Code]=TRIM($B$2))*(GJ[Sort Code]=C50),GJ[Debit])))</f>
        <v>2365126.02</v>
      </c>
      <c r="F50" s="17">
        <f t="array" ref="F50">(SUM(IF((CkDJ[Date]=A50)*(CkDJ[Account Code]=TRIM($B$2))*(CkDJ[Sort Code]=C50),CkDJ[Credit])))+(SUM(IF((CsDJ[Date]=A50)*(CsDJ[Account Code]=TRIM($B$2))*(CsDJ[Sort Code]=C50),CsDJ[Credit])))+(SUM(IF((CRDJ[Date]=A50)*(CRDJ[Account Code]=TRIM($B$2))*(CRDJ[Sort Code]=C50),CRDJ[Credit])))+(SUM(IF((GJ[Date]=A50)*(GJ[Account Code]=TRIM($B$2))*(GJ[Sort Code]=C50),GJ[Credit])))</f>
        <v>276164.90000000002</v>
      </c>
      <c r="G50" s="294">
        <f>IF($H$4=$E$4,E50-F50,F50-E50)</f>
        <v>2088961.12</v>
      </c>
      <c r="H50" s="291">
        <f>IF($H$4=$E$4,H42+E50-F50,H42+F50-E50)</f>
        <v>7282255.4900000002</v>
      </c>
    </row>
    <row r="51" spans="1:8" x14ac:dyDescent="0.25">
      <c r="A51" s="1142">
        <f>A50</f>
        <v>44712</v>
      </c>
      <c r="B51" s="1150"/>
      <c r="C51" s="1150"/>
      <c r="D51" s="1143"/>
      <c r="E51" s="191">
        <f>SUM(E46:E50)</f>
        <v>2365126.02</v>
      </c>
      <c r="F51" s="191">
        <f>SUM(F46:F50)</f>
        <v>276164.90000000002</v>
      </c>
      <c r="G51" s="297">
        <f>SUM(G46:G50)</f>
        <v>2088961.12</v>
      </c>
      <c r="H51" s="23">
        <f>IF($H$4=$E$4,E51-F51,F51-E51)</f>
        <v>2088961.12</v>
      </c>
    </row>
    <row r="52" spans="1:8" x14ac:dyDescent="0.25">
      <c r="A52" s="1147">
        <f>A51</f>
        <v>44712</v>
      </c>
      <c r="B52" s="1148"/>
      <c r="C52" s="1148"/>
      <c r="D52" s="1149"/>
      <c r="E52" s="20">
        <f>E44+E51</f>
        <v>19501272.620000001</v>
      </c>
      <c r="F52" s="20">
        <f>F44+F51</f>
        <v>2726025.08</v>
      </c>
      <c r="G52" s="295">
        <f>G43+G51</f>
        <v>4492490.51</v>
      </c>
      <c r="H52" s="20">
        <f>IF($H$4=$E$4,E52-F52,F52-E52)</f>
        <v>16775247.539999999</v>
      </c>
    </row>
    <row r="53" spans="1:8" x14ac:dyDescent="0.25">
      <c r="A53" s="11"/>
      <c r="B53" s="188"/>
      <c r="C53" s="190"/>
      <c r="D53" s="12"/>
      <c r="E53" s="13"/>
      <c r="F53" s="13"/>
      <c r="G53" s="296"/>
      <c r="H53" s="12"/>
    </row>
    <row r="54" spans="1:8" x14ac:dyDescent="0.25">
      <c r="A54" s="11">
        <f>Account!$G$17</f>
        <v>44742</v>
      </c>
      <c r="B54" s="189" t="str">
        <f>IF(C54=0,0,VLOOKUP(C54,Account!$F$26:$G$51,2))</f>
        <v>Regional Office</v>
      </c>
      <c r="C54" s="61" t="s">
        <v>494</v>
      </c>
      <c r="D54" s="14"/>
      <c r="E54" s="17">
        <f t="array" ref="E54">(SUM(IF((CkDJ[Date]=A54)*(CkDJ[Account Code]=TRIM($B$2))*(CkDJ[Sort Code]=C54),CkDJ[Debit])))+(SUM(IF((CsDJ[Date]=A54)*(CsDJ[Account Code]=TRIM($B$2))*(CsDJ[Sort Code]=C54),CsDJ[Debit])))+(SUM(IF((CRDJ[Date]=A54)*(CRDJ[Account Code]=TRIM($B$2))*(CRDJ[Sort Code]=C54),CRDJ[Debit])))+(SUM(IF((GJ[Date]=A54)*(GJ[Account Code]=TRIM($B$2))*(GJ[Sort Code]=C54),GJ[Debit])))</f>
        <v>0</v>
      </c>
      <c r="F54" s="17">
        <f t="array" ref="F54">(SUM(IF((CkDJ[Date]=A54)*(CkDJ[Account Code]=TRIM($B$2))*(CkDJ[Sort Code]=C54),CkDJ[Credit])))+(SUM(IF((CsDJ[Date]=A54)*(CsDJ[Account Code]=TRIM($B$2))*(CsDJ[Sort Code]=C54),CsDJ[Credit])))+(SUM(IF((CRDJ[Date]=A54)*(CRDJ[Account Code]=TRIM($B$2))*(CRDJ[Sort Code]=C54),CRDJ[Credit])))+(SUM(IF((GJ[Date]=A54)*(GJ[Account Code]=TRIM($B$2))*(GJ[Sort Code]=C54),GJ[Credit])))</f>
        <v>0</v>
      </c>
      <c r="G54" s="294">
        <f>IF($H$4=$E$4,E54-F54,F54-E54)</f>
        <v>0</v>
      </c>
      <c r="H54" s="291">
        <f>IF($H$4=$E$4,H46+E54-F54,H46+F54-E54)</f>
        <v>0</v>
      </c>
    </row>
    <row r="55" spans="1:8" x14ac:dyDescent="0.25">
      <c r="A55" s="11">
        <f>Account!$G$17</f>
        <v>44742</v>
      </c>
      <c r="B55" s="189" t="str">
        <f>IF(C55=0,0,VLOOKUP(C55,Account!$F$26:$G$51,2))</f>
        <v>Ilocos Norte IMO</v>
      </c>
      <c r="C55" s="61" t="s">
        <v>484</v>
      </c>
      <c r="D55" s="14"/>
      <c r="E55" s="17">
        <f t="array" ref="E55">(SUM(IF((CkDJ[Date]=A55)*(CkDJ[Account Code]=TRIM($B$2))*(CkDJ[Sort Code]=C55),CkDJ[Debit])))+(SUM(IF((CsDJ[Date]=A55)*(CsDJ[Account Code]=TRIM($B$2))*(CsDJ[Sort Code]=C55),CsDJ[Debit])))+(SUM(IF((CRDJ[Date]=A55)*(CRDJ[Account Code]=TRIM($B$2))*(CRDJ[Sort Code]=C55),CRDJ[Debit])))+(SUM(IF((GJ[Date]=A55)*(GJ[Account Code]=TRIM($B$2))*(GJ[Sort Code]=C55),GJ[Debit])))</f>
        <v>0</v>
      </c>
      <c r="F55" s="17">
        <f t="array" ref="F55">(SUM(IF((CkDJ[Date]=A55)*(CkDJ[Account Code]=TRIM($B$2))*(CkDJ[Sort Code]=C55),CkDJ[Credit])))+(SUM(IF((CsDJ[Date]=A55)*(CsDJ[Account Code]=TRIM($B$2))*(CsDJ[Sort Code]=C55),CsDJ[Credit])))+(SUM(IF((CRDJ[Date]=A55)*(CRDJ[Account Code]=TRIM($B$2))*(CRDJ[Sort Code]=C55),CRDJ[Credit])))+(SUM(IF((GJ[Date]=A55)*(GJ[Account Code]=TRIM($B$2))*(GJ[Sort Code]=C55),GJ[Credit])))</f>
        <v>0</v>
      </c>
      <c r="G55" s="294">
        <f>IF($H$4=$E$4,E55-F55,F55-E55)</f>
        <v>0</v>
      </c>
      <c r="H55" s="291">
        <f>IF($H$4=$E$4,H47+E55-F55,H47+F55-E55)</f>
        <v>3925235.81</v>
      </c>
    </row>
    <row r="56" spans="1:8" x14ac:dyDescent="0.25">
      <c r="A56" s="11">
        <f>Account!$G$17</f>
        <v>44742</v>
      </c>
      <c r="B56" s="189" t="str">
        <f>IF(C56=0,0,VLOOKUP(C56,Account!$F$26:$G$51,2))</f>
        <v>Ilocos Sur IMO</v>
      </c>
      <c r="C56" s="61" t="s">
        <v>485</v>
      </c>
      <c r="D56" s="14"/>
      <c r="E56" s="17">
        <f t="array" ref="E56">(SUM(IF((CkDJ[Date]=A56)*(CkDJ[Account Code]=TRIM($B$2))*(CkDJ[Sort Code]=C56),CkDJ[Debit])))+(SUM(IF((CsDJ[Date]=A56)*(CsDJ[Account Code]=TRIM($B$2))*(CsDJ[Sort Code]=C56),CsDJ[Debit])))+(SUM(IF((CRDJ[Date]=A56)*(CRDJ[Account Code]=TRIM($B$2))*(CRDJ[Sort Code]=C56),CRDJ[Debit])))+(SUM(IF((GJ[Date]=A56)*(GJ[Account Code]=TRIM($B$2))*(GJ[Sort Code]=C56),GJ[Debit])))</f>
        <v>0</v>
      </c>
      <c r="F56" s="17">
        <f t="array" ref="F56">(SUM(IF((CkDJ[Date]=A56)*(CkDJ[Account Code]=TRIM($B$2))*(CkDJ[Sort Code]=C56),CkDJ[Credit])))+(SUM(IF((CsDJ[Date]=A56)*(CsDJ[Account Code]=TRIM($B$2))*(CsDJ[Sort Code]=C56),CsDJ[Credit])))+(SUM(IF((CRDJ[Date]=A56)*(CRDJ[Account Code]=TRIM($B$2))*(CRDJ[Sort Code]=C56),CRDJ[Credit])))+(SUM(IF((GJ[Date]=A56)*(GJ[Account Code]=TRIM($B$2))*(GJ[Sort Code]=C56),GJ[Credit])))</f>
        <v>0</v>
      </c>
      <c r="G56" s="294">
        <f>IF($H$4=$E$4,E56-F56,F56-E56)</f>
        <v>0</v>
      </c>
      <c r="H56" s="291">
        <f>IF($H$4=$E$4,H48+E56-F56,H48+F56-E56)</f>
        <v>2107459.96</v>
      </c>
    </row>
    <row r="57" spans="1:8" x14ac:dyDescent="0.25">
      <c r="A57" s="11">
        <f>Account!$G$17</f>
        <v>44742</v>
      </c>
      <c r="B57" s="189" t="str">
        <f>IF(C57=0,0,VLOOKUP(C57,Account!$F$26:$G$51,2))</f>
        <v>La Union</v>
      </c>
      <c r="C57" s="61" t="s">
        <v>486</v>
      </c>
      <c r="D57" s="14"/>
      <c r="E57" s="17">
        <f t="array" ref="E57">(SUM(IF((CkDJ[Date]=A57)*(CkDJ[Account Code]=TRIM($B$2))*(CkDJ[Sort Code]=C57),CkDJ[Debit])))+(SUM(IF((CsDJ[Date]=A57)*(CsDJ[Account Code]=TRIM($B$2))*(CsDJ[Sort Code]=C57),CsDJ[Debit])))+(SUM(IF((CRDJ[Date]=A57)*(CRDJ[Account Code]=TRIM($B$2))*(CRDJ[Sort Code]=C57),CRDJ[Debit])))+(SUM(IF((GJ[Date]=A57)*(GJ[Account Code]=TRIM($B$2))*(GJ[Sort Code]=C57),GJ[Debit])))</f>
        <v>0</v>
      </c>
      <c r="F57" s="17">
        <f t="array" ref="F57">(SUM(IF((CkDJ[Date]=A57)*(CkDJ[Account Code]=TRIM($B$2))*(CkDJ[Sort Code]=C57),CkDJ[Credit])))+(SUM(IF((CsDJ[Date]=A57)*(CsDJ[Account Code]=TRIM($B$2))*(CsDJ[Sort Code]=C57),CsDJ[Credit])))+(SUM(IF((CRDJ[Date]=A57)*(CRDJ[Account Code]=TRIM($B$2))*(CRDJ[Sort Code]=C57),CRDJ[Credit])))+(SUM(IF((GJ[Date]=A57)*(GJ[Account Code]=TRIM($B$2))*(GJ[Sort Code]=C57),GJ[Credit])))</f>
        <v>0</v>
      </c>
      <c r="G57" s="294">
        <f>IF($H$4=$E$4,E57-F57,F57-E57)</f>
        <v>0</v>
      </c>
      <c r="H57" s="291">
        <f>IF($H$4=$E$4,H49+E57-F57,H49+F57-E57)</f>
        <v>3460296.28</v>
      </c>
    </row>
    <row r="58" spans="1:8" x14ac:dyDescent="0.25">
      <c r="A58" s="11">
        <f>Account!$G$17</f>
        <v>44742</v>
      </c>
      <c r="B58" s="189" t="str">
        <f>IF(C58=0,0,VLOOKUP(C58,Account!$F$26:$G$51,2))</f>
        <v>Pangasinan IMO</v>
      </c>
      <c r="C58" s="61" t="s">
        <v>762</v>
      </c>
      <c r="D58" s="14"/>
      <c r="E58" s="17">
        <f t="array" ref="E58">(SUM(IF((CkDJ[Date]=A58)*(CkDJ[Account Code]=TRIM($B$2))*(CkDJ[Sort Code]=C58),CkDJ[Debit])))+(SUM(IF((CsDJ[Date]=A58)*(CsDJ[Account Code]=TRIM($B$2))*(CsDJ[Sort Code]=C58),CsDJ[Debit])))+(SUM(IF((CRDJ[Date]=A58)*(CRDJ[Account Code]=TRIM($B$2))*(CRDJ[Sort Code]=C58),CRDJ[Debit])))+(SUM(IF((GJ[Date]=A58)*(GJ[Account Code]=TRIM($B$2))*(GJ[Sort Code]=C58),GJ[Debit])))</f>
        <v>103777.61</v>
      </c>
      <c r="F58" s="17">
        <f t="array" ref="F58">(SUM(IF((CkDJ[Date]=A58)*(CkDJ[Account Code]=TRIM($B$2))*(CkDJ[Sort Code]=C58),CkDJ[Credit])))+(SUM(IF((CsDJ[Date]=A58)*(CsDJ[Account Code]=TRIM($B$2))*(CsDJ[Sort Code]=C58),CsDJ[Credit])))+(SUM(IF((CRDJ[Date]=A58)*(CRDJ[Account Code]=TRIM($B$2))*(CRDJ[Sort Code]=C58),CRDJ[Credit])))+(SUM(IF((GJ[Date]=A58)*(GJ[Account Code]=TRIM($B$2))*(GJ[Sort Code]=C58),GJ[Credit])))</f>
        <v>227015.04000000001</v>
      </c>
      <c r="G58" s="294">
        <f>IF($H$4=$E$4,E58-F58,F58-E58)</f>
        <v>-123237.43</v>
      </c>
      <c r="H58" s="291">
        <f>IF($H$4=$E$4,H50+E58-F58,H50+F58-E58)</f>
        <v>7159018.0599999996</v>
      </c>
    </row>
    <row r="59" spans="1:8" x14ac:dyDescent="0.25">
      <c r="A59" s="1142">
        <f>A58</f>
        <v>44742</v>
      </c>
      <c r="B59" s="1150"/>
      <c r="C59" s="1150"/>
      <c r="D59" s="1143"/>
      <c r="E59" s="191">
        <f>SUM(E54:E58)</f>
        <v>103777.61</v>
      </c>
      <c r="F59" s="191">
        <f>SUM(F54:F58)</f>
        <v>227015.04000000001</v>
      </c>
      <c r="G59" s="297">
        <f>SUM(G54:G58)</f>
        <v>-123237.43</v>
      </c>
      <c r="H59" s="23">
        <f>IF($H$4=$E$4,E59-F59,F59-E59)</f>
        <v>-123237.43</v>
      </c>
    </row>
    <row r="60" spans="1:8" x14ac:dyDescent="0.25">
      <c r="A60" s="1147">
        <f>A59</f>
        <v>44742</v>
      </c>
      <c r="B60" s="1148"/>
      <c r="C60" s="1148"/>
      <c r="D60" s="1149"/>
      <c r="E60" s="20">
        <f>E52+E59</f>
        <v>19605050.23</v>
      </c>
      <c r="F60" s="20">
        <f>F52+F59</f>
        <v>2953040.12</v>
      </c>
      <c r="G60" s="295">
        <f>G51+G59</f>
        <v>1965723.69</v>
      </c>
      <c r="H60" s="20">
        <f>IF($H$4=$E$4,E60-F60,F60-E60)</f>
        <v>16652010.109999999</v>
      </c>
    </row>
    <row r="61" spans="1:8" x14ac:dyDescent="0.25">
      <c r="A61" s="11"/>
      <c r="B61" s="188"/>
      <c r="C61" s="190"/>
      <c r="D61" s="12"/>
      <c r="E61" s="13"/>
      <c r="F61" s="13"/>
      <c r="G61" s="296"/>
      <c r="H61" s="12"/>
    </row>
    <row r="62" spans="1:8" x14ac:dyDescent="0.25">
      <c r="A62" s="11">
        <f>Account!$G$18</f>
        <v>44773</v>
      </c>
      <c r="B62" s="189" t="str">
        <f>IF(C62=0,0,VLOOKUP(C62,Account!$F$26:$G$51,2))</f>
        <v>Regional Office</v>
      </c>
      <c r="C62" s="61" t="s">
        <v>494</v>
      </c>
      <c r="D62" s="14"/>
      <c r="E62" s="17">
        <f t="array" ref="E62">(SUM(IF((CkDJ[Date]=A62)*(CkDJ[Account Code]=TRIM($B$2))*(CkDJ[Sort Code]=C62),CkDJ[Debit])))+(SUM(IF((CsDJ[Date]=A62)*(CsDJ[Account Code]=TRIM($B$2))*(CsDJ[Sort Code]=C62),CsDJ[Debit])))+(SUM(IF((CRDJ[Date]=A62)*(CRDJ[Account Code]=TRIM($B$2))*(CRDJ[Sort Code]=C62),CRDJ[Debit])))+(SUM(IF((GJ[Date]=A62)*(GJ[Account Code]=TRIM($B$2))*(GJ[Sort Code]=C62),GJ[Debit])))</f>
        <v>0</v>
      </c>
      <c r="F62" s="17">
        <f t="array" ref="F62">(SUM(IF((CkDJ[Date]=A62)*(CkDJ[Account Code]=TRIM($B$2))*(CkDJ[Sort Code]=C62),CkDJ[Credit])))+(SUM(IF((CsDJ[Date]=A62)*(CsDJ[Account Code]=TRIM($B$2))*(CsDJ[Sort Code]=C62),CsDJ[Credit])))+(SUM(IF((CRDJ[Date]=A62)*(CRDJ[Account Code]=TRIM($B$2))*(CRDJ[Sort Code]=C62),CRDJ[Credit])))+(SUM(IF((GJ[Date]=A62)*(GJ[Account Code]=TRIM($B$2))*(GJ[Sort Code]=C62),GJ[Credit])))</f>
        <v>0</v>
      </c>
      <c r="G62" s="294">
        <f>IF($H$4=$E$4,E62-F62,F62-E62)</f>
        <v>0</v>
      </c>
      <c r="H62" s="291">
        <f>IF($H$4=$E$4,H54+E62-F62,H54+F62-E62)</f>
        <v>0</v>
      </c>
    </row>
    <row r="63" spans="1:8" x14ac:dyDescent="0.25">
      <c r="A63" s="11">
        <f>Account!$G$18</f>
        <v>44773</v>
      </c>
      <c r="B63" s="189" t="str">
        <f>IF(C63=0,0,VLOOKUP(C63,Account!$F$26:$G$51,2))</f>
        <v>Ilocos Norte IMO</v>
      </c>
      <c r="C63" s="61" t="s">
        <v>484</v>
      </c>
      <c r="D63" s="14"/>
      <c r="E63" s="17">
        <f t="array" ref="E63">(SUM(IF((CkDJ[Date]=A63)*(CkDJ[Account Code]=TRIM($B$2))*(CkDJ[Sort Code]=C63),CkDJ[Debit])))+(SUM(IF((CsDJ[Date]=A63)*(CsDJ[Account Code]=TRIM($B$2))*(CsDJ[Sort Code]=C63),CsDJ[Debit])))+(SUM(IF((CRDJ[Date]=A63)*(CRDJ[Account Code]=TRIM($B$2))*(CRDJ[Sort Code]=C63),CRDJ[Debit])))+(SUM(IF((GJ[Date]=A63)*(GJ[Account Code]=TRIM($B$2))*(GJ[Sort Code]=C63),GJ[Debit])))</f>
        <v>0</v>
      </c>
      <c r="F63" s="17">
        <f t="array" ref="F63">(SUM(IF((CkDJ[Date]=A63)*(CkDJ[Account Code]=TRIM($B$2))*(CkDJ[Sort Code]=C63),CkDJ[Credit])))+(SUM(IF((CsDJ[Date]=A63)*(CsDJ[Account Code]=TRIM($B$2))*(CsDJ[Sort Code]=C63),CsDJ[Credit])))+(SUM(IF((CRDJ[Date]=A63)*(CRDJ[Account Code]=TRIM($B$2))*(CRDJ[Sort Code]=C63),CRDJ[Credit])))+(SUM(IF((GJ[Date]=A63)*(GJ[Account Code]=TRIM($B$2))*(GJ[Sort Code]=C63),GJ[Credit])))</f>
        <v>0</v>
      </c>
      <c r="G63" s="294">
        <f>IF($H$4=$E$4,E63-F63,F63-E63)</f>
        <v>0</v>
      </c>
      <c r="H63" s="291">
        <f>IF($H$4=$E$4,H55+E63-F63,H55+F63-E63)</f>
        <v>3925235.81</v>
      </c>
    </row>
    <row r="64" spans="1:8" x14ac:dyDescent="0.25">
      <c r="A64" s="11">
        <f>Account!$G$18</f>
        <v>44773</v>
      </c>
      <c r="B64" s="189" t="str">
        <f>IF(C64=0,0,VLOOKUP(C64,Account!$F$26:$G$51,2))</f>
        <v>Ilocos Sur IMO</v>
      </c>
      <c r="C64" s="61" t="s">
        <v>485</v>
      </c>
      <c r="D64" s="14"/>
      <c r="E64" s="17">
        <f t="array" ref="E64">(SUM(IF((CkDJ[Date]=A64)*(CkDJ[Account Code]=TRIM($B$2))*(CkDJ[Sort Code]=C64),CkDJ[Debit])))+(SUM(IF((CsDJ[Date]=A64)*(CsDJ[Account Code]=TRIM($B$2))*(CsDJ[Sort Code]=C64),CsDJ[Debit])))+(SUM(IF((CRDJ[Date]=A64)*(CRDJ[Account Code]=TRIM($B$2))*(CRDJ[Sort Code]=C64),CRDJ[Debit])))+(SUM(IF((GJ[Date]=A64)*(GJ[Account Code]=TRIM($B$2))*(GJ[Sort Code]=C64),GJ[Debit])))</f>
        <v>0</v>
      </c>
      <c r="F64" s="17">
        <f t="array" ref="F64">(SUM(IF((CkDJ[Date]=A64)*(CkDJ[Account Code]=TRIM($B$2))*(CkDJ[Sort Code]=C64),CkDJ[Credit])))+(SUM(IF((CsDJ[Date]=A64)*(CsDJ[Account Code]=TRIM($B$2))*(CsDJ[Sort Code]=C64),CsDJ[Credit])))+(SUM(IF((CRDJ[Date]=A64)*(CRDJ[Account Code]=TRIM($B$2))*(CRDJ[Sort Code]=C64),CRDJ[Credit])))+(SUM(IF((GJ[Date]=A64)*(GJ[Account Code]=TRIM($B$2))*(GJ[Sort Code]=C64),GJ[Credit])))</f>
        <v>0</v>
      </c>
      <c r="G64" s="294">
        <f>IF($H$4=$E$4,E64-F64,F64-E64)</f>
        <v>0</v>
      </c>
      <c r="H64" s="291">
        <f>IF($H$4=$E$4,H56+E64-F64,H56+F64-E64)</f>
        <v>2107459.96</v>
      </c>
    </row>
    <row r="65" spans="1:8" x14ac:dyDescent="0.25">
      <c r="A65" s="11">
        <f>Account!$G$18</f>
        <v>44773</v>
      </c>
      <c r="B65" s="189" t="str">
        <f>IF(C65=0,0,VLOOKUP(C65,Account!$F$26:$G$51,2))</f>
        <v>La Union</v>
      </c>
      <c r="C65" s="61" t="s">
        <v>486</v>
      </c>
      <c r="D65" s="14"/>
      <c r="E65" s="17">
        <f t="array" ref="E65">(SUM(IF((CkDJ[Date]=A65)*(CkDJ[Account Code]=TRIM($B$2))*(CkDJ[Sort Code]=C65),CkDJ[Debit])))+(SUM(IF((CsDJ[Date]=A65)*(CsDJ[Account Code]=TRIM($B$2))*(CsDJ[Sort Code]=C65),CsDJ[Debit])))+(SUM(IF((CRDJ[Date]=A65)*(CRDJ[Account Code]=TRIM($B$2))*(CRDJ[Sort Code]=C65),CRDJ[Debit])))+(SUM(IF((GJ[Date]=A65)*(GJ[Account Code]=TRIM($B$2))*(GJ[Sort Code]=C65),GJ[Debit])))</f>
        <v>0</v>
      </c>
      <c r="F65" s="17">
        <f t="array" ref="F65">(SUM(IF((CkDJ[Date]=A65)*(CkDJ[Account Code]=TRIM($B$2))*(CkDJ[Sort Code]=C65),CkDJ[Credit])))+(SUM(IF((CsDJ[Date]=A65)*(CsDJ[Account Code]=TRIM($B$2))*(CsDJ[Sort Code]=C65),CsDJ[Credit])))+(SUM(IF((CRDJ[Date]=A65)*(CRDJ[Account Code]=TRIM($B$2))*(CRDJ[Sort Code]=C65),CRDJ[Credit])))+(SUM(IF((GJ[Date]=A65)*(GJ[Account Code]=TRIM($B$2))*(GJ[Sort Code]=C65),GJ[Credit])))</f>
        <v>0</v>
      </c>
      <c r="G65" s="294">
        <f>IF($H$4=$E$4,E65-F65,F65-E65)</f>
        <v>0</v>
      </c>
      <c r="H65" s="291">
        <f>IF($H$4=$E$4,H57+E65-F65,H57+F65-E65)</f>
        <v>3460296.28</v>
      </c>
    </row>
    <row r="66" spans="1:8" x14ac:dyDescent="0.25">
      <c r="A66" s="11">
        <f>Account!$G$18</f>
        <v>44773</v>
      </c>
      <c r="B66" s="189" t="str">
        <f>IF(C66=0,0,VLOOKUP(C66,Account!$F$26:$G$51,2))</f>
        <v>Pangasinan IMO</v>
      </c>
      <c r="C66" s="61" t="s">
        <v>762</v>
      </c>
      <c r="D66" s="14"/>
      <c r="E66" s="17">
        <f t="array" ref="E66">(SUM(IF((CkDJ[Date]=A66)*(CkDJ[Account Code]=TRIM($B$2))*(CkDJ[Sort Code]=C66),CkDJ[Debit])))+(SUM(IF((CsDJ[Date]=A66)*(CsDJ[Account Code]=TRIM($B$2))*(CsDJ[Sort Code]=C66),CsDJ[Debit])))+(SUM(IF((CRDJ[Date]=A66)*(CRDJ[Account Code]=TRIM($B$2))*(CRDJ[Sort Code]=C66),CRDJ[Debit])))+(SUM(IF((GJ[Date]=A66)*(GJ[Account Code]=TRIM($B$2))*(GJ[Sort Code]=C66),GJ[Debit])))</f>
        <v>249423.68</v>
      </c>
      <c r="F66" s="17">
        <f t="array" ref="F66">(SUM(IF((CkDJ[Date]=A66)*(CkDJ[Account Code]=TRIM($B$2))*(CkDJ[Sort Code]=C66),CkDJ[Credit])))+(SUM(IF((CsDJ[Date]=A66)*(CsDJ[Account Code]=TRIM($B$2))*(CsDJ[Sort Code]=C66),CsDJ[Credit])))+(SUM(IF((CRDJ[Date]=A66)*(CRDJ[Account Code]=TRIM($B$2))*(CRDJ[Sort Code]=C66),CRDJ[Credit])))+(SUM(IF((GJ[Date]=A66)*(GJ[Account Code]=TRIM($B$2))*(GJ[Sort Code]=C66),GJ[Credit])))</f>
        <v>164761.93</v>
      </c>
      <c r="G66" s="294">
        <f>IF($H$4=$E$4,E66-F66,F66-E66)</f>
        <v>84661.75</v>
      </c>
      <c r="H66" s="291">
        <f>IF($H$4=$E$4,H58+E66-F66,H58+F66-E66)</f>
        <v>7243679.8099999996</v>
      </c>
    </row>
    <row r="67" spans="1:8" x14ac:dyDescent="0.25">
      <c r="A67" s="1142">
        <f>A66</f>
        <v>44773</v>
      </c>
      <c r="B67" s="1150"/>
      <c r="C67" s="1150"/>
      <c r="D67" s="1143"/>
      <c r="E67" s="191">
        <f>SUM(E62:E66)</f>
        <v>249423.68</v>
      </c>
      <c r="F67" s="191">
        <f>SUM(F62:F66)</f>
        <v>164761.93</v>
      </c>
      <c r="G67" s="297">
        <f>SUM(G62:G66)</f>
        <v>84661.75</v>
      </c>
      <c r="H67" s="23">
        <f>IF($H$4=$E$4,E67-F67,F67-E67)</f>
        <v>84661.75</v>
      </c>
    </row>
    <row r="68" spans="1:8" x14ac:dyDescent="0.25">
      <c r="A68" s="1147">
        <f>A67</f>
        <v>44773</v>
      </c>
      <c r="B68" s="1148"/>
      <c r="C68" s="1148"/>
      <c r="D68" s="1149"/>
      <c r="E68" s="20">
        <f>E60+E67</f>
        <v>19854473.91</v>
      </c>
      <c r="F68" s="20">
        <f>F60+F67</f>
        <v>3117802.05</v>
      </c>
      <c r="G68" s="295">
        <f>G59+G67</f>
        <v>-38575.68</v>
      </c>
      <c r="H68" s="20">
        <f>IF($H$4=$E$4,E68-F68,F68-E68)</f>
        <v>16736671.859999999</v>
      </c>
    </row>
    <row r="69" spans="1:8" x14ac:dyDescent="0.25">
      <c r="A69" s="11"/>
      <c r="B69" s="188"/>
      <c r="C69" s="190"/>
      <c r="D69" s="12"/>
      <c r="E69" s="13"/>
      <c r="F69" s="13"/>
      <c r="G69" s="296"/>
      <c r="H69" s="12"/>
    </row>
    <row r="70" spans="1:8" x14ac:dyDescent="0.25">
      <c r="A70" s="11">
        <f>Account!$G$19</f>
        <v>44804</v>
      </c>
      <c r="B70" s="189" t="str">
        <f>IF(C70=0,0,VLOOKUP(C70,Account!$F$26:$G$51,2))</f>
        <v>Regional Office</v>
      </c>
      <c r="C70" s="61" t="s">
        <v>494</v>
      </c>
      <c r="D70" s="14"/>
      <c r="E70" s="17">
        <f t="array" ref="E70">(SUM(IF((CkDJ[Date]=A70)*(CkDJ[Account Code]=TRIM($B$2))*(CkDJ[Sort Code]=C70),CkDJ[Debit])))+(SUM(IF((CsDJ[Date]=A70)*(CsDJ[Account Code]=TRIM($B$2))*(CsDJ[Sort Code]=C70),CsDJ[Debit])))+(SUM(IF((CRDJ[Date]=A70)*(CRDJ[Account Code]=TRIM($B$2))*(CRDJ[Sort Code]=C70),CRDJ[Debit])))+(SUM(IF((GJ[Date]=A70)*(GJ[Account Code]=TRIM($B$2))*(GJ[Sort Code]=C70),GJ[Debit])))</f>
        <v>0</v>
      </c>
      <c r="F70" s="17">
        <f t="array" ref="F70">(SUM(IF((CkDJ[Date]=A70)*(CkDJ[Account Code]=TRIM($B$2))*(CkDJ[Sort Code]=C70),CkDJ[Credit])))+(SUM(IF((CsDJ[Date]=A70)*(CsDJ[Account Code]=TRIM($B$2))*(CsDJ[Sort Code]=C70),CsDJ[Credit])))+(SUM(IF((CRDJ[Date]=A70)*(CRDJ[Account Code]=TRIM($B$2))*(CRDJ[Sort Code]=C70),CRDJ[Credit])))+(SUM(IF((GJ[Date]=A70)*(GJ[Account Code]=TRIM($B$2))*(GJ[Sort Code]=C70),GJ[Credit])))</f>
        <v>0</v>
      </c>
      <c r="G70" s="294">
        <f>IF($H$4=$E$4,E70-F70,F70-E70)</f>
        <v>0</v>
      </c>
      <c r="H70" s="291">
        <f>IF($H$4=$E$4,H62+E70-F70,H62+F70-E70)</f>
        <v>0</v>
      </c>
    </row>
    <row r="71" spans="1:8" x14ac:dyDescent="0.25">
      <c r="A71" s="11">
        <f>Account!$G$19</f>
        <v>44804</v>
      </c>
      <c r="B71" s="189" t="str">
        <f>IF(C71=0,0,VLOOKUP(C71,Account!$F$26:$G$51,2))</f>
        <v>Ilocos Norte IMO</v>
      </c>
      <c r="C71" s="61" t="s">
        <v>484</v>
      </c>
      <c r="D71" s="14"/>
      <c r="E71" s="17">
        <f t="array" ref="E71">(SUM(IF((CkDJ[Date]=A71)*(CkDJ[Account Code]=TRIM($B$2))*(CkDJ[Sort Code]=C71),CkDJ[Debit])))+(SUM(IF((CsDJ[Date]=A71)*(CsDJ[Account Code]=TRIM($B$2))*(CsDJ[Sort Code]=C71),CsDJ[Debit])))+(SUM(IF((CRDJ[Date]=A71)*(CRDJ[Account Code]=TRIM($B$2))*(CRDJ[Sort Code]=C71),CRDJ[Debit])))+(SUM(IF((GJ[Date]=A71)*(GJ[Account Code]=TRIM($B$2))*(GJ[Sort Code]=C71),GJ[Debit])))</f>
        <v>0</v>
      </c>
      <c r="F71" s="17">
        <f t="array" ref="F71">(SUM(IF((CkDJ[Date]=A71)*(CkDJ[Account Code]=TRIM($B$2))*(CkDJ[Sort Code]=C71),CkDJ[Credit])))+(SUM(IF((CsDJ[Date]=A71)*(CsDJ[Account Code]=TRIM($B$2))*(CsDJ[Sort Code]=C71),CsDJ[Credit])))+(SUM(IF((CRDJ[Date]=A71)*(CRDJ[Account Code]=TRIM($B$2))*(CRDJ[Sort Code]=C71),CRDJ[Credit])))+(SUM(IF((GJ[Date]=A71)*(GJ[Account Code]=TRIM($B$2))*(GJ[Sort Code]=C71),GJ[Credit])))</f>
        <v>0</v>
      </c>
      <c r="G71" s="294">
        <f>IF($H$4=$E$4,E71-F71,F71-E71)</f>
        <v>0</v>
      </c>
      <c r="H71" s="291">
        <f>IF($H$4=$E$4,H63+E71-F71,H63+F71-E71)</f>
        <v>3925235.81</v>
      </c>
    </row>
    <row r="72" spans="1:8" x14ac:dyDescent="0.25">
      <c r="A72" s="11">
        <f>Account!$G$19</f>
        <v>44804</v>
      </c>
      <c r="B72" s="189" t="str">
        <f>IF(C72=0,0,VLOOKUP(C72,Account!$F$26:$G$51,2))</f>
        <v>Ilocos Sur IMO</v>
      </c>
      <c r="C72" s="61" t="s">
        <v>485</v>
      </c>
      <c r="D72" s="14"/>
      <c r="E72" s="17">
        <f t="array" ref="E72">(SUM(IF((CkDJ[Date]=A72)*(CkDJ[Account Code]=TRIM($B$2))*(CkDJ[Sort Code]=C72),CkDJ[Debit])))+(SUM(IF((CsDJ[Date]=A72)*(CsDJ[Account Code]=TRIM($B$2))*(CsDJ[Sort Code]=C72),CsDJ[Debit])))+(SUM(IF((CRDJ[Date]=A72)*(CRDJ[Account Code]=TRIM($B$2))*(CRDJ[Sort Code]=C72),CRDJ[Debit])))+(SUM(IF((GJ[Date]=A72)*(GJ[Account Code]=TRIM($B$2))*(GJ[Sort Code]=C72),GJ[Debit])))</f>
        <v>0</v>
      </c>
      <c r="F72" s="17">
        <f t="array" ref="F72">(SUM(IF((CkDJ[Date]=A72)*(CkDJ[Account Code]=TRIM($B$2))*(CkDJ[Sort Code]=C72),CkDJ[Credit])))+(SUM(IF((CsDJ[Date]=A72)*(CsDJ[Account Code]=TRIM($B$2))*(CsDJ[Sort Code]=C72),CsDJ[Credit])))+(SUM(IF((CRDJ[Date]=A72)*(CRDJ[Account Code]=TRIM($B$2))*(CRDJ[Sort Code]=C72),CRDJ[Credit])))+(SUM(IF((GJ[Date]=A72)*(GJ[Account Code]=TRIM($B$2))*(GJ[Sort Code]=C72),GJ[Credit])))</f>
        <v>0</v>
      </c>
      <c r="G72" s="294">
        <f>IF($H$4=$E$4,E72-F72,F72-E72)</f>
        <v>0</v>
      </c>
      <c r="H72" s="291">
        <f>IF($H$4=$E$4,H64+E72-F72,H64+F72-E72)</f>
        <v>2107459.96</v>
      </c>
    </row>
    <row r="73" spans="1:8" x14ac:dyDescent="0.25">
      <c r="A73" s="11">
        <f>Account!$G$19</f>
        <v>44804</v>
      </c>
      <c r="B73" s="189" t="str">
        <f>IF(C73=0,0,VLOOKUP(C73,Account!$F$26:$G$51,2))</f>
        <v>La Union</v>
      </c>
      <c r="C73" s="61" t="s">
        <v>486</v>
      </c>
      <c r="D73" s="14"/>
      <c r="E73" s="17">
        <f t="array" ref="E73">(SUM(IF((CkDJ[Date]=A73)*(CkDJ[Account Code]=TRIM($B$2))*(CkDJ[Sort Code]=C73),CkDJ[Debit])))+(SUM(IF((CsDJ[Date]=A73)*(CsDJ[Account Code]=TRIM($B$2))*(CsDJ[Sort Code]=C73),CsDJ[Debit])))+(SUM(IF((CRDJ[Date]=A73)*(CRDJ[Account Code]=TRIM($B$2))*(CRDJ[Sort Code]=C73),CRDJ[Debit])))+(SUM(IF((GJ[Date]=A73)*(GJ[Account Code]=TRIM($B$2))*(GJ[Sort Code]=C73),GJ[Debit])))</f>
        <v>0</v>
      </c>
      <c r="F73" s="17">
        <f t="array" ref="F73">(SUM(IF((CkDJ[Date]=A73)*(CkDJ[Account Code]=TRIM($B$2))*(CkDJ[Sort Code]=C73),CkDJ[Credit])))+(SUM(IF((CsDJ[Date]=A73)*(CsDJ[Account Code]=TRIM($B$2))*(CsDJ[Sort Code]=C73),CsDJ[Credit])))+(SUM(IF((CRDJ[Date]=A73)*(CRDJ[Account Code]=TRIM($B$2))*(CRDJ[Sort Code]=C73),CRDJ[Credit])))+(SUM(IF((GJ[Date]=A73)*(GJ[Account Code]=TRIM($B$2))*(GJ[Sort Code]=C73),GJ[Credit])))</f>
        <v>0</v>
      </c>
      <c r="G73" s="294">
        <f>IF($H$4=$E$4,E73-F73,F73-E73)</f>
        <v>0</v>
      </c>
      <c r="H73" s="291">
        <f>IF($H$4=$E$4,H65+E73-F73,H65+F73-E73)</f>
        <v>3460296.28</v>
      </c>
    </row>
    <row r="74" spans="1:8" x14ac:dyDescent="0.25">
      <c r="A74" s="11">
        <f>Account!$G$19</f>
        <v>44804</v>
      </c>
      <c r="B74" s="189" t="str">
        <f>IF(C74=0,0,VLOOKUP(C74,Account!$F$26:$G$51,2))</f>
        <v>Pangasinan IMO</v>
      </c>
      <c r="C74" s="61" t="s">
        <v>762</v>
      </c>
      <c r="D74" s="14"/>
      <c r="E74" s="17">
        <f t="array" ref="E74">(SUM(IF((CkDJ[Date]=A74)*(CkDJ[Account Code]=TRIM($B$2))*(CkDJ[Sort Code]=C74),CkDJ[Debit])))+(SUM(IF((CsDJ[Date]=A74)*(CsDJ[Account Code]=TRIM($B$2))*(CsDJ[Sort Code]=C74),CsDJ[Debit])))+(SUM(IF((CRDJ[Date]=A74)*(CRDJ[Account Code]=TRIM($B$2))*(CRDJ[Sort Code]=C74),CRDJ[Debit])))+(SUM(IF((GJ[Date]=A74)*(GJ[Account Code]=TRIM($B$2))*(GJ[Sort Code]=C74),GJ[Debit])))</f>
        <v>97171.86</v>
      </c>
      <c r="F74" s="17">
        <f t="array" ref="F74">(SUM(IF((CkDJ[Date]=A74)*(CkDJ[Account Code]=TRIM($B$2))*(CkDJ[Sort Code]=C74),CkDJ[Credit])))+(SUM(IF((CsDJ[Date]=A74)*(CsDJ[Account Code]=TRIM($B$2))*(CsDJ[Sort Code]=C74),CsDJ[Credit])))+(SUM(IF((CRDJ[Date]=A74)*(CRDJ[Account Code]=TRIM($B$2))*(CRDJ[Sort Code]=C74),CRDJ[Credit])))+(SUM(IF((GJ[Date]=A74)*(GJ[Account Code]=TRIM($B$2))*(GJ[Sort Code]=C74),GJ[Credit])))</f>
        <v>2675412.59</v>
      </c>
      <c r="G74" s="294">
        <f>IF($H$4=$E$4,E74-F74,F74-E74)</f>
        <v>-2578240.73</v>
      </c>
      <c r="H74" s="291">
        <f>IF($H$4=$E$4,H66+E74-F74,H66+F74-E74)</f>
        <v>4665439.08</v>
      </c>
    </row>
    <row r="75" spans="1:8" x14ac:dyDescent="0.25">
      <c r="A75" s="1142">
        <f>A74</f>
        <v>44804</v>
      </c>
      <c r="B75" s="1150"/>
      <c r="C75" s="1150"/>
      <c r="D75" s="1143"/>
      <c r="E75" s="191">
        <f>SUM(E70:E74)</f>
        <v>97171.86</v>
      </c>
      <c r="F75" s="191">
        <f>SUM(F70:F74)</f>
        <v>2675412.59</v>
      </c>
      <c r="G75" s="297">
        <f>SUM(G70:G74)</f>
        <v>-2578240.73</v>
      </c>
      <c r="H75" s="23">
        <f>IF($H$4=$E$4,E75-F75,F75-E75)</f>
        <v>-2578240.73</v>
      </c>
    </row>
    <row r="76" spans="1:8" x14ac:dyDescent="0.25">
      <c r="A76" s="1147">
        <f>A75</f>
        <v>44804</v>
      </c>
      <c r="B76" s="1148"/>
      <c r="C76" s="1148"/>
      <c r="D76" s="1149"/>
      <c r="E76" s="20">
        <f>E68+E75</f>
        <v>19951645.77</v>
      </c>
      <c r="F76" s="20">
        <f>F68+F75</f>
        <v>5793214.6399999997</v>
      </c>
      <c r="G76" s="295">
        <f>G67+G75</f>
        <v>-2493578.98</v>
      </c>
      <c r="H76" s="20">
        <f>IF($H$4=$E$4,E76-F76,F76-E76)</f>
        <v>14158431.130000001</v>
      </c>
    </row>
    <row r="77" spans="1:8" x14ac:dyDescent="0.25">
      <c r="A77" s="11"/>
      <c r="B77" s="188"/>
      <c r="C77" s="190"/>
      <c r="D77" s="12"/>
      <c r="E77" s="13"/>
      <c r="F77" s="13"/>
      <c r="G77" s="296"/>
      <c r="H77" s="12"/>
    </row>
    <row r="78" spans="1:8" x14ac:dyDescent="0.25">
      <c r="A78" s="11">
        <f>Account!$G$20</f>
        <v>44834</v>
      </c>
      <c r="B78" s="189" t="str">
        <f>IF(C78=0,0,VLOOKUP(C78,Account!$F$26:$G$51,2))</f>
        <v>Regional Office</v>
      </c>
      <c r="C78" s="61" t="s">
        <v>494</v>
      </c>
      <c r="D78" s="14"/>
      <c r="E78" s="17">
        <f t="array" ref="E78">(SUM(IF((CkDJ[Date]=A78)*(CkDJ[Account Code]=TRIM($B$2))*(CkDJ[Sort Code]=C78),CkDJ[Debit])))+(SUM(IF((CsDJ[Date]=A78)*(CsDJ[Account Code]=TRIM($B$2))*(CsDJ[Sort Code]=C78),CsDJ[Debit])))+(SUM(IF((CRDJ[Date]=A78)*(CRDJ[Account Code]=TRIM($B$2))*(CRDJ[Sort Code]=C78),CRDJ[Debit])))+(SUM(IF((GJ[Date]=A78)*(GJ[Account Code]=TRIM($B$2))*(GJ[Sort Code]=C78),GJ[Debit])))</f>
        <v>0</v>
      </c>
      <c r="F78" s="17">
        <f t="array" ref="F78">(SUM(IF((CkDJ[Date]=A78)*(CkDJ[Account Code]=TRIM($B$2))*(CkDJ[Sort Code]=C78),CkDJ[Credit])))+(SUM(IF((CsDJ[Date]=A78)*(CsDJ[Account Code]=TRIM($B$2))*(CsDJ[Sort Code]=C78),CsDJ[Credit])))+(SUM(IF((CRDJ[Date]=A78)*(CRDJ[Account Code]=TRIM($B$2))*(CRDJ[Sort Code]=C78),CRDJ[Credit])))+(SUM(IF((GJ[Date]=A78)*(GJ[Account Code]=TRIM($B$2))*(GJ[Sort Code]=C78),GJ[Credit])))</f>
        <v>0</v>
      </c>
      <c r="G78" s="294">
        <f>IF($H$4=$E$4,E78-F78,F78-E78)</f>
        <v>0</v>
      </c>
      <c r="H78" s="291">
        <f>IF($H$4=$E$4,H70+E78-F78,H70+F78-E78)</f>
        <v>0</v>
      </c>
    </row>
    <row r="79" spans="1:8" x14ac:dyDescent="0.25">
      <c r="A79" s="11">
        <f>Account!$G$20</f>
        <v>44834</v>
      </c>
      <c r="B79" s="189" t="str">
        <f>IF(C79=0,0,VLOOKUP(C79,Account!$F$26:$G$51,2))</f>
        <v>Ilocos Norte IMO</v>
      </c>
      <c r="C79" s="61" t="s">
        <v>484</v>
      </c>
      <c r="D79" s="14"/>
      <c r="E79" s="17">
        <f t="array" ref="E79">(SUM(IF((CkDJ[Date]=A79)*(CkDJ[Account Code]=TRIM($B$2))*(CkDJ[Sort Code]=C79),CkDJ[Debit])))+(SUM(IF((CsDJ[Date]=A79)*(CsDJ[Account Code]=TRIM($B$2))*(CsDJ[Sort Code]=C79),CsDJ[Debit])))+(SUM(IF((CRDJ[Date]=A79)*(CRDJ[Account Code]=TRIM($B$2))*(CRDJ[Sort Code]=C79),CRDJ[Debit])))+(SUM(IF((GJ[Date]=A79)*(GJ[Account Code]=TRIM($B$2))*(GJ[Sort Code]=C79),GJ[Debit])))</f>
        <v>0</v>
      </c>
      <c r="F79" s="17">
        <f t="array" ref="F79">(SUM(IF((CkDJ[Date]=A79)*(CkDJ[Account Code]=TRIM($B$2))*(CkDJ[Sort Code]=C79),CkDJ[Credit])))+(SUM(IF((CsDJ[Date]=A79)*(CsDJ[Account Code]=TRIM($B$2))*(CsDJ[Sort Code]=C79),CsDJ[Credit])))+(SUM(IF((CRDJ[Date]=A79)*(CRDJ[Account Code]=TRIM($B$2))*(CRDJ[Sort Code]=C79),CRDJ[Credit])))+(SUM(IF((GJ[Date]=A79)*(GJ[Account Code]=TRIM($B$2))*(GJ[Sort Code]=C79),GJ[Credit])))</f>
        <v>0</v>
      </c>
      <c r="G79" s="294">
        <f>IF($H$4=$E$4,E79-F79,F79-E79)</f>
        <v>0</v>
      </c>
      <c r="H79" s="291">
        <f>IF($H$4=$E$4,H71+E79-F79,H71+F79-E79)</f>
        <v>3925235.81</v>
      </c>
    </row>
    <row r="80" spans="1:8" x14ac:dyDescent="0.25">
      <c r="A80" s="11">
        <f>Account!$G$20</f>
        <v>44834</v>
      </c>
      <c r="B80" s="189" t="str">
        <f>IF(C80=0,0,VLOOKUP(C80,Account!$F$26:$G$51,2))</f>
        <v>Ilocos Sur IMO</v>
      </c>
      <c r="C80" s="61" t="s">
        <v>485</v>
      </c>
      <c r="D80" s="14"/>
      <c r="E80" s="17">
        <f t="array" ref="E80">(SUM(IF((CkDJ[Date]=A80)*(CkDJ[Account Code]=TRIM($B$2))*(CkDJ[Sort Code]=C80),CkDJ[Debit])))+(SUM(IF((CsDJ[Date]=A80)*(CsDJ[Account Code]=TRIM($B$2))*(CsDJ[Sort Code]=C80),CsDJ[Debit])))+(SUM(IF((CRDJ[Date]=A80)*(CRDJ[Account Code]=TRIM($B$2))*(CRDJ[Sort Code]=C80),CRDJ[Debit])))+(SUM(IF((GJ[Date]=A80)*(GJ[Account Code]=TRIM($B$2))*(GJ[Sort Code]=C80),GJ[Debit])))</f>
        <v>0</v>
      </c>
      <c r="F80" s="17">
        <f t="array" ref="F80">(SUM(IF((CkDJ[Date]=A80)*(CkDJ[Account Code]=TRIM($B$2))*(CkDJ[Sort Code]=C80),CkDJ[Credit])))+(SUM(IF((CsDJ[Date]=A80)*(CsDJ[Account Code]=TRIM($B$2))*(CsDJ[Sort Code]=C80),CsDJ[Credit])))+(SUM(IF((CRDJ[Date]=A80)*(CRDJ[Account Code]=TRIM($B$2))*(CRDJ[Sort Code]=C80),CRDJ[Credit])))+(SUM(IF((GJ[Date]=A80)*(GJ[Account Code]=TRIM($B$2))*(GJ[Sort Code]=C80),GJ[Credit])))</f>
        <v>0</v>
      </c>
      <c r="G80" s="294">
        <f>IF($H$4=$E$4,E80-F80,F80-E80)</f>
        <v>0</v>
      </c>
      <c r="H80" s="291">
        <f>IF($H$4=$E$4,H72+E80-F80,H72+F80-E80)</f>
        <v>2107459.96</v>
      </c>
    </row>
    <row r="81" spans="1:8" x14ac:dyDescent="0.25">
      <c r="A81" s="11">
        <f>Account!$G$20</f>
        <v>44834</v>
      </c>
      <c r="B81" s="189" t="str">
        <f>IF(C81=0,0,VLOOKUP(C81,Account!$F$26:$G$51,2))</f>
        <v>La Union</v>
      </c>
      <c r="C81" s="61" t="s">
        <v>486</v>
      </c>
      <c r="D81" s="14"/>
      <c r="E81" s="17">
        <f t="array" ref="E81">(SUM(IF((CkDJ[Date]=A81)*(CkDJ[Account Code]=TRIM($B$2))*(CkDJ[Sort Code]=C81),CkDJ[Debit])))+(SUM(IF((CsDJ[Date]=A81)*(CsDJ[Account Code]=TRIM($B$2))*(CsDJ[Sort Code]=C81),CsDJ[Debit])))+(SUM(IF((CRDJ[Date]=A81)*(CRDJ[Account Code]=TRIM($B$2))*(CRDJ[Sort Code]=C81),CRDJ[Debit])))+(SUM(IF((GJ[Date]=A81)*(GJ[Account Code]=TRIM($B$2))*(GJ[Sort Code]=C81),GJ[Debit])))</f>
        <v>0</v>
      </c>
      <c r="F81" s="17">
        <f t="array" ref="F81">(SUM(IF((CkDJ[Date]=A81)*(CkDJ[Account Code]=TRIM($B$2))*(CkDJ[Sort Code]=C81),CkDJ[Credit])))+(SUM(IF((CsDJ[Date]=A81)*(CsDJ[Account Code]=TRIM($B$2))*(CsDJ[Sort Code]=C81),CsDJ[Credit])))+(SUM(IF((CRDJ[Date]=A81)*(CRDJ[Account Code]=TRIM($B$2))*(CRDJ[Sort Code]=C81),CRDJ[Credit])))+(SUM(IF((GJ[Date]=A81)*(GJ[Account Code]=TRIM($B$2))*(GJ[Sort Code]=C81),GJ[Credit])))</f>
        <v>0</v>
      </c>
      <c r="G81" s="294">
        <f>IF($H$4=$E$4,E81-F81,F81-E81)</f>
        <v>0</v>
      </c>
      <c r="H81" s="291">
        <f>IF($H$4=$E$4,H73+E81-F81,H73+F81-E81)</f>
        <v>3460296.28</v>
      </c>
    </row>
    <row r="82" spans="1:8" x14ac:dyDescent="0.25">
      <c r="A82" s="11">
        <f>Account!$G$20</f>
        <v>44834</v>
      </c>
      <c r="B82" s="189" t="str">
        <f>IF(C82=0,0,VLOOKUP(C82,Account!$F$26:$G$51,2))</f>
        <v>Pangasinan IMO</v>
      </c>
      <c r="C82" s="61" t="s">
        <v>762</v>
      </c>
      <c r="D82" s="14"/>
      <c r="E82" s="17">
        <f t="array" ref="E82">(SUM(IF((CkDJ[Date]=A82)*(CkDJ[Account Code]=TRIM($B$2))*(CkDJ[Sort Code]=C82),CkDJ[Debit])))+(SUM(IF((CsDJ[Date]=A82)*(CsDJ[Account Code]=TRIM($B$2))*(CsDJ[Sort Code]=C82),CsDJ[Debit])))+(SUM(IF((CRDJ[Date]=A82)*(CRDJ[Account Code]=TRIM($B$2))*(CRDJ[Sort Code]=C82),CRDJ[Debit])))+(SUM(IF((GJ[Date]=A82)*(GJ[Account Code]=TRIM($B$2))*(GJ[Sort Code]=C82),GJ[Debit])))</f>
        <v>2449850.7200000002</v>
      </c>
      <c r="F82" s="17">
        <f t="array" ref="F82">(SUM(IF((CkDJ[Date]=A82)*(CkDJ[Account Code]=TRIM($B$2))*(CkDJ[Sort Code]=C82),CkDJ[Credit])))+(SUM(IF((CsDJ[Date]=A82)*(CsDJ[Account Code]=TRIM($B$2))*(CsDJ[Sort Code]=C82),CsDJ[Credit])))+(SUM(IF((CRDJ[Date]=A82)*(CRDJ[Account Code]=TRIM($B$2))*(CRDJ[Sort Code]=C82),CRDJ[Credit])))+(SUM(IF((GJ[Date]=A82)*(GJ[Account Code]=TRIM($B$2))*(GJ[Sort Code]=C82),GJ[Credit])))</f>
        <v>510088.11</v>
      </c>
      <c r="G82" s="294">
        <f>IF($H$4=$E$4,E82-F82,F82-E82)</f>
        <v>1939762.61</v>
      </c>
      <c r="H82" s="291">
        <f>IF($H$4=$E$4,H74+E82-F82,H74+F82-E82)</f>
        <v>6605201.6900000004</v>
      </c>
    </row>
    <row r="83" spans="1:8" x14ac:dyDescent="0.25">
      <c r="A83" s="1142">
        <f>A82</f>
        <v>44834</v>
      </c>
      <c r="B83" s="1150"/>
      <c r="C83" s="1150"/>
      <c r="D83" s="1143"/>
      <c r="E83" s="191">
        <f>SUM(E78:E82)</f>
        <v>2449850.7200000002</v>
      </c>
      <c r="F83" s="191">
        <f>SUM(F78:F82)</f>
        <v>510088.11</v>
      </c>
      <c r="G83" s="297">
        <f>SUM(G78:G82)</f>
        <v>1939762.61</v>
      </c>
      <c r="H83" s="23">
        <f>IF($H$4=$E$4,E83-F83,F83-E83)</f>
        <v>1939762.61</v>
      </c>
    </row>
    <row r="84" spans="1:8" x14ac:dyDescent="0.25">
      <c r="A84" s="1147">
        <f>A83</f>
        <v>44834</v>
      </c>
      <c r="B84" s="1148"/>
      <c r="C84" s="1148"/>
      <c r="D84" s="1149"/>
      <c r="E84" s="20">
        <f>E76+E83</f>
        <v>22401496.489999998</v>
      </c>
      <c r="F84" s="20">
        <f>F76+F83</f>
        <v>6303302.75</v>
      </c>
      <c r="G84" s="295">
        <f>G75+G83</f>
        <v>-638478.12</v>
      </c>
      <c r="H84" s="20">
        <f>IF($H$4=$E$4,E84-F84,F84-E84)</f>
        <v>16098193.74</v>
      </c>
    </row>
    <row r="85" spans="1:8" x14ac:dyDescent="0.25">
      <c r="A85" s="11"/>
      <c r="B85" s="188"/>
      <c r="C85" s="190"/>
      <c r="D85" s="12"/>
      <c r="E85" s="13"/>
      <c r="F85" s="13"/>
      <c r="G85" s="296"/>
      <c r="H85" s="12"/>
    </row>
    <row r="86" spans="1:8" x14ac:dyDescent="0.25">
      <c r="A86" s="11">
        <f>Account!$G$21</f>
        <v>44865</v>
      </c>
      <c r="B86" s="189" t="str">
        <f>IF(C86=0,0,VLOOKUP(C86,Account!$F$26:$G$51,2))</f>
        <v>Regional Office</v>
      </c>
      <c r="C86" s="61" t="s">
        <v>494</v>
      </c>
      <c r="D86" s="14"/>
      <c r="E86" s="17">
        <f t="array" ref="E86">(SUM(IF((CkDJ[Date]=A86)*(CkDJ[Account Code]=TRIM($B$2))*(CkDJ[Sort Code]=C86),CkDJ[Debit])))+(SUM(IF((CsDJ[Date]=A86)*(CsDJ[Account Code]=TRIM($B$2))*(CsDJ[Sort Code]=C86),CsDJ[Debit])))+(SUM(IF((CRDJ[Date]=A86)*(CRDJ[Account Code]=TRIM($B$2))*(CRDJ[Sort Code]=C86),CRDJ[Debit])))+(SUM(IF((GJ[Date]=A86)*(GJ[Account Code]=TRIM($B$2))*(GJ[Sort Code]=C86),GJ[Debit])))</f>
        <v>0</v>
      </c>
      <c r="F86" s="17">
        <f t="array" ref="F86">(SUM(IF((CkDJ[Date]=A86)*(CkDJ[Account Code]=TRIM($B$2))*(CkDJ[Sort Code]=C86),CkDJ[Credit])))+(SUM(IF((CsDJ[Date]=A86)*(CsDJ[Account Code]=TRIM($B$2))*(CsDJ[Sort Code]=C86),CsDJ[Credit])))+(SUM(IF((CRDJ[Date]=A86)*(CRDJ[Account Code]=TRIM($B$2))*(CRDJ[Sort Code]=C86),CRDJ[Credit])))+(SUM(IF((GJ[Date]=A86)*(GJ[Account Code]=TRIM($B$2))*(GJ[Sort Code]=C86),GJ[Credit])))</f>
        <v>0</v>
      </c>
      <c r="G86" s="294">
        <f>IF($H$4=$E$4,E86-F86,F86-E86)</f>
        <v>0</v>
      </c>
      <c r="H86" s="291">
        <f>IF($H$4=$E$4,H78+E86-F86,H78+F86-E86)</f>
        <v>0</v>
      </c>
    </row>
    <row r="87" spans="1:8" x14ac:dyDescent="0.25">
      <c r="A87" s="11">
        <f>Account!$G$21</f>
        <v>44865</v>
      </c>
      <c r="B87" s="189" t="str">
        <f>IF(C87=0,0,VLOOKUP(C87,Account!$F$26:$G$51,2))</f>
        <v>Ilocos Norte IMO</v>
      </c>
      <c r="C87" s="61" t="s">
        <v>484</v>
      </c>
      <c r="D87" s="14"/>
      <c r="E87" s="17">
        <f t="array" ref="E87">(SUM(IF((CkDJ[Date]=A87)*(CkDJ[Account Code]=TRIM($B$2))*(CkDJ[Sort Code]=C87),CkDJ[Debit])))+(SUM(IF((CsDJ[Date]=A87)*(CsDJ[Account Code]=TRIM($B$2))*(CsDJ[Sort Code]=C87),CsDJ[Debit])))+(SUM(IF((CRDJ[Date]=A87)*(CRDJ[Account Code]=TRIM($B$2))*(CRDJ[Sort Code]=C87),CRDJ[Debit])))+(SUM(IF((GJ[Date]=A87)*(GJ[Account Code]=TRIM($B$2))*(GJ[Sort Code]=C87),GJ[Debit])))</f>
        <v>0</v>
      </c>
      <c r="F87" s="17">
        <f t="array" ref="F87">(SUM(IF((CkDJ[Date]=A87)*(CkDJ[Account Code]=TRIM($B$2))*(CkDJ[Sort Code]=C87),CkDJ[Credit])))+(SUM(IF((CsDJ[Date]=A87)*(CsDJ[Account Code]=TRIM($B$2))*(CsDJ[Sort Code]=C87),CsDJ[Credit])))+(SUM(IF((CRDJ[Date]=A87)*(CRDJ[Account Code]=TRIM($B$2))*(CRDJ[Sort Code]=C87),CRDJ[Credit])))+(SUM(IF((GJ[Date]=A87)*(GJ[Account Code]=TRIM($B$2))*(GJ[Sort Code]=C87),GJ[Credit])))</f>
        <v>0</v>
      </c>
      <c r="G87" s="294">
        <f>IF($H$4=$E$4,E87-F87,F87-E87)</f>
        <v>0</v>
      </c>
      <c r="H87" s="291">
        <f>IF($H$4=$E$4,H79+E87-F87,H79+F87-E87)</f>
        <v>3925235.81</v>
      </c>
    </row>
    <row r="88" spans="1:8" x14ac:dyDescent="0.25">
      <c r="A88" s="11">
        <f>Account!$G$21</f>
        <v>44865</v>
      </c>
      <c r="B88" s="189" t="str">
        <f>IF(C88=0,0,VLOOKUP(C88,Account!$F$26:$G$51,2))</f>
        <v>Ilocos Sur IMO</v>
      </c>
      <c r="C88" s="61" t="s">
        <v>485</v>
      </c>
      <c r="D88" s="14"/>
      <c r="E88" s="17">
        <f t="array" ref="E88">(SUM(IF((CkDJ[Date]=A88)*(CkDJ[Account Code]=TRIM($B$2))*(CkDJ[Sort Code]=C88),CkDJ[Debit])))+(SUM(IF((CsDJ[Date]=A88)*(CsDJ[Account Code]=TRIM($B$2))*(CsDJ[Sort Code]=C88),CsDJ[Debit])))+(SUM(IF((CRDJ[Date]=A88)*(CRDJ[Account Code]=TRIM($B$2))*(CRDJ[Sort Code]=C88),CRDJ[Debit])))+(SUM(IF((GJ[Date]=A88)*(GJ[Account Code]=TRIM($B$2))*(GJ[Sort Code]=C88),GJ[Debit])))</f>
        <v>0</v>
      </c>
      <c r="F88" s="17">
        <f t="array" ref="F88">(SUM(IF((CkDJ[Date]=A88)*(CkDJ[Account Code]=TRIM($B$2))*(CkDJ[Sort Code]=C88),CkDJ[Credit])))+(SUM(IF((CsDJ[Date]=A88)*(CsDJ[Account Code]=TRIM($B$2))*(CsDJ[Sort Code]=C88),CsDJ[Credit])))+(SUM(IF((CRDJ[Date]=A88)*(CRDJ[Account Code]=TRIM($B$2))*(CRDJ[Sort Code]=C88),CRDJ[Credit])))+(SUM(IF((GJ[Date]=A88)*(GJ[Account Code]=TRIM($B$2))*(GJ[Sort Code]=C88),GJ[Credit])))</f>
        <v>0</v>
      </c>
      <c r="G88" s="294">
        <f>IF($H$4=$E$4,E88-F88,F88-E88)</f>
        <v>0</v>
      </c>
      <c r="H88" s="291">
        <f>IF($H$4=$E$4,H80+E88-F88,H80+F88-E88)</f>
        <v>2107459.96</v>
      </c>
    </row>
    <row r="89" spans="1:8" x14ac:dyDescent="0.25">
      <c r="A89" s="11">
        <f>Account!$G$21</f>
        <v>44865</v>
      </c>
      <c r="B89" s="189" t="str">
        <f>IF(C89=0,0,VLOOKUP(C89,Account!$F$26:$G$51,2))</f>
        <v>La Union</v>
      </c>
      <c r="C89" s="61" t="s">
        <v>486</v>
      </c>
      <c r="D89" s="14"/>
      <c r="E89" s="17">
        <f t="array" ref="E89">(SUM(IF((CkDJ[Date]=A89)*(CkDJ[Account Code]=TRIM($B$2))*(CkDJ[Sort Code]=C89),CkDJ[Debit])))+(SUM(IF((CsDJ[Date]=A89)*(CsDJ[Account Code]=TRIM($B$2))*(CsDJ[Sort Code]=C89),CsDJ[Debit])))+(SUM(IF((CRDJ[Date]=A89)*(CRDJ[Account Code]=TRIM($B$2))*(CRDJ[Sort Code]=C89),CRDJ[Debit])))+(SUM(IF((GJ[Date]=A89)*(GJ[Account Code]=TRIM($B$2))*(GJ[Sort Code]=C89),GJ[Debit])))</f>
        <v>0</v>
      </c>
      <c r="F89" s="17">
        <f t="array" ref="F89">(SUM(IF((CkDJ[Date]=A89)*(CkDJ[Account Code]=TRIM($B$2))*(CkDJ[Sort Code]=C89),CkDJ[Credit])))+(SUM(IF((CsDJ[Date]=A89)*(CsDJ[Account Code]=TRIM($B$2))*(CsDJ[Sort Code]=C89),CsDJ[Credit])))+(SUM(IF((CRDJ[Date]=A89)*(CRDJ[Account Code]=TRIM($B$2))*(CRDJ[Sort Code]=C89),CRDJ[Credit])))+(SUM(IF((GJ[Date]=A89)*(GJ[Account Code]=TRIM($B$2))*(GJ[Sort Code]=C89),GJ[Credit])))</f>
        <v>0</v>
      </c>
      <c r="G89" s="294">
        <f>IF($H$4=$E$4,E89-F89,F89-E89)</f>
        <v>0</v>
      </c>
      <c r="H89" s="291">
        <f>IF($H$4=$E$4,H81+E89-F89,H81+F89-E89)</f>
        <v>3460296.28</v>
      </c>
    </row>
    <row r="90" spans="1:8" x14ac:dyDescent="0.25">
      <c r="A90" s="11">
        <f>Account!$G$21</f>
        <v>44865</v>
      </c>
      <c r="B90" s="189" t="str">
        <f>IF(C90=0,0,VLOOKUP(C90,Account!$F$26:$G$51,2))</f>
        <v>Pangasinan IMO</v>
      </c>
      <c r="C90" s="61" t="s">
        <v>762</v>
      </c>
      <c r="D90" s="14"/>
      <c r="E90" s="17">
        <f t="array" ref="E90">(SUM(IF((CkDJ[Date]=A90)*(CkDJ[Account Code]=TRIM($B$2))*(CkDJ[Sort Code]=C90),CkDJ[Debit])))+(SUM(IF((CsDJ[Date]=A90)*(CsDJ[Account Code]=TRIM($B$2))*(CsDJ[Sort Code]=C90),CsDJ[Debit])))+(SUM(IF((CRDJ[Date]=A90)*(CRDJ[Account Code]=TRIM($B$2))*(CRDJ[Sort Code]=C90),CRDJ[Debit])))+(SUM(IF((GJ[Date]=A90)*(GJ[Account Code]=TRIM($B$2))*(GJ[Sort Code]=C90),GJ[Debit])))</f>
        <v>97171.86</v>
      </c>
      <c r="F90" s="17">
        <f t="array" ref="F90">(SUM(IF((CkDJ[Date]=A90)*(CkDJ[Account Code]=TRIM($B$2))*(CkDJ[Sort Code]=C90),CkDJ[Credit])))+(SUM(IF((CsDJ[Date]=A90)*(CsDJ[Account Code]=TRIM($B$2))*(CsDJ[Sort Code]=C90),CsDJ[Credit])))+(SUM(IF((CRDJ[Date]=A90)*(CRDJ[Account Code]=TRIM($B$2))*(CRDJ[Sort Code]=C90),CRDJ[Credit])))+(SUM(IF((GJ[Date]=A90)*(GJ[Account Code]=TRIM($B$2))*(GJ[Sort Code]=C90),GJ[Credit])))</f>
        <v>2472069.92</v>
      </c>
      <c r="G90" s="294">
        <f>IF($H$4=$E$4,E90-F90,F90-E90)</f>
        <v>-2374898.06</v>
      </c>
      <c r="H90" s="291">
        <f>IF($H$4=$E$4,H82+E90-F90,H82+F90-E90)</f>
        <v>4230303.63</v>
      </c>
    </row>
    <row r="91" spans="1:8" x14ac:dyDescent="0.25">
      <c r="A91" s="1142">
        <f>A90</f>
        <v>44865</v>
      </c>
      <c r="B91" s="1150"/>
      <c r="C91" s="1150"/>
      <c r="D91" s="1143"/>
      <c r="E91" s="191">
        <f>SUM(E86:E90)</f>
        <v>97171.86</v>
      </c>
      <c r="F91" s="191">
        <f>SUM(F86:F90)</f>
        <v>2472069.92</v>
      </c>
      <c r="G91" s="297">
        <f>SUM(G86:G90)</f>
        <v>-2374898.06</v>
      </c>
      <c r="H91" s="23">
        <f>IF($H$4=$E$4,E91-F91,F91-E91)</f>
        <v>-2374898.06</v>
      </c>
    </row>
    <row r="92" spans="1:8" x14ac:dyDescent="0.25">
      <c r="A92" s="1147">
        <f>A91</f>
        <v>44865</v>
      </c>
      <c r="B92" s="1148"/>
      <c r="C92" s="1148"/>
      <c r="D92" s="1149"/>
      <c r="E92" s="20">
        <f>E84+E91</f>
        <v>22498668.350000001</v>
      </c>
      <c r="F92" s="20">
        <f>F84+F91</f>
        <v>8775372.6699999999</v>
      </c>
      <c r="G92" s="295">
        <f>G83+G91</f>
        <v>-435135.45</v>
      </c>
      <c r="H92" s="20">
        <f>IF($H$4=$E$4,E92-F92,F92-E92)</f>
        <v>13723295.68</v>
      </c>
    </row>
    <row r="93" spans="1:8" x14ac:dyDescent="0.25">
      <c r="A93" s="11"/>
      <c r="B93" s="188"/>
      <c r="C93" s="190"/>
      <c r="D93" s="12"/>
      <c r="E93" s="13"/>
      <c r="F93" s="13"/>
      <c r="G93" s="296"/>
      <c r="H93" s="12"/>
    </row>
    <row r="94" spans="1:8" x14ac:dyDescent="0.25">
      <c r="A94" s="11">
        <f>Account!$G$22</f>
        <v>44895</v>
      </c>
      <c r="B94" s="189" t="str">
        <f>IF(C94=0,0,VLOOKUP(C94,Account!$F$26:$G$51,2))</f>
        <v>Regional Office</v>
      </c>
      <c r="C94" s="61" t="s">
        <v>494</v>
      </c>
      <c r="D94" s="14"/>
      <c r="E94" s="17">
        <f t="array" ref="E94">(SUM(IF((CkDJ[Date]=A94)*(CkDJ[Account Code]=TRIM($B$2))*(CkDJ[Sort Code]=C94),CkDJ[Debit])))+(SUM(IF((CsDJ[Date]=A94)*(CsDJ[Account Code]=TRIM($B$2))*(CsDJ[Sort Code]=C94),CsDJ[Debit])))+(SUM(IF((CRDJ[Date]=A94)*(CRDJ[Account Code]=TRIM($B$2))*(CRDJ[Sort Code]=C94),CRDJ[Debit])))+(SUM(IF((GJ[Date]=A94)*(GJ[Account Code]=TRIM($B$2))*(GJ[Sort Code]=C94),GJ[Debit])))</f>
        <v>0</v>
      </c>
      <c r="F94" s="17">
        <f t="array" ref="F94">(SUM(IF((CkDJ[Date]=A94)*(CkDJ[Account Code]=TRIM($B$2))*(CkDJ[Sort Code]=C94),CkDJ[Credit])))+(SUM(IF((CsDJ[Date]=A94)*(CsDJ[Account Code]=TRIM($B$2))*(CsDJ[Sort Code]=C94),CsDJ[Credit])))+(SUM(IF((CRDJ[Date]=A94)*(CRDJ[Account Code]=TRIM($B$2))*(CRDJ[Sort Code]=C94),CRDJ[Credit])))+(SUM(IF((GJ[Date]=A94)*(GJ[Account Code]=TRIM($B$2))*(GJ[Sort Code]=C94),GJ[Credit])))</f>
        <v>0</v>
      </c>
      <c r="G94" s="294">
        <f>IF($H$4=$E$4,E94-F94,F94-E94)</f>
        <v>0</v>
      </c>
      <c r="H94" s="291">
        <f>IF($H$4=$E$4,H86+E94-F94,H86+F94-E94)</f>
        <v>0</v>
      </c>
    </row>
    <row r="95" spans="1:8" x14ac:dyDescent="0.25">
      <c r="A95" s="11">
        <f>Account!$G$22</f>
        <v>44895</v>
      </c>
      <c r="B95" s="189" t="str">
        <f>IF(C95=0,0,VLOOKUP(C95,Account!$F$26:$G$51,2))</f>
        <v>Ilocos Norte IMO</v>
      </c>
      <c r="C95" s="61" t="s">
        <v>484</v>
      </c>
      <c r="D95" s="14"/>
      <c r="E95" s="17">
        <f t="array" ref="E95">(SUM(IF((CkDJ[Date]=A95)*(CkDJ[Account Code]=TRIM($B$2))*(CkDJ[Sort Code]=C95),CkDJ[Debit])))+(SUM(IF((CsDJ[Date]=A95)*(CsDJ[Account Code]=TRIM($B$2))*(CsDJ[Sort Code]=C95),CsDJ[Debit])))+(SUM(IF((CRDJ[Date]=A95)*(CRDJ[Account Code]=TRIM($B$2))*(CRDJ[Sort Code]=C95),CRDJ[Debit])))+(SUM(IF((GJ[Date]=A95)*(GJ[Account Code]=TRIM($B$2))*(GJ[Sort Code]=C95),GJ[Debit])))</f>
        <v>0</v>
      </c>
      <c r="F95" s="17">
        <f t="array" ref="F95">(SUM(IF((CkDJ[Date]=A95)*(CkDJ[Account Code]=TRIM($B$2))*(CkDJ[Sort Code]=C95),CkDJ[Credit])))+(SUM(IF((CsDJ[Date]=A95)*(CsDJ[Account Code]=TRIM($B$2))*(CsDJ[Sort Code]=C95),CsDJ[Credit])))+(SUM(IF((CRDJ[Date]=A95)*(CRDJ[Account Code]=TRIM($B$2))*(CRDJ[Sort Code]=C95),CRDJ[Credit])))+(SUM(IF((GJ[Date]=A95)*(GJ[Account Code]=TRIM($B$2))*(GJ[Sort Code]=C95),GJ[Credit])))</f>
        <v>0</v>
      </c>
      <c r="G95" s="294">
        <f>IF($H$4=$E$4,E95-F95,F95-E95)</f>
        <v>0</v>
      </c>
      <c r="H95" s="291">
        <f>IF($H$4=$E$4,H87+E95-F95,H87+F95-E95)</f>
        <v>3925235.81</v>
      </c>
    </row>
    <row r="96" spans="1:8" x14ac:dyDescent="0.25">
      <c r="A96" s="11">
        <f>Account!$G$22</f>
        <v>44895</v>
      </c>
      <c r="B96" s="189" t="str">
        <f>IF(C96=0,0,VLOOKUP(C96,Account!$F$26:$G$51,2))</f>
        <v>Ilocos Sur IMO</v>
      </c>
      <c r="C96" s="61" t="s">
        <v>485</v>
      </c>
      <c r="D96" s="14"/>
      <c r="E96" s="17">
        <f t="array" ref="E96">(SUM(IF((CkDJ[Date]=A96)*(CkDJ[Account Code]=TRIM($B$2))*(CkDJ[Sort Code]=C96),CkDJ[Debit])))+(SUM(IF((CsDJ[Date]=A96)*(CsDJ[Account Code]=TRIM($B$2))*(CsDJ[Sort Code]=C96),CsDJ[Debit])))+(SUM(IF((CRDJ[Date]=A96)*(CRDJ[Account Code]=TRIM($B$2))*(CRDJ[Sort Code]=C96),CRDJ[Debit])))+(SUM(IF((GJ[Date]=A96)*(GJ[Account Code]=TRIM($B$2))*(GJ[Sort Code]=C96),GJ[Debit])))</f>
        <v>0</v>
      </c>
      <c r="F96" s="17">
        <f t="array" ref="F96">(SUM(IF((CkDJ[Date]=A96)*(CkDJ[Account Code]=TRIM($B$2))*(CkDJ[Sort Code]=C96),CkDJ[Credit])))+(SUM(IF((CsDJ[Date]=A96)*(CsDJ[Account Code]=TRIM($B$2))*(CsDJ[Sort Code]=C96),CsDJ[Credit])))+(SUM(IF((CRDJ[Date]=A96)*(CRDJ[Account Code]=TRIM($B$2))*(CRDJ[Sort Code]=C96),CRDJ[Credit])))+(SUM(IF((GJ[Date]=A96)*(GJ[Account Code]=TRIM($B$2))*(GJ[Sort Code]=C96),GJ[Credit])))</f>
        <v>0</v>
      </c>
      <c r="G96" s="294">
        <f>IF($H$4=$E$4,E96-F96,F96-E96)</f>
        <v>0</v>
      </c>
      <c r="H96" s="291">
        <f>IF($H$4=$E$4,H88+E96-F96,H88+F96-E96)</f>
        <v>2107459.96</v>
      </c>
    </row>
    <row r="97" spans="1:8" x14ac:dyDescent="0.25">
      <c r="A97" s="11">
        <f>Account!$G$22</f>
        <v>44895</v>
      </c>
      <c r="B97" s="189" t="str">
        <f>IF(C97=0,0,VLOOKUP(C97,Account!$F$26:$G$51,2))</f>
        <v>La Union</v>
      </c>
      <c r="C97" s="61" t="s">
        <v>486</v>
      </c>
      <c r="D97" s="14"/>
      <c r="E97" s="17">
        <f t="array" ref="E97">(SUM(IF((CkDJ[Date]=A97)*(CkDJ[Account Code]=TRIM($B$2))*(CkDJ[Sort Code]=C97),CkDJ[Debit])))+(SUM(IF((CsDJ[Date]=A97)*(CsDJ[Account Code]=TRIM($B$2))*(CsDJ[Sort Code]=C97),CsDJ[Debit])))+(SUM(IF((CRDJ[Date]=A97)*(CRDJ[Account Code]=TRIM($B$2))*(CRDJ[Sort Code]=C97),CRDJ[Debit])))+(SUM(IF((GJ[Date]=A97)*(GJ[Account Code]=TRIM($B$2))*(GJ[Sort Code]=C97),GJ[Debit])))</f>
        <v>0</v>
      </c>
      <c r="F97" s="17">
        <f t="array" ref="F97">(SUM(IF((CkDJ[Date]=A97)*(CkDJ[Account Code]=TRIM($B$2))*(CkDJ[Sort Code]=C97),CkDJ[Credit])))+(SUM(IF((CsDJ[Date]=A97)*(CsDJ[Account Code]=TRIM($B$2))*(CsDJ[Sort Code]=C97),CsDJ[Credit])))+(SUM(IF((CRDJ[Date]=A97)*(CRDJ[Account Code]=TRIM($B$2))*(CRDJ[Sort Code]=C97),CRDJ[Credit])))+(SUM(IF((GJ[Date]=A97)*(GJ[Account Code]=TRIM($B$2))*(GJ[Sort Code]=C97),GJ[Credit])))</f>
        <v>0</v>
      </c>
      <c r="G97" s="294">
        <f>IF($H$4=$E$4,E97-F97,F97-E97)</f>
        <v>0</v>
      </c>
      <c r="H97" s="291">
        <f>IF($H$4=$E$4,H89+E97-F97,H89+F97-E97)</f>
        <v>3460296.28</v>
      </c>
    </row>
    <row r="98" spans="1:8" x14ac:dyDescent="0.25">
      <c r="A98" s="11">
        <f>Account!$G$22</f>
        <v>44895</v>
      </c>
      <c r="B98" s="189" t="str">
        <f>IF(C98=0,0,VLOOKUP(C98,Account!$F$26:$G$51,2))</f>
        <v>Pangasinan IMO</v>
      </c>
      <c r="C98" s="61" t="s">
        <v>762</v>
      </c>
      <c r="D98" s="14"/>
      <c r="E98" s="17">
        <f t="array" ref="E98">(SUM(IF((CkDJ[Date]=A98)*(CkDJ[Account Code]=TRIM($B$2))*(CkDJ[Sort Code]=C98),CkDJ[Debit])))+(SUM(IF((CsDJ[Date]=A98)*(CsDJ[Account Code]=TRIM($B$2))*(CsDJ[Sort Code]=C98),CsDJ[Debit])))+(SUM(IF((CRDJ[Date]=A98)*(CRDJ[Account Code]=TRIM($B$2))*(CRDJ[Sort Code]=C98),CRDJ[Debit])))+(SUM(IF((GJ[Date]=A98)*(GJ[Account Code]=TRIM($B$2))*(GJ[Sort Code]=C98),GJ[Debit])))</f>
        <v>3326620.86</v>
      </c>
      <c r="F98" s="17">
        <f t="array" ref="F98">(SUM(IF((CkDJ[Date]=A98)*(CkDJ[Account Code]=TRIM($B$2))*(CkDJ[Sort Code]=C98),CkDJ[Credit])))+(SUM(IF((CsDJ[Date]=A98)*(CsDJ[Account Code]=TRIM($B$2))*(CsDJ[Sort Code]=C98),CsDJ[Credit])))+(SUM(IF((CRDJ[Date]=A98)*(CRDJ[Account Code]=TRIM($B$2))*(CRDJ[Sort Code]=C98),CRDJ[Credit])))+(SUM(IF((GJ[Date]=A98)*(GJ[Account Code]=TRIM($B$2))*(GJ[Sort Code]=C98),GJ[Credit])))</f>
        <v>3096902.37</v>
      </c>
      <c r="G98" s="294">
        <f>IF($H$4=$E$4,E98-F98,F98-E98)</f>
        <v>229718.49</v>
      </c>
      <c r="H98" s="291">
        <f>IF($H$4=$E$4,H90+E98-F98,H90+F98-E98)</f>
        <v>4460022.12</v>
      </c>
    </row>
    <row r="99" spans="1:8" x14ac:dyDescent="0.25">
      <c r="A99" s="1142">
        <f>A98</f>
        <v>44895</v>
      </c>
      <c r="B99" s="1150"/>
      <c r="C99" s="1150"/>
      <c r="D99" s="1143"/>
      <c r="E99" s="191">
        <f>SUM(E94:E98)</f>
        <v>3326620.86</v>
      </c>
      <c r="F99" s="191">
        <f>SUM(F94:F98)</f>
        <v>3096902.37</v>
      </c>
      <c r="G99" s="297">
        <f>SUM(G94:G98)</f>
        <v>229718.49</v>
      </c>
      <c r="H99" s="23">
        <f>IF($H$4=$E$4,E99-F99,F99-E99)</f>
        <v>229718.49</v>
      </c>
    </row>
    <row r="100" spans="1:8" x14ac:dyDescent="0.25">
      <c r="A100" s="1147">
        <f>A99</f>
        <v>44895</v>
      </c>
      <c r="B100" s="1148"/>
      <c r="C100" s="1148"/>
      <c r="D100" s="1149"/>
      <c r="E100" s="20">
        <f>E92+E99</f>
        <v>25825289.210000001</v>
      </c>
      <c r="F100" s="20">
        <f>F92+F99</f>
        <v>11872275.039999999</v>
      </c>
      <c r="G100" s="295">
        <f>G91+G99</f>
        <v>-2145179.5699999998</v>
      </c>
      <c r="H100" s="20">
        <f>IF($H$4=$E$4,E100-F100,F100-E100)</f>
        <v>13953014.17</v>
      </c>
    </row>
    <row r="101" spans="1:8" x14ac:dyDescent="0.25">
      <c r="A101" s="11"/>
      <c r="B101" s="188"/>
      <c r="C101" s="190"/>
      <c r="D101" s="12"/>
      <c r="E101" s="13"/>
      <c r="F101" s="13"/>
      <c r="G101" s="296"/>
      <c r="H101" s="12"/>
    </row>
    <row r="102" spans="1:8" x14ac:dyDescent="0.25">
      <c r="A102" s="11">
        <f>Account!$G$23</f>
        <v>44926</v>
      </c>
      <c r="B102" s="189" t="str">
        <f>IF(C102=0,0,VLOOKUP(C102,Account!$F$26:$G$51,2))</f>
        <v>Regional Office</v>
      </c>
      <c r="C102" s="61" t="s">
        <v>494</v>
      </c>
      <c r="D102" s="14"/>
      <c r="E102" s="17">
        <f t="array" ref="E102">(SUM(IF((CkDJ[Date]=A102)*(CkDJ[Account Code]=TRIM($B$2))*(CkDJ[Sort Code]=C102),CkDJ[Debit])))+(SUM(IF((CsDJ[Date]=A102)*(CsDJ[Account Code]=TRIM($B$2))*(CsDJ[Sort Code]=C102),CsDJ[Debit])))+(SUM(IF((CRDJ[Date]=A102)*(CRDJ[Account Code]=TRIM($B$2))*(CRDJ[Sort Code]=C102),CRDJ[Debit])))+(SUM(IF((GJ[Date]=A102)*(GJ[Account Code]=TRIM($B$2))*(GJ[Sort Code]=C102),GJ[Debit])))</f>
        <v>0</v>
      </c>
      <c r="F102" s="17">
        <f t="array" ref="F102">(SUM(IF((CkDJ[Date]=A102)*(CkDJ[Account Code]=TRIM($B$2))*(CkDJ[Sort Code]=C102),CkDJ[Credit])))+(SUM(IF((CsDJ[Date]=A102)*(CsDJ[Account Code]=TRIM($B$2))*(CsDJ[Sort Code]=C102),CsDJ[Credit])))+(SUM(IF((CRDJ[Date]=A102)*(CRDJ[Account Code]=TRIM($B$2))*(CRDJ[Sort Code]=C102),CRDJ[Credit])))+(SUM(IF((GJ[Date]=A102)*(GJ[Account Code]=TRIM($B$2))*(GJ[Sort Code]=C102),GJ[Credit])))</f>
        <v>0</v>
      </c>
      <c r="G102" s="294">
        <f>IF($H$4=$E$4,E102-F102,F102-E102)</f>
        <v>0</v>
      </c>
      <c r="H102" s="291">
        <f>IF($H$4=$E$4,H94+E102-F102,H94+F102-E102)</f>
        <v>0</v>
      </c>
    </row>
    <row r="103" spans="1:8" x14ac:dyDescent="0.25">
      <c r="A103" s="11">
        <f>Account!$G$23</f>
        <v>44926</v>
      </c>
      <c r="B103" s="189" t="str">
        <f>IF(C103=0,0,VLOOKUP(C103,Account!$F$26:$G$51,2))</f>
        <v>Ilocos Norte IMO</v>
      </c>
      <c r="C103" s="61" t="s">
        <v>484</v>
      </c>
      <c r="D103" s="14"/>
      <c r="E103" s="17">
        <f t="array" ref="E103">(SUM(IF((CkDJ[Date]=A103)*(CkDJ[Account Code]=TRIM($B$2))*(CkDJ[Sort Code]=C103),CkDJ[Debit])))+(SUM(IF((CsDJ[Date]=A103)*(CsDJ[Account Code]=TRIM($B$2))*(CsDJ[Sort Code]=C103),CsDJ[Debit])))+(SUM(IF((CRDJ[Date]=A103)*(CRDJ[Account Code]=TRIM($B$2))*(CRDJ[Sort Code]=C103),CRDJ[Debit])))+(SUM(IF((GJ[Date]=A103)*(GJ[Account Code]=TRIM($B$2))*(GJ[Sort Code]=C103),GJ[Debit])))</f>
        <v>0</v>
      </c>
      <c r="F103" s="17">
        <f t="array" ref="F103">(SUM(IF((CkDJ[Date]=A103)*(CkDJ[Account Code]=TRIM($B$2))*(CkDJ[Sort Code]=C103),CkDJ[Credit])))+(SUM(IF((CsDJ[Date]=A103)*(CsDJ[Account Code]=TRIM($B$2))*(CsDJ[Sort Code]=C103),CsDJ[Credit])))+(SUM(IF((CRDJ[Date]=A103)*(CRDJ[Account Code]=TRIM($B$2))*(CRDJ[Sort Code]=C103),CRDJ[Credit])))+(SUM(IF((GJ[Date]=A103)*(GJ[Account Code]=TRIM($B$2))*(GJ[Sort Code]=C103),GJ[Credit])))</f>
        <v>0</v>
      </c>
      <c r="G103" s="294">
        <f>IF($H$4=$E$4,E103-F103,F103-E103)</f>
        <v>0</v>
      </c>
      <c r="H103" s="291">
        <f>IF($H$4=$E$4,H95+E103-F103,H95+F103-E103)</f>
        <v>3925235.81</v>
      </c>
    </row>
    <row r="104" spans="1:8" x14ac:dyDescent="0.25">
      <c r="A104" s="11">
        <f>Account!$G$23</f>
        <v>44926</v>
      </c>
      <c r="B104" s="189" t="str">
        <f>IF(C104=0,0,VLOOKUP(C104,Account!$F$26:$G$51,2))</f>
        <v>Ilocos Sur IMO</v>
      </c>
      <c r="C104" s="61" t="s">
        <v>485</v>
      </c>
      <c r="D104" s="14"/>
      <c r="E104" s="17">
        <f t="array" ref="E104">(SUM(IF((CkDJ[Date]=A104)*(CkDJ[Account Code]=TRIM($B$2))*(CkDJ[Sort Code]=C104),CkDJ[Debit])))+(SUM(IF((CsDJ[Date]=A104)*(CsDJ[Account Code]=TRIM($B$2))*(CsDJ[Sort Code]=C104),CsDJ[Debit])))+(SUM(IF((CRDJ[Date]=A104)*(CRDJ[Account Code]=TRIM($B$2))*(CRDJ[Sort Code]=C104),CRDJ[Debit])))+(SUM(IF((GJ[Date]=A104)*(GJ[Account Code]=TRIM($B$2))*(GJ[Sort Code]=C104),GJ[Debit])))</f>
        <v>0</v>
      </c>
      <c r="F104" s="17">
        <f t="array" ref="F104">(SUM(IF((CkDJ[Date]=A104)*(CkDJ[Account Code]=TRIM($B$2))*(CkDJ[Sort Code]=C104),CkDJ[Credit])))+(SUM(IF((CsDJ[Date]=A104)*(CsDJ[Account Code]=TRIM($B$2))*(CsDJ[Sort Code]=C104),CsDJ[Credit])))+(SUM(IF((CRDJ[Date]=A104)*(CRDJ[Account Code]=TRIM($B$2))*(CRDJ[Sort Code]=C104),CRDJ[Credit])))+(SUM(IF((GJ[Date]=A104)*(GJ[Account Code]=TRIM($B$2))*(GJ[Sort Code]=C104),GJ[Credit])))</f>
        <v>0</v>
      </c>
      <c r="G104" s="294">
        <f>IF($H$4=$E$4,E104-F104,F104-E104)</f>
        <v>0</v>
      </c>
      <c r="H104" s="291">
        <f>IF($H$4=$E$4,H96+E104-F104,H96+F104-E104)</f>
        <v>2107459.96</v>
      </c>
    </row>
    <row r="105" spans="1:8" x14ac:dyDescent="0.25">
      <c r="A105" s="11">
        <f>Account!$G$23</f>
        <v>44926</v>
      </c>
      <c r="B105" s="189" t="str">
        <f>IF(C105=0,0,VLOOKUP(C105,Account!$F$26:$G$51,2))</f>
        <v>La Union</v>
      </c>
      <c r="C105" s="61" t="s">
        <v>486</v>
      </c>
      <c r="D105" s="14"/>
      <c r="E105" s="17">
        <f t="array" ref="E105">(SUM(IF((CkDJ[Date]=A105)*(CkDJ[Account Code]=TRIM($B$2))*(CkDJ[Sort Code]=C105),CkDJ[Debit])))+(SUM(IF((CsDJ[Date]=A105)*(CsDJ[Account Code]=TRIM($B$2))*(CsDJ[Sort Code]=C105),CsDJ[Debit])))+(SUM(IF((CRDJ[Date]=A105)*(CRDJ[Account Code]=TRIM($B$2))*(CRDJ[Sort Code]=C105),CRDJ[Debit])))+(SUM(IF((GJ[Date]=A105)*(GJ[Account Code]=TRIM($B$2))*(GJ[Sort Code]=C105),GJ[Debit])))</f>
        <v>0</v>
      </c>
      <c r="F105" s="17">
        <f t="array" ref="F105">(SUM(IF((CkDJ[Date]=A105)*(CkDJ[Account Code]=TRIM($B$2))*(CkDJ[Sort Code]=C105),CkDJ[Credit])))+(SUM(IF((CsDJ[Date]=A105)*(CsDJ[Account Code]=TRIM($B$2))*(CsDJ[Sort Code]=C105),CsDJ[Credit])))+(SUM(IF((CRDJ[Date]=A105)*(CRDJ[Account Code]=TRIM($B$2))*(CRDJ[Sort Code]=C105),CRDJ[Credit])))+(SUM(IF((GJ[Date]=A105)*(GJ[Account Code]=TRIM($B$2))*(GJ[Sort Code]=C105),GJ[Credit])))</f>
        <v>0</v>
      </c>
      <c r="G105" s="294">
        <f>IF($H$4=$E$4,E105-F105,F105-E105)</f>
        <v>0</v>
      </c>
      <c r="H105" s="291">
        <f>IF($H$4=$E$4,H97+E105-F105,H97+F105-E105)</f>
        <v>3460296.28</v>
      </c>
    </row>
    <row r="106" spans="1:8" x14ac:dyDescent="0.25">
      <c r="A106" s="11">
        <f>Account!$G$23</f>
        <v>44926</v>
      </c>
      <c r="B106" s="189" t="str">
        <f>IF(C106=0,0,VLOOKUP(C106,Account!$F$26:$G$51,2))</f>
        <v>Pangasinan IMO</v>
      </c>
      <c r="C106" s="61" t="s">
        <v>762</v>
      </c>
      <c r="D106" s="14"/>
      <c r="E106" s="17">
        <f t="array" ref="E106">(SUM(IF((CkDJ[Date]=A106)*(CkDJ[Account Code]=TRIM($B$2))*(CkDJ[Sort Code]=C106),CkDJ[Debit])))+(SUM(IF((CsDJ[Date]=A106)*(CsDJ[Account Code]=TRIM($B$2))*(CsDJ[Sort Code]=C106),CsDJ[Debit])))+(SUM(IF((CRDJ[Date]=A106)*(CRDJ[Account Code]=TRIM($B$2))*(CRDJ[Sort Code]=C106),CRDJ[Debit])))+(SUM(IF((GJ[Date]=A106)*(GJ[Account Code]=TRIM($B$2))*(GJ[Sort Code]=C106),GJ[Debit])))</f>
        <v>11980564.5</v>
      </c>
      <c r="F106" s="17">
        <f t="array" ref="F106">(SUM(IF((CkDJ[Date]=A106)*(CkDJ[Account Code]=TRIM($B$2))*(CkDJ[Sort Code]=C106),CkDJ[Credit])))+(SUM(IF((CsDJ[Date]=A106)*(CsDJ[Account Code]=TRIM($B$2))*(CsDJ[Sort Code]=C106),CsDJ[Credit])))+(SUM(IF((CRDJ[Date]=A106)*(CRDJ[Account Code]=TRIM($B$2))*(CRDJ[Sort Code]=C106),CRDJ[Credit])))+(SUM(IF((GJ[Date]=A106)*(GJ[Account Code]=TRIM($B$2))*(GJ[Sort Code]=C106),GJ[Credit])))</f>
        <v>5640740.6600000001</v>
      </c>
      <c r="G106" s="294">
        <f>IF($H$4=$E$4,E106-F106,F106-E106)</f>
        <v>6339823.8399999999</v>
      </c>
      <c r="H106" s="291">
        <f>IF($H$4=$E$4,H98+E106-F106,H98+F106-E106)</f>
        <v>10799845.960000001</v>
      </c>
    </row>
    <row r="107" spans="1:8" x14ac:dyDescent="0.25">
      <c r="A107" s="1142">
        <f>A106</f>
        <v>44926</v>
      </c>
      <c r="B107" s="1150"/>
      <c r="C107" s="1150"/>
      <c r="D107" s="1143"/>
      <c r="E107" s="191">
        <f>SUM(E102:E106)</f>
        <v>11980564.5</v>
      </c>
      <c r="F107" s="191">
        <f>SUM(F102:F106)</f>
        <v>5640740.6600000001</v>
      </c>
      <c r="G107" s="297">
        <f>SUM(G102:G106)</f>
        <v>6339823.8399999999</v>
      </c>
      <c r="H107" s="23">
        <f>IF($H$4=$E$4,E107-F107,F107-E107)</f>
        <v>6339823.8399999999</v>
      </c>
    </row>
    <row r="108" spans="1:8" x14ac:dyDescent="0.25">
      <c r="A108" s="1147">
        <f>A107</f>
        <v>44926</v>
      </c>
      <c r="B108" s="1148"/>
      <c r="C108" s="1148"/>
      <c r="D108" s="1149"/>
      <c r="E108" s="20">
        <f>E100+E107</f>
        <v>37805853.710000001</v>
      </c>
      <c r="F108" s="20">
        <f>F100+F107</f>
        <v>17513015.699999999</v>
      </c>
      <c r="G108" s="295">
        <f>G99+G107</f>
        <v>6569542.3300000001</v>
      </c>
      <c r="H108" s="20">
        <f>IF($H$4=$E$4,E108-F108,F108-E108)</f>
        <v>20292838.010000002</v>
      </c>
    </row>
  </sheetData>
  <sheetProtection sheet="1" objects="1" scenarios="1"/>
  <mergeCells count="33">
    <mergeCell ref="A108:D108"/>
    <mergeCell ref="A76:D76"/>
    <mergeCell ref="A83:D83"/>
    <mergeCell ref="A84:D84"/>
    <mergeCell ref="A91:D91"/>
    <mergeCell ref="A92:D92"/>
    <mergeCell ref="A99:D99"/>
    <mergeCell ref="C2:F2"/>
    <mergeCell ref="A11:D11"/>
    <mergeCell ref="A100:D100"/>
    <mergeCell ref="A107:D107"/>
    <mergeCell ref="A36:D36"/>
    <mergeCell ref="A19:D19"/>
    <mergeCell ref="A20:D20"/>
    <mergeCell ref="A27:D27"/>
    <mergeCell ref="A28:D28"/>
    <mergeCell ref="A67:D67"/>
    <mergeCell ref="A35:D35"/>
    <mergeCell ref="G4:G5"/>
    <mergeCell ref="A68:D68"/>
    <mergeCell ref="A75:D75"/>
    <mergeCell ref="A52:D52"/>
    <mergeCell ref="A59:D59"/>
    <mergeCell ref="F4:F5"/>
    <mergeCell ref="A4:A5"/>
    <mergeCell ref="B4:B5"/>
    <mergeCell ref="C4:C5"/>
    <mergeCell ref="D4:D5"/>
    <mergeCell ref="E4:E5"/>
    <mergeCell ref="A43:D43"/>
    <mergeCell ref="A44:D44"/>
    <mergeCell ref="A51:D51"/>
    <mergeCell ref="A60:D60"/>
  </mergeCells>
  <printOptions horizontalCentered="1"/>
  <pageMargins left="0.43307086614173229" right="0.23622047244094491" top="0.74803149606299213" bottom="1.21" header="0.31496062992125984" footer="0.87"/>
  <pageSetup paperSize="14" scale="80" orientation="portrait" r:id="rId1"/>
  <headerFooter>
    <oddFooter>Page &amp;P of &amp;N</oddFooter>
  </headerFooter>
  <rowBreaks count="1" manualBreakCount="1">
    <brk id="60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70C0"/>
  </sheetPr>
  <dimension ref="A1:I31"/>
  <sheetViews>
    <sheetView workbookViewId="0">
      <selection activeCell="K11" sqref="K11"/>
    </sheetView>
  </sheetViews>
  <sheetFormatPr defaultColWidth="9" defaultRowHeight="15.75" x14ac:dyDescent="0.25"/>
  <cols>
    <col min="1" max="1" width="13.375" style="6" bestFit="1" customWidth="1"/>
    <col min="2" max="2" width="18" customWidth="1"/>
    <col min="3" max="3" width="7.625" style="173" customWidth="1"/>
    <col min="4" max="4" width="18.625" style="173" customWidth="1"/>
    <col min="5" max="5" width="15.125" customWidth="1"/>
    <col min="6" max="6" width="15.625" customWidth="1"/>
    <col min="7" max="7" width="14.625" customWidth="1"/>
    <col min="8" max="9" width="9.375" bestFit="1" customWidth="1"/>
  </cols>
  <sheetData>
    <row r="1" spans="1:9" ht="32.25" x14ac:dyDescent="0.5">
      <c r="A1" s="5" t="s">
        <v>508</v>
      </c>
      <c r="B1" s="104" t="str">
        <f>Account!$G$1</f>
        <v>FUND 501 CARP</v>
      </c>
    </row>
    <row r="2" spans="1:9" ht="37.5" x14ac:dyDescent="0.85">
      <c r="A2" s="5" t="s">
        <v>370</v>
      </c>
      <c r="B2" s="26" t="s">
        <v>82</v>
      </c>
      <c r="C2" s="1156">
        <f>VLOOKUP(B2,Code,3,)</f>
        <v>1069902099</v>
      </c>
      <c r="D2" s="1156"/>
      <c r="E2" s="1156"/>
      <c r="F2" s="534"/>
    </row>
    <row r="3" spans="1:9" ht="23.25" x14ac:dyDescent="0.35">
      <c r="A3" s="5" t="s">
        <v>371</v>
      </c>
      <c r="B3" s="174" t="str">
        <f>VLOOKUP(B2,Code,2,)</f>
        <v>Construction in Progress-Infrastructure Assets (Irrigation, Canals and Laterals)</v>
      </c>
      <c r="C3"/>
      <c r="D3"/>
    </row>
    <row r="4" spans="1:9" ht="15.75" customHeight="1" x14ac:dyDescent="0.25">
      <c r="A4" s="1152" t="s">
        <v>0</v>
      </c>
      <c r="B4" s="1152" t="s">
        <v>739</v>
      </c>
      <c r="C4" s="1151" t="s">
        <v>718</v>
      </c>
      <c r="D4" s="1151" t="s">
        <v>440</v>
      </c>
      <c r="E4" s="1151" t="s">
        <v>1</v>
      </c>
      <c r="F4" s="1151" t="s">
        <v>2</v>
      </c>
      <c r="G4" s="175" t="str">
        <f>IF(C2=0,0,INDEX(AccountCodes[Normal Balance],MATCH(C2,AccountCodes[PPSAS CODE])))</f>
        <v>Debit</v>
      </c>
    </row>
    <row r="5" spans="1:9" x14ac:dyDescent="0.25">
      <c r="A5" s="1152"/>
      <c r="B5" s="1152"/>
      <c r="C5" s="1151"/>
      <c r="D5" s="1151"/>
      <c r="E5" s="1151"/>
      <c r="F5" s="1151"/>
      <c r="G5" s="187" t="s">
        <v>379</v>
      </c>
    </row>
    <row r="6" spans="1:9" x14ac:dyDescent="0.25">
      <c r="A6" s="21">
        <f>PostTB!A2</f>
        <v>44561</v>
      </c>
      <c r="B6" s="292" t="str">
        <f>IF(C6=0,"Region 3",VLOOKUP(C6,Account!$F$26:$G$51,2))</f>
        <v>Pangasinan IMO</v>
      </c>
      <c r="C6" s="270" t="s">
        <v>762</v>
      </c>
      <c r="D6" s="22" t="s">
        <v>373</v>
      </c>
      <c r="E6" s="176">
        <f t="array" ref="E6">IF(C6=0,(SUM(IF((PostTB[Account Code (Old)]=TRIM($B$2)),PostTB[Debit]))),(SUM(IF((PostTB[Account Code (Old)]=TRIM($B$2))*(PostTB[Sort Code]=$C$6),PostTB[Debit]))))</f>
        <v>5127189.3600000003</v>
      </c>
      <c r="F6" s="176">
        <f t="array" ref="F6">IF(C6=0,(SUM(IF((PostTB[Account Code (Old)]=TRIM($B$2)),PostTB[Credit]))),(SUM(IF((PostTB[Account Code (Old)]=TRIM($B$2))*(PostTB[Sort Code]=$C$6),PostTB[Credit]))))</f>
        <v>0</v>
      </c>
      <c r="G6" s="176">
        <f>IF($G$4=$E$4,E6-F6,F6-E6)</f>
        <v>5127189.3600000003</v>
      </c>
      <c r="I6" s="873"/>
    </row>
    <row r="7" spans="1:9" x14ac:dyDescent="0.25">
      <c r="A7" s="11">
        <f>Account!$G$12</f>
        <v>44592</v>
      </c>
      <c r="B7" s="189" t="str">
        <f>IF(C7=0,"Region 3",VLOOKUP(C7,Account!$F$26:$G$51,2))</f>
        <v>Pangasinan IMO</v>
      </c>
      <c r="C7" s="268" t="str">
        <f>$C$6</f>
        <v>5</v>
      </c>
      <c r="D7" s="14"/>
      <c r="E7" s="269">
        <f t="array" ref="E7">IF(C7=0,((SUM(IF((CkDJ[Date]=A7)*(CkDJ[Account Code]=TRIM($B$2)),CkDJ[Debit])))+(SUM(IF((CsDJ[Date]=A7)*(CsDJ[Account Code]=TRIM($B$2)),CsDJ[Debit])))+(SUM(IF((CRDJ[Date]=A7)*(CRDJ[Account Code]=TRIM($B$2)),CRDJ[Debit])))+(SUM(IF((GJ[Date]=A7)*(GJ[Account Code]=TRIM($B$2)),GJ[Debit])))),((SUM(IF((CkDJ[Date]=A7)*(CkDJ[Account Code]=TRIM($B$2))*(CkDJ[Sort Code]=C7),CkDJ[Debit])))+(SUM(IF((CsDJ[Date]=A7)*(CsDJ[Account Code]=TRIM($B$2))*(CsDJ[Sort Code]=C7),CsDJ[Debit])))+(SUM(IF((CRDJ[Date]=A7)*(CRDJ[Account Code]=TRIM($B$2))*(CRDJ[Sort Code]=C7),CRDJ[Debit])))+(SUM(IF((GJ[Date]=A7)*(GJ[Account Code]=TRIM($B$2))*(GJ[Sort Code]=C7),GJ[Debit])))))</f>
        <v>0</v>
      </c>
      <c r="F7" s="269">
        <f t="array" ref="F7">IF(C7=0,((SUM(IF((CkDJ[Date]=A7)*(CkDJ[Account Code]=TRIM($B$2)),CkDJ[Credit])))+(SUM(IF((CsDJ[Date]=A7)*(CsDJ[Account Code]=TRIM($B$2)),CsDJ[Credit])))+(SUM(IF((CRDJ[Date]=A7)*(CRDJ[Account Code]=TRIM($B$2)),CRDJ[Credit])))+(SUM(IF((GJ[Date]=A7)*(GJ[Account Code]=TRIM($B$2)),GJ[Credit])))),((SUM(IF((CkDJ[Date]=A7)*(CkDJ[Account Code]=TRIM($B$2))*(CkDJ[Sort Code]=C7),CkDJ[Credit])))+(SUM(IF((CsDJ[Date]=A7)*(CsDJ[Account Code]=TRIM($B$2))*(CsDJ[Sort Code]=C7),CsDJ[Credit])))+(SUM(IF((CRDJ[Date]=A7)*(CRDJ[Account Code]=TRIM($B$2))*(CRDJ[Sort Code]=C7),CRDJ[Credit])))+(SUM(IF((GJ[Date]=A7)*(GJ[Account Code]=TRIM($B$2))*(GJ[Sort Code]=C7),GJ[Credit])))))</f>
        <v>0</v>
      </c>
      <c r="G7" s="293">
        <f>IF($G$4=$E$4,G6+E7-F7,G6+F7-E7)</f>
        <v>5127189.3600000003</v>
      </c>
    </row>
    <row r="8" spans="1:9" x14ac:dyDescent="0.25">
      <c r="A8" s="11">
        <f>Account!$G$13</f>
        <v>44620</v>
      </c>
      <c r="B8" s="189" t="str">
        <f>IF(C8=0,"Region 3",VLOOKUP(C8,Account!$F$26:$G$51,2))</f>
        <v>Pangasinan IMO</v>
      </c>
      <c r="C8" s="268" t="str">
        <f t="shared" ref="C8:C18" si="0">$C$6</f>
        <v>5</v>
      </c>
      <c r="D8" s="14"/>
      <c r="E8" s="269">
        <f t="array" ref="E8">IF(C8=0,((SUM(IF((CkDJ[Date]=A8)*(CkDJ[Account Code]=TRIM($B$2)),CkDJ[Debit])))+(SUM(IF((CsDJ[Date]=A8)*(CsDJ[Account Code]=TRIM($B$2)),CsDJ[Debit])))+(SUM(IF((CRDJ[Date]=A8)*(CRDJ[Account Code]=TRIM($B$2)),CRDJ[Debit])))+(SUM(IF((GJ[Date]=A8)*(GJ[Account Code]=TRIM($B$2)),GJ[Debit])))),((SUM(IF((CkDJ[Date]=A8)*(CkDJ[Account Code]=TRIM($B$2))*(CkDJ[Sort Code]=C8),CkDJ[Debit])))+(SUM(IF((CsDJ[Date]=A8)*(CsDJ[Account Code]=TRIM($B$2))*(CsDJ[Sort Code]=C8),CsDJ[Debit])))+(SUM(IF((CRDJ[Date]=A8)*(CRDJ[Account Code]=TRIM($B$2))*(CRDJ[Sort Code]=C8),CRDJ[Debit])))+(SUM(IF((GJ[Date]=A8)*(GJ[Account Code]=TRIM($B$2))*(GJ[Sort Code]=C8),GJ[Debit])))))</f>
        <v>0</v>
      </c>
      <c r="F8" s="269">
        <f t="array" ref="F8">IF(C8=0,((SUM(IF((CkDJ[Date]=A8)*(CkDJ[Account Code]=TRIM($B$2)),CkDJ[Credit])))+(SUM(IF((CsDJ[Date]=A8)*(CsDJ[Account Code]=TRIM($B$2)),CsDJ[Credit])))+(SUM(IF((CRDJ[Date]=A8)*(CRDJ[Account Code]=TRIM($B$2)),CRDJ[Credit])))+(SUM(IF((GJ[Date]=A8)*(GJ[Account Code]=TRIM($B$2)),GJ[Credit])))),((SUM(IF((CkDJ[Date]=A8)*(CkDJ[Account Code]=TRIM($B$2))*(CkDJ[Sort Code]=C8),CkDJ[Credit])))+(SUM(IF((CsDJ[Date]=A8)*(CsDJ[Account Code]=TRIM($B$2))*(CsDJ[Sort Code]=C8),CsDJ[Credit])))+(SUM(IF((CRDJ[Date]=A8)*(CRDJ[Account Code]=TRIM($B$2))*(CRDJ[Sort Code]=C8),CRDJ[Credit])))+(SUM(IF((GJ[Date]=A8)*(GJ[Account Code]=TRIM($B$2))*(GJ[Sort Code]=C8),GJ[Credit])))))</f>
        <v>0</v>
      </c>
      <c r="G8" s="293">
        <f t="shared" ref="G8:G18" si="1">IF($G$4=$E$4,G7+E8-F8,G7+F8-E8)</f>
        <v>5127189.3600000003</v>
      </c>
    </row>
    <row r="9" spans="1:9" x14ac:dyDescent="0.25">
      <c r="A9" s="11">
        <f>Account!$G$14</f>
        <v>44651</v>
      </c>
      <c r="B9" s="189" t="str">
        <f>IF(C9=0,"Region 3",VLOOKUP(C9,Account!$F$26:$G$51,2))</f>
        <v>Pangasinan IMO</v>
      </c>
      <c r="C9" s="268" t="str">
        <f t="shared" si="0"/>
        <v>5</v>
      </c>
      <c r="D9" s="14"/>
      <c r="E9" s="269">
        <f t="array" ref="E9">IF(C9=0,((SUM(IF((CkDJ[Date]=A9)*(CkDJ[Account Code]=TRIM($B$2)),CkDJ[Debit])))+(SUM(IF((CsDJ[Date]=A9)*(CsDJ[Account Code]=TRIM($B$2)),CsDJ[Debit])))+(SUM(IF((CRDJ[Date]=A9)*(CRDJ[Account Code]=TRIM($B$2)),CRDJ[Debit])))+(SUM(IF((GJ[Date]=A9)*(GJ[Account Code]=TRIM($B$2)),GJ[Debit])))),((SUM(IF((CkDJ[Date]=A9)*(CkDJ[Account Code]=TRIM($B$2))*(CkDJ[Sort Code]=C9),CkDJ[Debit])))+(SUM(IF((CsDJ[Date]=A9)*(CsDJ[Account Code]=TRIM($B$2))*(CsDJ[Sort Code]=C9),CsDJ[Debit])))+(SUM(IF((CRDJ[Date]=A9)*(CRDJ[Account Code]=TRIM($B$2))*(CRDJ[Sort Code]=C9),CRDJ[Debit])))+(SUM(IF((GJ[Date]=A9)*(GJ[Account Code]=TRIM($B$2))*(GJ[Sort Code]=C9),GJ[Debit])))))</f>
        <v>0</v>
      </c>
      <c r="F9" s="269">
        <f t="array" ref="F9">IF(C9=0,((SUM(IF((CkDJ[Date]=A9)*(CkDJ[Account Code]=TRIM($B$2)),CkDJ[Credit])))+(SUM(IF((CsDJ[Date]=A9)*(CsDJ[Account Code]=TRIM($B$2)),CsDJ[Credit])))+(SUM(IF((CRDJ[Date]=A9)*(CRDJ[Account Code]=TRIM($B$2)),CRDJ[Credit])))+(SUM(IF((GJ[Date]=A9)*(GJ[Account Code]=TRIM($B$2)),GJ[Credit])))),((SUM(IF((CkDJ[Date]=A9)*(CkDJ[Account Code]=TRIM($B$2))*(CkDJ[Sort Code]=C9),CkDJ[Credit])))+(SUM(IF((CsDJ[Date]=A9)*(CsDJ[Account Code]=TRIM($B$2))*(CsDJ[Sort Code]=C9),CsDJ[Credit])))+(SUM(IF((CRDJ[Date]=A9)*(CRDJ[Account Code]=TRIM($B$2))*(CRDJ[Sort Code]=C9),CRDJ[Credit])))+(SUM(IF((GJ[Date]=A9)*(GJ[Account Code]=TRIM($B$2))*(GJ[Sort Code]=C9),GJ[Credit])))))</f>
        <v>0</v>
      </c>
      <c r="G9" s="293">
        <f t="shared" si="1"/>
        <v>5127189.3600000003</v>
      </c>
    </row>
    <row r="10" spans="1:9" x14ac:dyDescent="0.25">
      <c r="A10" s="11">
        <f>Account!$G$15</f>
        <v>44681</v>
      </c>
      <c r="B10" s="189" t="str">
        <f>IF(C10=0,"Region 3",VLOOKUP(C10,Account!$F$26:$G$51,2))</f>
        <v>Pangasinan IMO</v>
      </c>
      <c r="C10" s="268" t="str">
        <f t="shared" si="0"/>
        <v>5</v>
      </c>
      <c r="D10" s="14"/>
      <c r="E10" s="269">
        <f t="array" ref="E10">IF(C10=0,((SUM(IF((CkDJ[Date]=A10)*(CkDJ[Account Code]=TRIM($B$2)),CkDJ[Debit])))+(SUM(IF((CsDJ[Date]=A10)*(CsDJ[Account Code]=TRIM($B$2)),CsDJ[Debit])))+(SUM(IF((CRDJ[Date]=A10)*(CRDJ[Account Code]=TRIM($B$2)),CRDJ[Debit])))+(SUM(IF((GJ[Date]=A10)*(GJ[Account Code]=TRIM($B$2)),GJ[Debit])))),((SUM(IF((CkDJ[Date]=A10)*(CkDJ[Account Code]=TRIM($B$2))*(CkDJ[Sort Code]=C10),CkDJ[Debit])))+(SUM(IF((CsDJ[Date]=A10)*(CsDJ[Account Code]=TRIM($B$2))*(CsDJ[Sort Code]=C10),CsDJ[Debit])))+(SUM(IF((CRDJ[Date]=A10)*(CRDJ[Account Code]=TRIM($B$2))*(CRDJ[Sort Code]=C10),CRDJ[Debit])))+(SUM(IF((GJ[Date]=A10)*(GJ[Account Code]=TRIM($B$2))*(GJ[Sort Code]=C10),GJ[Debit])))))</f>
        <v>0</v>
      </c>
      <c r="F10" s="269">
        <f t="array" ref="F10">IF(C10=0,((SUM(IF((CkDJ[Date]=A10)*(CkDJ[Account Code]=TRIM($B$2)),CkDJ[Credit])))+(SUM(IF((CsDJ[Date]=A10)*(CsDJ[Account Code]=TRIM($B$2)),CsDJ[Credit])))+(SUM(IF((CRDJ[Date]=A10)*(CRDJ[Account Code]=TRIM($B$2)),CRDJ[Credit])))+(SUM(IF((GJ[Date]=A10)*(GJ[Account Code]=TRIM($B$2)),GJ[Credit])))),((SUM(IF((CkDJ[Date]=A10)*(CkDJ[Account Code]=TRIM($B$2))*(CkDJ[Sort Code]=C10),CkDJ[Credit])))+(SUM(IF((CsDJ[Date]=A10)*(CsDJ[Account Code]=TRIM($B$2))*(CsDJ[Sort Code]=C10),CsDJ[Credit])))+(SUM(IF((CRDJ[Date]=A10)*(CRDJ[Account Code]=TRIM($B$2))*(CRDJ[Sort Code]=C10),CRDJ[Credit])))+(SUM(IF((GJ[Date]=A10)*(GJ[Account Code]=TRIM($B$2))*(GJ[Sort Code]=C10),GJ[Credit])))))</f>
        <v>0</v>
      </c>
      <c r="G10" s="293">
        <f t="shared" si="1"/>
        <v>5127189.3600000003</v>
      </c>
    </row>
    <row r="11" spans="1:9" x14ac:dyDescent="0.25">
      <c r="A11" s="11">
        <f>Account!$G$16</f>
        <v>44712</v>
      </c>
      <c r="B11" s="189" t="str">
        <f>IF(C11=0,"Region 3",VLOOKUP(C11,Account!$F$26:$G$51,2))</f>
        <v>Pangasinan IMO</v>
      </c>
      <c r="C11" s="268" t="str">
        <f t="shared" si="0"/>
        <v>5</v>
      </c>
      <c r="D11" s="14"/>
      <c r="E11" s="269">
        <f t="array" ref="E11">IF(C11=0,((SUM(IF((CkDJ[Date]=A11)*(CkDJ[Account Code]=TRIM($B$2)),CkDJ[Debit])))+(SUM(IF((CsDJ[Date]=A11)*(CsDJ[Account Code]=TRIM($B$2)),CsDJ[Debit])))+(SUM(IF((CRDJ[Date]=A11)*(CRDJ[Account Code]=TRIM($B$2)),CRDJ[Debit])))+(SUM(IF((GJ[Date]=A11)*(GJ[Account Code]=TRIM($B$2)),GJ[Debit])))),((SUM(IF((CkDJ[Date]=A11)*(CkDJ[Account Code]=TRIM($B$2))*(CkDJ[Sort Code]=C11),CkDJ[Debit])))+(SUM(IF((CsDJ[Date]=A11)*(CsDJ[Account Code]=TRIM($B$2))*(CsDJ[Sort Code]=C11),CsDJ[Debit])))+(SUM(IF((CRDJ[Date]=A11)*(CRDJ[Account Code]=TRIM($B$2))*(CRDJ[Sort Code]=C11),CRDJ[Debit])))+(SUM(IF((GJ[Date]=A11)*(GJ[Account Code]=TRIM($B$2))*(GJ[Sort Code]=C11),GJ[Debit])))))</f>
        <v>0</v>
      </c>
      <c r="F11" s="269">
        <f t="array" ref="F11">IF(C11=0,((SUM(IF((CkDJ[Date]=A11)*(CkDJ[Account Code]=TRIM($B$2)),CkDJ[Credit])))+(SUM(IF((CsDJ[Date]=A11)*(CsDJ[Account Code]=TRIM($B$2)),CsDJ[Credit])))+(SUM(IF((CRDJ[Date]=A11)*(CRDJ[Account Code]=TRIM($B$2)),CRDJ[Credit])))+(SUM(IF((GJ[Date]=A11)*(GJ[Account Code]=TRIM($B$2)),GJ[Credit])))),((SUM(IF((CkDJ[Date]=A11)*(CkDJ[Account Code]=TRIM($B$2))*(CkDJ[Sort Code]=C11),CkDJ[Credit])))+(SUM(IF((CsDJ[Date]=A11)*(CsDJ[Account Code]=TRIM($B$2))*(CsDJ[Sort Code]=C11),CsDJ[Credit])))+(SUM(IF((CRDJ[Date]=A11)*(CRDJ[Account Code]=TRIM($B$2))*(CRDJ[Sort Code]=C11),CRDJ[Credit])))+(SUM(IF((GJ[Date]=A11)*(GJ[Account Code]=TRIM($B$2))*(GJ[Sort Code]=C11),GJ[Credit])))))</f>
        <v>0</v>
      </c>
      <c r="G11" s="293">
        <f t="shared" si="1"/>
        <v>5127189.3600000003</v>
      </c>
    </row>
    <row r="12" spans="1:9" x14ac:dyDescent="0.25">
      <c r="A12" s="11">
        <f>Account!$G$17</f>
        <v>44742</v>
      </c>
      <c r="B12" s="189" t="str">
        <f>IF(C12=0,"Region 3",VLOOKUP(C12,Account!$F$26:$G$51,2))</f>
        <v>Pangasinan IMO</v>
      </c>
      <c r="C12" s="268" t="str">
        <f t="shared" si="0"/>
        <v>5</v>
      </c>
      <c r="D12" s="14"/>
      <c r="E12" s="269">
        <f t="array" ref="E12">IF(C12=0,((SUM(IF((CkDJ[Date]=A12)*(CkDJ[Account Code]=TRIM($B$2)),CkDJ[Debit])))+(SUM(IF((CsDJ[Date]=A12)*(CsDJ[Account Code]=TRIM($B$2)),CsDJ[Debit])))+(SUM(IF((CRDJ[Date]=A12)*(CRDJ[Account Code]=TRIM($B$2)),CRDJ[Debit])))+(SUM(IF((GJ[Date]=A12)*(GJ[Account Code]=TRIM($B$2)),GJ[Debit])))),((SUM(IF((CkDJ[Date]=A12)*(CkDJ[Account Code]=TRIM($B$2))*(CkDJ[Sort Code]=C12),CkDJ[Debit])))+(SUM(IF((CsDJ[Date]=A12)*(CsDJ[Account Code]=TRIM($B$2))*(CsDJ[Sort Code]=C12),CsDJ[Debit])))+(SUM(IF((CRDJ[Date]=A12)*(CRDJ[Account Code]=TRIM($B$2))*(CRDJ[Sort Code]=C12),CRDJ[Debit])))+(SUM(IF((GJ[Date]=A12)*(GJ[Account Code]=TRIM($B$2))*(GJ[Sort Code]=C12),GJ[Debit])))))</f>
        <v>0</v>
      </c>
      <c r="F12" s="269">
        <f t="array" ref="F12">IF(C12=0,((SUM(IF((CkDJ[Date]=A12)*(CkDJ[Account Code]=TRIM($B$2)),CkDJ[Credit])))+(SUM(IF((CsDJ[Date]=A12)*(CsDJ[Account Code]=TRIM($B$2)),CsDJ[Credit])))+(SUM(IF((CRDJ[Date]=A12)*(CRDJ[Account Code]=TRIM($B$2)),CRDJ[Credit])))+(SUM(IF((GJ[Date]=A12)*(GJ[Account Code]=TRIM($B$2)),GJ[Credit])))),((SUM(IF((CkDJ[Date]=A12)*(CkDJ[Account Code]=TRIM($B$2))*(CkDJ[Sort Code]=C12),CkDJ[Credit])))+(SUM(IF((CsDJ[Date]=A12)*(CsDJ[Account Code]=TRIM($B$2))*(CsDJ[Sort Code]=C12),CsDJ[Credit])))+(SUM(IF((CRDJ[Date]=A12)*(CRDJ[Account Code]=TRIM($B$2))*(CRDJ[Sort Code]=C12),CRDJ[Credit])))+(SUM(IF((GJ[Date]=A12)*(GJ[Account Code]=TRIM($B$2))*(GJ[Sort Code]=C12),GJ[Credit])))))</f>
        <v>0</v>
      </c>
      <c r="G12" s="293">
        <f t="shared" si="1"/>
        <v>5127189.3600000003</v>
      </c>
    </row>
    <row r="13" spans="1:9" x14ac:dyDescent="0.25">
      <c r="A13" s="11">
        <f>Account!$G$18</f>
        <v>44773</v>
      </c>
      <c r="B13" s="189" t="str">
        <f>IF(C13=0,"Region 3",VLOOKUP(C13,Account!$F$26:$G$51,2))</f>
        <v>Pangasinan IMO</v>
      </c>
      <c r="C13" s="268" t="str">
        <f t="shared" si="0"/>
        <v>5</v>
      </c>
      <c r="D13" s="14"/>
      <c r="E13" s="269">
        <f t="array" ref="E13">IF(C13=0,((SUM(IF((CkDJ[Date]=A13)*(CkDJ[Account Code]=TRIM($B$2)),CkDJ[Debit])))+(SUM(IF((CsDJ[Date]=A13)*(CsDJ[Account Code]=TRIM($B$2)),CsDJ[Debit])))+(SUM(IF((CRDJ[Date]=A13)*(CRDJ[Account Code]=TRIM($B$2)),CRDJ[Debit])))+(SUM(IF((GJ[Date]=A13)*(GJ[Account Code]=TRIM($B$2)),GJ[Debit])))),((SUM(IF((CkDJ[Date]=A13)*(CkDJ[Account Code]=TRIM($B$2))*(CkDJ[Sort Code]=C13),CkDJ[Debit])))+(SUM(IF((CsDJ[Date]=A13)*(CsDJ[Account Code]=TRIM($B$2))*(CsDJ[Sort Code]=C13),CsDJ[Debit])))+(SUM(IF((CRDJ[Date]=A13)*(CRDJ[Account Code]=TRIM($B$2))*(CRDJ[Sort Code]=C13),CRDJ[Debit])))+(SUM(IF((GJ[Date]=A13)*(GJ[Account Code]=TRIM($B$2))*(GJ[Sort Code]=C13),GJ[Debit])))))</f>
        <v>1364697.65</v>
      </c>
      <c r="F13" s="269">
        <f t="array" ref="F13">IF(C13=0,((SUM(IF((CkDJ[Date]=A13)*(CkDJ[Account Code]=TRIM($B$2)),CkDJ[Credit])))+(SUM(IF((CsDJ[Date]=A13)*(CsDJ[Account Code]=TRIM($B$2)),CsDJ[Credit])))+(SUM(IF((CRDJ[Date]=A13)*(CRDJ[Account Code]=TRIM($B$2)),CRDJ[Credit])))+(SUM(IF((GJ[Date]=A13)*(GJ[Account Code]=TRIM($B$2)),GJ[Credit])))),((SUM(IF((CkDJ[Date]=A13)*(CkDJ[Account Code]=TRIM($B$2))*(CkDJ[Sort Code]=C13),CkDJ[Credit])))+(SUM(IF((CsDJ[Date]=A13)*(CsDJ[Account Code]=TRIM($B$2))*(CsDJ[Sort Code]=C13),CsDJ[Credit])))+(SUM(IF((CRDJ[Date]=A13)*(CRDJ[Account Code]=TRIM($B$2))*(CRDJ[Sort Code]=C13),CRDJ[Credit])))+(SUM(IF((GJ[Date]=A13)*(GJ[Account Code]=TRIM($B$2))*(GJ[Sort Code]=C13),GJ[Credit])))))</f>
        <v>7134233.5</v>
      </c>
      <c r="G13" s="293">
        <f t="shared" si="1"/>
        <v>-642346.49</v>
      </c>
      <c r="H13" s="800"/>
      <c r="I13" s="800"/>
    </row>
    <row r="14" spans="1:9" x14ac:dyDescent="0.25">
      <c r="A14" s="11">
        <f>Account!$G$19</f>
        <v>44804</v>
      </c>
      <c r="B14" s="189" t="str">
        <f>IF(C14=0,"Region 3",VLOOKUP(C14,Account!$F$26:$G$51,2))</f>
        <v>Pangasinan IMO</v>
      </c>
      <c r="C14" s="268" t="str">
        <f t="shared" si="0"/>
        <v>5</v>
      </c>
      <c r="D14" s="14"/>
      <c r="E14" s="269">
        <f t="array" ref="E14">IF(C14=0,((SUM(IF((CkDJ[Date]=A14)*(CkDJ[Account Code]=TRIM($B$2)),CkDJ[Debit])))+(SUM(IF((CsDJ[Date]=A14)*(CsDJ[Account Code]=TRIM($B$2)),CsDJ[Debit])))+(SUM(IF((CRDJ[Date]=A14)*(CRDJ[Account Code]=TRIM($B$2)),CRDJ[Debit])))+(SUM(IF((GJ[Date]=A14)*(GJ[Account Code]=TRIM($B$2)),GJ[Debit])))),((SUM(IF((CkDJ[Date]=A14)*(CkDJ[Account Code]=TRIM($B$2))*(CkDJ[Sort Code]=C14),CkDJ[Debit])))+(SUM(IF((CsDJ[Date]=A14)*(CsDJ[Account Code]=TRIM($B$2))*(CsDJ[Sort Code]=C14),CsDJ[Debit])))+(SUM(IF((CRDJ[Date]=A14)*(CRDJ[Account Code]=TRIM($B$2))*(CRDJ[Sort Code]=C14),CRDJ[Debit])))+(SUM(IF((GJ[Date]=A14)*(GJ[Account Code]=TRIM($B$2))*(GJ[Sort Code]=C14),GJ[Debit])))))</f>
        <v>765596.49</v>
      </c>
      <c r="F14" s="269">
        <f t="array" ref="F14">IF(C14=0,((SUM(IF((CkDJ[Date]=A14)*(CkDJ[Account Code]=TRIM($B$2)),CkDJ[Credit])))+(SUM(IF((CsDJ[Date]=A14)*(CsDJ[Account Code]=TRIM($B$2)),CsDJ[Credit])))+(SUM(IF((CRDJ[Date]=A14)*(CRDJ[Account Code]=TRIM($B$2)),CRDJ[Credit])))+(SUM(IF((GJ[Date]=A14)*(GJ[Account Code]=TRIM($B$2)),GJ[Credit])))),((SUM(IF((CkDJ[Date]=A14)*(CkDJ[Account Code]=TRIM($B$2))*(CkDJ[Sort Code]=C14),CkDJ[Credit])))+(SUM(IF((CsDJ[Date]=A14)*(CsDJ[Account Code]=TRIM($B$2))*(CsDJ[Sort Code]=C14),CsDJ[Credit])))+(SUM(IF((CRDJ[Date]=A14)*(CRDJ[Account Code]=TRIM($B$2))*(CRDJ[Sort Code]=C14),CRDJ[Credit])))+(SUM(IF((GJ[Date]=A14)*(GJ[Account Code]=TRIM($B$2))*(GJ[Sort Code]=C14),GJ[Credit])))))</f>
        <v>123250</v>
      </c>
      <c r="G14" s="293">
        <f t="shared" si="1"/>
        <v>0</v>
      </c>
    </row>
    <row r="15" spans="1:9" x14ac:dyDescent="0.25">
      <c r="A15" s="11">
        <f>Account!$G$20</f>
        <v>44834</v>
      </c>
      <c r="B15" s="189" t="str">
        <f>IF(C15=0,"Region 3",VLOOKUP(C15,Account!$F$26:$G$51,2))</f>
        <v>Pangasinan IMO</v>
      </c>
      <c r="C15" s="268" t="str">
        <f t="shared" si="0"/>
        <v>5</v>
      </c>
      <c r="D15" s="14"/>
      <c r="E15" s="269">
        <f t="array" ref="E15">IF(C15=0,((SUM(IF((CkDJ[Date]=A15)*(CkDJ[Account Code]=TRIM($B$2)),CkDJ[Debit])))+(SUM(IF((CsDJ[Date]=A15)*(CsDJ[Account Code]=TRIM($B$2)),CsDJ[Debit])))+(SUM(IF((CRDJ[Date]=A15)*(CRDJ[Account Code]=TRIM($B$2)),CRDJ[Debit])))+(SUM(IF((GJ[Date]=A15)*(GJ[Account Code]=TRIM($B$2)),GJ[Debit])))),((SUM(IF((CkDJ[Date]=A15)*(CkDJ[Account Code]=TRIM($B$2))*(CkDJ[Sort Code]=C15),CkDJ[Debit])))+(SUM(IF((CsDJ[Date]=A15)*(CsDJ[Account Code]=TRIM($B$2))*(CsDJ[Sort Code]=C15),CsDJ[Debit])))+(SUM(IF((CRDJ[Date]=A15)*(CRDJ[Account Code]=TRIM($B$2))*(CRDJ[Sort Code]=C15),CRDJ[Debit])))+(SUM(IF((GJ[Date]=A15)*(GJ[Account Code]=TRIM($B$2))*(GJ[Sort Code]=C15),GJ[Debit])))))</f>
        <v>0</v>
      </c>
      <c r="F15" s="269">
        <f t="array" ref="F15">IF(C15=0,((SUM(IF((CkDJ[Date]=A15)*(CkDJ[Account Code]=TRIM($B$2)),CkDJ[Credit])))+(SUM(IF((CsDJ[Date]=A15)*(CsDJ[Account Code]=TRIM($B$2)),CsDJ[Credit])))+(SUM(IF((CRDJ[Date]=A15)*(CRDJ[Account Code]=TRIM($B$2)),CRDJ[Credit])))+(SUM(IF((GJ[Date]=A15)*(GJ[Account Code]=TRIM($B$2)),GJ[Credit])))),((SUM(IF((CkDJ[Date]=A15)*(CkDJ[Account Code]=TRIM($B$2))*(CkDJ[Sort Code]=C15),CkDJ[Credit])))+(SUM(IF((CsDJ[Date]=A15)*(CsDJ[Account Code]=TRIM($B$2))*(CsDJ[Sort Code]=C15),CsDJ[Credit])))+(SUM(IF((CRDJ[Date]=A15)*(CRDJ[Account Code]=TRIM($B$2))*(CRDJ[Sort Code]=C15),CRDJ[Credit])))+(SUM(IF((GJ[Date]=A15)*(GJ[Account Code]=TRIM($B$2))*(GJ[Sort Code]=C15),GJ[Credit])))))</f>
        <v>0</v>
      </c>
      <c r="G15" s="293">
        <f t="shared" si="1"/>
        <v>0</v>
      </c>
    </row>
    <row r="16" spans="1:9" x14ac:dyDescent="0.25">
      <c r="A16" s="11">
        <f>Account!$G$21</f>
        <v>44865</v>
      </c>
      <c r="B16" s="189" t="str">
        <f>IF(C16=0,"Region 3",VLOOKUP(C16,Account!$F$26:$G$51,2))</f>
        <v>Pangasinan IMO</v>
      </c>
      <c r="C16" s="268" t="str">
        <f t="shared" si="0"/>
        <v>5</v>
      </c>
      <c r="D16" s="14"/>
      <c r="E16" s="269">
        <f t="array" ref="E16">IF(C16=0,((SUM(IF((CkDJ[Date]=A16)*(CkDJ[Account Code]=TRIM($B$2)),CkDJ[Debit])))+(SUM(IF((CsDJ[Date]=A16)*(CsDJ[Account Code]=TRIM($B$2)),CsDJ[Debit])))+(SUM(IF((CRDJ[Date]=A16)*(CRDJ[Account Code]=TRIM($B$2)),CRDJ[Debit])))+(SUM(IF((GJ[Date]=A16)*(GJ[Account Code]=TRIM($B$2)),GJ[Debit])))),((SUM(IF((CkDJ[Date]=A16)*(CkDJ[Account Code]=TRIM($B$2))*(CkDJ[Sort Code]=C16),CkDJ[Debit])))+(SUM(IF((CsDJ[Date]=A16)*(CsDJ[Account Code]=TRIM($B$2))*(CsDJ[Sort Code]=C16),CsDJ[Debit])))+(SUM(IF((CRDJ[Date]=A16)*(CRDJ[Account Code]=TRIM($B$2))*(CRDJ[Sort Code]=C16),CRDJ[Debit])))+(SUM(IF((GJ[Date]=A16)*(GJ[Account Code]=TRIM($B$2))*(GJ[Sort Code]=C16),GJ[Debit])))))</f>
        <v>2453515.9</v>
      </c>
      <c r="F16" s="269">
        <f t="array" ref="F16">IF(C16=0,((SUM(IF((CkDJ[Date]=A16)*(CkDJ[Account Code]=TRIM($B$2)),CkDJ[Credit])))+(SUM(IF((CsDJ[Date]=A16)*(CsDJ[Account Code]=TRIM($B$2)),CsDJ[Credit])))+(SUM(IF((CRDJ[Date]=A16)*(CRDJ[Account Code]=TRIM($B$2)),CRDJ[Credit])))+(SUM(IF((GJ[Date]=A16)*(GJ[Account Code]=TRIM($B$2)),GJ[Credit])))),((SUM(IF((CkDJ[Date]=A16)*(CkDJ[Account Code]=TRIM($B$2))*(CkDJ[Sort Code]=C16),CkDJ[Credit])))+(SUM(IF((CsDJ[Date]=A16)*(CsDJ[Account Code]=TRIM($B$2))*(CsDJ[Sort Code]=C16),CsDJ[Credit])))+(SUM(IF((CRDJ[Date]=A16)*(CRDJ[Account Code]=TRIM($B$2))*(CRDJ[Sort Code]=C16),CRDJ[Credit])))+(SUM(IF((GJ[Date]=A16)*(GJ[Account Code]=TRIM($B$2))*(GJ[Sort Code]=C16),GJ[Credit])))))</f>
        <v>0</v>
      </c>
      <c r="G16" s="293">
        <f t="shared" si="1"/>
        <v>2453515.9</v>
      </c>
    </row>
    <row r="17" spans="1:7" x14ac:dyDescent="0.25">
      <c r="A17" s="11">
        <f>Account!$G$22</f>
        <v>44895</v>
      </c>
      <c r="B17" s="189" t="str">
        <f>IF(C17=0,"Region 3",VLOOKUP(C17,Account!$F$26:$G$51,2))</f>
        <v>Pangasinan IMO</v>
      </c>
      <c r="C17" s="268" t="str">
        <f t="shared" si="0"/>
        <v>5</v>
      </c>
      <c r="D17" s="14"/>
      <c r="E17" s="269">
        <f t="array" ref="E17">IF(C17=0,((SUM(IF((CkDJ[Date]=A17)*(CkDJ[Account Code]=TRIM($B$2)),CkDJ[Debit])))+(SUM(IF((CsDJ[Date]=A17)*(CsDJ[Account Code]=TRIM($B$2)),CsDJ[Debit])))+(SUM(IF((CRDJ[Date]=A17)*(CRDJ[Account Code]=TRIM($B$2)),CRDJ[Debit])))+(SUM(IF((GJ[Date]=A17)*(GJ[Account Code]=TRIM($B$2)),GJ[Debit])))),((SUM(IF((CkDJ[Date]=A17)*(CkDJ[Account Code]=TRIM($B$2))*(CkDJ[Sort Code]=C17),CkDJ[Debit])))+(SUM(IF((CsDJ[Date]=A17)*(CsDJ[Account Code]=TRIM($B$2))*(CsDJ[Sort Code]=C17),CsDJ[Debit])))+(SUM(IF((CRDJ[Date]=A17)*(CRDJ[Account Code]=TRIM($B$2))*(CRDJ[Sort Code]=C17),CRDJ[Debit])))+(SUM(IF((GJ[Date]=A17)*(GJ[Account Code]=TRIM($B$2))*(GJ[Sort Code]=C17),GJ[Debit])))))</f>
        <v>0</v>
      </c>
      <c r="F17" s="269">
        <f t="array" ref="F17">IF(C17=0,((SUM(IF((CkDJ[Date]=A17)*(CkDJ[Account Code]=TRIM($B$2)),CkDJ[Credit])))+(SUM(IF((CsDJ[Date]=A17)*(CsDJ[Account Code]=TRIM($B$2)),CsDJ[Credit])))+(SUM(IF((CRDJ[Date]=A17)*(CRDJ[Account Code]=TRIM($B$2)),CRDJ[Credit])))+(SUM(IF((GJ[Date]=A17)*(GJ[Account Code]=TRIM($B$2)),GJ[Credit])))),((SUM(IF((CkDJ[Date]=A17)*(CkDJ[Account Code]=TRIM($B$2))*(CkDJ[Sort Code]=C17),CkDJ[Credit])))+(SUM(IF((CsDJ[Date]=A17)*(CsDJ[Account Code]=TRIM($B$2))*(CsDJ[Sort Code]=C17),CsDJ[Credit])))+(SUM(IF((CRDJ[Date]=A17)*(CRDJ[Account Code]=TRIM($B$2))*(CRDJ[Sort Code]=C17),CRDJ[Credit])))+(SUM(IF((GJ[Date]=A17)*(GJ[Account Code]=TRIM($B$2))*(GJ[Sort Code]=C17),GJ[Credit])))))</f>
        <v>0</v>
      </c>
      <c r="G17" s="293">
        <f t="shared" si="1"/>
        <v>2453515.9</v>
      </c>
    </row>
    <row r="18" spans="1:7" x14ac:dyDescent="0.25">
      <c r="A18" s="11">
        <f>Account!$G$23</f>
        <v>44926</v>
      </c>
      <c r="B18" s="189" t="str">
        <f>IF(C18=0,"Region 3",VLOOKUP(C18,Account!$F$26:$G$51,2))</f>
        <v>Pangasinan IMO</v>
      </c>
      <c r="C18" s="268" t="str">
        <f t="shared" si="0"/>
        <v>5</v>
      </c>
      <c r="D18" s="14"/>
      <c r="E18" s="269">
        <f t="array" ref="E18">IF(C18=0,((SUM(IF((CkDJ[Date]=A18)*(CkDJ[Account Code]=TRIM($B$2)),CkDJ[Debit])))+(SUM(IF((CsDJ[Date]=A18)*(CsDJ[Account Code]=TRIM($B$2)),CsDJ[Debit])))+(SUM(IF((CRDJ[Date]=A18)*(CRDJ[Account Code]=TRIM($B$2)),CRDJ[Debit])))+(SUM(IF((GJ[Date]=A18)*(GJ[Account Code]=TRIM($B$2)),GJ[Debit])))),((SUM(IF((CkDJ[Date]=A18)*(CkDJ[Account Code]=TRIM($B$2))*(CkDJ[Sort Code]=C18),CkDJ[Debit])))+(SUM(IF((CsDJ[Date]=A18)*(CsDJ[Account Code]=TRIM($B$2))*(CsDJ[Sort Code]=C18),CsDJ[Debit])))+(SUM(IF((CRDJ[Date]=A18)*(CRDJ[Account Code]=TRIM($B$2))*(CRDJ[Sort Code]=C18),CRDJ[Debit])))+(SUM(IF((GJ[Date]=A18)*(GJ[Account Code]=TRIM($B$2))*(GJ[Sort Code]=C18),GJ[Debit])))))</f>
        <v>7067503.21</v>
      </c>
      <c r="F18" s="269">
        <f t="array" ref="F18">IF(C18=0,((SUM(IF((CkDJ[Date]=A18)*(CkDJ[Account Code]=TRIM($B$2)),CkDJ[Credit])))+(SUM(IF((CsDJ[Date]=A18)*(CsDJ[Account Code]=TRIM($B$2)),CsDJ[Credit])))+(SUM(IF((CRDJ[Date]=A18)*(CRDJ[Account Code]=TRIM($B$2)),CRDJ[Credit])))+(SUM(IF((GJ[Date]=A18)*(GJ[Account Code]=TRIM($B$2)),GJ[Credit])))),((SUM(IF((CkDJ[Date]=A18)*(CkDJ[Account Code]=TRIM($B$2))*(CkDJ[Sort Code]=C18),CkDJ[Credit])))+(SUM(IF((CsDJ[Date]=A18)*(CsDJ[Account Code]=TRIM($B$2))*(CsDJ[Sort Code]=C18),CsDJ[Credit])))+(SUM(IF((CRDJ[Date]=A18)*(CRDJ[Account Code]=TRIM($B$2))*(CRDJ[Sort Code]=C18),CRDJ[Credit])))+(SUM(IF((GJ[Date]=A18)*(GJ[Account Code]=TRIM($B$2))*(GJ[Sort Code]=C18),GJ[Credit])))))</f>
        <v>0</v>
      </c>
      <c r="G18" s="293">
        <f t="shared" si="1"/>
        <v>9521019.1099999994</v>
      </c>
    </row>
    <row r="19" spans="1:7" x14ac:dyDescent="0.25">
      <c r="A19" s="1157">
        <v>44926</v>
      </c>
      <c r="B19" s="1158"/>
      <c r="C19" s="1158"/>
      <c r="D19" s="1159"/>
      <c r="E19" s="191">
        <f>SUM(E7:E18)</f>
        <v>11651313.25</v>
      </c>
      <c r="F19" s="191">
        <f>SUM(F7:F18)</f>
        <v>7257483.5</v>
      </c>
      <c r="G19" s="179">
        <f>IF($G$4=$E$4,E19-F19,F19-E19)</f>
        <v>4393829.75</v>
      </c>
    </row>
    <row r="20" spans="1:7" x14ac:dyDescent="0.25">
      <c r="A20" s="1147">
        <f>A19</f>
        <v>44926</v>
      </c>
      <c r="B20" s="1148"/>
      <c r="C20" s="1148"/>
      <c r="D20" s="1149"/>
      <c r="E20" s="176">
        <f>E6+E19</f>
        <v>16778502.609999999</v>
      </c>
      <c r="F20" s="176">
        <f>F6+F19</f>
        <v>7257483.5</v>
      </c>
      <c r="G20" s="176">
        <f>IF($G$4=$E$4,E20-F20,F20-E20)</f>
        <v>9521019.1099999994</v>
      </c>
    </row>
    <row r="22" spans="1:7" x14ac:dyDescent="0.25">
      <c r="F22" s="800"/>
    </row>
    <row r="26" spans="1:7" x14ac:dyDescent="0.25">
      <c r="A26" s="760" t="s">
        <v>482</v>
      </c>
      <c r="C26" s="7"/>
      <c r="D26" s="7"/>
      <c r="E26" s="760" t="s">
        <v>353</v>
      </c>
      <c r="G26" s="7"/>
    </row>
    <row r="27" spans="1:7" x14ac:dyDescent="0.25">
      <c r="C27" s="7"/>
      <c r="D27" s="7"/>
      <c r="E27" s="6"/>
      <c r="G27" s="7"/>
    </row>
    <row r="28" spans="1:7" x14ac:dyDescent="0.25">
      <c r="B28" s="25"/>
      <c r="C28" s="7"/>
      <c r="D28" s="7"/>
      <c r="E28" s="6"/>
      <c r="F28" s="25"/>
      <c r="G28" s="7"/>
    </row>
    <row r="29" spans="1:7" x14ac:dyDescent="0.25">
      <c r="B29" s="25"/>
      <c r="C29" s="7"/>
      <c r="D29" s="7"/>
      <c r="E29" s="6"/>
      <c r="F29" s="25"/>
      <c r="G29" s="7"/>
    </row>
    <row r="30" spans="1:7" x14ac:dyDescent="0.25">
      <c r="A30" s="1154" t="s">
        <v>2169</v>
      </c>
      <c r="B30" s="1154"/>
      <c r="C30" s="1154"/>
      <c r="D30" s="1033"/>
      <c r="E30" s="1154" t="s">
        <v>1644</v>
      </c>
      <c r="F30" s="1154"/>
      <c r="G30" s="1154"/>
    </row>
    <row r="31" spans="1:7" x14ac:dyDescent="0.25">
      <c r="A31" s="1155" t="s">
        <v>1776</v>
      </c>
      <c r="B31" s="1155"/>
      <c r="C31" s="1155"/>
      <c r="E31" s="1155" t="s">
        <v>1645</v>
      </c>
      <c r="F31" s="1155"/>
      <c r="G31" s="1155"/>
    </row>
  </sheetData>
  <mergeCells count="13">
    <mergeCell ref="A30:C30"/>
    <mergeCell ref="A31:C31"/>
    <mergeCell ref="E30:G30"/>
    <mergeCell ref="E31:G31"/>
    <mergeCell ref="C2:E2"/>
    <mergeCell ref="E4:E5"/>
    <mergeCell ref="F4:F5"/>
    <mergeCell ref="A19:D19"/>
    <mergeCell ref="A20:D20"/>
    <mergeCell ref="A4:A5"/>
    <mergeCell ref="B4:B5"/>
    <mergeCell ref="C4:C5"/>
    <mergeCell ref="D4:D5"/>
  </mergeCells>
  <printOptions horizontalCentered="1"/>
  <pageMargins left="0.25" right="0.25" top="0.75" bottom="1.75" header="0.3" footer="1.5"/>
  <pageSetup paperSize="14" scale="85" orientation="portrait" r:id="rId1"/>
  <headerFooter>
    <oddFooter>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70C0"/>
  </sheetPr>
  <dimension ref="A1:H20"/>
  <sheetViews>
    <sheetView workbookViewId="0">
      <selection activeCell="B1" sqref="B1:B2"/>
    </sheetView>
  </sheetViews>
  <sheetFormatPr defaultColWidth="9" defaultRowHeight="15.75" x14ac:dyDescent="0.25"/>
  <cols>
    <col min="1" max="1" width="13.375" style="6" bestFit="1" customWidth="1"/>
    <col min="2" max="2" width="18" customWidth="1"/>
    <col min="3" max="3" width="7.625" style="173" customWidth="1"/>
    <col min="4" max="4" width="8.125" style="173" customWidth="1"/>
    <col min="5" max="5" width="18.625" style="173" customWidth="1"/>
    <col min="6" max="6" width="15.125" customWidth="1"/>
    <col min="7" max="7" width="15.875" customWidth="1"/>
    <col min="8" max="8" width="16.125" customWidth="1"/>
  </cols>
  <sheetData>
    <row r="1" spans="1:8" ht="32.25" x14ac:dyDescent="0.5">
      <c r="A1" s="5" t="s">
        <v>508</v>
      </c>
      <c r="B1" s="104" t="str">
        <f>Account!$G$1</f>
        <v>FUND 501 CARP</v>
      </c>
    </row>
    <row r="2" spans="1:8" ht="37.5" x14ac:dyDescent="0.85">
      <c r="A2" s="5" t="s">
        <v>370</v>
      </c>
      <c r="B2" s="26" t="s">
        <v>1556</v>
      </c>
      <c r="C2" s="1156" t="str">
        <f>VLOOKUP(B2,Code,3,)</f>
        <v>1010202000RO</v>
      </c>
      <c r="D2" s="1156"/>
      <c r="E2" s="1156"/>
      <c r="F2" s="1156"/>
    </row>
    <row r="3" spans="1:8" ht="23.25" x14ac:dyDescent="0.35">
      <c r="A3" s="5" t="s">
        <v>371</v>
      </c>
      <c r="B3" s="174" t="str">
        <f>VLOOKUP(B2,Code,2,)</f>
        <v>Cash in Bank-Local Currency, Current Account - RO</v>
      </c>
      <c r="C3"/>
      <c r="D3"/>
      <c r="E3"/>
    </row>
    <row r="4" spans="1:8" ht="15.75" customHeight="1" x14ac:dyDescent="0.25">
      <c r="A4" s="1152" t="s">
        <v>0</v>
      </c>
      <c r="B4" s="1152" t="s">
        <v>739</v>
      </c>
      <c r="C4" s="1151" t="s">
        <v>718</v>
      </c>
      <c r="D4" s="1151" t="s">
        <v>740</v>
      </c>
      <c r="E4" s="1151" t="s">
        <v>440</v>
      </c>
      <c r="F4" s="1151" t="s">
        <v>1</v>
      </c>
      <c r="G4" s="1151" t="s">
        <v>2</v>
      </c>
      <c r="H4" s="175" t="str">
        <f>IF(B2=0,0,VLOOKUP(B2,Account!$A$2:$D$155,4,))</f>
        <v>Debit</v>
      </c>
    </row>
    <row r="5" spans="1:8" x14ac:dyDescent="0.25">
      <c r="A5" s="1152"/>
      <c r="B5" s="1152"/>
      <c r="C5" s="1151"/>
      <c r="D5" s="1151"/>
      <c r="E5" s="1151"/>
      <c r="F5" s="1151"/>
      <c r="G5" s="1151"/>
      <c r="H5" s="187" t="s">
        <v>379</v>
      </c>
    </row>
    <row r="6" spans="1:8" x14ac:dyDescent="0.25">
      <c r="A6" s="21">
        <f>PostTB!A2</f>
        <v>44561</v>
      </c>
      <c r="B6" s="21"/>
      <c r="C6" s="270" t="s">
        <v>494</v>
      </c>
      <c r="D6" s="270" t="s">
        <v>494</v>
      </c>
      <c r="E6" s="22" t="s">
        <v>373</v>
      </c>
      <c r="F6" s="176">
        <f t="array" ref="F6">SUM(IF((PostTB[Account Code (Old)]=TRIM($B$2))*(PostTB[Sort Code]=$C$6)*(PostTB[Ofc Code]=$D$6),PostTB[Debit]))</f>
        <v>0</v>
      </c>
      <c r="G6" s="176">
        <f t="array" ref="G6">SUM(IF((PostTB[Account Code (Old)]=TRIM($B$2))*(PostTB[Sort Code]=$C$6)*(PostTB[Ofc Code]=$D$6),PostTB[Credit]))</f>
        <v>0</v>
      </c>
      <c r="H6" s="176">
        <f>IF($H$4=$F$4,F6-G6,G6-F6)</f>
        <v>0</v>
      </c>
    </row>
    <row r="7" spans="1:8" x14ac:dyDescent="0.25">
      <c r="A7" s="11">
        <f>Account!$G$12</f>
        <v>44592</v>
      </c>
      <c r="B7" s="189" t="str">
        <f>IF(C7=0,0,VLOOKUP(C7,Account!$F$26:$G$51,2))</f>
        <v>Regional Office</v>
      </c>
      <c r="C7" s="268" t="str">
        <f>$C$6</f>
        <v>1</v>
      </c>
      <c r="D7" s="268" t="str">
        <f>$D$6</f>
        <v>1</v>
      </c>
      <c r="E7" s="14"/>
      <c r="F7" s="269">
        <f t="array" ref="F7">(SUM(IF((CkDJ[Date]=A7)*(CkDJ[Account Code]=TRIM($B$2))*(CkDJ[Sort Code]=C7)*(CkDJ[Ofc Code]=D7),CkDJ[Debit])))+(SUM(IF((CsDJ[Date]=A7)*(CsDJ[Account Code]=TRIM($B$2))*(CsDJ[Sort Code]=C7)*(CsDJ[Ofc Code]=D7),CsDJ[Debit])))+(SUM(IF((CRDJ[Date]=A7)*(CRDJ[Account Code]=TRIM($B$2))*(CRDJ[Sort Code]=C7)*(CRDJ[Ofc Code]=D7),CRDJ[Debit])))+(SUM(IF((GJ[Date]=A7)*(GJ[Account Code]=TRIM($B$2))*(GJ[Sort Code]=C7)*(GJ[Ofc Code]=D7),GJ[Debit])))</f>
        <v>0</v>
      </c>
      <c r="G7" s="269">
        <f t="array" ref="G7">(SUM(IF((CkDJ[Date]=A7)*(CkDJ[Account Code]=TRIM($B$2))*(CkDJ[Sort Code]=C7)*(CkDJ[Ofc Code]=D7),CkDJ[Credit])))+(SUM(IF((CsDJ[Date]=A7)*(CsDJ[Account Code]=TRIM($B$2))*(CsDJ[Sort Code]=C7)*(CsDJ[Ofc Code]=D7),CsDJ[Credit])))+(SUM(IF((CRDJ[Date]=A7)*(CRDJ[Account Code]=TRIM($B$2))*(CRDJ[Sort Code]=C7)*(CRDJ[Ofc Code]=D7),CRDJ[Credit])))+(SUM(IF((GJ[Date]=A7)*(GJ[Account Code]=TRIM($B$2))*(GJ[Sort Code]=C7)*(GJ[Ofc Code]=D7),GJ[Credit])))</f>
        <v>0</v>
      </c>
      <c r="H7" s="176">
        <f>IF($H$4=$F$4,H6+F7-G7,H6+G7-F7)</f>
        <v>0</v>
      </c>
    </row>
    <row r="8" spans="1:8" x14ac:dyDescent="0.25">
      <c r="A8" s="11">
        <f>Account!$G$13</f>
        <v>44620</v>
      </c>
      <c r="B8" s="189" t="str">
        <f>IF(C8=0,0,VLOOKUP(C8,Account!$F$26:$G$51,2))</f>
        <v>Regional Office</v>
      </c>
      <c r="C8" s="268" t="str">
        <f t="shared" ref="C8:C18" si="0">$C$6</f>
        <v>1</v>
      </c>
      <c r="D8" s="268" t="str">
        <f t="shared" ref="D8:D18" si="1">$D$6</f>
        <v>1</v>
      </c>
      <c r="E8" s="14"/>
      <c r="F8" s="269">
        <f t="array" ref="F8">(SUM(IF((CkDJ[Date]=A8)*(CkDJ[Account Code]=TRIM($B$2))*(CkDJ[Sort Code]=C8)*(CkDJ[Ofc Code]=D8),CkDJ[Debit])))+(SUM(IF((CsDJ[Date]=A8)*(CsDJ[Account Code]=TRIM($B$2))*(CsDJ[Sort Code]=C8)*(CsDJ[Ofc Code]=D8),CsDJ[Debit])))+(SUM(IF((CRDJ[Date]=A8)*(CRDJ[Account Code]=TRIM($B$2))*(CRDJ[Sort Code]=C8)*(CRDJ[Ofc Code]=D8),CRDJ[Debit])))+(SUM(IF((GJ[Date]=A8)*(GJ[Account Code]=TRIM($B$2))*(GJ[Sort Code]=C8)*(GJ[Ofc Code]=D8),GJ[Debit])))</f>
        <v>0</v>
      </c>
      <c r="G8" s="269">
        <f t="array" ref="G8">(SUM(IF((CkDJ[Date]=A8)*(CkDJ[Account Code]=TRIM($B$2))*(CkDJ[Sort Code]=C8)*(CkDJ[Ofc Code]=D8),CkDJ[Credit])))+(SUM(IF((CsDJ[Date]=A8)*(CsDJ[Account Code]=TRIM($B$2))*(CsDJ[Sort Code]=C8)*(CsDJ[Ofc Code]=D8),CsDJ[Credit])))+(SUM(IF((CRDJ[Date]=A8)*(CRDJ[Account Code]=TRIM($B$2))*(CRDJ[Sort Code]=C8)*(CRDJ[Ofc Code]=D8),CRDJ[Credit])))+(SUM(IF((GJ[Date]=A8)*(GJ[Account Code]=TRIM($B$2))*(GJ[Sort Code]=C8)*(GJ[Ofc Code]=D8),GJ[Credit])))</f>
        <v>0</v>
      </c>
      <c r="H8" s="293">
        <f t="shared" ref="H8:H18" si="2">IF($H$4=$F$4,H7+F8-G8,H7+G8-F8)</f>
        <v>0</v>
      </c>
    </row>
    <row r="9" spans="1:8" x14ac:dyDescent="0.25">
      <c r="A9" s="11">
        <f>Account!$G$14</f>
        <v>44651</v>
      </c>
      <c r="B9" s="189" t="str">
        <f>IF(C9=0,0,VLOOKUP(C9,Account!$F$26:$G$51,2))</f>
        <v>Regional Office</v>
      </c>
      <c r="C9" s="268" t="str">
        <f t="shared" si="0"/>
        <v>1</v>
      </c>
      <c r="D9" s="268" t="str">
        <f t="shared" si="1"/>
        <v>1</v>
      </c>
      <c r="E9" s="14"/>
      <c r="F9" s="269">
        <f t="array" ref="F9">(SUM(IF((CkDJ[Date]=A9)*(CkDJ[Account Code]=TRIM($B$2))*(CkDJ[Sort Code]=C9)*(CkDJ[Ofc Code]=D9),CkDJ[Debit])))+(SUM(IF((CsDJ[Date]=A9)*(CsDJ[Account Code]=TRIM($B$2))*(CsDJ[Sort Code]=C9)*(CsDJ[Ofc Code]=D9),CsDJ[Debit])))+(SUM(IF((CRDJ[Date]=A9)*(CRDJ[Account Code]=TRIM($B$2))*(CRDJ[Sort Code]=C9)*(CRDJ[Ofc Code]=D9),CRDJ[Debit])))+(SUM(IF((GJ[Date]=A9)*(GJ[Account Code]=TRIM($B$2))*(GJ[Sort Code]=C9)*(GJ[Ofc Code]=D9),GJ[Debit])))</f>
        <v>0</v>
      </c>
      <c r="G9" s="269">
        <f t="array" ref="G9">(SUM(IF((CkDJ[Date]=A9)*(CkDJ[Account Code]=TRIM($B$2))*(CkDJ[Sort Code]=C9)*(CkDJ[Ofc Code]=D9),CkDJ[Credit])))+(SUM(IF((CsDJ[Date]=A9)*(CsDJ[Account Code]=TRIM($B$2))*(CsDJ[Sort Code]=C9)*(CsDJ[Ofc Code]=D9),CsDJ[Credit])))+(SUM(IF((CRDJ[Date]=A9)*(CRDJ[Account Code]=TRIM($B$2))*(CRDJ[Sort Code]=C9)*(CRDJ[Ofc Code]=D9),CRDJ[Credit])))+(SUM(IF((GJ[Date]=A9)*(GJ[Account Code]=TRIM($B$2))*(GJ[Sort Code]=C9)*(GJ[Ofc Code]=D9),GJ[Credit])))</f>
        <v>0</v>
      </c>
      <c r="H9" s="293">
        <f t="shared" si="2"/>
        <v>0</v>
      </c>
    </row>
    <row r="10" spans="1:8" x14ac:dyDescent="0.25">
      <c r="A10" s="11">
        <f>Account!$G$15</f>
        <v>44681</v>
      </c>
      <c r="B10" s="189" t="str">
        <f>IF(C10=0,0,VLOOKUP(C10,Account!$F$26:$G$51,2))</f>
        <v>Regional Office</v>
      </c>
      <c r="C10" s="268" t="str">
        <f t="shared" si="0"/>
        <v>1</v>
      </c>
      <c r="D10" s="268" t="str">
        <f t="shared" si="1"/>
        <v>1</v>
      </c>
      <c r="E10" s="14"/>
      <c r="F10" s="269">
        <f t="array" ref="F10">(SUM(IF((CkDJ[Date]=A10)*(CkDJ[Account Code]=TRIM($B$2))*(CkDJ[Sort Code]=C10)*(CkDJ[Ofc Code]=D10),CkDJ[Debit])))+(SUM(IF((CsDJ[Date]=A10)*(CsDJ[Account Code]=TRIM($B$2))*(CsDJ[Sort Code]=C10)*(CsDJ[Ofc Code]=D10),CsDJ[Debit])))+(SUM(IF((CRDJ[Date]=A10)*(CRDJ[Account Code]=TRIM($B$2))*(CRDJ[Sort Code]=C10)*(CRDJ[Ofc Code]=D10),CRDJ[Debit])))+(SUM(IF((GJ[Date]=A10)*(GJ[Account Code]=TRIM($B$2))*(GJ[Sort Code]=C10)*(GJ[Ofc Code]=D10),GJ[Debit])))</f>
        <v>0</v>
      </c>
      <c r="G10" s="269">
        <f t="array" ref="G10">(SUM(IF((CkDJ[Date]=A10)*(CkDJ[Account Code]=TRIM($B$2))*(CkDJ[Sort Code]=C10)*(CkDJ[Ofc Code]=D10),CkDJ[Credit])))+(SUM(IF((CsDJ[Date]=A10)*(CsDJ[Account Code]=TRIM($B$2))*(CsDJ[Sort Code]=C10)*(CsDJ[Ofc Code]=D10),CsDJ[Credit])))+(SUM(IF((CRDJ[Date]=A10)*(CRDJ[Account Code]=TRIM($B$2))*(CRDJ[Sort Code]=C10)*(CRDJ[Ofc Code]=D10),CRDJ[Credit])))+(SUM(IF((GJ[Date]=A10)*(GJ[Account Code]=TRIM($B$2))*(GJ[Sort Code]=C10)*(GJ[Ofc Code]=D10),GJ[Credit])))</f>
        <v>0</v>
      </c>
      <c r="H10" s="293">
        <f t="shared" si="2"/>
        <v>0</v>
      </c>
    </row>
    <row r="11" spans="1:8" x14ac:dyDescent="0.25">
      <c r="A11" s="11">
        <f>Account!$G$16</f>
        <v>44712</v>
      </c>
      <c r="B11" s="189" t="str">
        <f>IF(C11=0,0,VLOOKUP(C11,Account!$F$26:$G$51,2))</f>
        <v>Regional Office</v>
      </c>
      <c r="C11" s="268" t="str">
        <f t="shared" si="0"/>
        <v>1</v>
      </c>
      <c r="D11" s="268" t="str">
        <f t="shared" si="1"/>
        <v>1</v>
      </c>
      <c r="E11" s="14"/>
      <c r="F11" s="269">
        <f t="array" ref="F11">(SUM(IF((CkDJ[Date]=A11)*(CkDJ[Account Code]=TRIM($B$2))*(CkDJ[Sort Code]=C11)*(CkDJ[Ofc Code]=D11),CkDJ[Debit])))+(SUM(IF((CsDJ[Date]=A11)*(CsDJ[Account Code]=TRIM($B$2))*(CsDJ[Sort Code]=C11)*(CsDJ[Ofc Code]=D11),CsDJ[Debit])))+(SUM(IF((CRDJ[Date]=A11)*(CRDJ[Account Code]=TRIM($B$2))*(CRDJ[Sort Code]=C11)*(CRDJ[Ofc Code]=D11),CRDJ[Debit])))+(SUM(IF((GJ[Date]=A11)*(GJ[Account Code]=TRIM($B$2))*(GJ[Sort Code]=C11)*(GJ[Ofc Code]=D11),GJ[Debit])))</f>
        <v>0</v>
      </c>
      <c r="G11" s="269">
        <f t="array" ref="G11">(SUM(IF((CkDJ[Date]=A11)*(CkDJ[Account Code]=TRIM($B$2))*(CkDJ[Sort Code]=C11)*(CkDJ[Ofc Code]=D11),CkDJ[Credit])))+(SUM(IF((CsDJ[Date]=A11)*(CsDJ[Account Code]=TRIM($B$2))*(CsDJ[Sort Code]=C11)*(CsDJ[Ofc Code]=D11),CsDJ[Credit])))+(SUM(IF((CRDJ[Date]=A11)*(CRDJ[Account Code]=TRIM($B$2))*(CRDJ[Sort Code]=C11)*(CRDJ[Ofc Code]=D11),CRDJ[Credit])))+(SUM(IF((GJ[Date]=A11)*(GJ[Account Code]=TRIM($B$2))*(GJ[Sort Code]=C11)*(GJ[Ofc Code]=D11),GJ[Credit])))</f>
        <v>0</v>
      </c>
      <c r="H11" s="293">
        <f t="shared" si="2"/>
        <v>0</v>
      </c>
    </row>
    <row r="12" spans="1:8" x14ac:dyDescent="0.25">
      <c r="A12" s="11">
        <f>Account!$G$17</f>
        <v>44742</v>
      </c>
      <c r="B12" s="189" t="str">
        <f>IF(C12=0,0,VLOOKUP(C12,Account!$F$26:$G$51,2))</f>
        <v>Regional Office</v>
      </c>
      <c r="C12" s="268" t="str">
        <f t="shared" si="0"/>
        <v>1</v>
      </c>
      <c r="D12" s="268" t="str">
        <f t="shared" si="1"/>
        <v>1</v>
      </c>
      <c r="E12" s="14"/>
      <c r="F12" s="269">
        <f t="array" ref="F12">(SUM(IF((CkDJ[Date]=A12)*(CkDJ[Account Code]=TRIM($B$2))*(CkDJ[Sort Code]=C12)*(CkDJ[Ofc Code]=D12),CkDJ[Debit])))+(SUM(IF((CsDJ[Date]=A12)*(CsDJ[Account Code]=TRIM($B$2))*(CsDJ[Sort Code]=C12)*(CsDJ[Ofc Code]=D12),CsDJ[Debit])))+(SUM(IF((CRDJ[Date]=A12)*(CRDJ[Account Code]=TRIM($B$2))*(CRDJ[Sort Code]=C12)*(CRDJ[Ofc Code]=D12),CRDJ[Debit])))+(SUM(IF((GJ[Date]=A12)*(GJ[Account Code]=TRIM($B$2))*(GJ[Sort Code]=C12)*(GJ[Ofc Code]=D12),GJ[Debit])))</f>
        <v>0</v>
      </c>
      <c r="G12" s="269">
        <f t="array" ref="G12">(SUM(IF((CkDJ[Date]=A12)*(CkDJ[Account Code]=TRIM($B$2))*(CkDJ[Sort Code]=C12)*(CkDJ[Ofc Code]=D12),CkDJ[Credit])))+(SUM(IF((CsDJ[Date]=A12)*(CsDJ[Account Code]=TRIM($B$2))*(CsDJ[Sort Code]=C12)*(CsDJ[Ofc Code]=D12),CsDJ[Credit])))+(SUM(IF((CRDJ[Date]=A12)*(CRDJ[Account Code]=TRIM($B$2))*(CRDJ[Sort Code]=C12)*(CRDJ[Ofc Code]=D12),CRDJ[Credit])))+(SUM(IF((GJ[Date]=A12)*(GJ[Account Code]=TRIM($B$2))*(GJ[Sort Code]=C12)*(GJ[Ofc Code]=D12),GJ[Credit])))</f>
        <v>0</v>
      </c>
      <c r="H12" s="293">
        <f t="shared" si="2"/>
        <v>0</v>
      </c>
    </row>
    <row r="13" spans="1:8" x14ac:dyDescent="0.25">
      <c r="A13" s="11">
        <f>Account!$G$18</f>
        <v>44773</v>
      </c>
      <c r="B13" s="189" t="str">
        <f>IF(C13=0,0,VLOOKUP(C13,Account!$F$26:$G$51,2))</f>
        <v>Regional Office</v>
      </c>
      <c r="C13" s="268" t="str">
        <f t="shared" si="0"/>
        <v>1</v>
      </c>
      <c r="D13" s="268" t="str">
        <f t="shared" si="1"/>
        <v>1</v>
      </c>
      <c r="E13" s="14"/>
      <c r="F13" s="269">
        <f t="array" ref="F13">(SUM(IF((CkDJ[Date]=A13)*(CkDJ[Account Code]=TRIM($B$2))*(CkDJ[Sort Code]=C13)*(CkDJ[Ofc Code]=D13),CkDJ[Debit])))+(SUM(IF((CsDJ[Date]=A13)*(CsDJ[Account Code]=TRIM($B$2))*(CsDJ[Sort Code]=C13)*(CsDJ[Ofc Code]=D13),CsDJ[Debit])))+(SUM(IF((CRDJ[Date]=A13)*(CRDJ[Account Code]=TRIM($B$2))*(CRDJ[Sort Code]=C13)*(CRDJ[Ofc Code]=D13),CRDJ[Debit])))+(SUM(IF((GJ[Date]=A13)*(GJ[Account Code]=TRIM($B$2))*(GJ[Sort Code]=C13)*(GJ[Ofc Code]=D13),GJ[Debit])))</f>
        <v>0</v>
      </c>
      <c r="G13" s="269">
        <f t="array" ref="G13">(SUM(IF((CkDJ[Date]=A13)*(CkDJ[Account Code]=TRIM($B$2))*(CkDJ[Sort Code]=C13)*(CkDJ[Ofc Code]=D13),CkDJ[Credit])))+(SUM(IF((CsDJ[Date]=A13)*(CsDJ[Account Code]=TRIM($B$2))*(CsDJ[Sort Code]=C13)*(CsDJ[Ofc Code]=D13),CsDJ[Credit])))+(SUM(IF((CRDJ[Date]=A13)*(CRDJ[Account Code]=TRIM($B$2))*(CRDJ[Sort Code]=C13)*(CRDJ[Ofc Code]=D13),CRDJ[Credit])))+(SUM(IF((GJ[Date]=A13)*(GJ[Account Code]=TRIM($B$2))*(GJ[Sort Code]=C13)*(GJ[Ofc Code]=D13),GJ[Credit])))</f>
        <v>0</v>
      </c>
      <c r="H13" s="293">
        <f t="shared" si="2"/>
        <v>0</v>
      </c>
    </row>
    <row r="14" spans="1:8" x14ac:dyDescent="0.25">
      <c r="A14" s="11">
        <f>Account!$G$19</f>
        <v>44804</v>
      </c>
      <c r="B14" s="189" t="str">
        <f>IF(C14=0,0,VLOOKUP(C14,Account!$F$26:$G$51,2))</f>
        <v>Regional Office</v>
      </c>
      <c r="C14" s="268" t="str">
        <f t="shared" si="0"/>
        <v>1</v>
      </c>
      <c r="D14" s="268" t="str">
        <f t="shared" si="1"/>
        <v>1</v>
      </c>
      <c r="E14" s="14"/>
      <c r="F14" s="269">
        <f t="array" ref="F14">(SUM(IF((CkDJ[Date]=A14)*(CkDJ[Account Code]=TRIM($B$2))*(CkDJ[Sort Code]=C14)*(CkDJ[Ofc Code]=D14),CkDJ[Debit])))+(SUM(IF((CsDJ[Date]=A14)*(CsDJ[Account Code]=TRIM($B$2))*(CsDJ[Sort Code]=C14)*(CsDJ[Ofc Code]=D14),CsDJ[Debit])))+(SUM(IF((CRDJ[Date]=A14)*(CRDJ[Account Code]=TRIM($B$2))*(CRDJ[Sort Code]=C14)*(CRDJ[Ofc Code]=D14),CRDJ[Debit])))+(SUM(IF((GJ[Date]=A14)*(GJ[Account Code]=TRIM($B$2))*(GJ[Sort Code]=C14)*(GJ[Ofc Code]=D14),GJ[Debit])))</f>
        <v>0</v>
      </c>
      <c r="G14" s="269">
        <f t="array" ref="G14">(SUM(IF((CkDJ[Date]=A14)*(CkDJ[Account Code]=TRIM($B$2))*(CkDJ[Sort Code]=C14)*(CkDJ[Ofc Code]=D14),CkDJ[Credit])))+(SUM(IF((CsDJ[Date]=A14)*(CsDJ[Account Code]=TRIM($B$2))*(CsDJ[Sort Code]=C14)*(CsDJ[Ofc Code]=D14),CsDJ[Credit])))+(SUM(IF((CRDJ[Date]=A14)*(CRDJ[Account Code]=TRIM($B$2))*(CRDJ[Sort Code]=C14)*(CRDJ[Ofc Code]=D14),CRDJ[Credit])))+(SUM(IF((GJ[Date]=A14)*(GJ[Account Code]=TRIM($B$2))*(GJ[Sort Code]=C14)*(GJ[Ofc Code]=D14),GJ[Credit])))</f>
        <v>0</v>
      </c>
      <c r="H14" s="293">
        <f t="shared" si="2"/>
        <v>0</v>
      </c>
    </row>
    <row r="15" spans="1:8" x14ac:dyDescent="0.25">
      <c r="A15" s="11">
        <f>Account!$G$20</f>
        <v>44834</v>
      </c>
      <c r="B15" s="189" t="str">
        <f>IF(C15=0,0,VLOOKUP(C15,Account!$F$26:$G$51,2))</f>
        <v>Regional Office</v>
      </c>
      <c r="C15" s="268" t="str">
        <f t="shared" si="0"/>
        <v>1</v>
      </c>
      <c r="D15" s="268" t="str">
        <f t="shared" si="1"/>
        <v>1</v>
      </c>
      <c r="E15" s="14"/>
      <c r="F15" s="269">
        <f t="array" ref="F15">(SUM(IF((CkDJ[Date]=A15)*(CkDJ[Account Code]=TRIM($B$2))*(CkDJ[Sort Code]=C15)*(CkDJ[Ofc Code]=D15),CkDJ[Debit])))+(SUM(IF((CsDJ[Date]=A15)*(CsDJ[Account Code]=TRIM($B$2))*(CsDJ[Sort Code]=C15)*(CsDJ[Ofc Code]=D15),CsDJ[Debit])))+(SUM(IF((CRDJ[Date]=A15)*(CRDJ[Account Code]=TRIM($B$2))*(CRDJ[Sort Code]=C15)*(CRDJ[Ofc Code]=D15),CRDJ[Debit])))+(SUM(IF((GJ[Date]=A15)*(GJ[Account Code]=TRIM($B$2))*(GJ[Sort Code]=C15)*(GJ[Ofc Code]=D15),GJ[Debit])))</f>
        <v>0</v>
      </c>
      <c r="G15" s="269">
        <f t="array" ref="G15">(SUM(IF((CkDJ[Date]=A15)*(CkDJ[Account Code]=TRIM($B$2))*(CkDJ[Sort Code]=C15)*(CkDJ[Ofc Code]=D15),CkDJ[Credit])))+(SUM(IF((CsDJ[Date]=A15)*(CsDJ[Account Code]=TRIM($B$2))*(CsDJ[Sort Code]=C15)*(CsDJ[Ofc Code]=D15),CsDJ[Credit])))+(SUM(IF((CRDJ[Date]=A15)*(CRDJ[Account Code]=TRIM($B$2))*(CRDJ[Sort Code]=C15)*(CRDJ[Ofc Code]=D15),CRDJ[Credit])))+(SUM(IF((GJ[Date]=A15)*(GJ[Account Code]=TRIM($B$2))*(GJ[Sort Code]=C15)*(GJ[Ofc Code]=D15),GJ[Credit])))</f>
        <v>0</v>
      </c>
      <c r="H15" s="293">
        <f t="shared" si="2"/>
        <v>0</v>
      </c>
    </row>
    <row r="16" spans="1:8" x14ac:dyDescent="0.25">
      <c r="A16" s="11">
        <f>Account!$G$21</f>
        <v>44865</v>
      </c>
      <c r="B16" s="189" t="str">
        <f>IF(C16=0,0,VLOOKUP(C16,Account!$F$26:$G$51,2))</f>
        <v>Regional Office</v>
      </c>
      <c r="C16" s="268" t="str">
        <f t="shared" si="0"/>
        <v>1</v>
      </c>
      <c r="D16" s="268" t="str">
        <f t="shared" si="1"/>
        <v>1</v>
      </c>
      <c r="E16" s="14"/>
      <c r="F16" s="269">
        <f t="array" ref="F16">(SUM(IF((CkDJ[Date]=A16)*(CkDJ[Account Code]=TRIM($B$2))*(CkDJ[Sort Code]=C16)*(CkDJ[Ofc Code]=D16),CkDJ[Debit])))+(SUM(IF((CsDJ[Date]=A16)*(CsDJ[Account Code]=TRIM($B$2))*(CsDJ[Sort Code]=C16)*(CsDJ[Ofc Code]=D16),CsDJ[Debit])))+(SUM(IF((CRDJ[Date]=A16)*(CRDJ[Account Code]=TRIM($B$2))*(CRDJ[Sort Code]=C16)*(CRDJ[Ofc Code]=D16),CRDJ[Debit])))+(SUM(IF((GJ[Date]=A16)*(GJ[Account Code]=TRIM($B$2))*(GJ[Sort Code]=C16)*(GJ[Ofc Code]=D16),GJ[Debit])))</f>
        <v>0</v>
      </c>
      <c r="G16" s="269">
        <f t="array" ref="G16">(SUM(IF((CkDJ[Date]=A16)*(CkDJ[Account Code]=TRIM($B$2))*(CkDJ[Sort Code]=C16)*(CkDJ[Ofc Code]=D16),CkDJ[Credit])))+(SUM(IF((CsDJ[Date]=A16)*(CsDJ[Account Code]=TRIM($B$2))*(CsDJ[Sort Code]=C16)*(CsDJ[Ofc Code]=D16),CsDJ[Credit])))+(SUM(IF((CRDJ[Date]=A16)*(CRDJ[Account Code]=TRIM($B$2))*(CRDJ[Sort Code]=C16)*(CRDJ[Ofc Code]=D16),CRDJ[Credit])))+(SUM(IF((GJ[Date]=A16)*(GJ[Account Code]=TRIM($B$2))*(GJ[Sort Code]=C16)*(GJ[Ofc Code]=D16),GJ[Credit])))</f>
        <v>0</v>
      </c>
      <c r="H16" s="293">
        <f t="shared" si="2"/>
        <v>0</v>
      </c>
    </row>
    <row r="17" spans="1:8" x14ac:dyDescent="0.25">
      <c r="A17" s="11">
        <f>Account!$G$22</f>
        <v>44895</v>
      </c>
      <c r="B17" s="189" t="str">
        <f>IF(C17=0,0,VLOOKUP(C17,Account!$F$26:$G$51,2))</f>
        <v>Regional Office</v>
      </c>
      <c r="C17" s="268" t="str">
        <f t="shared" si="0"/>
        <v>1</v>
      </c>
      <c r="D17" s="268" t="str">
        <f t="shared" si="1"/>
        <v>1</v>
      </c>
      <c r="E17" s="14"/>
      <c r="F17" s="269">
        <f t="array" ref="F17">(SUM(IF((CkDJ[Date]=A17)*(CkDJ[Account Code]=TRIM($B$2))*(CkDJ[Sort Code]=C17)*(CkDJ[Ofc Code]=D17),CkDJ[Debit])))+(SUM(IF((CsDJ[Date]=A17)*(CsDJ[Account Code]=TRIM($B$2))*(CsDJ[Sort Code]=C17)*(CsDJ[Ofc Code]=D17),CsDJ[Debit])))+(SUM(IF((CRDJ[Date]=A17)*(CRDJ[Account Code]=TRIM($B$2))*(CRDJ[Sort Code]=C17)*(CRDJ[Ofc Code]=D17),CRDJ[Debit])))+(SUM(IF((GJ[Date]=A17)*(GJ[Account Code]=TRIM($B$2))*(GJ[Sort Code]=C17)*(GJ[Ofc Code]=D17),GJ[Debit])))</f>
        <v>0</v>
      </c>
      <c r="G17" s="269">
        <f t="array" ref="G17">(SUM(IF((CkDJ[Date]=A17)*(CkDJ[Account Code]=TRIM($B$2))*(CkDJ[Sort Code]=C17)*(CkDJ[Ofc Code]=D17),CkDJ[Credit])))+(SUM(IF((CsDJ[Date]=A17)*(CsDJ[Account Code]=TRIM($B$2))*(CsDJ[Sort Code]=C17)*(CsDJ[Ofc Code]=D17),CsDJ[Credit])))+(SUM(IF((CRDJ[Date]=A17)*(CRDJ[Account Code]=TRIM($B$2))*(CRDJ[Sort Code]=C17)*(CRDJ[Ofc Code]=D17),CRDJ[Credit])))+(SUM(IF((GJ[Date]=A17)*(GJ[Account Code]=TRIM($B$2))*(GJ[Sort Code]=C17)*(GJ[Ofc Code]=D17),GJ[Credit])))</f>
        <v>0</v>
      </c>
      <c r="H17" s="293">
        <f t="shared" si="2"/>
        <v>0</v>
      </c>
    </row>
    <row r="18" spans="1:8" x14ac:dyDescent="0.25">
      <c r="A18" s="11">
        <f>Account!$G$23</f>
        <v>44926</v>
      </c>
      <c r="B18" s="189" t="str">
        <f>IF(C18=0,0,VLOOKUP(C18,Account!$F$26:$G$51,2))</f>
        <v>Regional Office</v>
      </c>
      <c r="C18" s="268" t="str">
        <f t="shared" si="0"/>
        <v>1</v>
      </c>
      <c r="D18" s="268" t="str">
        <f t="shared" si="1"/>
        <v>1</v>
      </c>
      <c r="E18" s="14"/>
      <c r="F18" s="269">
        <f t="array" ref="F18">(SUM(IF((CkDJ[Date]=A18)*(CkDJ[Account Code]=TRIM($B$2))*(CkDJ[Sort Code]=C18)*(CkDJ[Ofc Code]=D18),CkDJ[Debit])))+(SUM(IF((CsDJ[Date]=A18)*(CsDJ[Account Code]=TRIM($B$2))*(CsDJ[Sort Code]=C18)*(CsDJ[Ofc Code]=D18),CsDJ[Debit])))+(SUM(IF((CRDJ[Date]=A18)*(CRDJ[Account Code]=TRIM($B$2))*(CRDJ[Sort Code]=C18)*(CRDJ[Ofc Code]=D18),CRDJ[Debit])))+(SUM(IF((GJ[Date]=A18)*(GJ[Account Code]=TRIM($B$2))*(GJ[Sort Code]=C18)*(GJ[Ofc Code]=D18),GJ[Debit])))</f>
        <v>0</v>
      </c>
      <c r="G18" s="269">
        <f t="array" ref="G18">(SUM(IF((CkDJ[Date]=A18)*(CkDJ[Account Code]=TRIM($B$2))*(CkDJ[Sort Code]=C18)*(CkDJ[Ofc Code]=D18),CkDJ[Credit])))+(SUM(IF((CsDJ[Date]=A18)*(CsDJ[Account Code]=TRIM($B$2))*(CsDJ[Sort Code]=C18)*(CsDJ[Ofc Code]=D18),CsDJ[Credit])))+(SUM(IF((CRDJ[Date]=A18)*(CRDJ[Account Code]=TRIM($B$2))*(CRDJ[Sort Code]=C18)*(CRDJ[Ofc Code]=D18),CRDJ[Credit])))+(SUM(IF((GJ[Date]=A18)*(GJ[Account Code]=TRIM($B$2))*(GJ[Sort Code]=C18)*(GJ[Ofc Code]=D18),GJ[Credit])))</f>
        <v>0</v>
      </c>
      <c r="H18" s="293">
        <f t="shared" si="2"/>
        <v>0</v>
      </c>
    </row>
    <row r="19" spans="1:8" x14ac:dyDescent="0.25">
      <c r="A19" s="1161">
        <v>42735</v>
      </c>
      <c r="B19" s="1161"/>
      <c r="C19" s="1161"/>
      <c r="D19" s="1161"/>
      <c r="E19" s="1161"/>
      <c r="F19" s="191">
        <f>SUM(F7:F18)</f>
        <v>0</v>
      </c>
      <c r="G19" s="191">
        <f>SUM(G7:G18)</f>
        <v>0</v>
      </c>
      <c r="H19" s="179">
        <f>IF($H$4=$F$4,F19-G19,G19-F19)</f>
        <v>0</v>
      </c>
    </row>
    <row r="20" spans="1:8" x14ac:dyDescent="0.25">
      <c r="A20" s="1160">
        <f>A19</f>
        <v>42735</v>
      </c>
      <c r="B20" s="1160"/>
      <c r="C20" s="1160"/>
      <c r="D20" s="1160"/>
      <c r="E20" s="1160"/>
      <c r="F20" s="176">
        <f>F6+F19</f>
        <v>0</v>
      </c>
      <c r="G20" s="176">
        <f>G6+G19</f>
        <v>0</v>
      </c>
      <c r="H20" s="176">
        <f>IF($H$4=$F$4,F20-G20,G20-F20)</f>
        <v>0</v>
      </c>
    </row>
  </sheetData>
  <mergeCells count="10">
    <mergeCell ref="C2:F2"/>
    <mergeCell ref="G4:G5"/>
    <mergeCell ref="C4:C5"/>
    <mergeCell ref="B4:B5"/>
    <mergeCell ref="D4:D5"/>
    <mergeCell ref="A20:E20"/>
    <mergeCell ref="A19:E19"/>
    <mergeCell ref="A4:A5"/>
    <mergeCell ref="E4:E5"/>
    <mergeCell ref="F4:F5"/>
  </mergeCells>
  <printOptions horizontalCentered="1"/>
  <pageMargins left="0.25" right="0.25" top="0.75" bottom="1.75" header="0.3" footer="1.5"/>
  <pageSetup paperSize="5" scale="95" orientation="portrait" r:id="rId1"/>
  <headerFooter>
    <oddFooter>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99FF"/>
  </sheetPr>
  <dimension ref="A1:E134"/>
  <sheetViews>
    <sheetView workbookViewId="0"/>
  </sheetViews>
  <sheetFormatPr defaultColWidth="9" defaultRowHeight="15.75" x14ac:dyDescent="0.25"/>
  <cols>
    <col min="1" max="1" width="49.5" style="126" customWidth="1"/>
    <col min="2" max="2" width="7" style="436" customWidth="1"/>
    <col min="3" max="5" width="17.125" style="126" customWidth="1"/>
    <col min="6" max="16384" width="9" style="126"/>
  </cols>
  <sheetData>
    <row r="1" spans="1:5" x14ac:dyDescent="0.25">
      <c r="A1" s="430" t="s">
        <v>1063</v>
      </c>
      <c r="B1" s="431"/>
      <c r="C1" s="430"/>
      <c r="D1" s="430"/>
      <c r="E1" s="430"/>
    </row>
    <row r="2" spans="1:5" ht="22.5" x14ac:dyDescent="0.25">
      <c r="A2" s="432" t="s">
        <v>355</v>
      </c>
      <c r="B2" s="433"/>
      <c r="C2" s="432"/>
      <c r="D2" s="432"/>
      <c r="E2" s="432"/>
    </row>
    <row r="3" spans="1:5" x14ac:dyDescent="0.25">
      <c r="A3" s="430" t="s">
        <v>1064</v>
      </c>
      <c r="B3" s="431"/>
      <c r="C3" s="430"/>
      <c r="D3" s="430"/>
      <c r="E3" s="430"/>
    </row>
    <row r="4" spans="1:5" x14ac:dyDescent="0.25">
      <c r="A4" s="430" t="s">
        <v>1065</v>
      </c>
      <c r="B4" s="431"/>
      <c r="C4" s="430"/>
      <c r="D4" s="430"/>
      <c r="E4" s="430"/>
    </row>
    <row r="5" spans="1:5" x14ac:dyDescent="0.25">
      <c r="A5" s="430"/>
      <c r="B5" s="431"/>
      <c r="C5" s="430"/>
      <c r="D5" s="430"/>
      <c r="E5" s="430"/>
    </row>
    <row r="6" spans="1:5" x14ac:dyDescent="0.25">
      <c r="A6" s="430" t="s">
        <v>1158</v>
      </c>
      <c r="B6" s="431"/>
      <c r="C6" s="430"/>
      <c r="D6" s="430"/>
      <c r="E6" s="430"/>
    </row>
    <row r="7" spans="1:5" x14ac:dyDescent="0.25">
      <c r="A7" s="434">
        <v>43100</v>
      </c>
      <c r="B7" s="435"/>
      <c r="C7" s="430"/>
      <c r="D7" s="430"/>
      <c r="E7" s="430"/>
    </row>
    <row r="8" spans="1:5" x14ac:dyDescent="0.25">
      <c r="A8" s="430"/>
      <c r="B8" s="431"/>
      <c r="C8" s="430"/>
      <c r="D8" s="430"/>
      <c r="E8" s="430"/>
    </row>
    <row r="9" spans="1:5" x14ac:dyDescent="0.25">
      <c r="A9" s="430"/>
      <c r="B9" s="431"/>
      <c r="C9" s="430"/>
      <c r="D9" s="430"/>
      <c r="E9" s="430"/>
    </row>
    <row r="11" spans="1:5" ht="15" customHeight="1" x14ac:dyDescent="0.25">
      <c r="A11" s="1072" t="s">
        <v>1066</v>
      </c>
      <c r="B11" s="1165" t="s">
        <v>403</v>
      </c>
      <c r="C11" s="1074" t="s">
        <v>1067</v>
      </c>
      <c r="D11" s="1074" t="s">
        <v>1037</v>
      </c>
      <c r="E11" s="1074" t="s">
        <v>1068</v>
      </c>
    </row>
    <row r="12" spans="1:5" x14ac:dyDescent="0.25">
      <c r="A12" s="1072"/>
      <c r="B12" s="1165"/>
      <c r="C12" s="1074"/>
      <c r="D12" s="1074"/>
      <c r="E12" s="1074"/>
    </row>
    <row r="13" spans="1:5" x14ac:dyDescent="0.25">
      <c r="A13" s="320" t="s">
        <v>1069</v>
      </c>
      <c r="B13" s="437"/>
      <c r="C13" s="89"/>
      <c r="D13" s="438"/>
      <c r="E13" s="89"/>
    </row>
    <row r="14" spans="1:5" x14ac:dyDescent="0.25">
      <c r="A14" s="320" t="s">
        <v>1070</v>
      </c>
      <c r="B14" s="437"/>
      <c r="C14" s="89"/>
      <c r="D14" s="439">
        <f>SUM(D15+D16+D17)</f>
        <v>0</v>
      </c>
      <c r="E14" s="89"/>
    </row>
    <row r="15" spans="1:5" x14ac:dyDescent="0.25">
      <c r="A15" s="440" t="s">
        <v>1071</v>
      </c>
      <c r="B15" s="441" t="s">
        <v>162</v>
      </c>
      <c r="C15" s="89"/>
      <c r="D15" s="442">
        <f t="array" ref="D15">((SUM(IF((CkDJ[Date]&lt;=$A$7)*(CkDJ[Account Code]=(TRIM($B15))),CkDJ[Debit])))+(SUM(IF((CsDJ[Date]&lt;=$A$7)*(CsDJ[Account Code]=(TRIM($B15))),CsDJ[Debit])))+(SUM(IF((CRDJ[Date]&lt;=$A$7)*(CRDJ[Account Code]=(TRIM($B15))),CRDJ[Debit])))+(SUM(IF((GJ[Date]&lt;=$A$7)*(GJ[Account Code]=(TRIM($B15))),GJ[Debit]))))-((SUM(IF((CkDJ[Date]&lt;=$A$7)*(CkDJ[Account Code]=(TRIM($B15))),CkDJ[Credit])))+(SUM(IF((CsDJ[Date]&lt;=$A$7)*(CsDJ[Account Code]=(TRIM($B15))),CsDJ[Credit])))+(SUM(IF((CRDJ[Date]&lt;=$A$7)*(CRDJ[Account Code]=(TRIM($B15))),CRDJ[Credit])))+(SUM(IF((GJ[Date]&lt;=$A$7)*(GJ[Account Code]=(TRIM($B15))),GJ[Credit]))))</f>
        <v>0</v>
      </c>
      <c r="E15" s="89"/>
    </row>
    <row r="16" spans="1:5" x14ac:dyDescent="0.25">
      <c r="A16" s="440" t="s">
        <v>1072</v>
      </c>
      <c r="B16" s="441" t="s">
        <v>163</v>
      </c>
      <c r="C16" s="89"/>
      <c r="D16" s="442">
        <f t="array" ref="D16">((SUM(IF((CkDJ[Date]&lt;=$A$7)*(CkDJ[Account Code]=(TRIM($B16))),CkDJ[Debit])))+(SUM(IF((CsDJ[Date]&lt;=$A$7)*(CsDJ[Account Code]=(TRIM($B16))),CsDJ[Debit])))+(SUM(IF((CRDJ[Date]&lt;=$A$7)*(CRDJ[Account Code]=(TRIM($B16))),CRDJ[Debit])))+(SUM(IF((GJ[Date]&lt;=$A$7)*(GJ[Account Code]=(TRIM($B16))),GJ[Debit]))))-((SUM(IF((CkDJ[Date]&lt;=$A$7)*(CkDJ[Account Code]=(TRIM($B16))),CkDJ[Credit])))+(SUM(IF((CsDJ[Date]&lt;=$A$7)*(CsDJ[Account Code]=(TRIM($B16))),CsDJ[Credit])))+(SUM(IF((CRDJ[Date]&lt;=$A$7)*(CRDJ[Account Code]=(TRIM($B16))),CRDJ[Credit])))+(SUM(IF((GJ[Date]&lt;=$A$7)*(GJ[Account Code]=(TRIM($B16))),GJ[Credit]))))</f>
        <v>0</v>
      </c>
      <c r="E16" s="89"/>
    </row>
    <row r="17" spans="1:5" x14ac:dyDescent="0.25">
      <c r="A17" s="440" t="s">
        <v>1073</v>
      </c>
      <c r="B17" s="441" t="s">
        <v>799</v>
      </c>
      <c r="C17" s="89"/>
      <c r="D17" s="438">
        <v>0</v>
      </c>
      <c r="E17" s="89"/>
    </row>
    <row r="18" spans="1:5" x14ac:dyDescent="0.25">
      <c r="A18" s="320" t="s">
        <v>1074</v>
      </c>
      <c r="B18" s="437"/>
      <c r="C18" s="89"/>
      <c r="D18" s="439">
        <f>SUM(D19:D32)</f>
        <v>0</v>
      </c>
      <c r="E18" s="89"/>
    </row>
    <row r="19" spans="1:5" x14ac:dyDescent="0.25">
      <c r="A19" s="440" t="s">
        <v>1075</v>
      </c>
      <c r="B19" s="441" t="s">
        <v>164</v>
      </c>
      <c r="C19" s="89"/>
      <c r="D19" s="442">
        <f t="array" ref="D19">((SUM(IF((CkDJ[Date]&lt;=$A$7)*(CkDJ[Account Code]=(TRIM($B19))),CkDJ[Debit])))+(SUM(IF((CsDJ[Date]&lt;=$A$7)*(CsDJ[Account Code]=(TRIM($B19))),CsDJ[Debit])))+(SUM(IF((CRDJ[Date]&lt;=$A$7)*(CRDJ[Account Code]=(TRIM($B19))),CRDJ[Debit])))+(SUM(IF((GJ[Date]&lt;=$A$7)*(GJ[Account Code]=(TRIM($B19))),GJ[Debit]))))-((SUM(IF((CkDJ[Date]&lt;=$A$7)*(CkDJ[Account Code]=(TRIM($B19))),CkDJ[Credit])))+(SUM(IF((CsDJ[Date]&lt;=$A$7)*(CsDJ[Account Code]=(TRIM($B19))),CsDJ[Credit])))+(SUM(IF((CRDJ[Date]&lt;=$A$7)*(CRDJ[Account Code]=(TRIM($B19))),CRDJ[Credit])))+(SUM(IF((GJ[Date]&lt;=$A$7)*(GJ[Account Code]=(TRIM($B19))),GJ[Credit]))))</f>
        <v>0</v>
      </c>
      <c r="E19" s="89"/>
    </row>
    <row r="20" spans="1:5" x14ac:dyDescent="0.25">
      <c r="A20" s="440" t="s">
        <v>1076</v>
      </c>
      <c r="B20" s="441" t="s">
        <v>168</v>
      </c>
      <c r="C20" s="89"/>
      <c r="D20" s="442">
        <f t="array" ref="D20">((SUM(IF((CkDJ[Date]&lt;=$A$7)*(CkDJ[Account Code]=(TRIM($B20))),CkDJ[Debit])))+(SUM(IF((CsDJ[Date]&lt;=$A$7)*(CsDJ[Account Code]=(TRIM($B20))),CsDJ[Debit])))+(SUM(IF((CRDJ[Date]&lt;=$A$7)*(CRDJ[Account Code]=(TRIM($B20))),CRDJ[Debit])))+(SUM(IF((GJ[Date]&lt;=$A$7)*(GJ[Account Code]=(TRIM($B20))),GJ[Debit]))))-((SUM(IF((CkDJ[Date]&lt;=$A$7)*(CkDJ[Account Code]=(TRIM($B20))),CkDJ[Credit])))+(SUM(IF((CsDJ[Date]&lt;=$A$7)*(CsDJ[Account Code]=(TRIM($B20))),CsDJ[Credit])))+(SUM(IF((CRDJ[Date]&lt;=$A$7)*(CRDJ[Account Code]=(TRIM($B20))),CRDJ[Credit])))+(SUM(IF((GJ[Date]&lt;=$A$7)*(GJ[Account Code]=(TRIM($B20))),GJ[Credit]))))</f>
        <v>0</v>
      </c>
      <c r="E20" s="89"/>
    </row>
    <row r="21" spans="1:5" x14ac:dyDescent="0.25">
      <c r="A21" s="440" t="s">
        <v>1077</v>
      </c>
      <c r="B21" s="441" t="s">
        <v>165</v>
      </c>
      <c r="C21" s="89"/>
      <c r="D21" s="442">
        <f t="array" ref="D21">((SUM(IF((CkDJ[Date]&lt;=$A$7)*(CkDJ[Account Code]=(TRIM($B21))),CkDJ[Debit])))+(SUM(IF((CsDJ[Date]&lt;=$A$7)*(CsDJ[Account Code]=(TRIM($B21))),CsDJ[Debit])))+(SUM(IF((CRDJ[Date]&lt;=$A$7)*(CRDJ[Account Code]=(TRIM($B21))),CRDJ[Debit])))+(SUM(IF((GJ[Date]&lt;=$A$7)*(GJ[Account Code]=(TRIM($B21))),GJ[Debit]))))-((SUM(IF((CkDJ[Date]&lt;=$A$7)*(CkDJ[Account Code]=(TRIM($B21))),CkDJ[Credit])))+(SUM(IF((CsDJ[Date]&lt;=$A$7)*(CsDJ[Account Code]=(TRIM($B21))),CsDJ[Credit])))+(SUM(IF((CRDJ[Date]&lt;=$A$7)*(CRDJ[Account Code]=(TRIM($B21))),CRDJ[Credit])))+(SUM(IF((GJ[Date]&lt;=$A$7)*(GJ[Account Code]=(TRIM($B21))),GJ[Credit]))))</f>
        <v>0</v>
      </c>
      <c r="E21" s="89"/>
    </row>
    <row r="22" spans="1:5" x14ac:dyDescent="0.25">
      <c r="A22" s="440" t="s">
        <v>1078</v>
      </c>
      <c r="B22" s="441" t="s">
        <v>166</v>
      </c>
      <c r="C22" s="89"/>
      <c r="D22" s="442">
        <f t="array" ref="D22">((SUM(IF((CkDJ[Date]&lt;=$A$7)*(CkDJ[Account Code]=(TRIM($B22))),CkDJ[Debit])))+(SUM(IF((CsDJ[Date]&lt;=$A$7)*(CsDJ[Account Code]=(TRIM($B22))),CsDJ[Debit])))+(SUM(IF((CRDJ[Date]&lt;=$A$7)*(CRDJ[Account Code]=(TRIM($B22))),CRDJ[Debit])))+(SUM(IF((GJ[Date]&lt;=$A$7)*(GJ[Account Code]=(TRIM($B22))),GJ[Debit]))))-((SUM(IF((CkDJ[Date]&lt;=$A$7)*(CkDJ[Account Code]=(TRIM($B22))),CkDJ[Credit])))+(SUM(IF((CsDJ[Date]&lt;=$A$7)*(CsDJ[Account Code]=(TRIM($B22))),CsDJ[Credit])))+(SUM(IF((CRDJ[Date]&lt;=$A$7)*(CRDJ[Account Code]=(TRIM($B22))),CRDJ[Credit])))+(SUM(IF((GJ[Date]&lt;=$A$7)*(GJ[Account Code]=(TRIM($B22))),GJ[Credit]))))</f>
        <v>0</v>
      </c>
      <c r="E22" s="89"/>
    </row>
    <row r="23" spans="1:5" x14ac:dyDescent="0.25">
      <c r="A23" s="440" t="s">
        <v>1079</v>
      </c>
      <c r="B23" s="441" t="s">
        <v>167</v>
      </c>
      <c r="C23" s="89"/>
      <c r="D23" s="442">
        <f t="array" ref="D23">((SUM(IF((CkDJ[Date]&lt;=$A$7)*(CkDJ[Account Code]=(TRIM($B23))),CkDJ[Debit])))+(SUM(IF((CsDJ[Date]&lt;=$A$7)*(CsDJ[Account Code]=(TRIM($B23))),CsDJ[Debit])))+(SUM(IF((CRDJ[Date]&lt;=$A$7)*(CRDJ[Account Code]=(TRIM($B23))),CRDJ[Debit])))+(SUM(IF((GJ[Date]&lt;=$A$7)*(GJ[Account Code]=(TRIM($B23))),GJ[Debit]))))-((SUM(IF((CkDJ[Date]&lt;=$A$7)*(CkDJ[Account Code]=(TRIM($B23))),CkDJ[Credit])))+(SUM(IF((CsDJ[Date]&lt;=$A$7)*(CsDJ[Account Code]=(TRIM($B23))),CsDJ[Credit])))+(SUM(IF((CRDJ[Date]&lt;=$A$7)*(CRDJ[Account Code]=(TRIM($B23))),CRDJ[Credit])))+(SUM(IF((GJ[Date]&lt;=$A$7)*(GJ[Account Code]=(TRIM($B23))),GJ[Credit]))))</f>
        <v>0</v>
      </c>
      <c r="E23" s="89"/>
    </row>
    <row r="24" spans="1:5" x14ac:dyDescent="0.25">
      <c r="A24" s="440" t="s">
        <v>1080</v>
      </c>
      <c r="B24" s="441" t="s">
        <v>171</v>
      </c>
      <c r="C24" s="89"/>
      <c r="D24" s="442">
        <f t="array" ref="D24">((SUM(IF((CkDJ[Date]&lt;=$A$7)*(CkDJ[Account Code]=(TRIM($B24))),CkDJ[Debit])))+(SUM(IF((CsDJ[Date]&lt;=$A$7)*(CsDJ[Account Code]=(TRIM($B24))),CsDJ[Debit])))+(SUM(IF((CRDJ[Date]&lt;=$A$7)*(CRDJ[Account Code]=(TRIM($B24))),CRDJ[Debit])))+(SUM(IF((GJ[Date]&lt;=$A$7)*(GJ[Account Code]=(TRIM($B24))),GJ[Debit]))))-((SUM(IF((CkDJ[Date]&lt;=$A$7)*(CkDJ[Account Code]=(TRIM($B24))),CkDJ[Credit])))+(SUM(IF((CsDJ[Date]&lt;=$A$7)*(CsDJ[Account Code]=(TRIM($B24))),CsDJ[Credit])))+(SUM(IF((CRDJ[Date]&lt;=$A$7)*(CRDJ[Account Code]=(TRIM($B24))),CRDJ[Credit])))+(SUM(IF((GJ[Date]&lt;=$A$7)*(GJ[Account Code]=(TRIM($B24))),GJ[Credit]))))</f>
        <v>0</v>
      </c>
      <c r="E24" s="89"/>
    </row>
    <row r="25" spans="1:5" x14ac:dyDescent="0.25">
      <c r="A25" s="440" t="s">
        <v>1081</v>
      </c>
      <c r="B25" s="441" t="s">
        <v>173</v>
      </c>
      <c r="C25" s="89"/>
      <c r="D25" s="442">
        <f t="array" ref="D25">((SUM(IF((CkDJ[Date]&lt;=$A$7)*(CkDJ[Account Code]=(TRIM($B25))),CkDJ[Debit])))+(SUM(IF((CsDJ[Date]&lt;=$A$7)*(CsDJ[Account Code]=(TRIM($B25))),CsDJ[Debit])))+(SUM(IF((CRDJ[Date]&lt;=$A$7)*(CRDJ[Account Code]=(TRIM($B25))),CRDJ[Debit])))+(SUM(IF((GJ[Date]&lt;=$A$7)*(GJ[Account Code]=(TRIM($B25))),GJ[Debit]))))-((SUM(IF((CkDJ[Date]&lt;=$A$7)*(CkDJ[Account Code]=(TRIM($B25))),CkDJ[Credit])))+(SUM(IF((CsDJ[Date]&lt;=$A$7)*(CsDJ[Account Code]=(TRIM($B25))),CsDJ[Credit])))+(SUM(IF((CRDJ[Date]&lt;=$A$7)*(CRDJ[Account Code]=(TRIM($B25))),CRDJ[Credit])))+(SUM(IF((GJ[Date]&lt;=$A$7)*(GJ[Account Code]=(TRIM($B25))),GJ[Credit]))))</f>
        <v>0</v>
      </c>
      <c r="E25" s="89"/>
    </row>
    <row r="26" spans="1:5" x14ac:dyDescent="0.25">
      <c r="A26" s="440" t="s">
        <v>1082</v>
      </c>
      <c r="B26" s="441" t="s">
        <v>7</v>
      </c>
      <c r="C26" s="89"/>
      <c r="D26" s="442">
        <f t="array" ref="D26">((SUM(IF((CkDJ[Date]&lt;=$A$7)*(CkDJ[Account Code]=(TRIM($B26))),CkDJ[Debit])))+(SUM(IF((CsDJ[Date]&lt;=$A$7)*(CsDJ[Account Code]=(TRIM($B26))),CsDJ[Debit])))+(SUM(IF((CRDJ[Date]&lt;=$A$7)*(CRDJ[Account Code]=(TRIM($B26))),CRDJ[Debit])))+(SUM(IF((GJ[Date]&lt;=$A$7)*(GJ[Account Code]=(TRIM($B26))),GJ[Debit]))))-((SUM(IF((CkDJ[Date]&lt;=$A$7)*(CkDJ[Account Code]=(TRIM($B26))),CkDJ[Credit])))+(SUM(IF((CsDJ[Date]&lt;=$A$7)*(CsDJ[Account Code]=(TRIM($B26))),CsDJ[Credit])))+(SUM(IF((CRDJ[Date]&lt;=$A$7)*(CRDJ[Account Code]=(TRIM($B26))),CRDJ[Credit])))+(SUM(IF((GJ[Date]&lt;=$A$7)*(GJ[Account Code]=(TRIM($B26))),GJ[Credit]))))</f>
        <v>0</v>
      </c>
      <c r="E26" s="89"/>
    </row>
    <row r="27" spans="1:5" x14ac:dyDescent="0.25">
      <c r="A27" s="440" t="s">
        <v>1083</v>
      </c>
      <c r="B27" s="441" t="s">
        <v>5</v>
      </c>
      <c r="C27" s="89"/>
      <c r="D27" s="442">
        <f t="array" ref="D27">((SUM(IF((CkDJ[Date]&lt;=$A$7)*(CkDJ[Account Code]=(TRIM($B27))),CkDJ[Debit])))+(SUM(IF((CsDJ[Date]&lt;=$A$7)*(CsDJ[Account Code]=(TRIM($B27))),CsDJ[Debit])))+(SUM(IF((CRDJ[Date]&lt;=$A$7)*(CRDJ[Account Code]=(TRIM($B27))),CRDJ[Debit])))+(SUM(IF((GJ[Date]&lt;=$A$7)*(GJ[Account Code]=(TRIM($B27))),GJ[Debit]))))-((SUM(IF((CkDJ[Date]&lt;=$A$7)*(CkDJ[Account Code]=(TRIM($B27))),CkDJ[Credit])))+(SUM(IF((CsDJ[Date]&lt;=$A$7)*(CsDJ[Account Code]=(TRIM($B27))),CsDJ[Credit])))+(SUM(IF((CRDJ[Date]&lt;=$A$7)*(CRDJ[Account Code]=(TRIM($B27))),CRDJ[Credit])))+(SUM(IF((GJ[Date]&lt;=$A$7)*(GJ[Account Code]=(TRIM($B27))),GJ[Credit]))))</f>
        <v>0</v>
      </c>
      <c r="E27" s="89"/>
    </row>
    <row r="28" spans="1:5" x14ac:dyDescent="0.25">
      <c r="A28" s="440" t="s">
        <v>1084</v>
      </c>
      <c r="B28" s="441" t="s">
        <v>6</v>
      </c>
      <c r="C28" s="89"/>
      <c r="D28" s="442">
        <f t="array" ref="D28">((SUM(IF((CkDJ[Date]&lt;=$A$7)*(CkDJ[Account Code]=(TRIM($B28))),CkDJ[Debit])))+(SUM(IF((CsDJ[Date]&lt;=$A$7)*(CsDJ[Account Code]=(TRIM($B28))),CsDJ[Debit])))+(SUM(IF((CRDJ[Date]&lt;=$A$7)*(CRDJ[Account Code]=(TRIM($B28))),CRDJ[Debit])))+(SUM(IF((GJ[Date]&lt;=$A$7)*(GJ[Account Code]=(TRIM($B28))),GJ[Debit]))))-((SUM(IF((CkDJ[Date]&lt;=$A$7)*(CkDJ[Account Code]=(TRIM($B28))),CkDJ[Credit])))+(SUM(IF((CsDJ[Date]&lt;=$A$7)*(CsDJ[Account Code]=(TRIM($B28))),CsDJ[Credit])))+(SUM(IF((CRDJ[Date]&lt;=$A$7)*(CRDJ[Account Code]=(TRIM($B28))),CRDJ[Credit])))+(SUM(IF((GJ[Date]&lt;=$A$7)*(GJ[Account Code]=(TRIM($B28))),GJ[Credit]))))</f>
        <v>0</v>
      </c>
      <c r="E28" s="89"/>
    </row>
    <row r="29" spans="1:5" x14ac:dyDescent="0.25">
      <c r="A29" s="440" t="s">
        <v>887</v>
      </c>
      <c r="B29" s="441" t="s">
        <v>170</v>
      </c>
      <c r="C29" s="89"/>
      <c r="D29" s="442">
        <f t="array" ref="D29">((SUM(IF((CkDJ[Date]&lt;=$A$7)*(CkDJ[Account Code]=(TRIM($B29))),CkDJ[Debit])))+(SUM(IF((CsDJ[Date]&lt;=$A$7)*(CsDJ[Account Code]=(TRIM($B29))),CsDJ[Debit])))+(SUM(IF((CRDJ[Date]&lt;=$A$7)*(CRDJ[Account Code]=(TRIM($B29))),CRDJ[Debit])))+(SUM(IF((GJ[Date]&lt;=$A$7)*(GJ[Account Code]=(TRIM($B29))),GJ[Debit]))))-((SUM(IF((CkDJ[Date]&lt;=$A$7)*(CkDJ[Account Code]=(TRIM($B29))),CkDJ[Credit])))+(SUM(IF((CsDJ[Date]&lt;=$A$7)*(CsDJ[Account Code]=(TRIM($B29))),CsDJ[Credit])))+(SUM(IF((CRDJ[Date]&lt;=$A$7)*(CRDJ[Account Code]=(TRIM($B29))),CRDJ[Credit])))+(SUM(IF((GJ[Date]&lt;=$A$7)*(GJ[Account Code]=(TRIM($B29))),GJ[Credit]))))</f>
        <v>0</v>
      </c>
      <c r="E29" s="89"/>
    </row>
    <row r="30" spans="1:5" x14ac:dyDescent="0.25">
      <c r="A30" s="440" t="s">
        <v>1085</v>
      </c>
      <c r="B30" s="441" t="s">
        <v>172</v>
      </c>
      <c r="C30" s="89"/>
      <c r="D30" s="442">
        <f t="array" ref="D30">((SUM(IF((CkDJ[Date]&lt;=$A$7)*(CkDJ[Account Code]=(TRIM($B30))),CkDJ[Debit])))+(SUM(IF((CsDJ[Date]&lt;=$A$7)*(CsDJ[Account Code]=(TRIM($B30))),CsDJ[Debit])))+(SUM(IF((CRDJ[Date]&lt;=$A$7)*(CRDJ[Account Code]=(TRIM($B30))),CRDJ[Debit])))+(SUM(IF((GJ[Date]&lt;=$A$7)*(GJ[Account Code]=(TRIM($B30))),GJ[Debit]))))-((SUM(IF((CkDJ[Date]&lt;=$A$7)*(CkDJ[Account Code]=(TRIM($B30))),CkDJ[Credit])))+(SUM(IF((CsDJ[Date]&lt;=$A$7)*(CsDJ[Account Code]=(TRIM($B30))),CsDJ[Credit])))+(SUM(IF((CRDJ[Date]&lt;=$A$7)*(CRDJ[Account Code]=(TRIM($B30))),CRDJ[Credit])))+(SUM(IF((GJ[Date]&lt;=$A$7)*(GJ[Account Code]=(TRIM($B30))),GJ[Credit]))))</f>
        <v>0</v>
      </c>
      <c r="E30" s="89"/>
    </row>
    <row r="31" spans="1:5" x14ac:dyDescent="0.25">
      <c r="A31" s="440" t="s">
        <v>1086</v>
      </c>
      <c r="B31" s="441" t="s">
        <v>174</v>
      </c>
      <c r="C31" s="89"/>
      <c r="D31" s="442">
        <f t="array" ref="D31">((SUM(IF((CkDJ[Date]&lt;=$A$7)*(CkDJ[Account Code]=(TRIM($B31))),CkDJ[Debit])))+(SUM(IF((CsDJ[Date]&lt;=$A$7)*(CsDJ[Account Code]=(TRIM($B31))),CsDJ[Debit])))+(SUM(IF((CRDJ[Date]&lt;=$A$7)*(CRDJ[Account Code]=(TRIM($B31))),CRDJ[Debit])))+(SUM(IF((GJ[Date]&lt;=$A$7)*(GJ[Account Code]=(TRIM($B31))),GJ[Debit]))))-((SUM(IF((CkDJ[Date]&lt;=$A$7)*(CkDJ[Account Code]=(TRIM($B31))),CkDJ[Credit])))+(SUM(IF((CsDJ[Date]&lt;=$A$7)*(CsDJ[Account Code]=(TRIM($B31))),CsDJ[Credit])))+(SUM(IF((CRDJ[Date]&lt;=$A$7)*(CRDJ[Account Code]=(TRIM($B31))),CRDJ[Credit])))+(SUM(IF((GJ[Date]&lt;=$A$7)*(GJ[Account Code]=(TRIM($B31))),GJ[Credit]))))</f>
        <v>0</v>
      </c>
      <c r="E31" s="89"/>
    </row>
    <row r="32" spans="1:5" x14ac:dyDescent="0.25">
      <c r="A32" s="440" t="s">
        <v>1143</v>
      </c>
      <c r="B32" s="441" t="s">
        <v>214</v>
      </c>
      <c r="C32" s="89"/>
      <c r="D32" s="442">
        <f t="array" ref="D32">((SUM(IF((CkDJ[Date]&lt;=$A$7)*(CkDJ[Account Code]=(TRIM($B32))),CkDJ[Debit])))+(SUM(IF((CsDJ[Date]&lt;=$A$7)*(CsDJ[Account Code]=(TRIM($B32))),CsDJ[Debit])))+(SUM(IF((CRDJ[Date]&lt;=$A$7)*(CRDJ[Account Code]=(TRIM($B32))),CRDJ[Debit])))+(SUM(IF((GJ[Date]&lt;=$A$7)*(GJ[Account Code]=(TRIM($B32))),GJ[Debit]))))-((SUM(IF((CkDJ[Date]&lt;=$A$7)*(CkDJ[Account Code]=(TRIM($B32))),CkDJ[Credit])))+(SUM(IF((CsDJ[Date]&lt;=$A$7)*(CsDJ[Account Code]=(TRIM($B32))),CsDJ[Credit])))+(SUM(IF((CRDJ[Date]&lt;=$A$7)*(CRDJ[Account Code]=(TRIM($B32))),CRDJ[Credit])))+(SUM(IF((GJ[Date]&lt;=$A$7)*(GJ[Account Code]=(TRIM($B32))),GJ[Credit]))))</f>
        <v>0</v>
      </c>
      <c r="E32" s="89"/>
    </row>
    <row r="33" spans="1:5" x14ac:dyDescent="0.25">
      <c r="A33" s="320" t="s">
        <v>1087</v>
      </c>
      <c r="B33" s="437"/>
      <c r="C33" s="89"/>
      <c r="D33" s="439">
        <f>D34+D35+D36</f>
        <v>0</v>
      </c>
      <c r="E33" s="89"/>
    </row>
    <row r="34" spans="1:5" x14ac:dyDescent="0.25">
      <c r="A34" s="440" t="s">
        <v>1088</v>
      </c>
      <c r="B34" s="441" t="s">
        <v>799</v>
      </c>
      <c r="C34" s="89"/>
      <c r="D34" s="442">
        <f t="array" ref="D34">((SUM(IF((CkDJ[Date]&lt;=$A$7)*(CkDJ[Account Code]=(TRIM($B34))),CkDJ[Debit])))+(SUM(IF((CsDJ[Date]&lt;=$A$7)*(CsDJ[Account Code]=(TRIM($B34))),CsDJ[Debit])))+(SUM(IF((CRDJ[Date]&lt;=$A$7)*(CRDJ[Account Code]=(TRIM($B34))),CRDJ[Debit])))+(SUM(IF((GJ[Date]&lt;=$A$7)*(GJ[Account Code]=(TRIM($B34))),GJ[Debit]))))-((SUM(IF((CkDJ[Date]&lt;=$A$7)*(CkDJ[Account Code]=(TRIM($B34))),CkDJ[Credit])))+(SUM(IF((CsDJ[Date]&lt;=$A$7)*(CsDJ[Account Code]=(TRIM($B34))),CsDJ[Credit])))+(SUM(IF((CRDJ[Date]&lt;=$A$7)*(CRDJ[Account Code]=(TRIM($B34))),CRDJ[Credit])))+(SUM(IF((GJ[Date]&lt;=$A$7)*(GJ[Account Code]=(TRIM($B34))),GJ[Credit]))))</f>
        <v>0</v>
      </c>
      <c r="E34" s="89"/>
    </row>
    <row r="35" spans="1:5" x14ac:dyDescent="0.25">
      <c r="A35" s="440" t="s">
        <v>1089</v>
      </c>
      <c r="B35" s="441" t="s">
        <v>212</v>
      </c>
      <c r="C35" s="89"/>
      <c r="D35" s="442">
        <f t="array" ref="D35">((SUM(IF((CkDJ[Date]&lt;=$A$7)*(CkDJ[Account Code]=(TRIM($B35))),CkDJ[Debit])))+(SUM(IF((CsDJ[Date]&lt;=$A$7)*(CsDJ[Account Code]=(TRIM($B35))),CsDJ[Debit])))+(SUM(IF((CRDJ[Date]&lt;=$A$7)*(CRDJ[Account Code]=(TRIM($B35))),CRDJ[Debit])))+(SUM(IF((GJ[Date]&lt;=$A$7)*(GJ[Account Code]=(TRIM($B35))),GJ[Debit]))))-((SUM(IF((CkDJ[Date]&lt;=$A$7)*(CkDJ[Account Code]=(TRIM($B35))),CkDJ[Credit])))+(SUM(IF((CsDJ[Date]&lt;=$A$7)*(CsDJ[Account Code]=(TRIM($B35))),CsDJ[Credit])))+(SUM(IF((CRDJ[Date]&lt;=$A$7)*(CRDJ[Account Code]=(TRIM($B35))),CRDJ[Credit])))+(SUM(IF((GJ[Date]&lt;=$A$7)*(GJ[Account Code]=(TRIM($B35))),GJ[Credit]))))</f>
        <v>0</v>
      </c>
      <c r="E35" s="89"/>
    </row>
    <row r="36" spans="1:5" x14ac:dyDescent="0.25">
      <c r="A36" s="440" t="s">
        <v>1090</v>
      </c>
      <c r="B36" s="441" t="s">
        <v>799</v>
      </c>
      <c r="C36" s="89"/>
      <c r="D36" s="442">
        <f t="array" ref="D36">((SUM(IF((CkDJ[Date]&lt;=$A$7)*(CkDJ[Account Code]=(TRIM($B36))),CkDJ[Debit])))+(SUM(IF((CsDJ[Date]&lt;=$A$7)*(CsDJ[Account Code]=(TRIM($B36))),CsDJ[Debit])))+(SUM(IF((CRDJ[Date]&lt;=$A$7)*(CRDJ[Account Code]=(TRIM($B36))),CRDJ[Debit])))+(SUM(IF((GJ[Date]&lt;=$A$7)*(GJ[Account Code]=(TRIM($B36))),GJ[Debit]))))-((SUM(IF((CkDJ[Date]&lt;=$A$7)*(CkDJ[Account Code]=(TRIM($B36))),CkDJ[Credit])))+(SUM(IF((CsDJ[Date]&lt;=$A$7)*(CsDJ[Account Code]=(TRIM($B36))),CsDJ[Credit])))+(SUM(IF((CRDJ[Date]&lt;=$A$7)*(CRDJ[Account Code]=(TRIM($B36))),CRDJ[Credit])))+(SUM(IF((GJ[Date]&lt;=$A$7)*(GJ[Account Code]=(TRIM($B36))),GJ[Credit]))))</f>
        <v>0</v>
      </c>
      <c r="E36" s="89"/>
    </row>
    <row r="37" spans="1:5" x14ac:dyDescent="0.25">
      <c r="A37" s="320" t="s">
        <v>1091</v>
      </c>
      <c r="B37" s="437"/>
      <c r="C37" s="89"/>
      <c r="D37" s="439">
        <f>SUM(D38:D41)</f>
        <v>0</v>
      </c>
      <c r="E37" s="89"/>
    </row>
    <row r="38" spans="1:5" x14ac:dyDescent="0.25">
      <c r="A38" s="440" t="s">
        <v>1092</v>
      </c>
      <c r="B38" s="441" t="s">
        <v>175</v>
      </c>
      <c r="C38" s="89"/>
      <c r="D38" s="442">
        <f t="array" ref="D38">((SUM(IF((CkDJ[Date]&lt;=$A$7)*(CkDJ[Account Code]=(TRIM($B38))),CkDJ[Debit])))+(SUM(IF((CsDJ[Date]&lt;=$A$7)*(CsDJ[Account Code]=(TRIM($B38))),CsDJ[Debit])))+(SUM(IF((CRDJ[Date]&lt;=$A$7)*(CRDJ[Account Code]=(TRIM($B38))),CRDJ[Debit])))+(SUM(IF((GJ[Date]&lt;=$A$7)*(GJ[Account Code]=(TRIM($B38))),GJ[Debit]))))-((SUM(IF((CkDJ[Date]&lt;=$A$7)*(CkDJ[Account Code]=(TRIM($B38))),CkDJ[Credit])))+(SUM(IF((CsDJ[Date]&lt;=$A$7)*(CsDJ[Account Code]=(TRIM($B38))),CsDJ[Credit])))+(SUM(IF((CRDJ[Date]&lt;=$A$7)*(CRDJ[Account Code]=(TRIM($B38))),CRDJ[Credit])))+(SUM(IF((GJ[Date]&lt;=$A$7)*(GJ[Account Code]=(TRIM($B38))),GJ[Credit]))))</f>
        <v>0</v>
      </c>
      <c r="E38" s="89"/>
    </row>
    <row r="39" spans="1:5" x14ac:dyDescent="0.25">
      <c r="A39" s="440" t="s">
        <v>1093</v>
      </c>
      <c r="B39" s="441" t="s">
        <v>176</v>
      </c>
      <c r="C39" s="89"/>
      <c r="D39" s="442">
        <f t="array" ref="D39">((SUM(IF((CkDJ[Date]&lt;=$A$7)*(CkDJ[Account Code]=(TRIM($B39))),CkDJ[Debit])))+(SUM(IF((CsDJ[Date]&lt;=$A$7)*(CsDJ[Account Code]=(TRIM($B39))),CsDJ[Debit])))+(SUM(IF((CRDJ[Date]&lt;=$A$7)*(CRDJ[Account Code]=(TRIM($B39))),CRDJ[Debit])))+(SUM(IF((GJ[Date]&lt;=$A$7)*(GJ[Account Code]=(TRIM($B39))),GJ[Debit]))))-((SUM(IF((CkDJ[Date]&lt;=$A$7)*(CkDJ[Account Code]=(TRIM($B39))),CkDJ[Credit])))+(SUM(IF((CsDJ[Date]&lt;=$A$7)*(CsDJ[Account Code]=(TRIM($B39))),CsDJ[Credit])))+(SUM(IF((CRDJ[Date]&lt;=$A$7)*(CRDJ[Account Code]=(TRIM($B39))),CRDJ[Credit])))+(SUM(IF((GJ[Date]&lt;=$A$7)*(GJ[Account Code]=(TRIM($B39))),GJ[Credit]))))</f>
        <v>0</v>
      </c>
      <c r="E39" s="89"/>
    </row>
    <row r="40" spans="1:5" x14ac:dyDescent="0.25">
      <c r="A40" s="440" t="s">
        <v>1094</v>
      </c>
      <c r="B40" s="441" t="s">
        <v>177</v>
      </c>
      <c r="C40" s="89"/>
      <c r="D40" s="442">
        <f t="array" ref="D40">((SUM(IF((CkDJ[Date]&lt;=$A$7)*(CkDJ[Account Code]=(TRIM($B40))),CkDJ[Debit])))+(SUM(IF((CsDJ[Date]&lt;=$A$7)*(CsDJ[Account Code]=(TRIM($B40))),CsDJ[Debit])))+(SUM(IF((CRDJ[Date]&lt;=$A$7)*(CRDJ[Account Code]=(TRIM($B40))),CRDJ[Debit])))+(SUM(IF((GJ[Date]&lt;=$A$7)*(GJ[Account Code]=(TRIM($B40))),GJ[Debit]))))-((SUM(IF((CkDJ[Date]&lt;=$A$7)*(CkDJ[Account Code]=(TRIM($B40))),CkDJ[Credit])))+(SUM(IF((CsDJ[Date]&lt;=$A$7)*(CsDJ[Account Code]=(TRIM($B40))),CsDJ[Credit])))+(SUM(IF((CRDJ[Date]&lt;=$A$7)*(CRDJ[Account Code]=(TRIM($B40))),CRDJ[Credit])))+(SUM(IF((GJ[Date]&lt;=$A$7)*(GJ[Account Code]=(TRIM($B40))),GJ[Credit]))))</f>
        <v>0</v>
      </c>
      <c r="E40" s="89"/>
    </row>
    <row r="41" spans="1:5" x14ac:dyDescent="0.25">
      <c r="A41" s="440" t="s">
        <v>1095</v>
      </c>
      <c r="B41" s="441" t="s">
        <v>178</v>
      </c>
      <c r="C41" s="89"/>
      <c r="D41" s="442">
        <f t="array" ref="D41">((SUM(IF((CkDJ[Date]&lt;=$A$7)*(CkDJ[Account Code]=(TRIM($B41))),CkDJ[Debit])))+(SUM(IF((CsDJ[Date]&lt;=$A$7)*(CsDJ[Account Code]=(TRIM($B41))),CsDJ[Debit])))+(SUM(IF((CRDJ[Date]&lt;=$A$7)*(CRDJ[Account Code]=(TRIM($B41))),CRDJ[Debit])))+(SUM(IF((GJ[Date]&lt;=$A$7)*(GJ[Account Code]=(TRIM($B41))),GJ[Debit]))))-((SUM(IF((CkDJ[Date]&lt;=$A$7)*(CkDJ[Account Code]=(TRIM($B41))),CkDJ[Credit])))+(SUM(IF((CsDJ[Date]&lt;=$A$7)*(CsDJ[Account Code]=(TRIM($B41))),CsDJ[Credit])))+(SUM(IF((CRDJ[Date]&lt;=$A$7)*(CRDJ[Account Code]=(TRIM($B41))),CRDJ[Credit])))+(SUM(IF((GJ[Date]&lt;=$A$7)*(GJ[Account Code]=(TRIM($B41))),GJ[Credit]))))</f>
        <v>0</v>
      </c>
      <c r="E41" s="89"/>
    </row>
    <row r="42" spans="1:5" x14ac:dyDescent="0.25">
      <c r="A42" s="320" t="s">
        <v>1096</v>
      </c>
      <c r="B42" s="437"/>
      <c r="C42" s="89"/>
      <c r="D42" s="443">
        <f>D43+D44+D45+D46</f>
        <v>0</v>
      </c>
      <c r="E42" s="89"/>
    </row>
    <row r="43" spans="1:5" x14ac:dyDescent="0.25">
      <c r="A43" s="440" t="s">
        <v>897</v>
      </c>
      <c r="B43" s="441" t="s">
        <v>216</v>
      </c>
      <c r="C43" s="89"/>
      <c r="D43" s="442">
        <f t="array" ref="D43">((SUM(IF((CkDJ[Date]&lt;=$A$7)*(CkDJ[Account Code]=(TRIM($B43))),CkDJ[Debit])))+(SUM(IF((CsDJ[Date]&lt;=$A$7)*(CsDJ[Account Code]=(TRIM($B43))),CsDJ[Debit])))+(SUM(IF((CRDJ[Date]&lt;=$A$7)*(CRDJ[Account Code]=(TRIM($B43))),CRDJ[Debit])))+(SUM(IF((GJ[Date]&lt;=$A$7)*(GJ[Account Code]=(TRIM($B43))),GJ[Debit]))))-((SUM(IF((CkDJ[Date]&lt;=$A$7)*(CkDJ[Account Code]=(TRIM($B43))),CkDJ[Credit])))+(SUM(IF((CsDJ[Date]&lt;=$A$7)*(CsDJ[Account Code]=(TRIM($B43))),CsDJ[Credit])))+(SUM(IF((CRDJ[Date]&lt;=$A$7)*(CRDJ[Account Code]=(TRIM($B43))),CRDJ[Credit])))+(SUM(IF((GJ[Date]&lt;=$A$7)*(GJ[Account Code]=(TRIM($B43))),GJ[Credit]))))</f>
        <v>0</v>
      </c>
      <c r="E43" s="89"/>
    </row>
    <row r="44" spans="1:5" x14ac:dyDescent="0.25">
      <c r="A44" s="330" t="s">
        <v>898</v>
      </c>
      <c r="B44" s="61" t="s">
        <v>799</v>
      </c>
      <c r="C44" s="89"/>
      <c r="D44" s="442">
        <f t="array" ref="D44">((SUM(IF((CkDJ[Date]&lt;=$A$7)*(CkDJ[Account Code]=(TRIM($B44))),CkDJ[Debit])))+(SUM(IF((CsDJ[Date]&lt;=$A$7)*(CsDJ[Account Code]=(TRIM($B44))),CsDJ[Debit])))+(SUM(IF((CRDJ[Date]&lt;=$A$7)*(CRDJ[Account Code]=(TRIM($B44))),CRDJ[Debit])))+(SUM(IF((GJ[Date]&lt;=$A$7)*(GJ[Account Code]=(TRIM($B44))),GJ[Debit]))))-((SUM(IF((CkDJ[Date]&lt;=$A$7)*(CkDJ[Account Code]=(TRIM($B44))),CkDJ[Credit])))+(SUM(IF((CsDJ[Date]&lt;=$A$7)*(CsDJ[Account Code]=(TRIM($B44))),CsDJ[Credit])))+(SUM(IF((CRDJ[Date]&lt;=$A$7)*(CRDJ[Account Code]=(TRIM($B44))),CRDJ[Credit])))+(SUM(IF((GJ[Date]&lt;=$A$7)*(GJ[Account Code]=(TRIM($B44))),GJ[Credit]))))</f>
        <v>0</v>
      </c>
      <c r="E44" s="89"/>
    </row>
    <row r="45" spans="1:5" x14ac:dyDescent="0.25">
      <c r="A45" s="440" t="s">
        <v>899</v>
      </c>
      <c r="B45" s="441" t="s">
        <v>799</v>
      </c>
      <c r="C45" s="89"/>
      <c r="D45" s="442">
        <f t="array" ref="D45">((SUM(IF((CkDJ[Date]&lt;=$A$7)*(CkDJ[Account Code]=(TRIM($B45))),CkDJ[Debit])))+(SUM(IF((CsDJ[Date]&lt;=$A$7)*(CsDJ[Account Code]=(TRIM($B45))),CsDJ[Debit])))+(SUM(IF((CRDJ[Date]&lt;=$A$7)*(CRDJ[Account Code]=(TRIM($B45))),CRDJ[Debit])))+(SUM(IF((GJ[Date]&lt;=$A$7)*(GJ[Account Code]=(TRIM($B45))),GJ[Debit]))))-((SUM(IF((CkDJ[Date]&lt;=$A$7)*(CkDJ[Account Code]=(TRIM($B45))),CkDJ[Credit])))+(SUM(IF((CsDJ[Date]&lt;=$A$7)*(CsDJ[Account Code]=(TRIM($B45))),CsDJ[Credit])))+(SUM(IF((CRDJ[Date]&lt;=$A$7)*(CRDJ[Account Code]=(TRIM($B45))),CRDJ[Credit])))+(SUM(IF((GJ[Date]&lt;=$A$7)*(GJ[Account Code]=(TRIM($B45))),GJ[Credit]))))</f>
        <v>0</v>
      </c>
      <c r="E45" s="89"/>
    </row>
    <row r="46" spans="1:5" x14ac:dyDescent="0.25">
      <c r="A46" s="440" t="s">
        <v>900</v>
      </c>
      <c r="B46" s="441" t="s">
        <v>799</v>
      </c>
      <c r="C46" s="89"/>
      <c r="D46" s="442">
        <f t="array" ref="D46">((SUM(IF((CkDJ[Date]&lt;=$A$7)*(CkDJ[Account Code]=(TRIM($B46))),CkDJ[Debit])))+(SUM(IF((CsDJ[Date]&lt;=$A$7)*(CsDJ[Account Code]=(TRIM($B46))),CsDJ[Debit])))+(SUM(IF((CRDJ[Date]&lt;=$A$7)*(CRDJ[Account Code]=(TRIM($B46))),CRDJ[Debit])))+(SUM(IF((GJ[Date]&lt;=$A$7)*(GJ[Account Code]=(TRIM($B46))),GJ[Debit]))))-((SUM(IF((CkDJ[Date]&lt;=$A$7)*(CkDJ[Account Code]=(TRIM($B46))),CkDJ[Credit])))+(SUM(IF((CsDJ[Date]&lt;=$A$7)*(CsDJ[Account Code]=(TRIM($B46))),CsDJ[Credit])))+(SUM(IF((CRDJ[Date]&lt;=$A$7)*(CRDJ[Account Code]=(TRIM($B46))),CRDJ[Credit])))+(SUM(IF((GJ[Date]&lt;=$A$7)*(GJ[Account Code]=(TRIM($B46))),GJ[Credit]))))</f>
        <v>0</v>
      </c>
      <c r="E46" s="89"/>
    </row>
    <row r="47" spans="1:5" x14ac:dyDescent="0.25">
      <c r="A47" s="444" t="s">
        <v>1097</v>
      </c>
      <c r="B47" s="445"/>
      <c r="C47" s="446">
        <v>98976280.540000007</v>
      </c>
      <c r="D47" s="447">
        <f>SUM(D14+D18+D33+D37+D42)</f>
        <v>0</v>
      </c>
      <c r="E47" s="446">
        <f>+C47-D47</f>
        <v>98976280.540000007</v>
      </c>
    </row>
    <row r="48" spans="1:5" x14ac:dyDescent="0.25">
      <c r="A48" s="448"/>
      <c r="B48" s="441"/>
      <c r="C48" s="442"/>
      <c r="D48" s="449"/>
      <c r="E48" s="442"/>
    </row>
    <row r="49" spans="1:5" x14ac:dyDescent="0.25">
      <c r="A49" s="320" t="s">
        <v>1098</v>
      </c>
      <c r="B49" s="437"/>
      <c r="C49" s="89"/>
      <c r="D49" s="438"/>
      <c r="E49" s="89"/>
    </row>
    <row r="50" spans="1:5" x14ac:dyDescent="0.25">
      <c r="A50" s="320" t="s">
        <v>909</v>
      </c>
      <c r="B50" s="437" t="s">
        <v>223</v>
      </c>
      <c r="C50" s="89"/>
      <c r="D50" s="442">
        <f t="array" ref="D50">((SUM(IF((CkDJ[Date]&lt;=$A$7)*(CkDJ[Account Code]=(TRIM($B50))),CkDJ[Debit])))+(SUM(IF((CsDJ[Date]&lt;=$A$7)*(CsDJ[Account Code]=(TRIM($B50))),CsDJ[Debit])))+(SUM(IF((CRDJ[Date]&lt;=$A$7)*(CRDJ[Account Code]=(TRIM($B50))),CRDJ[Debit])))+(SUM(IF((GJ[Date]&lt;=$A$7)*(GJ[Account Code]=(TRIM($B50))),GJ[Debit]))))-((SUM(IF((CkDJ[Date]&lt;=$A$7)*(CkDJ[Account Code]=(TRIM($B50))),CkDJ[Credit])))+(SUM(IF((CsDJ[Date]&lt;=$A$7)*(CsDJ[Account Code]=(TRIM($B50))),CsDJ[Credit])))+(SUM(IF((CRDJ[Date]&lt;=$A$7)*(CRDJ[Account Code]=(TRIM($B50))),CRDJ[Credit])))+(SUM(IF((GJ[Date]&lt;=$A$7)*(GJ[Account Code]=(TRIM($B50))),GJ[Credit]))))</f>
        <v>0</v>
      </c>
      <c r="E50" s="89"/>
    </row>
    <row r="51" spans="1:5" x14ac:dyDescent="0.25">
      <c r="A51" s="320" t="s">
        <v>1099</v>
      </c>
      <c r="B51" s="437" t="s">
        <v>224</v>
      </c>
      <c r="C51" s="89"/>
      <c r="D51" s="442">
        <f t="array" ref="D51">((SUM(IF((CkDJ[Date]&lt;=$A$7)*(CkDJ[Account Code]=(TRIM($B51))),CkDJ[Debit])))+(SUM(IF((CsDJ[Date]&lt;=$A$7)*(CsDJ[Account Code]=(TRIM($B51))),CsDJ[Debit])))+(SUM(IF((CRDJ[Date]&lt;=$A$7)*(CRDJ[Account Code]=(TRIM($B51))),CRDJ[Debit])))+(SUM(IF((GJ[Date]&lt;=$A$7)*(GJ[Account Code]=(TRIM($B51))),GJ[Debit]))))-((SUM(IF((CkDJ[Date]&lt;=$A$7)*(CkDJ[Account Code]=(TRIM($B51))),CkDJ[Credit])))+(SUM(IF((CsDJ[Date]&lt;=$A$7)*(CsDJ[Account Code]=(TRIM($B51))),CsDJ[Credit])))+(SUM(IF((CRDJ[Date]&lt;=$A$7)*(CRDJ[Account Code]=(TRIM($B51))),CRDJ[Credit])))+(SUM(IF((GJ[Date]&lt;=$A$7)*(GJ[Account Code]=(TRIM($B51))),GJ[Credit]))))</f>
        <v>0</v>
      </c>
      <c r="E51" s="89"/>
    </row>
    <row r="52" spans="1:5" x14ac:dyDescent="0.25">
      <c r="A52" s="320" t="s">
        <v>1100</v>
      </c>
      <c r="B52" s="437"/>
      <c r="C52" s="89"/>
      <c r="D52" s="439">
        <f>SUM(D53:D60)</f>
        <v>0</v>
      </c>
      <c r="E52" s="89"/>
    </row>
    <row r="53" spans="1:5" x14ac:dyDescent="0.25">
      <c r="A53" s="440" t="s">
        <v>1101</v>
      </c>
      <c r="B53" s="441" t="s">
        <v>225</v>
      </c>
      <c r="C53" s="89"/>
      <c r="D53" s="442">
        <f t="array" ref="D53">((SUM(IF((CkDJ[Date]&lt;=$A$7)*(CkDJ[Account Code]=(TRIM($B53))),CkDJ[Debit])))+(SUM(IF((CsDJ[Date]&lt;=$A$7)*(CsDJ[Account Code]=(TRIM($B53))),CsDJ[Debit])))+(SUM(IF((CRDJ[Date]&lt;=$A$7)*(CRDJ[Account Code]=(TRIM($B53))),CRDJ[Debit])))+(SUM(IF((GJ[Date]&lt;=$A$7)*(GJ[Account Code]=(TRIM($B53))),GJ[Debit]))))-((SUM(IF((CkDJ[Date]&lt;=$A$7)*(CkDJ[Account Code]=(TRIM($B53))),CkDJ[Credit])))+(SUM(IF((CsDJ[Date]&lt;=$A$7)*(CsDJ[Account Code]=(TRIM($B53))),CsDJ[Credit])))+(SUM(IF((CRDJ[Date]&lt;=$A$7)*(CRDJ[Account Code]=(TRIM($B53))),CRDJ[Credit])))+(SUM(IF((GJ[Date]&lt;=$A$7)*(GJ[Account Code]=(TRIM($B53))),GJ[Credit]))))</f>
        <v>0</v>
      </c>
      <c r="E53" s="89"/>
    </row>
    <row r="54" spans="1:5" x14ac:dyDescent="0.25">
      <c r="A54" s="440" t="s">
        <v>913</v>
      </c>
      <c r="B54" s="441" t="s">
        <v>226</v>
      </c>
      <c r="C54" s="89"/>
      <c r="D54" s="442">
        <f t="array" ref="D54">((SUM(IF((CkDJ[Date]&lt;=$A$7)*(CkDJ[Account Code]=(TRIM($B54))),CkDJ[Debit])))+(SUM(IF((CsDJ[Date]&lt;=$A$7)*(CsDJ[Account Code]=(TRIM($B54))),CsDJ[Debit])))+(SUM(IF((CRDJ[Date]&lt;=$A$7)*(CRDJ[Account Code]=(TRIM($B54))),CRDJ[Debit])))+(SUM(IF((GJ[Date]&lt;=$A$7)*(GJ[Account Code]=(TRIM($B54))),GJ[Debit]))))-((SUM(IF((CkDJ[Date]&lt;=$A$7)*(CkDJ[Account Code]=(TRIM($B54))),CkDJ[Credit])))+(SUM(IF((CsDJ[Date]&lt;=$A$7)*(CsDJ[Account Code]=(TRIM($B54))),CsDJ[Credit])))+(SUM(IF((CRDJ[Date]&lt;=$A$7)*(CRDJ[Account Code]=(TRIM($B54))),CRDJ[Credit])))+(SUM(IF((GJ[Date]&lt;=$A$7)*(GJ[Account Code]=(TRIM($B54))),GJ[Credit]))))</f>
        <v>0</v>
      </c>
      <c r="E54" s="89"/>
    </row>
    <row r="55" spans="1:5" x14ac:dyDescent="0.25">
      <c r="A55" s="440" t="s">
        <v>1102</v>
      </c>
      <c r="B55" s="441" t="s">
        <v>227</v>
      </c>
      <c r="C55" s="89"/>
      <c r="D55" s="442">
        <f t="array" ref="D55">((SUM(IF((CkDJ[Date]&lt;=$A$7)*(CkDJ[Account Code]=(TRIM($B55))),CkDJ[Debit])))+(SUM(IF((CsDJ[Date]&lt;=$A$7)*(CsDJ[Account Code]=(TRIM($B55))),CsDJ[Debit])))+(SUM(IF((CRDJ[Date]&lt;=$A$7)*(CRDJ[Account Code]=(TRIM($B55))),CRDJ[Debit])))+(SUM(IF((GJ[Date]&lt;=$A$7)*(GJ[Account Code]=(TRIM($B55))),GJ[Debit]))))-((SUM(IF((CkDJ[Date]&lt;=$A$7)*(CkDJ[Account Code]=(TRIM($B55))),CkDJ[Credit])))+(SUM(IF((CsDJ[Date]&lt;=$A$7)*(CsDJ[Account Code]=(TRIM($B55))),CsDJ[Credit])))+(SUM(IF((CRDJ[Date]&lt;=$A$7)*(CRDJ[Account Code]=(TRIM($B55))),CRDJ[Credit])))+(SUM(IF((GJ[Date]&lt;=$A$7)*(GJ[Account Code]=(TRIM($B55))),GJ[Credit]))))</f>
        <v>0</v>
      </c>
      <c r="E55" s="89"/>
    </row>
    <row r="56" spans="1:5" x14ac:dyDescent="0.25">
      <c r="A56" s="440" t="s">
        <v>915</v>
      </c>
      <c r="B56" s="441" t="s">
        <v>228</v>
      </c>
      <c r="C56" s="89"/>
      <c r="D56" s="442">
        <f t="array" ref="D56">((SUM(IF((CkDJ[Date]&lt;=$A$7)*(CkDJ[Account Code]=(TRIM($B56))),CkDJ[Debit])))+(SUM(IF((CsDJ[Date]&lt;=$A$7)*(CsDJ[Account Code]=(TRIM($B56))),CsDJ[Debit])))+(SUM(IF((CRDJ[Date]&lt;=$A$7)*(CRDJ[Account Code]=(TRIM($B56))),CRDJ[Debit])))+(SUM(IF((GJ[Date]&lt;=$A$7)*(GJ[Account Code]=(TRIM($B56))),GJ[Debit]))))-((SUM(IF((CkDJ[Date]&lt;=$A$7)*(CkDJ[Account Code]=(TRIM($B56))),CkDJ[Credit])))+(SUM(IF((CsDJ[Date]&lt;=$A$7)*(CsDJ[Account Code]=(TRIM($B56))),CsDJ[Credit])))+(SUM(IF((CRDJ[Date]&lt;=$A$7)*(CRDJ[Account Code]=(TRIM($B56))),CRDJ[Credit])))+(SUM(IF((GJ[Date]&lt;=$A$7)*(GJ[Account Code]=(TRIM($B56))),GJ[Credit]))))</f>
        <v>0</v>
      </c>
      <c r="E56" s="89"/>
    </row>
    <row r="57" spans="1:5" x14ac:dyDescent="0.25">
      <c r="A57" s="440" t="s">
        <v>1103</v>
      </c>
      <c r="B57" s="441" t="s">
        <v>229</v>
      </c>
      <c r="C57" s="89"/>
      <c r="D57" s="442">
        <f t="array" ref="D57">((SUM(IF((CkDJ[Date]&lt;=$A$7)*(CkDJ[Account Code]=(TRIM($B57))),CkDJ[Debit])))+(SUM(IF((CsDJ[Date]&lt;=$A$7)*(CsDJ[Account Code]=(TRIM($B57))),CsDJ[Debit])))+(SUM(IF((CRDJ[Date]&lt;=$A$7)*(CRDJ[Account Code]=(TRIM($B57))),CRDJ[Debit])))+(SUM(IF((GJ[Date]&lt;=$A$7)*(GJ[Account Code]=(TRIM($B57))),GJ[Debit]))))-((SUM(IF((CkDJ[Date]&lt;=$A$7)*(CkDJ[Account Code]=(TRIM($B57))),CkDJ[Credit])))+(SUM(IF((CsDJ[Date]&lt;=$A$7)*(CsDJ[Account Code]=(TRIM($B57))),CsDJ[Credit])))+(SUM(IF((CRDJ[Date]&lt;=$A$7)*(CRDJ[Account Code]=(TRIM($B57))),CRDJ[Credit])))+(SUM(IF((GJ[Date]&lt;=$A$7)*(GJ[Account Code]=(TRIM($B57))),GJ[Credit]))))</f>
        <v>0</v>
      </c>
      <c r="E57" s="89"/>
    </row>
    <row r="58" spans="1:5" x14ac:dyDescent="0.25">
      <c r="A58" s="440" t="s">
        <v>1104</v>
      </c>
      <c r="B58" s="441" t="s">
        <v>230</v>
      </c>
      <c r="C58" s="89"/>
      <c r="D58" s="442">
        <f t="array" ref="D58">((SUM(IF((CkDJ[Date]&lt;=$A$7)*(CkDJ[Account Code]=(TRIM($B58))),CkDJ[Debit])))+(SUM(IF((CsDJ[Date]&lt;=$A$7)*(CsDJ[Account Code]=(TRIM($B58))),CsDJ[Debit])))+(SUM(IF((CRDJ[Date]&lt;=$A$7)*(CRDJ[Account Code]=(TRIM($B58))),CRDJ[Debit])))+(SUM(IF((GJ[Date]&lt;=$A$7)*(GJ[Account Code]=(TRIM($B58))),GJ[Debit]))))-((SUM(IF((CkDJ[Date]&lt;=$A$7)*(CkDJ[Account Code]=(TRIM($B58))),CkDJ[Credit])))+(SUM(IF((CsDJ[Date]&lt;=$A$7)*(CsDJ[Account Code]=(TRIM($B58))),CsDJ[Credit])))+(SUM(IF((CRDJ[Date]&lt;=$A$7)*(CRDJ[Account Code]=(TRIM($B58))),CRDJ[Credit])))+(SUM(IF((GJ[Date]&lt;=$A$7)*(GJ[Account Code]=(TRIM($B58))),GJ[Credit]))))</f>
        <v>0</v>
      </c>
      <c r="E58" s="89"/>
    </row>
    <row r="59" spans="1:5" x14ac:dyDescent="0.25">
      <c r="A59" s="440" t="s">
        <v>1105</v>
      </c>
      <c r="B59" s="441" t="s">
        <v>231</v>
      </c>
      <c r="C59" s="89"/>
      <c r="D59" s="442">
        <f t="array" ref="D59">((SUM(IF((CkDJ[Date]&lt;=$A$7)*(CkDJ[Account Code]=(TRIM($B59))),CkDJ[Debit])))+(SUM(IF((CsDJ[Date]&lt;=$A$7)*(CsDJ[Account Code]=(TRIM($B59))),CsDJ[Debit])))+(SUM(IF((CRDJ[Date]&lt;=$A$7)*(CRDJ[Account Code]=(TRIM($B59))),CRDJ[Debit])))+(SUM(IF((GJ[Date]&lt;=$A$7)*(GJ[Account Code]=(TRIM($B59))),GJ[Debit]))))-((SUM(IF((CkDJ[Date]&lt;=$A$7)*(CkDJ[Account Code]=(TRIM($B59))),CkDJ[Credit])))+(SUM(IF((CsDJ[Date]&lt;=$A$7)*(CsDJ[Account Code]=(TRIM($B59))),CsDJ[Credit])))+(SUM(IF((CRDJ[Date]&lt;=$A$7)*(CRDJ[Account Code]=(TRIM($B59))),CRDJ[Credit])))+(SUM(IF((GJ[Date]&lt;=$A$7)*(GJ[Account Code]=(TRIM($B59))),GJ[Credit]))))</f>
        <v>0</v>
      </c>
      <c r="E59" s="89"/>
    </row>
    <row r="60" spans="1:5" x14ac:dyDescent="0.25">
      <c r="A60" s="440" t="s">
        <v>1106</v>
      </c>
      <c r="B60" s="441"/>
      <c r="C60" s="89"/>
      <c r="D60" s="438"/>
      <c r="E60" s="89"/>
    </row>
    <row r="61" spans="1:5" x14ac:dyDescent="0.25">
      <c r="A61" s="320" t="s">
        <v>919</v>
      </c>
      <c r="B61" s="437"/>
      <c r="C61" s="89"/>
      <c r="D61" s="450">
        <f>SUM(D62+D63)</f>
        <v>0</v>
      </c>
      <c r="E61" s="89"/>
    </row>
    <row r="62" spans="1:5" x14ac:dyDescent="0.25">
      <c r="A62" s="440" t="s">
        <v>920</v>
      </c>
      <c r="B62" s="441" t="s">
        <v>232</v>
      </c>
      <c r="C62" s="89"/>
      <c r="D62" s="442">
        <f t="array" ref="D62">((SUM(IF((CkDJ[Date]&lt;=$A$7)*(CkDJ[Account Code]=(TRIM($B62))),CkDJ[Debit])))+(SUM(IF((CsDJ[Date]&lt;=$A$7)*(CsDJ[Account Code]=(TRIM($B62))),CsDJ[Debit])))+(SUM(IF((CRDJ[Date]&lt;=$A$7)*(CRDJ[Account Code]=(TRIM($B62))),CRDJ[Debit])))+(SUM(IF((GJ[Date]&lt;=$A$7)*(GJ[Account Code]=(TRIM($B62))),GJ[Debit]))))-((SUM(IF((CkDJ[Date]&lt;=$A$7)*(CkDJ[Account Code]=(TRIM($B62))),CkDJ[Credit])))+(SUM(IF((CsDJ[Date]&lt;=$A$7)*(CsDJ[Account Code]=(TRIM($B62))),CsDJ[Credit])))+(SUM(IF((CRDJ[Date]&lt;=$A$7)*(CRDJ[Account Code]=(TRIM($B62))),CRDJ[Credit])))+(SUM(IF((GJ[Date]&lt;=$A$7)*(GJ[Account Code]=(TRIM($B62))),GJ[Credit]))))</f>
        <v>0</v>
      </c>
      <c r="E62" s="89"/>
    </row>
    <row r="63" spans="1:5" x14ac:dyDescent="0.25">
      <c r="A63" s="440" t="s">
        <v>1107</v>
      </c>
      <c r="B63" s="441"/>
      <c r="C63" s="89"/>
      <c r="D63" s="438">
        <f>SUM(D64:D65)</f>
        <v>0</v>
      </c>
      <c r="E63" s="89"/>
    </row>
    <row r="64" spans="1:5" x14ac:dyDescent="0.25">
      <c r="A64" s="451" t="s">
        <v>1108</v>
      </c>
      <c r="B64" s="441" t="s">
        <v>233</v>
      </c>
      <c r="C64" s="89"/>
      <c r="D64" s="442">
        <f t="array" ref="D64">((SUM(IF((CkDJ[Date]&lt;=$A$7)*(CkDJ[Account Code]=(TRIM($B64))),CkDJ[Debit])))+(SUM(IF((CsDJ[Date]&lt;=$A$7)*(CsDJ[Account Code]=(TRIM($B64))),CsDJ[Debit])))+(SUM(IF((CRDJ[Date]&lt;=$A$7)*(CRDJ[Account Code]=(TRIM($B64))),CRDJ[Debit])))+(SUM(IF((GJ[Date]&lt;=$A$7)*(GJ[Account Code]=(TRIM($B64))),GJ[Debit]))))-((SUM(IF((CkDJ[Date]&lt;=$A$7)*(CkDJ[Account Code]=(TRIM($B64))),CkDJ[Credit])))+(SUM(IF((CsDJ[Date]&lt;=$A$7)*(CsDJ[Account Code]=(TRIM($B64))),CsDJ[Credit])))+(SUM(IF((CRDJ[Date]&lt;=$A$7)*(CRDJ[Account Code]=(TRIM($B64))),CRDJ[Credit])))+(SUM(IF((GJ[Date]&lt;=$A$7)*(GJ[Account Code]=(TRIM($B64))),GJ[Credit]))))</f>
        <v>0</v>
      </c>
      <c r="E64" s="89"/>
    </row>
    <row r="65" spans="1:5" x14ac:dyDescent="0.25">
      <c r="A65" s="451" t="s">
        <v>1109</v>
      </c>
      <c r="B65" s="441" t="s">
        <v>991</v>
      </c>
      <c r="C65" s="89"/>
      <c r="D65" s="442">
        <f t="array" ref="D65">((SUM(IF((CkDJ[Date]&lt;=$A$7)*(CkDJ[Account Code]=(TRIM($B65))),CkDJ[Debit])))+(SUM(IF((CsDJ[Date]&lt;=$A$7)*(CsDJ[Account Code]=(TRIM($B65))),CsDJ[Debit])))+(SUM(IF((CRDJ[Date]&lt;=$A$7)*(CRDJ[Account Code]=(TRIM($B65))),CRDJ[Debit])))+(SUM(IF((GJ[Date]&lt;=$A$7)*(GJ[Account Code]=(TRIM($B65))),GJ[Debit]))))-((SUM(IF((CkDJ[Date]&lt;=$A$7)*(CkDJ[Account Code]=(TRIM($B65))),CkDJ[Credit])))+(SUM(IF((CsDJ[Date]&lt;=$A$7)*(CsDJ[Account Code]=(TRIM($B65))),CsDJ[Credit])))+(SUM(IF((CRDJ[Date]&lt;=$A$7)*(CRDJ[Account Code]=(TRIM($B65))),CRDJ[Credit])))+(SUM(IF((GJ[Date]&lt;=$A$7)*(GJ[Account Code]=(TRIM($B65))),GJ[Credit]))))</f>
        <v>0</v>
      </c>
      <c r="E65" s="89"/>
    </row>
    <row r="66" spans="1:5" x14ac:dyDescent="0.25">
      <c r="A66" s="320" t="s">
        <v>1110</v>
      </c>
      <c r="B66" s="437"/>
      <c r="C66" s="89"/>
      <c r="D66" s="439">
        <f>SUM(D67:D69)</f>
        <v>0</v>
      </c>
      <c r="E66" s="89"/>
    </row>
    <row r="67" spans="1:5" x14ac:dyDescent="0.25">
      <c r="A67" s="440" t="s">
        <v>1144</v>
      </c>
      <c r="B67" s="61" t="s">
        <v>235</v>
      </c>
      <c r="C67" s="89"/>
      <c r="D67" s="442">
        <f t="array" ref="D67">((SUM(IF((CkDJ[Date]&lt;=$A$7)*(CkDJ[Account Code]=(TRIM($B67))),CkDJ[Debit])))+(SUM(IF((CsDJ[Date]&lt;=$A$7)*(CsDJ[Account Code]=(TRIM($B67))),CsDJ[Debit])))+(SUM(IF((CRDJ[Date]&lt;=$A$7)*(CRDJ[Account Code]=(TRIM($B67))),CRDJ[Debit])))+(SUM(IF((GJ[Date]&lt;=$A$7)*(GJ[Account Code]=(TRIM($B67))),GJ[Debit]))))-((SUM(IF((CkDJ[Date]&lt;=$A$7)*(CkDJ[Account Code]=(TRIM($B67))),CkDJ[Credit])))+(SUM(IF((CsDJ[Date]&lt;=$A$7)*(CsDJ[Account Code]=(TRIM($B67))),CsDJ[Credit])))+(SUM(IF((CRDJ[Date]&lt;=$A$7)*(CRDJ[Account Code]=(TRIM($B67))),CRDJ[Credit])))+(SUM(IF((GJ[Date]&lt;=$A$7)*(GJ[Account Code]=(TRIM($B67))),GJ[Credit]))))</f>
        <v>0</v>
      </c>
      <c r="E67" s="89"/>
    </row>
    <row r="68" spans="1:5" x14ac:dyDescent="0.25">
      <c r="A68" s="440" t="s">
        <v>1145</v>
      </c>
      <c r="B68" s="61" t="s">
        <v>236</v>
      </c>
      <c r="C68" s="89"/>
      <c r="D68" s="442">
        <f t="array" ref="D68">((SUM(IF((CkDJ[Date]&lt;=$A$7)*(CkDJ[Account Code]=(TRIM($B68))),CkDJ[Debit])))+(SUM(IF((CsDJ[Date]&lt;=$A$7)*(CsDJ[Account Code]=(TRIM($B68))),CsDJ[Debit])))+(SUM(IF((CRDJ[Date]&lt;=$A$7)*(CRDJ[Account Code]=(TRIM($B68))),CRDJ[Debit])))+(SUM(IF((GJ[Date]&lt;=$A$7)*(GJ[Account Code]=(TRIM($B68))),GJ[Debit]))))-((SUM(IF((CkDJ[Date]&lt;=$A$7)*(CkDJ[Account Code]=(TRIM($B68))),CkDJ[Credit])))+(SUM(IF((CsDJ[Date]&lt;=$A$7)*(CsDJ[Account Code]=(TRIM($B68))),CsDJ[Credit])))+(SUM(IF((CRDJ[Date]&lt;=$A$7)*(CRDJ[Account Code]=(TRIM($B68))),CRDJ[Credit])))+(SUM(IF((GJ[Date]&lt;=$A$7)*(GJ[Account Code]=(TRIM($B68))),GJ[Credit]))))</f>
        <v>0</v>
      </c>
      <c r="E68" s="89"/>
    </row>
    <row r="69" spans="1:5" x14ac:dyDescent="0.25">
      <c r="A69" s="440" t="s">
        <v>1147</v>
      </c>
      <c r="B69" s="61" t="s">
        <v>237</v>
      </c>
      <c r="C69" s="89"/>
      <c r="D69" s="442">
        <f t="array" ref="D69">((SUM(IF((CkDJ[Date]&lt;=$A$7)*(CkDJ[Account Code]=(TRIM($B69))),CkDJ[Debit])))+(SUM(IF((CsDJ[Date]&lt;=$A$7)*(CsDJ[Account Code]=(TRIM($B69))),CsDJ[Debit])))+(SUM(IF((CRDJ[Date]&lt;=$A$7)*(CRDJ[Account Code]=(TRIM($B69))),CRDJ[Debit])))+(SUM(IF((GJ[Date]&lt;=$A$7)*(GJ[Account Code]=(TRIM($B69))),GJ[Debit]))))-((SUM(IF((CkDJ[Date]&lt;=$A$7)*(CkDJ[Account Code]=(TRIM($B69))),CkDJ[Credit])))+(SUM(IF((CsDJ[Date]&lt;=$A$7)*(CsDJ[Account Code]=(TRIM($B69))),CsDJ[Credit])))+(SUM(IF((CRDJ[Date]&lt;=$A$7)*(CRDJ[Account Code]=(TRIM($B69))),CRDJ[Credit])))+(SUM(IF((GJ[Date]&lt;=$A$7)*(GJ[Account Code]=(TRIM($B69))),GJ[Credit]))))</f>
        <v>0</v>
      </c>
      <c r="E69" s="89"/>
    </row>
    <row r="70" spans="1:5" x14ac:dyDescent="0.25">
      <c r="A70" s="320" t="s">
        <v>1111</v>
      </c>
      <c r="B70" s="437" t="s">
        <v>239</v>
      </c>
      <c r="C70" s="89"/>
      <c r="D70" s="442">
        <f t="array" ref="D70">((SUM(IF((CkDJ[Date]&lt;=$A$7)*(CkDJ[Account Code]=(TRIM($B70))),CkDJ[Debit])))+(SUM(IF((CsDJ[Date]&lt;=$A$7)*(CsDJ[Account Code]=(TRIM($B70))),CsDJ[Debit])))+(SUM(IF((CRDJ[Date]&lt;=$A$7)*(CRDJ[Account Code]=(TRIM($B70))),CRDJ[Debit])))+(SUM(IF((GJ[Date]&lt;=$A$7)*(GJ[Account Code]=(TRIM($B70))),GJ[Debit]))))-((SUM(IF((CkDJ[Date]&lt;=$A$7)*(CkDJ[Account Code]=(TRIM($B70))),CkDJ[Credit])))+(SUM(IF((CsDJ[Date]&lt;=$A$7)*(CsDJ[Account Code]=(TRIM($B70))),CsDJ[Credit])))+(SUM(IF((CRDJ[Date]&lt;=$A$7)*(CRDJ[Account Code]=(TRIM($B70))),CRDJ[Credit])))+(SUM(IF((GJ[Date]&lt;=$A$7)*(GJ[Account Code]=(TRIM($B70))),GJ[Credit]))))</f>
        <v>0</v>
      </c>
      <c r="E70" s="89"/>
    </row>
    <row r="71" spans="1:5" x14ac:dyDescent="0.25">
      <c r="A71" s="320" t="s">
        <v>931</v>
      </c>
      <c r="B71" s="437" t="s">
        <v>240</v>
      </c>
      <c r="C71" s="89"/>
      <c r="D71" s="442">
        <f t="array" ref="D71">((SUM(IF((CkDJ[Date]&lt;=$A$7)*(CkDJ[Account Code]=(TRIM($B71))),CkDJ[Debit])))+(SUM(IF((CsDJ[Date]&lt;=$A$7)*(CsDJ[Account Code]=(TRIM($B71))),CsDJ[Debit])))+(SUM(IF((CRDJ[Date]&lt;=$A$7)*(CRDJ[Account Code]=(TRIM($B71))),CRDJ[Debit])))+(SUM(IF((GJ[Date]&lt;=$A$7)*(GJ[Account Code]=(TRIM($B71))),GJ[Debit]))))-((SUM(IF((CkDJ[Date]&lt;=$A$7)*(CkDJ[Account Code]=(TRIM($B71))),CkDJ[Credit])))+(SUM(IF((CsDJ[Date]&lt;=$A$7)*(CsDJ[Account Code]=(TRIM($B71))),CsDJ[Credit])))+(SUM(IF((CRDJ[Date]&lt;=$A$7)*(CRDJ[Account Code]=(TRIM($B71))),CRDJ[Credit])))+(SUM(IF((GJ[Date]&lt;=$A$7)*(GJ[Account Code]=(TRIM($B71))),GJ[Credit]))))</f>
        <v>0</v>
      </c>
      <c r="E71" s="89"/>
    </row>
    <row r="72" spans="1:5" x14ac:dyDescent="0.25">
      <c r="A72" s="320" t="s">
        <v>1112</v>
      </c>
      <c r="B72" s="437" t="s">
        <v>241</v>
      </c>
      <c r="C72" s="89"/>
      <c r="D72" s="442">
        <f t="array" ref="D72">((SUM(IF((CkDJ[Date]&lt;=$A$7)*(CkDJ[Account Code]=(TRIM($B72))),CkDJ[Debit])))+(SUM(IF((CsDJ[Date]&lt;=$A$7)*(CsDJ[Account Code]=(TRIM($B72))),CsDJ[Debit])))+(SUM(IF((CRDJ[Date]&lt;=$A$7)*(CRDJ[Account Code]=(TRIM($B72))),CRDJ[Debit])))+(SUM(IF((GJ[Date]&lt;=$A$7)*(GJ[Account Code]=(TRIM($B72))),GJ[Debit]))))-((SUM(IF((CkDJ[Date]&lt;=$A$7)*(CkDJ[Account Code]=(TRIM($B72))),CkDJ[Credit])))+(SUM(IF((CsDJ[Date]&lt;=$A$7)*(CsDJ[Account Code]=(TRIM($B72))),CsDJ[Credit])))+(SUM(IF((CRDJ[Date]&lt;=$A$7)*(CRDJ[Account Code]=(TRIM($B72))),CRDJ[Credit])))+(SUM(IF((GJ[Date]&lt;=$A$7)*(GJ[Account Code]=(TRIM($B72))),GJ[Credit]))))</f>
        <v>0</v>
      </c>
      <c r="E72" s="89"/>
    </row>
    <row r="73" spans="1:5" x14ac:dyDescent="0.25">
      <c r="A73" s="320" t="s">
        <v>1113</v>
      </c>
      <c r="B73" s="437" t="s">
        <v>242</v>
      </c>
      <c r="C73" s="89"/>
      <c r="D73" s="442">
        <f t="array" ref="D73">((SUM(IF((CkDJ[Date]&lt;=$A$7)*(CkDJ[Account Code]=(TRIM($B73))),CkDJ[Debit])))+(SUM(IF((CsDJ[Date]&lt;=$A$7)*(CsDJ[Account Code]=(TRIM($B73))),CsDJ[Debit])))+(SUM(IF((CRDJ[Date]&lt;=$A$7)*(CRDJ[Account Code]=(TRIM($B73))),CRDJ[Debit])))+(SUM(IF((GJ[Date]&lt;=$A$7)*(GJ[Account Code]=(TRIM($B73))),GJ[Debit]))))-((SUM(IF((CkDJ[Date]&lt;=$A$7)*(CkDJ[Account Code]=(TRIM($B73))),CkDJ[Credit])))+(SUM(IF((CsDJ[Date]&lt;=$A$7)*(CsDJ[Account Code]=(TRIM($B73))),CsDJ[Credit])))+(SUM(IF((CRDJ[Date]&lt;=$A$7)*(CRDJ[Account Code]=(TRIM($B73))),CRDJ[Credit])))+(SUM(IF((GJ[Date]&lt;=$A$7)*(GJ[Account Code]=(TRIM($B73))),GJ[Credit]))))</f>
        <v>0</v>
      </c>
      <c r="E73" s="89"/>
    </row>
    <row r="74" spans="1:5" x14ac:dyDescent="0.25">
      <c r="A74" s="320" t="s">
        <v>934</v>
      </c>
      <c r="B74" s="437" t="s">
        <v>243</v>
      </c>
      <c r="C74" s="89"/>
      <c r="D74" s="442">
        <f t="array" ref="D74">((SUM(IF((CkDJ[Date]&lt;=$A$7)*(CkDJ[Account Code]=(TRIM($B74))),CkDJ[Debit])))+(SUM(IF((CsDJ[Date]&lt;=$A$7)*(CsDJ[Account Code]=(TRIM($B74))),CsDJ[Debit])))+(SUM(IF((CRDJ[Date]&lt;=$A$7)*(CRDJ[Account Code]=(TRIM($B74))),CRDJ[Debit])))+(SUM(IF((GJ[Date]&lt;=$A$7)*(GJ[Account Code]=(TRIM($B74))),GJ[Debit]))))-((SUM(IF((CkDJ[Date]&lt;=$A$7)*(CkDJ[Account Code]=(TRIM($B74))),CkDJ[Credit])))+(SUM(IF((CsDJ[Date]&lt;=$A$7)*(CsDJ[Account Code]=(TRIM($B74))),CsDJ[Credit])))+(SUM(IF((CRDJ[Date]&lt;=$A$7)*(CRDJ[Account Code]=(TRIM($B74))),CRDJ[Credit])))+(SUM(IF((GJ[Date]&lt;=$A$7)*(GJ[Account Code]=(TRIM($B74))),GJ[Credit]))))</f>
        <v>0</v>
      </c>
      <c r="E74" s="89"/>
    </row>
    <row r="75" spans="1:5" x14ac:dyDescent="0.25">
      <c r="A75" s="320" t="s">
        <v>1160</v>
      </c>
      <c r="B75" s="437" t="s">
        <v>234</v>
      </c>
      <c r="C75" s="89"/>
      <c r="D75" s="442">
        <f t="array" ref="D75">((SUM(IF((CkDJ[Date]&lt;=$A$7)*(CkDJ[Account Code]=(TRIM($B75))),CkDJ[Debit])))+(SUM(IF((CsDJ[Date]&lt;=$A$7)*(CsDJ[Account Code]=(TRIM($B75))),CsDJ[Debit])))+(SUM(IF((CRDJ[Date]&lt;=$A$7)*(CRDJ[Account Code]=(TRIM($B75))),CRDJ[Debit])))+(SUM(IF((GJ[Date]&lt;=$A$7)*(GJ[Account Code]=(TRIM($B75))),GJ[Debit]))))-((SUM(IF((CkDJ[Date]&lt;=$A$7)*(CkDJ[Account Code]=(TRIM($B75))),CkDJ[Credit])))+(SUM(IF((CsDJ[Date]&lt;=$A$7)*(CsDJ[Account Code]=(TRIM($B75))),CsDJ[Credit])))+(SUM(IF((CRDJ[Date]&lt;=$A$7)*(CRDJ[Account Code]=(TRIM($B75))),CRDJ[Credit])))+(SUM(IF((GJ[Date]&lt;=$A$7)*(GJ[Account Code]=(TRIM($B75))),GJ[Credit]))))</f>
        <v>0</v>
      </c>
      <c r="E75" s="89"/>
    </row>
    <row r="76" spans="1:5" x14ac:dyDescent="0.25">
      <c r="A76" s="320" t="s">
        <v>936</v>
      </c>
      <c r="B76" s="437"/>
      <c r="C76" s="89"/>
      <c r="D76" s="442">
        <f t="array" ref="D76">((SUM(IF((CkDJ[Date]&lt;=$A$7)*(CkDJ[Account Code]=(TRIM($B76))),CkDJ[Debit])))+(SUM(IF((CsDJ[Date]&lt;=$A$7)*(CsDJ[Account Code]=(TRIM($B76))),CsDJ[Debit])))+(SUM(IF((CRDJ[Date]&lt;=$A$7)*(CRDJ[Account Code]=(TRIM($B76))),CRDJ[Debit])))+(SUM(IF((GJ[Date]&lt;=$A$7)*(GJ[Account Code]=(TRIM($B76))),GJ[Debit]))))-((SUM(IF((CkDJ[Date]&lt;=$A$7)*(CkDJ[Account Code]=(TRIM($B76))),CkDJ[Credit])))+(SUM(IF((CsDJ[Date]&lt;=$A$7)*(CsDJ[Account Code]=(TRIM($B76))),CsDJ[Credit])))+(SUM(IF((CRDJ[Date]&lt;=$A$7)*(CRDJ[Account Code]=(TRIM($B76))),CRDJ[Credit])))+(SUM(IF((GJ[Date]&lt;=$A$7)*(GJ[Account Code]=(TRIM($B76))),GJ[Credit]))))</f>
        <v>0</v>
      </c>
      <c r="E76" s="89"/>
    </row>
    <row r="77" spans="1:5" x14ac:dyDescent="0.25">
      <c r="A77" s="320" t="s">
        <v>937</v>
      </c>
      <c r="B77" s="437" t="s">
        <v>339</v>
      </c>
      <c r="C77" s="89"/>
      <c r="D77" s="442">
        <f t="array" ref="D77">((SUM(IF((CkDJ[Date]&lt;=$A$7)*(CkDJ[Account Code]=(TRIM($B77))),CkDJ[Debit])))+(SUM(IF((CsDJ[Date]&lt;=$A$7)*(CsDJ[Account Code]=(TRIM($B77))),CsDJ[Debit])))+(SUM(IF((CRDJ[Date]&lt;=$A$7)*(CRDJ[Account Code]=(TRIM($B77))),CRDJ[Debit])))+(SUM(IF((GJ[Date]&lt;=$A$7)*(GJ[Account Code]=(TRIM($B77))),GJ[Debit]))))-((SUM(IF((CkDJ[Date]&lt;=$A$7)*(CkDJ[Account Code]=(TRIM($B77))),CkDJ[Credit])))+(SUM(IF((CsDJ[Date]&lt;=$A$7)*(CsDJ[Account Code]=(TRIM($B77))),CsDJ[Credit])))+(SUM(IF((CRDJ[Date]&lt;=$A$7)*(CRDJ[Account Code]=(TRIM($B77))),CRDJ[Credit])))+(SUM(IF((GJ[Date]&lt;=$A$7)*(GJ[Account Code]=(TRIM($B77))),GJ[Credit]))))</f>
        <v>0</v>
      </c>
      <c r="E77" s="89"/>
    </row>
    <row r="78" spans="1:5" x14ac:dyDescent="0.25">
      <c r="A78" s="320" t="s">
        <v>1114</v>
      </c>
      <c r="B78" s="437"/>
      <c r="C78" s="89"/>
      <c r="D78" s="439">
        <f>SUM(D79:D86)</f>
        <v>0</v>
      </c>
      <c r="E78" s="89"/>
    </row>
    <row r="79" spans="1:5" x14ac:dyDescent="0.25">
      <c r="A79" s="440" t="s">
        <v>1115</v>
      </c>
      <c r="B79" s="441" t="s">
        <v>246</v>
      </c>
      <c r="C79" s="89"/>
      <c r="D79" s="442">
        <f t="array" ref="D79">((SUM(IF((CkDJ[Date]&lt;=$A$7)*(CkDJ[Account Code]=(TRIM($B79))),CkDJ[Debit])))+(SUM(IF((CsDJ[Date]&lt;=$A$7)*(CsDJ[Account Code]=(TRIM($B79))),CsDJ[Debit])))+(SUM(IF((CRDJ[Date]&lt;=$A$7)*(CRDJ[Account Code]=(TRIM($B79))),CRDJ[Debit])))+(SUM(IF((GJ[Date]&lt;=$A$7)*(GJ[Account Code]=(TRIM($B79))),GJ[Debit]))))-((SUM(IF((CkDJ[Date]&lt;=$A$7)*(CkDJ[Account Code]=(TRIM($B79))),CkDJ[Credit])))+(SUM(IF((CsDJ[Date]&lt;=$A$7)*(CsDJ[Account Code]=(TRIM($B79))),CsDJ[Credit])))+(SUM(IF((CRDJ[Date]&lt;=$A$7)*(CRDJ[Account Code]=(TRIM($B79))),CRDJ[Credit])))+(SUM(IF((GJ[Date]&lt;=$A$7)*(GJ[Account Code]=(TRIM($B79))),GJ[Credit]))))</f>
        <v>0</v>
      </c>
      <c r="E79" s="89"/>
    </row>
    <row r="80" spans="1:5" x14ac:dyDescent="0.25">
      <c r="A80" s="440" t="s">
        <v>941</v>
      </c>
      <c r="B80" s="441" t="s">
        <v>222</v>
      </c>
      <c r="C80" s="89"/>
      <c r="D80" s="442">
        <f t="array" ref="D80">((SUM(IF((CkDJ[Date]&lt;=$A$7)*(CkDJ[Account Code]=(TRIM($B80))),CkDJ[Debit])))+(SUM(IF((CsDJ[Date]&lt;=$A$7)*(CsDJ[Account Code]=(TRIM($B80))),CsDJ[Debit])))+(SUM(IF((CRDJ[Date]&lt;=$A$7)*(CRDJ[Account Code]=(TRIM($B80))),CRDJ[Debit])))+(SUM(IF((GJ[Date]&lt;=$A$7)*(GJ[Account Code]=(TRIM($B80))),GJ[Debit]))))-((SUM(IF((CkDJ[Date]&lt;=$A$7)*(CkDJ[Account Code]=(TRIM($B80))),CkDJ[Credit])))+(SUM(IF((CsDJ[Date]&lt;=$A$7)*(CsDJ[Account Code]=(TRIM($B80))),CsDJ[Credit])))+(SUM(IF((CRDJ[Date]&lt;=$A$7)*(CRDJ[Account Code]=(TRIM($B80))),CRDJ[Credit])))+(SUM(IF((GJ[Date]&lt;=$A$7)*(GJ[Account Code]=(TRIM($B80))),GJ[Credit]))))</f>
        <v>0</v>
      </c>
      <c r="E80" s="89"/>
    </row>
    <row r="81" spans="1:5" x14ac:dyDescent="0.25">
      <c r="A81" s="440" t="s">
        <v>942</v>
      </c>
      <c r="B81" s="441" t="s">
        <v>247</v>
      </c>
      <c r="C81" s="89"/>
      <c r="D81" s="442">
        <f t="array" ref="D81">((SUM(IF((CkDJ[Date]&lt;=$A$7)*(CkDJ[Account Code]=(TRIM($B81))),CkDJ[Debit])))+(SUM(IF((CsDJ[Date]&lt;=$A$7)*(CsDJ[Account Code]=(TRIM($B81))),CsDJ[Debit])))+(SUM(IF((CRDJ[Date]&lt;=$A$7)*(CRDJ[Account Code]=(TRIM($B81))),CRDJ[Debit])))+(SUM(IF((GJ[Date]&lt;=$A$7)*(GJ[Account Code]=(TRIM($B81))),GJ[Debit]))))-((SUM(IF((CkDJ[Date]&lt;=$A$7)*(CkDJ[Account Code]=(TRIM($B81))),CkDJ[Credit])))+(SUM(IF((CsDJ[Date]&lt;=$A$7)*(CsDJ[Account Code]=(TRIM($B81))),CsDJ[Credit])))+(SUM(IF((CRDJ[Date]&lt;=$A$7)*(CRDJ[Account Code]=(TRIM($B81))),CRDJ[Credit])))+(SUM(IF((GJ[Date]&lt;=$A$7)*(GJ[Account Code]=(TRIM($B81))),GJ[Credit]))))</f>
        <v>0</v>
      </c>
      <c r="E81" s="89"/>
    </row>
    <row r="82" spans="1:5" x14ac:dyDescent="0.25">
      <c r="A82" s="440" t="s">
        <v>1116</v>
      </c>
      <c r="B82" s="441" t="s">
        <v>799</v>
      </c>
      <c r="C82" s="89"/>
      <c r="D82" s="442">
        <f t="array" ref="D82">((SUM(IF((CkDJ[Date]&lt;=$A$7)*(CkDJ[Account Code]=(TRIM($B82))),CkDJ[Debit])))+(SUM(IF((CsDJ[Date]&lt;=$A$7)*(CsDJ[Account Code]=(TRIM($B82))),CsDJ[Debit])))+(SUM(IF((CRDJ[Date]&lt;=$A$7)*(CRDJ[Account Code]=(TRIM($B82))),CRDJ[Debit])))+(SUM(IF((GJ[Date]&lt;=$A$7)*(GJ[Account Code]=(TRIM($B82))),GJ[Debit]))))-((SUM(IF((CkDJ[Date]&lt;=$A$7)*(CkDJ[Account Code]=(TRIM($B82))),CkDJ[Credit])))+(SUM(IF((CsDJ[Date]&lt;=$A$7)*(CsDJ[Account Code]=(TRIM($B82))),CsDJ[Credit])))+(SUM(IF((CRDJ[Date]&lt;=$A$7)*(CRDJ[Account Code]=(TRIM($B82))),CRDJ[Credit])))+(SUM(IF((GJ[Date]&lt;=$A$7)*(GJ[Account Code]=(TRIM($B82))),GJ[Credit]))))</f>
        <v>0</v>
      </c>
      <c r="E82" s="89"/>
    </row>
    <row r="83" spans="1:5" x14ac:dyDescent="0.25">
      <c r="A83" s="440" t="s">
        <v>944</v>
      </c>
      <c r="B83" s="441" t="s">
        <v>799</v>
      </c>
      <c r="C83" s="89"/>
      <c r="D83" s="442">
        <f t="array" ref="D83">((SUM(IF((CkDJ[Date]&lt;=$A$7)*(CkDJ[Account Code]=(TRIM($B83))),CkDJ[Debit])))+(SUM(IF((CsDJ[Date]&lt;=$A$7)*(CsDJ[Account Code]=(TRIM($B83))),CsDJ[Debit])))+(SUM(IF((CRDJ[Date]&lt;=$A$7)*(CRDJ[Account Code]=(TRIM($B83))),CRDJ[Debit])))+(SUM(IF((GJ[Date]&lt;=$A$7)*(GJ[Account Code]=(TRIM($B83))),GJ[Debit]))))-((SUM(IF((CkDJ[Date]&lt;=$A$7)*(CkDJ[Account Code]=(TRIM($B83))),CkDJ[Credit])))+(SUM(IF((CsDJ[Date]&lt;=$A$7)*(CsDJ[Account Code]=(TRIM($B83))),CsDJ[Credit])))+(SUM(IF((CRDJ[Date]&lt;=$A$7)*(CRDJ[Account Code]=(TRIM($B83))),CRDJ[Credit])))+(SUM(IF((GJ[Date]&lt;=$A$7)*(GJ[Account Code]=(TRIM($B83))),GJ[Credit]))))</f>
        <v>0</v>
      </c>
      <c r="E83" s="89"/>
    </row>
    <row r="84" spans="1:5" x14ac:dyDescent="0.25">
      <c r="A84" s="440" t="s">
        <v>1117</v>
      </c>
      <c r="B84" s="441" t="s">
        <v>249</v>
      </c>
      <c r="C84" s="89"/>
      <c r="D84" s="442">
        <f t="array" ref="D84">((SUM(IF((CkDJ[Date]&lt;=$A$7)*(CkDJ[Account Code]=(TRIM($B84))),CkDJ[Debit])))+(SUM(IF((CsDJ[Date]&lt;=$A$7)*(CsDJ[Account Code]=(TRIM($B84))),CsDJ[Debit])))+(SUM(IF((CRDJ[Date]&lt;=$A$7)*(CRDJ[Account Code]=(TRIM($B84))),CRDJ[Debit])))+(SUM(IF((GJ[Date]&lt;=$A$7)*(GJ[Account Code]=(TRIM($B84))),GJ[Debit]))))-((SUM(IF((CkDJ[Date]&lt;=$A$7)*(CkDJ[Account Code]=(TRIM($B84))),CkDJ[Credit])))+(SUM(IF((CsDJ[Date]&lt;=$A$7)*(CsDJ[Account Code]=(TRIM($B84))),CsDJ[Credit])))+(SUM(IF((CRDJ[Date]&lt;=$A$7)*(CRDJ[Account Code]=(TRIM($B84))),CRDJ[Credit])))+(SUM(IF((GJ[Date]&lt;=$A$7)*(GJ[Account Code]=(TRIM($B84))),GJ[Credit]))))</f>
        <v>0</v>
      </c>
      <c r="E84" s="89"/>
    </row>
    <row r="85" spans="1:5" x14ac:dyDescent="0.25">
      <c r="A85" s="440" t="s">
        <v>946</v>
      </c>
      <c r="B85" s="441" t="s">
        <v>799</v>
      </c>
      <c r="C85" s="89"/>
      <c r="D85" s="442">
        <f t="array" ref="D85">((SUM(IF((CkDJ[Date]&lt;=$A$7)*(CkDJ[Account Code]=(TRIM($B85))),CkDJ[Debit])))+(SUM(IF((CsDJ[Date]&lt;=$A$7)*(CsDJ[Account Code]=(TRIM($B85))),CsDJ[Debit])))+(SUM(IF((CRDJ[Date]&lt;=$A$7)*(CRDJ[Account Code]=(TRIM($B85))),CRDJ[Debit])))+(SUM(IF((GJ[Date]&lt;=$A$7)*(GJ[Account Code]=(TRIM($B85))),GJ[Debit]))))-((SUM(IF((CkDJ[Date]&lt;=$A$7)*(CkDJ[Account Code]=(TRIM($B85))),CkDJ[Credit])))+(SUM(IF((CsDJ[Date]&lt;=$A$7)*(CsDJ[Account Code]=(TRIM($B85))),CsDJ[Credit])))+(SUM(IF((CRDJ[Date]&lt;=$A$7)*(CRDJ[Account Code]=(TRIM($B85))),CRDJ[Credit])))+(SUM(IF((GJ[Date]&lt;=$A$7)*(GJ[Account Code]=(TRIM($B85))),GJ[Credit]))))</f>
        <v>0</v>
      </c>
      <c r="E85" s="89"/>
    </row>
    <row r="86" spans="1:5" x14ac:dyDescent="0.25">
      <c r="A86" s="440" t="s">
        <v>1118</v>
      </c>
      <c r="B86" s="441" t="s">
        <v>250</v>
      </c>
      <c r="C86" s="89"/>
      <c r="D86" s="442">
        <f t="array" ref="D86">((SUM(IF((CkDJ[Date]&lt;=$A$7)*(CkDJ[Account Code]=(TRIM($B86))),CkDJ[Debit])))+(SUM(IF((CsDJ[Date]&lt;=$A$7)*(CsDJ[Account Code]=(TRIM($B86))),CsDJ[Debit])))+(SUM(IF((CRDJ[Date]&lt;=$A$7)*(CRDJ[Account Code]=(TRIM($B86))),CRDJ[Debit])))+(SUM(IF((GJ[Date]&lt;=$A$7)*(GJ[Account Code]=(TRIM($B86))),GJ[Debit]))))-((SUM(IF((CkDJ[Date]&lt;=$A$7)*(CkDJ[Account Code]=(TRIM($B86))),CkDJ[Credit])))+(SUM(IF((CsDJ[Date]&lt;=$A$7)*(CsDJ[Account Code]=(TRIM($B86))),CsDJ[Credit])))+(SUM(IF((CRDJ[Date]&lt;=$A$7)*(CRDJ[Account Code]=(TRIM($B86))),CRDJ[Credit])))+(SUM(IF((GJ[Date]&lt;=$A$7)*(GJ[Account Code]=(TRIM($B86))),GJ[Credit]))))</f>
        <v>0</v>
      </c>
      <c r="E86" s="89"/>
    </row>
    <row r="87" spans="1:5" x14ac:dyDescent="0.25">
      <c r="A87" s="320" t="s">
        <v>1119</v>
      </c>
      <c r="B87" s="437"/>
      <c r="C87" s="89"/>
      <c r="D87" s="439">
        <f>SUM(D88:D96)</f>
        <v>0</v>
      </c>
      <c r="E87" s="89"/>
    </row>
    <row r="88" spans="1:5" x14ac:dyDescent="0.25">
      <c r="A88" s="440" t="s">
        <v>1148</v>
      </c>
      <c r="B88" s="441" t="s">
        <v>251</v>
      </c>
      <c r="C88" s="89"/>
      <c r="D88" s="442">
        <f t="array" ref="D88">((SUM(IF((CkDJ[Date]&lt;=$A$7)*(CkDJ[Account Code]=(TRIM($B88))),CkDJ[Debit])))+(SUM(IF((CsDJ[Date]&lt;=$A$7)*(CsDJ[Account Code]=(TRIM($B88))),CsDJ[Debit])))+(SUM(IF((CRDJ[Date]&lt;=$A$7)*(CRDJ[Account Code]=(TRIM($B88))),CRDJ[Debit])))+(SUM(IF((GJ[Date]&lt;=$A$7)*(GJ[Account Code]=(TRIM($B88))),GJ[Debit]))))-((SUM(IF((CkDJ[Date]&lt;=$A$7)*(CkDJ[Account Code]=(TRIM($B88))),CkDJ[Credit])))+(SUM(IF((CsDJ[Date]&lt;=$A$7)*(CsDJ[Account Code]=(TRIM($B88))),CsDJ[Credit])))+(SUM(IF((CRDJ[Date]&lt;=$A$7)*(CRDJ[Account Code]=(TRIM($B88))),CRDJ[Credit])))+(SUM(IF((GJ[Date]&lt;=$A$7)*(GJ[Account Code]=(TRIM($B88))),GJ[Credit]))))</f>
        <v>0</v>
      </c>
      <c r="E88" s="89"/>
    </row>
    <row r="89" spans="1:5" x14ac:dyDescent="0.25">
      <c r="A89" s="440" t="s">
        <v>1149</v>
      </c>
      <c r="B89" s="441" t="s">
        <v>253</v>
      </c>
      <c r="C89" s="89"/>
      <c r="D89" s="442">
        <f t="array" ref="D89">((SUM(IF((CkDJ[Date]&lt;=$A$7)*(CkDJ[Account Code]=(TRIM($B89))),CkDJ[Debit])))+(SUM(IF((CsDJ[Date]&lt;=$A$7)*(CsDJ[Account Code]=(TRIM($B89))),CsDJ[Debit])))+(SUM(IF((CRDJ[Date]&lt;=$A$7)*(CRDJ[Account Code]=(TRIM($B89))),CRDJ[Debit])))+(SUM(IF((GJ[Date]&lt;=$A$7)*(GJ[Account Code]=(TRIM($B89))),GJ[Debit]))))-((SUM(IF((CkDJ[Date]&lt;=$A$7)*(CkDJ[Account Code]=(TRIM($B89))),CkDJ[Credit])))+(SUM(IF((CsDJ[Date]&lt;=$A$7)*(CsDJ[Account Code]=(TRIM($B89))),CsDJ[Credit])))+(SUM(IF((CRDJ[Date]&lt;=$A$7)*(CRDJ[Account Code]=(TRIM($B89))),CRDJ[Credit])))+(SUM(IF((GJ[Date]&lt;=$A$7)*(GJ[Account Code]=(TRIM($B89))),GJ[Credit]))))</f>
        <v>0</v>
      </c>
      <c r="E89" s="89"/>
    </row>
    <row r="90" spans="1:5" x14ac:dyDescent="0.25">
      <c r="A90" s="440" t="s">
        <v>1150</v>
      </c>
      <c r="B90" s="441" t="s">
        <v>256</v>
      </c>
      <c r="C90" s="89"/>
      <c r="D90" s="442">
        <f t="array" ref="D90">((SUM(IF((CkDJ[Date]&lt;=$A$7)*(CkDJ[Account Code]=(TRIM($B90))),CkDJ[Debit])))+(SUM(IF((CsDJ[Date]&lt;=$A$7)*(CsDJ[Account Code]=(TRIM($B90))),CsDJ[Debit])))+(SUM(IF((CRDJ[Date]&lt;=$A$7)*(CRDJ[Account Code]=(TRIM($B90))),CRDJ[Debit])))+(SUM(IF((GJ[Date]&lt;=$A$7)*(GJ[Account Code]=(TRIM($B90))),GJ[Debit]))))-((SUM(IF((CkDJ[Date]&lt;=$A$7)*(CkDJ[Account Code]=(TRIM($B90))),CkDJ[Credit])))+(SUM(IF((CsDJ[Date]&lt;=$A$7)*(CsDJ[Account Code]=(TRIM($B90))),CsDJ[Credit])))+(SUM(IF((CRDJ[Date]&lt;=$A$7)*(CRDJ[Account Code]=(TRIM($B90))),CRDJ[Credit])))+(SUM(IF((GJ[Date]&lt;=$A$7)*(GJ[Account Code]=(TRIM($B90))),GJ[Credit]))))</f>
        <v>0</v>
      </c>
      <c r="E90" s="89"/>
    </row>
    <row r="91" spans="1:5" x14ac:dyDescent="0.25">
      <c r="A91" s="440" t="s">
        <v>1151</v>
      </c>
      <c r="B91" s="441" t="s">
        <v>264</v>
      </c>
      <c r="C91" s="89"/>
      <c r="D91" s="442">
        <f t="array" ref="D91">((SUM(IF((CkDJ[Date]&lt;=$A$7)*(CkDJ[Account Code]=(TRIM($B91))),CkDJ[Debit])))+(SUM(IF((CsDJ[Date]&lt;=$A$7)*(CsDJ[Account Code]=(TRIM($B91))),CsDJ[Debit])))+(SUM(IF((CRDJ[Date]&lt;=$A$7)*(CRDJ[Account Code]=(TRIM($B91))),CRDJ[Debit])))+(SUM(IF((GJ[Date]&lt;=$A$7)*(GJ[Account Code]=(TRIM($B91))),GJ[Debit]))))-((SUM(IF((CkDJ[Date]&lt;=$A$7)*(CkDJ[Account Code]=(TRIM($B91))),CkDJ[Credit])))+(SUM(IF((CsDJ[Date]&lt;=$A$7)*(CsDJ[Account Code]=(TRIM($B91))),CsDJ[Credit])))+(SUM(IF((CRDJ[Date]&lt;=$A$7)*(CRDJ[Account Code]=(TRIM($B91))),CRDJ[Credit])))+(SUM(IF((GJ[Date]&lt;=$A$7)*(GJ[Account Code]=(TRIM($B91))),GJ[Credit]))))</f>
        <v>0</v>
      </c>
      <c r="E91" s="89"/>
    </row>
    <row r="92" spans="1:5" x14ac:dyDescent="0.25">
      <c r="A92" s="440" t="s">
        <v>1152</v>
      </c>
      <c r="B92" s="441" t="s">
        <v>265</v>
      </c>
      <c r="C92" s="89"/>
      <c r="D92" s="442">
        <f t="array" ref="D92">((SUM(IF((CkDJ[Date]&lt;=$A$7)*(CkDJ[Account Code]=(TRIM($B92))),CkDJ[Debit])))+(SUM(IF((CsDJ[Date]&lt;=$A$7)*(CsDJ[Account Code]=(TRIM($B92))),CsDJ[Debit])))+(SUM(IF((CRDJ[Date]&lt;=$A$7)*(CRDJ[Account Code]=(TRIM($B92))),CRDJ[Debit])))+(SUM(IF((GJ[Date]&lt;=$A$7)*(GJ[Account Code]=(TRIM($B92))),GJ[Debit]))))-((SUM(IF((CkDJ[Date]&lt;=$A$7)*(CkDJ[Account Code]=(TRIM($B92))),CkDJ[Credit])))+(SUM(IF((CsDJ[Date]&lt;=$A$7)*(CsDJ[Account Code]=(TRIM($B92))),CsDJ[Credit])))+(SUM(IF((CRDJ[Date]&lt;=$A$7)*(CRDJ[Account Code]=(TRIM($B92))),CRDJ[Credit])))+(SUM(IF((GJ[Date]&lt;=$A$7)*(GJ[Account Code]=(TRIM($B92))),GJ[Credit]))))</f>
        <v>0</v>
      </c>
      <c r="E92" s="89"/>
    </row>
    <row r="93" spans="1:5" x14ac:dyDescent="0.25">
      <c r="A93" s="440" t="s">
        <v>1153</v>
      </c>
      <c r="B93" s="441" t="s">
        <v>267</v>
      </c>
      <c r="C93" s="89"/>
      <c r="D93" s="442">
        <f t="array" ref="D93">((SUM(IF((CkDJ[Date]&lt;=$A$7)*(CkDJ[Account Code]=(TRIM($B93))),CkDJ[Debit])))+(SUM(IF((CsDJ[Date]&lt;=$A$7)*(CsDJ[Account Code]=(TRIM($B93))),CsDJ[Debit])))+(SUM(IF((CRDJ[Date]&lt;=$A$7)*(CRDJ[Account Code]=(TRIM($B93))),CRDJ[Debit])))+(SUM(IF((GJ[Date]&lt;=$A$7)*(GJ[Account Code]=(TRIM($B93))),GJ[Debit]))))-((SUM(IF((CkDJ[Date]&lt;=$A$7)*(CkDJ[Account Code]=(TRIM($B93))),CkDJ[Credit])))+(SUM(IF((CsDJ[Date]&lt;=$A$7)*(CsDJ[Account Code]=(TRIM($B93))),CsDJ[Credit])))+(SUM(IF((CRDJ[Date]&lt;=$A$7)*(CRDJ[Account Code]=(TRIM($B93))),CRDJ[Credit])))+(SUM(IF((GJ[Date]&lt;=$A$7)*(GJ[Account Code]=(TRIM($B93))),GJ[Credit]))))</f>
        <v>0</v>
      </c>
      <c r="E93" s="89"/>
    </row>
    <row r="94" spans="1:5" x14ac:dyDescent="0.25">
      <c r="A94" s="440" t="s">
        <v>1154</v>
      </c>
      <c r="B94" s="441" t="s">
        <v>258</v>
      </c>
      <c r="C94" s="89"/>
      <c r="D94" s="442">
        <f t="array" ref="D94">((SUM(IF((CkDJ[Date]&lt;=$A$7)*(CkDJ[Account Code]=(TRIM($B94))),CkDJ[Debit])))+(SUM(IF((CsDJ[Date]&lt;=$A$7)*(CsDJ[Account Code]=(TRIM($B94))),CsDJ[Debit])))+(SUM(IF((CRDJ[Date]&lt;=$A$7)*(CRDJ[Account Code]=(TRIM($B94))),CRDJ[Debit])))+(SUM(IF((GJ[Date]&lt;=$A$7)*(GJ[Account Code]=(TRIM($B94))),GJ[Debit]))))-((SUM(IF((CkDJ[Date]&lt;=$A$7)*(CkDJ[Account Code]=(TRIM($B94))),CkDJ[Credit])))+(SUM(IF((CsDJ[Date]&lt;=$A$7)*(CsDJ[Account Code]=(TRIM($B94))),CsDJ[Credit])))+(SUM(IF((CRDJ[Date]&lt;=$A$7)*(CRDJ[Account Code]=(TRIM($B94))),CRDJ[Credit])))+(SUM(IF((GJ[Date]&lt;=$A$7)*(GJ[Account Code]=(TRIM($B94))),GJ[Credit]))))</f>
        <v>0</v>
      </c>
      <c r="E94" s="89"/>
    </row>
    <row r="95" spans="1:5" x14ac:dyDescent="0.25">
      <c r="A95" s="440" t="s">
        <v>1155</v>
      </c>
      <c r="B95" s="441" t="s">
        <v>261</v>
      </c>
      <c r="C95" s="89"/>
      <c r="D95" s="442">
        <f t="array" ref="D95">((SUM(IF((CkDJ[Date]&lt;=$A$7)*(CkDJ[Account Code]=(TRIM($B95))),CkDJ[Debit])))+(SUM(IF((CsDJ[Date]&lt;=$A$7)*(CsDJ[Account Code]=(TRIM($B95))),CsDJ[Debit])))+(SUM(IF((CRDJ[Date]&lt;=$A$7)*(CRDJ[Account Code]=(TRIM($B95))),CRDJ[Debit])))+(SUM(IF((GJ[Date]&lt;=$A$7)*(GJ[Account Code]=(TRIM($B95))),GJ[Debit]))))-((SUM(IF((CkDJ[Date]&lt;=$A$7)*(CkDJ[Account Code]=(TRIM($B95))),CkDJ[Credit])))+(SUM(IF((CsDJ[Date]&lt;=$A$7)*(CsDJ[Account Code]=(TRIM($B95))),CsDJ[Credit])))+(SUM(IF((CRDJ[Date]&lt;=$A$7)*(CRDJ[Account Code]=(TRIM($B95))),CRDJ[Credit])))+(SUM(IF((GJ[Date]&lt;=$A$7)*(GJ[Account Code]=(TRIM($B95))),GJ[Credit]))))</f>
        <v>0</v>
      </c>
      <c r="E95" s="89"/>
    </row>
    <row r="96" spans="1:5" x14ac:dyDescent="0.25">
      <c r="A96" s="440" t="s">
        <v>1156</v>
      </c>
      <c r="B96" s="441" t="s">
        <v>262</v>
      </c>
      <c r="C96" s="89"/>
      <c r="D96" s="442">
        <f t="array" ref="D96">((SUM(IF((CkDJ[Date]&lt;=$A$7)*(CkDJ[Account Code]=(TRIM($B96))),CkDJ[Debit])))+(SUM(IF((CsDJ[Date]&lt;=$A$7)*(CsDJ[Account Code]=(TRIM($B96))),CsDJ[Debit])))+(SUM(IF((CRDJ[Date]&lt;=$A$7)*(CRDJ[Account Code]=(TRIM($B96))),CRDJ[Debit])))+(SUM(IF((GJ[Date]&lt;=$A$7)*(GJ[Account Code]=(TRIM($B96))),GJ[Debit]))))-((SUM(IF((CkDJ[Date]&lt;=$A$7)*(CkDJ[Account Code]=(TRIM($B96))),CkDJ[Credit])))+(SUM(IF((CsDJ[Date]&lt;=$A$7)*(CsDJ[Account Code]=(TRIM($B96))),CsDJ[Credit])))+(SUM(IF((CRDJ[Date]&lt;=$A$7)*(CRDJ[Account Code]=(TRIM($B96))),CRDJ[Credit])))+(SUM(IF((GJ[Date]&lt;=$A$7)*(GJ[Account Code]=(TRIM($B96))),GJ[Credit]))))</f>
        <v>0</v>
      </c>
      <c r="E96" s="89"/>
    </row>
    <row r="97" spans="1:5" x14ac:dyDescent="0.25">
      <c r="A97" s="452" t="s">
        <v>1120</v>
      </c>
      <c r="B97" s="437" t="s">
        <v>269</v>
      </c>
      <c r="C97" s="89"/>
      <c r="D97" s="442">
        <f t="array" ref="D97">((SUM(IF((CkDJ[Date]&lt;=$A$7)*(CkDJ[Account Code]=(TRIM($B97))),CkDJ[Debit])))+(SUM(IF((CsDJ[Date]&lt;=$A$7)*(CsDJ[Account Code]=(TRIM($B97))),CsDJ[Debit])))+(SUM(IF((CRDJ[Date]&lt;=$A$7)*(CRDJ[Account Code]=(TRIM($B97))),CRDJ[Debit])))+(SUM(IF((GJ[Date]&lt;=$A$7)*(GJ[Account Code]=(TRIM($B97))),GJ[Debit]))))-((SUM(IF((CkDJ[Date]&lt;=$A$7)*(CkDJ[Account Code]=(TRIM($B97))),CkDJ[Credit])))+(SUM(IF((CsDJ[Date]&lt;=$A$7)*(CsDJ[Account Code]=(TRIM($B97))),CsDJ[Credit])))+(SUM(IF((CRDJ[Date]&lt;=$A$7)*(CRDJ[Account Code]=(TRIM($B97))),CRDJ[Credit])))+(SUM(IF((GJ[Date]&lt;=$A$7)*(GJ[Account Code]=(TRIM($B97))),GJ[Credit]))))</f>
        <v>0</v>
      </c>
      <c r="E97" s="89"/>
    </row>
    <row r="98" spans="1:5" x14ac:dyDescent="0.25">
      <c r="A98" s="452" t="s">
        <v>1121</v>
      </c>
      <c r="B98" s="437"/>
      <c r="C98" s="89"/>
      <c r="D98" s="439">
        <f>SUM(D99:D104)</f>
        <v>0</v>
      </c>
      <c r="E98" s="89"/>
    </row>
    <row r="99" spans="1:5" x14ac:dyDescent="0.25">
      <c r="A99" s="440" t="s">
        <v>1122</v>
      </c>
      <c r="B99" s="441" t="s">
        <v>989</v>
      </c>
      <c r="C99" s="89"/>
      <c r="D99" s="442">
        <f t="array" ref="D99">((SUM(IF((CkDJ[Date]&lt;=$A$7)*(CkDJ[Account Code]=(TRIM($B99))),CkDJ[Debit])))+(SUM(IF((CsDJ[Date]&lt;=$A$7)*(CsDJ[Account Code]=(TRIM($B99))),CsDJ[Debit])))+(SUM(IF((CRDJ[Date]&lt;=$A$7)*(CRDJ[Account Code]=(TRIM($B99))),CRDJ[Debit])))+(SUM(IF((GJ[Date]&lt;=$A$7)*(GJ[Account Code]=(TRIM($B99))),GJ[Debit]))))-((SUM(IF((CkDJ[Date]&lt;=$A$7)*(CkDJ[Account Code]=(TRIM($B99))),CkDJ[Credit])))+(SUM(IF((CsDJ[Date]&lt;=$A$7)*(CsDJ[Account Code]=(TRIM($B99))),CsDJ[Credit])))+(SUM(IF((CRDJ[Date]&lt;=$A$7)*(CRDJ[Account Code]=(TRIM($B99))),CRDJ[Credit])))+(SUM(IF((GJ[Date]&lt;=$A$7)*(GJ[Account Code]=(TRIM($B99))),GJ[Credit]))))</f>
        <v>0</v>
      </c>
      <c r="E99" s="89"/>
    </row>
    <row r="100" spans="1:5" x14ac:dyDescent="0.25">
      <c r="A100" s="440" t="s">
        <v>1123</v>
      </c>
      <c r="B100" s="441" t="s">
        <v>271</v>
      </c>
      <c r="C100" s="89"/>
      <c r="D100" s="442">
        <f t="array" ref="D100">((SUM(IF((CkDJ[Date]&lt;=$A$7)*(CkDJ[Account Code]=(TRIM($B100))),CkDJ[Debit])))+(SUM(IF((CsDJ[Date]&lt;=$A$7)*(CsDJ[Account Code]=(TRIM($B100))),CsDJ[Debit])))+(SUM(IF((CRDJ[Date]&lt;=$A$7)*(CRDJ[Account Code]=(TRIM($B100))),CRDJ[Debit])))+(SUM(IF((GJ[Date]&lt;=$A$7)*(GJ[Account Code]=(TRIM($B100))),GJ[Debit]))))-((SUM(IF((CkDJ[Date]&lt;=$A$7)*(CkDJ[Account Code]=(TRIM($B100))),CkDJ[Credit])))+(SUM(IF((CsDJ[Date]&lt;=$A$7)*(CsDJ[Account Code]=(TRIM($B100))),CsDJ[Credit])))+(SUM(IF((CRDJ[Date]&lt;=$A$7)*(CRDJ[Account Code]=(TRIM($B100))),CRDJ[Credit])))+(SUM(IF((GJ[Date]&lt;=$A$7)*(GJ[Account Code]=(TRIM($B100))),GJ[Credit]))))</f>
        <v>0</v>
      </c>
      <c r="E100" s="89"/>
    </row>
    <row r="101" spans="1:5" x14ac:dyDescent="0.25">
      <c r="A101" s="440" t="s">
        <v>1124</v>
      </c>
      <c r="B101" s="441" t="s">
        <v>331</v>
      </c>
      <c r="C101" s="89"/>
      <c r="D101" s="442">
        <f t="array" ref="D101">((SUM(IF((CkDJ[Date]&lt;=$A$7)*(CkDJ[Account Code]=(TRIM($B101))),CkDJ[Debit])))+(SUM(IF((CsDJ[Date]&lt;=$A$7)*(CsDJ[Account Code]=(TRIM($B101))),CsDJ[Debit])))+(SUM(IF((CRDJ[Date]&lt;=$A$7)*(CRDJ[Account Code]=(TRIM($B101))),CRDJ[Debit])))+(SUM(IF((GJ[Date]&lt;=$A$7)*(GJ[Account Code]=(TRIM($B101))),GJ[Debit]))))-((SUM(IF((CkDJ[Date]&lt;=$A$7)*(CkDJ[Account Code]=(TRIM($B101))),CkDJ[Credit])))+(SUM(IF((CsDJ[Date]&lt;=$A$7)*(CsDJ[Account Code]=(TRIM($B101))),CsDJ[Credit])))+(SUM(IF((CRDJ[Date]&lt;=$A$7)*(CRDJ[Account Code]=(TRIM($B101))),CRDJ[Credit])))+(SUM(IF((GJ[Date]&lt;=$A$7)*(GJ[Account Code]=(TRIM($B101))),GJ[Credit]))))</f>
        <v>0</v>
      </c>
      <c r="E101" s="89"/>
    </row>
    <row r="102" spans="1:5" x14ac:dyDescent="0.25">
      <c r="A102" s="440" t="s">
        <v>1125</v>
      </c>
      <c r="B102" s="441"/>
      <c r="C102" s="89"/>
      <c r="D102" s="438">
        <v>0</v>
      </c>
      <c r="E102" s="89"/>
    </row>
    <row r="103" spans="1:5" x14ac:dyDescent="0.25">
      <c r="A103" s="440" t="s">
        <v>1126</v>
      </c>
      <c r="B103" s="441" t="s">
        <v>987</v>
      </c>
      <c r="C103" s="89"/>
      <c r="D103" s="442">
        <f t="array" ref="D103">((SUM(IF((CkDJ[Date]&lt;=$A$7)*(CkDJ[Account Code]=(TRIM($B103))),CkDJ[Debit])))+(SUM(IF((CsDJ[Date]&lt;=$A$7)*(CsDJ[Account Code]=(TRIM($B103))),CsDJ[Debit])))+(SUM(IF((CRDJ[Date]&lt;=$A$7)*(CRDJ[Account Code]=(TRIM($B103))),CRDJ[Debit])))+(SUM(IF((GJ[Date]&lt;=$A$7)*(GJ[Account Code]=(TRIM($B103))),GJ[Debit]))))-((SUM(IF((CkDJ[Date]&lt;=$A$7)*(CkDJ[Account Code]=(TRIM($B103))),CkDJ[Credit])))+(SUM(IF((CsDJ[Date]&lt;=$A$7)*(CsDJ[Account Code]=(TRIM($B103))),CsDJ[Credit])))+(SUM(IF((CRDJ[Date]&lt;=$A$7)*(CRDJ[Account Code]=(TRIM($B103))),CRDJ[Credit])))+(SUM(IF((GJ[Date]&lt;=$A$7)*(GJ[Account Code]=(TRIM($B103))),GJ[Credit]))))</f>
        <v>0</v>
      </c>
      <c r="E103" s="89"/>
    </row>
    <row r="104" spans="1:5" x14ac:dyDescent="0.25">
      <c r="A104" s="440" t="s">
        <v>1127</v>
      </c>
      <c r="B104" s="441" t="s">
        <v>799</v>
      </c>
      <c r="C104" s="89"/>
      <c r="D104" s="438"/>
      <c r="E104" s="89"/>
    </row>
    <row r="105" spans="1:5" x14ac:dyDescent="0.25">
      <c r="A105" s="453" t="s">
        <v>1128</v>
      </c>
      <c r="B105" s="454"/>
      <c r="C105" s="89"/>
      <c r="D105" s="442">
        <f>SUM(D106:D108)</f>
        <v>0</v>
      </c>
      <c r="E105" s="89"/>
    </row>
    <row r="106" spans="1:5" x14ac:dyDescent="0.25">
      <c r="A106" s="440" t="s">
        <v>960</v>
      </c>
      <c r="B106" s="441" t="s">
        <v>272</v>
      </c>
      <c r="C106" s="89"/>
      <c r="D106" s="442">
        <f t="array" ref="D106">((SUM(IF((CkDJ[Date]&lt;=$A$7)*(CkDJ[Account Code]=(TRIM($B106))),CkDJ[Debit])))+(SUM(IF((CsDJ[Date]&lt;=$A$7)*(CsDJ[Account Code]=(TRIM($B106))),CsDJ[Debit])))+(SUM(IF((CRDJ[Date]&lt;=$A$7)*(CRDJ[Account Code]=(TRIM($B106))),CRDJ[Debit])))+(SUM(IF((GJ[Date]&lt;=$A$7)*(GJ[Account Code]=(TRIM($B106))),GJ[Debit]))))-((SUM(IF((CkDJ[Date]&lt;=$A$7)*(CkDJ[Account Code]=(TRIM($B106))),CkDJ[Credit])))+(SUM(IF((CsDJ[Date]&lt;=$A$7)*(CsDJ[Account Code]=(TRIM($B106))),CsDJ[Credit])))+(SUM(IF((CRDJ[Date]&lt;=$A$7)*(CRDJ[Account Code]=(TRIM($B106))),CRDJ[Credit])))+(SUM(IF((GJ[Date]&lt;=$A$7)*(GJ[Account Code]=(TRIM($B106))),GJ[Credit]))))</f>
        <v>0</v>
      </c>
      <c r="E106" s="89"/>
    </row>
    <row r="107" spans="1:5" x14ac:dyDescent="0.25">
      <c r="A107" s="440" t="s">
        <v>961</v>
      </c>
      <c r="B107" s="441" t="s">
        <v>273</v>
      </c>
      <c r="C107" s="89"/>
      <c r="D107" s="442">
        <f t="array" ref="D107">((SUM(IF((CkDJ[Date]&lt;=$A$7)*(CkDJ[Account Code]=(TRIM($B107))),CkDJ[Debit])))+(SUM(IF((CsDJ[Date]&lt;=$A$7)*(CsDJ[Account Code]=(TRIM($B107))),CsDJ[Debit])))+(SUM(IF((CRDJ[Date]&lt;=$A$7)*(CRDJ[Account Code]=(TRIM($B107))),CRDJ[Debit])))+(SUM(IF((GJ[Date]&lt;=$A$7)*(GJ[Account Code]=(TRIM($B107))),GJ[Debit]))))-((SUM(IF((CkDJ[Date]&lt;=$A$7)*(CkDJ[Account Code]=(TRIM($B107))),CkDJ[Credit])))+(SUM(IF((CsDJ[Date]&lt;=$A$7)*(CsDJ[Account Code]=(TRIM($B107))),CsDJ[Credit])))+(SUM(IF((CRDJ[Date]&lt;=$A$7)*(CRDJ[Account Code]=(TRIM($B107))),CRDJ[Credit])))+(SUM(IF((GJ[Date]&lt;=$A$7)*(GJ[Account Code]=(TRIM($B107))),GJ[Credit]))))</f>
        <v>0</v>
      </c>
      <c r="E107" s="89"/>
    </row>
    <row r="108" spans="1:5" x14ac:dyDescent="0.25">
      <c r="A108" s="440" t="s">
        <v>962</v>
      </c>
      <c r="B108" s="441" t="s">
        <v>274</v>
      </c>
      <c r="C108" s="89"/>
      <c r="D108" s="442">
        <f t="array" ref="D108">((SUM(IF((CkDJ[Date]&lt;=$A$7)*(CkDJ[Account Code]=(TRIM($B108))),CkDJ[Debit])))+(SUM(IF((CsDJ[Date]&lt;=$A$7)*(CsDJ[Account Code]=(TRIM($B108))),CsDJ[Debit])))+(SUM(IF((CRDJ[Date]&lt;=$A$7)*(CRDJ[Account Code]=(TRIM($B108))),CRDJ[Debit])))+(SUM(IF((GJ[Date]&lt;=$A$7)*(GJ[Account Code]=(TRIM($B108))),GJ[Debit]))))-((SUM(IF((CkDJ[Date]&lt;=$A$7)*(CkDJ[Account Code]=(TRIM($B108))),CkDJ[Credit])))+(SUM(IF((CsDJ[Date]&lt;=$A$7)*(CsDJ[Account Code]=(TRIM($B108))),CsDJ[Credit])))+(SUM(IF((CRDJ[Date]&lt;=$A$7)*(CRDJ[Account Code]=(TRIM($B108))),CRDJ[Credit])))+(SUM(IF((GJ[Date]&lt;=$A$7)*(GJ[Account Code]=(TRIM($B108))),GJ[Credit]))))</f>
        <v>0</v>
      </c>
      <c r="E108" s="89"/>
    </row>
    <row r="109" spans="1:5" x14ac:dyDescent="0.25">
      <c r="A109" s="453" t="s">
        <v>1129</v>
      </c>
      <c r="B109" s="454" t="s">
        <v>334</v>
      </c>
      <c r="C109" s="89"/>
      <c r="D109" s="442">
        <f t="array" ref="D109">((SUM(IF((CkDJ[Date]&lt;=$A$7)*(CkDJ[Account Code]=(TRIM($B109))),CkDJ[Debit])))+(SUM(IF((CsDJ[Date]&lt;=$A$7)*(CsDJ[Account Code]=(TRIM($B109))),CsDJ[Debit])))+(SUM(IF((CRDJ[Date]&lt;=$A$7)*(CRDJ[Account Code]=(TRIM($B109))),CRDJ[Debit])))+(SUM(IF((GJ[Date]&lt;=$A$7)*(GJ[Account Code]=(TRIM($B109))),GJ[Debit]))))-((SUM(IF((CkDJ[Date]&lt;=$A$7)*(CkDJ[Account Code]=(TRIM($B109))),CkDJ[Credit])))+(SUM(IF((CsDJ[Date]&lt;=$A$7)*(CsDJ[Account Code]=(TRIM($B109))),CsDJ[Credit])))+(SUM(IF((CRDJ[Date]&lt;=$A$7)*(CRDJ[Account Code]=(TRIM($B109))),CRDJ[Credit])))+(SUM(IF((GJ[Date]&lt;=$A$7)*(GJ[Account Code]=(TRIM($B109))),GJ[Credit]))))</f>
        <v>0</v>
      </c>
      <c r="E109" s="89"/>
    </row>
    <row r="110" spans="1:5" x14ac:dyDescent="0.25">
      <c r="A110" s="453" t="s">
        <v>1130</v>
      </c>
      <c r="B110" s="454" t="s">
        <v>333</v>
      </c>
      <c r="C110" s="89"/>
      <c r="D110" s="442">
        <f t="array" ref="D110">((SUM(IF((CkDJ[Date]&lt;=$A$7)*(CkDJ[Account Code]=(TRIM($B110))),CkDJ[Debit])))+(SUM(IF((CsDJ[Date]&lt;=$A$7)*(CsDJ[Account Code]=(TRIM($B110))),CsDJ[Debit])))+(SUM(IF((CRDJ[Date]&lt;=$A$7)*(CRDJ[Account Code]=(TRIM($B110))),CRDJ[Debit])))+(SUM(IF((GJ[Date]&lt;=$A$7)*(GJ[Account Code]=(TRIM($B110))),GJ[Debit]))))-((SUM(IF((CkDJ[Date]&lt;=$A$7)*(CkDJ[Account Code]=(TRIM($B110))),CkDJ[Credit])))+(SUM(IF((CsDJ[Date]&lt;=$A$7)*(CsDJ[Account Code]=(TRIM($B110))),CsDJ[Credit])))+(SUM(IF((CRDJ[Date]&lt;=$A$7)*(CRDJ[Account Code]=(TRIM($B110))),CRDJ[Credit])))+(SUM(IF((GJ[Date]&lt;=$A$7)*(GJ[Account Code]=(TRIM($B110))),GJ[Credit]))))</f>
        <v>0</v>
      </c>
      <c r="E110" s="89"/>
    </row>
    <row r="111" spans="1:5" x14ac:dyDescent="0.25">
      <c r="A111" s="453" t="s">
        <v>1131</v>
      </c>
      <c r="B111" s="454" t="s">
        <v>335</v>
      </c>
      <c r="C111" s="89"/>
      <c r="D111" s="442">
        <f t="array" ref="D111">((SUM(IF((CkDJ[Date]&lt;=$A$7)*(CkDJ[Account Code]=(TRIM($B111))),CkDJ[Debit])))+(SUM(IF((CsDJ[Date]&lt;=$A$7)*(CsDJ[Account Code]=(TRIM($B111))),CsDJ[Debit])))+(SUM(IF((CRDJ[Date]&lt;=$A$7)*(CRDJ[Account Code]=(TRIM($B111))),CRDJ[Debit])))+(SUM(IF((GJ[Date]&lt;=$A$7)*(GJ[Account Code]=(TRIM($B111))),GJ[Debit]))))-((SUM(IF((CkDJ[Date]&lt;=$A$7)*(CkDJ[Account Code]=(TRIM($B111))),CkDJ[Credit])))+(SUM(IF((CsDJ[Date]&lt;=$A$7)*(CsDJ[Account Code]=(TRIM($B111))),CsDJ[Credit])))+(SUM(IF((CRDJ[Date]&lt;=$A$7)*(CRDJ[Account Code]=(TRIM($B111))),CRDJ[Credit])))+(SUM(IF((GJ[Date]&lt;=$A$7)*(GJ[Account Code]=(TRIM($B111))),GJ[Credit]))))</f>
        <v>0</v>
      </c>
      <c r="E111" s="89"/>
    </row>
    <row r="112" spans="1:5" x14ac:dyDescent="0.25">
      <c r="A112" s="453" t="s">
        <v>1132</v>
      </c>
      <c r="B112" s="454" t="s">
        <v>799</v>
      </c>
      <c r="C112" s="89"/>
      <c r="D112" s="442">
        <f t="array" ref="D112">((SUM(IF((CkDJ[Date]&lt;=$A$7)*(CkDJ[Account Code]=(TRIM($B112))),CkDJ[Debit])))+(SUM(IF((CsDJ[Date]&lt;=$A$7)*(CsDJ[Account Code]=(TRIM($B112))),CsDJ[Debit])))+(SUM(IF((CRDJ[Date]&lt;=$A$7)*(CRDJ[Account Code]=(TRIM($B112))),CRDJ[Debit])))+(SUM(IF((GJ[Date]&lt;=$A$7)*(GJ[Account Code]=(TRIM($B112))),GJ[Debit]))))-((SUM(IF((CkDJ[Date]&lt;=$A$7)*(CkDJ[Account Code]=(TRIM($B112))),CkDJ[Credit])))+(SUM(IF((CsDJ[Date]&lt;=$A$7)*(CsDJ[Account Code]=(TRIM($B112))),CsDJ[Credit])))+(SUM(IF((CRDJ[Date]&lt;=$A$7)*(CRDJ[Account Code]=(TRIM($B112))),CRDJ[Credit])))+(SUM(IF((GJ[Date]&lt;=$A$7)*(GJ[Account Code]=(TRIM($B112))),GJ[Credit]))))</f>
        <v>0</v>
      </c>
      <c r="E112" s="89"/>
    </row>
    <row r="113" spans="1:5" x14ac:dyDescent="0.25">
      <c r="A113" s="453" t="s">
        <v>1133</v>
      </c>
      <c r="B113" s="454" t="s">
        <v>799</v>
      </c>
      <c r="C113" s="89"/>
      <c r="D113" s="442">
        <f t="array" ref="D113">((SUM(IF((CkDJ[Date]&lt;=$A$7)*(CkDJ[Account Code]=(TRIM($B113))),CkDJ[Debit])))+(SUM(IF((CsDJ[Date]&lt;=$A$7)*(CsDJ[Account Code]=(TRIM($B113))),CsDJ[Debit])))+(SUM(IF((CRDJ[Date]&lt;=$A$7)*(CRDJ[Account Code]=(TRIM($B113))),CRDJ[Debit])))+(SUM(IF((GJ[Date]&lt;=$A$7)*(GJ[Account Code]=(TRIM($B113))),GJ[Debit]))))-((SUM(IF((CkDJ[Date]&lt;=$A$7)*(CkDJ[Account Code]=(TRIM($B113))),CkDJ[Credit])))+(SUM(IF((CsDJ[Date]&lt;=$A$7)*(CsDJ[Account Code]=(TRIM($B113))),CsDJ[Credit])))+(SUM(IF((CRDJ[Date]&lt;=$A$7)*(CRDJ[Account Code]=(TRIM($B113))),CRDJ[Credit])))+(SUM(IF((GJ[Date]&lt;=$A$7)*(GJ[Account Code]=(TRIM($B113))),GJ[Credit]))))</f>
        <v>0</v>
      </c>
      <c r="E113" s="89"/>
    </row>
    <row r="114" spans="1:5" x14ac:dyDescent="0.25">
      <c r="A114" s="453" t="s">
        <v>1134</v>
      </c>
      <c r="B114" s="454" t="s">
        <v>799</v>
      </c>
      <c r="C114" s="89"/>
      <c r="D114" s="442">
        <f t="array" ref="D114">((SUM(IF((CkDJ[Date]&lt;=$A$7)*(CkDJ[Account Code]=(TRIM($B114))),CkDJ[Debit])))+(SUM(IF((CsDJ[Date]&lt;=$A$7)*(CsDJ[Account Code]=(TRIM($B114))),CsDJ[Debit])))+(SUM(IF((CRDJ[Date]&lt;=$A$7)*(CRDJ[Account Code]=(TRIM($B114))),CRDJ[Debit])))+(SUM(IF((GJ[Date]&lt;=$A$7)*(GJ[Account Code]=(TRIM($B114))),GJ[Debit]))))-((SUM(IF((CkDJ[Date]&lt;=$A$7)*(CkDJ[Account Code]=(TRIM($B114))),CkDJ[Credit])))+(SUM(IF((CsDJ[Date]&lt;=$A$7)*(CsDJ[Account Code]=(TRIM($B114))),CsDJ[Credit])))+(SUM(IF((CRDJ[Date]&lt;=$A$7)*(CRDJ[Account Code]=(TRIM($B114))),CRDJ[Credit])))+(SUM(IF((GJ[Date]&lt;=$A$7)*(GJ[Account Code]=(TRIM($B114))),GJ[Credit]))))</f>
        <v>0</v>
      </c>
      <c r="E114" s="89"/>
    </row>
    <row r="115" spans="1:5" x14ac:dyDescent="0.25">
      <c r="A115" s="453" t="s">
        <v>1135</v>
      </c>
      <c r="B115" s="454" t="s">
        <v>340</v>
      </c>
      <c r="C115" s="89"/>
      <c r="D115" s="442">
        <f t="array" ref="D115">((SUM(IF((CkDJ[Date]&lt;=$A$7)*(CkDJ[Account Code]=(TRIM($B115))),CkDJ[Debit])))+(SUM(IF((CsDJ[Date]&lt;=$A$7)*(CsDJ[Account Code]=(TRIM($B115))),CsDJ[Debit])))+(SUM(IF((CRDJ[Date]&lt;=$A$7)*(CRDJ[Account Code]=(TRIM($B115))),CRDJ[Debit])))+(SUM(IF((GJ[Date]&lt;=$A$7)*(GJ[Account Code]=(TRIM($B115))),GJ[Debit]))))-((SUM(IF((CkDJ[Date]&lt;=$A$7)*(CkDJ[Account Code]=(TRIM($B115))),CkDJ[Credit])))+(SUM(IF((CsDJ[Date]&lt;=$A$7)*(CsDJ[Account Code]=(TRIM($B115))),CsDJ[Credit])))+(SUM(IF((CRDJ[Date]&lt;=$A$7)*(CRDJ[Account Code]=(TRIM($B115))),CRDJ[Credit])))+(SUM(IF((GJ[Date]&lt;=$A$7)*(GJ[Account Code]=(TRIM($B115))),GJ[Credit]))))</f>
        <v>0</v>
      </c>
      <c r="E115" s="89"/>
    </row>
    <row r="116" spans="1:5" x14ac:dyDescent="0.25">
      <c r="A116" s="453" t="s">
        <v>1146</v>
      </c>
      <c r="B116" s="454" t="s">
        <v>986</v>
      </c>
      <c r="C116" s="89"/>
      <c r="D116" s="442">
        <f t="array" ref="D116">((SUM(IF((CkDJ[Date]&lt;=$A$7)*(CkDJ[Account Code]=(TRIM($B116))),CkDJ[Debit])))+(SUM(IF((CsDJ[Date]&lt;=$A$7)*(CsDJ[Account Code]=(TRIM($B116))),CsDJ[Debit])))+(SUM(IF((CRDJ[Date]&lt;=$A$7)*(CRDJ[Account Code]=(TRIM($B116))),CRDJ[Debit])))+(SUM(IF((GJ[Date]&lt;=$A$7)*(GJ[Account Code]=(TRIM($B116))),GJ[Debit]))))-((SUM(IF((CkDJ[Date]&lt;=$A$7)*(CkDJ[Account Code]=(TRIM($B116))),CkDJ[Credit])))+(SUM(IF((CsDJ[Date]&lt;=$A$7)*(CsDJ[Account Code]=(TRIM($B116))),CsDJ[Credit])))+(SUM(IF((CRDJ[Date]&lt;=$A$7)*(CRDJ[Account Code]=(TRIM($B116))),CRDJ[Credit])))+(SUM(IF((GJ[Date]&lt;=$A$7)*(GJ[Account Code]=(TRIM($B116))),GJ[Credit]))))</f>
        <v>0</v>
      </c>
      <c r="E116" s="89"/>
    </row>
    <row r="117" spans="1:5" x14ac:dyDescent="0.25">
      <c r="A117" s="453" t="s">
        <v>1136</v>
      </c>
      <c r="B117" s="454" t="s">
        <v>799</v>
      </c>
      <c r="C117" s="89"/>
      <c r="D117" s="442">
        <f t="array" ref="D117">((SUM(IF((CkDJ[Date]&lt;=$A$7)*(CkDJ[Account Code]=(TRIM($B117))),CkDJ[Debit])))+(SUM(IF((CsDJ[Date]&lt;=$A$7)*(CsDJ[Account Code]=(TRIM($B117))),CsDJ[Debit])))+(SUM(IF((CRDJ[Date]&lt;=$A$7)*(CRDJ[Account Code]=(TRIM($B117))),CRDJ[Debit])))+(SUM(IF((GJ[Date]&lt;=$A$7)*(GJ[Account Code]=(TRIM($B117))),GJ[Debit]))))-((SUM(IF((CkDJ[Date]&lt;=$A$7)*(CkDJ[Account Code]=(TRIM($B117))),CkDJ[Credit])))+(SUM(IF((CsDJ[Date]&lt;=$A$7)*(CsDJ[Account Code]=(TRIM($B117))),CsDJ[Credit])))+(SUM(IF((CRDJ[Date]&lt;=$A$7)*(CRDJ[Account Code]=(TRIM($B117))),CRDJ[Credit])))+(SUM(IF((GJ[Date]&lt;=$A$7)*(GJ[Account Code]=(TRIM($B117))),GJ[Credit]))))</f>
        <v>0</v>
      </c>
      <c r="E117" s="89"/>
    </row>
    <row r="118" spans="1:5" x14ac:dyDescent="0.25">
      <c r="A118" s="455" t="s">
        <v>1137</v>
      </c>
      <c r="B118" s="445"/>
      <c r="C118" s="446">
        <v>77582707.069999993</v>
      </c>
      <c r="D118" s="447">
        <f>D50+D51+D52+D61+D66+D70+D71+D72+D73+D74+D75+D76+D77+D78+D87+D97+D98+D105+D109+D110+D111+D112+D113+D114+D115+D117+D116</f>
        <v>0</v>
      </c>
      <c r="E118" s="446">
        <f>SUM(C118-D118)</f>
        <v>77582707.069999993</v>
      </c>
    </row>
    <row r="119" spans="1:5" x14ac:dyDescent="0.25">
      <c r="A119" s="455" t="s">
        <v>1015</v>
      </c>
      <c r="B119" s="445"/>
      <c r="C119" s="446">
        <v>8550000</v>
      </c>
      <c r="D119" s="456">
        <v>0</v>
      </c>
      <c r="E119" s="446">
        <f>+C119-D119</f>
        <v>8550000</v>
      </c>
    </row>
    <row r="120" spans="1:5" x14ac:dyDescent="0.25">
      <c r="A120" s="455" t="s">
        <v>717</v>
      </c>
      <c r="B120" s="445"/>
      <c r="C120" s="446">
        <f>SUM(C47+C118+C119)</f>
        <v>185108987.61000001</v>
      </c>
      <c r="D120" s="456">
        <f>SUM(D118+D47+D119)</f>
        <v>0</v>
      </c>
      <c r="E120" s="446">
        <f>+C120-D120</f>
        <v>185108987.61000001</v>
      </c>
    </row>
    <row r="121" spans="1:5" x14ac:dyDescent="0.25">
      <c r="D121" s="163"/>
      <c r="E121" s="163"/>
    </row>
    <row r="122" spans="1:5" x14ac:dyDescent="0.25">
      <c r="D122" s="163"/>
      <c r="E122" s="163"/>
    </row>
    <row r="123" spans="1:5" x14ac:dyDescent="0.25">
      <c r="A123" s="126" t="s">
        <v>1138</v>
      </c>
      <c r="C123" s="25" t="s">
        <v>1139</v>
      </c>
      <c r="E123" s="457"/>
    </row>
    <row r="124" spans="1:5" x14ac:dyDescent="0.25">
      <c r="D124" s="163"/>
      <c r="E124" s="457"/>
    </row>
    <row r="125" spans="1:5" x14ac:dyDescent="0.25">
      <c r="E125" s="163"/>
    </row>
    <row r="126" spans="1:5" x14ac:dyDescent="0.25">
      <c r="A126" s="195" t="s">
        <v>745</v>
      </c>
      <c r="B126" s="458"/>
      <c r="C126" s="1162" t="s">
        <v>3</v>
      </c>
      <c r="D126" s="1162"/>
      <c r="E126" s="1162"/>
    </row>
    <row r="127" spans="1:5" x14ac:dyDescent="0.25">
      <c r="A127" s="86" t="s">
        <v>1140</v>
      </c>
      <c r="B127" s="129"/>
      <c r="C127" s="1163" t="s">
        <v>464</v>
      </c>
      <c r="D127" s="1164"/>
      <c r="E127" s="1164"/>
    </row>
    <row r="130" spans="1:5" x14ac:dyDescent="0.25">
      <c r="A130" s="459" t="s">
        <v>1141</v>
      </c>
      <c r="B130" s="460"/>
    </row>
    <row r="133" spans="1:5" x14ac:dyDescent="0.25">
      <c r="A133" s="461" t="s">
        <v>744</v>
      </c>
      <c r="B133" s="461"/>
      <c r="C133" s="461"/>
      <c r="D133" s="461"/>
      <c r="E133" s="461"/>
    </row>
    <row r="134" spans="1:5" x14ac:dyDescent="0.25">
      <c r="A134" s="462" t="s">
        <v>1142</v>
      </c>
      <c r="B134" s="462"/>
      <c r="C134" s="462"/>
      <c r="D134" s="462"/>
      <c r="E134" s="462"/>
    </row>
  </sheetData>
  <mergeCells count="7">
    <mergeCell ref="C126:E126"/>
    <mergeCell ref="C127:E127"/>
    <mergeCell ref="B11:B12"/>
    <mergeCell ref="A11:A12"/>
    <mergeCell ref="C11:C12"/>
    <mergeCell ref="D11:D12"/>
    <mergeCell ref="E11:E12"/>
  </mergeCells>
  <printOptions horizontalCentered="1"/>
  <pageMargins left="0.25" right="0.25" top="0.75" bottom="1.5" header="0.3" footer="1.35"/>
  <pageSetup paperSize="5" scale="75" orientation="portrait" r:id="rId1"/>
  <headerFooter>
    <oddFooter>Page &amp;P of &amp;N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99FF"/>
  </sheetPr>
  <dimension ref="A1:E134"/>
  <sheetViews>
    <sheetView workbookViewId="0"/>
  </sheetViews>
  <sheetFormatPr defaultColWidth="9" defaultRowHeight="15.75" x14ac:dyDescent="0.25"/>
  <cols>
    <col min="1" max="1" width="49.5" style="126" customWidth="1"/>
    <col min="2" max="2" width="7" style="436" customWidth="1"/>
    <col min="3" max="5" width="17.125" style="126" customWidth="1"/>
    <col min="6" max="16384" width="9" style="126"/>
  </cols>
  <sheetData>
    <row r="1" spans="1:5" x14ac:dyDescent="0.25">
      <c r="A1" s="430" t="s">
        <v>1063</v>
      </c>
      <c r="B1" s="431"/>
      <c r="C1" s="430"/>
      <c r="D1" s="430"/>
      <c r="E1" s="430"/>
    </row>
    <row r="2" spans="1:5" ht="22.5" x14ac:dyDescent="0.25">
      <c r="A2" s="432" t="s">
        <v>355</v>
      </c>
      <c r="B2" s="433"/>
      <c r="C2" s="432"/>
      <c r="D2" s="432"/>
      <c r="E2" s="432"/>
    </row>
    <row r="3" spans="1:5" x14ac:dyDescent="0.25">
      <c r="A3" s="430" t="s">
        <v>1064</v>
      </c>
      <c r="B3" s="431"/>
      <c r="C3" s="430"/>
      <c r="D3" s="430"/>
      <c r="E3" s="430"/>
    </row>
    <row r="4" spans="1:5" x14ac:dyDescent="0.25">
      <c r="A4" s="430" t="s">
        <v>1065</v>
      </c>
      <c r="B4" s="431"/>
      <c r="C4" s="430"/>
      <c r="D4" s="430"/>
      <c r="E4" s="430"/>
    </row>
    <row r="5" spans="1:5" x14ac:dyDescent="0.25">
      <c r="A5" s="430"/>
      <c r="B5" s="431"/>
      <c r="C5" s="430"/>
      <c r="D5" s="430"/>
      <c r="E5" s="430"/>
    </row>
    <row r="6" spans="1:5" x14ac:dyDescent="0.25">
      <c r="A6" s="430" t="s">
        <v>1158</v>
      </c>
      <c r="B6" s="431"/>
      <c r="C6" s="430"/>
      <c r="D6" s="430"/>
      <c r="E6" s="430"/>
    </row>
    <row r="7" spans="1:5" x14ac:dyDescent="0.25">
      <c r="A7" s="434">
        <v>42947</v>
      </c>
      <c r="B7" s="435"/>
      <c r="C7" s="430"/>
      <c r="D7" s="430"/>
      <c r="E7" s="430"/>
    </row>
    <row r="8" spans="1:5" x14ac:dyDescent="0.25">
      <c r="A8" s="430"/>
      <c r="B8" s="431"/>
      <c r="C8" s="430"/>
      <c r="D8" s="430"/>
      <c r="E8" s="430"/>
    </row>
    <row r="9" spans="1:5" x14ac:dyDescent="0.25">
      <c r="A9" s="430"/>
      <c r="B9" s="431"/>
      <c r="C9" s="430"/>
      <c r="D9" s="430"/>
      <c r="E9" s="430"/>
    </row>
    <row r="11" spans="1:5" ht="15" customHeight="1" x14ac:dyDescent="0.25">
      <c r="A11" s="1072" t="s">
        <v>1066</v>
      </c>
      <c r="B11" s="1165" t="s">
        <v>403</v>
      </c>
      <c r="C11" s="1074" t="s">
        <v>1067</v>
      </c>
      <c r="D11" s="1074" t="s">
        <v>1161</v>
      </c>
      <c r="E11" s="1074" t="s">
        <v>1068</v>
      </c>
    </row>
    <row r="12" spans="1:5" x14ac:dyDescent="0.25">
      <c r="A12" s="1072"/>
      <c r="B12" s="1165"/>
      <c r="C12" s="1074"/>
      <c r="D12" s="1074"/>
      <c r="E12" s="1074"/>
    </row>
    <row r="13" spans="1:5" x14ac:dyDescent="0.25">
      <c r="A13" s="320" t="s">
        <v>1069</v>
      </c>
      <c r="B13" s="437"/>
      <c r="C13" s="89"/>
      <c r="D13" s="438"/>
      <c r="E13" s="89"/>
    </row>
    <row r="14" spans="1:5" x14ac:dyDescent="0.25">
      <c r="A14" s="320" t="s">
        <v>1070</v>
      </c>
      <c r="B14" s="437"/>
      <c r="C14" s="89"/>
      <c r="D14" s="439">
        <f>SUM(D15+D16+D17)</f>
        <v>0</v>
      </c>
      <c r="E14" s="89"/>
    </row>
    <row r="15" spans="1:5" x14ac:dyDescent="0.25">
      <c r="A15" s="440" t="s">
        <v>1071</v>
      </c>
      <c r="B15" s="441" t="s">
        <v>162</v>
      </c>
      <c r="C15" s="89"/>
      <c r="D15" s="442">
        <f t="array" ref="D15">((SUM(IF((CkDJ[Date]&lt;=$A$7)*(CkDJ[Account Code]=(TRIM($B15))),CkDJ[Debit])))+(SUM(IF((CsDJ[Date]&lt;=$A$7)*(CsDJ[Account Code]=(TRIM($B15))),CsDJ[Debit])))+(SUM(IF((CRDJ[Date]&lt;=$A$7)*(CRDJ[Account Code]=(TRIM($B15))),CRDJ[Debit])))+(SUM(IF((GJ[Date]&lt;=$A$7)*(GJ[Account Code]=(TRIM($B15))),GJ[Debit]))))-((SUM(IF((CkDJ[Date]&lt;=$A$7)*(CkDJ[Account Code]=(TRIM($B15))),CkDJ[Credit])))+(SUM(IF((CsDJ[Date]&lt;=$A$7)*(CsDJ[Account Code]=(TRIM($B15))),CsDJ[Credit])))+(SUM(IF((CRDJ[Date]&lt;=$A$7)*(CRDJ[Account Code]=(TRIM($B15))),CRDJ[Credit])))+(SUM(IF((GJ[Date]&lt;=$A$7)*(GJ[Account Code]=(TRIM($B15))),GJ[Credit]))))</f>
        <v>0</v>
      </c>
      <c r="E15" s="89"/>
    </row>
    <row r="16" spans="1:5" x14ac:dyDescent="0.25">
      <c r="A16" s="440" t="s">
        <v>1072</v>
      </c>
      <c r="B16" s="441" t="s">
        <v>163</v>
      </c>
      <c r="C16" s="89"/>
      <c r="D16" s="442">
        <f t="array" ref="D16">((SUM(IF((CkDJ[Date]&lt;=$A$7)*(CkDJ[Account Code]=(TRIM($B16))),CkDJ[Debit])))+(SUM(IF((CsDJ[Date]&lt;=$A$7)*(CsDJ[Account Code]=(TRIM($B16))),CsDJ[Debit])))+(SUM(IF((CRDJ[Date]&lt;=$A$7)*(CRDJ[Account Code]=(TRIM($B16))),CRDJ[Debit])))+(SUM(IF((GJ[Date]&lt;=$A$7)*(GJ[Account Code]=(TRIM($B16))),GJ[Debit]))))-((SUM(IF((CkDJ[Date]&lt;=$A$7)*(CkDJ[Account Code]=(TRIM($B16))),CkDJ[Credit])))+(SUM(IF((CsDJ[Date]&lt;=$A$7)*(CsDJ[Account Code]=(TRIM($B16))),CsDJ[Credit])))+(SUM(IF((CRDJ[Date]&lt;=$A$7)*(CRDJ[Account Code]=(TRIM($B16))),CRDJ[Credit])))+(SUM(IF((GJ[Date]&lt;=$A$7)*(GJ[Account Code]=(TRIM($B16))),GJ[Credit]))))</f>
        <v>0</v>
      </c>
      <c r="E16" s="89"/>
    </row>
    <row r="17" spans="1:5" x14ac:dyDescent="0.25">
      <c r="A17" s="440" t="s">
        <v>1073</v>
      </c>
      <c r="B17" s="441" t="s">
        <v>799</v>
      </c>
      <c r="C17" s="89"/>
      <c r="D17" s="438">
        <v>0</v>
      </c>
      <c r="E17" s="89"/>
    </row>
    <row r="18" spans="1:5" x14ac:dyDescent="0.25">
      <c r="A18" s="320" t="s">
        <v>1074</v>
      </c>
      <c r="B18" s="437"/>
      <c r="C18" s="89"/>
      <c r="D18" s="439">
        <f>SUM(D19:D32)</f>
        <v>0</v>
      </c>
      <c r="E18" s="89"/>
    </row>
    <row r="19" spans="1:5" x14ac:dyDescent="0.25">
      <c r="A19" s="440" t="s">
        <v>1075</v>
      </c>
      <c r="B19" s="441" t="s">
        <v>164</v>
      </c>
      <c r="C19" s="89"/>
      <c r="D19" s="442">
        <f t="array" ref="D19">((SUM(IF((CkDJ[Date]&lt;=$A$7)*(CkDJ[Account Code]=(TRIM($B19))),CkDJ[Debit])))+(SUM(IF((CsDJ[Date]&lt;=$A$7)*(CsDJ[Account Code]=(TRIM($B19))),CsDJ[Debit])))+(SUM(IF((CRDJ[Date]&lt;=$A$7)*(CRDJ[Account Code]=(TRIM($B19))),CRDJ[Debit])))+(SUM(IF((GJ[Date]&lt;=$A$7)*(GJ[Account Code]=(TRIM($B19))),GJ[Debit]))))-((SUM(IF((CkDJ[Date]&lt;=$A$7)*(CkDJ[Account Code]=(TRIM($B19))),CkDJ[Credit])))+(SUM(IF((CsDJ[Date]&lt;=$A$7)*(CsDJ[Account Code]=(TRIM($B19))),CsDJ[Credit])))+(SUM(IF((CRDJ[Date]&lt;=$A$7)*(CRDJ[Account Code]=(TRIM($B19))),CRDJ[Credit])))+(SUM(IF((GJ[Date]&lt;=$A$7)*(GJ[Account Code]=(TRIM($B19))),GJ[Credit]))))</f>
        <v>0</v>
      </c>
      <c r="E19" s="89"/>
    </row>
    <row r="20" spans="1:5" x14ac:dyDescent="0.25">
      <c r="A20" s="440" t="s">
        <v>1076</v>
      </c>
      <c r="B20" s="441" t="s">
        <v>168</v>
      </c>
      <c r="C20" s="89"/>
      <c r="D20" s="442">
        <f t="array" ref="D20">((SUM(IF((CkDJ[Date]&lt;=$A$7)*(CkDJ[Account Code]=(TRIM($B20))),CkDJ[Debit])))+(SUM(IF((CsDJ[Date]&lt;=$A$7)*(CsDJ[Account Code]=(TRIM($B20))),CsDJ[Debit])))+(SUM(IF((CRDJ[Date]&lt;=$A$7)*(CRDJ[Account Code]=(TRIM($B20))),CRDJ[Debit])))+(SUM(IF((GJ[Date]&lt;=$A$7)*(GJ[Account Code]=(TRIM($B20))),GJ[Debit]))))-((SUM(IF((CkDJ[Date]&lt;=$A$7)*(CkDJ[Account Code]=(TRIM($B20))),CkDJ[Credit])))+(SUM(IF((CsDJ[Date]&lt;=$A$7)*(CsDJ[Account Code]=(TRIM($B20))),CsDJ[Credit])))+(SUM(IF((CRDJ[Date]&lt;=$A$7)*(CRDJ[Account Code]=(TRIM($B20))),CRDJ[Credit])))+(SUM(IF((GJ[Date]&lt;=$A$7)*(GJ[Account Code]=(TRIM($B20))),GJ[Credit]))))</f>
        <v>0</v>
      </c>
      <c r="E20" s="89"/>
    </row>
    <row r="21" spans="1:5" x14ac:dyDescent="0.25">
      <c r="A21" s="440" t="s">
        <v>1077</v>
      </c>
      <c r="B21" s="441" t="s">
        <v>165</v>
      </c>
      <c r="C21" s="89"/>
      <c r="D21" s="442">
        <f t="array" ref="D21">((SUM(IF((CkDJ[Date]&lt;=$A$7)*(CkDJ[Account Code]=(TRIM($B21))),CkDJ[Debit])))+(SUM(IF((CsDJ[Date]&lt;=$A$7)*(CsDJ[Account Code]=(TRIM($B21))),CsDJ[Debit])))+(SUM(IF((CRDJ[Date]&lt;=$A$7)*(CRDJ[Account Code]=(TRIM($B21))),CRDJ[Debit])))+(SUM(IF((GJ[Date]&lt;=$A$7)*(GJ[Account Code]=(TRIM($B21))),GJ[Debit]))))-((SUM(IF((CkDJ[Date]&lt;=$A$7)*(CkDJ[Account Code]=(TRIM($B21))),CkDJ[Credit])))+(SUM(IF((CsDJ[Date]&lt;=$A$7)*(CsDJ[Account Code]=(TRIM($B21))),CsDJ[Credit])))+(SUM(IF((CRDJ[Date]&lt;=$A$7)*(CRDJ[Account Code]=(TRIM($B21))),CRDJ[Credit])))+(SUM(IF((GJ[Date]&lt;=$A$7)*(GJ[Account Code]=(TRIM($B21))),GJ[Credit]))))</f>
        <v>0</v>
      </c>
      <c r="E21" s="89"/>
    </row>
    <row r="22" spans="1:5" x14ac:dyDescent="0.25">
      <c r="A22" s="440" t="s">
        <v>1078</v>
      </c>
      <c r="B22" s="441" t="s">
        <v>166</v>
      </c>
      <c r="C22" s="89"/>
      <c r="D22" s="442">
        <f t="array" ref="D22">((SUM(IF((CkDJ[Date]&lt;=$A$7)*(CkDJ[Account Code]=(TRIM($B22))),CkDJ[Debit])))+(SUM(IF((CsDJ[Date]&lt;=$A$7)*(CsDJ[Account Code]=(TRIM($B22))),CsDJ[Debit])))+(SUM(IF((CRDJ[Date]&lt;=$A$7)*(CRDJ[Account Code]=(TRIM($B22))),CRDJ[Debit])))+(SUM(IF((GJ[Date]&lt;=$A$7)*(GJ[Account Code]=(TRIM($B22))),GJ[Debit]))))-((SUM(IF((CkDJ[Date]&lt;=$A$7)*(CkDJ[Account Code]=(TRIM($B22))),CkDJ[Credit])))+(SUM(IF((CsDJ[Date]&lt;=$A$7)*(CsDJ[Account Code]=(TRIM($B22))),CsDJ[Credit])))+(SUM(IF((CRDJ[Date]&lt;=$A$7)*(CRDJ[Account Code]=(TRIM($B22))),CRDJ[Credit])))+(SUM(IF((GJ[Date]&lt;=$A$7)*(GJ[Account Code]=(TRIM($B22))),GJ[Credit]))))</f>
        <v>0</v>
      </c>
      <c r="E22" s="89"/>
    </row>
    <row r="23" spans="1:5" x14ac:dyDescent="0.25">
      <c r="A23" s="440" t="s">
        <v>1079</v>
      </c>
      <c r="B23" s="441" t="s">
        <v>167</v>
      </c>
      <c r="C23" s="89"/>
      <c r="D23" s="442">
        <f t="array" ref="D23">((SUM(IF((CkDJ[Date]&lt;=$A$7)*(CkDJ[Account Code]=(TRIM($B23))),CkDJ[Debit])))+(SUM(IF((CsDJ[Date]&lt;=$A$7)*(CsDJ[Account Code]=(TRIM($B23))),CsDJ[Debit])))+(SUM(IF((CRDJ[Date]&lt;=$A$7)*(CRDJ[Account Code]=(TRIM($B23))),CRDJ[Debit])))+(SUM(IF((GJ[Date]&lt;=$A$7)*(GJ[Account Code]=(TRIM($B23))),GJ[Debit]))))-((SUM(IF((CkDJ[Date]&lt;=$A$7)*(CkDJ[Account Code]=(TRIM($B23))),CkDJ[Credit])))+(SUM(IF((CsDJ[Date]&lt;=$A$7)*(CsDJ[Account Code]=(TRIM($B23))),CsDJ[Credit])))+(SUM(IF((CRDJ[Date]&lt;=$A$7)*(CRDJ[Account Code]=(TRIM($B23))),CRDJ[Credit])))+(SUM(IF((GJ[Date]&lt;=$A$7)*(GJ[Account Code]=(TRIM($B23))),GJ[Credit]))))</f>
        <v>0</v>
      </c>
      <c r="E23" s="89"/>
    </row>
    <row r="24" spans="1:5" x14ac:dyDescent="0.25">
      <c r="A24" s="440" t="s">
        <v>1080</v>
      </c>
      <c r="B24" s="441" t="s">
        <v>171</v>
      </c>
      <c r="C24" s="89"/>
      <c r="D24" s="442">
        <f t="array" ref="D24">((SUM(IF((CkDJ[Date]&lt;=$A$7)*(CkDJ[Account Code]=(TRIM($B24))),CkDJ[Debit])))+(SUM(IF((CsDJ[Date]&lt;=$A$7)*(CsDJ[Account Code]=(TRIM($B24))),CsDJ[Debit])))+(SUM(IF((CRDJ[Date]&lt;=$A$7)*(CRDJ[Account Code]=(TRIM($B24))),CRDJ[Debit])))+(SUM(IF((GJ[Date]&lt;=$A$7)*(GJ[Account Code]=(TRIM($B24))),GJ[Debit]))))-((SUM(IF((CkDJ[Date]&lt;=$A$7)*(CkDJ[Account Code]=(TRIM($B24))),CkDJ[Credit])))+(SUM(IF((CsDJ[Date]&lt;=$A$7)*(CsDJ[Account Code]=(TRIM($B24))),CsDJ[Credit])))+(SUM(IF((CRDJ[Date]&lt;=$A$7)*(CRDJ[Account Code]=(TRIM($B24))),CRDJ[Credit])))+(SUM(IF((GJ[Date]&lt;=$A$7)*(GJ[Account Code]=(TRIM($B24))),GJ[Credit]))))</f>
        <v>0</v>
      </c>
      <c r="E24" s="89"/>
    </row>
    <row r="25" spans="1:5" x14ac:dyDescent="0.25">
      <c r="A25" s="440" t="s">
        <v>1081</v>
      </c>
      <c r="B25" s="441" t="s">
        <v>173</v>
      </c>
      <c r="C25" s="89"/>
      <c r="D25" s="442">
        <f t="array" ref="D25">((SUM(IF((CkDJ[Date]&lt;=$A$7)*(CkDJ[Account Code]=(TRIM($B25))),CkDJ[Debit])))+(SUM(IF((CsDJ[Date]&lt;=$A$7)*(CsDJ[Account Code]=(TRIM($B25))),CsDJ[Debit])))+(SUM(IF((CRDJ[Date]&lt;=$A$7)*(CRDJ[Account Code]=(TRIM($B25))),CRDJ[Debit])))+(SUM(IF((GJ[Date]&lt;=$A$7)*(GJ[Account Code]=(TRIM($B25))),GJ[Debit]))))-((SUM(IF((CkDJ[Date]&lt;=$A$7)*(CkDJ[Account Code]=(TRIM($B25))),CkDJ[Credit])))+(SUM(IF((CsDJ[Date]&lt;=$A$7)*(CsDJ[Account Code]=(TRIM($B25))),CsDJ[Credit])))+(SUM(IF((CRDJ[Date]&lt;=$A$7)*(CRDJ[Account Code]=(TRIM($B25))),CRDJ[Credit])))+(SUM(IF((GJ[Date]&lt;=$A$7)*(GJ[Account Code]=(TRIM($B25))),GJ[Credit]))))</f>
        <v>0</v>
      </c>
      <c r="E25" s="89"/>
    </row>
    <row r="26" spans="1:5" x14ac:dyDescent="0.25">
      <c r="A26" s="440" t="s">
        <v>1082</v>
      </c>
      <c r="B26" s="441" t="s">
        <v>7</v>
      </c>
      <c r="C26" s="89"/>
      <c r="D26" s="442">
        <f t="array" ref="D26">((SUM(IF((CkDJ[Date]&lt;=$A$7)*(CkDJ[Account Code]=(TRIM($B26))),CkDJ[Debit])))+(SUM(IF((CsDJ[Date]&lt;=$A$7)*(CsDJ[Account Code]=(TRIM($B26))),CsDJ[Debit])))+(SUM(IF((CRDJ[Date]&lt;=$A$7)*(CRDJ[Account Code]=(TRIM($B26))),CRDJ[Debit])))+(SUM(IF((GJ[Date]&lt;=$A$7)*(GJ[Account Code]=(TRIM($B26))),GJ[Debit]))))-((SUM(IF((CkDJ[Date]&lt;=$A$7)*(CkDJ[Account Code]=(TRIM($B26))),CkDJ[Credit])))+(SUM(IF((CsDJ[Date]&lt;=$A$7)*(CsDJ[Account Code]=(TRIM($B26))),CsDJ[Credit])))+(SUM(IF((CRDJ[Date]&lt;=$A$7)*(CRDJ[Account Code]=(TRIM($B26))),CRDJ[Credit])))+(SUM(IF((GJ[Date]&lt;=$A$7)*(GJ[Account Code]=(TRIM($B26))),GJ[Credit]))))</f>
        <v>0</v>
      </c>
      <c r="E26" s="89"/>
    </row>
    <row r="27" spans="1:5" x14ac:dyDescent="0.25">
      <c r="A27" s="440" t="s">
        <v>1083</v>
      </c>
      <c r="B27" s="441" t="s">
        <v>5</v>
      </c>
      <c r="C27" s="89"/>
      <c r="D27" s="442">
        <f t="array" ref="D27">((SUM(IF((CkDJ[Date]&lt;=$A$7)*(CkDJ[Account Code]=(TRIM($B27))),CkDJ[Debit])))+(SUM(IF((CsDJ[Date]&lt;=$A$7)*(CsDJ[Account Code]=(TRIM($B27))),CsDJ[Debit])))+(SUM(IF((CRDJ[Date]&lt;=$A$7)*(CRDJ[Account Code]=(TRIM($B27))),CRDJ[Debit])))+(SUM(IF((GJ[Date]&lt;=$A$7)*(GJ[Account Code]=(TRIM($B27))),GJ[Debit]))))-((SUM(IF((CkDJ[Date]&lt;=$A$7)*(CkDJ[Account Code]=(TRIM($B27))),CkDJ[Credit])))+(SUM(IF((CsDJ[Date]&lt;=$A$7)*(CsDJ[Account Code]=(TRIM($B27))),CsDJ[Credit])))+(SUM(IF((CRDJ[Date]&lt;=$A$7)*(CRDJ[Account Code]=(TRIM($B27))),CRDJ[Credit])))+(SUM(IF((GJ[Date]&lt;=$A$7)*(GJ[Account Code]=(TRIM($B27))),GJ[Credit]))))</f>
        <v>0</v>
      </c>
      <c r="E27" s="89"/>
    </row>
    <row r="28" spans="1:5" x14ac:dyDescent="0.25">
      <c r="A28" s="440" t="s">
        <v>1084</v>
      </c>
      <c r="B28" s="441" t="s">
        <v>6</v>
      </c>
      <c r="C28" s="89"/>
      <c r="D28" s="442">
        <f t="array" ref="D28">((SUM(IF((CkDJ[Date]&lt;=$A$7)*(CkDJ[Account Code]=(TRIM($B28))),CkDJ[Debit])))+(SUM(IF((CsDJ[Date]&lt;=$A$7)*(CsDJ[Account Code]=(TRIM($B28))),CsDJ[Debit])))+(SUM(IF((CRDJ[Date]&lt;=$A$7)*(CRDJ[Account Code]=(TRIM($B28))),CRDJ[Debit])))+(SUM(IF((GJ[Date]&lt;=$A$7)*(GJ[Account Code]=(TRIM($B28))),GJ[Debit]))))-((SUM(IF((CkDJ[Date]&lt;=$A$7)*(CkDJ[Account Code]=(TRIM($B28))),CkDJ[Credit])))+(SUM(IF((CsDJ[Date]&lt;=$A$7)*(CsDJ[Account Code]=(TRIM($B28))),CsDJ[Credit])))+(SUM(IF((CRDJ[Date]&lt;=$A$7)*(CRDJ[Account Code]=(TRIM($B28))),CRDJ[Credit])))+(SUM(IF((GJ[Date]&lt;=$A$7)*(GJ[Account Code]=(TRIM($B28))),GJ[Credit]))))</f>
        <v>0</v>
      </c>
      <c r="E28" s="89"/>
    </row>
    <row r="29" spans="1:5" x14ac:dyDescent="0.25">
      <c r="A29" s="440" t="s">
        <v>887</v>
      </c>
      <c r="B29" s="441" t="s">
        <v>170</v>
      </c>
      <c r="C29" s="89"/>
      <c r="D29" s="442">
        <f t="array" ref="D29">((SUM(IF((CkDJ[Date]&lt;=$A$7)*(CkDJ[Account Code]=(TRIM($B29))),CkDJ[Debit])))+(SUM(IF((CsDJ[Date]&lt;=$A$7)*(CsDJ[Account Code]=(TRIM($B29))),CsDJ[Debit])))+(SUM(IF((CRDJ[Date]&lt;=$A$7)*(CRDJ[Account Code]=(TRIM($B29))),CRDJ[Debit])))+(SUM(IF((GJ[Date]&lt;=$A$7)*(GJ[Account Code]=(TRIM($B29))),GJ[Debit]))))-((SUM(IF((CkDJ[Date]&lt;=$A$7)*(CkDJ[Account Code]=(TRIM($B29))),CkDJ[Credit])))+(SUM(IF((CsDJ[Date]&lt;=$A$7)*(CsDJ[Account Code]=(TRIM($B29))),CsDJ[Credit])))+(SUM(IF((CRDJ[Date]&lt;=$A$7)*(CRDJ[Account Code]=(TRIM($B29))),CRDJ[Credit])))+(SUM(IF((GJ[Date]&lt;=$A$7)*(GJ[Account Code]=(TRIM($B29))),GJ[Credit]))))</f>
        <v>0</v>
      </c>
      <c r="E29" s="89"/>
    </row>
    <row r="30" spans="1:5" x14ac:dyDescent="0.25">
      <c r="A30" s="440" t="s">
        <v>1085</v>
      </c>
      <c r="B30" s="441" t="s">
        <v>172</v>
      </c>
      <c r="C30" s="89"/>
      <c r="D30" s="442">
        <f t="array" ref="D30">((SUM(IF((CkDJ[Date]&lt;=$A$7)*(CkDJ[Account Code]=(TRIM($B30))),CkDJ[Debit])))+(SUM(IF((CsDJ[Date]&lt;=$A$7)*(CsDJ[Account Code]=(TRIM($B30))),CsDJ[Debit])))+(SUM(IF((CRDJ[Date]&lt;=$A$7)*(CRDJ[Account Code]=(TRIM($B30))),CRDJ[Debit])))+(SUM(IF((GJ[Date]&lt;=$A$7)*(GJ[Account Code]=(TRIM($B30))),GJ[Debit]))))-((SUM(IF((CkDJ[Date]&lt;=$A$7)*(CkDJ[Account Code]=(TRIM($B30))),CkDJ[Credit])))+(SUM(IF((CsDJ[Date]&lt;=$A$7)*(CsDJ[Account Code]=(TRIM($B30))),CsDJ[Credit])))+(SUM(IF((CRDJ[Date]&lt;=$A$7)*(CRDJ[Account Code]=(TRIM($B30))),CRDJ[Credit])))+(SUM(IF((GJ[Date]&lt;=$A$7)*(GJ[Account Code]=(TRIM($B30))),GJ[Credit]))))</f>
        <v>0</v>
      </c>
      <c r="E30" s="89"/>
    </row>
    <row r="31" spans="1:5" x14ac:dyDescent="0.25">
      <c r="A31" s="440" t="s">
        <v>1086</v>
      </c>
      <c r="B31" s="441" t="s">
        <v>174</v>
      </c>
      <c r="C31" s="89"/>
      <c r="D31" s="442">
        <f t="array" ref="D31">((SUM(IF((CkDJ[Date]&lt;=$A$7)*(CkDJ[Account Code]=(TRIM($B31))),CkDJ[Debit])))+(SUM(IF((CsDJ[Date]&lt;=$A$7)*(CsDJ[Account Code]=(TRIM($B31))),CsDJ[Debit])))+(SUM(IF((CRDJ[Date]&lt;=$A$7)*(CRDJ[Account Code]=(TRIM($B31))),CRDJ[Debit])))+(SUM(IF((GJ[Date]&lt;=$A$7)*(GJ[Account Code]=(TRIM($B31))),GJ[Debit]))))-((SUM(IF((CkDJ[Date]&lt;=$A$7)*(CkDJ[Account Code]=(TRIM($B31))),CkDJ[Credit])))+(SUM(IF((CsDJ[Date]&lt;=$A$7)*(CsDJ[Account Code]=(TRIM($B31))),CsDJ[Credit])))+(SUM(IF((CRDJ[Date]&lt;=$A$7)*(CRDJ[Account Code]=(TRIM($B31))),CRDJ[Credit])))+(SUM(IF((GJ[Date]&lt;=$A$7)*(GJ[Account Code]=(TRIM($B31))),GJ[Credit]))))</f>
        <v>0</v>
      </c>
      <c r="E31" s="89"/>
    </row>
    <row r="32" spans="1:5" x14ac:dyDescent="0.25">
      <c r="A32" s="440" t="s">
        <v>1143</v>
      </c>
      <c r="B32" s="441" t="s">
        <v>214</v>
      </c>
      <c r="C32" s="89"/>
      <c r="D32" s="442">
        <f t="array" ref="D32">((SUM(IF((CkDJ[Date]&lt;=$A$7)*(CkDJ[Account Code]=(TRIM($B32))),CkDJ[Debit])))+(SUM(IF((CsDJ[Date]&lt;=$A$7)*(CsDJ[Account Code]=(TRIM($B32))),CsDJ[Debit])))+(SUM(IF((CRDJ[Date]&lt;=$A$7)*(CRDJ[Account Code]=(TRIM($B32))),CRDJ[Debit])))+(SUM(IF((GJ[Date]&lt;=$A$7)*(GJ[Account Code]=(TRIM($B32))),GJ[Debit]))))-((SUM(IF((CkDJ[Date]&lt;=$A$7)*(CkDJ[Account Code]=(TRIM($B32))),CkDJ[Credit])))+(SUM(IF((CsDJ[Date]&lt;=$A$7)*(CsDJ[Account Code]=(TRIM($B32))),CsDJ[Credit])))+(SUM(IF((CRDJ[Date]&lt;=$A$7)*(CRDJ[Account Code]=(TRIM($B32))),CRDJ[Credit])))+(SUM(IF((GJ[Date]&lt;=$A$7)*(GJ[Account Code]=(TRIM($B32))),GJ[Credit]))))</f>
        <v>0</v>
      </c>
      <c r="E32" s="89"/>
    </row>
    <row r="33" spans="1:5" x14ac:dyDescent="0.25">
      <c r="A33" s="320" t="s">
        <v>1087</v>
      </c>
      <c r="B33" s="437"/>
      <c r="C33" s="89"/>
      <c r="D33" s="439">
        <f>D34+D35+D36</f>
        <v>0</v>
      </c>
      <c r="E33" s="89"/>
    </row>
    <row r="34" spans="1:5" x14ac:dyDescent="0.25">
      <c r="A34" s="440" t="s">
        <v>1088</v>
      </c>
      <c r="B34" s="441" t="s">
        <v>799</v>
      </c>
      <c r="C34" s="89"/>
      <c r="D34" s="442">
        <f t="array" ref="D34">((SUM(IF((CkDJ[Date]&lt;=$A$7)*(CkDJ[Account Code]=(TRIM($B34))),CkDJ[Debit])))+(SUM(IF((CsDJ[Date]&lt;=$A$7)*(CsDJ[Account Code]=(TRIM($B34))),CsDJ[Debit])))+(SUM(IF((CRDJ[Date]&lt;=$A$7)*(CRDJ[Account Code]=(TRIM($B34))),CRDJ[Debit])))+(SUM(IF((GJ[Date]&lt;=$A$7)*(GJ[Account Code]=(TRIM($B34))),GJ[Debit]))))-((SUM(IF((CkDJ[Date]&lt;=$A$7)*(CkDJ[Account Code]=(TRIM($B34))),CkDJ[Credit])))+(SUM(IF((CsDJ[Date]&lt;=$A$7)*(CsDJ[Account Code]=(TRIM($B34))),CsDJ[Credit])))+(SUM(IF((CRDJ[Date]&lt;=$A$7)*(CRDJ[Account Code]=(TRIM($B34))),CRDJ[Credit])))+(SUM(IF((GJ[Date]&lt;=$A$7)*(GJ[Account Code]=(TRIM($B34))),GJ[Credit]))))</f>
        <v>0</v>
      </c>
      <c r="E34" s="89"/>
    </row>
    <row r="35" spans="1:5" x14ac:dyDescent="0.25">
      <c r="A35" s="440" t="s">
        <v>1089</v>
      </c>
      <c r="B35" s="441" t="s">
        <v>212</v>
      </c>
      <c r="C35" s="89"/>
      <c r="D35" s="442">
        <f t="array" ref="D35">((SUM(IF((CkDJ[Date]&lt;=$A$7)*(CkDJ[Account Code]=(TRIM($B35))),CkDJ[Debit])))+(SUM(IF((CsDJ[Date]&lt;=$A$7)*(CsDJ[Account Code]=(TRIM($B35))),CsDJ[Debit])))+(SUM(IF((CRDJ[Date]&lt;=$A$7)*(CRDJ[Account Code]=(TRIM($B35))),CRDJ[Debit])))+(SUM(IF((GJ[Date]&lt;=$A$7)*(GJ[Account Code]=(TRIM($B35))),GJ[Debit]))))-((SUM(IF((CkDJ[Date]&lt;=$A$7)*(CkDJ[Account Code]=(TRIM($B35))),CkDJ[Credit])))+(SUM(IF((CsDJ[Date]&lt;=$A$7)*(CsDJ[Account Code]=(TRIM($B35))),CsDJ[Credit])))+(SUM(IF((CRDJ[Date]&lt;=$A$7)*(CRDJ[Account Code]=(TRIM($B35))),CRDJ[Credit])))+(SUM(IF((GJ[Date]&lt;=$A$7)*(GJ[Account Code]=(TRIM($B35))),GJ[Credit]))))</f>
        <v>0</v>
      </c>
      <c r="E35" s="89"/>
    </row>
    <row r="36" spans="1:5" x14ac:dyDescent="0.25">
      <c r="A36" s="440" t="s">
        <v>1090</v>
      </c>
      <c r="B36" s="441" t="s">
        <v>799</v>
      </c>
      <c r="C36" s="89"/>
      <c r="D36" s="442">
        <f t="array" ref="D36">((SUM(IF((CkDJ[Date]&lt;=$A$7)*(CkDJ[Account Code]=(TRIM($B36))),CkDJ[Debit])))+(SUM(IF((CsDJ[Date]&lt;=$A$7)*(CsDJ[Account Code]=(TRIM($B36))),CsDJ[Debit])))+(SUM(IF((CRDJ[Date]&lt;=$A$7)*(CRDJ[Account Code]=(TRIM($B36))),CRDJ[Debit])))+(SUM(IF((GJ[Date]&lt;=$A$7)*(GJ[Account Code]=(TRIM($B36))),GJ[Debit]))))-((SUM(IF((CkDJ[Date]&lt;=$A$7)*(CkDJ[Account Code]=(TRIM($B36))),CkDJ[Credit])))+(SUM(IF((CsDJ[Date]&lt;=$A$7)*(CsDJ[Account Code]=(TRIM($B36))),CsDJ[Credit])))+(SUM(IF((CRDJ[Date]&lt;=$A$7)*(CRDJ[Account Code]=(TRIM($B36))),CRDJ[Credit])))+(SUM(IF((GJ[Date]&lt;=$A$7)*(GJ[Account Code]=(TRIM($B36))),GJ[Credit]))))</f>
        <v>0</v>
      </c>
      <c r="E36" s="89"/>
    </row>
    <row r="37" spans="1:5" x14ac:dyDescent="0.25">
      <c r="A37" s="320" t="s">
        <v>1091</v>
      </c>
      <c r="B37" s="437"/>
      <c r="C37" s="89"/>
      <c r="D37" s="439">
        <f>SUM(D38:D41)</f>
        <v>0</v>
      </c>
      <c r="E37" s="89"/>
    </row>
    <row r="38" spans="1:5" x14ac:dyDescent="0.25">
      <c r="A38" s="440" t="s">
        <v>1092</v>
      </c>
      <c r="B38" s="441" t="s">
        <v>175</v>
      </c>
      <c r="C38" s="89"/>
      <c r="D38" s="442">
        <f t="array" ref="D38">((SUM(IF((CkDJ[Date]&lt;=$A$7)*(CkDJ[Account Code]=(TRIM($B38))),CkDJ[Debit])))+(SUM(IF((CsDJ[Date]&lt;=$A$7)*(CsDJ[Account Code]=(TRIM($B38))),CsDJ[Debit])))+(SUM(IF((CRDJ[Date]&lt;=$A$7)*(CRDJ[Account Code]=(TRIM($B38))),CRDJ[Debit])))+(SUM(IF((GJ[Date]&lt;=$A$7)*(GJ[Account Code]=(TRIM($B38))),GJ[Debit]))))-((SUM(IF((CkDJ[Date]&lt;=$A$7)*(CkDJ[Account Code]=(TRIM($B38))),CkDJ[Credit])))+(SUM(IF((CsDJ[Date]&lt;=$A$7)*(CsDJ[Account Code]=(TRIM($B38))),CsDJ[Credit])))+(SUM(IF((CRDJ[Date]&lt;=$A$7)*(CRDJ[Account Code]=(TRIM($B38))),CRDJ[Credit])))+(SUM(IF((GJ[Date]&lt;=$A$7)*(GJ[Account Code]=(TRIM($B38))),GJ[Credit]))))</f>
        <v>0</v>
      </c>
      <c r="E38" s="89"/>
    </row>
    <row r="39" spans="1:5" x14ac:dyDescent="0.25">
      <c r="A39" s="440" t="s">
        <v>1093</v>
      </c>
      <c r="B39" s="441" t="s">
        <v>176</v>
      </c>
      <c r="C39" s="89"/>
      <c r="D39" s="442">
        <f t="array" ref="D39">((SUM(IF((CkDJ[Date]&lt;=$A$7)*(CkDJ[Account Code]=(TRIM($B39))),CkDJ[Debit])))+(SUM(IF((CsDJ[Date]&lt;=$A$7)*(CsDJ[Account Code]=(TRIM($B39))),CsDJ[Debit])))+(SUM(IF((CRDJ[Date]&lt;=$A$7)*(CRDJ[Account Code]=(TRIM($B39))),CRDJ[Debit])))+(SUM(IF((GJ[Date]&lt;=$A$7)*(GJ[Account Code]=(TRIM($B39))),GJ[Debit]))))-((SUM(IF((CkDJ[Date]&lt;=$A$7)*(CkDJ[Account Code]=(TRIM($B39))),CkDJ[Credit])))+(SUM(IF((CsDJ[Date]&lt;=$A$7)*(CsDJ[Account Code]=(TRIM($B39))),CsDJ[Credit])))+(SUM(IF((CRDJ[Date]&lt;=$A$7)*(CRDJ[Account Code]=(TRIM($B39))),CRDJ[Credit])))+(SUM(IF((GJ[Date]&lt;=$A$7)*(GJ[Account Code]=(TRIM($B39))),GJ[Credit]))))</f>
        <v>0</v>
      </c>
      <c r="E39" s="89"/>
    </row>
    <row r="40" spans="1:5" x14ac:dyDescent="0.25">
      <c r="A40" s="440" t="s">
        <v>1094</v>
      </c>
      <c r="B40" s="441" t="s">
        <v>177</v>
      </c>
      <c r="C40" s="89"/>
      <c r="D40" s="442">
        <f t="array" ref="D40">((SUM(IF((CkDJ[Date]&lt;=$A$7)*(CkDJ[Account Code]=(TRIM($B40))),CkDJ[Debit])))+(SUM(IF((CsDJ[Date]&lt;=$A$7)*(CsDJ[Account Code]=(TRIM($B40))),CsDJ[Debit])))+(SUM(IF((CRDJ[Date]&lt;=$A$7)*(CRDJ[Account Code]=(TRIM($B40))),CRDJ[Debit])))+(SUM(IF((GJ[Date]&lt;=$A$7)*(GJ[Account Code]=(TRIM($B40))),GJ[Debit]))))-((SUM(IF((CkDJ[Date]&lt;=$A$7)*(CkDJ[Account Code]=(TRIM($B40))),CkDJ[Credit])))+(SUM(IF((CsDJ[Date]&lt;=$A$7)*(CsDJ[Account Code]=(TRIM($B40))),CsDJ[Credit])))+(SUM(IF((CRDJ[Date]&lt;=$A$7)*(CRDJ[Account Code]=(TRIM($B40))),CRDJ[Credit])))+(SUM(IF((GJ[Date]&lt;=$A$7)*(GJ[Account Code]=(TRIM($B40))),GJ[Credit]))))</f>
        <v>0</v>
      </c>
      <c r="E40" s="89"/>
    </row>
    <row r="41" spans="1:5" x14ac:dyDescent="0.25">
      <c r="A41" s="440" t="s">
        <v>1095</v>
      </c>
      <c r="B41" s="441" t="s">
        <v>178</v>
      </c>
      <c r="C41" s="89"/>
      <c r="D41" s="442">
        <f t="array" ref="D41">((SUM(IF((CkDJ[Date]&lt;=$A$7)*(CkDJ[Account Code]=(TRIM($B41))),CkDJ[Debit])))+(SUM(IF((CsDJ[Date]&lt;=$A$7)*(CsDJ[Account Code]=(TRIM($B41))),CsDJ[Debit])))+(SUM(IF((CRDJ[Date]&lt;=$A$7)*(CRDJ[Account Code]=(TRIM($B41))),CRDJ[Debit])))+(SUM(IF((GJ[Date]&lt;=$A$7)*(GJ[Account Code]=(TRIM($B41))),GJ[Debit]))))-((SUM(IF((CkDJ[Date]&lt;=$A$7)*(CkDJ[Account Code]=(TRIM($B41))),CkDJ[Credit])))+(SUM(IF((CsDJ[Date]&lt;=$A$7)*(CsDJ[Account Code]=(TRIM($B41))),CsDJ[Credit])))+(SUM(IF((CRDJ[Date]&lt;=$A$7)*(CRDJ[Account Code]=(TRIM($B41))),CRDJ[Credit])))+(SUM(IF((GJ[Date]&lt;=$A$7)*(GJ[Account Code]=(TRIM($B41))),GJ[Credit]))))</f>
        <v>0</v>
      </c>
      <c r="E41" s="89"/>
    </row>
    <row r="42" spans="1:5" x14ac:dyDescent="0.25">
      <c r="A42" s="320" t="s">
        <v>1096</v>
      </c>
      <c r="B42" s="437"/>
      <c r="C42" s="89"/>
      <c r="D42" s="443">
        <f>D43+D44+D45+D46</f>
        <v>0</v>
      </c>
      <c r="E42" s="89"/>
    </row>
    <row r="43" spans="1:5" x14ac:dyDescent="0.25">
      <c r="A43" s="440" t="s">
        <v>897</v>
      </c>
      <c r="B43" s="441" t="s">
        <v>216</v>
      </c>
      <c r="C43" s="89"/>
      <c r="D43" s="442">
        <f t="array" ref="D43">((SUM(IF((CkDJ[Date]&lt;=$A$7)*(CkDJ[Account Code]=(TRIM($B43))),CkDJ[Debit])))+(SUM(IF((CsDJ[Date]&lt;=$A$7)*(CsDJ[Account Code]=(TRIM($B43))),CsDJ[Debit])))+(SUM(IF((CRDJ[Date]&lt;=$A$7)*(CRDJ[Account Code]=(TRIM($B43))),CRDJ[Debit])))+(SUM(IF((GJ[Date]&lt;=$A$7)*(GJ[Account Code]=(TRIM($B43))),GJ[Debit]))))-((SUM(IF((CkDJ[Date]&lt;=$A$7)*(CkDJ[Account Code]=(TRIM($B43))),CkDJ[Credit])))+(SUM(IF((CsDJ[Date]&lt;=$A$7)*(CsDJ[Account Code]=(TRIM($B43))),CsDJ[Credit])))+(SUM(IF((CRDJ[Date]&lt;=$A$7)*(CRDJ[Account Code]=(TRIM($B43))),CRDJ[Credit])))+(SUM(IF((GJ[Date]&lt;=$A$7)*(GJ[Account Code]=(TRIM($B43))),GJ[Credit]))))</f>
        <v>0</v>
      </c>
      <c r="E43" s="89"/>
    </row>
    <row r="44" spans="1:5" x14ac:dyDescent="0.25">
      <c r="A44" s="330" t="s">
        <v>898</v>
      </c>
      <c r="B44" s="61" t="s">
        <v>799</v>
      </c>
      <c r="C44" s="89"/>
      <c r="D44" s="442">
        <f t="array" ref="D44">((SUM(IF((CkDJ[Date]&lt;=$A$7)*(CkDJ[Account Code]=(TRIM($B44))),CkDJ[Debit])))+(SUM(IF((CsDJ[Date]&lt;=$A$7)*(CsDJ[Account Code]=(TRIM($B44))),CsDJ[Debit])))+(SUM(IF((CRDJ[Date]&lt;=$A$7)*(CRDJ[Account Code]=(TRIM($B44))),CRDJ[Debit])))+(SUM(IF((GJ[Date]&lt;=$A$7)*(GJ[Account Code]=(TRIM($B44))),GJ[Debit]))))-((SUM(IF((CkDJ[Date]&lt;=$A$7)*(CkDJ[Account Code]=(TRIM($B44))),CkDJ[Credit])))+(SUM(IF((CsDJ[Date]&lt;=$A$7)*(CsDJ[Account Code]=(TRIM($B44))),CsDJ[Credit])))+(SUM(IF((CRDJ[Date]&lt;=$A$7)*(CRDJ[Account Code]=(TRIM($B44))),CRDJ[Credit])))+(SUM(IF((GJ[Date]&lt;=$A$7)*(GJ[Account Code]=(TRIM($B44))),GJ[Credit]))))</f>
        <v>0</v>
      </c>
      <c r="E44" s="89"/>
    </row>
    <row r="45" spans="1:5" x14ac:dyDescent="0.25">
      <c r="A45" s="440" t="s">
        <v>899</v>
      </c>
      <c r="B45" s="441" t="s">
        <v>799</v>
      </c>
      <c r="C45" s="89"/>
      <c r="D45" s="442">
        <f t="array" ref="D45">((SUM(IF((CkDJ[Date]&lt;=$A$7)*(CkDJ[Account Code]=(TRIM($B45))),CkDJ[Debit])))+(SUM(IF((CsDJ[Date]&lt;=$A$7)*(CsDJ[Account Code]=(TRIM($B45))),CsDJ[Debit])))+(SUM(IF((CRDJ[Date]&lt;=$A$7)*(CRDJ[Account Code]=(TRIM($B45))),CRDJ[Debit])))+(SUM(IF((GJ[Date]&lt;=$A$7)*(GJ[Account Code]=(TRIM($B45))),GJ[Debit]))))-((SUM(IF((CkDJ[Date]&lt;=$A$7)*(CkDJ[Account Code]=(TRIM($B45))),CkDJ[Credit])))+(SUM(IF((CsDJ[Date]&lt;=$A$7)*(CsDJ[Account Code]=(TRIM($B45))),CsDJ[Credit])))+(SUM(IF((CRDJ[Date]&lt;=$A$7)*(CRDJ[Account Code]=(TRIM($B45))),CRDJ[Credit])))+(SUM(IF((GJ[Date]&lt;=$A$7)*(GJ[Account Code]=(TRIM($B45))),GJ[Credit]))))</f>
        <v>0</v>
      </c>
      <c r="E45" s="89"/>
    </row>
    <row r="46" spans="1:5" x14ac:dyDescent="0.25">
      <c r="A46" s="440" t="s">
        <v>900</v>
      </c>
      <c r="B46" s="441" t="s">
        <v>799</v>
      </c>
      <c r="C46" s="89"/>
      <c r="D46" s="442">
        <f t="array" ref="D46">((SUM(IF((CkDJ[Date]&lt;=$A$7)*(CkDJ[Account Code]=(TRIM($B46))),CkDJ[Debit])))+(SUM(IF((CsDJ[Date]&lt;=$A$7)*(CsDJ[Account Code]=(TRIM($B46))),CsDJ[Debit])))+(SUM(IF((CRDJ[Date]&lt;=$A$7)*(CRDJ[Account Code]=(TRIM($B46))),CRDJ[Debit])))+(SUM(IF((GJ[Date]&lt;=$A$7)*(GJ[Account Code]=(TRIM($B46))),GJ[Debit]))))-((SUM(IF((CkDJ[Date]&lt;=$A$7)*(CkDJ[Account Code]=(TRIM($B46))),CkDJ[Credit])))+(SUM(IF((CsDJ[Date]&lt;=$A$7)*(CsDJ[Account Code]=(TRIM($B46))),CsDJ[Credit])))+(SUM(IF((CRDJ[Date]&lt;=$A$7)*(CRDJ[Account Code]=(TRIM($B46))),CRDJ[Credit])))+(SUM(IF((GJ[Date]&lt;=$A$7)*(GJ[Account Code]=(TRIM($B46))),GJ[Credit]))))</f>
        <v>0</v>
      </c>
      <c r="E46" s="89"/>
    </row>
    <row r="47" spans="1:5" x14ac:dyDescent="0.25">
      <c r="A47" s="444" t="s">
        <v>1097</v>
      </c>
      <c r="B47" s="445"/>
      <c r="C47" s="446">
        <v>56374709.579999998</v>
      </c>
      <c r="D47" s="447">
        <f>SUM(D14+D18+D33+D37+D42)</f>
        <v>0</v>
      </c>
      <c r="E47" s="446">
        <f>+C47-D47</f>
        <v>56374709.579999998</v>
      </c>
    </row>
    <row r="48" spans="1:5" x14ac:dyDescent="0.25">
      <c r="A48" s="448"/>
      <c r="B48" s="441"/>
      <c r="C48" s="442"/>
      <c r="D48" s="449"/>
      <c r="E48" s="442"/>
    </row>
    <row r="49" spans="1:5" x14ac:dyDescent="0.25">
      <c r="A49" s="320" t="s">
        <v>1098</v>
      </c>
      <c r="B49" s="437"/>
      <c r="C49" s="89"/>
      <c r="D49" s="438"/>
      <c r="E49" s="89"/>
    </row>
    <row r="50" spans="1:5" x14ac:dyDescent="0.25">
      <c r="A50" s="320" t="s">
        <v>909</v>
      </c>
      <c r="B50" s="437" t="s">
        <v>223</v>
      </c>
      <c r="C50" s="89"/>
      <c r="D50" s="442">
        <f t="array" ref="D50">((SUM(IF((CkDJ[Date]&lt;=$A$7)*(CkDJ[Account Code]=(TRIM($B50))),CkDJ[Debit])))+(SUM(IF((CsDJ[Date]&lt;=$A$7)*(CsDJ[Account Code]=(TRIM($B50))),CsDJ[Debit])))+(SUM(IF((CRDJ[Date]&lt;=$A$7)*(CRDJ[Account Code]=(TRIM($B50))),CRDJ[Debit])))+(SUM(IF((GJ[Date]&lt;=$A$7)*(GJ[Account Code]=(TRIM($B50))),GJ[Debit]))))-((SUM(IF((CkDJ[Date]&lt;=$A$7)*(CkDJ[Account Code]=(TRIM($B50))),CkDJ[Credit])))+(SUM(IF((CsDJ[Date]&lt;=$A$7)*(CsDJ[Account Code]=(TRIM($B50))),CsDJ[Credit])))+(SUM(IF((CRDJ[Date]&lt;=$A$7)*(CRDJ[Account Code]=(TRIM($B50))),CRDJ[Credit])))+(SUM(IF((GJ[Date]&lt;=$A$7)*(GJ[Account Code]=(TRIM($B50))),GJ[Credit]))))</f>
        <v>0</v>
      </c>
      <c r="E50" s="89"/>
    </row>
    <row r="51" spans="1:5" x14ac:dyDescent="0.25">
      <c r="A51" s="320" t="s">
        <v>1099</v>
      </c>
      <c r="B51" s="437" t="s">
        <v>224</v>
      </c>
      <c r="C51" s="89"/>
      <c r="D51" s="442">
        <f t="array" ref="D51">((SUM(IF((CkDJ[Date]&lt;=$A$7)*(CkDJ[Account Code]=(TRIM($B51))),CkDJ[Debit])))+(SUM(IF((CsDJ[Date]&lt;=$A$7)*(CsDJ[Account Code]=(TRIM($B51))),CsDJ[Debit])))+(SUM(IF((CRDJ[Date]&lt;=$A$7)*(CRDJ[Account Code]=(TRIM($B51))),CRDJ[Debit])))+(SUM(IF((GJ[Date]&lt;=$A$7)*(GJ[Account Code]=(TRIM($B51))),GJ[Debit]))))-((SUM(IF((CkDJ[Date]&lt;=$A$7)*(CkDJ[Account Code]=(TRIM($B51))),CkDJ[Credit])))+(SUM(IF((CsDJ[Date]&lt;=$A$7)*(CsDJ[Account Code]=(TRIM($B51))),CsDJ[Credit])))+(SUM(IF((CRDJ[Date]&lt;=$A$7)*(CRDJ[Account Code]=(TRIM($B51))),CRDJ[Credit])))+(SUM(IF((GJ[Date]&lt;=$A$7)*(GJ[Account Code]=(TRIM($B51))),GJ[Credit]))))</f>
        <v>0</v>
      </c>
      <c r="E51" s="89"/>
    </row>
    <row r="52" spans="1:5" x14ac:dyDescent="0.25">
      <c r="A52" s="320" t="s">
        <v>1100</v>
      </c>
      <c r="B52" s="437"/>
      <c r="C52" s="89"/>
      <c r="D52" s="439">
        <f>SUM(D53:D60)</f>
        <v>0</v>
      </c>
      <c r="E52" s="89"/>
    </row>
    <row r="53" spans="1:5" x14ac:dyDescent="0.25">
      <c r="A53" s="440" t="s">
        <v>1101</v>
      </c>
      <c r="B53" s="441" t="s">
        <v>225</v>
      </c>
      <c r="C53" s="89"/>
      <c r="D53" s="442">
        <f t="array" ref="D53">((SUM(IF((CkDJ[Date]&lt;=$A$7)*(CkDJ[Account Code]=(TRIM($B53))),CkDJ[Debit])))+(SUM(IF((CsDJ[Date]&lt;=$A$7)*(CsDJ[Account Code]=(TRIM($B53))),CsDJ[Debit])))+(SUM(IF((CRDJ[Date]&lt;=$A$7)*(CRDJ[Account Code]=(TRIM($B53))),CRDJ[Debit])))+(SUM(IF((GJ[Date]&lt;=$A$7)*(GJ[Account Code]=(TRIM($B53))),GJ[Debit]))))-((SUM(IF((CkDJ[Date]&lt;=$A$7)*(CkDJ[Account Code]=(TRIM($B53))),CkDJ[Credit])))+(SUM(IF((CsDJ[Date]&lt;=$A$7)*(CsDJ[Account Code]=(TRIM($B53))),CsDJ[Credit])))+(SUM(IF((CRDJ[Date]&lt;=$A$7)*(CRDJ[Account Code]=(TRIM($B53))),CRDJ[Credit])))+(SUM(IF((GJ[Date]&lt;=$A$7)*(GJ[Account Code]=(TRIM($B53))),GJ[Credit]))))</f>
        <v>0</v>
      </c>
      <c r="E53" s="89"/>
    </row>
    <row r="54" spans="1:5" x14ac:dyDescent="0.25">
      <c r="A54" s="440" t="s">
        <v>913</v>
      </c>
      <c r="B54" s="441" t="s">
        <v>226</v>
      </c>
      <c r="C54" s="89"/>
      <c r="D54" s="442">
        <f t="array" ref="D54">((SUM(IF((CkDJ[Date]&lt;=$A$7)*(CkDJ[Account Code]=(TRIM($B54))),CkDJ[Debit])))+(SUM(IF((CsDJ[Date]&lt;=$A$7)*(CsDJ[Account Code]=(TRIM($B54))),CsDJ[Debit])))+(SUM(IF((CRDJ[Date]&lt;=$A$7)*(CRDJ[Account Code]=(TRIM($B54))),CRDJ[Debit])))+(SUM(IF((GJ[Date]&lt;=$A$7)*(GJ[Account Code]=(TRIM($B54))),GJ[Debit]))))-((SUM(IF((CkDJ[Date]&lt;=$A$7)*(CkDJ[Account Code]=(TRIM($B54))),CkDJ[Credit])))+(SUM(IF((CsDJ[Date]&lt;=$A$7)*(CsDJ[Account Code]=(TRIM($B54))),CsDJ[Credit])))+(SUM(IF((CRDJ[Date]&lt;=$A$7)*(CRDJ[Account Code]=(TRIM($B54))),CRDJ[Credit])))+(SUM(IF((GJ[Date]&lt;=$A$7)*(GJ[Account Code]=(TRIM($B54))),GJ[Credit]))))</f>
        <v>0</v>
      </c>
      <c r="E54" s="89"/>
    </row>
    <row r="55" spans="1:5" x14ac:dyDescent="0.25">
      <c r="A55" s="440" t="s">
        <v>1102</v>
      </c>
      <c r="B55" s="441" t="s">
        <v>227</v>
      </c>
      <c r="C55" s="89"/>
      <c r="D55" s="442">
        <f t="array" ref="D55">((SUM(IF((CkDJ[Date]&lt;=$A$7)*(CkDJ[Account Code]=(TRIM($B55))),CkDJ[Debit])))+(SUM(IF((CsDJ[Date]&lt;=$A$7)*(CsDJ[Account Code]=(TRIM($B55))),CsDJ[Debit])))+(SUM(IF((CRDJ[Date]&lt;=$A$7)*(CRDJ[Account Code]=(TRIM($B55))),CRDJ[Debit])))+(SUM(IF((GJ[Date]&lt;=$A$7)*(GJ[Account Code]=(TRIM($B55))),GJ[Debit]))))-((SUM(IF((CkDJ[Date]&lt;=$A$7)*(CkDJ[Account Code]=(TRIM($B55))),CkDJ[Credit])))+(SUM(IF((CsDJ[Date]&lt;=$A$7)*(CsDJ[Account Code]=(TRIM($B55))),CsDJ[Credit])))+(SUM(IF((CRDJ[Date]&lt;=$A$7)*(CRDJ[Account Code]=(TRIM($B55))),CRDJ[Credit])))+(SUM(IF((GJ[Date]&lt;=$A$7)*(GJ[Account Code]=(TRIM($B55))),GJ[Credit]))))</f>
        <v>0</v>
      </c>
      <c r="E55" s="89"/>
    </row>
    <row r="56" spans="1:5" x14ac:dyDescent="0.25">
      <c r="A56" s="440" t="s">
        <v>915</v>
      </c>
      <c r="B56" s="441" t="s">
        <v>228</v>
      </c>
      <c r="C56" s="89"/>
      <c r="D56" s="442">
        <f t="array" ref="D56">((SUM(IF((CkDJ[Date]&lt;=$A$7)*(CkDJ[Account Code]=(TRIM($B56))),CkDJ[Debit])))+(SUM(IF((CsDJ[Date]&lt;=$A$7)*(CsDJ[Account Code]=(TRIM($B56))),CsDJ[Debit])))+(SUM(IF((CRDJ[Date]&lt;=$A$7)*(CRDJ[Account Code]=(TRIM($B56))),CRDJ[Debit])))+(SUM(IF((GJ[Date]&lt;=$A$7)*(GJ[Account Code]=(TRIM($B56))),GJ[Debit]))))-((SUM(IF((CkDJ[Date]&lt;=$A$7)*(CkDJ[Account Code]=(TRIM($B56))),CkDJ[Credit])))+(SUM(IF((CsDJ[Date]&lt;=$A$7)*(CsDJ[Account Code]=(TRIM($B56))),CsDJ[Credit])))+(SUM(IF((CRDJ[Date]&lt;=$A$7)*(CRDJ[Account Code]=(TRIM($B56))),CRDJ[Credit])))+(SUM(IF((GJ[Date]&lt;=$A$7)*(GJ[Account Code]=(TRIM($B56))),GJ[Credit]))))</f>
        <v>0</v>
      </c>
      <c r="E56" s="89"/>
    </row>
    <row r="57" spans="1:5" x14ac:dyDescent="0.25">
      <c r="A57" s="440" t="s">
        <v>1103</v>
      </c>
      <c r="B57" s="441" t="s">
        <v>229</v>
      </c>
      <c r="C57" s="89"/>
      <c r="D57" s="442">
        <f t="array" ref="D57">((SUM(IF((CkDJ[Date]&lt;=$A$7)*(CkDJ[Account Code]=(TRIM($B57))),CkDJ[Debit])))+(SUM(IF((CsDJ[Date]&lt;=$A$7)*(CsDJ[Account Code]=(TRIM($B57))),CsDJ[Debit])))+(SUM(IF((CRDJ[Date]&lt;=$A$7)*(CRDJ[Account Code]=(TRIM($B57))),CRDJ[Debit])))+(SUM(IF((GJ[Date]&lt;=$A$7)*(GJ[Account Code]=(TRIM($B57))),GJ[Debit]))))-((SUM(IF((CkDJ[Date]&lt;=$A$7)*(CkDJ[Account Code]=(TRIM($B57))),CkDJ[Credit])))+(SUM(IF((CsDJ[Date]&lt;=$A$7)*(CsDJ[Account Code]=(TRIM($B57))),CsDJ[Credit])))+(SUM(IF((CRDJ[Date]&lt;=$A$7)*(CRDJ[Account Code]=(TRIM($B57))),CRDJ[Credit])))+(SUM(IF((GJ[Date]&lt;=$A$7)*(GJ[Account Code]=(TRIM($B57))),GJ[Credit]))))</f>
        <v>0</v>
      </c>
      <c r="E57" s="89"/>
    </row>
    <row r="58" spans="1:5" x14ac:dyDescent="0.25">
      <c r="A58" s="440" t="s">
        <v>1104</v>
      </c>
      <c r="B58" s="441" t="s">
        <v>230</v>
      </c>
      <c r="C58" s="89"/>
      <c r="D58" s="442">
        <f t="array" ref="D58">((SUM(IF((CkDJ[Date]&lt;=$A$7)*(CkDJ[Account Code]=(TRIM($B58))),CkDJ[Debit])))+(SUM(IF((CsDJ[Date]&lt;=$A$7)*(CsDJ[Account Code]=(TRIM($B58))),CsDJ[Debit])))+(SUM(IF((CRDJ[Date]&lt;=$A$7)*(CRDJ[Account Code]=(TRIM($B58))),CRDJ[Debit])))+(SUM(IF((GJ[Date]&lt;=$A$7)*(GJ[Account Code]=(TRIM($B58))),GJ[Debit]))))-((SUM(IF((CkDJ[Date]&lt;=$A$7)*(CkDJ[Account Code]=(TRIM($B58))),CkDJ[Credit])))+(SUM(IF((CsDJ[Date]&lt;=$A$7)*(CsDJ[Account Code]=(TRIM($B58))),CsDJ[Credit])))+(SUM(IF((CRDJ[Date]&lt;=$A$7)*(CRDJ[Account Code]=(TRIM($B58))),CRDJ[Credit])))+(SUM(IF((GJ[Date]&lt;=$A$7)*(GJ[Account Code]=(TRIM($B58))),GJ[Credit]))))</f>
        <v>0</v>
      </c>
      <c r="E58" s="89"/>
    </row>
    <row r="59" spans="1:5" x14ac:dyDescent="0.25">
      <c r="A59" s="440" t="s">
        <v>1105</v>
      </c>
      <c r="B59" s="441" t="s">
        <v>231</v>
      </c>
      <c r="C59" s="89"/>
      <c r="D59" s="442">
        <f t="array" ref="D59">((SUM(IF((CkDJ[Date]&lt;=$A$7)*(CkDJ[Account Code]=(TRIM($B59))),CkDJ[Debit])))+(SUM(IF((CsDJ[Date]&lt;=$A$7)*(CsDJ[Account Code]=(TRIM($B59))),CsDJ[Debit])))+(SUM(IF((CRDJ[Date]&lt;=$A$7)*(CRDJ[Account Code]=(TRIM($B59))),CRDJ[Debit])))+(SUM(IF((GJ[Date]&lt;=$A$7)*(GJ[Account Code]=(TRIM($B59))),GJ[Debit]))))-((SUM(IF((CkDJ[Date]&lt;=$A$7)*(CkDJ[Account Code]=(TRIM($B59))),CkDJ[Credit])))+(SUM(IF((CsDJ[Date]&lt;=$A$7)*(CsDJ[Account Code]=(TRIM($B59))),CsDJ[Credit])))+(SUM(IF((CRDJ[Date]&lt;=$A$7)*(CRDJ[Account Code]=(TRIM($B59))),CRDJ[Credit])))+(SUM(IF((GJ[Date]&lt;=$A$7)*(GJ[Account Code]=(TRIM($B59))),GJ[Credit]))))</f>
        <v>0</v>
      </c>
      <c r="E59" s="89"/>
    </row>
    <row r="60" spans="1:5" x14ac:dyDescent="0.25">
      <c r="A60" s="440" t="s">
        <v>1106</v>
      </c>
      <c r="B60" s="441"/>
      <c r="C60" s="89"/>
      <c r="D60" s="438"/>
      <c r="E60" s="89"/>
    </row>
    <row r="61" spans="1:5" x14ac:dyDescent="0.25">
      <c r="A61" s="320" t="s">
        <v>919</v>
      </c>
      <c r="B61" s="437"/>
      <c r="C61" s="89"/>
      <c r="D61" s="450">
        <f>SUM(D62+D63)</f>
        <v>0</v>
      </c>
      <c r="E61" s="89"/>
    </row>
    <row r="62" spans="1:5" x14ac:dyDescent="0.25">
      <c r="A62" s="440" t="s">
        <v>920</v>
      </c>
      <c r="B62" s="441" t="s">
        <v>232</v>
      </c>
      <c r="C62" s="89"/>
      <c r="D62" s="442">
        <f t="array" ref="D62">((SUM(IF((CkDJ[Date]&lt;=$A$7)*(CkDJ[Account Code]=(TRIM($B62))),CkDJ[Debit])))+(SUM(IF((CsDJ[Date]&lt;=$A$7)*(CsDJ[Account Code]=(TRIM($B62))),CsDJ[Debit])))+(SUM(IF((CRDJ[Date]&lt;=$A$7)*(CRDJ[Account Code]=(TRIM($B62))),CRDJ[Debit])))+(SUM(IF((GJ[Date]&lt;=$A$7)*(GJ[Account Code]=(TRIM($B62))),GJ[Debit]))))-((SUM(IF((CkDJ[Date]&lt;=$A$7)*(CkDJ[Account Code]=(TRIM($B62))),CkDJ[Credit])))+(SUM(IF((CsDJ[Date]&lt;=$A$7)*(CsDJ[Account Code]=(TRIM($B62))),CsDJ[Credit])))+(SUM(IF((CRDJ[Date]&lt;=$A$7)*(CRDJ[Account Code]=(TRIM($B62))),CRDJ[Credit])))+(SUM(IF((GJ[Date]&lt;=$A$7)*(GJ[Account Code]=(TRIM($B62))),GJ[Credit]))))</f>
        <v>0</v>
      </c>
      <c r="E62" s="89"/>
    </row>
    <row r="63" spans="1:5" x14ac:dyDescent="0.25">
      <c r="A63" s="440" t="s">
        <v>1107</v>
      </c>
      <c r="B63" s="441"/>
      <c r="C63" s="89"/>
      <c r="D63" s="438">
        <f>SUM(D64:D65)</f>
        <v>0</v>
      </c>
      <c r="E63" s="89"/>
    </row>
    <row r="64" spans="1:5" x14ac:dyDescent="0.25">
      <c r="A64" s="451" t="s">
        <v>1108</v>
      </c>
      <c r="B64" s="441" t="s">
        <v>233</v>
      </c>
      <c r="C64" s="89"/>
      <c r="D64" s="442">
        <f t="array" ref="D64">((SUM(IF((CkDJ[Date]&lt;=$A$7)*(CkDJ[Account Code]=(TRIM($B64))),CkDJ[Debit])))+(SUM(IF((CsDJ[Date]&lt;=$A$7)*(CsDJ[Account Code]=(TRIM($B64))),CsDJ[Debit])))+(SUM(IF((CRDJ[Date]&lt;=$A$7)*(CRDJ[Account Code]=(TRIM($B64))),CRDJ[Debit])))+(SUM(IF((GJ[Date]&lt;=$A$7)*(GJ[Account Code]=(TRIM($B64))),GJ[Debit]))))-((SUM(IF((CkDJ[Date]&lt;=$A$7)*(CkDJ[Account Code]=(TRIM($B64))),CkDJ[Credit])))+(SUM(IF((CsDJ[Date]&lt;=$A$7)*(CsDJ[Account Code]=(TRIM($B64))),CsDJ[Credit])))+(SUM(IF((CRDJ[Date]&lt;=$A$7)*(CRDJ[Account Code]=(TRIM($B64))),CRDJ[Credit])))+(SUM(IF((GJ[Date]&lt;=$A$7)*(GJ[Account Code]=(TRIM($B64))),GJ[Credit]))))</f>
        <v>0</v>
      </c>
      <c r="E64" s="89"/>
    </row>
    <row r="65" spans="1:5" x14ac:dyDescent="0.25">
      <c r="A65" s="451" t="s">
        <v>1109</v>
      </c>
      <c r="B65" s="441" t="s">
        <v>991</v>
      </c>
      <c r="C65" s="89"/>
      <c r="D65" s="442">
        <f t="array" ref="D65">((SUM(IF((CkDJ[Date]&lt;=$A$7)*(CkDJ[Account Code]=(TRIM($B65))),CkDJ[Debit])))+(SUM(IF((CsDJ[Date]&lt;=$A$7)*(CsDJ[Account Code]=(TRIM($B65))),CsDJ[Debit])))+(SUM(IF((CRDJ[Date]&lt;=$A$7)*(CRDJ[Account Code]=(TRIM($B65))),CRDJ[Debit])))+(SUM(IF((GJ[Date]&lt;=$A$7)*(GJ[Account Code]=(TRIM($B65))),GJ[Debit]))))-((SUM(IF((CkDJ[Date]&lt;=$A$7)*(CkDJ[Account Code]=(TRIM($B65))),CkDJ[Credit])))+(SUM(IF((CsDJ[Date]&lt;=$A$7)*(CsDJ[Account Code]=(TRIM($B65))),CsDJ[Credit])))+(SUM(IF((CRDJ[Date]&lt;=$A$7)*(CRDJ[Account Code]=(TRIM($B65))),CRDJ[Credit])))+(SUM(IF((GJ[Date]&lt;=$A$7)*(GJ[Account Code]=(TRIM($B65))),GJ[Credit]))))</f>
        <v>0</v>
      </c>
      <c r="E65" s="89"/>
    </row>
    <row r="66" spans="1:5" x14ac:dyDescent="0.25">
      <c r="A66" s="320" t="s">
        <v>1110</v>
      </c>
      <c r="B66" s="437"/>
      <c r="C66" s="89"/>
      <c r="D66" s="439">
        <f>SUM(D67:D69)</f>
        <v>0</v>
      </c>
      <c r="E66" s="89"/>
    </row>
    <row r="67" spans="1:5" x14ac:dyDescent="0.25">
      <c r="A67" s="440" t="s">
        <v>1144</v>
      </c>
      <c r="B67" s="61" t="s">
        <v>235</v>
      </c>
      <c r="C67" s="89"/>
      <c r="D67" s="442">
        <f t="array" ref="D67">((SUM(IF((CkDJ[Date]&lt;=$A$7)*(CkDJ[Account Code]=(TRIM($B67))),CkDJ[Debit])))+(SUM(IF((CsDJ[Date]&lt;=$A$7)*(CsDJ[Account Code]=(TRIM($B67))),CsDJ[Debit])))+(SUM(IF((CRDJ[Date]&lt;=$A$7)*(CRDJ[Account Code]=(TRIM($B67))),CRDJ[Debit])))+(SUM(IF((GJ[Date]&lt;=$A$7)*(GJ[Account Code]=(TRIM($B67))),GJ[Debit]))))-((SUM(IF((CkDJ[Date]&lt;=$A$7)*(CkDJ[Account Code]=(TRIM($B67))),CkDJ[Credit])))+(SUM(IF((CsDJ[Date]&lt;=$A$7)*(CsDJ[Account Code]=(TRIM($B67))),CsDJ[Credit])))+(SUM(IF((CRDJ[Date]&lt;=$A$7)*(CRDJ[Account Code]=(TRIM($B67))),CRDJ[Credit])))+(SUM(IF((GJ[Date]&lt;=$A$7)*(GJ[Account Code]=(TRIM($B67))),GJ[Credit]))))</f>
        <v>0</v>
      </c>
      <c r="E67" s="89"/>
    </row>
    <row r="68" spans="1:5" x14ac:dyDescent="0.25">
      <c r="A68" s="440" t="s">
        <v>1145</v>
      </c>
      <c r="B68" s="61" t="s">
        <v>236</v>
      </c>
      <c r="C68" s="89"/>
      <c r="D68" s="442">
        <f t="array" ref="D68">((SUM(IF((CkDJ[Date]&lt;=$A$7)*(CkDJ[Account Code]=(TRIM($B68))),CkDJ[Debit])))+(SUM(IF((CsDJ[Date]&lt;=$A$7)*(CsDJ[Account Code]=(TRIM($B68))),CsDJ[Debit])))+(SUM(IF((CRDJ[Date]&lt;=$A$7)*(CRDJ[Account Code]=(TRIM($B68))),CRDJ[Debit])))+(SUM(IF((GJ[Date]&lt;=$A$7)*(GJ[Account Code]=(TRIM($B68))),GJ[Debit]))))-((SUM(IF((CkDJ[Date]&lt;=$A$7)*(CkDJ[Account Code]=(TRIM($B68))),CkDJ[Credit])))+(SUM(IF((CsDJ[Date]&lt;=$A$7)*(CsDJ[Account Code]=(TRIM($B68))),CsDJ[Credit])))+(SUM(IF((CRDJ[Date]&lt;=$A$7)*(CRDJ[Account Code]=(TRIM($B68))),CRDJ[Credit])))+(SUM(IF((GJ[Date]&lt;=$A$7)*(GJ[Account Code]=(TRIM($B68))),GJ[Credit]))))</f>
        <v>0</v>
      </c>
      <c r="E68" s="89"/>
    </row>
    <row r="69" spans="1:5" x14ac:dyDescent="0.25">
      <c r="A69" s="440" t="s">
        <v>1147</v>
      </c>
      <c r="B69" s="61" t="s">
        <v>237</v>
      </c>
      <c r="C69" s="89"/>
      <c r="D69" s="442">
        <f t="array" ref="D69">((SUM(IF((CkDJ[Date]&lt;=$A$7)*(CkDJ[Account Code]=(TRIM($B69))),CkDJ[Debit])))+(SUM(IF((CsDJ[Date]&lt;=$A$7)*(CsDJ[Account Code]=(TRIM($B69))),CsDJ[Debit])))+(SUM(IF((CRDJ[Date]&lt;=$A$7)*(CRDJ[Account Code]=(TRIM($B69))),CRDJ[Debit])))+(SUM(IF((GJ[Date]&lt;=$A$7)*(GJ[Account Code]=(TRIM($B69))),GJ[Debit]))))-((SUM(IF((CkDJ[Date]&lt;=$A$7)*(CkDJ[Account Code]=(TRIM($B69))),CkDJ[Credit])))+(SUM(IF((CsDJ[Date]&lt;=$A$7)*(CsDJ[Account Code]=(TRIM($B69))),CsDJ[Credit])))+(SUM(IF((CRDJ[Date]&lt;=$A$7)*(CRDJ[Account Code]=(TRIM($B69))),CRDJ[Credit])))+(SUM(IF((GJ[Date]&lt;=$A$7)*(GJ[Account Code]=(TRIM($B69))),GJ[Credit]))))</f>
        <v>0</v>
      </c>
      <c r="E69" s="89"/>
    </row>
    <row r="70" spans="1:5" x14ac:dyDescent="0.25">
      <c r="A70" s="320" t="s">
        <v>1111</v>
      </c>
      <c r="B70" s="437" t="s">
        <v>239</v>
      </c>
      <c r="C70" s="89"/>
      <c r="D70" s="442">
        <f t="array" ref="D70">((SUM(IF((CkDJ[Date]&lt;=$A$7)*(CkDJ[Account Code]=(TRIM($B70))),CkDJ[Debit])))+(SUM(IF((CsDJ[Date]&lt;=$A$7)*(CsDJ[Account Code]=(TRIM($B70))),CsDJ[Debit])))+(SUM(IF((CRDJ[Date]&lt;=$A$7)*(CRDJ[Account Code]=(TRIM($B70))),CRDJ[Debit])))+(SUM(IF((GJ[Date]&lt;=$A$7)*(GJ[Account Code]=(TRIM($B70))),GJ[Debit]))))-((SUM(IF((CkDJ[Date]&lt;=$A$7)*(CkDJ[Account Code]=(TRIM($B70))),CkDJ[Credit])))+(SUM(IF((CsDJ[Date]&lt;=$A$7)*(CsDJ[Account Code]=(TRIM($B70))),CsDJ[Credit])))+(SUM(IF((CRDJ[Date]&lt;=$A$7)*(CRDJ[Account Code]=(TRIM($B70))),CRDJ[Credit])))+(SUM(IF((GJ[Date]&lt;=$A$7)*(GJ[Account Code]=(TRIM($B70))),GJ[Credit]))))</f>
        <v>0</v>
      </c>
      <c r="E70" s="89"/>
    </row>
    <row r="71" spans="1:5" x14ac:dyDescent="0.25">
      <c r="A71" s="320" t="s">
        <v>931</v>
      </c>
      <c r="B71" s="437" t="s">
        <v>240</v>
      </c>
      <c r="C71" s="89"/>
      <c r="D71" s="442">
        <f t="array" ref="D71">((SUM(IF((CkDJ[Date]&lt;=$A$7)*(CkDJ[Account Code]=(TRIM($B71))),CkDJ[Debit])))+(SUM(IF((CsDJ[Date]&lt;=$A$7)*(CsDJ[Account Code]=(TRIM($B71))),CsDJ[Debit])))+(SUM(IF((CRDJ[Date]&lt;=$A$7)*(CRDJ[Account Code]=(TRIM($B71))),CRDJ[Debit])))+(SUM(IF((GJ[Date]&lt;=$A$7)*(GJ[Account Code]=(TRIM($B71))),GJ[Debit]))))-((SUM(IF((CkDJ[Date]&lt;=$A$7)*(CkDJ[Account Code]=(TRIM($B71))),CkDJ[Credit])))+(SUM(IF((CsDJ[Date]&lt;=$A$7)*(CsDJ[Account Code]=(TRIM($B71))),CsDJ[Credit])))+(SUM(IF((CRDJ[Date]&lt;=$A$7)*(CRDJ[Account Code]=(TRIM($B71))),CRDJ[Credit])))+(SUM(IF((GJ[Date]&lt;=$A$7)*(GJ[Account Code]=(TRIM($B71))),GJ[Credit]))))</f>
        <v>0</v>
      </c>
      <c r="E71" s="89"/>
    </row>
    <row r="72" spans="1:5" x14ac:dyDescent="0.25">
      <c r="A72" s="320" t="s">
        <v>1112</v>
      </c>
      <c r="B72" s="437" t="s">
        <v>241</v>
      </c>
      <c r="C72" s="89"/>
      <c r="D72" s="442">
        <f t="array" ref="D72">((SUM(IF((CkDJ[Date]&lt;=$A$7)*(CkDJ[Account Code]=(TRIM($B72))),CkDJ[Debit])))+(SUM(IF((CsDJ[Date]&lt;=$A$7)*(CsDJ[Account Code]=(TRIM($B72))),CsDJ[Debit])))+(SUM(IF((CRDJ[Date]&lt;=$A$7)*(CRDJ[Account Code]=(TRIM($B72))),CRDJ[Debit])))+(SUM(IF((GJ[Date]&lt;=$A$7)*(GJ[Account Code]=(TRIM($B72))),GJ[Debit]))))-((SUM(IF((CkDJ[Date]&lt;=$A$7)*(CkDJ[Account Code]=(TRIM($B72))),CkDJ[Credit])))+(SUM(IF((CsDJ[Date]&lt;=$A$7)*(CsDJ[Account Code]=(TRIM($B72))),CsDJ[Credit])))+(SUM(IF((CRDJ[Date]&lt;=$A$7)*(CRDJ[Account Code]=(TRIM($B72))),CRDJ[Credit])))+(SUM(IF((GJ[Date]&lt;=$A$7)*(GJ[Account Code]=(TRIM($B72))),GJ[Credit]))))</f>
        <v>0</v>
      </c>
      <c r="E72" s="89"/>
    </row>
    <row r="73" spans="1:5" x14ac:dyDescent="0.25">
      <c r="A73" s="320" t="s">
        <v>1113</v>
      </c>
      <c r="B73" s="437" t="s">
        <v>242</v>
      </c>
      <c r="C73" s="89"/>
      <c r="D73" s="442">
        <f t="array" ref="D73">((SUM(IF((CkDJ[Date]&lt;=$A$7)*(CkDJ[Account Code]=(TRIM($B73))),CkDJ[Debit])))+(SUM(IF((CsDJ[Date]&lt;=$A$7)*(CsDJ[Account Code]=(TRIM($B73))),CsDJ[Debit])))+(SUM(IF((CRDJ[Date]&lt;=$A$7)*(CRDJ[Account Code]=(TRIM($B73))),CRDJ[Debit])))+(SUM(IF((GJ[Date]&lt;=$A$7)*(GJ[Account Code]=(TRIM($B73))),GJ[Debit]))))-((SUM(IF((CkDJ[Date]&lt;=$A$7)*(CkDJ[Account Code]=(TRIM($B73))),CkDJ[Credit])))+(SUM(IF((CsDJ[Date]&lt;=$A$7)*(CsDJ[Account Code]=(TRIM($B73))),CsDJ[Credit])))+(SUM(IF((CRDJ[Date]&lt;=$A$7)*(CRDJ[Account Code]=(TRIM($B73))),CRDJ[Credit])))+(SUM(IF((GJ[Date]&lt;=$A$7)*(GJ[Account Code]=(TRIM($B73))),GJ[Credit]))))</f>
        <v>0</v>
      </c>
      <c r="E73" s="89"/>
    </row>
    <row r="74" spans="1:5" x14ac:dyDescent="0.25">
      <c r="A74" s="320" t="s">
        <v>934</v>
      </c>
      <c r="B74" s="437" t="s">
        <v>243</v>
      </c>
      <c r="C74" s="89"/>
      <c r="D74" s="442">
        <f t="array" ref="D74">((SUM(IF((CkDJ[Date]&lt;=$A$7)*(CkDJ[Account Code]=(TRIM($B74))),CkDJ[Debit])))+(SUM(IF((CsDJ[Date]&lt;=$A$7)*(CsDJ[Account Code]=(TRIM($B74))),CsDJ[Debit])))+(SUM(IF((CRDJ[Date]&lt;=$A$7)*(CRDJ[Account Code]=(TRIM($B74))),CRDJ[Debit])))+(SUM(IF((GJ[Date]&lt;=$A$7)*(GJ[Account Code]=(TRIM($B74))),GJ[Debit]))))-((SUM(IF((CkDJ[Date]&lt;=$A$7)*(CkDJ[Account Code]=(TRIM($B74))),CkDJ[Credit])))+(SUM(IF((CsDJ[Date]&lt;=$A$7)*(CsDJ[Account Code]=(TRIM($B74))),CsDJ[Credit])))+(SUM(IF((CRDJ[Date]&lt;=$A$7)*(CRDJ[Account Code]=(TRIM($B74))),CRDJ[Credit])))+(SUM(IF((GJ[Date]&lt;=$A$7)*(GJ[Account Code]=(TRIM($B74))),GJ[Credit]))))</f>
        <v>0</v>
      </c>
      <c r="E74" s="89"/>
    </row>
    <row r="75" spans="1:5" x14ac:dyDescent="0.25">
      <c r="A75" s="320" t="s">
        <v>1160</v>
      </c>
      <c r="B75" s="437" t="s">
        <v>234</v>
      </c>
      <c r="C75" s="89"/>
      <c r="D75" s="442">
        <f t="array" ref="D75">((SUM(IF((CkDJ[Date]&lt;=$A$7)*(CkDJ[Account Code]=(TRIM($B75))),CkDJ[Debit])))+(SUM(IF((CsDJ[Date]&lt;=$A$7)*(CsDJ[Account Code]=(TRIM($B75))),CsDJ[Debit])))+(SUM(IF((CRDJ[Date]&lt;=$A$7)*(CRDJ[Account Code]=(TRIM($B75))),CRDJ[Debit])))+(SUM(IF((GJ[Date]&lt;=$A$7)*(GJ[Account Code]=(TRIM($B75))),GJ[Debit]))))-((SUM(IF((CkDJ[Date]&lt;=$A$7)*(CkDJ[Account Code]=(TRIM($B75))),CkDJ[Credit])))+(SUM(IF((CsDJ[Date]&lt;=$A$7)*(CsDJ[Account Code]=(TRIM($B75))),CsDJ[Credit])))+(SUM(IF((CRDJ[Date]&lt;=$A$7)*(CRDJ[Account Code]=(TRIM($B75))),CRDJ[Credit])))+(SUM(IF((GJ[Date]&lt;=$A$7)*(GJ[Account Code]=(TRIM($B75))),GJ[Credit]))))</f>
        <v>0</v>
      </c>
      <c r="E75" s="89"/>
    </row>
    <row r="76" spans="1:5" x14ac:dyDescent="0.25">
      <c r="A76" s="320" t="s">
        <v>936</v>
      </c>
      <c r="B76" s="437"/>
      <c r="C76" s="89"/>
      <c r="D76" s="442">
        <f t="array" ref="D76">((SUM(IF((CkDJ[Date]&lt;=$A$7)*(CkDJ[Account Code]=(TRIM($B76))),CkDJ[Debit])))+(SUM(IF((CsDJ[Date]&lt;=$A$7)*(CsDJ[Account Code]=(TRIM($B76))),CsDJ[Debit])))+(SUM(IF((CRDJ[Date]&lt;=$A$7)*(CRDJ[Account Code]=(TRIM($B76))),CRDJ[Debit])))+(SUM(IF((GJ[Date]&lt;=$A$7)*(GJ[Account Code]=(TRIM($B76))),GJ[Debit]))))-((SUM(IF((CkDJ[Date]&lt;=$A$7)*(CkDJ[Account Code]=(TRIM($B76))),CkDJ[Credit])))+(SUM(IF((CsDJ[Date]&lt;=$A$7)*(CsDJ[Account Code]=(TRIM($B76))),CsDJ[Credit])))+(SUM(IF((CRDJ[Date]&lt;=$A$7)*(CRDJ[Account Code]=(TRIM($B76))),CRDJ[Credit])))+(SUM(IF((GJ[Date]&lt;=$A$7)*(GJ[Account Code]=(TRIM($B76))),GJ[Credit]))))</f>
        <v>0</v>
      </c>
      <c r="E76" s="89"/>
    </row>
    <row r="77" spans="1:5" x14ac:dyDescent="0.25">
      <c r="A77" s="320" t="s">
        <v>937</v>
      </c>
      <c r="B77" s="437" t="s">
        <v>339</v>
      </c>
      <c r="C77" s="89"/>
      <c r="D77" s="442">
        <f t="array" ref="D77">((SUM(IF((CkDJ[Date]&lt;=$A$7)*(CkDJ[Account Code]=(TRIM($B77))),CkDJ[Debit])))+(SUM(IF((CsDJ[Date]&lt;=$A$7)*(CsDJ[Account Code]=(TRIM($B77))),CsDJ[Debit])))+(SUM(IF((CRDJ[Date]&lt;=$A$7)*(CRDJ[Account Code]=(TRIM($B77))),CRDJ[Debit])))+(SUM(IF((GJ[Date]&lt;=$A$7)*(GJ[Account Code]=(TRIM($B77))),GJ[Debit]))))-((SUM(IF((CkDJ[Date]&lt;=$A$7)*(CkDJ[Account Code]=(TRIM($B77))),CkDJ[Credit])))+(SUM(IF((CsDJ[Date]&lt;=$A$7)*(CsDJ[Account Code]=(TRIM($B77))),CsDJ[Credit])))+(SUM(IF((CRDJ[Date]&lt;=$A$7)*(CRDJ[Account Code]=(TRIM($B77))),CRDJ[Credit])))+(SUM(IF((GJ[Date]&lt;=$A$7)*(GJ[Account Code]=(TRIM($B77))),GJ[Credit]))))</f>
        <v>0</v>
      </c>
      <c r="E77" s="89"/>
    </row>
    <row r="78" spans="1:5" x14ac:dyDescent="0.25">
      <c r="A78" s="320" t="s">
        <v>1114</v>
      </c>
      <c r="B78" s="437"/>
      <c r="C78" s="89"/>
      <c r="D78" s="439">
        <f>SUM(D79:D86)</f>
        <v>0</v>
      </c>
      <c r="E78" s="89"/>
    </row>
    <row r="79" spans="1:5" x14ac:dyDescent="0.25">
      <c r="A79" s="440" t="s">
        <v>1115</v>
      </c>
      <c r="B79" s="441" t="s">
        <v>246</v>
      </c>
      <c r="C79" s="89"/>
      <c r="D79" s="442">
        <f t="array" ref="D79">((SUM(IF((CkDJ[Date]&lt;=$A$7)*(CkDJ[Account Code]=(TRIM($B79))),CkDJ[Debit])))+(SUM(IF((CsDJ[Date]&lt;=$A$7)*(CsDJ[Account Code]=(TRIM($B79))),CsDJ[Debit])))+(SUM(IF((CRDJ[Date]&lt;=$A$7)*(CRDJ[Account Code]=(TRIM($B79))),CRDJ[Debit])))+(SUM(IF((GJ[Date]&lt;=$A$7)*(GJ[Account Code]=(TRIM($B79))),GJ[Debit]))))-((SUM(IF((CkDJ[Date]&lt;=$A$7)*(CkDJ[Account Code]=(TRIM($B79))),CkDJ[Credit])))+(SUM(IF((CsDJ[Date]&lt;=$A$7)*(CsDJ[Account Code]=(TRIM($B79))),CsDJ[Credit])))+(SUM(IF((CRDJ[Date]&lt;=$A$7)*(CRDJ[Account Code]=(TRIM($B79))),CRDJ[Credit])))+(SUM(IF((GJ[Date]&lt;=$A$7)*(GJ[Account Code]=(TRIM($B79))),GJ[Credit]))))</f>
        <v>0</v>
      </c>
      <c r="E79" s="89"/>
    </row>
    <row r="80" spans="1:5" x14ac:dyDescent="0.25">
      <c r="A80" s="440" t="s">
        <v>941</v>
      </c>
      <c r="B80" s="441" t="s">
        <v>222</v>
      </c>
      <c r="C80" s="89"/>
      <c r="D80" s="442">
        <f t="array" ref="D80">((SUM(IF((CkDJ[Date]&lt;=$A$7)*(CkDJ[Account Code]=(TRIM($B80))),CkDJ[Debit])))+(SUM(IF((CsDJ[Date]&lt;=$A$7)*(CsDJ[Account Code]=(TRIM($B80))),CsDJ[Debit])))+(SUM(IF((CRDJ[Date]&lt;=$A$7)*(CRDJ[Account Code]=(TRIM($B80))),CRDJ[Debit])))+(SUM(IF((GJ[Date]&lt;=$A$7)*(GJ[Account Code]=(TRIM($B80))),GJ[Debit]))))-((SUM(IF((CkDJ[Date]&lt;=$A$7)*(CkDJ[Account Code]=(TRIM($B80))),CkDJ[Credit])))+(SUM(IF((CsDJ[Date]&lt;=$A$7)*(CsDJ[Account Code]=(TRIM($B80))),CsDJ[Credit])))+(SUM(IF((CRDJ[Date]&lt;=$A$7)*(CRDJ[Account Code]=(TRIM($B80))),CRDJ[Credit])))+(SUM(IF((GJ[Date]&lt;=$A$7)*(GJ[Account Code]=(TRIM($B80))),GJ[Credit]))))</f>
        <v>0</v>
      </c>
      <c r="E80" s="89"/>
    </row>
    <row r="81" spans="1:5" x14ac:dyDescent="0.25">
      <c r="A81" s="440" t="s">
        <v>942</v>
      </c>
      <c r="B81" s="441" t="s">
        <v>247</v>
      </c>
      <c r="C81" s="89"/>
      <c r="D81" s="442">
        <f t="array" ref="D81">((SUM(IF((CkDJ[Date]&lt;=$A$7)*(CkDJ[Account Code]=(TRIM($B81))),CkDJ[Debit])))+(SUM(IF((CsDJ[Date]&lt;=$A$7)*(CsDJ[Account Code]=(TRIM($B81))),CsDJ[Debit])))+(SUM(IF((CRDJ[Date]&lt;=$A$7)*(CRDJ[Account Code]=(TRIM($B81))),CRDJ[Debit])))+(SUM(IF((GJ[Date]&lt;=$A$7)*(GJ[Account Code]=(TRIM($B81))),GJ[Debit]))))-((SUM(IF((CkDJ[Date]&lt;=$A$7)*(CkDJ[Account Code]=(TRIM($B81))),CkDJ[Credit])))+(SUM(IF((CsDJ[Date]&lt;=$A$7)*(CsDJ[Account Code]=(TRIM($B81))),CsDJ[Credit])))+(SUM(IF((CRDJ[Date]&lt;=$A$7)*(CRDJ[Account Code]=(TRIM($B81))),CRDJ[Credit])))+(SUM(IF((GJ[Date]&lt;=$A$7)*(GJ[Account Code]=(TRIM($B81))),GJ[Credit]))))</f>
        <v>0</v>
      </c>
      <c r="E81" s="89"/>
    </row>
    <row r="82" spans="1:5" x14ac:dyDescent="0.25">
      <c r="A82" s="440" t="s">
        <v>1116</v>
      </c>
      <c r="B82" s="441" t="s">
        <v>799</v>
      </c>
      <c r="C82" s="89"/>
      <c r="D82" s="442">
        <f t="array" ref="D82">((SUM(IF((CkDJ[Date]&lt;=$A$7)*(CkDJ[Account Code]=(TRIM($B82))),CkDJ[Debit])))+(SUM(IF((CsDJ[Date]&lt;=$A$7)*(CsDJ[Account Code]=(TRIM($B82))),CsDJ[Debit])))+(SUM(IF((CRDJ[Date]&lt;=$A$7)*(CRDJ[Account Code]=(TRIM($B82))),CRDJ[Debit])))+(SUM(IF((GJ[Date]&lt;=$A$7)*(GJ[Account Code]=(TRIM($B82))),GJ[Debit]))))-((SUM(IF((CkDJ[Date]&lt;=$A$7)*(CkDJ[Account Code]=(TRIM($B82))),CkDJ[Credit])))+(SUM(IF((CsDJ[Date]&lt;=$A$7)*(CsDJ[Account Code]=(TRIM($B82))),CsDJ[Credit])))+(SUM(IF((CRDJ[Date]&lt;=$A$7)*(CRDJ[Account Code]=(TRIM($B82))),CRDJ[Credit])))+(SUM(IF((GJ[Date]&lt;=$A$7)*(GJ[Account Code]=(TRIM($B82))),GJ[Credit]))))</f>
        <v>0</v>
      </c>
      <c r="E82" s="89"/>
    </row>
    <row r="83" spans="1:5" x14ac:dyDescent="0.25">
      <c r="A83" s="440" t="s">
        <v>944</v>
      </c>
      <c r="B83" s="441" t="s">
        <v>799</v>
      </c>
      <c r="C83" s="89"/>
      <c r="D83" s="442">
        <f t="array" ref="D83">((SUM(IF((CkDJ[Date]&lt;=$A$7)*(CkDJ[Account Code]=(TRIM($B83))),CkDJ[Debit])))+(SUM(IF((CsDJ[Date]&lt;=$A$7)*(CsDJ[Account Code]=(TRIM($B83))),CsDJ[Debit])))+(SUM(IF((CRDJ[Date]&lt;=$A$7)*(CRDJ[Account Code]=(TRIM($B83))),CRDJ[Debit])))+(SUM(IF((GJ[Date]&lt;=$A$7)*(GJ[Account Code]=(TRIM($B83))),GJ[Debit]))))-((SUM(IF((CkDJ[Date]&lt;=$A$7)*(CkDJ[Account Code]=(TRIM($B83))),CkDJ[Credit])))+(SUM(IF((CsDJ[Date]&lt;=$A$7)*(CsDJ[Account Code]=(TRIM($B83))),CsDJ[Credit])))+(SUM(IF((CRDJ[Date]&lt;=$A$7)*(CRDJ[Account Code]=(TRIM($B83))),CRDJ[Credit])))+(SUM(IF((GJ[Date]&lt;=$A$7)*(GJ[Account Code]=(TRIM($B83))),GJ[Credit]))))</f>
        <v>0</v>
      </c>
      <c r="E83" s="89"/>
    </row>
    <row r="84" spans="1:5" x14ac:dyDescent="0.25">
      <c r="A84" s="440" t="s">
        <v>1117</v>
      </c>
      <c r="B84" s="441" t="s">
        <v>249</v>
      </c>
      <c r="C84" s="89"/>
      <c r="D84" s="442">
        <f t="array" ref="D84">((SUM(IF((CkDJ[Date]&lt;=$A$7)*(CkDJ[Account Code]=(TRIM($B84))),CkDJ[Debit])))+(SUM(IF((CsDJ[Date]&lt;=$A$7)*(CsDJ[Account Code]=(TRIM($B84))),CsDJ[Debit])))+(SUM(IF((CRDJ[Date]&lt;=$A$7)*(CRDJ[Account Code]=(TRIM($B84))),CRDJ[Debit])))+(SUM(IF((GJ[Date]&lt;=$A$7)*(GJ[Account Code]=(TRIM($B84))),GJ[Debit]))))-((SUM(IF((CkDJ[Date]&lt;=$A$7)*(CkDJ[Account Code]=(TRIM($B84))),CkDJ[Credit])))+(SUM(IF((CsDJ[Date]&lt;=$A$7)*(CsDJ[Account Code]=(TRIM($B84))),CsDJ[Credit])))+(SUM(IF((CRDJ[Date]&lt;=$A$7)*(CRDJ[Account Code]=(TRIM($B84))),CRDJ[Credit])))+(SUM(IF((GJ[Date]&lt;=$A$7)*(GJ[Account Code]=(TRIM($B84))),GJ[Credit]))))</f>
        <v>0</v>
      </c>
      <c r="E84" s="89"/>
    </row>
    <row r="85" spans="1:5" x14ac:dyDescent="0.25">
      <c r="A85" s="440" t="s">
        <v>946</v>
      </c>
      <c r="B85" s="441" t="s">
        <v>799</v>
      </c>
      <c r="C85" s="89"/>
      <c r="D85" s="442">
        <f t="array" ref="D85">((SUM(IF((CkDJ[Date]&lt;=$A$7)*(CkDJ[Account Code]=(TRIM($B85))),CkDJ[Debit])))+(SUM(IF((CsDJ[Date]&lt;=$A$7)*(CsDJ[Account Code]=(TRIM($B85))),CsDJ[Debit])))+(SUM(IF((CRDJ[Date]&lt;=$A$7)*(CRDJ[Account Code]=(TRIM($B85))),CRDJ[Debit])))+(SUM(IF((GJ[Date]&lt;=$A$7)*(GJ[Account Code]=(TRIM($B85))),GJ[Debit]))))-((SUM(IF((CkDJ[Date]&lt;=$A$7)*(CkDJ[Account Code]=(TRIM($B85))),CkDJ[Credit])))+(SUM(IF((CsDJ[Date]&lt;=$A$7)*(CsDJ[Account Code]=(TRIM($B85))),CsDJ[Credit])))+(SUM(IF((CRDJ[Date]&lt;=$A$7)*(CRDJ[Account Code]=(TRIM($B85))),CRDJ[Credit])))+(SUM(IF((GJ[Date]&lt;=$A$7)*(GJ[Account Code]=(TRIM($B85))),GJ[Credit]))))</f>
        <v>0</v>
      </c>
      <c r="E85" s="89"/>
    </row>
    <row r="86" spans="1:5" x14ac:dyDescent="0.25">
      <c r="A86" s="440" t="s">
        <v>1118</v>
      </c>
      <c r="B86" s="441" t="s">
        <v>250</v>
      </c>
      <c r="C86" s="89"/>
      <c r="D86" s="442">
        <f t="array" ref="D86">((SUM(IF((CkDJ[Date]&lt;=$A$7)*(CkDJ[Account Code]=(TRIM($B86))),CkDJ[Debit])))+(SUM(IF((CsDJ[Date]&lt;=$A$7)*(CsDJ[Account Code]=(TRIM($B86))),CsDJ[Debit])))+(SUM(IF((CRDJ[Date]&lt;=$A$7)*(CRDJ[Account Code]=(TRIM($B86))),CRDJ[Debit])))+(SUM(IF((GJ[Date]&lt;=$A$7)*(GJ[Account Code]=(TRIM($B86))),GJ[Debit]))))-((SUM(IF((CkDJ[Date]&lt;=$A$7)*(CkDJ[Account Code]=(TRIM($B86))),CkDJ[Credit])))+(SUM(IF((CsDJ[Date]&lt;=$A$7)*(CsDJ[Account Code]=(TRIM($B86))),CsDJ[Credit])))+(SUM(IF((CRDJ[Date]&lt;=$A$7)*(CRDJ[Account Code]=(TRIM($B86))),CRDJ[Credit])))+(SUM(IF((GJ[Date]&lt;=$A$7)*(GJ[Account Code]=(TRIM($B86))),GJ[Credit]))))</f>
        <v>0</v>
      </c>
      <c r="E86" s="89"/>
    </row>
    <row r="87" spans="1:5" x14ac:dyDescent="0.25">
      <c r="A87" s="320" t="s">
        <v>1119</v>
      </c>
      <c r="B87" s="437"/>
      <c r="C87" s="89"/>
      <c r="D87" s="439">
        <f>SUM(D88:D96)</f>
        <v>0</v>
      </c>
      <c r="E87" s="89"/>
    </row>
    <row r="88" spans="1:5" x14ac:dyDescent="0.25">
      <c r="A88" s="440" t="s">
        <v>1148</v>
      </c>
      <c r="B88" s="441" t="s">
        <v>251</v>
      </c>
      <c r="C88" s="89"/>
      <c r="D88" s="442">
        <f t="array" ref="D88">((SUM(IF((CkDJ[Date]&lt;=$A$7)*(CkDJ[Account Code]=(TRIM($B88))),CkDJ[Debit])))+(SUM(IF((CsDJ[Date]&lt;=$A$7)*(CsDJ[Account Code]=(TRIM($B88))),CsDJ[Debit])))+(SUM(IF((CRDJ[Date]&lt;=$A$7)*(CRDJ[Account Code]=(TRIM($B88))),CRDJ[Debit])))+(SUM(IF((GJ[Date]&lt;=$A$7)*(GJ[Account Code]=(TRIM($B88))),GJ[Debit]))))-((SUM(IF((CkDJ[Date]&lt;=$A$7)*(CkDJ[Account Code]=(TRIM($B88))),CkDJ[Credit])))+(SUM(IF((CsDJ[Date]&lt;=$A$7)*(CsDJ[Account Code]=(TRIM($B88))),CsDJ[Credit])))+(SUM(IF((CRDJ[Date]&lt;=$A$7)*(CRDJ[Account Code]=(TRIM($B88))),CRDJ[Credit])))+(SUM(IF((GJ[Date]&lt;=$A$7)*(GJ[Account Code]=(TRIM($B88))),GJ[Credit]))))</f>
        <v>0</v>
      </c>
      <c r="E88" s="89"/>
    </row>
    <row r="89" spans="1:5" x14ac:dyDescent="0.25">
      <c r="A89" s="440" t="s">
        <v>1149</v>
      </c>
      <c r="B89" s="441" t="s">
        <v>253</v>
      </c>
      <c r="C89" s="89"/>
      <c r="D89" s="442">
        <f t="array" ref="D89">((SUM(IF((CkDJ[Date]&lt;=$A$7)*(CkDJ[Account Code]=(TRIM($B89))),CkDJ[Debit])))+(SUM(IF((CsDJ[Date]&lt;=$A$7)*(CsDJ[Account Code]=(TRIM($B89))),CsDJ[Debit])))+(SUM(IF((CRDJ[Date]&lt;=$A$7)*(CRDJ[Account Code]=(TRIM($B89))),CRDJ[Debit])))+(SUM(IF((GJ[Date]&lt;=$A$7)*(GJ[Account Code]=(TRIM($B89))),GJ[Debit]))))-((SUM(IF((CkDJ[Date]&lt;=$A$7)*(CkDJ[Account Code]=(TRIM($B89))),CkDJ[Credit])))+(SUM(IF((CsDJ[Date]&lt;=$A$7)*(CsDJ[Account Code]=(TRIM($B89))),CsDJ[Credit])))+(SUM(IF((CRDJ[Date]&lt;=$A$7)*(CRDJ[Account Code]=(TRIM($B89))),CRDJ[Credit])))+(SUM(IF((GJ[Date]&lt;=$A$7)*(GJ[Account Code]=(TRIM($B89))),GJ[Credit]))))</f>
        <v>0</v>
      </c>
      <c r="E89" s="89"/>
    </row>
    <row r="90" spans="1:5" x14ac:dyDescent="0.25">
      <c r="A90" s="440" t="s">
        <v>1150</v>
      </c>
      <c r="B90" s="441" t="s">
        <v>256</v>
      </c>
      <c r="C90" s="89"/>
      <c r="D90" s="442">
        <f t="array" ref="D90">((SUM(IF((CkDJ[Date]&lt;=$A$7)*(CkDJ[Account Code]=(TRIM($B90))),CkDJ[Debit])))+(SUM(IF((CsDJ[Date]&lt;=$A$7)*(CsDJ[Account Code]=(TRIM($B90))),CsDJ[Debit])))+(SUM(IF((CRDJ[Date]&lt;=$A$7)*(CRDJ[Account Code]=(TRIM($B90))),CRDJ[Debit])))+(SUM(IF((GJ[Date]&lt;=$A$7)*(GJ[Account Code]=(TRIM($B90))),GJ[Debit]))))-((SUM(IF((CkDJ[Date]&lt;=$A$7)*(CkDJ[Account Code]=(TRIM($B90))),CkDJ[Credit])))+(SUM(IF((CsDJ[Date]&lt;=$A$7)*(CsDJ[Account Code]=(TRIM($B90))),CsDJ[Credit])))+(SUM(IF((CRDJ[Date]&lt;=$A$7)*(CRDJ[Account Code]=(TRIM($B90))),CRDJ[Credit])))+(SUM(IF((GJ[Date]&lt;=$A$7)*(GJ[Account Code]=(TRIM($B90))),GJ[Credit]))))</f>
        <v>0</v>
      </c>
      <c r="E90" s="89"/>
    </row>
    <row r="91" spans="1:5" x14ac:dyDescent="0.25">
      <c r="A91" s="440" t="s">
        <v>1151</v>
      </c>
      <c r="B91" s="441" t="s">
        <v>264</v>
      </c>
      <c r="C91" s="89"/>
      <c r="D91" s="442">
        <f t="array" ref="D91">((SUM(IF((CkDJ[Date]&lt;=$A$7)*(CkDJ[Account Code]=(TRIM($B91))),CkDJ[Debit])))+(SUM(IF((CsDJ[Date]&lt;=$A$7)*(CsDJ[Account Code]=(TRIM($B91))),CsDJ[Debit])))+(SUM(IF((CRDJ[Date]&lt;=$A$7)*(CRDJ[Account Code]=(TRIM($B91))),CRDJ[Debit])))+(SUM(IF((GJ[Date]&lt;=$A$7)*(GJ[Account Code]=(TRIM($B91))),GJ[Debit]))))-((SUM(IF((CkDJ[Date]&lt;=$A$7)*(CkDJ[Account Code]=(TRIM($B91))),CkDJ[Credit])))+(SUM(IF((CsDJ[Date]&lt;=$A$7)*(CsDJ[Account Code]=(TRIM($B91))),CsDJ[Credit])))+(SUM(IF((CRDJ[Date]&lt;=$A$7)*(CRDJ[Account Code]=(TRIM($B91))),CRDJ[Credit])))+(SUM(IF((GJ[Date]&lt;=$A$7)*(GJ[Account Code]=(TRIM($B91))),GJ[Credit]))))</f>
        <v>0</v>
      </c>
      <c r="E91" s="89"/>
    </row>
    <row r="92" spans="1:5" x14ac:dyDescent="0.25">
      <c r="A92" s="440" t="s">
        <v>1152</v>
      </c>
      <c r="B92" s="441" t="s">
        <v>265</v>
      </c>
      <c r="C92" s="89"/>
      <c r="D92" s="442">
        <f t="array" ref="D92">((SUM(IF((CkDJ[Date]&lt;=$A$7)*(CkDJ[Account Code]=(TRIM($B92))),CkDJ[Debit])))+(SUM(IF((CsDJ[Date]&lt;=$A$7)*(CsDJ[Account Code]=(TRIM($B92))),CsDJ[Debit])))+(SUM(IF((CRDJ[Date]&lt;=$A$7)*(CRDJ[Account Code]=(TRIM($B92))),CRDJ[Debit])))+(SUM(IF((GJ[Date]&lt;=$A$7)*(GJ[Account Code]=(TRIM($B92))),GJ[Debit]))))-((SUM(IF((CkDJ[Date]&lt;=$A$7)*(CkDJ[Account Code]=(TRIM($B92))),CkDJ[Credit])))+(SUM(IF((CsDJ[Date]&lt;=$A$7)*(CsDJ[Account Code]=(TRIM($B92))),CsDJ[Credit])))+(SUM(IF((CRDJ[Date]&lt;=$A$7)*(CRDJ[Account Code]=(TRIM($B92))),CRDJ[Credit])))+(SUM(IF((GJ[Date]&lt;=$A$7)*(GJ[Account Code]=(TRIM($B92))),GJ[Credit]))))</f>
        <v>0</v>
      </c>
      <c r="E92" s="89"/>
    </row>
    <row r="93" spans="1:5" x14ac:dyDescent="0.25">
      <c r="A93" s="440" t="s">
        <v>1153</v>
      </c>
      <c r="B93" s="441" t="s">
        <v>267</v>
      </c>
      <c r="C93" s="89"/>
      <c r="D93" s="442">
        <f t="array" ref="D93">((SUM(IF((CkDJ[Date]&lt;=$A$7)*(CkDJ[Account Code]=(TRIM($B93))),CkDJ[Debit])))+(SUM(IF((CsDJ[Date]&lt;=$A$7)*(CsDJ[Account Code]=(TRIM($B93))),CsDJ[Debit])))+(SUM(IF((CRDJ[Date]&lt;=$A$7)*(CRDJ[Account Code]=(TRIM($B93))),CRDJ[Debit])))+(SUM(IF((GJ[Date]&lt;=$A$7)*(GJ[Account Code]=(TRIM($B93))),GJ[Debit]))))-((SUM(IF((CkDJ[Date]&lt;=$A$7)*(CkDJ[Account Code]=(TRIM($B93))),CkDJ[Credit])))+(SUM(IF((CsDJ[Date]&lt;=$A$7)*(CsDJ[Account Code]=(TRIM($B93))),CsDJ[Credit])))+(SUM(IF((CRDJ[Date]&lt;=$A$7)*(CRDJ[Account Code]=(TRIM($B93))),CRDJ[Credit])))+(SUM(IF((GJ[Date]&lt;=$A$7)*(GJ[Account Code]=(TRIM($B93))),GJ[Credit]))))</f>
        <v>0</v>
      </c>
      <c r="E93" s="89"/>
    </row>
    <row r="94" spans="1:5" x14ac:dyDescent="0.25">
      <c r="A94" s="440" t="s">
        <v>1154</v>
      </c>
      <c r="B94" s="441" t="s">
        <v>258</v>
      </c>
      <c r="C94" s="89"/>
      <c r="D94" s="442">
        <f t="array" ref="D94">((SUM(IF((CkDJ[Date]&lt;=$A$7)*(CkDJ[Account Code]=(TRIM($B94))),CkDJ[Debit])))+(SUM(IF((CsDJ[Date]&lt;=$A$7)*(CsDJ[Account Code]=(TRIM($B94))),CsDJ[Debit])))+(SUM(IF((CRDJ[Date]&lt;=$A$7)*(CRDJ[Account Code]=(TRIM($B94))),CRDJ[Debit])))+(SUM(IF((GJ[Date]&lt;=$A$7)*(GJ[Account Code]=(TRIM($B94))),GJ[Debit]))))-((SUM(IF((CkDJ[Date]&lt;=$A$7)*(CkDJ[Account Code]=(TRIM($B94))),CkDJ[Credit])))+(SUM(IF((CsDJ[Date]&lt;=$A$7)*(CsDJ[Account Code]=(TRIM($B94))),CsDJ[Credit])))+(SUM(IF((CRDJ[Date]&lt;=$A$7)*(CRDJ[Account Code]=(TRIM($B94))),CRDJ[Credit])))+(SUM(IF((GJ[Date]&lt;=$A$7)*(GJ[Account Code]=(TRIM($B94))),GJ[Credit]))))</f>
        <v>0</v>
      </c>
      <c r="E94" s="89"/>
    </row>
    <row r="95" spans="1:5" x14ac:dyDescent="0.25">
      <c r="A95" s="440" t="s">
        <v>1155</v>
      </c>
      <c r="B95" s="441" t="s">
        <v>261</v>
      </c>
      <c r="C95" s="89"/>
      <c r="D95" s="442">
        <f t="array" ref="D95">((SUM(IF((CkDJ[Date]&lt;=$A$7)*(CkDJ[Account Code]=(TRIM($B95))),CkDJ[Debit])))+(SUM(IF((CsDJ[Date]&lt;=$A$7)*(CsDJ[Account Code]=(TRIM($B95))),CsDJ[Debit])))+(SUM(IF((CRDJ[Date]&lt;=$A$7)*(CRDJ[Account Code]=(TRIM($B95))),CRDJ[Debit])))+(SUM(IF((GJ[Date]&lt;=$A$7)*(GJ[Account Code]=(TRIM($B95))),GJ[Debit]))))-((SUM(IF((CkDJ[Date]&lt;=$A$7)*(CkDJ[Account Code]=(TRIM($B95))),CkDJ[Credit])))+(SUM(IF((CsDJ[Date]&lt;=$A$7)*(CsDJ[Account Code]=(TRIM($B95))),CsDJ[Credit])))+(SUM(IF((CRDJ[Date]&lt;=$A$7)*(CRDJ[Account Code]=(TRIM($B95))),CRDJ[Credit])))+(SUM(IF((GJ[Date]&lt;=$A$7)*(GJ[Account Code]=(TRIM($B95))),GJ[Credit]))))</f>
        <v>0</v>
      </c>
      <c r="E95" s="89"/>
    </row>
    <row r="96" spans="1:5" x14ac:dyDescent="0.25">
      <c r="A96" s="440" t="s">
        <v>1156</v>
      </c>
      <c r="B96" s="441" t="s">
        <v>262</v>
      </c>
      <c r="C96" s="89"/>
      <c r="D96" s="442">
        <f t="array" ref="D96">((SUM(IF((CkDJ[Date]&lt;=$A$7)*(CkDJ[Account Code]=(TRIM($B96))),CkDJ[Debit])))+(SUM(IF((CsDJ[Date]&lt;=$A$7)*(CsDJ[Account Code]=(TRIM($B96))),CsDJ[Debit])))+(SUM(IF((CRDJ[Date]&lt;=$A$7)*(CRDJ[Account Code]=(TRIM($B96))),CRDJ[Debit])))+(SUM(IF((GJ[Date]&lt;=$A$7)*(GJ[Account Code]=(TRIM($B96))),GJ[Debit]))))-((SUM(IF((CkDJ[Date]&lt;=$A$7)*(CkDJ[Account Code]=(TRIM($B96))),CkDJ[Credit])))+(SUM(IF((CsDJ[Date]&lt;=$A$7)*(CsDJ[Account Code]=(TRIM($B96))),CsDJ[Credit])))+(SUM(IF((CRDJ[Date]&lt;=$A$7)*(CRDJ[Account Code]=(TRIM($B96))),CRDJ[Credit])))+(SUM(IF((GJ[Date]&lt;=$A$7)*(GJ[Account Code]=(TRIM($B96))),GJ[Credit]))))</f>
        <v>0</v>
      </c>
      <c r="E96" s="89"/>
    </row>
    <row r="97" spans="1:5" x14ac:dyDescent="0.25">
      <c r="A97" s="452" t="s">
        <v>1120</v>
      </c>
      <c r="B97" s="437" t="s">
        <v>269</v>
      </c>
      <c r="C97" s="89"/>
      <c r="D97" s="442">
        <f t="array" ref="D97">((SUM(IF((CkDJ[Date]&lt;=$A$7)*(CkDJ[Account Code]=(TRIM($B97))),CkDJ[Debit])))+(SUM(IF((CsDJ[Date]&lt;=$A$7)*(CsDJ[Account Code]=(TRIM($B97))),CsDJ[Debit])))+(SUM(IF((CRDJ[Date]&lt;=$A$7)*(CRDJ[Account Code]=(TRIM($B97))),CRDJ[Debit])))+(SUM(IF((GJ[Date]&lt;=$A$7)*(GJ[Account Code]=(TRIM($B97))),GJ[Debit]))))-((SUM(IF((CkDJ[Date]&lt;=$A$7)*(CkDJ[Account Code]=(TRIM($B97))),CkDJ[Credit])))+(SUM(IF((CsDJ[Date]&lt;=$A$7)*(CsDJ[Account Code]=(TRIM($B97))),CsDJ[Credit])))+(SUM(IF((CRDJ[Date]&lt;=$A$7)*(CRDJ[Account Code]=(TRIM($B97))),CRDJ[Credit])))+(SUM(IF((GJ[Date]&lt;=$A$7)*(GJ[Account Code]=(TRIM($B97))),GJ[Credit]))))</f>
        <v>0</v>
      </c>
      <c r="E97" s="89"/>
    </row>
    <row r="98" spans="1:5" x14ac:dyDescent="0.25">
      <c r="A98" s="452" t="s">
        <v>1121</v>
      </c>
      <c r="B98" s="437"/>
      <c r="C98" s="89"/>
      <c r="D98" s="439">
        <f>SUM(D99:D104)</f>
        <v>40921322.340000004</v>
      </c>
      <c r="E98" s="89"/>
    </row>
    <row r="99" spans="1:5" x14ac:dyDescent="0.25">
      <c r="A99" s="440" t="s">
        <v>1122</v>
      </c>
      <c r="B99" s="441" t="s">
        <v>989</v>
      </c>
      <c r="C99" s="89"/>
      <c r="D99" s="442">
        <f t="array" ref="D99">((SUM(IF((CkDJ[Date]&lt;=$A$7)*(CkDJ[Account Code]=(TRIM($B99))),CkDJ[Debit])))+(SUM(IF((CsDJ[Date]&lt;=$A$7)*(CsDJ[Account Code]=(TRIM($B99))),CsDJ[Debit])))+(SUM(IF((CRDJ[Date]&lt;=$A$7)*(CRDJ[Account Code]=(TRIM($B99))),CRDJ[Debit])))+(SUM(IF((GJ[Date]&lt;=$A$7)*(GJ[Account Code]=(TRIM($B99))),GJ[Debit]))))-((SUM(IF((CkDJ[Date]&lt;=$A$7)*(CkDJ[Account Code]=(TRIM($B99))),CkDJ[Credit])))+(SUM(IF((CsDJ[Date]&lt;=$A$7)*(CsDJ[Account Code]=(TRIM($B99))),CsDJ[Credit])))+(SUM(IF((CRDJ[Date]&lt;=$A$7)*(CRDJ[Account Code]=(TRIM($B99))),CRDJ[Credit])))+(SUM(IF((GJ[Date]&lt;=$A$7)*(GJ[Account Code]=(TRIM($B99))),GJ[Credit]))))</f>
        <v>0</v>
      </c>
      <c r="E99" s="89"/>
    </row>
    <row r="100" spans="1:5" x14ac:dyDescent="0.25">
      <c r="A100" s="440" t="s">
        <v>1123</v>
      </c>
      <c r="B100" s="441" t="s">
        <v>271</v>
      </c>
      <c r="C100" s="89"/>
      <c r="D100" s="442">
        <f t="array" ref="D100">((SUM(IF((CkDJ[Date]&lt;=$A$7)*(CkDJ[Account Code]=(TRIM($B100))),CkDJ[Debit])))+(SUM(IF((CsDJ[Date]&lt;=$A$7)*(CsDJ[Account Code]=(TRIM($B100))),CsDJ[Debit])))+(SUM(IF((CRDJ[Date]&lt;=$A$7)*(CRDJ[Account Code]=(TRIM($B100))),CRDJ[Debit])))+(SUM(IF((GJ[Date]&lt;=$A$7)*(GJ[Account Code]=(TRIM($B100))),GJ[Debit]))))-((SUM(IF((CkDJ[Date]&lt;=$A$7)*(CkDJ[Account Code]=(TRIM($B100))),CkDJ[Credit])))+(SUM(IF((CsDJ[Date]&lt;=$A$7)*(CsDJ[Account Code]=(TRIM($B100))),CsDJ[Credit])))+(SUM(IF((CRDJ[Date]&lt;=$A$7)*(CRDJ[Account Code]=(TRIM($B100))),CRDJ[Credit])))+(SUM(IF((GJ[Date]&lt;=$A$7)*(GJ[Account Code]=(TRIM($B100))),GJ[Credit]))))</f>
        <v>0</v>
      </c>
      <c r="E100" s="89"/>
    </row>
    <row r="101" spans="1:5" x14ac:dyDescent="0.25">
      <c r="A101" s="440" t="s">
        <v>1124</v>
      </c>
      <c r="B101" s="441" t="s">
        <v>331</v>
      </c>
      <c r="C101" s="89"/>
      <c r="D101" s="442">
        <f>31292796.82+9628525.52</f>
        <v>40921322.340000004</v>
      </c>
      <c r="E101" s="89"/>
    </row>
    <row r="102" spans="1:5" x14ac:dyDescent="0.25">
      <c r="A102" s="440" t="s">
        <v>1125</v>
      </c>
      <c r="B102" s="441"/>
      <c r="C102" s="89"/>
      <c r="D102" s="438">
        <v>0</v>
      </c>
      <c r="E102" s="89"/>
    </row>
    <row r="103" spans="1:5" x14ac:dyDescent="0.25">
      <c r="A103" s="440" t="s">
        <v>1126</v>
      </c>
      <c r="B103" s="441" t="s">
        <v>987</v>
      </c>
      <c r="C103" s="89"/>
      <c r="D103" s="442">
        <f t="array" ref="D103">((SUM(IF((CkDJ[Date]&lt;=$A$7)*(CkDJ[Account Code]=(TRIM($B103))),CkDJ[Debit])))+(SUM(IF((CsDJ[Date]&lt;=$A$7)*(CsDJ[Account Code]=(TRIM($B103))),CsDJ[Debit])))+(SUM(IF((CRDJ[Date]&lt;=$A$7)*(CRDJ[Account Code]=(TRIM($B103))),CRDJ[Debit])))+(SUM(IF((GJ[Date]&lt;=$A$7)*(GJ[Account Code]=(TRIM($B103))),GJ[Debit]))))-((SUM(IF((CkDJ[Date]&lt;=$A$7)*(CkDJ[Account Code]=(TRIM($B103))),CkDJ[Credit])))+(SUM(IF((CsDJ[Date]&lt;=$A$7)*(CsDJ[Account Code]=(TRIM($B103))),CsDJ[Credit])))+(SUM(IF((CRDJ[Date]&lt;=$A$7)*(CRDJ[Account Code]=(TRIM($B103))),CRDJ[Credit])))+(SUM(IF((GJ[Date]&lt;=$A$7)*(GJ[Account Code]=(TRIM($B103))),GJ[Credit]))))</f>
        <v>0</v>
      </c>
      <c r="E103" s="89"/>
    </row>
    <row r="104" spans="1:5" x14ac:dyDescent="0.25">
      <c r="A104" s="440" t="s">
        <v>1127</v>
      </c>
      <c r="B104" s="441" t="s">
        <v>799</v>
      </c>
      <c r="C104" s="89"/>
      <c r="D104" s="438"/>
      <c r="E104" s="89"/>
    </row>
    <row r="105" spans="1:5" x14ac:dyDescent="0.25">
      <c r="A105" s="453" t="s">
        <v>1128</v>
      </c>
      <c r="B105" s="454"/>
      <c r="C105" s="89"/>
      <c r="D105" s="442">
        <f>SUM(D106:D108)</f>
        <v>0</v>
      </c>
      <c r="E105" s="89"/>
    </row>
    <row r="106" spans="1:5" x14ac:dyDescent="0.25">
      <c r="A106" s="440" t="s">
        <v>960</v>
      </c>
      <c r="B106" s="441" t="s">
        <v>272</v>
      </c>
      <c r="C106" s="89"/>
      <c r="D106" s="442">
        <f t="array" ref="D106">((SUM(IF((CkDJ[Date]&lt;=$A$7)*(CkDJ[Account Code]=(TRIM($B106))),CkDJ[Debit])))+(SUM(IF((CsDJ[Date]&lt;=$A$7)*(CsDJ[Account Code]=(TRIM($B106))),CsDJ[Debit])))+(SUM(IF((CRDJ[Date]&lt;=$A$7)*(CRDJ[Account Code]=(TRIM($B106))),CRDJ[Debit])))+(SUM(IF((GJ[Date]&lt;=$A$7)*(GJ[Account Code]=(TRIM($B106))),GJ[Debit]))))-((SUM(IF((CkDJ[Date]&lt;=$A$7)*(CkDJ[Account Code]=(TRIM($B106))),CkDJ[Credit])))+(SUM(IF((CsDJ[Date]&lt;=$A$7)*(CsDJ[Account Code]=(TRIM($B106))),CsDJ[Credit])))+(SUM(IF((CRDJ[Date]&lt;=$A$7)*(CRDJ[Account Code]=(TRIM($B106))),CRDJ[Credit])))+(SUM(IF((GJ[Date]&lt;=$A$7)*(GJ[Account Code]=(TRIM($B106))),GJ[Credit]))))</f>
        <v>0</v>
      </c>
      <c r="E106" s="89"/>
    </row>
    <row r="107" spans="1:5" x14ac:dyDescent="0.25">
      <c r="A107" s="440" t="s">
        <v>961</v>
      </c>
      <c r="B107" s="441" t="s">
        <v>273</v>
      </c>
      <c r="C107" s="89"/>
      <c r="D107" s="442">
        <f t="array" ref="D107">((SUM(IF((CkDJ[Date]&lt;=$A$7)*(CkDJ[Account Code]=(TRIM($B107))),CkDJ[Debit])))+(SUM(IF((CsDJ[Date]&lt;=$A$7)*(CsDJ[Account Code]=(TRIM($B107))),CsDJ[Debit])))+(SUM(IF((CRDJ[Date]&lt;=$A$7)*(CRDJ[Account Code]=(TRIM($B107))),CRDJ[Debit])))+(SUM(IF((GJ[Date]&lt;=$A$7)*(GJ[Account Code]=(TRIM($B107))),GJ[Debit]))))-((SUM(IF((CkDJ[Date]&lt;=$A$7)*(CkDJ[Account Code]=(TRIM($B107))),CkDJ[Credit])))+(SUM(IF((CsDJ[Date]&lt;=$A$7)*(CsDJ[Account Code]=(TRIM($B107))),CsDJ[Credit])))+(SUM(IF((CRDJ[Date]&lt;=$A$7)*(CRDJ[Account Code]=(TRIM($B107))),CRDJ[Credit])))+(SUM(IF((GJ[Date]&lt;=$A$7)*(GJ[Account Code]=(TRIM($B107))),GJ[Credit]))))</f>
        <v>0</v>
      </c>
      <c r="E107" s="89"/>
    </row>
    <row r="108" spans="1:5" x14ac:dyDescent="0.25">
      <c r="A108" s="440" t="s">
        <v>962</v>
      </c>
      <c r="B108" s="441" t="s">
        <v>274</v>
      </c>
      <c r="C108" s="89"/>
      <c r="D108" s="442">
        <f t="array" ref="D108">((SUM(IF((CkDJ[Date]&lt;=$A$7)*(CkDJ[Account Code]=(TRIM($B108))),CkDJ[Debit])))+(SUM(IF((CsDJ[Date]&lt;=$A$7)*(CsDJ[Account Code]=(TRIM($B108))),CsDJ[Debit])))+(SUM(IF((CRDJ[Date]&lt;=$A$7)*(CRDJ[Account Code]=(TRIM($B108))),CRDJ[Debit])))+(SUM(IF((GJ[Date]&lt;=$A$7)*(GJ[Account Code]=(TRIM($B108))),GJ[Debit]))))-((SUM(IF((CkDJ[Date]&lt;=$A$7)*(CkDJ[Account Code]=(TRIM($B108))),CkDJ[Credit])))+(SUM(IF((CsDJ[Date]&lt;=$A$7)*(CsDJ[Account Code]=(TRIM($B108))),CsDJ[Credit])))+(SUM(IF((CRDJ[Date]&lt;=$A$7)*(CRDJ[Account Code]=(TRIM($B108))),CRDJ[Credit])))+(SUM(IF((GJ[Date]&lt;=$A$7)*(GJ[Account Code]=(TRIM($B108))),GJ[Credit]))))</f>
        <v>0</v>
      </c>
      <c r="E108" s="89"/>
    </row>
    <row r="109" spans="1:5" x14ac:dyDescent="0.25">
      <c r="A109" s="453" t="s">
        <v>1129</v>
      </c>
      <c r="B109" s="454" t="s">
        <v>334</v>
      </c>
      <c r="C109" s="89"/>
      <c r="D109" s="442">
        <f t="array" ref="D109">((SUM(IF((CkDJ[Date]&lt;=$A$7)*(CkDJ[Account Code]=(TRIM($B109))),CkDJ[Debit])))+(SUM(IF((CsDJ[Date]&lt;=$A$7)*(CsDJ[Account Code]=(TRIM($B109))),CsDJ[Debit])))+(SUM(IF((CRDJ[Date]&lt;=$A$7)*(CRDJ[Account Code]=(TRIM($B109))),CRDJ[Debit])))+(SUM(IF((GJ[Date]&lt;=$A$7)*(GJ[Account Code]=(TRIM($B109))),GJ[Debit]))))-((SUM(IF((CkDJ[Date]&lt;=$A$7)*(CkDJ[Account Code]=(TRIM($B109))),CkDJ[Credit])))+(SUM(IF((CsDJ[Date]&lt;=$A$7)*(CsDJ[Account Code]=(TRIM($B109))),CsDJ[Credit])))+(SUM(IF((CRDJ[Date]&lt;=$A$7)*(CRDJ[Account Code]=(TRIM($B109))),CRDJ[Credit])))+(SUM(IF((GJ[Date]&lt;=$A$7)*(GJ[Account Code]=(TRIM($B109))),GJ[Credit]))))</f>
        <v>0</v>
      </c>
      <c r="E109" s="89"/>
    </row>
    <row r="110" spans="1:5" x14ac:dyDescent="0.25">
      <c r="A110" s="453" t="s">
        <v>1130</v>
      </c>
      <c r="B110" s="454" t="s">
        <v>333</v>
      </c>
      <c r="C110" s="89"/>
      <c r="D110" s="442">
        <f t="array" ref="D110">((SUM(IF((CkDJ[Date]&lt;=$A$7)*(CkDJ[Account Code]=(TRIM($B110))),CkDJ[Debit])))+(SUM(IF((CsDJ[Date]&lt;=$A$7)*(CsDJ[Account Code]=(TRIM($B110))),CsDJ[Debit])))+(SUM(IF((CRDJ[Date]&lt;=$A$7)*(CRDJ[Account Code]=(TRIM($B110))),CRDJ[Debit])))+(SUM(IF((GJ[Date]&lt;=$A$7)*(GJ[Account Code]=(TRIM($B110))),GJ[Debit]))))-((SUM(IF((CkDJ[Date]&lt;=$A$7)*(CkDJ[Account Code]=(TRIM($B110))),CkDJ[Credit])))+(SUM(IF((CsDJ[Date]&lt;=$A$7)*(CsDJ[Account Code]=(TRIM($B110))),CsDJ[Credit])))+(SUM(IF((CRDJ[Date]&lt;=$A$7)*(CRDJ[Account Code]=(TRIM($B110))),CRDJ[Credit])))+(SUM(IF((GJ[Date]&lt;=$A$7)*(GJ[Account Code]=(TRIM($B110))),GJ[Credit]))))</f>
        <v>0</v>
      </c>
      <c r="E110" s="89"/>
    </row>
    <row r="111" spans="1:5" x14ac:dyDescent="0.25">
      <c r="A111" s="453" t="s">
        <v>1131</v>
      </c>
      <c r="B111" s="454" t="s">
        <v>335</v>
      </c>
      <c r="C111" s="89"/>
      <c r="D111" s="442">
        <f t="array" ref="D111">((SUM(IF((CkDJ[Date]&lt;=$A$7)*(CkDJ[Account Code]=(TRIM($B111))),CkDJ[Debit])))+(SUM(IF((CsDJ[Date]&lt;=$A$7)*(CsDJ[Account Code]=(TRIM($B111))),CsDJ[Debit])))+(SUM(IF((CRDJ[Date]&lt;=$A$7)*(CRDJ[Account Code]=(TRIM($B111))),CRDJ[Debit])))+(SUM(IF((GJ[Date]&lt;=$A$7)*(GJ[Account Code]=(TRIM($B111))),GJ[Debit]))))-((SUM(IF((CkDJ[Date]&lt;=$A$7)*(CkDJ[Account Code]=(TRIM($B111))),CkDJ[Credit])))+(SUM(IF((CsDJ[Date]&lt;=$A$7)*(CsDJ[Account Code]=(TRIM($B111))),CsDJ[Credit])))+(SUM(IF((CRDJ[Date]&lt;=$A$7)*(CRDJ[Account Code]=(TRIM($B111))),CRDJ[Credit])))+(SUM(IF((GJ[Date]&lt;=$A$7)*(GJ[Account Code]=(TRIM($B111))),GJ[Credit]))))</f>
        <v>0</v>
      </c>
      <c r="E111" s="89"/>
    </row>
    <row r="112" spans="1:5" x14ac:dyDescent="0.25">
      <c r="A112" s="453" t="s">
        <v>1132</v>
      </c>
      <c r="B112" s="454" t="s">
        <v>799</v>
      </c>
      <c r="C112" s="89"/>
      <c r="D112" s="442">
        <f t="array" ref="D112">((SUM(IF((CkDJ[Date]&lt;=$A$7)*(CkDJ[Account Code]=(TRIM($B112))),CkDJ[Debit])))+(SUM(IF((CsDJ[Date]&lt;=$A$7)*(CsDJ[Account Code]=(TRIM($B112))),CsDJ[Debit])))+(SUM(IF((CRDJ[Date]&lt;=$A$7)*(CRDJ[Account Code]=(TRIM($B112))),CRDJ[Debit])))+(SUM(IF((GJ[Date]&lt;=$A$7)*(GJ[Account Code]=(TRIM($B112))),GJ[Debit]))))-((SUM(IF((CkDJ[Date]&lt;=$A$7)*(CkDJ[Account Code]=(TRIM($B112))),CkDJ[Credit])))+(SUM(IF((CsDJ[Date]&lt;=$A$7)*(CsDJ[Account Code]=(TRIM($B112))),CsDJ[Credit])))+(SUM(IF((CRDJ[Date]&lt;=$A$7)*(CRDJ[Account Code]=(TRIM($B112))),CRDJ[Credit])))+(SUM(IF((GJ[Date]&lt;=$A$7)*(GJ[Account Code]=(TRIM($B112))),GJ[Credit]))))</f>
        <v>0</v>
      </c>
      <c r="E112" s="89"/>
    </row>
    <row r="113" spans="1:5" x14ac:dyDescent="0.25">
      <c r="A113" s="453" t="s">
        <v>1133</v>
      </c>
      <c r="B113" s="454" t="s">
        <v>799</v>
      </c>
      <c r="C113" s="89"/>
      <c r="D113" s="442">
        <f t="array" ref="D113">((SUM(IF((CkDJ[Date]&lt;=$A$7)*(CkDJ[Account Code]=(TRIM($B113))),CkDJ[Debit])))+(SUM(IF((CsDJ[Date]&lt;=$A$7)*(CsDJ[Account Code]=(TRIM($B113))),CsDJ[Debit])))+(SUM(IF((CRDJ[Date]&lt;=$A$7)*(CRDJ[Account Code]=(TRIM($B113))),CRDJ[Debit])))+(SUM(IF((GJ[Date]&lt;=$A$7)*(GJ[Account Code]=(TRIM($B113))),GJ[Debit]))))-((SUM(IF((CkDJ[Date]&lt;=$A$7)*(CkDJ[Account Code]=(TRIM($B113))),CkDJ[Credit])))+(SUM(IF((CsDJ[Date]&lt;=$A$7)*(CsDJ[Account Code]=(TRIM($B113))),CsDJ[Credit])))+(SUM(IF((CRDJ[Date]&lt;=$A$7)*(CRDJ[Account Code]=(TRIM($B113))),CRDJ[Credit])))+(SUM(IF((GJ[Date]&lt;=$A$7)*(GJ[Account Code]=(TRIM($B113))),GJ[Credit]))))</f>
        <v>0</v>
      </c>
      <c r="E113" s="89"/>
    </row>
    <row r="114" spans="1:5" x14ac:dyDescent="0.25">
      <c r="A114" s="453" t="s">
        <v>1134</v>
      </c>
      <c r="B114" s="454" t="s">
        <v>799</v>
      </c>
      <c r="C114" s="89"/>
      <c r="D114" s="442">
        <f t="array" ref="D114">((SUM(IF((CkDJ[Date]&lt;=$A$7)*(CkDJ[Account Code]=(TRIM($B114))),CkDJ[Debit])))+(SUM(IF((CsDJ[Date]&lt;=$A$7)*(CsDJ[Account Code]=(TRIM($B114))),CsDJ[Debit])))+(SUM(IF((CRDJ[Date]&lt;=$A$7)*(CRDJ[Account Code]=(TRIM($B114))),CRDJ[Debit])))+(SUM(IF((GJ[Date]&lt;=$A$7)*(GJ[Account Code]=(TRIM($B114))),GJ[Debit]))))-((SUM(IF((CkDJ[Date]&lt;=$A$7)*(CkDJ[Account Code]=(TRIM($B114))),CkDJ[Credit])))+(SUM(IF((CsDJ[Date]&lt;=$A$7)*(CsDJ[Account Code]=(TRIM($B114))),CsDJ[Credit])))+(SUM(IF((CRDJ[Date]&lt;=$A$7)*(CRDJ[Account Code]=(TRIM($B114))),CRDJ[Credit])))+(SUM(IF((GJ[Date]&lt;=$A$7)*(GJ[Account Code]=(TRIM($B114))),GJ[Credit]))))</f>
        <v>0</v>
      </c>
      <c r="E114" s="89"/>
    </row>
    <row r="115" spans="1:5" x14ac:dyDescent="0.25">
      <c r="A115" s="453" t="s">
        <v>1135</v>
      </c>
      <c r="B115" s="454" t="s">
        <v>340</v>
      </c>
      <c r="C115" s="89"/>
      <c r="D115" s="442">
        <f t="array" ref="D115">((SUM(IF((CkDJ[Date]&lt;=$A$7)*(CkDJ[Account Code]=(TRIM($B115))),CkDJ[Debit])))+(SUM(IF((CsDJ[Date]&lt;=$A$7)*(CsDJ[Account Code]=(TRIM($B115))),CsDJ[Debit])))+(SUM(IF((CRDJ[Date]&lt;=$A$7)*(CRDJ[Account Code]=(TRIM($B115))),CRDJ[Debit])))+(SUM(IF((GJ[Date]&lt;=$A$7)*(GJ[Account Code]=(TRIM($B115))),GJ[Debit]))))-((SUM(IF((CkDJ[Date]&lt;=$A$7)*(CkDJ[Account Code]=(TRIM($B115))),CkDJ[Credit])))+(SUM(IF((CsDJ[Date]&lt;=$A$7)*(CsDJ[Account Code]=(TRIM($B115))),CsDJ[Credit])))+(SUM(IF((CRDJ[Date]&lt;=$A$7)*(CRDJ[Account Code]=(TRIM($B115))),CRDJ[Credit])))+(SUM(IF((GJ[Date]&lt;=$A$7)*(GJ[Account Code]=(TRIM($B115))),GJ[Credit]))))</f>
        <v>0</v>
      </c>
      <c r="E115" s="89"/>
    </row>
    <row r="116" spans="1:5" x14ac:dyDescent="0.25">
      <c r="A116" s="453" t="s">
        <v>1146</v>
      </c>
      <c r="B116" s="454" t="s">
        <v>986</v>
      </c>
      <c r="C116" s="89"/>
      <c r="D116" s="442">
        <f t="array" ref="D116">((SUM(IF((CkDJ[Date]&lt;=$A$7)*(CkDJ[Account Code]=(TRIM($B116))),CkDJ[Debit])))+(SUM(IF((CsDJ[Date]&lt;=$A$7)*(CsDJ[Account Code]=(TRIM($B116))),CsDJ[Debit])))+(SUM(IF((CRDJ[Date]&lt;=$A$7)*(CRDJ[Account Code]=(TRIM($B116))),CRDJ[Debit])))+(SUM(IF((GJ[Date]&lt;=$A$7)*(GJ[Account Code]=(TRIM($B116))),GJ[Debit]))))-((SUM(IF((CkDJ[Date]&lt;=$A$7)*(CkDJ[Account Code]=(TRIM($B116))),CkDJ[Credit])))+(SUM(IF((CsDJ[Date]&lt;=$A$7)*(CsDJ[Account Code]=(TRIM($B116))),CsDJ[Credit])))+(SUM(IF((CRDJ[Date]&lt;=$A$7)*(CRDJ[Account Code]=(TRIM($B116))),CRDJ[Credit])))+(SUM(IF((GJ[Date]&lt;=$A$7)*(GJ[Account Code]=(TRIM($B116))),GJ[Credit]))))</f>
        <v>0</v>
      </c>
      <c r="E116" s="89"/>
    </row>
    <row r="117" spans="1:5" x14ac:dyDescent="0.25">
      <c r="A117" s="453" t="s">
        <v>1136</v>
      </c>
      <c r="B117" s="454" t="s">
        <v>799</v>
      </c>
      <c r="C117" s="89"/>
      <c r="D117" s="442">
        <f t="array" ref="D117">((SUM(IF((CkDJ[Date]&lt;=$A$7)*(CkDJ[Account Code]=(TRIM($B117))),CkDJ[Debit])))+(SUM(IF((CsDJ[Date]&lt;=$A$7)*(CsDJ[Account Code]=(TRIM($B117))),CsDJ[Debit])))+(SUM(IF((CRDJ[Date]&lt;=$A$7)*(CRDJ[Account Code]=(TRIM($B117))),CRDJ[Debit])))+(SUM(IF((GJ[Date]&lt;=$A$7)*(GJ[Account Code]=(TRIM($B117))),GJ[Debit]))))-((SUM(IF((CkDJ[Date]&lt;=$A$7)*(CkDJ[Account Code]=(TRIM($B117))),CkDJ[Credit])))+(SUM(IF((CsDJ[Date]&lt;=$A$7)*(CsDJ[Account Code]=(TRIM($B117))),CsDJ[Credit])))+(SUM(IF((CRDJ[Date]&lt;=$A$7)*(CRDJ[Account Code]=(TRIM($B117))),CRDJ[Credit])))+(SUM(IF((GJ[Date]&lt;=$A$7)*(GJ[Account Code]=(TRIM($B117))),GJ[Credit]))))</f>
        <v>0</v>
      </c>
      <c r="E117" s="89"/>
    </row>
    <row r="118" spans="1:5" x14ac:dyDescent="0.25">
      <c r="A118" s="455" t="s">
        <v>1137</v>
      </c>
      <c r="B118" s="445"/>
      <c r="C118" s="446">
        <v>62246100.439999998</v>
      </c>
      <c r="D118" s="447">
        <f>D50+D51+D52+D61+D66+D70+D71+D72+D73+D74+D75+D76+D77+D78+D87+D97+D98+D105+D109+D110+D111+D112+D113+D114+D115+D117+D116</f>
        <v>40921322.340000004</v>
      </c>
      <c r="E118" s="446">
        <f>SUM(C118-D118)</f>
        <v>21324778.100000001</v>
      </c>
    </row>
    <row r="119" spans="1:5" x14ac:dyDescent="0.25">
      <c r="A119" s="455" t="s">
        <v>1015</v>
      </c>
      <c r="B119" s="445"/>
      <c r="C119" s="446">
        <v>1000000</v>
      </c>
      <c r="D119" s="456">
        <v>0</v>
      </c>
      <c r="E119" s="446">
        <f>+C119-D119</f>
        <v>1000000</v>
      </c>
    </row>
    <row r="120" spans="1:5" x14ac:dyDescent="0.25">
      <c r="A120" s="455" t="s">
        <v>717</v>
      </c>
      <c r="B120" s="445"/>
      <c r="C120" s="446">
        <f>SUM(C47+C118+C119)</f>
        <v>119620810.02</v>
      </c>
      <c r="D120" s="456">
        <f>SUM(D118+D47+D119)</f>
        <v>40921322.340000004</v>
      </c>
      <c r="E120" s="446">
        <f>+C120-D120</f>
        <v>78699487.680000007</v>
      </c>
    </row>
    <row r="121" spans="1:5" x14ac:dyDescent="0.25">
      <c r="D121" s="163"/>
      <c r="E121" s="163"/>
    </row>
    <row r="122" spans="1:5" x14ac:dyDescent="0.25">
      <c r="D122" s="163"/>
      <c r="E122" s="163"/>
    </row>
    <row r="123" spans="1:5" x14ac:dyDescent="0.25">
      <c r="A123" s="126" t="s">
        <v>1138</v>
      </c>
      <c r="C123" s="25" t="s">
        <v>1139</v>
      </c>
      <c r="E123" s="457"/>
    </row>
    <row r="124" spans="1:5" x14ac:dyDescent="0.25">
      <c r="D124" s="163"/>
      <c r="E124" s="457"/>
    </row>
    <row r="125" spans="1:5" x14ac:dyDescent="0.25">
      <c r="E125" s="163"/>
    </row>
    <row r="126" spans="1:5" x14ac:dyDescent="0.25">
      <c r="A126" s="195" t="s">
        <v>745</v>
      </c>
      <c r="B126" s="458"/>
      <c r="C126" s="1162" t="s">
        <v>3</v>
      </c>
      <c r="D126" s="1162"/>
      <c r="E126" s="1162"/>
    </row>
    <row r="127" spans="1:5" x14ac:dyDescent="0.25">
      <c r="A127" s="86" t="s">
        <v>1140</v>
      </c>
      <c r="B127" s="129"/>
      <c r="C127" s="1163" t="s">
        <v>464</v>
      </c>
      <c r="D127" s="1164"/>
      <c r="E127" s="1164"/>
    </row>
    <row r="130" spans="1:5" x14ac:dyDescent="0.25">
      <c r="A130" s="459" t="s">
        <v>1141</v>
      </c>
      <c r="B130" s="460"/>
    </row>
    <row r="133" spans="1:5" x14ac:dyDescent="0.25">
      <c r="A133" s="461" t="s">
        <v>744</v>
      </c>
      <c r="B133" s="461"/>
      <c r="C133" s="461"/>
      <c r="D133" s="461"/>
      <c r="E133" s="461"/>
    </row>
    <row r="134" spans="1:5" x14ac:dyDescent="0.25">
      <c r="A134" s="462" t="s">
        <v>1142</v>
      </c>
      <c r="B134" s="462"/>
      <c r="C134" s="462"/>
      <c r="D134" s="462"/>
      <c r="E134" s="462"/>
    </row>
  </sheetData>
  <mergeCells count="7">
    <mergeCell ref="C127:E127"/>
    <mergeCell ref="A11:A12"/>
    <mergeCell ref="B11:B12"/>
    <mergeCell ref="C11:C12"/>
    <mergeCell ref="D11:D12"/>
    <mergeCell ref="E11:E12"/>
    <mergeCell ref="C126:E126"/>
  </mergeCells>
  <printOptions horizontalCentered="1"/>
  <pageMargins left="0.25" right="0.25" top="0.75" bottom="1.5" header="0.3" footer="0.3"/>
  <pageSetup paperSize="5" scale="7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99FF"/>
  </sheetPr>
  <dimension ref="A1:E134"/>
  <sheetViews>
    <sheetView workbookViewId="0"/>
  </sheetViews>
  <sheetFormatPr defaultColWidth="9" defaultRowHeight="15.75" x14ac:dyDescent="0.25"/>
  <cols>
    <col min="1" max="1" width="49.5" style="126" customWidth="1"/>
    <col min="2" max="2" width="7" style="436" customWidth="1"/>
    <col min="3" max="5" width="17.125" style="126" customWidth="1"/>
    <col min="6" max="16384" width="9" style="126"/>
  </cols>
  <sheetData>
    <row r="1" spans="1:5" x14ac:dyDescent="0.25">
      <c r="A1" s="430" t="s">
        <v>1063</v>
      </c>
      <c r="B1" s="431"/>
      <c r="C1" s="430"/>
      <c r="D1" s="430"/>
      <c r="E1" s="430"/>
    </row>
    <row r="2" spans="1:5" ht="22.5" x14ac:dyDescent="0.25">
      <c r="A2" s="432" t="s">
        <v>355</v>
      </c>
      <c r="B2" s="433"/>
      <c r="C2" s="432"/>
      <c r="D2" s="432"/>
      <c r="E2" s="432"/>
    </row>
    <row r="3" spans="1:5" x14ac:dyDescent="0.25">
      <c r="A3" s="430" t="s">
        <v>1064</v>
      </c>
      <c r="B3" s="431"/>
      <c r="C3" s="430"/>
      <c r="D3" s="430"/>
      <c r="E3" s="430"/>
    </row>
    <row r="4" spans="1:5" x14ac:dyDescent="0.25">
      <c r="A4" s="430" t="s">
        <v>1065</v>
      </c>
      <c r="B4" s="431"/>
      <c r="C4" s="430"/>
      <c r="D4" s="430"/>
      <c r="E4" s="430"/>
    </row>
    <row r="5" spans="1:5" x14ac:dyDescent="0.25">
      <c r="A5" s="430"/>
      <c r="B5" s="431"/>
      <c r="C5" s="430"/>
      <c r="D5" s="430"/>
      <c r="E5" s="430"/>
    </row>
    <row r="6" spans="1:5" x14ac:dyDescent="0.25">
      <c r="A6" s="430" t="s">
        <v>1158</v>
      </c>
      <c r="B6" s="431"/>
      <c r="C6" s="430"/>
      <c r="D6" s="430"/>
      <c r="E6" s="430"/>
    </row>
    <row r="7" spans="1:5" x14ac:dyDescent="0.25">
      <c r="A7" s="434">
        <v>42978</v>
      </c>
      <c r="B7" s="435"/>
      <c r="C7" s="430"/>
      <c r="D7" s="430"/>
      <c r="E7" s="430"/>
    </row>
    <row r="8" spans="1:5" x14ac:dyDescent="0.25">
      <c r="A8" s="430"/>
      <c r="B8" s="431"/>
      <c r="C8" s="430"/>
      <c r="D8" s="430"/>
      <c r="E8" s="430"/>
    </row>
    <row r="9" spans="1:5" x14ac:dyDescent="0.25">
      <c r="A9" s="430"/>
      <c r="B9" s="431"/>
      <c r="C9" s="430"/>
      <c r="D9" s="430"/>
      <c r="E9" s="430"/>
    </row>
    <row r="11" spans="1:5" ht="15" customHeight="1" x14ac:dyDescent="0.25">
      <c r="A11" s="1072" t="s">
        <v>1066</v>
      </c>
      <c r="B11" s="1165" t="s">
        <v>403</v>
      </c>
      <c r="C11" s="1074" t="s">
        <v>1067</v>
      </c>
      <c r="D11" s="1074" t="s">
        <v>1037</v>
      </c>
      <c r="E11" s="1074" t="s">
        <v>1068</v>
      </c>
    </row>
    <row r="12" spans="1:5" x14ac:dyDescent="0.25">
      <c r="A12" s="1072"/>
      <c r="B12" s="1165"/>
      <c r="C12" s="1074"/>
      <c r="D12" s="1074"/>
      <c r="E12" s="1074"/>
    </row>
    <row r="13" spans="1:5" x14ac:dyDescent="0.25">
      <c r="A13" s="320" t="s">
        <v>1069</v>
      </c>
      <c r="B13" s="437"/>
      <c r="C13" s="89"/>
      <c r="D13" s="438"/>
      <c r="E13" s="89"/>
    </row>
    <row r="14" spans="1:5" x14ac:dyDescent="0.25">
      <c r="A14" s="320" t="s">
        <v>1070</v>
      </c>
      <c r="B14" s="437"/>
      <c r="C14" s="89"/>
      <c r="D14" s="439">
        <f>SUM(D15+D16+D17)</f>
        <v>0</v>
      </c>
      <c r="E14" s="89"/>
    </row>
    <row r="15" spans="1:5" x14ac:dyDescent="0.25">
      <c r="A15" s="440" t="s">
        <v>1071</v>
      </c>
      <c r="B15" s="441" t="s">
        <v>162</v>
      </c>
      <c r="C15" s="89"/>
      <c r="D15" s="442">
        <f t="array" ref="D15">((SUM(IF((CkDJ[Date]&lt;=$A$7)*(CkDJ[Account Code]=(TRIM($B15))),CkDJ[Debit])))+(SUM(IF((CsDJ[Date]&lt;=$A$7)*(CsDJ[Account Code]=(TRIM($B15))),CsDJ[Debit])))+(SUM(IF((CRDJ[Date]&lt;=$A$7)*(CRDJ[Account Code]=(TRIM($B15))),CRDJ[Debit])))+(SUM(IF((GJ[Date]&lt;=$A$7)*(GJ[Account Code]=(TRIM($B15))),GJ[Debit]))))-((SUM(IF((CkDJ[Date]&lt;=$A$7)*(CkDJ[Account Code]=(TRIM($B15))),CkDJ[Credit])))+(SUM(IF((CsDJ[Date]&lt;=$A$7)*(CsDJ[Account Code]=(TRIM($B15))),CsDJ[Credit])))+(SUM(IF((CRDJ[Date]&lt;=$A$7)*(CRDJ[Account Code]=(TRIM($B15))),CRDJ[Credit])))+(SUM(IF((GJ[Date]&lt;=$A$7)*(GJ[Account Code]=(TRIM($B15))),GJ[Credit]))))</f>
        <v>0</v>
      </c>
      <c r="E15" s="89"/>
    </row>
    <row r="16" spans="1:5" x14ac:dyDescent="0.25">
      <c r="A16" s="440" t="s">
        <v>1072</v>
      </c>
      <c r="B16" s="441" t="s">
        <v>163</v>
      </c>
      <c r="C16" s="89"/>
      <c r="D16" s="442">
        <f t="array" ref="D16">((SUM(IF((CkDJ[Date]&lt;=$A$7)*(CkDJ[Account Code]=(TRIM($B16))),CkDJ[Debit])))+(SUM(IF((CsDJ[Date]&lt;=$A$7)*(CsDJ[Account Code]=(TRIM($B16))),CsDJ[Debit])))+(SUM(IF((CRDJ[Date]&lt;=$A$7)*(CRDJ[Account Code]=(TRIM($B16))),CRDJ[Debit])))+(SUM(IF((GJ[Date]&lt;=$A$7)*(GJ[Account Code]=(TRIM($B16))),GJ[Debit]))))-((SUM(IF((CkDJ[Date]&lt;=$A$7)*(CkDJ[Account Code]=(TRIM($B16))),CkDJ[Credit])))+(SUM(IF((CsDJ[Date]&lt;=$A$7)*(CsDJ[Account Code]=(TRIM($B16))),CsDJ[Credit])))+(SUM(IF((CRDJ[Date]&lt;=$A$7)*(CRDJ[Account Code]=(TRIM($B16))),CRDJ[Credit])))+(SUM(IF((GJ[Date]&lt;=$A$7)*(GJ[Account Code]=(TRIM($B16))),GJ[Credit]))))</f>
        <v>0</v>
      </c>
      <c r="E16" s="89"/>
    </row>
    <row r="17" spans="1:5" x14ac:dyDescent="0.25">
      <c r="A17" s="440" t="s">
        <v>1073</v>
      </c>
      <c r="B17" s="441" t="s">
        <v>799</v>
      </c>
      <c r="C17" s="89"/>
      <c r="D17" s="438">
        <v>0</v>
      </c>
      <c r="E17" s="89"/>
    </row>
    <row r="18" spans="1:5" x14ac:dyDescent="0.25">
      <c r="A18" s="320" t="s">
        <v>1074</v>
      </c>
      <c r="B18" s="437"/>
      <c r="C18" s="89"/>
      <c r="D18" s="439">
        <f>SUM(D19:D32)</f>
        <v>0</v>
      </c>
      <c r="E18" s="89"/>
    </row>
    <row r="19" spans="1:5" x14ac:dyDescent="0.25">
      <c r="A19" s="440" t="s">
        <v>1075</v>
      </c>
      <c r="B19" s="441" t="s">
        <v>164</v>
      </c>
      <c r="C19" s="89"/>
      <c r="D19" s="442">
        <f t="array" ref="D19">((SUM(IF((CkDJ[Date]&lt;=$A$7)*(CkDJ[Account Code]=(TRIM($B19))),CkDJ[Debit])))+(SUM(IF((CsDJ[Date]&lt;=$A$7)*(CsDJ[Account Code]=(TRIM($B19))),CsDJ[Debit])))+(SUM(IF((CRDJ[Date]&lt;=$A$7)*(CRDJ[Account Code]=(TRIM($B19))),CRDJ[Debit])))+(SUM(IF((GJ[Date]&lt;=$A$7)*(GJ[Account Code]=(TRIM($B19))),GJ[Debit]))))-((SUM(IF((CkDJ[Date]&lt;=$A$7)*(CkDJ[Account Code]=(TRIM($B19))),CkDJ[Credit])))+(SUM(IF((CsDJ[Date]&lt;=$A$7)*(CsDJ[Account Code]=(TRIM($B19))),CsDJ[Credit])))+(SUM(IF((CRDJ[Date]&lt;=$A$7)*(CRDJ[Account Code]=(TRIM($B19))),CRDJ[Credit])))+(SUM(IF((GJ[Date]&lt;=$A$7)*(GJ[Account Code]=(TRIM($B19))),GJ[Credit]))))</f>
        <v>0</v>
      </c>
      <c r="E19" s="89"/>
    </row>
    <row r="20" spans="1:5" x14ac:dyDescent="0.25">
      <c r="A20" s="440" t="s">
        <v>1076</v>
      </c>
      <c r="B20" s="441" t="s">
        <v>168</v>
      </c>
      <c r="C20" s="89"/>
      <c r="D20" s="442">
        <f t="array" ref="D20">((SUM(IF((CkDJ[Date]&lt;=$A$7)*(CkDJ[Account Code]=(TRIM($B20))),CkDJ[Debit])))+(SUM(IF((CsDJ[Date]&lt;=$A$7)*(CsDJ[Account Code]=(TRIM($B20))),CsDJ[Debit])))+(SUM(IF((CRDJ[Date]&lt;=$A$7)*(CRDJ[Account Code]=(TRIM($B20))),CRDJ[Debit])))+(SUM(IF((GJ[Date]&lt;=$A$7)*(GJ[Account Code]=(TRIM($B20))),GJ[Debit]))))-((SUM(IF((CkDJ[Date]&lt;=$A$7)*(CkDJ[Account Code]=(TRIM($B20))),CkDJ[Credit])))+(SUM(IF((CsDJ[Date]&lt;=$A$7)*(CsDJ[Account Code]=(TRIM($B20))),CsDJ[Credit])))+(SUM(IF((CRDJ[Date]&lt;=$A$7)*(CRDJ[Account Code]=(TRIM($B20))),CRDJ[Credit])))+(SUM(IF((GJ[Date]&lt;=$A$7)*(GJ[Account Code]=(TRIM($B20))),GJ[Credit]))))</f>
        <v>0</v>
      </c>
      <c r="E20" s="89"/>
    </row>
    <row r="21" spans="1:5" x14ac:dyDescent="0.25">
      <c r="A21" s="440" t="s">
        <v>1077</v>
      </c>
      <c r="B21" s="441" t="s">
        <v>165</v>
      </c>
      <c r="C21" s="89"/>
      <c r="D21" s="442">
        <f t="array" ref="D21">((SUM(IF((CkDJ[Date]&lt;=$A$7)*(CkDJ[Account Code]=(TRIM($B21))),CkDJ[Debit])))+(SUM(IF((CsDJ[Date]&lt;=$A$7)*(CsDJ[Account Code]=(TRIM($B21))),CsDJ[Debit])))+(SUM(IF((CRDJ[Date]&lt;=$A$7)*(CRDJ[Account Code]=(TRIM($B21))),CRDJ[Debit])))+(SUM(IF((GJ[Date]&lt;=$A$7)*(GJ[Account Code]=(TRIM($B21))),GJ[Debit]))))-((SUM(IF((CkDJ[Date]&lt;=$A$7)*(CkDJ[Account Code]=(TRIM($B21))),CkDJ[Credit])))+(SUM(IF((CsDJ[Date]&lt;=$A$7)*(CsDJ[Account Code]=(TRIM($B21))),CsDJ[Credit])))+(SUM(IF((CRDJ[Date]&lt;=$A$7)*(CRDJ[Account Code]=(TRIM($B21))),CRDJ[Credit])))+(SUM(IF((GJ[Date]&lt;=$A$7)*(GJ[Account Code]=(TRIM($B21))),GJ[Credit]))))</f>
        <v>0</v>
      </c>
      <c r="E21" s="89"/>
    </row>
    <row r="22" spans="1:5" x14ac:dyDescent="0.25">
      <c r="A22" s="440" t="s">
        <v>1078</v>
      </c>
      <c r="B22" s="441" t="s">
        <v>166</v>
      </c>
      <c r="C22" s="89"/>
      <c r="D22" s="442">
        <f t="array" ref="D22">((SUM(IF((CkDJ[Date]&lt;=$A$7)*(CkDJ[Account Code]=(TRIM($B22))),CkDJ[Debit])))+(SUM(IF((CsDJ[Date]&lt;=$A$7)*(CsDJ[Account Code]=(TRIM($B22))),CsDJ[Debit])))+(SUM(IF((CRDJ[Date]&lt;=$A$7)*(CRDJ[Account Code]=(TRIM($B22))),CRDJ[Debit])))+(SUM(IF((GJ[Date]&lt;=$A$7)*(GJ[Account Code]=(TRIM($B22))),GJ[Debit]))))-((SUM(IF((CkDJ[Date]&lt;=$A$7)*(CkDJ[Account Code]=(TRIM($B22))),CkDJ[Credit])))+(SUM(IF((CsDJ[Date]&lt;=$A$7)*(CsDJ[Account Code]=(TRIM($B22))),CsDJ[Credit])))+(SUM(IF((CRDJ[Date]&lt;=$A$7)*(CRDJ[Account Code]=(TRIM($B22))),CRDJ[Credit])))+(SUM(IF((GJ[Date]&lt;=$A$7)*(GJ[Account Code]=(TRIM($B22))),GJ[Credit]))))</f>
        <v>0</v>
      </c>
      <c r="E22" s="89"/>
    </row>
    <row r="23" spans="1:5" x14ac:dyDescent="0.25">
      <c r="A23" s="440" t="s">
        <v>1079</v>
      </c>
      <c r="B23" s="441" t="s">
        <v>167</v>
      </c>
      <c r="C23" s="89"/>
      <c r="D23" s="442">
        <f t="array" ref="D23">((SUM(IF((CkDJ[Date]&lt;=$A$7)*(CkDJ[Account Code]=(TRIM($B23))),CkDJ[Debit])))+(SUM(IF((CsDJ[Date]&lt;=$A$7)*(CsDJ[Account Code]=(TRIM($B23))),CsDJ[Debit])))+(SUM(IF((CRDJ[Date]&lt;=$A$7)*(CRDJ[Account Code]=(TRIM($B23))),CRDJ[Debit])))+(SUM(IF((GJ[Date]&lt;=$A$7)*(GJ[Account Code]=(TRIM($B23))),GJ[Debit]))))-((SUM(IF((CkDJ[Date]&lt;=$A$7)*(CkDJ[Account Code]=(TRIM($B23))),CkDJ[Credit])))+(SUM(IF((CsDJ[Date]&lt;=$A$7)*(CsDJ[Account Code]=(TRIM($B23))),CsDJ[Credit])))+(SUM(IF((CRDJ[Date]&lt;=$A$7)*(CRDJ[Account Code]=(TRIM($B23))),CRDJ[Credit])))+(SUM(IF((GJ[Date]&lt;=$A$7)*(GJ[Account Code]=(TRIM($B23))),GJ[Credit]))))</f>
        <v>0</v>
      </c>
      <c r="E23" s="89"/>
    </row>
    <row r="24" spans="1:5" x14ac:dyDescent="0.25">
      <c r="A24" s="440" t="s">
        <v>1080</v>
      </c>
      <c r="B24" s="441" t="s">
        <v>171</v>
      </c>
      <c r="C24" s="89"/>
      <c r="D24" s="442">
        <f t="array" ref="D24">((SUM(IF((CkDJ[Date]&lt;=$A$7)*(CkDJ[Account Code]=(TRIM($B24))),CkDJ[Debit])))+(SUM(IF((CsDJ[Date]&lt;=$A$7)*(CsDJ[Account Code]=(TRIM($B24))),CsDJ[Debit])))+(SUM(IF((CRDJ[Date]&lt;=$A$7)*(CRDJ[Account Code]=(TRIM($B24))),CRDJ[Debit])))+(SUM(IF((GJ[Date]&lt;=$A$7)*(GJ[Account Code]=(TRIM($B24))),GJ[Debit]))))-((SUM(IF((CkDJ[Date]&lt;=$A$7)*(CkDJ[Account Code]=(TRIM($B24))),CkDJ[Credit])))+(SUM(IF((CsDJ[Date]&lt;=$A$7)*(CsDJ[Account Code]=(TRIM($B24))),CsDJ[Credit])))+(SUM(IF((CRDJ[Date]&lt;=$A$7)*(CRDJ[Account Code]=(TRIM($B24))),CRDJ[Credit])))+(SUM(IF((GJ[Date]&lt;=$A$7)*(GJ[Account Code]=(TRIM($B24))),GJ[Credit]))))</f>
        <v>0</v>
      </c>
      <c r="E24" s="89"/>
    </row>
    <row r="25" spans="1:5" x14ac:dyDescent="0.25">
      <c r="A25" s="440" t="s">
        <v>1081</v>
      </c>
      <c r="B25" s="441" t="s">
        <v>173</v>
      </c>
      <c r="C25" s="89"/>
      <c r="D25" s="442">
        <f t="array" ref="D25">((SUM(IF((CkDJ[Date]&lt;=$A$7)*(CkDJ[Account Code]=(TRIM($B25))),CkDJ[Debit])))+(SUM(IF((CsDJ[Date]&lt;=$A$7)*(CsDJ[Account Code]=(TRIM($B25))),CsDJ[Debit])))+(SUM(IF((CRDJ[Date]&lt;=$A$7)*(CRDJ[Account Code]=(TRIM($B25))),CRDJ[Debit])))+(SUM(IF((GJ[Date]&lt;=$A$7)*(GJ[Account Code]=(TRIM($B25))),GJ[Debit]))))-((SUM(IF((CkDJ[Date]&lt;=$A$7)*(CkDJ[Account Code]=(TRIM($B25))),CkDJ[Credit])))+(SUM(IF((CsDJ[Date]&lt;=$A$7)*(CsDJ[Account Code]=(TRIM($B25))),CsDJ[Credit])))+(SUM(IF((CRDJ[Date]&lt;=$A$7)*(CRDJ[Account Code]=(TRIM($B25))),CRDJ[Credit])))+(SUM(IF((GJ[Date]&lt;=$A$7)*(GJ[Account Code]=(TRIM($B25))),GJ[Credit]))))</f>
        <v>0</v>
      </c>
      <c r="E25" s="89"/>
    </row>
    <row r="26" spans="1:5" x14ac:dyDescent="0.25">
      <c r="A26" s="440" t="s">
        <v>1082</v>
      </c>
      <c r="B26" s="441" t="s">
        <v>7</v>
      </c>
      <c r="C26" s="89"/>
      <c r="D26" s="442">
        <f t="array" ref="D26">((SUM(IF((CkDJ[Date]&lt;=$A$7)*(CkDJ[Account Code]=(TRIM($B26))),CkDJ[Debit])))+(SUM(IF((CsDJ[Date]&lt;=$A$7)*(CsDJ[Account Code]=(TRIM($B26))),CsDJ[Debit])))+(SUM(IF((CRDJ[Date]&lt;=$A$7)*(CRDJ[Account Code]=(TRIM($B26))),CRDJ[Debit])))+(SUM(IF((GJ[Date]&lt;=$A$7)*(GJ[Account Code]=(TRIM($B26))),GJ[Debit]))))-((SUM(IF((CkDJ[Date]&lt;=$A$7)*(CkDJ[Account Code]=(TRIM($B26))),CkDJ[Credit])))+(SUM(IF((CsDJ[Date]&lt;=$A$7)*(CsDJ[Account Code]=(TRIM($B26))),CsDJ[Credit])))+(SUM(IF((CRDJ[Date]&lt;=$A$7)*(CRDJ[Account Code]=(TRIM($B26))),CRDJ[Credit])))+(SUM(IF((GJ[Date]&lt;=$A$7)*(GJ[Account Code]=(TRIM($B26))),GJ[Credit]))))</f>
        <v>0</v>
      </c>
      <c r="E26" s="89"/>
    </row>
    <row r="27" spans="1:5" x14ac:dyDescent="0.25">
      <c r="A27" s="440" t="s">
        <v>1083</v>
      </c>
      <c r="B27" s="441" t="s">
        <v>5</v>
      </c>
      <c r="C27" s="89"/>
      <c r="D27" s="442">
        <f t="array" ref="D27">((SUM(IF((CkDJ[Date]&lt;=$A$7)*(CkDJ[Account Code]=(TRIM($B27))),CkDJ[Debit])))+(SUM(IF((CsDJ[Date]&lt;=$A$7)*(CsDJ[Account Code]=(TRIM($B27))),CsDJ[Debit])))+(SUM(IF((CRDJ[Date]&lt;=$A$7)*(CRDJ[Account Code]=(TRIM($B27))),CRDJ[Debit])))+(SUM(IF((GJ[Date]&lt;=$A$7)*(GJ[Account Code]=(TRIM($B27))),GJ[Debit]))))-((SUM(IF((CkDJ[Date]&lt;=$A$7)*(CkDJ[Account Code]=(TRIM($B27))),CkDJ[Credit])))+(SUM(IF((CsDJ[Date]&lt;=$A$7)*(CsDJ[Account Code]=(TRIM($B27))),CsDJ[Credit])))+(SUM(IF((CRDJ[Date]&lt;=$A$7)*(CRDJ[Account Code]=(TRIM($B27))),CRDJ[Credit])))+(SUM(IF((GJ[Date]&lt;=$A$7)*(GJ[Account Code]=(TRIM($B27))),GJ[Credit]))))</f>
        <v>0</v>
      </c>
      <c r="E27" s="89"/>
    </row>
    <row r="28" spans="1:5" x14ac:dyDescent="0.25">
      <c r="A28" s="440" t="s">
        <v>1084</v>
      </c>
      <c r="B28" s="441" t="s">
        <v>6</v>
      </c>
      <c r="C28" s="89"/>
      <c r="D28" s="442">
        <f t="array" ref="D28">((SUM(IF((CkDJ[Date]&lt;=$A$7)*(CkDJ[Account Code]=(TRIM($B28))),CkDJ[Debit])))+(SUM(IF((CsDJ[Date]&lt;=$A$7)*(CsDJ[Account Code]=(TRIM($B28))),CsDJ[Debit])))+(SUM(IF((CRDJ[Date]&lt;=$A$7)*(CRDJ[Account Code]=(TRIM($B28))),CRDJ[Debit])))+(SUM(IF((GJ[Date]&lt;=$A$7)*(GJ[Account Code]=(TRIM($B28))),GJ[Debit]))))-((SUM(IF((CkDJ[Date]&lt;=$A$7)*(CkDJ[Account Code]=(TRIM($B28))),CkDJ[Credit])))+(SUM(IF((CsDJ[Date]&lt;=$A$7)*(CsDJ[Account Code]=(TRIM($B28))),CsDJ[Credit])))+(SUM(IF((CRDJ[Date]&lt;=$A$7)*(CRDJ[Account Code]=(TRIM($B28))),CRDJ[Credit])))+(SUM(IF((GJ[Date]&lt;=$A$7)*(GJ[Account Code]=(TRIM($B28))),GJ[Credit]))))</f>
        <v>0</v>
      </c>
      <c r="E28" s="89"/>
    </row>
    <row r="29" spans="1:5" x14ac:dyDescent="0.25">
      <c r="A29" s="440" t="s">
        <v>887</v>
      </c>
      <c r="B29" s="441" t="s">
        <v>170</v>
      </c>
      <c r="C29" s="89"/>
      <c r="D29" s="442">
        <f t="array" ref="D29">((SUM(IF((CkDJ[Date]&lt;=$A$7)*(CkDJ[Account Code]=(TRIM($B29))),CkDJ[Debit])))+(SUM(IF((CsDJ[Date]&lt;=$A$7)*(CsDJ[Account Code]=(TRIM($B29))),CsDJ[Debit])))+(SUM(IF((CRDJ[Date]&lt;=$A$7)*(CRDJ[Account Code]=(TRIM($B29))),CRDJ[Debit])))+(SUM(IF((GJ[Date]&lt;=$A$7)*(GJ[Account Code]=(TRIM($B29))),GJ[Debit]))))-((SUM(IF((CkDJ[Date]&lt;=$A$7)*(CkDJ[Account Code]=(TRIM($B29))),CkDJ[Credit])))+(SUM(IF((CsDJ[Date]&lt;=$A$7)*(CsDJ[Account Code]=(TRIM($B29))),CsDJ[Credit])))+(SUM(IF((CRDJ[Date]&lt;=$A$7)*(CRDJ[Account Code]=(TRIM($B29))),CRDJ[Credit])))+(SUM(IF((GJ[Date]&lt;=$A$7)*(GJ[Account Code]=(TRIM($B29))),GJ[Credit]))))</f>
        <v>0</v>
      </c>
      <c r="E29" s="89"/>
    </row>
    <row r="30" spans="1:5" x14ac:dyDescent="0.25">
      <c r="A30" s="440" t="s">
        <v>1085</v>
      </c>
      <c r="B30" s="441" t="s">
        <v>172</v>
      </c>
      <c r="C30" s="89"/>
      <c r="D30" s="442">
        <f t="array" ref="D30">((SUM(IF((CkDJ[Date]&lt;=$A$7)*(CkDJ[Account Code]=(TRIM($B30))),CkDJ[Debit])))+(SUM(IF((CsDJ[Date]&lt;=$A$7)*(CsDJ[Account Code]=(TRIM($B30))),CsDJ[Debit])))+(SUM(IF((CRDJ[Date]&lt;=$A$7)*(CRDJ[Account Code]=(TRIM($B30))),CRDJ[Debit])))+(SUM(IF((GJ[Date]&lt;=$A$7)*(GJ[Account Code]=(TRIM($B30))),GJ[Debit]))))-((SUM(IF((CkDJ[Date]&lt;=$A$7)*(CkDJ[Account Code]=(TRIM($B30))),CkDJ[Credit])))+(SUM(IF((CsDJ[Date]&lt;=$A$7)*(CsDJ[Account Code]=(TRIM($B30))),CsDJ[Credit])))+(SUM(IF((CRDJ[Date]&lt;=$A$7)*(CRDJ[Account Code]=(TRIM($B30))),CRDJ[Credit])))+(SUM(IF((GJ[Date]&lt;=$A$7)*(GJ[Account Code]=(TRIM($B30))),GJ[Credit]))))</f>
        <v>0</v>
      </c>
      <c r="E30" s="89"/>
    </row>
    <row r="31" spans="1:5" x14ac:dyDescent="0.25">
      <c r="A31" s="440" t="s">
        <v>1086</v>
      </c>
      <c r="B31" s="441" t="s">
        <v>174</v>
      </c>
      <c r="C31" s="89"/>
      <c r="D31" s="442">
        <f t="array" ref="D31">((SUM(IF((CkDJ[Date]&lt;=$A$7)*(CkDJ[Account Code]=(TRIM($B31))),CkDJ[Debit])))+(SUM(IF((CsDJ[Date]&lt;=$A$7)*(CsDJ[Account Code]=(TRIM($B31))),CsDJ[Debit])))+(SUM(IF((CRDJ[Date]&lt;=$A$7)*(CRDJ[Account Code]=(TRIM($B31))),CRDJ[Debit])))+(SUM(IF((GJ[Date]&lt;=$A$7)*(GJ[Account Code]=(TRIM($B31))),GJ[Debit]))))-((SUM(IF((CkDJ[Date]&lt;=$A$7)*(CkDJ[Account Code]=(TRIM($B31))),CkDJ[Credit])))+(SUM(IF((CsDJ[Date]&lt;=$A$7)*(CsDJ[Account Code]=(TRIM($B31))),CsDJ[Credit])))+(SUM(IF((CRDJ[Date]&lt;=$A$7)*(CRDJ[Account Code]=(TRIM($B31))),CRDJ[Credit])))+(SUM(IF((GJ[Date]&lt;=$A$7)*(GJ[Account Code]=(TRIM($B31))),GJ[Credit]))))</f>
        <v>0</v>
      </c>
      <c r="E31" s="89"/>
    </row>
    <row r="32" spans="1:5" x14ac:dyDescent="0.25">
      <c r="A32" s="440" t="s">
        <v>1143</v>
      </c>
      <c r="B32" s="441" t="s">
        <v>214</v>
      </c>
      <c r="C32" s="89"/>
      <c r="D32" s="442">
        <f t="array" ref="D32">((SUM(IF((CkDJ[Date]&lt;=$A$7)*(CkDJ[Account Code]=(TRIM($B32))),CkDJ[Debit])))+(SUM(IF((CsDJ[Date]&lt;=$A$7)*(CsDJ[Account Code]=(TRIM($B32))),CsDJ[Debit])))+(SUM(IF((CRDJ[Date]&lt;=$A$7)*(CRDJ[Account Code]=(TRIM($B32))),CRDJ[Debit])))+(SUM(IF((GJ[Date]&lt;=$A$7)*(GJ[Account Code]=(TRIM($B32))),GJ[Debit]))))-((SUM(IF((CkDJ[Date]&lt;=$A$7)*(CkDJ[Account Code]=(TRIM($B32))),CkDJ[Credit])))+(SUM(IF((CsDJ[Date]&lt;=$A$7)*(CsDJ[Account Code]=(TRIM($B32))),CsDJ[Credit])))+(SUM(IF((CRDJ[Date]&lt;=$A$7)*(CRDJ[Account Code]=(TRIM($B32))),CRDJ[Credit])))+(SUM(IF((GJ[Date]&lt;=$A$7)*(GJ[Account Code]=(TRIM($B32))),GJ[Credit]))))</f>
        <v>0</v>
      </c>
      <c r="E32" s="89"/>
    </row>
    <row r="33" spans="1:5" x14ac:dyDescent="0.25">
      <c r="A33" s="320" t="s">
        <v>1087</v>
      </c>
      <c r="B33" s="437"/>
      <c r="C33" s="89"/>
      <c r="D33" s="439">
        <f>D34+D35+D36</f>
        <v>0</v>
      </c>
      <c r="E33" s="89"/>
    </row>
    <row r="34" spans="1:5" x14ac:dyDescent="0.25">
      <c r="A34" s="440" t="s">
        <v>1088</v>
      </c>
      <c r="B34" s="441" t="s">
        <v>799</v>
      </c>
      <c r="C34" s="89"/>
      <c r="D34" s="442">
        <f t="array" ref="D34">((SUM(IF((CkDJ[Date]&lt;=$A$7)*(CkDJ[Account Code]=(TRIM($B34))),CkDJ[Debit])))+(SUM(IF((CsDJ[Date]&lt;=$A$7)*(CsDJ[Account Code]=(TRIM($B34))),CsDJ[Debit])))+(SUM(IF((CRDJ[Date]&lt;=$A$7)*(CRDJ[Account Code]=(TRIM($B34))),CRDJ[Debit])))+(SUM(IF((GJ[Date]&lt;=$A$7)*(GJ[Account Code]=(TRIM($B34))),GJ[Debit]))))-((SUM(IF((CkDJ[Date]&lt;=$A$7)*(CkDJ[Account Code]=(TRIM($B34))),CkDJ[Credit])))+(SUM(IF((CsDJ[Date]&lt;=$A$7)*(CsDJ[Account Code]=(TRIM($B34))),CsDJ[Credit])))+(SUM(IF((CRDJ[Date]&lt;=$A$7)*(CRDJ[Account Code]=(TRIM($B34))),CRDJ[Credit])))+(SUM(IF((GJ[Date]&lt;=$A$7)*(GJ[Account Code]=(TRIM($B34))),GJ[Credit]))))</f>
        <v>0</v>
      </c>
      <c r="E34" s="89"/>
    </row>
    <row r="35" spans="1:5" x14ac:dyDescent="0.25">
      <c r="A35" s="440" t="s">
        <v>1089</v>
      </c>
      <c r="B35" s="441" t="s">
        <v>212</v>
      </c>
      <c r="C35" s="89"/>
      <c r="D35" s="442">
        <f t="array" ref="D35">((SUM(IF((CkDJ[Date]&lt;=$A$7)*(CkDJ[Account Code]=(TRIM($B35))),CkDJ[Debit])))+(SUM(IF((CsDJ[Date]&lt;=$A$7)*(CsDJ[Account Code]=(TRIM($B35))),CsDJ[Debit])))+(SUM(IF((CRDJ[Date]&lt;=$A$7)*(CRDJ[Account Code]=(TRIM($B35))),CRDJ[Debit])))+(SUM(IF((GJ[Date]&lt;=$A$7)*(GJ[Account Code]=(TRIM($B35))),GJ[Debit]))))-((SUM(IF((CkDJ[Date]&lt;=$A$7)*(CkDJ[Account Code]=(TRIM($B35))),CkDJ[Credit])))+(SUM(IF((CsDJ[Date]&lt;=$A$7)*(CsDJ[Account Code]=(TRIM($B35))),CsDJ[Credit])))+(SUM(IF((CRDJ[Date]&lt;=$A$7)*(CRDJ[Account Code]=(TRIM($B35))),CRDJ[Credit])))+(SUM(IF((GJ[Date]&lt;=$A$7)*(GJ[Account Code]=(TRIM($B35))),GJ[Credit]))))</f>
        <v>0</v>
      </c>
      <c r="E35" s="89"/>
    </row>
    <row r="36" spans="1:5" x14ac:dyDescent="0.25">
      <c r="A36" s="440" t="s">
        <v>1090</v>
      </c>
      <c r="B36" s="441" t="s">
        <v>799</v>
      </c>
      <c r="C36" s="89"/>
      <c r="D36" s="442">
        <f t="array" ref="D36">((SUM(IF((CkDJ[Date]&lt;=$A$7)*(CkDJ[Account Code]=(TRIM($B36))),CkDJ[Debit])))+(SUM(IF((CsDJ[Date]&lt;=$A$7)*(CsDJ[Account Code]=(TRIM($B36))),CsDJ[Debit])))+(SUM(IF((CRDJ[Date]&lt;=$A$7)*(CRDJ[Account Code]=(TRIM($B36))),CRDJ[Debit])))+(SUM(IF((GJ[Date]&lt;=$A$7)*(GJ[Account Code]=(TRIM($B36))),GJ[Debit]))))-((SUM(IF((CkDJ[Date]&lt;=$A$7)*(CkDJ[Account Code]=(TRIM($B36))),CkDJ[Credit])))+(SUM(IF((CsDJ[Date]&lt;=$A$7)*(CsDJ[Account Code]=(TRIM($B36))),CsDJ[Credit])))+(SUM(IF((CRDJ[Date]&lt;=$A$7)*(CRDJ[Account Code]=(TRIM($B36))),CRDJ[Credit])))+(SUM(IF((GJ[Date]&lt;=$A$7)*(GJ[Account Code]=(TRIM($B36))),GJ[Credit]))))</f>
        <v>0</v>
      </c>
      <c r="E36" s="89"/>
    </row>
    <row r="37" spans="1:5" x14ac:dyDescent="0.25">
      <c r="A37" s="320" t="s">
        <v>1091</v>
      </c>
      <c r="B37" s="437"/>
      <c r="C37" s="89"/>
      <c r="D37" s="439">
        <f>SUM(D38:D41)</f>
        <v>0</v>
      </c>
      <c r="E37" s="89"/>
    </row>
    <row r="38" spans="1:5" x14ac:dyDescent="0.25">
      <c r="A38" s="440" t="s">
        <v>1092</v>
      </c>
      <c r="B38" s="441" t="s">
        <v>175</v>
      </c>
      <c r="C38" s="89"/>
      <c r="D38" s="442">
        <f t="array" ref="D38">((SUM(IF((CkDJ[Date]&lt;=$A$7)*(CkDJ[Account Code]=(TRIM($B38))),CkDJ[Debit])))+(SUM(IF((CsDJ[Date]&lt;=$A$7)*(CsDJ[Account Code]=(TRIM($B38))),CsDJ[Debit])))+(SUM(IF((CRDJ[Date]&lt;=$A$7)*(CRDJ[Account Code]=(TRIM($B38))),CRDJ[Debit])))+(SUM(IF((GJ[Date]&lt;=$A$7)*(GJ[Account Code]=(TRIM($B38))),GJ[Debit]))))-((SUM(IF((CkDJ[Date]&lt;=$A$7)*(CkDJ[Account Code]=(TRIM($B38))),CkDJ[Credit])))+(SUM(IF((CsDJ[Date]&lt;=$A$7)*(CsDJ[Account Code]=(TRIM($B38))),CsDJ[Credit])))+(SUM(IF((CRDJ[Date]&lt;=$A$7)*(CRDJ[Account Code]=(TRIM($B38))),CRDJ[Credit])))+(SUM(IF((GJ[Date]&lt;=$A$7)*(GJ[Account Code]=(TRIM($B38))),GJ[Credit]))))</f>
        <v>0</v>
      </c>
      <c r="E38" s="89"/>
    </row>
    <row r="39" spans="1:5" x14ac:dyDescent="0.25">
      <c r="A39" s="440" t="s">
        <v>1093</v>
      </c>
      <c r="B39" s="441" t="s">
        <v>176</v>
      </c>
      <c r="C39" s="89"/>
      <c r="D39" s="442">
        <f t="array" ref="D39">((SUM(IF((CkDJ[Date]&lt;=$A$7)*(CkDJ[Account Code]=(TRIM($B39))),CkDJ[Debit])))+(SUM(IF((CsDJ[Date]&lt;=$A$7)*(CsDJ[Account Code]=(TRIM($B39))),CsDJ[Debit])))+(SUM(IF((CRDJ[Date]&lt;=$A$7)*(CRDJ[Account Code]=(TRIM($B39))),CRDJ[Debit])))+(SUM(IF((GJ[Date]&lt;=$A$7)*(GJ[Account Code]=(TRIM($B39))),GJ[Debit]))))-((SUM(IF((CkDJ[Date]&lt;=$A$7)*(CkDJ[Account Code]=(TRIM($B39))),CkDJ[Credit])))+(SUM(IF((CsDJ[Date]&lt;=$A$7)*(CsDJ[Account Code]=(TRIM($B39))),CsDJ[Credit])))+(SUM(IF((CRDJ[Date]&lt;=$A$7)*(CRDJ[Account Code]=(TRIM($B39))),CRDJ[Credit])))+(SUM(IF((GJ[Date]&lt;=$A$7)*(GJ[Account Code]=(TRIM($B39))),GJ[Credit]))))</f>
        <v>0</v>
      </c>
      <c r="E39" s="89"/>
    </row>
    <row r="40" spans="1:5" x14ac:dyDescent="0.25">
      <c r="A40" s="440" t="s">
        <v>1094</v>
      </c>
      <c r="B40" s="441" t="s">
        <v>177</v>
      </c>
      <c r="C40" s="89"/>
      <c r="D40" s="442">
        <f t="array" ref="D40">((SUM(IF((CkDJ[Date]&lt;=$A$7)*(CkDJ[Account Code]=(TRIM($B40))),CkDJ[Debit])))+(SUM(IF((CsDJ[Date]&lt;=$A$7)*(CsDJ[Account Code]=(TRIM($B40))),CsDJ[Debit])))+(SUM(IF((CRDJ[Date]&lt;=$A$7)*(CRDJ[Account Code]=(TRIM($B40))),CRDJ[Debit])))+(SUM(IF((GJ[Date]&lt;=$A$7)*(GJ[Account Code]=(TRIM($B40))),GJ[Debit]))))-((SUM(IF((CkDJ[Date]&lt;=$A$7)*(CkDJ[Account Code]=(TRIM($B40))),CkDJ[Credit])))+(SUM(IF((CsDJ[Date]&lt;=$A$7)*(CsDJ[Account Code]=(TRIM($B40))),CsDJ[Credit])))+(SUM(IF((CRDJ[Date]&lt;=$A$7)*(CRDJ[Account Code]=(TRIM($B40))),CRDJ[Credit])))+(SUM(IF((GJ[Date]&lt;=$A$7)*(GJ[Account Code]=(TRIM($B40))),GJ[Credit]))))</f>
        <v>0</v>
      </c>
      <c r="E40" s="89"/>
    </row>
    <row r="41" spans="1:5" x14ac:dyDescent="0.25">
      <c r="A41" s="440" t="s">
        <v>1095</v>
      </c>
      <c r="B41" s="441" t="s">
        <v>178</v>
      </c>
      <c r="C41" s="89"/>
      <c r="D41" s="442">
        <f t="array" ref="D41">((SUM(IF((CkDJ[Date]&lt;=$A$7)*(CkDJ[Account Code]=(TRIM($B41))),CkDJ[Debit])))+(SUM(IF((CsDJ[Date]&lt;=$A$7)*(CsDJ[Account Code]=(TRIM($B41))),CsDJ[Debit])))+(SUM(IF((CRDJ[Date]&lt;=$A$7)*(CRDJ[Account Code]=(TRIM($B41))),CRDJ[Debit])))+(SUM(IF((GJ[Date]&lt;=$A$7)*(GJ[Account Code]=(TRIM($B41))),GJ[Debit]))))-((SUM(IF((CkDJ[Date]&lt;=$A$7)*(CkDJ[Account Code]=(TRIM($B41))),CkDJ[Credit])))+(SUM(IF((CsDJ[Date]&lt;=$A$7)*(CsDJ[Account Code]=(TRIM($B41))),CsDJ[Credit])))+(SUM(IF((CRDJ[Date]&lt;=$A$7)*(CRDJ[Account Code]=(TRIM($B41))),CRDJ[Credit])))+(SUM(IF((GJ[Date]&lt;=$A$7)*(GJ[Account Code]=(TRIM($B41))),GJ[Credit]))))</f>
        <v>0</v>
      </c>
      <c r="E41" s="89"/>
    </row>
    <row r="42" spans="1:5" x14ac:dyDescent="0.25">
      <c r="A42" s="320" t="s">
        <v>1096</v>
      </c>
      <c r="B42" s="437"/>
      <c r="C42" s="89"/>
      <c r="D42" s="443">
        <f>D43+D44+D45+D46</f>
        <v>0</v>
      </c>
      <c r="E42" s="89"/>
    </row>
    <row r="43" spans="1:5" x14ac:dyDescent="0.25">
      <c r="A43" s="440" t="s">
        <v>897</v>
      </c>
      <c r="B43" s="441" t="s">
        <v>216</v>
      </c>
      <c r="C43" s="89"/>
      <c r="D43" s="442">
        <f t="array" ref="D43">((SUM(IF((CkDJ[Date]&lt;=$A$7)*(CkDJ[Account Code]=(TRIM($B43))),CkDJ[Debit])))+(SUM(IF((CsDJ[Date]&lt;=$A$7)*(CsDJ[Account Code]=(TRIM($B43))),CsDJ[Debit])))+(SUM(IF((CRDJ[Date]&lt;=$A$7)*(CRDJ[Account Code]=(TRIM($B43))),CRDJ[Debit])))+(SUM(IF((GJ[Date]&lt;=$A$7)*(GJ[Account Code]=(TRIM($B43))),GJ[Debit]))))-((SUM(IF((CkDJ[Date]&lt;=$A$7)*(CkDJ[Account Code]=(TRIM($B43))),CkDJ[Credit])))+(SUM(IF((CsDJ[Date]&lt;=$A$7)*(CsDJ[Account Code]=(TRIM($B43))),CsDJ[Credit])))+(SUM(IF((CRDJ[Date]&lt;=$A$7)*(CRDJ[Account Code]=(TRIM($B43))),CRDJ[Credit])))+(SUM(IF((GJ[Date]&lt;=$A$7)*(GJ[Account Code]=(TRIM($B43))),GJ[Credit]))))</f>
        <v>0</v>
      </c>
      <c r="E43" s="89"/>
    </row>
    <row r="44" spans="1:5" x14ac:dyDescent="0.25">
      <c r="A44" s="330" t="s">
        <v>898</v>
      </c>
      <c r="B44" s="61" t="s">
        <v>799</v>
      </c>
      <c r="C44" s="89"/>
      <c r="D44" s="442">
        <f t="array" ref="D44">((SUM(IF((CkDJ[Date]&lt;=$A$7)*(CkDJ[Account Code]=(TRIM($B44))),CkDJ[Debit])))+(SUM(IF((CsDJ[Date]&lt;=$A$7)*(CsDJ[Account Code]=(TRIM($B44))),CsDJ[Debit])))+(SUM(IF((CRDJ[Date]&lt;=$A$7)*(CRDJ[Account Code]=(TRIM($B44))),CRDJ[Debit])))+(SUM(IF((GJ[Date]&lt;=$A$7)*(GJ[Account Code]=(TRIM($B44))),GJ[Debit]))))-((SUM(IF((CkDJ[Date]&lt;=$A$7)*(CkDJ[Account Code]=(TRIM($B44))),CkDJ[Credit])))+(SUM(IF((CsDJ[Date]&lt;=$A$7)*(CsDJ[Account Code]=(TRIM($B44))),CsDJ[Credit])))+(SUM(IF((CRDJ[Date]&lt;=$A$7)*(CRDJ[Account Code]=(TRIM($B44))),CRDJ[Credit])))+(SUM(IF((GJ[Date]&lt;=$A$7)*(GJ[Account Code]=(TRIM($B44))),GJ[Credit]))))</f>
        <v>0</v>
      </c>
      <c r="E44" s="89"/>
    </row>
    <row r="45" spans="1:5" x14ac:dyDescent="0.25">
      <c r="A45" s="440" t="s">
        <v>899</v>
      </c>
      <c r="B45" s="441" t="s">
        <v>799</v>
      </c>
      <c r="C45" s="89"/>
      <c r="D45" s="442">
        <f t="array" ref="D45">((SUM(IF((CkDJ[Date]&lt;=$A$7)*(CkDJ[Account Code]=(TRIM($B45))),CkDJ[Debit])))+(SUM(IF((CsDJ[Date]&lt;=$A$7)*(CsDJ[Account Code]=(TRIM($B45))),CsDJ[Debit])))+(SUM(IF((CRDJ[Date]&lt;=$A$7)*(CRDJ[Account Code]=(TRIM($B45))),CRDJ[Debit])))+(SUM(IF((GJ[Date]&lt;=$A$7)*(GJ[Account Code]=(TRIM($B45))),GJ[Debit]))))-((SUM(IF((CkDJ[Date]&lt;=$A$7)*(CkDJ[Account Code]=(TRIM($B45))),CkDJ[Credit])))+(SUM(IF((CsDJ[Date]&lt;=$A$7)*(CsDJ[Account Code]=(TRIM($B45))),CsDJ[Credit])))+(SUM(IF((CRDJ[Date]&lt;=$A$7)*(CRDJ[Account Code]=(TRIM($B45))),CRDJ[Credit])))+(SUM(IF((GJ[Date]&lt;=$A$7)*(GJ[Account Code]=(TRIM($B45))),GJ[Credit]))))</f>
        <v>0</v>
      </c>
      <c r="E45" s="89"/>
    </row>
    <row r="46" spans="1:5" x14ac:dyDescent="0.25">
      <c r="A46" s="440" t="s">
        <v>900</v>
      </c>
      <c r="B46" s="441" t="s">
        <v>799</v>
      </c>
      <c r="C46" s="89"/>
      <c r="D46" s="442">
        <f t="array" ref="D46">((SUM(IF((CkDJ[Date]&lt;=$A$7)*(CkDJ[Account Code]=(TRIM($B46))),CkDJ[Debit])))+(SUM(IF((CsDJ[Date]&lt;=$A$7)*(CsDJ[Account Code]=(TRIM($B46))),CsDJ[Debit])))+(SUM(IF((CRDJ[Date]&lt;=$A$7)*(CRDJ[Account Code]=(TRIM($B46))),CRDJ[Debit])))+(SUM(IF((GJ[Date]&lt;=$A$7)*(GJ[Account Code]=(TRIM($B46))),GJ[Debit]))))-((SUM(IF((CkDJ[Date]&lt;=$A$7)*(CkDJ[Account Code]=(TRIM($B46))),CkDJ[Credit])))+(SUM(IF((CsDJ[Date]&lt;=$A$7)*(CsDJ[Account Code]=(TRIM($B46))),CsDJ[Credit])))+(SUM(IF((CRDJ[Date]&lt;=$A$7)*(CRDJ[Account Code]=(TRIM($B46))),CRDJ[Credit])))+(SUM(IF((GJ[Date]&lt;=$A$7)*(GJ[Account Code]=(TRIM($B46))),GJ[Credit]))))</f>
        <v>0</v>
      </c>
      <c r="E46" s="89"/>
    </row>
    <row r="47" spans="1:5" x14ac:dyDescent="0.25">
      <c r="A47" s="444" t="s">
        <v>1097</v>
      </c>
      <c r="B47" s="445"/>
      <c r="C47" s="446">
        <v>63027351</v>
      </c>
      <c r="D47" s="447">
        <f>SUM(D14+D18+D33+D37+D42)</f>
        <v>0</v>
      </c>
      <c r="E47" s="446">
        <f>+C47-D47</f>
        <v>63027351</v>
      </c>
    </row>
    <row r="48" spans="1:5" x14ac:dyDescent="0.25">
      <c r="A48" s="448"/>
      <c r="B48" s="441"/>
      <c r="C48" s="442"/>
      <c r="D48" s="449"/>
      <c r="E48" s="442"/>
    </row>
    <row r="49" spans="1:5" x14ac:dyDescent="0.25">
      <c r="A49" s="320" t="s">
        <v>1098</v>
      </c>
      <c r="B49" s="437"/>
      <c r="C49" s="89"/>
      <c r="D49" s="438"/>
      <c r="E49" s="89"/>
    </row>
    <row r="50" spans="1:5" x14ac:dyDescent="0.25">
      <c r="A50" s="320" t="s">
        <v>909</v>
      </c>
      <c r="B50" s="437" t="s">
        <v>223</v>
      </c>
      <c r="C50" s="89"/>
      <c r="D50" s="442">
        <f t="array" ref="D50">((SUM(IF((CkDJ[Date]&lt;=$A$7)*(CkDJ[Account Code]=(TRIM($B50))),CkDJ[Debit])))+(SUM(IF((CsDJ[Date]&lt;=$A$7)*(CsDJ[Account Code]=(TRIM($B50))),CsDJ[Debit])))+(SUM(IF((CRDJ[Date]&lt;=$A$7)*(CRDJ[Account Code]=(TRIM($B50))),CRDJ[Debit])))+(SUM(IF((GJ[Date]&lt;=$A$7)*(GJ[Account Code]=(TRIM($B50))),GJ[Debit]))))-((SUM(IF((CkDJ[Date]&lt;=$A$7)*(CkDJ[Account Code]=(TRIM($B50))),CkDJ[Credit])))+(SUM(IF((CsDJ[Date]&lt;=$A$7)*(CsDJ[Account Code]=(TRIM($B50))),CsDJ[Credit])))+(SUM(IF((CRDJ[Date]&lt;=$A$7)*(CRDJ[Account Code]=(TRIM($B50))),CRDJ[Credit])))+(SUM(IF((GJ[Date]&lt;=$A$7)*(GJ[Account Code]=(TRIM($B50))),GJ[Credit]))))</f>
        <v>0</v>
      </c>
      <c r="E50" s="89"/>
    </row>
    <row r="51" spans="1:5" x14ac:dyDescent="0.25">
      <c r="A51" s="320" t="s">
        <v>1099</v>
      </c>
      <c r="B51" s="437" t="s">
        <v>224</v>
      </c>
      <c r="C51" s="89"/>
      <c r="D51" s="442">
        <f t="array" ref="D51">((SUM(IF((CkDJ[Date]&lt;=$A$7)*(CkDJ[Account Code]=(TRIM($B51))),CkDJ[Debit])))+(SUM(IF((CsDJ[Date]&lt;=$A$7)*(CsDJ[Account Code]=(TRIM($B51))),CsDJ[Debit])))+(SUM(IF((CRDJ[Date]&lt;=$A$7)*(CRDJ[Account Code]=(TRIM($B51))),CRDJ[Debit])))+(SUM(IF((GJ[Date]&lt;=$A$7)*(GJ[Account Code]=(TRIM($B51))),GJ[Debit]))))-((SUM(IF((CkDJ[Date]&lt;=$A$7)*(CkDJ[Account Code]=(TRIM($B51))),CkDJ[Credit])))+(SUM(IF((CsDJ[Date]&lt;=$A$7)*(CsDJ[Account Code]=(TRIM($B51))),CsDJ[Credit])))+(SUM(IF((CRDJ[Date]&lt;=$A$7)*(CRDJ[Account Code]=(TRIM($B51))),CRDJ[Credit])))+(SUM(IF((GJ[Date]&lt;=$A$7)*(GJ[Account Code]=(TRIM($B51))),GJ[Credit]))))</f>
        <v>0</v>
      </c>
      <c r="E51" s="89"/>
    </row>
    <row r="52" spans="1:5" x14ac:dyDescent="0.25">
      <c r="A52" s="320" t="s">
        <v>1100</v>
      </c>
      <c r="B52" s="437"/>
      <c r="C52" s="89"/>
      <c r="D52" s="439">
        <f>SUM(D53:D60)</f>
        <v>0</v>
      </c>
      <c r="E52" s="89"/>
    </row>
    <row r="53" spans="1:5" x14ac:dyDescent="0.25">
      <c r="A53" s="440" t="s">
        <v>1101</v>
      </c>
      <c r="B53" s="441" t="s">
        <v>225</v>
      </c>
      <c r="C53" s="89"/>
      <c r="D53" s="442">
        <f t="array" ref="D53">((SUM(IF((CkDJ[Date]&lt;=$A$7)*(CkDJ[Account Code]=(TRIM($B53))),CkDJ[Debit])))+(SUM(IF((CsDJ[Date]&lt;=$A$7)*(CsDJ[Account Code]=(TRIM($B53))),CsDJ[Debit])))+(SUM(IF((CRDJ[Date]&lt;=$A$7)*(CRDJ[Account Code]=(TRIM($B53))),CRDJ[Debit])))+(SUM(IF((GJ[Date]&lt;=$A$7)*(GJ[Account Code]=(TRIM($B53))),GJ[Debit]))))-((SUM(IF((CkDJ[Date]&lt;=$A$7)*(CkDJ[Account Code]=(TRIM($B53))),CkDJ[Credit])))+(SUM(IF((CsDJ[Date]&lt;=$A$7)*(CsDJ[Account Code]=(TRIM($B53))),CsDJ[Credit])))+(SUM(IF((CRDJ[Date]&lt;=$A$7)*(CRDJ[Account Code]=(TRIM($B53))),CRDJ[Credit])))+(SUM(IF((GJ[Date]&lt;=$A$7)*(GJ[Account Code]=(TRIM($B53))),GJ[Credit]))))</f>
        <v>0</v>
      </c>
      <c r="E53" s="89"/>
    </row>
    <row r="54" spans="1:5" x14ac:dyDescent="0.25">
      <c r="A54" s="440" t="s">
        <v>913</v>
      </c>
      <c r="B54" s="441" t="s">
        <v>226</v>
      </c>
      <c r="C54" s="89"/>
      <c r="D54" s="442">
        <f t="array" ref="D54">((SUM(IF((CkDJ[Date]&lt;=$A$7)*(CkDJ[Account Code]=(TRIM($B54))),CkDJ[Debit])))+(SUM(IF((CsDJ[Date]&lt;=$A$7)*(CsDJ[Account Code]=(TRIM($B54))),CsDJ[Debit])))+(SUM(IF((CRDJ[Date]&lt;=$A$7)*(CRDJ[Account Code]=(TRIM($B54))),CRDJ[Debit])))+(SUM(IF((GJ[Date]&lt;=$A$7)*(GJ[Account Code]=(TRIM($B54))),GJ[Debit]))))-((SUM(IF((CkDJ[Date]&lt;=$A$7)*(CkDJ[Account Code]=(TRIM($B54))),CkDJ[Credit])))+(SUM(IF((CsDJ[Date]&lt;=$A$7)*(CsDJ[Account Code]=(TRIM($B54))),CsDJ[Credit])))+(SUM(IF((CRDJ[Date]&lt;=$A$7)*(CRDJ[Account Code]=(TRIM($B54))),CRDJ[Credit])))+(SUM(IF((GJ[Date]&lt;=$A$7)*(GJ[Account Code]=(TRIM($B54))),GJ[Credit]))))</f>
        <v>0</v>
      </c>
      <c r="E54" s="89"/>
    </row>
    <row r="55" spans="1:5" x14ac:dyDescent="0.25">
      <c r="A55" s="440" t="s">
        <v>1102</v>
      </c>
      <c r="B55" s="441" t="s">
        <v>227</v>
      </c>
      <c r="C55" s="89"/>
      <c r="D55" s="442">
        <f t="array" ref="D55">((SUM(IF((CkDJ[Date]&lt;=$A$7)*(CkDJ[Account Code]=(TRIM($B55))),CkDJ[Debit])))+(SUM(IF((CsDJ[Date]&lt;=$A$7)*(CsDJ[Account Code]=(TRIM($B55))),CsDJ[Debit])))+(SUM(IF((CRDJ[Date]&lt;=$A$7)*(CRDJ[Account Code]=(TRIM($B55))),CRDJ[Debit])))+(SUM(IF((GJ[Date]&lt;=$A$7)*(GJ[Account Code]=(TRIM($B55))),GJ[Debit]))))-((SUM(IF((CkDJ[Date]&lt;=$A$7)*(CkDJ[Account Code]=(TRIM($B55))),CkDJ[Credit])))+(SUM(IF((CsDJ[Date]&lt;=$A$7)*(CsDJ[Account Code]=(TRIM($B55))),CsDJ[Credit])))+(SUM(IF((CRDJ[Date]&lt;=$A$7)*(CRDJ[Account Code]=(TRIM($B55))),CRDJ[Credit])))+(SUM(IF((GJ[Date]&lt;=$A$7)*(GJ[Account Code]=(TRIM($B55))),GJ[Credit]))))</f>
        <v>0</v>
      </c>
      <c r="E55" s="89"/>
    </row>
    <row r="56" spans="1:5" x14ac:dyDescent="0.25">
      <c r="A56" s="440" t="s">
        <v>915</v>
      </c>
      <c r="B56" s="441" t="s">
        <v>228</v>
      </c>
      <c r="C56" s="89"/>
      <c r="D56" s="442">
        <f t="array" ref="D56">((SUM(IF((CkDJ[Date]&lt;=$A$7)*(CkDJ[Account Code]=(TRIM($B56))),CkDJ[Debit])))+(SUM(IF((CsDJ[Date]&lt;=$A$7)*(CsDJ[Account Code]=(TRIM($B56))),CsDJ[Debit])))+(SUM(IF((CRDJ[Date]&lt;=$A$7)*(CRDJ[Account Code]=(TRIM($B56))),CRDJ[Debit])))+(SUM(IF((GJ[Date]&lt;=$A$7)*(GJ[Account Code]=(TRIM($B56))),GJ[Debit]))))-((SUM(IF((CkDJ[Date]&lt;=$A$7)*(CkDJ[Account Code]=(TRIM($B56))),CkDJ[Credit])))+(SUM(IF((CsDJ[Date]&lt;=$A$7)*(CsDJ[Account Code]=(TRIM($B56))),CsDJ[Credit])))+(SUM(IF((CRDJ[Date]&lt;=$A$7)*(CRDJ[Account Code]=(TRIM($B56))),CRDJ[Credit])))+(SUM(IF((GJ[Date]&lt;=$A$7)*(GJ[Account Code]=(TRIM($B56))),GJ[Credit]))))</f>
        <v>0</v>
      </c>
      <c r="E56" s="89"/>
    </row>
    <row r="57" spans="1:5" x14ac:dyDescent="0.25">
      <c r="A57" s="440" t="s">
        <v>1103</v>
      </c>
      <c r="B57" s="441" t="s">
        <v>229</v>
      </c>
      <c r="C57" s="89"/>
      <c r="D57" s="442">
        <f t="array" ref="D57">((SUM(IF((CkDJ[Date]&lt;=$A$7)*(CkDJ[Account Code]=(TRIM($B57))),CkDJ[Debit])))+(SUM(IF((CsDJ[Date]&lt;=$A$7)*(CsDJ[Account Code]=(TRIM($B57))),CsDJ[Debit])))+(SUM(IF((CRDJ[Date]&lt;=$A$7)*(CRDJ[Account Code]=(TRIM($B57))),CRDJ[Debit])))+(SUM(IF((GJ[Date]&lt;=$A$7)*(GJ[Account Code]=(TRIM($B57))),GJ[Debit]))))-((SUM(IF((CkDJ[Date]&lt;=$A$7)*(CkDJ[Account Code]=(TRIM($B57))),CkDJ[Credit])))+(SUM(IF((CsDJ[Date]&lt;=$A$7)*(CsDJ[Account Code]=(TRIM($B57))),CsDJ[Credit])))+(SUM(IF((CRDJ[Date]&lt;=$A$7)*(CRDJ[Account Code]=(TRIM($B57))),CRDJ[Credit])))+(SUM(IF((GJ[Date]&lt;=$A$7)*(GJ[Account Code]=(TRIM($B57))),GJ[Credit]))))</f>
        <v>0</v>
      </c>
      <c r="E57" s="89"/>
    </row>
    <row r="58" spans="1:5" x14ac:dyDescent="0.25">
      <c r="A58" s="440" t="s">
        <v>1104</v>
      </c>
      <c r="B58" s="441" t="s">
        <v>230</v>
      </c>
      <c r="C58" s="89"/>
      <c r="D58" s="442">
        <f t="array" ref="D58">((SUM(IF((CkDJ[Date]&lt;=$A$7)*(CkDJ[Account Code]=(TRIM($B58))),CkDJ[Debit])))+(SUM(IF((CsDJ[Date]&lt;=$A$7)*(CsDJ[Account Code]=(TRIM($B58))),CsDJ[Debit])))+(SUM(IF((CRDJ[Date]&lt;=$A$7)*(CRDJ[Account Code]=(TRIM($B58))),CRDJ[Debit])))+(SUM(IF((GJ[Date]&lt;=$A$7)*(GJ[Account Code]=(TRIM($B58))),GJ[Debit]))))-((SUM(IF((CkDJ[Date]&lt;=$A$7)*(CkDJ[Account Code]=(TRIM($B58))),CkDJ[Credit])))+(SUM(IF((CsDJ[Date]&lt;=$A$7)*(CsDJ[Account Code]=(TRIM($B58))),CsDJ[Credit])))+(SUM(IF((CRDJ[Date]&lt;=$A$7)*(CRDJ[Account Code]=(TRIM($B58))),CRDJ[Credit])))+(SUM(IF((GJ[Date]&lt;=$A$7)*(GJ[Account Code]=(TRIM($B58))),GJ[Credit]))))</f>
        <v>0</v>
      </c>
      <c r="E58" s="89"/>
    </row>
    <row r="59" spans="1:5" x14ac:dyDescent="0.25">
      <c r="A59" s="440" t="s">
        <v>1105</v>
      </c>
      <c r="B59" s="441" t="s">
        <v>231</v>
      </c>
      <c r="C59" s="89"/>
      <c r="D59" s="442">
        <f t="array" ref="D59">((SUM(IF((CkDJ[Date]&lt;=$A$7)*(CkDJ[Account Code]=(TRIM($B59))),CkDJ[Debit])))+(SUM(IF((CsDJ[Date]&lt;=$A$7)*(CsDJ[Account Code]=(TRIM($B59))),CsDJ[Debit])))+(SUM(IF((CRDJ[Date]&lt;=$A$7)*(CRDJ[Account Code]=(TRIM($B59))),CRDJ[Debit])))+(SUM(IF((GJ[Date]&lt;=$A$7)*(GJ[Account Code]=(TRIM($B59))),GJ[Debit]))))-((SUM(IF((CkDJ[Date]&lt;=$A$7)*(CkDJ[Account Code]=(TRIM($B59))),CkDJ[Credit])))+(SUM(IF((CsDJ[Date]&lt;=$A$7)*(CsDJ[Account Code]=(TRIM($B59))),CsDJ[Credit])))+(SUM(IF((CRDJ[Date]&lt;=$A$7)*(CRDJ[Account Code]=(TRIM($B59))),CRDJ[Credit])))+(SUM(IF((GJ[Date]&lt;=$A$7)*(GJ[Account Code]=(TRIM($B59))),GJ[Credit]))))</f>
        <v>0</v>
      </c>
      <c r="E59" s="89"/>
    </row>
    <row r="60" spans="1:5" x14ac:dyDescent="0.25">
      <c r="A60" s="440" t="s">
        <v>1106</v>
      </c>
      <c r="B60" s="441"/>
      <c r="C60" s="89"/>
      <c r="D60" s="438"/>
      <c r="E60" s="89"/>
    </row>
    <row r="61" spans="1:5" x14ac:dyDescent="0.25">
      <c r="A61" s="320" t="s">
        <v>919</v>
      </c>
      <c r="B61" s="437"/>
      <c r="C61" s="89"/>
      <c r="D61" s="450">
        <f>SUM(D62+D63)</f>
        <v>0</v>
      </c>
      <c r="E61" s="89"/>
    </row>
    <row r="62" spans="1:5" x14ac:dyDescent="0.25">
      <c r="A62" s="440" t="s">
        <v>920</v>
      </c>
      <c r="B62" s="441" t="s">
        <v>232</v>
      </c>
      <c r="C62" s="89"/>
      <c r="D62" s="442">
        <f t="array" ref="D62">((SUM(IF((CkDJ[Date]&lt;=$A$7)*(CkDJ[Account Code]=(TRIM($B62))),CkDJ[Debit])))+(SUM(IF((CsDJ[Date]&lt;=$A$7)*(CsDJ[Account Code]=(TRIM($B62))),CsDJ[Debit])))+(SUM(IF((CRDJ[Date]&lt;=$A$7)*(CRDJ[Account Code]=(TRIM($B62))),CRDJ[Debit])))+(SUM(IF((GJ[Date]&lt;=$A$7)*(GJ[Account Code]=(TRIM($B62))),GJ[Debit]))))-((SUM(IF((CkDJ[Date]&lt;=$A$7)*(CkDJ[Account Code]=(TRIM($B62))),CkDJ[Credit])))+(SUM(IF((CsDJ[Date]&lt;=$A$7)*(CsDJ[Account Code]=(TRIM($B62))),CsDJ[Credit])))+(SUM(IF((CRDJ[Date]&lt;=$A$7)*(CRDJ[Account Code]=(TRIM($B62))),CRDJ[Credit])))+(SUM(IF((GJ[Date]&lt;=$A$7)*(GJ[Account Code]=(TRIM($B62))),GJ[Credit]))))</f>
        <v>0</v>
      </c>
      <c r="E62" s="89"/>
    </row>
    <row r="63" spans="1:5" x14ac:dyDescent="0.25">
      <c r="A63" s="440" t="s">
        <v>1107</v>
      </c>
      <c r="B63" s="441"/>
      <c r="C63" s="89"/>
      <c r="D63" s="438">
        <f>SUM(D64:D65)</f>
        <v>0</v>
      </c>
      <c r="E63" s="89"/>
    </row>
    <row r="64" spans="1:5" x14ac:dyDescent="0.25">
      <c r="A64" s="451" t="s">
        <v>1108</v>
      </c>
      <c r="B64" s="441" t="s">
        <v>233</v>
      </c>
      <c r="C64" s="89"/>
      <c r="D64" s="442">
        <f t="array" ref="D64">((SUM(IF((CkDJ[Date]&lt;=$A$7)*(CkDJ[Account Code]=(TRIM($B64))),CkDJ[Debit])))+(SUM(IF((CsDJ[Date]&lt;=$A$7)*(CsDJ[Account Code]=(TRIM($B64))),CsDJ[Debit])))+(SUM(IF((CRDJ[Date]&lt;=$A$7)*(CRDJ[Account Code]=(TRIM($B64))),CRDJ[Debit])))+(SUM(IF((GJ[Date]&lt;=$A$7)*(GJ[Account Code]=(TRIM($B64))),GJ[Debit]))))-((SUM(IF((CkDJ[Date]&lt;=$A$7)*(CkDJ[Account Code]=(TRIM($B64))),CkDJ[Credit])))+(SUM(IF((CsDJ[Date]&lt;=$A$7)*(CsDJ[Account Code]=(TRIM($B64))),CsDJ[Credit])))+(SUM(IF((CRDJ[Date]&lt;=$A$7)*(CRDJ[Account Code]=(TRIM($B64))),CRDJ[Credit])))+(SUM(IF((GJ[Date]&lt;=$A$7)*(GJ[Account Code]=(TRIM($B64))),GJ[Credit]))))</f>
        <v>0</v>
      </c>
      <c r="E64" s="89"/>
    </row>
    <row r="65" spans="1:5" x14ac:dyDescent="0.25">
      <c r="A65" s="451" t="s">
        <v>1109</v>
      </c>
      <c r="B65" s="441" t="s">
        <v>991</v>
      </c>
      <c r="C65" s="89"/>
      <c r="D65" s="442">
        <f t="array" ref="D65">((SUM(IF((CkDJ[Date]&lt;=$A$7)*(CkDJ[Account Code]=(TRIM($B65))),CkDJ[Debit])))+(SUM(IF((CsDJ[Date]&lt;=$A$7)*(CsDJ[Account Code]=(TRIM($B65))),CsDJ[Debit])))+(SUM(IF((CRDJ[Date]&lt;=$A$7)*(CRDJ[Account Code]=(TRIM($B65))),CRDJ[Debit])))+(SUM(IF((GJ[Date]&lt;=$A$7)*(GJ[Account Code]=(TRIM($B65))),GJ[Debit]))))-((SUM(IF((CkDJ[Date]&lt;=$A$7)*(CkDJ[Account Code]=(TRIM($B65))),CkDJ[Credit])))+(SUM(IF((CsDJ[Date]&lt;=$A$7)*(CsDJ[Account Code]=(TRIM($B65))),CsDJ[Credit])))+(SUM(IF((CRDJ[Date]&lt;=$A$7)*(CRDJ[Account Code]=(TRIM($B65))),CRDJ[Credit])))+(SUM(IF((GJ[Date]&lt;=$A$7)*(GJ[Account Code]=(TRIM($B65))),GJ[Credit]))))</f>
        <v>0</v>
      </c>
      <c r="E65" s="89"/>
    </row>
    <row r="66" spans="1:5" x14ac:dyDescent="0.25">
      <c r="A66" s="320" t="s">
        <v>1110</v>
      </c>
      <c r="B66" s="437"/>
      <c r="C66" s="89"/>
      <c r="D66" s="439">
        <f>SUM(D67:D69)</f>
        <v>0</v>
      </c>
      <c r="E66" s="89"/>
    </row>
    <row r="67" spans="1:5" x14ac:dyDescent="0.25">
      <c r="A67" s="440" t="s">
        <v>1144</v>
      </c>
      <c r="B67" s="61" t="s">
        <v>235</v>
      </c>
      <c r="C67" s="89"/>
      <c r="D67" s="442">
        <f t="array" ref="D67">((SUM(IF((CkDJ[Date]&lt;=$A$7)*(CkDJ[Account Code]=(TRIM($B67))),CkDJ[Debit])))+(SUM(IF((CsDJ[Date]&lt;=$A$7)*(CsDJ[Account Code]=(TRIM($B67))),CsDJ[Debit])))+(SUM(IF((CRDJ[Date]&lt;=$A$7)*(CRDJ[Account Code]=(TRIM($B67))),CRDJ[Debit])))+(SUM(IF((GJ[Date]&lt;=$A$7)*(GJ[Account Code]=(TRIM($B67))),GJ[Debit]))))-((SUM(IF((CkDJ[Date]&lt;=$A$7)*(CkDJ[Account Code]=(TRIM($B67))),CkDJ[Credit])))+(SUM(IF((CsDJ[Date]&lt;=$A$7)*(CsDJ[Account Code]=(TRIM($B67))),CsDJ[Credit])))+(SUM(IF((CRDJ[Date]&lt;=$A$7)*(CRDJ[Account Code]=(TRIM($B67))),CRDJ[Credit])))+(SUM(IF((GJ[Date]&lt;=$A$7)*(GJ[Account Code]=(TRIM($B67))),GJ[Credit]))))</f>
        <v>0</v>
      </c>
      <c r="E67" s="89"/>
    </row>
    <row r="68" spans="1:5" x14ac:dyDescent="0.25">
      <c r="A68" s="440" t="s">
        <v>1145</v>
      </c>
      <c r="B68" s="61" t="s">
        <v>236</v>
      </c>
      <c r="C68" s="89"/>
      <c r="D68" s="442">
        <f t="array" ref="D68">((SUM(IF((CkDJ[Date]&lt;=$A$7)*(CkDJ[Account Code]=(TRIM($B68))),CkDJ[Debit])))+(SUM(IF((CsDJ[Date]&lt;=$A$7)*(CsDJ[Account Code]=(TRIM($B68))),CsDJ[Debit])))+(SUM(IF((CRDJ[Date]&lt;=$A$7)*(CRDJ[Account Code]=(TRIM($B68))),CRDJ[Debit])))+(SUM(IF((GJ[Date]&lt;=$A$7)*(GJ[Account Code]=(TRIM($B68))),GJ[Debit]))))-((SUM(IF((CkDJ[Date]&lt;=$A$7)*(CkDJ[Account Code]=(TRIM($B68))),CkDJ[Credit])))+(SUM(IF((CsDJ[Date]&lt;=$A$7)*(CsDJ[Account Code]=(TRIM($B68))),CsDJ[Credit])))+(SUM(IF((CRDJ[Date]&lt;=$A$7)*(CRDJ[Account Code]=(TRIM($B68))),CRDJ[Credit])))+(SUM(IF((GJ[Date]&lt;=$A$7)*(GJ[Account Code]=(TRIM($B68))),GJ[Credit]))))</f>
        <v>0</v>
      </c>
      <c r="E68" s="89"/>
    </row>
    <row r="69" spans="1:5" x14ac:dyDescent="0.25">
      <c r="A69" s="440" t="s">
        <v>1147</v>
      </c>
      <c r="B69" s="61" t="s">
        <v>237</v>
      </c>
      <c r="C69" s="89"/>
      <c r="D69" s="442">
        <f t="array" ref="D69">((SUM(IF((CkDJ[Date]&lt;=$A$7)*(CkDJ[Account Code]=(TRIM($B69))),CkDJ[Debit])))+(SUM(IF((CsDJ[Date]&lt;=$A$7)*(CsDJ[Account Code]=(TRIM($B69))),CsDJ[Debit])))+(SUM(IF((CRDJ[Date]&lt;=$A$7)*(CRDJ[Account Code]=(TRIM($B69))),CRDJ[Debit])))+(SUM(IF((GJ[Date]&lt;=$A$7)*(GJ[Account Code]=(TRIM($B69))),GJ[Debit]))))-((SUM(IF((CkDJ[Date]&lt;=$A$7)*(CkDJ[Account Code]=(TRIM($B69))),CkDJ[Credit])))+(SUM(IF((CsDJ[Date]&lt;=$A$7)*(CsDJ[Account Code]=(TRIM($B69))),CsDJ[Credit])))+(SUM(IF((CRDJ[Date]&lt;=$A$7)*(CRDJ[Account Code]=(TRIM($B69))),CRDJ[Credit])))+(SUM(IF((GJ[Date]&lt;=$A$7)*(GJ[Account Code]=(TRIM($B69))),GJ[Credit]))))</f>
        <v>0</v>
      </c>
      <c r="E69" s="89"/>
    </row>
    <row r="70" spans="1:5" x14ac:dyDescent="0.25">
      <c r="A70" s="320" t="s">
        <v>1111</v>
      </c>
      <c r="B70" s="437" t="s">
        <v>239</v>
      </c>
      <c r="C70" s="89"/>
      <c r="D70" s="442">
        <f t="array" ref="D70">((SUM(IF((CkDJ[Date]&lt;=$A$7)*(CkDJ[Account Code]=(TRIM($B70))),CkDJ[Debit])))+(SUM(IF((CsDJ[Date]&lt;=$A$7)*(CsDJ[Account Code]=(TRIM($B70))),CsDJ[Debit])))+(SUM(IF((CRDJ[Date]&lt;=$A$7)*(CRDJ[Account Code]=(TRIM($B70))),CRDJ[Debit])))+(SUM(IF((GJ[Date]&lt;=$A$7)*(GJ[Account Code]=(TRIM($B70))),GJ[Debit]))))-((SUM(IF((CkDJ[Date]&lt;=$A$7)*(CkDJ[Account Code]=(TRIM($B70))),CkDJ[Credit])))+(SUM(IF((CsDJ[Date]&lt;=$A$7)*(CsDJ[Account Code]=(TRIM($B70))),CsDJ[Credit])))+(SUM(IF((CRDJ[Date]&lt;=$A$7)*(CRDJ[Account Code]=(TRIM($B70))),CRDJ[Credit])))+(SUM(IF((GJ[Date]&lt;=$A$7)*(GJ[Account Code]=(TRIM($B70))),GJ[Credit]))))</f>
        <v>0</v>
      </c>
      <c r="E70" s="89"/>
    </row>
    <row r="71" spans="1:5" x14ac:dyDescent="0.25">
      <c r="A71" s="320" t="s">
        <v>931</v>
      </c>
      <c r="B71" s="437" t="s">
        <v>240</v>
      </c>
      <c r="C71" s="89"/>
      <c r="D71" s="442">
        <f t="array" ref="D71">((SUM(IF((CkDJ[Date]&lt;=$A$7)*(CkDJ[Account Code]=(TRIM($B71))),CkDJ[Debit])))+(SUM(IF((CsDJ[Date]&lt;=$A$7)*(CsDJ[Account Code]=(TRIM($B71))),CsDJ[Debit])))+(SUM(IF((CRDJ[Date]&lt;=$A$7)*(CRDJ[Account Code]=(TRIM($B71))),CRDJ[Debit])))+(SUM(IF((GJ[Date]&lt;=$A$7)*(GJ[Account Code]=(TRIM($B71))),GJ[Debit]))))-((SUM(IF((CkDJ[Date]&lt;=$A$7)*(CkDJ[Account Code]=(TRIM($B71))),CkDJ[Credit])))+(SUM(IF((CsDJ[Date]&lt;=$A$7)*(CsDJ[Account Code]=(TRIM($B71))),CsDJ[Credit])))+(SUM(IF((CRDJ[Date]&lt;=$A$7)*(CRDJ[Account Code]=(TRIM($B71))),CRDJ[Credit])))+(SUM(IF((GJ[Date]&lt;=$A$7)*(GJ[Account Code]=(TRIM($B71))),GJ[Credit]))))</f>
        <v>0</v>
      </c>
      <c r="E71" s="89"/>
    </row>
    <row r="72" spans="1:5" x14ac:dyDescent="0.25">
      <c r="A72" s="320" t="s">
        <v>1112</v>
      </c>
      <c r="B72" s="437" t="s">
        <v>241</v>
      </c>
      <c r="C72" s="89"/>
      <c r="D72" s="442">
        <f t="array" ref="D72">((SUM(IF((CkDJ[Date]&lt;=$A$7)*(CkDJ[Account Code]=(TRIM($B72))),CkDJ[Debit])))+(SUM(IF((CsDJ[Date]&lt;=$A$7)*(CsDJ[Account Code]=(TRIM($B72))),CsDJ[Debit])))+(SUM(IF((CRDJ[Date]&lt;=$A$7)*(CRDJ[Account Code]=(TRIM($B72))),CRDJ[Debit])))+(SUM(IF((GJ[Date]&lt;=$A$7)*(GJ[Account Code]=(TRIM($B72))),GJ[Debit]))))-((SUM(IF((CkDJ[Date]&lt;=$A$7)*(CkDJ[Account Code]=(TRIM($B72))),CkDJ[Credit])))+(SUM(IF((CsDJ[Date]&lt;=$A$7)*(CsDJ[Account Code]=(TRIM($B72))),CsDJ[Credit])))+(SUM(IF((CRDJ[Date]&lt;=$A$7)*(CRDJ[Account Code]=(TRIM($B72))),CRDJ[Credit])))+(SUM(IF((GJ[Date]&lt;=$A$7)*(GJ[Account Code]=(TRIM($B72))),GJ[Credit]))))</f>
        <v>0</v>
      </c>
      <c r="E72" s="89"/>
    </row>
    <row r="73" spans="1:5" x14ac:dyDescent="0.25">
      <c r="A73" s="320" t="s">
        <v>1113</v>
      </c>
      <c r="B73" s="437" t="s">
        <v>242</v>
      </c>
      <c r="C73" s="89"/>
      <c r="D73" s="442">
        <f t="array" ref="D73">((SUM(IF((CkDJ[Date]&lt;=$A$7)*(CkDJ[Account Code]=(TRIM($B73))),CkDJ[Debit])))+(SUM(IF((CsDJ[Date]&lt;=$A$7)*(CsDJ[Account Code]=(TRIM($B73))),CsDJ[Debit])))+(SUM(IF((CRDJ[Date]&lt;=$A$7)*(CRDJ[Account Code]=(TRIM($B73))),CRDJ[Debit])))+(SUM(IF((GJ[Date]&lt;=$A$7)*(GJ[Account Code]=(TRIM($B73))),GJ[Debit]))))-((SUM(IF((CkDJ[Date]&lt;=$A$7)*(CkDJ[Account Code]=(TRIM($B73))),CkDJ[Credit])))+(SUM(IF((CsDJ[Date]&lt;=$A$7)*(CsDJ[Account Code]=(TRIM($B73))),CsDJ[Credit])))+(SUM(IF((CRDJ[Date]&lt;=$A$7)*(CRDJ[Account Code]=(TRIM($B73))),CRDJ[Credit])))+(SUM(IF((GJ[Date]&lt;=$A$7)*(GJ[Account Code]=(TRIM($B73))),GJ[Credit]))))</f>
        <v>0</v>
      </c>
      <c r="E73" s="89"/>
    </row>
    <row r="74" spans="1:5" x14ac:dyDescent="0.25">
      <c r="A74" s="320" t="s">
        <v>934</v>
      </c>
      <c r="B74" s="437" t="s">
        <v>243</v>
      </c>
      <c r="C74" s="89"/>
      <c r="D74" s="442">
        <f t="array" ref="D74">((SUM(IF((CkDJ[Date]&lt;=$A$7)*(CkDJ[Account Code]=(TRIM($B74))),CkDJ[Debit])))+(SUM(IF((CsDJ[Date]&lt;=$A$7)*(CsDJ[Account Code]=(TRIM($B74))),CsDJ[Debit])))+(SUM(IF((CRDJ[Date]&lt;=$A$7)*(CRDJ[Account Code]=(TRIM($B74))),CRDJ[Debit])))+(SUM(IF((GJ[Date]&lt;=$A$7)*(GJ[Account Code]=(TRIM($B74))),GJ[Debit]))))-((SUM(IF((CkDJ[Date]&lt;=$A$7)*(CkDJ[Account Code]=(TRIM($B74))),CkDJ[Credit])))+(SUM(IF((CsDJ[Date]&lt;=$A$7)*(CsDJ[Account Code]=(TRIM($B74))),CsDJ[Credit])))+(SUM(IF((CRDJ[Date]&lt;=$A$7)*(CRDJ[Account Code]=(TRIM($B74))),CRDJ[Credit])))+(SUM(IF((GJ[Date]&lt;=$A$7)*(GJ[Account Code]=(TRIM($B74))),GJ[Credit]))))</f>
        <v>0</v>
      </c>
      <c r="E74" s="89"/>
    </row>
    <row r="75" spans="1:5" x14ac:dyDescent="0.25">
      <c r="A75" s="320" t="s">
        <v>1160</v>
      </c>
      <c r="B75" s="437" t="s">
        <v>234</v>
      </c>
      <c r="C75" s="89"/>
      <c r="D75" s="442">
        <f t="array" ref="D75">((SUM(IF((CkDJ[Date]&lt;=$A$7)*(CkDJ[Account Code]=(TRIM($B75))),CkDJ[Debit])))+(SUM(IF((CsDJ[Date]&lt;=$A$7)*(CsDJ[Account Code]=(TRIM($B75))),CsDJ[Debit])))+(SUM(IF((CRDJ[Date]&lt;=$A$7)*(CRDJ[Account Code]=(TRIM($B75))),CRDJ[Debit])))+(SUM(IF((GJ[Date]&lt;=$A$7)*(GJ[Account Code]=(TRIM($B75))),GJ[Debit]))))-((SUM(IF((CkDJ[Date]&lt;=$A$7)*(CkDJ[Account Code]=(TRIM($B75))),CkDJ[Credit])))+(SUM(IF((CsDJ[Date]&lt;=$A$7)*(CsDJ[Account Code]=(TRIM($B75))),CsDJ[Credit])))+(SUM(IF((CRDJ[Date]&lt;=$A$7)*(CRDJ[Account Code]=(TRIM($B75))),CRDJ[Credit])))+(SUM(IF((GJ[Date]&lt;=$A$7)*(GJ[Account Code]=(TRIM($B75))),GJ[Credit]))))</f>
        <v>0</v>
      </c>
      <c r="E75" s="89"/>
    </row>
    <row r="76" spans="1:5" x14ac:dyDescent="0.25">
      <c r="A76" s="320" t="s">
        <v>936</v>
      </c>
      <c r="B76" s="437"/>
      <c r="C76" s="89"/>
      <c r="D76" s="442">
        <f t="array" ref="D76">((SUM(IF((CkDJ[Date]&lt;=$A$7)*(CkDJ[Account Code]=(TRIM($B76))),CkDJ[Debit])))+(SUM(IF((CsDJ[Date]&lt;=$A$7)*(CsDJ[Account Code]=(TRIM($B76))),CsDJ[Debit])))+(SUM(IF((CRDJ[Date]&lt;=$A$7)*(CRDJ[Account Code]=(TRIM($B76))),CRDJ[Debit])))+(SUM(IF((GJ[Date]&lt;=$A$7)*(GJ[Account Code]=(TRIM($B76))),GJ[Debit]))))-((SUM(IF((CkDJ[Date]&lt;=$A$7)*(CkDJ[Account Code]=(TRIM($B76))),CkDJ[Credit])))+(SUM(IF((CsDJ[Date]&lt;=$A$7)*(CsDJ[Account Code]=(TRIM($B76))),CsDJ[Credit])))+(SUM(IF((CRDJ[Date]&lt;=$A$7)*(CRDJ[Account Code]=(TRIM($B76))),CRDJ[Credit])))+(SUM(IF((GJ[Date]&lt;=$A$7)*(GJ[Account Code]=(TRIM($B76))),GJ[Credit]))))</f>
        <v>0</v>
      </c>
      <c r="E76" s="89"/>
    </row>
    <row r="77" spans="1:5" x14ac:dyDescent="0.25">
      <c r="A77" s="320" t="s">
        <v>937</v>
      </c>
      <c r="B77" s="437" t="s">
        <v>339</v>
      </c>
      <c r="C77" s="89"/>
      <c r="D77" s="442">
        <f t="array" ref="D77">((SUM(IF((CkDJ[Date]&lt;=$A$7)*(CkDJ[Account Code]=(TRIM($B77))),CkDJ[Debit])))+(SUM(IF((CsDJ[Date]&lt;=$A$7)*(CsDJ[Account Code]=(TRIM($B77))),CsDJ[Debit])))+(SUM(IF((CRDJ[Date]&lt;=$A$7)*(CRDJ[Account Code]=(TRIM($B77))),CRDJ[Debit])))+(SUM(IF((GJ[Date]&lt;=$A$7)*(GJ[Account Code]=(TRIM($B77))),GJ[Debit]))))-((SUM(IF((CkDJ[Date]&lt;=$A$7)*(CkDJ[Account Code]=(TRIM($B77))),CkDJ[Credit])))+(SUM(IF((CsDJ[Date]&lt;=$A$7)*(CsDJ[Account Code]=(TRIM($B77))),CsDJ[Credit])))+(SUM(IF((CRDJ[Date]&lt;=$A$7)*(CRDJ[Account Code]=(TRIM($B77))),CRDJ[Credit])))+(SUM(IF((GJ[Date]&lt;=$A$7)*(GJ[Account Code]=(TRIM($B77))),GJ[Credit]))))</f>
        <v>0</v>
      </c>
      <c r="E77" s="89"/>
    </row>
    <row r="78" spans="1:5" x14ac:dyDescent="0.25">
      <c r="A78" s="320" t="s">
        <v>1114</v>
      </c>
      <c r="B78" s="437"/>
      <c r="C78" s="89"/>
      <c r="D78" s="439">
        <f>SUM(D79:D86)</f>
        <v>0</v>
      </c>
      <c r="E78" s="89"/>
    </row>
    <row r="79" spans="1:5" x14ac:dyDescent="0.25">
      <c r="A79" s="440" t="s">
        <v>1115</v>
      </c>
      <c r="B79" s="441" t="s">
        <v>246</v>
      </c>
      <c r="C79" s="89"/>
      <c r="D79" s="442">
        <f t="array" ref="D79">((SUM(IF((CkDJ[Date]&lt;=$A$7)*(CkDJ[Account Code]=(TRIM($B79))),CkDJ[Debit])))+(SUM(IF((CsDJ[Date]&lt;=$A$7)*(CsDJ[Account Code]=(TRIM($B79))),CsDJ[Debit])))+(SUM(IF((CRDJ[Date]&lt;=$A$7)*(CRDJ[Account Code]=(TRIM($B79))),CRDJ[Debit])))+(SUM(IF((GJ[Date]&lt;=$A$7)*(GJ[Account Code]=(TRIM($B79))),GJ[Debit]))))-((SUM(IF((CkDJ[Date]&lt;=$A$7)*(CkDJ[Account Code]=(TRIM($B79))),CkDJ[Credit])))+(SUM(IF((CsDJ[Date]&lt;=$A$7)*(CsDJ[Account Code]=(TRIM($B79))),CsDJ[Credit])))+(SUM(IF((CRDJ[Date]&lt;=$A$7)*(CRDJ[Account Code]=(TRIM($B79))),CRDJ[Credit])))+(SUM(IF((GJ[Date]&lt;=$A$7)*(GJ[Account Code]=(TRIM($B79))),GJ[Credit]))))</f>
        <v>0</v>
      </c>
      <c r="E79" s="89"/>
    </row>
    <row r="80" spans="1:5" x14ac:dyDescent="0.25">
      <c r="A80" s="440" t="s">
        <v>941</v>
      </c>
      <c r="B80" s="441" t="s">
        <v>222</v>
      </c>
      <c r="C80" s="89"/>
      <c r="D80" s="442">
        <f t="array" ref="D80">((SUM(IF((CkDJ[Date]&lt;=$A$7)*(CkDJ[Account Code]=(TRIM($B80))),CkDJ[Debit])))+(SUM(IF((CsDJ[Date]&lt;=$A$7)*(CsDJ[Account Code]=(TRIM($B80))),CsDJ[Debit])))+(SUM(IF((CRDJ[Date]&lt;=$A$7)*(CRDJ[Account Code]=(TRIM($B80))),CRDJ[Debit])))+(SUM(IF((GJ[Date]&lt;=$A$7)*(GJ[Account Code]=(TRIM($B80))),GJ[Debit]))))-((SUM(IF((CkDJ[Date]&lt;=$A$7)*(CkDJ[Account Code]=(TRIM($B80))),CkDJ[Credit])))+(SUM(IF((CsDJ[Date]&lt;=$A$7)*(CsDJ[Account Code]=(TRIM($B80))),CsDJ[Credit])))+(SUM(IF((CRDJ[Date]&lt;=$A$7)*(CRDJ[Account Code]=(TRIM($B80))),CRDJ[Credit])))+(SUM(IF((GJ[Date]&lt;=$A$7)*(GJ[Account Code]=(TRIM($B80))),GJ[Credit]))))</f>
        <v>0</v>
      </c>
      <c r="E80" s="89"/>
    </row>
    <row r="81" spans="1:5" x14ac:dyDescent="0.25">
      <c r="A81" s="440" t="s">
        <v>942</v>
      </c>
      <c r="B81" s="441" t="s">
        <v>247</v>
      </c>
      <c r="C81" s="89"/>
      <c r="D81" s="442">
        <f t="array" ref="D81">((SUM(IF((CkDJ[Date]&lt;=$A$7)*(CkDJ[Account Code]=(TRIM($B81))),CkDJ[Debit])))+(SUM(IF((CsDJ[Date]&lt;=$A$7)*(CsDJ[Account Code]=(TRIM($B81))),CsDJ[Debit])))+(SUM(IF((CRDJ[Date]&lt;=$A$7)*(CRDJ[Account Code]=(TRIM($B81))),CRDJ[Debit])))+(SUM(IF((GJ[Date]&lt;=$A$7)*(GJ[Account Code]=(TRIM($B81))),GJ[Debit]))))-((SUM(IF((CkDJ[Date]&lt;=$A$7)*(CkDJ[Account Code]=(TRIM($B81))),CkDJ[Credit])))+(SUM(IF((CsDJ[Date]&lt;=$A$7)*(CsDJ[Account Code]=(TRIM($B81))),CsDJ[Credit])))+(SUM(IF((CRDJ[Date]&lt;=$A$7)*(CRDJ[Account Code]=(TRIM($B81))),CRDJ[Credit])))+(SUM(IF((GJ[Date]&lt;=$A$7)*(GJ[Account Code]=(TRIM($B81))),GJ[Credit]))))</f>
        <v>0</v>
      </c>
      <c r="E81" s="89"/>
    </row>
    <row r="82" spans="1:5" x14ac:dyDescent="0.25">
      <c r="A82" s="440" t="s">
        <v>1116</v>
      </c>
      <c r="B82" s="441" t="s">
        <v>799</v>
      </c>
      <c r="C82" s="89"/>
      <c r="D82" s="442">
        <f t="array" ref="D82">((SUM(IF((CkDJ[Date]&lt;=$A$7)*(CkDJ[Account Code]=(TRIM($B82))),CkDJ[Debit])))+(SUM(IF((CsDJ[Date]&lt;=$A$7)*(CsDJ[Account Code]=(TRIM($B82))),CsDJ[Debit])))+(SUM(IF((CRDJ[Date]&lt;=$A$7)*(CRDJ[Account Code]=(TRIM($B82))),CRDJ[Debit])))+(SUM(IF((GJ[Date]&lt;=$A$7)*(GJ[Account Code]=(TRIM($B82))),GJ[Debit]))))-((SUM(IF((CkDJ[Date]&lt;=$A$7)*(CkDJ[Account Code]=(TRIM($B82))),CkDJ[Credit])))+(SUM(IF((CsDJ[Date]&lt;=$A$7)*(CsDJ[Account Code]=(TRIM($B82))),CsDJ[Credit])))+(SUM(IF((CRDJ[Date]&lt;=$A$7)*(CRDJ[Account Code]=(TRIM($B82))),CRDJ[Credit])))+(SUM(IF((GJ[Date]&lt;=$A$7)*(GJ[Account Code]=(TRIM($B82))),GJ[Credit]))))</f>
        <v>0</v>
      </c>
      <c r="E82" s="89"/>
    </row>
    <row r="83" spans="1:5" x14ac:dyDescent="0.25">
      <c r="A83" s="440" t="s">
        <v>944</v>
      </c>
      <c r="B83" s="441" t="s">
        <v>799</v>
      </c>
      <c r="C83" s="89"/>
      <c r="D83" s="442">
        <f t="array" ref="D83">((SUM(IF((CkDJ[Date]&lt;=$A$7)*(CkDJ[Account Code]=(TRIM($B83))),CkDJ[Debit])))+(SUM(IF((CsDJ[Date]&lt;=$A$7)*(CsDJ[Account Code]=(TRIM($B83))),CsDJ[Debit])))+(SUM(IF((CRDJ[Date]&lt;=$A$7)*(CRDJ[Account Code]=(TRIM($B83))),CRDJ[Debit])))+(SUM(IF((GJ[Date]&lt;=$A$7)*(GJ[Account Code]=(TRIM($B83))),GJ[Debit]))))-((SUM(IF((CkDJ[Date]&lt;=$A$7)*(CkDJ[Account Code]=(TRIM($B83))),CkDJ[Credit])))+(SUM(IF((CsDJ[Date]&lt;=$A$7)*(CsDJ[Account Code]=(TRIM($B83))),CsDJ[Credit])))+(SUM(IF((CRDJ[Date]&lt;=$A$7)*(CRDJ[Account Code]=(TRIM($B83))),CRDJ[Credit])))+(SUM(IF((GJ[Date]&lt;=$A$7)*(GJ[Account Code]=(TRIM($B83))),GJ[Credit]))))</f>
        <v>0</v>
      </c>
      <c r="E83" s="89"/>
    </row>
    <row r="84" spans="1:5" x14ac:dyDescent="0.25">
      <c r="A84" s="440" t="s">
        <v>1117</v>
      </c>
      <c r="B84" s="441" t="s">
        <v>249</v>
      </c>
      <c r="C84" s="89"/>
      <c r="D84" s="442">
        <f t="array" ref="D84">((SUM(IF((CkDJ[Date]&lt;=$A$7)*(CkDJ[Account Code]=(TRIM($B84))),CkDJ[Debit])))+(SUM(IF((CsDJ[Date]&lt;=$A$7)*(CsDJ[Account Code]=(TRIM($B84))),CsDJ[Debit])))+(SUM(IF((CRDJ[Date]&lt;=$A$7)*(CRDJ[Account Code]=(TRIM($B84))),CRDJ[Debit])))+(SUM(IF((GJ[Date]&lt;=$A$7)*(GJ[Account Code]=(TRIM($B84))),GJ[Debit]))))-((SUM(IF((CkDJ[Date]&lt;=$A$7)*(CkDJ[Account Code]=(TRIM($B84))),CkDJ[Credit])))+(SUM(IF((CsDJ[Date]&lt;=$A$7)*(CsDJ[Account Code]=(TRIM($B84))),CsDJ[Credit])))+(SUM(IF((CRDJ[Date]&lt;=$A$7)*(CRDJ[Account Code]=(TRIM($B84))),CRDJ[Credit])))+(SUM(IF((GJ[Date]&lt;=$A$7)*(GJ[Account Code]=(TRIM($B84))),GJ[Credit]))))</f>
        <v>0</v>
      </c>
      <c r="E84" s="89"/>
    </row>
    <row r="85" spans="1:5" x14ac:dyDescent="0.25">
      <c r="A85" s="440" t="s">
        <v>946</v>
      </c>
      <c r="B85" s="441" t="s">
        <v>799</v>
      </c>
      <c r="C85" s="89"/>
      <c r="D85" s="442">
        <f t="array" ref="D85">((SUM(IF((CkDJ[Date]&lt;=$A$7)*(CkDJ[Account Code]=(TRIM($B85))),CkDJ[Debit])))+(SUM(IF((CsDJ[Date]&lt;=$A$7)*(CsDJ[Account Code]=(TRIM($B85))),CsDJ[Debit])))+(SUM(IF((CRDJ[Date]&lt;=$A$7)*(CRDJ[Account Code]=(TRIM($B85))),CRDJ[Debit])))+(SUM(IF((GJ[Date]&lt;=$A$7)*(GJ[Account Code]=(TRIM($B85))),GJ[Debit]))))-((SUM(IF((CkDJ[Date]&lt;=$A$7)*(CkDJ[Account Code]=(TRIM($B85))),CkDJ[Credit])))+(SUM(IF((CsDJ[Date]&lt;=$A$7)*(CsDJ[Account Code]=(TRIM($B85))),CsDJ[Credit])))+(SUM(IF((CRDJ[Date]&lt;=$A$7)*(CRDJ[Account Code]=(TRIM($B85))),CRDJ[Credit])))+(SUM(IF((GJ[Date]&lt;=$A$7)*(GJ[Account Code]=(TRIM($B85))),GJ[Credit]))))</f>
        <v>0</v>
      </c>
      <c r="E85" s="89"/>
    </row>
    <row r="86" spans="1:5" x14ac:dyDescent="0.25">
      <c r="A86" s="440" t="s">
        <v>1118</v>
      </c>
      <c r="B86" s="441" t="s">
        <v>250</v>
      </c>
      <c r="C86" s="89"/>
      <c r="D86" s="442">
        <f t="array" ref="D86">((SUM(IF((CkDJ[Date]&lt;=$A$7)*(CkDJ[Account Code]=(TRIM($B86))),CkDJ[Debit])))+(SUM(IF((CsDJ[Date]&lt;=$A$7)*(CsDJ[Account Code]=(TRIM($B86))),CsDJ[Debit])))+(SUM(IF((CRDJ[Date]&lt;=$A$7)*(CRDJ[Account Code]=(TRIM($B86))),CRDJ[Debit])))+(SUM(IF((GJ[Date]&lt;=$A$7)*(GJ[Account Code]=(TRIM($B86))),GJ[Debit]))))-((SUM(IF((CkDJ[Date]&lt;=$A$7)*(CkDJ[Account Code]=(TRIM($B86))),CkDJ[Credit])))+(SUM(IF((CsDJ[Date]&lt;=$A$7)*(CsDJ[Account Code]=(TRIM($B86))),CsDJ[Credit])))+(SUM(IF((CRDJ[Date]&lt;=$A$7)*(CRDJ[Account Code]=(TRIM($B86))),CRDJ[Credit])))+(SUM(IF((GJ[Date]&lt;=$A$7)*(GJ[Account Code]=(TRIM($B86))),GJ[Credit]))))</f>
        <v>0</v>
      </c>
      <c r="E86" s="89"/>
    </row>
    <row r="87" spans="1:5" x14ac:dyDescent="0.25">
      <c r="A87" s="320" t="s">
        <v>1119</v>
      </c>
      <c r="B87" s="437"/>
      <c r="C87" s="89"/>
      <c r="D87" s="439">
        <f>SUM(D88:D96)</f>
        <v>0</v>
      </c>
      <c r="E87" s="89"/>
    </row>
    <row r="88" spans="1:5" x14ac:dyDescent="0.25">
      <c r="A88" s="440" t="s">
        <v>1148</v>
      </c>
      <c r="B88" s="441" t="s">
        <v>251</v>
      </c>
      <c r="C88" s="89"/>
      <c r="D88" s="442">
        <f t="array" ref="D88">((SUM(IF((CkDJ[Date]&lt;=$A$7)*(CkDJ[Account Code]=(TRIM($B88))),CkDJ[Debit])))+(SUM(IF((CsDJ[Date]&lt;=$A$7)*(CsDJ[Account Code]=(TRIM($B88))),CsDJ[Debit])))+(SUM(IF((CRDJ[Date]&lt;=$A$7)*(CRDJ[Account Code]=(TRIM($B88))),CRDJ[Debit])))+(SUM(IF((GJ[Date]&lt;=$A$7)*(GJ[Account Code]=(TRIM($B88))),GJ[Debit]))))-((SUM(IF((CkDJ[Date]&lt;=$A$7)*(CkDJ[Account Code]=(TRIM($B88))),CkDJ[Credit])))+(SUM(IF((CsDJ[Date]&lt;=$A$7)*(CsDJ[Account Code]=(TRIM($B88))),CsDJ[Credit])))+(SUM(IF((CRDJ[Date]&lt;=$A$7)*(CRDJ[Account Code]=(TRIM($B88))),CRDJ[Credit])))+(SUM(IF((GJ[Date]&lt;=$A$7)*(GJ[Account Code]=(TRIM($B88))),GJ[Credit]))))</f>
        <v>0</v>
      </c>
      <c r="E88" s="89"/>
    </row>
    <row r="89" spans="1:5" x14ac:dyDescent="0.25">
      <c r="A89" s="440" t="s">
        <v>1149</v>
      </c>
      <c r="B89" s="441" t="s">
        <v>253</v>
      </c>
      <c r="C89" s="89"/>
      <c r="D89" s="442">
        <f t="array" ref="D89">((SUM(IF((CkDJ[Date]&lt;=$A$7)*(CkDJ[Account Code]=(TRIM($B89))),CkDJ[Debit])))+(SUM(IF((CsDJ[Date]&lt;=$A$7)*(CsDJ[Account Code]=(TRIM($B89))),CsDJ[Debit])))+(SUM(IF((CRDJ[Date]&lt;=$A$7)*(CRDJ[Account Code]=(TRIM($B89))),CRDJ[Debit])))+(SUM(IF((GJ[Date]&lt;=$A$7)*(GJ[Account Code]=(TRIM($B89))),GJ[Debit]))))-((SUM(IF((CkDJ[Date]&lt;=$A$7)*(CkDJ[Account Code]=(TRIM($B89))),CkDJ[Credit])))+(SUM(IF((CsDJ[Date]&lt;=$A$7)*(CsDJ[Account Code]=(TRIM($B89))),CsDJ[Credit])))+(SUM(IF((CRDJ[Date]&lt;=$A$7)*(CRDJ[Account Code]=(TRIM($B89))),CRDJ[Credit])))+(SUM(IF((GJ[Date]&lt;=$A$7)*(GJ[Account Code]=(TRIM($B89))),GJ[Credit]))))</f>
        <v>0</v>
      </c>
      <c r="E89" s="89"/>
    </row>
    <row r="90" spans="1:5" x14ac:dyDescent="0.25">
      <c r="A90" s="440" t="s">
        <v>1150</v>
      </c>
      <c r="B90" s="441" t="s">
        <v>256</v>
      </c>
      <c r="C90" s="89"/>
      <c r="D90" s="442">
        <f t="array" ref="D90">((SUM(IF((CkDJ[Date]&lt;=$A$7)*(CkDJ[Account Code]=(TRIM($B90))),CkDJ[Debit])))+(SUM(IF((CsDJ[Date]&lt;=$A$7)*(CsDJ[Account Code]=(TRIM($B90))),CsDJ[Debit])))+(SUM(IF((CRDJ[Date]&lt;=$A$7)*(CRDJ[Account Code]=(TRIM($B90))),CRDJ[Debit])))+(SUM(IF((GJ[Date]&lt;=$A$7)*(GJ[Account Code]=(TRIM($B90))),GJ[Debit]))))-((SUM(IF((CkDJ[Date]&lt;=$A$7)*(CkDJ[Account Code]=(TRIM($B90))),CkDJ[Credit])))+(SUM(IF((CsDJ[Date]&lt;=$A$7)*(CsDJ[Account Code]=(TRIM($B90))),CsDJ[Credit])))+(SUM(IF((CRDJ[Date]&lt;=$A$7)*(CRDJ[Account Code]=(TRIM($B90))),CRDJ[Credit])))+(SUM(IF((GJ[Date]&lt;=$A$7)*(GJ[Account Code]=(TRIM($B90))),GJ[Credit]))))</f>
        <v>0</v>
      </c>
      <c r="E90" s="89"/>
    </row>
    <row r="91" spans="1:5" x14ac:dyDescent="0.25">
      <c r="A91" s="440" t="s">
        <v>1151</v>
      </c>
      <c r="B91" s="441" t="s">
        <v>264</v>
      </c>
      <c r="C91" s="89"/>
      <c r="D91" s="442">
        <f t="array" ref="D91">((SUM(IF((CkDJ[Date]&lt;=$A$7)*(CkDJ[Account Code]=(TRIM($B91))),CkDJ[Debit])))+(SUM(IF((CsDJ[Date]&lt;=$A$7)*(CsDJ[Account Code]=(TRIM($B91))),CsDJ[Debit])))+(SUM(IF((CRDJ[Date]&lt;=$A$7)*(CRDJ[Account Code]=(TRIM($B91))),CRDJ[Debit])))+(SUM(IF((GJ[Date]&lt;=$A$7)*(GJ[Account Code]=(TRIM($B91))),GJ[Debit]))))-((SUM(IF((CkDJ[Date]&lt;=$A$7)*(CkDJ[Account Code]=(TRIM($B91))),CkDJ[Credit])))+(SUM(IF((CsDJ[Date]&lt;=$A$7)*(CsDJ[Account Code]=(TRIM($B91))),CsDJ[Credit])))+(SUM(IF((CRDJ[Date]&lt;=$A$7)*(CRDJ[Account Code]=(TRIM($B91))),CRDJ[Credit])))+(SUM(IF((GJ[Date]&lt;=$A$7)*(GJ[Account Code]=(TRIM($B91))),GJ[Credit]))))</f>
        <v>0</v>
      </c>
      <c r="E91" s="89"/>
    </row>
    <row r="92" spans="1:5" x14ac:dyDescent="0.25">
      <c r="A92" s="440" t="s">
        <v>1152</v>
      </c>
      <c r="B92" s="441" t="s">
        <v>265</v>
      </c>
      <c r="C92" s="89"/>
      <c r="D92" s="442">
        <f t="array" ref="D92">((SUM(IF((CkDJ[Date]&lt;=$A$7)*(CkDJ[Account Code]=(TRIM($B92))),CkDJ[Debit])))+(SUM(IF((CsDJ[Date]&lt;=$A$7)*(CsDJ[Account Code]=(TRIM($B92))),CsDJ[Debit])))+(SUM(IF((CRDJ[Date]&lt;=$A$7)*(CRDJ[Account Code]=(TRIM($B92))),CRDJ[Debit])))+(SUM(IF((GJ[Date]&lt;=$A$7)*(GJ[Account Code]=(TRIM($B92))),GJ[Debit]))))-((SUM(IF((CkDJ[Date]&lt;=$A$7)*(CkDJ[Account Code]=(TRIM($B92))),CkDJ[Credit])))+(SUM(IF((CsDJ[Date]&lt;=$A$7)*(CsDJ[Account Code]=(TRIM($B92))),CsDJ[Credit])))+(SUM(IF((CRDJ[Date]&lt;=$A$7)*(CRDJ[Account Code]=(TRIM($B92))),CRDJ[Credit])))+(SUM(IF((GJ[Date]&lt;=$A$7)*(GJ[Account Code]=(TRIM($B92))),GJ[Credit]))))</f>
        <v>0</v>
      </c>
      <c r="E92" s="89"/>
    </row>
    <row r="93" spans="1:5" x14ac:dyDescent="0.25">
      <c r="A93" s="440" t="s">
        <v>1153</v>
      </c>
      <c r="B93" s="441" t="s">
        <v>267</v>
      </c>
      <c r="C93" s="89"/>
      <c r="D93" s="442">
        <f t="array" ref="D93">((SUM(IF((CkDJ[Date]&lt;=$A$7)*(CkDJ[Account Code]=(TRIM($B93))),CkDJ[Debit])))+(SUM(IF((CsDJ[Date]&lt;=$A$7)*(CsDJ[Account Code]=(TRIM($B93))),CsDJ[Debit])))+(SUM(IF((CRDJ[Date]&lt;=$A$7)*(CRDJ[Account Code]=(TRIM($B93))),CRDJ[Debit])))+(SUM(IF((GJ[Date]&lt;=$A$7)*(GJ[Account Code]=(TRIM($B93))),GJ[Debit]))))-((SUM(IF((CkDJ[Date]&lt;=$A$7)*(CkDJ[Account Code]=(TRIM($B93))),CkDJ[Credit])))+(SUM(IF((CsDJ[Date]&lt;=$A$7)*(CsDJ[Account Code]=(TRIM($B93))),CsDJ[Credit])))+(SUM(IF((CRDJ[Date]&lt;=$A$7)*(CRDJ[Account Code]=(TRIM($B93))),CRDJ[Credit])))+(SUM(IF((GJ[Date]&lt;=$A$7)*(GJ[Account Code]=(TRIM($B93))),GJ[Credit]))))</f>
        <v>0</v>
      </c>
      <c r="E93" s="89"/>
    </row>
    <row r="94" spans="1:5" x14ac:dyDescent="0.25">
      <c r="A94" s="440" t="s">
        <v>1154</v>
      </c>
      <c r="B94" s="441" t="s">
        <v>258</v>
      </c>
      <c r="C94" s="89"/>
      <c r="D94" s="442">
        <f t="array" ref="D94">((SUM(IF((CkDJ[Date]&lt;=$A$7)*(CkDJ[Account Code]=(TRIM($B94))),CkDJ[Debit])))+(SUM(IF((CsDJ[Date]&lt;=$A$7)*(CsDJ[Account Code]=(TRIM($B94))),CsDJ[Debit])))+(SUM(IF((CRDJ[Date]&lt;=$A$7)*(CRDJ[Account Code]=(TRIM($B94))),CRDJ[Debit])))+(SUM(IF((GJ[Date]&lt;=$A$7)*(GJ[Account Code]=(TRIM($B94))),GJ[Debit]))))-((SUM(IF((CkDJ[Date]&lt;=$A$7)*(CkDJ[Account Code]=(TRIM($B94))),CkDJ[Credit])))+(SUM(IF((CsDJ[Date]&lt;=$A$7)*(CsDJ[Account Code]=(TRIM($B94))),CsDJ[Credit])))+(SUM(IF((CRDJ[Date]&lt;=$A$7)*(CRDJ[Account Code]=(TRIM($B94))),CRDJ[Credit])))+(SUM(IF((GJ[Date]&lt;=$A$7)*(GJ[Account Code]=(TRIM($B94))),GJ[Credit]))))</f>
        <v>0</v>
      </c>
      <c r="E94" s="89"/>
    </row>
    <row r="95" spans="1:5" x14ac:dyDescent="0.25">
      <c r="A95" s="440" t="s">
        <v>1155</v>
      </c>
      <c r="B95" s="441" t="s">
        <v>261</v>
      </c>
      <c r="C95" s="89"/>
      <c r="D95" s="442">
        <f t="array" ref="D95">((SUM(IF((CkDJ[Date]&lt;=$A$7)*(CkDJ[Account Code]=(TRIM($B95))),CkDJ[Debit])))+(SUM(IF((CsDJ[Date]&lt;=$A$7)*(CsDJ[Account Code]=(TRIM($B95))),CsDJ[Debit])))+(SUM(IF((CRDJ[Date]&lt;=$A$7)*(CRDJ[Account Code]=(TRIM($B95))),CRDJ[Debit])))+(SUM(IF((GJ[Date]&lt;=$A$7)*(GJ[Account Code]=(TRIM($B95))),GJ[Debit]))))-((SUM(IF((CkDJ[Date]&lt;=$A$7)*(CkDJ[Account Code]=(TRIM($B95))),CkDJ[Credit])))+(SUM(IF((CsDJ[Date]&lt;=$A$7)*(CsDJ[Account Code]=(TRIM($B95))),CsDJ[Credit])))+(SUM(IF((CRDJ[Date]&lt;=$A$7)*(CRDJ[Account Code]=(TRIM($B95))),CRDJ[Credit])))+(SUM(IF((GJ[Date]&lt;=$A$7)*(GJ[Account Code]=(TRIM($B95))),GJ[Credit]))))</f>
        <v>0</v>
      </c>
      <c r="E95" s="89"/>
    </row>
    <row r="96" spans="1:5" x14ac:dyDescent="0.25">
      <c r="A96" s="440" t="s">
        <v>1156</v>
      </c>
      <c r="B96" s="441" t="s">
        <v>262</v>
      </c>
      <c r="C96" s="89"/>
      <c r="D96" s="442">
        <f t="array" ref="D96">((SUM(IF((CkDJ[Date]&lt;=$A$7)*(CkDJ[Account Code]=(TRIM($B96))),CkDJ[Debit])))+(SUM(IF((CsDJ[Date]&lt;=$A$7)*(CsDJ[Account Code]=(TRIM($B96))),CsDJ[Debit])))+(SUM(IF((CRDJ[Date]&lt;=$A$7)*(CRDJ[Account Code]=(TRIM($B96))),CRDJ[Debit])))+(SUM(IF((GJ[Date]&lt;=$A$7)*(GJ[Account Code]=(TRIM($B96))),GJ[Debit]))))-((SUM(IF((CkDJ[Date]&lt;=$A$7)*(CkDJ[Account Code]=(TRIM($B96))),CkDJ[Credit])))+(SUM(IF((CsDJ[Date]&lt;=$A$7)*(CsDJ[Account Code]=(TRIM($B96))),CsDJ[Credit])))+(SUM(IF((CRDJ[Date]&lt;=$A$7)*(CRDJ[Account Code]=(TRIM($B96))),CRDJ[Credit])))+(SUM(IF((GJ[Date]&lt;=$A$7)*(GJ[Account Code]=(TRIM($B96))),GJ[Credit]))))</f>
        <v>0</v>
      </c>
      <c r="E96" s="89"/>
    </row>
    <row r="97" spans="1:5" x14ac:dyDescent="0.25">
      <c r="A97" s="452" t="s">
        <v>1120</v>
      </c>
      <c r="B97" s="437" t="s">
        <v>269</v>
      </c>
      <c r="C97" s="89"/>
      <c r="D97" s="442">
        <f t="array" ref="D97">((SUM(IF((CkDJ[Date]&lt;=$A$7)*(CkDJ[Account Code]=(TRIM($B97))),CkDJ[Debit])))+(SUM(IF((CsDJ[Date]&lt;=$A$7)*(CsDJ[Account Code]=(TRIM($B97))),CsDJ[Debit])))+(SUM(IF((CRDJ[Date]&lt;=$A$7)*(CRDJ[Account Code]=(TRIM($B97))),CRDJ[Debit])))+(SUM(IF((GJ[Date]&lt;=$A$7)*(GJ[Account Code]=(TRIM($B97))),GJ[Debit]))))-((SUM(IF((CkDJ[Date]&lt;=$A$7)*(CkDJ[Account Code]=(TRIM($B97))),CkDJ[Credit])))+(SUM(IF((CsDJ[Date]&lt;=$A$7)*(CsDJ[Account Code]=(TRIM($B97))),CsDJ[Credit])))+(SUM(IF((CRDJ[Date]&lt;=$A$7)*(CRDJ[Account Code]=(TRIM($B97))),CRDJ[Credit])))+(SUM(IF((GJ[Date]&lt;=$A$7)*(GJ[Account Code]=(TRIM($B97))),GJ[Credit]))))</f>
        <v>0</v>
      </c>
      <c r="E97" s="89"/>
    </row>
    <row r="98" spans="1:5" x14ac:dyDescent="0.25">
      <c r="A98" s="452" t="s">
        <v>1121</v>
      </c>
      <c r="B98" s="437"/>
      <c r="C98" s="89"/>
      <c r="D98" s="439">
        <f>SUM(D99:D104)</f>
        <v>40921322.340000004</v>
      </c>
      <c r="E98" s="89"/>
    </row>
    <row r="99" spans="1:5" x14ac:dyDescent="0.25">
      <c r="A99" s="440" t="s">
        <v>1122</v>
      </c>
      <c r="B99" s="441" t="s">
        <v>989</v>
      </c>
      <c r="C99" s="89"/>
      <c r="D99" s="442">
        <f t="array" ref="D99">((SUM(IF((CkDJ[Date]&lt;=$A$7)*(CkDJ[Account Code]=(TRIM($B99))),CkDJ[Debit])))+(SUM(IF((CsDJ[Date]&lt;=$A$7)*(CsDJ[Account Code]=(TRIM($B99))),CsDJ[Debit])))+(SUM(IF((CRDJ[Date]&lt;=$A$7)*(CRDJ[Account Code]=(TRIM($B99))),CRDJ[Debit])))+(SUM(IF((GJ[Date]&lt;=$A$7)*(GJ[Account Code]=(TRIM($B99))),GJ[Debit]))))-((SUM(IF((CkDJ[Date]&lt;=$A$7)*(CkDJ[Account Code]=(TRIM($B99))),CkDJ[Credit])))+(SUM(IF((CsDJ[Date]&lt;=$A$7)*(CsDJ[Account Code]=(TRIM($B99))),CsDJ[Credit])))+(SUM(IF((CRDJ[Date]&lt;=$A$7)*(CRDJ[Account Code]=(TRIM($B99))),CRDJ[Credit])))+(SUM(IF((GJ[Date]&lt;=$A$7)*(GJ[Account Code]=(TRIM($B99))),GJ[Credit]))))</f>
        <v>0</v>
      </c>
      <c r="E99" s="89"/>
    </row>
    <row r="100" spans="1:5" x14ac:dyDescent="0.25">
      <c r="A100" s="440" t="s">
        <v>1123</v>
      </c>
      <c r="B100" s="441" t="s">
        <v>271</v>
      </c>
      <c r="C100" s="89"/>
      <c r="D100" s="442">
        <f t="array" ref="D100">((SUM(IF((CkDJ[Date]&lt;=$A$7)*(CkDJ[Account Code]=(TRIM($B100))),CkDJ[Debit])))+(SUM(IF((CsDJ[Date]&lt;=$A$7)*(CsDJ[Account Code]=(TRIM($B100))),CsDJ[Debit])))+(SUM(IF((CRDJ[Date]&lt;=$A$7)*(CRDJ[Account Code]=(TRIM($B100))),CRDJ[Debit])))+(SUM(IF((GJ[Date]&lt;=$A$7)*(GJ[Account Code]=(TRIM($B100))),GJ[Debit]))))-((SUM(IF((CkDJ[Date]&lt;=$A$7)*(CkDJ[Account Code]=(TRIM($B100))),CkDJ[Credit])))+(SUM(IF((CsDJ[Date]&lt;=$A$7)*(CsDJ[Account Code]=(TRIM($B100))),CsDJ[Credit])))+(SUM(IF((CRDJ[Date]&lt;=$A$7)*(CRDJ[Account Code]=(TRIM($B100))),CRDJ[Credit])))+(SUM(IF((GJ[Date]&lt;=$A$7)*(GJ[Account Code]=(TRIM($B100))),GJ[Credit]))))</f>
        <v>0</v>
      </c>
      <c r="E100" s="89"/>
    </row>
    <row r="101" spans="1:5" x14ac:dyDescent="0.25">
      <c r="A101" s="440" t="s">
        <v>1124</v>
      </c>
      <c r="B101" s="441" t="s">
        <v>331</v>
      </c>
      <c r="C101" s="89"/>
      <c r="D101" s="464">
        <f>31292796.82+9628525.52</f>
        <v>40921322.340000004</v>
      </c>
      <c r="E101" s="89"/>
    </row>
    <row r="102" spans="1:5" x14ac:dyDescent="0.25">
      <c r="A102" s="440" t="s">
        <v>1125</v>
      </c>
      <c r="B102" s="441"/>
      <c r="C102" s="89"/>
      <c r="D102" s="438">
        <v>0</v>
      </c>
      <c r="E102" s="89"/>
    </row>
    <row r="103" spans="1:5" x14ac:dyDescent="0.25">
      <c r="A103" s="440" t="s">
        <v>1126</v>
      </c>
      <c r="B103" s="441" t="s">
        <v>987</v>
      </c>
      <c r="C103" s="89"/>
      <c r="D103" s="442">
        <f t="array" ref="D103">((SUM(IF((CkDJ[Date]&lt;=$A$7)*(CkDJ[Account Code]=(TRIM($B103))),CkDJ[Debit])))+(SUM(IF((CsDJ[Date]&lt;=$A$7)*(CsDJ[Account Code]=(TRIM($B103))),CsDJ[Debit])))+(SUM(IF((CRDJ[Date]&lt;=$A$7)*(CRDJ[Account Code]=(TRIM($B103))),CRDJ[Debit])))+(SUM(IF((GJ[Date]&lt;=$A$7)*(GJ[Account Code]=(TRIM($B103))),GJ[Debit]))))-((SUM(IF((CkDJ[Date]&lt;=$A$7)*(CkDJ[Account Code]=(TRIM($B103))),CkDJ[Credit])))+(SUM(IF((CsDJ[Date]&lt;=$A$7)*(CsDJ[Account Code]=(TRIM($B103))),CsDJ[Credit])))+(SUM(IF((CRDJ[Date]&lt;=$A$7)*(CRDJ[Account Code]=(TRIM($B103))),CRDJ[Credit])))+(SUM(IF((GJ[Date]&lt;=$A$7)*(GJ[Account Code]=(TRIM($B103))),GJ[Credit]))))</f>
        <v>0</v>
      </c>
      <c r="E103" s="89"/>
    </row>
    <row r="104" spans="1:5" x14ac:dyDescent="0.25">
      <c r="A104" s="440" t="s">
        <v>1127</v>
      </c>
      <c r="B104" s="441" t="s">
        <v>799</v>
      </c>
      <c r="C104" s="89"/>
      <c r="D104" s="438"/>
      <c r="E104" s="89"/>
    </row>
    <row r="105" spans="1:5" x14ac:dyDescent="0.25">
      <c r="A105" s="453" t="s">
        <v>1128</v>
      </c>
      <c r="B105" s="454"/>
      <c r="C105" s="89"/>
      <c r="D105" s="442">
        <f>SUM(D106:D108)</f>
        <v>0</v>
      </c>
      <c r="E105" s="89"/>
    </row>
    <row r="106" spans="1:5" x14ac:dyDescent="0.25">
      <c r="A106" s="440" t="s">
        <v>960</v>
      </c>
      <c r="B106" s="441" t="s">
        <v>272</v>
      </c>
      <c r="C106" s="89"/>
      <c r="D106" s="442">
        <f t="array" ref="D106">((SUM(IF((CkDJ[Date]&lt;=$A$7)*(CkDJ[Account Code]=(TRIM($B106))),CkDJ[Debit])))+(SUM(IF((CsDJ[Date]&lt;=$A$7)*(CsDJ[Account Code]=(TRIM($B106))),CsDJ[Debit])))+(SUM(IF((CRDJ[Date]&lt;=$A$7)*(CRDJ[Account Code]=(TRIM($B106))),CRDJ[Debit])))+(SUM(IF((GJ[Date]&lt;=$A$7)*(GJ[Account Code]=(TRIM($B106))),GJ[Debit]))))-((SUM(IF((CkDJ[Date]&lt;=$A$7)*(CkDJ[Account Code]=(TRIM($B106))),CkDJ[Credit])))+(SUM(IF((CsDJ[Date]&lt;=$A$7)*(CsDJ[Account Code]=(TRIM($B106))),CsDJ[Credit])))+(SUM(IF((CRDJ[Date]&lt;=$A$7)*(CRDJ[Account Code]=(TRIM($B106))),CRDJ[Credit])))+(SUM(IF((GJ[Date]&lt;=$A$7)*(GJ[Account Code]=(TRIM($B106))),GJ[Credit]))))</f>
        <v>0</v>
      </c>
      <c r="E106" s="89"/>
    </row>
    <row r="107" spans="1:5" x14ac:dyDescent="0.25">
      <c r="A107" s="440" t="s">
        <v>961</v>
      </c>
      <c r="B107" s="441" t="s">
        <v>273</v>
      </c>
      <c r="C107" s="89"/>
      <c r="D107" s="442">
        <f t="array" ref="D107">((SUM(IF((CkDJ[Date]&lt;=$A$7)*(CkDJ[Account Code]=(TRIM($B107))),CkDJ[Debit])))+(SUM(IF((CsDJ[Date]&lt;=$A$7)*(CsDJ[Account Code]=(TRIM($B107))),CsDJ[Debit])))+(SUM(IF((CRDJ[Date]&lt;=$A$7)*(CRDJ[Account Code]=(TRIM($B107))),CRDJ[Debit])))+(SUM(IF((GJ[Date]&lt;=$A$7)*(GJ[Account Code]=(TRIM($B107))),GJ[Debit]))))-((SUM(IF((CkDJ[Date]&lt;=$A$7)*(CkDJ[Account Code]=(TRIM($B107))),CkDJ[Credit])))+(SUM(IF((CsDJ[Date]&lt;=$A$7)*(CsDJ[Account Code]=(TRIM($B107))),CsDJ[Credit])))+(SUM(IF((CRDJ[Date]&lt;=$A$7)*(CRDJ[Account Code]=(TRIM($B107))),CRDJ[Credit])))+(SUM(IF((GJ[Date]&lt;=$A$7)*(GJ[Account Code]=(TRIM($B107))),GJ[Credit]))))</f>
        <v>0</v>
      </c>
      <c r="E107" s="89"/>
    </row>
    <row r="108" spans="1:5" x14ac:dyDescent="0.25">
      <c r="A108" s="440" t="s">
        <v>962</v>
      </c>
      <c r="B108" s="441" t="s">
        <v>274</v>
      </c>
      <c r="C108" s="89"/>
      <c r="D108" s="442">
        <f t="array" ref="D108">((SUM(IF((CkDJ[Date]&lt;=$A$7)*(CkDJ[Account Code]=(TRIM($B108))),CkDJ[Debit])))+(SUM(IF((CsDJ[Date]&lt;=$A$7)*(CsDJ[Account Code]=(TRIM($B108))),CsDJ[Debit])))+(SUM(IF((CRDJ[Date]&lt;=$A$7)*(CRDJ[Account Code]=(TRIM($B108))),CRDJ[Debit])))+(SUM(IF((GJ[Date]&lt;=$A$7)*(GJ[Account Code]=(TRIM($B108))),GJ[Debit]))))-((SUM(IF((CkDJ[Date]&lt;=$A$7)*(CkDJ[Account Code]=(TRIM($B108))),CkDJ[Credit])))+(SUM(IF((CsDJ[Date]&lt;=$A$7)*(CsDJ[Account Code]=(TRIM($B108))),CsDJ[Credit])))+(SUM(IF((CRDJ[Date]&lt;=$A$7)*(CRDJ[Account Code]=(TRIM($B108))),CRDJ[Credit])))+(SUM(IF((GJ[Date]&lt;=$A$7)*(GJ[Account Code]=(TRIM($B108))),GJ[Credit]))))</f>
        <v>0</v>
      </c>
      <c r="E108" s="89"/>
    </row>
    <row r="109" spans="1:5" x14ac:dyDescent="0.25">
      <c r="A109" s="453" t="s">
        <v>1129</v>
      </c>
      <c r="B109" s="454" t="s">
        <v>334</v>
      </c>
      <c r="C109" s="89"/>
      <c r="D109" s="442">
        <f t="array" ref="D109">((SUM(IF((CkDJ[Date]&lt;=$A$7)*(CkDJ[Account Code]=(TRIM($B109))),CkDJ[Debit])))+(SUM(IF((CsDJ[Date]&lt;=$A$7)*(CsDJ[Account Code]=(TRIM($B109))),CsDJ[Debit])))+(SUM(IF((CRDJ[Date]&lt;=$A$7)*(CRDJ[Account Code]=(TRIM($B109))),CRDJ[Debit])))+(SUM(IF((GJ[Date]&lt;=$A$7)*(GJ[Account Code]=(TRIM($B109))),GJ[Debit]))))-((SUM(IF((CkDJ[Date]&lt;=$A$7)*(CkDJ[Account Code]=(TRIM($B109))),CkDJ[Credit])))+(SUM(IF((CsDJ[Date]&lt;=$A$7)*(CsDJ[Account Code]=(TRIM($B109))),CsDJ[Credit])))+(SUM(IF((CRDJ[Date]&lt;=$A$7)*(CRDJ[Account Code]=(TRIM($B109))),CRDJ[Credit])))+(SUM(IF((GJ[Date]&lt;=$A$7)*(GJ[Account Code]=(TRIM($B109))),GJ[Credit]))))</f>
        <v>0</v>
      </c>
      <c r="E109" s="89"/>
    </row>
    <row r="110" spans="1:5" x14ac:dyDescent="0.25">
      <c r="A110" s="453" t="s">
        <v>1130</v>
      </c>
      <c r="B110" s="454" t="s">
        <v>333</v>
      </c>
      <c r="C110" s="89"/>
      <c r="D110" s="442">
        <f t="array" ref="D110">((SUM(IF((CkDJ[Date]&lt;=$A$7)*(CkDJ[Account Code]=(TRIM($B110))),CkDJ[Debit])))+(SUM(IF((CsDJ[Date]&lt;=$A$7)*(CsDJ[Account Code]=(TRIM($B110))),CsDJ[Debit])))+(SUM(IF((CRDJ[Date]&lt;=$A$7)*(CRDJ[Account Code]=(TRIM($B110))),CRDJ[Debit])))+(SUM(IF((GJ[Date]&lt;=$A$7)*(GJ[Account Code]=(TRIM($B110))),GJ[Debit]))))-((SUM(IF((CkDJ[Date]&lt;=$A$7)*(CkDJ[Account Code]=(TRIM($B110))),CkDJ[Credit])))+(SUM(IF((CsDJ[Date]&lt;=$A$7)*(CsDJ[Account Code]=(TRIM($B110))),CsDJ[Credit])))+(SUM(IF((CRDJ[Date]&lt;=$A$7)*(CRDJ[Account Code]=(TRIM($B110))),CRDJ[Credit])))+(SUM(IF((GJ[Date]&lt;=$A$7)*(GJ[Account Code]=(TRIM($B110))),GJ[Credit]))))</f>
        <v>0</v>
      </c>
      <c r="E110" s="89"/>
    </row>
    <row r="111" spans="1:5" x14ac:dyDescent="0.25">
      <c r="A111" s="453" t="s">
        <v>1131</v>
      </c>
      <c r="B111" s="454" t="s">
        <v>335</v>
      </c>
      <c r="C111" s="89"/>
      <c r="D111" s="442">
        <f t="array" ref="D111">((SUM(IF((CkDJ[Date]&lt;=$A$7)*(CkDJ[Account Code]=(TRIM($B111))),CkDJ[Debit])))+(SUM(IF((CsDJ[Date]&lt;=$A$7)*(CsDJ[Account Code]=(TRIM($B111))),CsDJ[Debit])))+(SUM(IF((CRDJ[Date]&lt;=$A$7)*(CRDJ[Account Code]=(TRIM($B111))),CRDJ[Debit])))+(SUM(IF((GJ[Date]&lt;=$A$7)*(GJ[Account Code]=(TRIM($B111))),GJ[Debit]))))-((SUM(IF((CkDJ[Date]&lt;=$A$7)*(CkDJ[Account Code]=(TRIM($B111))),CkDJ[Credit])))+(SUM(IF((CsDJ[Date]&lt;=$A$7)*(CsDJ[Account Code]=(TRIM($B111))),CsDJ[Credit])))+(SUM(IF((CRDJ[Date]&lt;=$A$7)*(CRDJ[Account Code]=(TRIM($B111))),CRDJ[Credit])))+(SUM(IF((GJ[Date]&lt;=$A$7)*(GJ[Account Code]=(TRIM($B111))),GJ[Credit]))))</f>
        <v>0</v>
      </c>
      <c r="E111" s="89"/>
    </row>
    <row r="112" spans="1:5" x14ac:dyDescent="0.25">
      <c r="A112" s="453" t="s">
        <v>1132</v>
      </c>
      <c r="B112" s="454" t="s">
        <v>799</v>
      </c>
      <c r="C112" s="89"/>
      <c r="D112" s="442">
        <f t="array" ref="D112">((SUM(IF((CkDJ[Date]&lt;=$A$7)*(CkDJ[Account Code]=(TRIM($B112))),CkDJ[Debit])))+(SUM(IF((CsDJ[Date]&lt;=$A$7)*(CsDJ[Account Code]=(TRIM($B112))),CsDJ[Debit])))+(SUM(IF((CRDJ[Date]&lt;=$A$7)*(CRDJ[Account Code]=(TRIM($B112))),CRDJ[Debit])))+(SUM(IF((GJ[Date]&lt;=$A$7)*(GJ[Account Code]=(TRIM($B112))),GJ[Debit]))))-((SUM(IF((CkDJ[Date]&lt;=$A$7)*(CkDJ[Account Code]=(TRIM($B112))),CkDJ[Credit])))+(SUM(IF((CsDJ[Date]&lt;=$A$7)*(CsDJ[Account Code]=(TRIM($B112))),CsDJ[Credit])))+(SUM(IF((CRDJ[Date]&lt;=$A$7)*(CRDJ[Account Code]=(TRIM($B112))),CRDJ[Credit])))+(SUM(IF((GJ[Date]&lt;=$A$7)*(GJ[Account Code]=(TRIM($B112))),GJ[Credit]))))</f>
        <v>0</v>
      </c>
      <c r="E112" s="89"/>
    </row>
    <row r="113" spans="1:5" x14ac:dyDescent="0.25">
      <c r="A113" s="453" t="s">
        <v>1133</v>
      </c>
      <c r="B113" s="454" t="s">
        <v>799</v>
      </c>
      <c r="C113" s="89"/>
      <c r="D113" s="442">
        <f t="array" ref="D113">((SUM(IF((CkDJ[Date]&lt;=$A$7)*(CkDJ[Account Code]=(TRIM($B113))),CkDJ[Debit])))+(SUM(IF((CsDJ[Date]&lt;=$A$7)*(CsDJ[Account Code]=(TRIM($B113))),CsDJ[Debit])))+(SUM(IF((CRDJ[Date]&lt;=$A$7)*(CRDJ[Account Code]=(TRIM($B113))),CRDJ[Debit])))+(SUM(IF((GJ[Date]&lt;=$A$7)*(GJ[Account Code]=(TRIM($B113))),GJ[Debit]))))-((SUM(IF((CkDJ[Date]&lt;=$A$7)*(CkDJ[Account Code]=(TRIM($B113))),CkDJ[Credit])))+(SUM(IF((CsDJ[Date]&lt;=$A$7)*(CsDJ[Account Code]=(TRIM($B113))),CsDJ[Credit])))+(SUM(IF((CRDJ[Date]&lt;=$A$7)*(CRDJ[Account Code]=(TRIM($B113))),CRDJ[Credit])))+(SUM(IF((GJ[Date]&lt;=$A$7)*(GJ[Account Code]=(TRIM($B113))),GJ[Credit]))))</f>
        <v>0</v>
      </c>
      <c r="E113" s="89"/>
    </row>
    <row r="114" spans="1:5" x14ac:dyDescent="0.25">
      <c r="A114" s="453" t="s">
        <v>1134</v>
      </c>
      <c r="B114" s="454" t="s">
        <v>799</v>
      </c>
      <c r="C114" s="89"/>
      <c r="D114" s="442">
        <f t="array" ref="D114">((SUM(IF((CkDJ[Date]&lt;=$A$7)*(CkDJ[Account Code]=(TRIM($B114))),CkDJ[Debit])))+(SUM(IF((CsDJ[Date]&lt;=$A$7)*(CsDJ[Account Code]=(TRIM($B114))),CsDJ[Debit])))+(SUM(IF((CRDJ[Date]&lt;=$A$7)*(CRDJ[Account Code]=(TRIM($B114))),CRDJ[Debit])))+(SUM(IF((GJ[Date]&lt;=$A$7)*(GJ[Account Code]=(TRIM($B114))),GJ[Debit]))))-((SUM(IF((CkDJ[Date]&lt;=$A$7)*(CkDJ[Account Code]=(TRIM($B114))),CkDJ[Credit])))+(SUM(IF((CsDJ[Date]&lt;=$A$7)*(CsDJ[Account Code]=(TRIM($B114))),CsDJ[Credit])))+(SUM(IF((CRDJ[Date]&lt;=$A$7)*(CRDJ[Account Code]=(TRIM($B114))),CRDJ[Credit])))+(SUM(IF((GJ[Date]&lt;=$A$7)*(GJ[Account Code]=(TRIM($B114))),GJ[Credit]))))</f>
        <v>0</v>
      </c>
      <c r="E114" s="89"/>
    </row>
    <row r="115" spans="1:5" x14ac:dyDescent="0.25">
      <c r="A115" s="453" t="s">
        <v>1135</v>
      </c>
      <c r="B115" s="454" t="s">
        <v>340</v>
      </c>
      <c r="C115" s="89"/>
      <c r="D115" s="442">
        <f t="array" ref="D115">((SUM(IF((CkDJ[Date]&lt;=$A$7)*(CkDJ[Account Code]=(TRIM($B115))),CkDJ[Debit])))+(SUM(IF((CsDJ[Date]&lt;=$A$7)*(CsDJ[Account Code]=(TRIM($B115))),CsDJ[Debit])))+(SUM(IF((CRDJ[Date]&lt;=$A$7)*(CRDJ[Account Code]=(TRIM($B115))),CRDJ[Debit])))+(SUM(IF((GJ[Date]&lt;=$A$7)*(GJ[Account Code]=(TRIM($B115))),GJ[Debit]))))-((SUM(IF((CkDJ[Date]&lt;=$A$7)*(CkDJ[Account Code]=(TRIM($B115))),CkDJ[Credit])))+(SUM(IF((CsDJ[Date]&lt;=$A$7)*(CsDJ[Account Code]=(TRIM($B115))),CsDJ[Credit])))+(SUM(IF((CRDJ[Date]&lt;=$A$7)*(CRDJ[Account Code]=(TRIM($B115))),CRDJ[Credit])))+(SUM(IF((GJ[Date]&lt;=$A$7)*(GJ[Account Code]=(TRIM($B115))),GJ[Credit]))))</f>
        <v>0</v>
      </c>
      <c r="E115" s="89"/>
    </row>
    <row r="116" spans="1:5" x14ac:dyDescent="0.25">
      <c r="A116" s="453" t="s">
        <v>1146</v>
      </c>
      <c r="B116" s="454" t="s">
        <v>986</v>
      </c>
      <c r="C116" s="89"/>
      <c r="D116" s="442">
        <f t="array" ref="D116">((SUM(IF((CkDJ[Date]&lt;=$A$7)*(CkDJ[Account Code]=(TRIM($B116))),CkDJ[Debit])))+(SUM(IF((CsDJ[Date]&lt;=$A$7)*(CsDJ[Account Code]=(TRIM($B116))),CsDJ[Debit])))+(SUM(IF((CRDJ[Date]&lt;=$A$7)*(CRDJ[Account Code]=(TRIM($B116))),CRDJ[Debit])))+(SUM(IF((GJ[Date]&lt;=$A$7)*(GJ[Account Code]=(TRIM($B116))),GJ[Debit]))))-((SUM(IF((CkDJ[Date]&lt;=$A$7)*(CkDJ[Account Code]=(TRIM($B116))),CkDJ[Credit])))+(SUM(IF((CsDJ[Date]&lt;=$A$7)*(CsDJ[Account Code]=(TRIM($B116))),CsDJ[Credit])))+(SUM(IF((CRDJ[Date]&lt;=$A$7)*(CRDJ[Account Code]=(TRIM($B116))),CRDJ[Credit])))+(SUM(IF((GJ[Date]&lt;=$A$7)*(GJ[Account Code]=(TRIM($B116))),GJ[Credit]))))</f>
        <v>0</v>
      </c>
      <c r="E116" s="89"/>
    </row>
    <row r="117" spans="1:5" x14ac:dyDescent="0.25">
      <c r="A117" s="453" t="s">
        <v>1136</v>
      </c>
      <c r="B117" s="454" t="s">
        <v>799</v>
      </c>
      <c r="C117" s="89"/>
      <c r="D117" s="442">
        <f t="array" ref="D117">((SUM(IF((CkDJ[Date]&lt;=$A$7)*(CkDJ[Account Code]=(TRIM($B117))),CkDJ[Debit])))+(SUM(IF((CsDJ[Date]&lt;=$A$7)*(CsDJ[Account Code]=(TRIM($B117))),CsDJ[Debit])))+(SUM(IF((CRDJ[Date]&lt;=$A$7)*(CRDJ[Account Code]=(TRIM($B117))),CRDJ[Debit])))+(SUM(IF((GJ[Date]&lt;=$A$7)*(GJ[Account Code]=(TRIM($B117))),GJ[Debit]))))-((SUM(IF((CkDJ[Date]&lt;=$A$7)*(CkDJ[Account Code]=(TRIM($B117))),CkDJ[Credit])))+(SUM(IF((CsDJ[Date]&lt;=$A$7)*(CsDJ[Account Code]=(TRIM($B117))),CsDJ[Credit])))+(SUM(IF((CRDJ[Date]&lt;=$A$7)*(CRDJ[Account Code]=(TRIM($B117))),CRDJ[Credit])))+(SUM(IF((GJ[Date]&lt;=$A$7)*(GJ[Account Code]=(TRIM($B117))),GJ[Credit]))))</f>
        <v>0</v>
      </c>
      <c r="E117" s="89"/>
    </row>
    <row r="118" spans="1:5" x14ac:dyDescent="0.25">
      <c r="A118" s="455" t="s">
        <v>1137</v>
      </c>
      <c r="B118" s="445"/>
      <c r="C118" s="446">
        <v>71432631.040000007</v>
      </c>
      <c r="D118" s="447">
        <f>D50+D51+D52+D61+D66+D70+D71+D72+D73+D74+D75+D76+D77+D78+D87+D97+D98+D105+D109+D110+D111+D112+D113+D114+D115+D117+D116</f>
        <v>40921322.340000004</v>
      </c>
      <c r="E118" s="446">
        <f>SUM(C118-D118)</f>
        <v>30511308.699999999</v>
      </c>
    </row>
    <row r="119" spans="1:5" x14ac:dyDescent="0.25">
      <c r="A119" s="455" t="s">
        <v>1015</v>
      </c>
      <c r="B119" s="445"/>
      <c r="C119" s="446">
        <v>1000000</v>
      </c>
      <c r="D119" s="456">
        <v>0</v>
      </c>
      <c r="E119" s="446">
        <f>+C119-D119</f>
        <v>1000000</v>
      </c>
    </row>
    <row r="120" spans="1:5" x14ac:dyDescent="0.25">
      <c r="A120" s="455" t="s">
        <v>717</v>
      </c>
      <c r="B120" s="445"/>
      <c r="C120" s="446">
        <f>SUM(C47+C118+C119)</f>
        <v>135459982.03999999</v>
      </c>
      <c r="D120" s="456">
        <f>SUM(D118+D47+D119)</f>
        <v>40921322.340000004</v>
      </c>
      <c r="E120" s="446">
        <f>+C120-D120</f>
        <v>94538659.700000003</v>
      </c>
    </row>
    <row r="121" spans="1:5" x14ac:dyDescent="0.25">
      <c r="D121" s="163"/>
      <c r="E121" s="163"/>
    </row>
    <row r="122" spans="1:5" x14ac:dyDescent="0.25">
      <c r="D122" s="163"/>
      <c r="E122" s="163"/>
    </row>
    <row r="123" spans="1:5" x14ac:dyDescent="0.25">
      <c r="A123" s="126" t="s">
        <v>1138</v>
      </c>
      <c r="C123" s="25" t="s">
        <v>1139</v>
      </c>
      <c r="E123" s="457"/>
    </row>
    <row r="124" spans="1:5" x14ac:dyDescent="0.25">
      <c r="D124" s="163"/>
      <c r="E124" s="457"/>
    </row>
    <row r="125" spans="1:5" x14ac:dyDescent="0.25">
      <c r="E125" s="163"/>
    </row>
    <row r="126" spans="1:5" x14ac:dyDescent="0.25">
      <c r="A126" s="195" t="s">
        <v>745</v>
      </c>
      <c r="B126" s="458"/>
      <c r="C126" s="1162" t="s">
        <v>3</v>
      </c>
      <c r="D126" s="1162"/>
      <c r="E126" s="1162"/>
    </row>
    <row r="127" spans="1:5" x14ac:dyDescent="0.25">
      <c r="A127" s="86" t="s">
        <v>1140</v>
      </c>
      <c r="B127" s="129"/>
      <c r="C127" s="1163" t="s">
        <v>464</v>
      </c>
      <c r="D127" s="1164"/>
      <c r="E127" s="1164"/>
    </row>
    <row r="130" spans="1:5" x14ac:dyDescent="0.25">
      <c r="A130" s="459" t="s">
        <v>1141</v>
      </c>
      <c r="B130" s="460"/>
    </row>
    <row r="133" spans="1:5" x14ac:dyDescent="0.25">
      <c r="A133" s="461" t="s">
        <v>744</v>
      </c>
      <c r="B133" s="461"/>
      <c r="C133" s="461"/>
      <c r="D133" s="461"/>
      <c r="E133" s="461"/>
    </row>
    <row r="134" spans="1:5" x14ac:dyDescent="0.25">
      <c r="A134" s="462" t="s">
        <v>1142</v>
      </c>
      <c r="B134" s="462"/>
      <c r="C134" s="462"/>
      <c r="D134" s="462"/>
      <c r="E134" s="462"/>
    </row>
  </sheetData>
  <mergeCells count="7">
    <mergeCell ref="C127:E127"/>
    <mergeCell ref="A11:A12"/>
    <mergeCell ref="B11:B12"/>
    <mergeCell ref="C11:C12"/>
    <mergeCell ref="D11:D12"/>
    <mergeCell ref="E11:E12"/>
    <mergeCell ref="C126:E126"/>
  </mergeCells>
  <printOptions horizontalCentered="1"/>
  <pageMargins left="0.25" right="0.25" top="0.75" bottom="1.5" header="0.3" footer="0.3"/>
  <pageSetup paperSize="5" scale="7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121"/>
  <sheetViews>
    <sheetView topLeftCell="A97" workbookViewId="0"/>
  </sheetViews>
  <sheetFormatPr defaultColWidth="9" defaultRowHeight="12.75" x14ac:dyDescent="0.2"/>
  <cols>
    <col min="1" max="1" width="5.375" style="192" customWidth="1"/>
    <col min="2" max="2" width="1.625" style="192" customWidth="1"/>
    <col min="3" max="3" width="51.375" style="192" customWidth="1"/>
    <col min="4" max="4" width="9" style="193"/>
    <col min="5" max="5" width="15.875" style="192" customWidth="1"/>
    <col min="6" max="6" width="14.125" style="192" customWidth="1"/>
    <col min="7" max="7" width="14.375" style="192" customWidth="1"/>
    <col min="8" max="8" width="13.875" style="192" customWidth="1"/>
    <col min="9" max="9" width="14.625" style="192" customWidth="1"/>
    <col min="10" max="11" width="15.125" style="192" customWidth="1"/>
    <col min="12" max="12" width="13" style="192" customWidth="1"/>
    <col min="13" max="13" width="15.125" style="192" customWidth="1"/>
    <col min="14" max="14" width="14.125" style="192" customWidth="1"/>
    <col min="15" max="20" width="15.125" style="192" customWidth="1"/>
    <col min="21" max="21" width="17.125" style="192" customWidth="1"/>
    <col min="22" max="22" width="16.375" style="192" customWidth="1"/>
    <col min="23" max="16384" width="9" style="192"/>
  </cols>
  <sheetData>
    <row r="1" spans="1:22" ht="22.5" x14ac:dyDescent="0.5">
      <c r="A1" s="230" t="s">
        <v>355</v>
      </c>
      <c r="B1" s="230"/>
      <c r="C1" s="230"/>
      <c r="D1" s="229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</row>
    <row r="2" spans="1:22" ht="16.5" x14ac:dyDescent="0.25">
      <c r="A2" s="1179" t="s">
        <v>400</v>
      </c>
      <c r="B2" s="1179"/>
      <c r="C2" s="1179"/>
      <c r="D2" s="1179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</row>
    <row r="3" spans="1:22" ht="16.5" x14ac:dyDescent="0.25">
      <c r="A3" s="1179" t="s">
        <v>784</v>
      </c>
      <c r="B3" s="1179"/>
      <c r="C3" s="1179"/>
      <c r="D3" s="1179"/>
      <c r="E3" s="227"/>
      <c r="F3" s="227"/>
      <c r="G3" s="227"/>
      <c r="H3" s="227"/>
      <c r="I3" s="227"/>
      <c r="J3" s="227"/>
      <c r="K3" s="227"/>
      <c r="L3" s="227"/>
      <c r="M3" s="227"/>
      <c r="N3" s="227"/>
      <c r="O3" s="227"/>
      <c r="P3" s="227"/>
      <c r="Q3" s="227"/>
      <c r="R3" s="227"/>
      <c r="S3" s="227"/>
      <c r="T3" s="227"/>
      <c r="U3" s="227"/>
      <c r="V3" s="227"/>
    </row>
    <row r="4" spans="1:22" ht="16.5" x14ac:dyDescent="0.25">
      <c r="A4" s="1180">
        <f>Account!G2</f>
        <v>44500</v>
      </c>
      <c r="B4" s="1180"/>
      <c r="C4" s="1180"/>
      <c r="D4" s="1180"/>
      <c r="E4" s="227"/>
      <c r="F4" s="227"/>
      <c r="G4" s="227"/>
      <c r="H4" s="227"/>
      <c r="I4" s="227"/>
      <c r="J4" s="227"/>
      <c r="K4" s="227"/>
      <c r="L4" s="227"/>
      <c r="M4" s="227"/>
      <c r="N4" s="227"/>
      <c r="O4" s="227"/>
      <c r="P4" s="227"/>
      <c r="Q4" s="227"/>
      <c r="R4" s="227"/>
      <c r="S4" s="227"/>
      <c r="T4" s="227"/>
      <c r="U4" s="227"/>
      <c r="V4" s="227"/>
    </row>
    <row r="5" spans="1:22" s="225" customFormat="1" ht="14.25" x14ac:dyDescent="0.2">
      <c r="A5" s="1181" t="s">
        <v>783</v>
      </c>
      <c r="B5" s="1181"/>
      <c r="C5" s="1181"/>
      <c r="D5" s="1182" t="s">
        <v>782</v>
      </c>
      <c r="E5" s="1175" t="s">
        <v>781</v>
      </c>
      <c r="F5" s="1172" t="s">
        <v>780</v>
      </c>
      <c r="G5" s="1173"/>
      <c r="H5" s="1173"/>
      <c r="I5" s="1173"/>
      <c r="J5" s="1174"/>
      <c r="K5" s="1172" t="s">
        <v>779</v>
      </c>
      <c r="L5" s="1173"/>
      <c r="M5" s="1173"/>
      <c r="N5" s="1173"/>
      <c r="O5" s="1174"/>
      <c r="P5" s="1172" t="s">
        <v>778</v>
      </c>
      <c r="Q5" s="1173"/>
      <c r="R5" s="1173"/>
      <c r="S5" s="1173"/>
      <c r="T5" s="1173"/>
      <c r="U5" s="1174"/>
      <c r="V5" s="1175" t="s">
        <v>717</v>
      </c>
    </row>
    <row r="6" spans="1:22" s="225" customFormat="1" ht="28.5" x14ac:dyDescent="0.2">
      <c r="A6" s="1181"/>
      <c r="B6" s="1181"/>
      <c r="C6" s="1181"/>
      <c r="D6" s="1182"/>
      <c r="E6" s="1175"/>
      <c r="F6" s="226" t="s">
        <v>777</v>
      </c>
      <c r="G6" s="226" t="s">
        <v>776</v>
      </c>
      <c r="H6" s="226" t="s">
        <v>840</v>
      </c>
      <c r="I6" s="226" t="s">
        <v>775</v>
      </c>
      <c r="J6" s="226" t="s">
        <v>774</v>
      </c>
      <c r="K6" s="226" t="s">
        <v>773</v>
      </c>
      <c r="L6" s="226" t="s">
        <v>772</v>
      </c>
      <c r="M6" s="226" t="s">
        <v>771</v>
      </c>
      <c r="N6" s="226" t="s">
        <v>770</v>
      </c>
      <c r="O6" s="226" t="s">
        <v>769</v>
      </c>
      <c r="P6" s="226" t="s">
        <v>768</v>
      </c>
      <c r="Q6" s="226" t="s">
        <v>767</v>
      </c>
      <c r="R6" s="226" t="s">
        <v>766</v>
      </c>
      <c r="S6" s="226" t="s">
        <v>765</v>
      </c>
      <c r="T6" s="226" t="s">
        <v>764</v>
      </c>
      <c r="U6" s="226" t="s">
        <v>763</v>
      </c>
      <c r="V6" s="1175"/>
    </row>
    <row r="7" spans="1:22" s="225" customFormat="1" ht="15.75" hidden="1" x14ac:dyDescent="0.25">
      <c r="A7" s="1176"/>
      <c r="B7" s="1177"/>
      <c r="C7" s="1178"/>
      <c r="D7" s="133"/>
      <c r="E7" s="133" t="s">
        <v>494</v>
      </c>
      <c r="F7" s="133" t="s">
        <v>487</v>
      </c>
      <c r="G7" s="133" t="s">
        <v>488</v>
      </c>
      <c r="H7" s="133" t="s">
        <v>489</v>
      </c>
      <c r="I7" s="133" t="s">
        <v>505</v>
      </c>
      <c r="J7" s="133" t="s">
        <v>484</v>
      </c>
      <c r="K7" s="133" t="s">
        <v>490</v>
      </c>
      <c r="L7" s="133" t="s">
        <v>492</v>
      </c>
      <c r="M7" s="133" t="s">
        <v>491</v>
      </c>
      <c r="N7" s="133" t="s">
        <v>506</v>
      </c>
      <c r="O7" s="133" t="s">
        <v>485</v>
      </c>
      <c r="P7" s="133" t="s">
        <v>493</v>
      </c>
      <c r="Q7" s="133" t="s">
        <v>503</v>
      </c>
      <c r="R7" s="133" t="s">
        <v>502</v>
      </c>
      <c r="S7" s="133" t="s">
        <v>504</v>
      </c>
      <c r="T7" s="133" t="s">
        <v>507</v>
      </c>
      <c r="U7" s="133" t="s">
        <v>486</v>
      </c>
      <c r="V7" s="133" t="s">
        <v>762</v>
      </c>
    </row>
    <row r="8" spans="1:22" ht="15" x14ac:dyDescent="0.25">
      <c r="A8" s="224" t="s">
        <v>761</v>
      </c>
      <c r="B8" s="194"/>
      <c r="C8" s="194"/>
      <c r="D8" s="223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  <c r="V8" s="222"/>
    </row>
    <row r="9" spans="1:22" ht="15" x14ac:dyDescent="0.25">
      <c r="A9" s="212">
        <v>1</v>
      </c>
      <c r="B9" s="214"/>
      <c r="C9" s="194" t="e">
        <f t="shared" ref="C9:C35" si="0">IF(D9=0,"",(VLOOKUP((TRIM(D9)),Code,2,)))</f>
        <v>#N/A</v>
      </c>
      <c r="D9" s="207" t="s">
        <v>125</v>
      </c>
      <c r="E9" s="211">
        <f t="array" ref="E9">((SUM(IF((CkDJ[Ofc Code]=(TRIM(E$7)))*(CkDJ[Account Code]=(TRIM($D9))),CkDJ[Credit])))+(SUM(IF((CsDJ[Ofc Code]=(TRIM(E$7)))*(CsDJ[Account Code]=(TRIM($D9))),CsDJ[Credit])))+(SUM(IF((CRDJ[Ofc Code]=(TRIM(E$7)))*(CRDJ[Account Code]=(TRIM($D9))),CRDJ[Credit])))+(SUM(IF((GJ[Ofc Code]=(TRIM(E$7)))*(GJ[Account Code]=(TRIM($D9))),GJ[Credit]))))-((SUM(IF((CkDJ[Ofc Code]=(TRIM(E$7)))*(CkDJ[Account Code]=(TRIM($D9))),CkDJ[Debit])))+(SUM(IF((CsDJ[Ofc Code]=(TRIM(E$7)))*(CsDJ[Account Code]=(TRIM($D9))),CsDJ[Debit])))+(SUM(IF((CRDJ[Ofc Code]=(TRIM(E$7)))*(CRDJ[Account Code]=(TRIM($D9))),CRDJ[Debit])))+(SUM(IF((GJ[Ofc Code]=(TRIM(E$7)))*(GJ[Account Code]=(TRIM($D9))),GJ[Debit]))))</f>
        <v>0</v>
      </c>
      <c r="F9" s="211">
        <f t="array" ref="F9">((SUM(IF((CkDJ[Ofc Code]=(TRIM(F$7)))*(CkDJ[Account Code]=(TRIM($D9))),CkDJ[Credit])))+(SUM(IF((CsDJ[Ofc Code]=(TRIM(F$7)))*(CsDJ[Account Code]=(TRIM($D9))),CsDJ[Credit])))+(SUM(IF((CRDJ[Ofc Code]=(TRIM(F$7)))*(CRDJ[Account Code]=(TRIM($D9))),CRDJ[Credit])))+(SUM(IF((GJ[Ofc Code]=(TRIM(F$7)))*(GJ[Account Code]=(TRIM($D9))),GJ[Credit]))))-((SUM(IF((CkDJ[Ofc Code]=(TRIM(F$7)))*(CkDJ[Account Code]=(TRIM($D9))),CkDJ[Debit])))+(SUM(IF((CsDJ[Ofc Code]=(TRIM(F$7)))*(CsDJ[Account Code]=(TRIM($D9))),CsDJ[Debit])))+(SUM(IF((CRDJ[Ofc Code]=(TRIM(F$7)))*(CRDJ[Account Code]=(TRIM($D9))),CRDJ[Debit])))+(SUM(IF((GJ[Ofc Code]=(TRIM(F$7)))*(GJ[Account Code]=(TRIM($D9))),GJ[Debit]))))</f>
        <v>0</v>
      </c>
      <c r="G9" s="211">
        <f t="array" ref="G9">((SUM(IF((CkDJ[Ofc Code]=(TRIM(G$7)))*(CkDJ[Account Code]=(TRIM($D9))),CkDJ[Credit])))+(SUM(IF((CsDJ[Ofc Code]=(TRIM(G$7)))*(CsDJ[Account Code]=(TRIM($D9))),CsDJ[Credit])))+(SUM(IF((CRDJ[Ofc Code]=(TRIM(G$7)))*(CRDJ[Account Code]=(TRIM($D9))),CRDJ[Credit])))+(SUM(IF((GJ[Ofc Code]=(TRIM(G$7)))*(GJ[Account Code]=(TRIM($D9))),GJ[Credit]))))-((SUM(IF((CkDJ[Ofc Code]=(TRIM(G$7)))*(CkDJ[Account Code]=(TRIM($D9))),CkDJ[Debit])))+(SUM(IF((CsDJ[Ofc Code]=(TRIM(G$7)))*(CsDJ[Account Code]=(TRIM($D9))),CsDJ[Debit])))+(SUM(IF((CRDJ[Ofc Code]=(TRIM(G$7)))*(CRDJ[Account Code]=(TRIM($D9))),CRDJ[Debit])))+(SUM(IF((GJ[Ofc Code]=(TRIM(G$7)))*(GJ[Account Code]=(TRIM($D9))),GJ[Debit]))))</f>
        <v>0</v>
      </c>
      <c r="H9" s="211">
        <f t="array" ref="H9">((SUM(IF((CkDJ[Ofc Code]=(TRIM(H$7)))*(CkDJ[Account Code]=(TRIM($D9))),CkDJ[Credit])))+(SUM(IF((CsDJ[Ofc Code]=(TRIM(H$7)))*(CsDJ[Account Code]=(TRIM($D9))),CsDJ[Credit])))+(SUM(IF((CRDJ[Ofc Code]=(TRIM(H$7)))*(CRDJ[Account Code]=(TRIM($D9))),CRDJ[Credit])))+(SUM(IF((GJ[Ofc Code]=(TRIM(H$7)))*(GJ[Account Code]=(TRIM($D9))),GJ[Credit]))))-((SUM(IF((CkDJ[Ofc Code]=(TRIM(H$7)))*(CkDJ[Account Code]=(TRIM($D9))),CkDJ[Debit])))+(SUM(IF((CsDJ[Ofc Code]=(TRIM(H$7)))*(CsDJ[Account Code]=(TRIM($D9))),CsDJ[Debit])))+(SUM(IF((CRDJ[Ofc Code]=(TRIM(H$7)))*(CRDJ[Account Code]=(TRIM($D9))),CRDJ[Debit])))+(SUM(IF((GJ[Ofc Code]=(TRIM(H$7)))*(GJ[Account Code]=(TRIM($D9))),GJ[Debit]))))</f>
        <v>0</v>
      </c>
      <c r="I9" s="211">
        <f t="array" ref="I9">((SUM(IF((CkDJ[Ofc Code]=(TRIM(I$7)))*(CkDJ[Account Code]=(TRIM($D9))),CkDJ[Credit])))+(SUM(IF((CsDJ[Ofc Code]=(TRIM(I$7)))*(CsDJ[Account Code]=(TRIM($D9))),CsDJ[Credit])))+(SUM(IF((CRDJ[Ofc Code]=(TRIM(I$7)))*(CRDJ[Account Code]=(TRIM($D9))),CRDJ[Credit])))+(SUM(IF((GJ[Ofc Code]=(TRIM(I$7)))*(GJ[Account Code]=(TRIM($D9))),GJ[Credit]))))-((SUM(IF((CkDJ[Ofc Code]=(TRIM(I$7)))*(CkDJ[Account Code]=(TRIM($D9))),CkDJ[Debit])))+(SUM(IF((CsDJ[Ofc Code]=(TRIM(I$7)))*(CsDJ[Account Code]=(TRIM($D9))),CsDJ[Debit])))+(SUM(IF((CRDJ[Ofc Code]=(TRIM(I$7)))*(CRDJ[Account Code]=(TRIM($D9))),CRDJ[Debit])))+(SUM(IF((GJ[Ofc Code]=(TRIM(I$7)))*(GJ[Account Code]=(TRIM($D9))),GJ[Debit]))))</f>
        <v>0</v>
      </c>
      <c r="J9" s="211">
        <f t="shared" ref="J9:J35" si="1">SUM(F9:I9)</f>
        <v>0</v>
      </c>
      <c r="K9" s="211">
        <f t="array" ref="K9">((SUM(IF((CkDJ[Ofc Code]=(TRIM(K$7)))*(CkDJ[Account Code]=(TRIM($D9))),CkDJ[Credit])))+(SUM(IF((CsDJ[Ofc Code]=(TRIM(K$7)))*(CsDJ[Account Code]=(TRIM($D9))),CsDJ[Credit])))+(SUM(IF((CRDJ[Ofc Code]=(TRIM(K$7)))*(CRDJ[Account Code]=(TRIM($D9))),CRDJ[Credit])))+(SUM(IF((GJ[Ofc Code]=(TRIM(K$7)))*(GJ[Account Code]=(TRIM($D9))),GJ[Credit]))))-((SUM(IF((CkDJ[Ofc Code]=(TRIM(K$7)))*(CkDJ[Account Code]=(TRIM($D9))),CkDJ[Debit])))+(SUM(IF((CsDJ[Ofc Code]=(TRIM(K$7)))*(CsDJ[Account Code]=(TRIM($D9))),CsDJ[Debit])))+(SUM(IF((CRDJ[Ofc Code]=(TRIM(K$7)))*(CRDJ[Account Code]=(TRIM($D9))),CRDJ[Debit])))+(SUM(IF((GJ[Ofc Code]=(TRIM(K$7)))*(GJ[Account Code]=(TRIM($D9))),GJ[Debit]))))</f>
        <v>0</v>
      </c>
      <c r="L9" s="211">
        <f t="array" ref="L9">((SUM(IF((CkDJ[Ofc Code]=(TRIM(L$7)))*(CkDJ[Account Code]=(TRIM($D9))),CkDJ[Credit])))+(SUM(IF((CsDJ[Ofc Code]=(TRIM(L$7)))*(CsDJ[Account Code]=(TRIM($D9))),CsDJ[Credit])))+(SUM(IF((CRDJ[Ofc Code]=(TRIM(L$7)))*(CRDJ[Account Code]=(TRIM($D9))),CRDJ[Credit])))+(SUM(IF((GJ[Ofc Code]=(TRIM(L$7)))*(GJ[Account Code]=(TRIM($D9))),GJ[Credit]))))-((SUM(IF((CkDJ[Ofc Code]=(TRIM(L$7)))*(CkDJ[Account Code]=(TRIM($D9))),CkDJ[Debit])))+(SUM(IF((CsDJ[Ofc Code]=(TRIM(L$7)))*(CsDJ[Account Code]=(TRIM($D9))),CsDJ[Debit])))+(SUM(IF((CRDJ[Ofc Code]=(TRIM(L$7)))*(CRDJ[Account Code]=(TRIM($D9))),CRDJ[Debit])))+(SUM(IF((GJ[Ofc Code]=(TRIM(L$7)))*(GJ[Account Code]=(TRIM($D9))),GJ[Debit]))))</f>
        <v>0</v>
      </c>
      <c r="M9" s="211">
        <f t="array" ref="M9">((SUM(IF((CkDJ[Ofc Code]=(TRIM(M$7)))*(CkDJ[Account Code]=(TRIM($D9))),CkDJ[Credit])))+(SUM(IF((CsDJ[Ofc Code]=(TRIM(M$7)))*(CsDJ[Account Code]=(TRIM($D9))),CsDJ[Credit])))+(SUM(IF((CRDJ[Ofc Code]=(TRIM(M$7)))*(CRDJ[Account Code]=(TRIM($D9))),CRDJ[Credit])))+(SUM(IF((GJ[Ofc Code]=(TRIM(M$7)))*(GJ[Account Code]=(TRIM($D9))),GJ[Credit]))))-((SUM(IF((CkDJ[Ofc Code]=(TRIM(M$7)))*(CkDJ[Account Code]=(TRIM($D9))),CkDJ[Debit])))+(SUM(IF((CsDJ[Ofc Code]=(TRIM(M$7)))*(CsDJ[Account Code]=(TRIM($D9))),CsDJ[Debit])))+(SUM(IF((CRDJ[Ofc Code]=(TRIM(M$7)))*(CRDJ[Account Code]=(TRIM($D9))),CRDJ[Debit])))+(SUM(IF((GJ[Ofc Code]=(TRIM(M$7)))*(GJ[Account Code]=(TRIM($D9))),GJ[Debit]))))</f>
        <v>0</v>
      </c>
      <c r="N9" s="211">
        <f t="array" ref="N9">((SUM(IF((CkDJ[Ofc Code]=(TRIM(N$7)))*(CkDJ[Account Code]=(TRIM($D9))),CkDJ[Credit])))+(SUM(IF((CsDJ[Ofc Code]=(TRIM(N$7)))*(CsDJ[Account Code]=(TRIM($D9))),CsDJ[Credit])))+(SUM(IF((CRDJ[Ofc Code]=(TRIM(N$7)))*(CRDJ[Account Code]=(TRIM($D9))),CRDJ[Credit])))+(SUM(IF((GJ[Ofc Code]=(TRIM(N$7)))*(GJ[Account Code]=(TRIM($D9))),GJ[Credit]))))-((SUM(IF((CkDJ[Ofc Code]=(TRIM(N$7)))*(CkDJ[Account Code]=(TRIM($D9))),CkDJ[Debit])))+(SUM(IF((CsDJ[Ofc Code]=(TRIM(N$7)))*(CsDJ[Account Code]=(TRIM($D9))),CsDJ[Debit])))+(SUM(IF((CRDJ[Ofc Code]=(TRIM(N$7)))*(CRDJ[Account Code]=(TRIM($D9))),CRDJ[Debit])))+(SUM(IF((GJ[Ofc Code]=(TRIM(N$7)))*(GJ[Account Code]=(TRIM($D9))),GJ[Debit]))))</f>
        <v>0</v>
      </c>
      <c r="O9" s="211">
        <f t="shared" ref="O9:O35" si="2">SUM(K9:N9)</f>
        <v>0</v>
      </c>
      <c r="P9" s="211">
        <f t="array" ref="P9">((SUM(IF((CkDJ[Ofc Code]=(TRIM(P$7)))*(CkDJ[Account Code]=(TRIM($D9))),CkDJ[Credit])))+(SUM(IF((CsDJ[Ofc Code]=(TRIM(P$7)))*(CsDJ[Account Code]=(TRIM($D9))),CsDJ[Credit])))+(SUM(IF((CRDJ[Ofc Code]=(TRIM(P$7)))*(CRDJ[Account Code]=(TRIM($D9))),CRDJ[Credit])))+(SUM(IF((GJ[Ofc Code]=(TRIM(P$7)))*(GJ[Account Code]=(TRIM($D9))),GJ[Credit]))))-((SUM(IF((CkDJ[Ofc Code]=(TRIM(P$7)))*(CkDJ[Account Code]=(TRIM($D9))),CkDJ[Debit])))+(SUM(IF((CsDJ[Ofc Code]=(TRIM(P$7)))*(CsDJ[Account Code]=(TRIM($D9))),CsDJ[Debit])))+(SUM(IF((CRDJ[Ofc Code]=(TRIM(P$7)))*(CRDJ[Account Code]=(TRIM($D9))),CRDJ[Debit])))+(SUM(IF((GJ[Ofc Code]=(TRIM(P$7)))*(GJ[Account Code]=(TRIM($D9))),GJ[Debit]))))</f>
        <v>0</v>
      </c>
      <c r="Q9" s="211">
        <f t="array" ref="Q9">((SUM(IF((CkDJ[Ofc Code]=(TRIM(Q$7)))*(CkDJ[Account Code]=(TRIM($D9))),CkDJ[Credit])))+(SUM(IF((CsDJ[Ofc Code]=(TRIM(Q$7)))*(CsDJ[Account Code]=(TRIM($D9))),CsDJ[Credit])))+(SUM(IF((CRDJ[Ofc Code]=(TRIM(Q$7)))*(CRDJ[Account Code]=(TRIM($D9))),CRDJ[Credit])))+(SUM(IF((GJ[Ofc Code]=(TRIM(Q$7)))*(GJ[Account Code]=(TRIM($D9))),GJ[Credit]))))-((SUM(IF((CkDJ[Ofc Code]=(TRIM(Q$7)))*(CkDJ[Account Code]=(TRIM($D9))),CkDJ[Debit])))+(SUM(IF((CsDJ[Ofc Code]=(TRIM(Q$7)))*(CsDJ[Account Code]=(TRIM($D9))),CsDJ[Debit])))+(SUM(IF((CRDJ[Ofc Code]=(TRIM(Q$7)))*(CRDJ[Account Code]=(TRIM($D9))),CRDJ[Debit])))+(SUM(IF((GJ[Ofc Code]=(TRIM(Q$7)))*(GJ[Account Code]=(TRIM($D9))),GJ[Debit]))))</f>
        <v>0</v>
      </c>
      <c r="R9" s="211">
        <f t="array" ref="R9">((SUM(IF((CkDJ[Ofc Code]=(TRIM(R$7)))*(CkDJ[Account Code]=(TRIM($D9))),CkDJ[Credit])))+(SUM(IF((CsDJ[Ofc Code]=(TRIM(R$7)))*(CsDJ[Account Code]=(TRIM($D9))),CsDJ[Credit])))+(SUM(IF((CRDJ[Ofc Code]=(TRIM(R$7)))*(CRDJ[Account Code]=(TRIM($D9))),CRDJ[Credit])))+(SUM(IF((GJ[Ofc Code]=(TRIM(R$7)))*(GJ[Account Code]=(TRIM($D9))),GJ[Credit]))))-((SUM(IF((CkDJ[Ofc Code]=(TRIM(R$7)))*(CkDJ[Account Code]=(TRIM($D9))),CkDJ[Debit])))+(SUM(IF((CsDJ[Ofc Code]=(TRIM(R$7)))*(CsDJ[Account Code]=(TRIM($D9))),CsDJ[Debit])))+(SUM(IF((CRDJ[Ofc Code]=(TRIM(R$7)))*(CRDJ[Account Code]=(TRIM($D9))),CRDJ[Debit])))+(SUM(IF((GJ[Ofc Code]=(TRIM(R$7)))*(GJ[Account Code]=(TRIM($D9))),GJ[Debit]))))</f>
        <v>0</v>
      </c>
      <c r="S9" s="211">
        <f t="array" ref="S9">((SUM(IF((CkDJ[Ofc Code]=(TRIM(S$7)))*(CkDJ[Account Code]=(TRIM($D9))),CkDJ[Credit])))+(SUM(IF((CsDJ[Ofc Code]=(TRIM(S$7)))*(CsDJ[Account Code]=(TRIM($D9))),CsDJ[Credit])))+(SUM(IF((CRDJ[Ofc Code]=(TRIM(S$7)))*(CRDJ[Account Code]=(TRIM($D9))),CRDJ[Credit])))+(SUM(IF((GJ[Ofc Code]=(TRIM(S$7)))*(GJ[Account Code]=(TRIM($D9))),GJ[Credit]))))-((SUM(IF((CkDJ[Ofc Code]=(TRIM(S$7)))*(CkDJ[Account Code]=(TRIM($D9))),CkDJ[Debit])))+(SUM(IF((CsDJ[Ofc Code]=(TRIM(S$7)))*(CsDJ[Account Code]=(TRIM($D9))),CsDJ[Debit])))+(SUM(IF((CRDJ[Ofc Code]=(TRIM(S$7)))*(CRDJ[Account Code]=(TRIM($D9))),CRDJ[Debit])))+(SUM(IF((GJ[Ofc Code]=(TRIM(S$7)))*(GJ[Account Code]=(TRIM($D9))),GJ[Debit]))))</f>
        <v>0</v>
      </c>
      <c r="T9" s="211">
        <f t="array" ref="T9">((SUM(IF((CkDJ[Ofc Code]=(TRIM(T$7)))*(CkDJ[Account Code]=(TRIM($D9))),CkDJ[Credit])))+(SUM(IF((CsDJ[Ofc Code]=(TRIM(T$7)))*(CsDJ[Account Code]=(TRIM($D9))),CsDJ[Credit])))+(SUM(IF((CRDJ[Ofc Code]=(TRIM(T$7)))*(CRDJ[Account Code]=(TRIM($D9))),CRDJ[Credit])))+(SUM(IF((GJ[Ofc Code]=(TRIM(T$7)))*(GJ[Account Code]=(TRIM($D9))),GJ[Credit]))))-((SUM(IF((CkDJ[Ofc Code]=(TRIM(T$7)))*(CkDJ[Account Code]=(TRIM($D9))),CkDJ[Debit])))+(SUM(IF((CsDJ[Ofc Code]=(TRIM(T$7)))*(CsDJ[Account Code]=(TRIM($D9))),CsDJ[Debit])))+(SUM(IF((CRDJ[Ofc Code]=(TRIM(T$7)))*(CRDJ[Account Code]=(TRIM($D9))),CRDJ[Debit])))+(SUM(IF((GJ[Ofc Code]=(TRIM(T$7)))*(GJ[Account Code]=(TRIM($D9))),GJ[Debit]))))</f>
        <v>0</v>
      </c>
      <c r="U9" s="211">
        <f t="shared" ref="U9:U35" si="3">SUM(P9:T9)</f>
        <v>0</v>
      </c>
      <c r="V9" s="211">
        <f t="shared" ref="V9:V35" si="4">E9+J9+O9+U9</f>
        <v>0</v>
      </c>
    </row>
    <row r="10" spans="1:22" ht="15" x14ac:dyDescent="0.25">
      <c r="A10" s="212">
        <f t="shared" ref="A10:A35" si="5">1+A9</f>
        <v>2</v>
      </c>
      <c r="B10" s="214"/>
      <c r="C10" s="194" t="str">
        <f t="shared" si="0"/>
        <v>Other Service Income - Irrigation Service Fee (Back Account)</v>
      </c>
      <c r="D10" s="207" t="s">
        <v>126</v>
      </c>
      <c r="E10" s="211">
        <f t="array" ref="E10">((SUM(IF((CkDJ[Ofc Code]=(TRIM(E$7)))*(CkDJ[Account Code]=(TRIM($D10))),CkDJ[Credit])))+(SUM(IF((CsDJ[Ofc Code]=(TRIM(E$7)))*(CsDJ[Account Code]=(TRIM($D10))),CsDJ[Credit])))+(SUM(IF((CRDJ[Ofc Code]=(TRIM(E$7)))*(CRDJ[Account Code]=(TRIM($D10))),CRDJ[Credit])))+(SUM(IF((GJ[Ofc Code]=(TRIM(E$7)))*(GJ[Account Code]=(TRIM($D10))),GJ[Credit]))))-((SUM(IF((CkDJ[Ofc Code]=(TRIM(E$7)))*(CkDJ[Account Code]=(TRIM($D10))),CkDJ[Debit])))+(SUM(IF((CsDJ[Ofc Code]=(TRIM(E$7)))*(CsDJ[Account Code]=(TRIM($D10))),CsDJ[Debit])))+(SUM(IF((CRDJ[Ofc Code]=(TRIM(E$7)))*(CRDJ[Account Code]=(TRIM($D10))),CRDJ[Debit])))+(SUM(IF((GJ[Ofc Code]=(TRIM(E$7)))*(GJ[Account Code]=(TRIM($D10))),GJ[Debit]))))</f>
        <v>0</v>
      </c>
      <c r="F10" s="211">
        <f t="array" ref="F10">((SUM(IF((CkDJ[Ofc Code]=(TRIM(F$7)))*(CkDJ[Account Code]=(TRIM($D10))),CkDJ[Credit])))+(SUM(IF((CsDJ[Ofc Code]=(TRIM(F$7)))*(CsDJ[Account Code]=(TRIM($D10))),CsDJ[Credit])))+(SUM(IF((CRDJ[Ofc Code]=(TRIM(F$7)))*(CRDJ[Account Code]=(TRIM($D10))),CRDJ[Credit])))+(SUM(IF((GJ[Ofc Code]=(TRIM(F$7)))*(GJ[Account Code]=(TRIM($D10))),GJ[Credit]))))-((SUM(IF((CkDJ[Ofc Code]=(TRIM(F$7)))*(CkDJ[Account Code]=(TRIM($D10))),CkDJ[Debit])))+(SUM(IF((CsDJ[Ofc Code]=(TRIM(F$7)))*(CsDJ[Account Code]=(TRIM($D10))),CsDJ[Debit])))+(SUM(IF((CRDJ[Ofc Code]=(TRIM(F$7)))*(CRDJ[Account Code]=(TRIM($D10))),CRDJ[Debit])))+(SUM(IF((GJ[Ofc Code]=(TRIM(F$7)))*(GJ[Account Code]=(TRIM($D10))),GJ[Debit]))))</f>
        <v>0</v>
      </c>
      <c r="G10" s="211">
        <f t="array" ref="G10">((SUM(IF((CkDJ[Ofc Code]=(TRIM(G$7)))*(CkDJ[Account Code]=(TRIM($D10))),CkDJ[Credit])))+(SUM(IF((CsDJ[Ofc Code]=(TRIM(G$7)))*(CsDJ[Account Code]=(TRIM($D10))),CsDJ[Credit])))+(SUM(IF((CRDJ[Ofc Code]=(TRIM(G$7)))*(CRDJ[Account Code]=(TRIM($D10))),CRDJ[Credit])))+(SUM(IF((GJ[Ofc Code]=(TRIM(G$7)))*(GJ[Account Code]=(TRIM($D10))),GJ[Credit]))))-((SUM(IF((CkDJ[Ofc Code]=(TRIM(G$7)))*(CkDJ[Account Code]=(TRIM($D10))),CkDJ[Debit])))+(SUM(IF((CsDJ[Ofc Code]=(TRIM(G$7)))*(CsDJ[Account Code]=(TRIM($D10))),CsDJ[Debit])))+(SUM(IF((CRDJ[Ofc Code]=(TRIM(G$7)))*(CRDJ[Account Code]=(TRIM($D10))),CRDJ[Debit])))+(SUM(IF((GJ[Ofc Code]=(TRIM(G$7)))*(GJ[Account Code]=(TRIM($D10))),GJ[Debit]))))</f>
        <v>0</v>
      </c>
      <c r="H10" s="211">
        <f t="array" ref="H10">((SUM(IF((CkDJ[Ofc Code]=(TRIM(H$7)))*(CkDJ[Account Code]=(TRIM($D10))),CkDJ[Credit])))+(SUM(IF((CsDJ[Ofc Code]=(TRIM(H$7)))*(CsDJ[Account Code]=(TRIM($D10))),CsDJ[Credit])))+(SUM(IF((CRDJ[Ofc Code]=(TRIM(H$7)))*(CRDJ[Account Code]=(TRIM($D10))),CRDJ[Credit])))+(SUM(IF((GJ[Ofc Code]=(TRIM(H$7)))*(GJ[Account Code]=(TRIM($D10))),GJ[Credit]))))-((SUM(IF((CkDJ[Ofc Code]=(TRIM(H$7)))*(CkDJ[Account Code]=(TRIM($D10))),CkDJ[Debit])))+(SUM(IF((CsDJ[Ofc Code]=(TRIM(H$7)))*(CsDJ[Account Code]=(TRIM($D10))),CsDJ[Debit])))+(SUM(IF((CRDJ[Ofc Code]=(TRIM(H$7)))*(CRDJ[Account Code]=(TRIM($D10))),CRDJ[Debit])))+(SUM(IF((GJ[Ofc Code]=(TRIM(H$7)))*(GJ[Account Code]=(TRIM($D10))),GJ[Debit]))))</f>
        <v>0</v>
      </c>
      <c r="I10" s="211">
        <f t="array" ref="I10">((SUM(IF((CkDJ[Ofc Code]=(TRIM(I$7)))*(CkDJ[Account Code]=(TRIM($D10))),CkDJ[Credit])))+(SUM(IF((CsDJ[Ofc Code]=(TRIM(I$7)))*(CsDJ[Account Code]=(TRIM($D10))),CsDJ[Credit])))+(SUM(IF((CRDJ[Ofc Code]=(TRIM(I$7)))*(CRDJ[Account Code]=(TRIM($D10))),CRDJ[Credit])))+(SUM(IF((GJ[Ofc Code]=(TRIM(I$7)))*(GJ[Account Code]=(TRIM($D10))),GJ[Credit]))))-((SUM(IF((CkDJ[Ofc Code]=(TRIM(I$7)))*(CkDJ[Account Code]=(TRIM($D10))),CkDJ[Debit])))+(SUM(IF((CsDJ[Ofc Code]=(TRIM(I$7)))*(CsDJ[Account Code]=(TRIM($D10))),CsDJ[Debit])))+(SUM(IF((CRDJ[Ofc Code]=(TRIM(I$7)))*(CRDJ[Account Code]=(TRIM($D10))),CRDJ[Debit])))+(SUM(IF((GJ[Ofc Code]=(TRIM(I$7)))*(GJ[Account Code]=(TRIM($D10))),GJ[Debit]))))</f>
        <v>0</v>
      </c>
      <c r="J10" s="211">
        <f t="shared" si="1"/>
        <v>0</v>
      </c>
      <c r="K10" s="211">
        <f t="array" ref="K10">((SUM(IF((CkDJ[Ofc Code]=(TRIM(K$7)))*(CkDJ[Account Code]=(TRIM($D10))),CkDJ[Credit])))+(SUM(IF((CsDJ[Ofc Code]=(TRIM(K$7)))*(CsDJ[Account Code]=(TRIM($D10))),CsDJ[Credit])))+(SUM(IF((CRDJ[Ofc Code]=(TRIM(K$7)))*(CRDJ[Account Code]=(TRIM($D10))),CRDJ[Credit])))+(SUM(IF((GJ[Ofc Code]=(TRIM(K$7)))*(GJ[Account Code]=(TRIM($D10))),GJ[Credit]))))-((SUM(IF((CkDJ[Ofc Code]=(TRIM(K$7)))*(CkDJ[Account Code]=(TRIM($D10))),CkDJ[Debit])))+(SUM(IF((CsDJ[Ofc Code]=(TRIM(K$7)))*(CsDJ[Account Code]=(TRIM($D10))),CsDJ[Debit])))+(SUM(IF((CRDJ[Ofc Code]=(TRIM(K$7)))*(CRDJ[Account Code]=(TRIM($D10))),CRDJ[Debit])))+(SUM(IF((GJ[Ofc Code]=(TRIM(K$7)))*(GJ[Account Code]=(TRIM($D10))),GJ[Debit]))))</f>
        <v>0</v>
      </c>
      <c r="L10" s="211">
        <f t="array" ref="L10">((SUM(IF((CkDJ[Ofc Code]=(TRIM(L$7)))*(CkDJ[Account Code]=(TRIM($D10))),CkDJ[Credit])))+(SUM(IF((CsDJ[Ofc Code]=(TRIM(L$7)))*(CsDJ[Account Code]=(TRIM($D10))),CsDJ[Credit])))+(SUM(IF((CRDJ[Ofc Code]=(TRIM(L$7)))*(CRDJ[Account Code]=(TRIM($D10))),CRDJ[Credit])))+(SUM(IF((GJ[Ofc Code]=(TRIM(L$7)))*(GJ[Account Code]=(TRIM($D10))),GJ[Credit]))))-((SUM(IF((CkDJ[Ofc Code]=(TRIM(L$7)))*(CkDJ[Account Code]=(TRIM($D10))),CkDJ[Debit])))+(SUM(IF((CsDJ[Ofc Code]=(TRIM(L$7)))*(CsDJ[Account Code]=(TRIM($D10))),CsDJ[Debit])))+(SUM(IF((CRDJ[Ofc Code]=(TRIM(L$7)))*(CRDJ[Account Code]=(TRIM($D10))),CRDJ[Debit])))+(SUM(IF((GJ[Ofc Code]=(TRIM(L$7)))*(GJ[Account Code]=(TRIM($D10))),GJ[Debit]))))</f>
        <v>0</v>
      </c>
      <c r="M10" s="211">
        <f t="array" ref="M10">((SUM(IF((CkDJ[Ofc Code]=(TRIM(M$7)))*(CkDJ[Account Code]=(TRIM($D10))),CkDJ[Credit])))+(SUM(IF((CsDJ[Ofc Code]=(TRIM(M$7)))*(CsDJ[Account Code]=(TRIM($D10))),CsDJ[Credit])))+(SUM(IF((CRDJ[Ofc Code]=(TRIM(M$7)))*(CRDJ[Account Code]=(TRIM($D10))),CRDJ[Credit])))+(SUM(IF((GJ[Ofc Code]=(TRIM(M$7)))*(GJ[Account Code]=(TRIM($D10))),GJ[Credit]))))-((SUM(IF((CkDJ[Ofc Code]=(TRIM(M$7)))*(CkDJ[Account Code]=(TRIM($D10))),CkDJ[Debit])))+(SUM(IF((CsDJ[Ofc Code]=(TRIM(M$7)))*(CsDJ[Account Code]=(TRIM($D10))),CsDJ[Debit])))+(SUM(IF((CRDJ[Ofc Code]=(TRIM(M$7)))*(CRDJ[Account Code]=(TRIM($D10))),CRDJ[Debit])))+(SUM(IF((GJ[Ofc Code]=(TRIM(M$7)))*(GJ[Account Code]=(TRIM($D10))),GJ[Debit]))))</f>
        <v>0</v>
      </c>
      <c r="N10" s="211">
        <f t="array" ref="N10">((SUM(IF((CkDJ[Ofc Code]=(TRIM(N$7)))*(CkDJ[Account Code]=(TRIM($D10))),CkDJ[Credit])))+(SUM(IF((CsDJ[Ofc Code]=(TRIM(N$7)))*(CsDJ[Account Code]=(TRIM($D10))),CsDJ[Credit])))+(SUM(IF((CRDJ[Ofc Code]=(TRIM(N$7)))*(CRDJ[Account Code]=(TRIM($D10))),CRDJ[Credit])))+(SUM(IF((GJ[Ofc Code]=(TRIM(N$7)))*(GJ[Account Code]=(TRIM($D10))),GJ[Credit]))))-((SUM(IF((CkDJ[Ofc Code]=(TRIM(N$7)))*(CkDJ[Account Code]=(TRIM($D10))),CkDJ[Debit])))+(SUM(IF((CsDJ[Ofc Code]=(TRIM(N$7)))*(CsDJ[Account Code]=(TRIM($D10))),CsDJ[Debit])))+(SUM(IF((CRDJ[Ofc Code]=(TRIM(N$7)))*(CRDJ[Account Code]=(TRIM($D10))),CRDJ[Debit])))+(SUM(IF((GJ[Ofc Code]=(TRIM(N$7)))*(GJ[Account Code]=(TRIM($D10))),GJ[Debit]))))</f>
        <v>0</v>
      </c>
      <c r="O10" s="211">
        <f t="shared" si="2"/>
        <v>0</v>
      </c>
      <c r="P10" s="211">
        <f t="array" ref="P10">((SUM(IF((CkDJ[Ofc Code]=(TRIM(P$7)))*(CkDJ[Account Code]=(TRIM($D10))),CkDJ[Credit])))+(SUM(IF((CsDJ[Ofc Code]=(TRIM(P$7)))*(CsDJ[Account Code]=(TRIM($D10))),CsDJ[Credit])))+(SUM(IF((CRDJ[Ofc Code]=(TRIM(P$7)))*(CRDJ[Account Code]=(TRIM($D10))),CRDJ[Credit])))+(SUM(IF((GJ[Ofc Code]=(TRIM(P$7)))*(GJ[Account Code]=(TRIM($D10))),GJ[Credit]))))-((SUM(IF((CkDJ[Ofc Code]=(TRIM(P$7)))*(CkDJ[Account Code]=(TRIM($D10))),CkDJ[Debit])))+(SUM(IF((CsDJ[Ofc Code]=(TRIM(P$7)))*(CsDJ[Account Code]=(TRIM($D10))),CsDJ[Debit])))+(SUM(IF((CRDJ[Ofc Code]=(TRIM(P$7)))*(CRDJ[Account Code]=(TRIM($D10))),CRDJ[Debit])))+(SUM(IF((GJ[Ofc Code]=(TRIM(P$7)))*(GJ[Account Code]=(TRIM($D10))),GJ[Debit]))))</f>
        <v>0</v>
      </c>
      <c r="Q10" s="211">
        <f t="array" ref="Q10">((SUM(IF((CkDJ[Ofc Code]=(TRIM(Q$7)))*(CkDJ[Account Code]=(TRIM($D10))),CkDJ[Credit])))+(SUM(IF((CsDJ[Ofc Code]=(TRIM(Q$7)))*(CsDJ[Account Code]=(TRIM($D10))),CsDJ[Credit])))+(SUM(IF((CRDJ[Ofc Code]=(TRIM(Q$7)))*(CRDJ[Account Code]=(TRIM($D10))),CRDJ[Credit])))+(SUM(IF((GJ[Ofc Code]=(TRIM(Q$7)))*(GJ[Account Code]=(TRIM($D10))),GJ[Credit]))))-((SUM(IF((CkDJ[Ofc Code]=(TRIM(Q$7)))*(CkDJ[Account Code]=(TRIM($D10))),CkDJ[Debit])))+(SUM(IF((CsDJ[Ofc Code]=(TRIM(Q$7)))*(CsDJ[Account Code]=(TRIM($D10))),CsDJ[Debit])))+(SUM(IF((CRDJ[Ofc Code]=(TRIM(Q$7)))*(CRDJ[Account Code]=(TRIM($D10))),CRDJ[Debit])))+(SUM(IF((GJ[Ofc Code]=(TRIM(Q$7)))*(GJ[Account Code]=(TRIM($D10))),GJ[Debit]))))</f>
        <v>0</v>
      </c>
      <c r="R10" s="211">
        <f t="array" ref="R10">((SUM(IF((CkDJ[Ofc Code]=(TRIM(R$7)))*(CkDJ[Account Code]=(TRIM($D10))),CkDJ[Credit])))+(SUM(IF((CsDJ[Ofc Code]=(TRIM(R$7)))*(CsDJ[Account Code]=(TRIM($D10))),CsDJ[Credit])))+(SUM(IF((CRDJ[Ofc Code]=(TRIM(R$7)))*(CRDJ[Account Code]=(TRIM($D10))),CRDJ[Credit])))+(SUM(IF((GJ[Ofc Code]=(TRIM(R$7)))*(GJ[Account Code]=(TRIM($D10))),GJ[Credit]))))-((SUM(IF((CkDJ[Ofc Code]=(TRIM(R$7)))*(CkDJ[Account Code]=(TRIM($D10))),CkDJ[Debit])))+(SUM(IF((CsDJ[Ofc Code]=(TRIM(R$7)))*(CsDJ[Account Code]=(TRIM($D10))),CsDJ[Debit])))+(SUM(IF((CRDJ[Ofc Code]=(TRIM(R$7)))*(CRDJ[Account Code]=(TRIM($D10))),CRDJ[Debit])))+(SUM(IF((GJ[Ofc Code]=(TRIM(R$7)))*(GJ[Account Code]=(TRIM($D10))),GJ[Debit]))))</f>
        <v>0</v>
      </c>
      <c r="S10" s="211">
        <f t="array" ref="S10">((SUM(IF((CkDJ[Ofc Code]=(TRIM(S$7)))*(CkDJ[Account Code]=(TRIM($D10))),CkDJ[Credit])))+(SUM(IF((CsDJ[Ofc Code]=(TRIM(S$7)))*(CsDJ[Account Code]=(TRIM($D10))),CsDJ[Credit])))+(SUM(IF((CRDJ[Ofc Code]=(TRIM(S$7)))*(CRDJ[Account Code]=(TRIM($D10))),CRDJ[Credit])))+(SUM(IF((GJ[Ofc Code]=(TRIM(S$7)))*(GJ[Account Code]=(TRIM($D10))),GJ[Credit]))))-((SUM(IF((CkDJ[Ofc Code]=(TRIM(S$7)))*(CkDJ[Account Code]=(TRIM($D10))),CkDJ[Debit])))+(SUM(IF((CsDJ[Ofc Code]=(TRIM(S$7)))*(CsDJ[Account Code]=(TRIM($D10))),CsDJ[Debit])))+(SUM(IF((CRDJ[Ofc Code]=(TRIM(S$7)))*(CRDJ[Account Code]=(TRIM($D10))),CRDJ[Debit])))+(SUM(IF((GJ[Ofc Code]=(TRIM(S$7)))*(GJ[Account Code]=(TRIM($D10))),GJ[Debit]))))</f>
        <v>0</v>
      </c>
      <c r="T10" s="211">
        <f t="array" ref="T10">((SUM(IF((CkDJ[Ofc Code]=(TRIM(T$7)))*(CkDJ[Account Code]=(TRIM($D10))),CkDJ[Credit])))+(SUM(IF((CsDJ[Ofc Code]=(TRIM(T$7)))*(CsDJ[Account Code]=(TRIM($D10))),CsDJ[Credit])))+(SUM(IF((CRDJ[Ofc Code]=(TRIM(T$7)))*(CRDJ[Account Code]=(TRIM($D10))),CRDJ[Credit])))+(SUM(IF((GJ[Ofc Code]=(TRIM(T$7)))*(GJ[Account Code]=(TRIM($D10))),GJ[Credit]))))-((SUM(IF((CkDJ[Ofc Code]=(TRIM(T$7)))*(CkDJ[Account Code]=(TRIM($D10))),CkDJ[Debit])))+(SUM(IF((CsDJ[Ofc Code]=(TRIM(T$7)))*(CsDJ[Account Code]=(TRIM($D10))),CsDJ[Debit])))+(SUM(IF((CRDJ[Ofc Code]=(TRIM(T$7)))*(CRDJ[Account Code]=(TRIM($D10))),CRDJ[Debit])))+(SUM(IF((GJ[Ofc Code]=(TRIM(T$7)))*(GJ[Account Code]=(TRIM($D10))),GJ[Debit]))))</f>
        <v>0</v>
      </c>
      <c r="U10" s="211">
        <f t="shared" si="3"/>
        <v>0</v>
      </c>
      <c r="V10" s="211">
        <f t="shared" si="4"/>
        <v>0</v>
      </c>
    </row>
    <row r="11" spans="1:22" ht="15" x14ac:dyDescent="0.25">
      <c r="A11" s="212">
        <f t="shared" si="5"/>
        <v>3</v>
      </c>
      <c r="B11" s="214"/>
      <c r="C11" s="194" t="str">
        <f t="shared" si="0"/>
        <v>Other Service Income - Irrigation Service Fee (Back Account) (MC # 54)</v>
      </c>
      <c r="D11" s="207" t="s">
        <v>721</v>
      </c>
      <c r="E11" s="211">
        <f t="array" ref="E11">((SUM(IF((CkDJ[Ofc Code]=(TRIM(E$7)))*(CkDJ[Account Code]=(TRIM($D11))),CkDJ[Credit])))+(SUM(IF((CsDJ[Ofc Code]=(TRIM(E$7)))*(CsDJ[Account Code]=(TRIM($D11))),CsDJ[Credit])))+(SUM(IF((CRDJ[Ofc Code]=(TRIM(E$7)))*(CRDJ[Account Code]=(TRIM($D11))),CRDJ[Credit])))+(SUM(IF((GJ[Ofc Code]=(TRIM(E$7)))*(GJ[Account Code]=(TRIM($D11))),GJ[Credit]))))-((SUM(IF((CkDJ[Ofc Code]=(TRIM(E$7)))*(CkDJ[Account Code]=(TRIM($D11))),CkDJ[Debit])))+(SUM(IF((CsDJ[Ofc Code]=(TRIM(E$7)))*(CsDJ[Account Code]=(TRIM($D11))),CsDJ[Debit])))+(SUM(IF((CRDJ[Ofc Code]=(TRIM(E$7)))*(CRDJ[Account Code]=(TRIM($D11))),CRDJ[Debit])))+(SUM(IF((GJ[Ofc Code]=(TRIM(E$7)))*(GJ[Account Code]=(TRIM($D11))),GJ[Debit]))))</f>
        <v>0</v>
      </c>
      <c r="F11" s="211">
        <f t="array" ref="F11">((SUM(IF((CkDJ[Ofc Code]=(TRIM(F$7)))*(CkDJ[Account Code]=(TRIM($D11))),CkDJ[Credit])))+(SUM(IF((CsDJ[Ofc Code]=(TRIM(F$7)))*(CsDJ[Account Code]=(TRIM($D11))),CsDJ[Credit])))+(SUM(IF((CRDJ[Ofc Code]=(TRIM(F$7)))*(CRDJ[Account Code]=(TRIM($D11))),CRDJ[Credit])))+(SUM(IF((GJ[Ofc Code]=(TRIM(F$7)))*(GJ[Account Code]=(TRIM($D11))),GJ[Credit]))))-((SUM(IF((CkDJ[Ofc Code]=(TRIM(F$7)))*(CkDJ[Account Code]=(TRIM($D11))),CkDJ[Debit])))+(SUM(IF((CsDJ[Ofc Code]=(TRIM(F$7)))*(CsDJ[Account Code]=(TRIM($D11))),CsDJ[Debit])))+(SUM(IF((CRDJ[Ofc Code]=(TRIM(F$7)))*(CRDJ[Account Code]=(TRIM($D11))),CRDJ[Debit])))+(SUM(IF((GJ[Ofc Code]=(TRIM(F$7)))*(GJ[Account Code]=(TRIM($D11))),GJ[Debit]))))</f>
        <v>0</v>
      </c>
      <c r="G11" s="211">
        <f t="array" ref="G11">((SUM(IF((CkDJ[Ofc Code]=(TRIM(G$7)))*(CkDJ[Account Code]=(TRIM($D11))),CkDJ[Credit])))+(SUM(IF((CsDJ[Ofc Code]=(TRIM(G$7)))*(CsDJ[Account Code]=(TRIM($D11))),CsDJ[Credit])))+(SUM(IF((CRDJ[Ofc Code]=(TRIM(G$7)))*(CRDJ[Account Code]=(TRIM($D11))),CRDJ[Credit])))+(SUM(IF((GJ[Ofc Code]=(TRIM(G$7)))*(GJ[Account Code]=(TRIM($D11))),GJ[Credit]))))-((SUM(IF((CkDJ[Ofc Code]=(TRIM(G$7)))*(CkDJ[Account Code]=(TRIM($D11))),CkDJ[Debit])))+(SUM(IF((CsDJ[Ofc Code]=(TRIM(G$7)))*(CsDJ[Account Code]=(TRIM($D11))),CsDJ[Debit])))+(SUM(IF((CRDJ[Ofc Code]=(TRIM(G$7)))*(CRDJ[Account Code]=(TRIM($D11))),CRDJ[Debit])))+(SUM(IF((GJ[Ofc Code]=(TRIM(G$7)))*(GJ[Account Code]=(TRIM($D11))),GJ[Debit]))))</f>
        <v>0</v>
      </c>
      <c r="H11" s="211">
        <f t="array" ref="H11">((SUM(IF((CkDJ[Ofc Code]=(TRIM(H$7)))*(CkDJ[Account Code]=(TRIM($D11))),CkDJ[Credit])))+(SUM(IF((CsDJ[Ofc Code]=(TRIM(H$7)))*(CsDJ[Account Code]=(TRIM($D11))),CsDJ[Credit])))+(SUM(IF((CRDJ[Ofc Code]=(TRIM(H$7)))*(CRDJ[Account Code]=(TRIM($D11))),CRDJ[Credit])))+(SUM(IF((GJ[Ofc Code]=(TRIM(H$7)))*(GJ[Account Code]=(TRIM($D11))),GJ[Credit]))))-((SUM(IF((CkDJ[Ofc Code]=(TRIM(H$7)))*(CkDJ[Account Code]=(TRIM($D11))),CkDJ[Debit])))+(SUM(IF((CsDJ[Ofc Code]=(TRIM(H$7)))*(CsDJ[Account Code]=(TRIM($D11))),CsDJ[Debit])))+(SUM(IF((CRDJ[Ofc Code]=(TRIM(H$7)))*(CRDJ[Account Code]=(TRIM($D11))),CRDJ[Debit])))+(SUM(IF((GJ[Ofc Code]=(TRIM(H$7)))*(GJ[Account Code]=(TRIM($D11))),GJ[Debit]))))</f>
        <v>0</v>
      </c>
      <c r="I11" s="211">
        <f t="array" ref="I11">((SUM(IF((CkDJ[Ofc Code]=(TRIM(I$7)))*(CkDJ[Account Code]=(TRIM($D11))),CkDJ[Credit])))+(SUM(IF((CsDJ[Ofc Code]=(TRIM(I$7)))*(CsDJ[Account Code]=(TRIM($D11))),CsDJ[Credit])))+(SUM(IF((CRDJ[Ofc Code]=(TRIM(I$7)))*(CRDJ[Account Code]=(TRIM($D11))),CRDJ[Credit])))+(SUM(IF((GJ[Ofc Code]=(TRIM(I$7)))*(GJ[Account Code]=(TRIM($D11))),GJ[Credit]))))-((SUM(IF((CkDJ[Ofc Code]=(TRIM(I$7)))*(CkDJ[Account Code]=(TRIM($D11))),CkDJ[Debit])))+(SUM(IF((CsDJ[Ofc Code]=(TRIM(I$7)))*(CsDJ[Account Code]=(TRIM($D11))),CsDJ[Debit])))+(SUM(IF((CRDJ[Ofc Code]=(TRIM(I$7)))*(CRDJ[Account Code]=(TRIM($D11))),CRDJ[Debit])))+(SUM(IF((GJ[Ofc Code]=(TRIM(I$7)))*(GJ[Account Code]=(TRIM($D11))),GJ[Debit]))))</f>
        <v>0</v>
      </c>
      <c r="J11" s="211">
        <f t="shared" si="1"/>
        <v>0</v>
      </c>
      <c r="K11" s="211">
        <f t="array" ref="K11">((SUM(IF((CkDJ[Ofc Code]=(TRIM(K$7)))*(CkDJ[Account Code]=(TRIM($D11))),CkDJ[Credit])))+(SUM(IF((CsDJ[Ofc Code]=(TRIM(K$7)))*(CsDJ[Account Code]=(TRIM($D11))),CsDJ[Credit])))+(SUM(IF((CRDJ[Ofc Code]=(TRIM(K$7)))*(CRDJ[Account Code]=(TRIM($D11))),CRDJ[Credit])))+(SUM(IF((GJ[Ofc Code]=(TRIM(K$7)))*(GJ[Account Code]=(TRIM($D11))),GJ[Credit]))))-((SUM(IF((CkDJ[Ofc Code]=(TRIM(K$7)))*(CkDJ[Account Code]=(TRIM($D11))),CkDJ[Debit])))+(SUM(IF((CsDJ[Ofc Code]=(TRIM(K$7)))*(CsDJ[Account Code]=(TRIM($D11))),CsDJ[Debit])))+(SUM(IF((CRDJ[Ofc Code]=(TRIM(K$7)))*(CRDJ[Account Code]=(TRIM($D11))),CRDJ[Debit])))+(SUM(IF((GJ[Ofc Code]=(TRIM(K$7)))*(GJ[Account Code]=(TRIM($D11))),GJ[Debit]))))</f>
        <v>0</v>
      </c>
      <c r="L11" s="211">
        <f t="array" ref="L11">((SUM(IF((CkDJ[Ofc Code]=(TRIM(L$7)))*(CkDJ[Account Code]=(TRIM($D11))),CkDJ[Credit])))+(SUM(IF((CsDJ[Ofc Code]=(TRIM(L$7)))*(CsDJ[Account Code]=(TRIM($D11))),CsDJ[Credit])))+(SUM(IF((CRDJ[Ofc Code]=(TRIM(L$7)))*(CRDJ[Account Code]=(TRIM($D11))),CRDJ[Credit])))+(SUM(IF((GJ[Ofc Code]=(TRIM(L$7)))*(GJ[Account Code]=(TRIM($D11))),GJ[Credit]))))-((SUM(IF((CkDJ[Ofc Code]=(TRIM(L$7)))*(CkDJ[Account Code]=(TRIM($D11))),CkDJ[Debit])))+(SUM(IF((CsDJ[Ofc Code]=(TRIM(L$7)))*(CsDJ[Account Code]=(TRIM($D11))),CsDJ[Debit])))+(SUM(IF((CRDJ[Ofc Code]=(TRIM(L$7)))*(CRDJ[Account Code]=(TRIM($D11))),CRDJ[Debit])))+(SUM(IF((GJ[Ofc Code]=(TRIM(L$7)))*(GJ[Account Code]=(TRIM($D11))),GJ[Debit]))))</f>
        <v>0</v>
      </c>
      <c r="M11" s="211">
        <f t="array" ref="M11">((SUM(IF((CkDJ[Ofc Code]=(TRIM(M$7)))*(CkDJ[Account Code]=(TRIM($D11))),CkDJ[Credit])))+(SUM(IF((CsDJ[Ofc Code]=(TRIM(M$7)))*(CsDJ[Account Code]=(TRIM($D11))),CsDJ[Credit])))+(SUM(IF((CRDJ[Ofc Code]=(TRIM(M$7)))*(CRDJ[Account Code]=(TRIM($D11))),CRDJ[Credit])))+(SUM(IF((GJ[Ofc Code]=(TRIM(M$7)))*(GJ[Account Code]=(TRIM($D11))),GJ[Credit]))))-((SUM(IF((CkDJ[Ofc Code]=(TRIM(M$7)))*(CkDJ[Account Code]=(TRIM($D11))),CkDJ[Debit])))+(SUM(IF((CsDJ[Ofc Code]=(TRIM(M$7)))*(CsDJ[Account Code]=(TRIM($D11))),CsDJ[Debit])))+(SUM(IF((CRDJ[Ofc Code]=(TRIM(M$7)))*(CRDJ[Account Code]=(TRIM($D11))),CRDJ[Debit])))+(SUM(IF((GJ[Ofc Code]=(TRIM(M$7)))*(GJ[Account Code]=(TRIM($D11))),GJ[Debit]))))</f>
        <v>0</v>
      </c>
      <c r="N11" s="211">
        <f t="array" ref="N11">((SUM(IF((CkDJ[Ofc Code]=(TRIM(N$7)))*(CkDJ[Account Code]=(TRIM($D11))),CkDJ[Credit])))+(SUM(IF((CsDJ[Ofc Code]=(TRIM(N$7)))*(CsDJ[Account Code]=(TRIM($D11))),CsDJ[Credit])))+(SUM(IF((CRDJ[Ofc Code]=(TRIM(N$7)))*(CRDJ[Account Code]=(TRIM($D11))),CRDJ[Credit])))+(SUM(IF((GJ[Ofc Code]=(TRIM(N$7)))*(GJ[Account Code]=(TRIM($D11))),GJ[Credit]))))-((SUM(IF((CkDJ[Ofc Code]=(TRIM(N$7)))*(CkDJ[Account Code]=(TRIM($D11))),CkDJ[Debit])))+(SUM(IF((CsDJ[Ofc Code]=(TRIM(N$7)))*(CsDJ[Account Code]=(TRIM($D11))),CsDJ[Debit])))+(SUM(IF((CRDJ[Ofc Code]=(TRIM(N$7)))*(CRDJ[Account Code]=(TRIM($D11))),CRDJ[Debit])))+(SUM(IF((GJ[Ofc Code]=(TRIM(N$7)))*(GJ[Account Code]=(TRIM($D11))),GJ[Debit]))))</f>
        <v>0</v>
      </c>
      <c r="O11" s="211">
        <f t="shared" si="2"/>
        <v>0</v>
      </c>
      <c r="P11" s="211">
        <f t="array" ref="P11">((SUM(IF((CkDJ[Ofc Code]=(TRIM(P$7)))*(CkDJ[Account Code]=(TRIM($D11))),CkDJ[Credit])))+(SUM(IF((CsDJ[Ofc Code]=(TRIM(P$7)))*(CsDJ[Account Code]=(TRIM($D11))),CsDJ[Credit])))+(SUM(IF((CRDJ[Ofc Code]=(TRIM(P$7)))*(CRDJ[Account Code]=(TRIM($D11))),CRDJ[Credit])))+(SUM(IF((GJ[Ofc Code]=(TRIM(P$7)))*(GJ[Account Code]=(TRIM($D11))),GJ[Credit]))))-((SUM(IF((CkDJ[Ofc Code]=(TRIM(P$7)))*(CkDJ[Account Code]=(TRIM($D11))),CkDJ[Debit])))+(SUM(IF((CsDJ[Ofc Code]=(TRIM(P$7)))*(CsDJ[Account Code]=(TRIM($D11))),CsDJ[Debit])))+(SUM(IF((CRDJ[Ofc Code]=(TRIM(P$7)))*(CRDJ[Account Code]=(TRIM($D11))),CRDJ[Debit])))+(SUM(IF((GJ[Ofc Code]=(TRIM(P$7)))*(GJ[Account Code]=(TRIM($D11))),GJ[Debit]))))</f>
        <v>0</v>
      </c>
      <c r="Q11" s="211">
        <f t="array" ref="Q11">((SUM(IF((CkDJ[Ofc Code]=(TRIM(Q$7)))*(CkDJ[Account Code]=(TRIM($D11))),CkDJ[Credit])))+(SUM(IF((CsDJ[Ofc Code]=(TRIM(Q$7)))*(CsDJ[Account Code]=(TRIM($D11))),CsDJ[Credit])))+(SUM(IF((CRDJ[Ofc Code]=(TRIM(Q$7)))*(CRDJ[Account Code]=(TRIM($D11))),CRDJ[Credit])))+(SUM(IF((GJ[Ofc Code]=(TRIM(Q$7)))*(GJ[Account Code]=(TRIM($D11))),GJ[Credit]))))-((SUM(IF((CkDJ[Ofc Code]=(TRIM(Q$7)))*(CkDJ[Account Code]=(TRIM($D11))),CkDJ[Debit])))+(SUM(IF((CsDJ[Ofc Code]=(TRIM(Q$7)))*(CsDJ[Account Code]=(TRIM($D11))),CsDJ[Debit])))+(SUM(IF((CRDJ[Ofc Code]=(TRIM(Q$7)))*(CRDJ[Account Code]=(TRIM($D11))),CRDJ[Debit])))+(SUM(IF((GJ[Ofc Code]=(TRIM(Q$7)))*(GJ[Account Code]=(TRIM($D11))),GJ[Debit]))))</f>
        <v>0</v>
      </c>
      <c r="R11" s="211">
        <f t="array" ref="R11">((SUM(IF((CkDJ[Ofc Code]=(TRIM(R$7)))*(CkDJ[Account Code]=(TRIM($D11))),CkDJ[Credit])))+(SUM(IF((CsDJ[Ofc Code]=(TRIM(R$7)))*(CsDJ[Account Code]=(TRIM($D11))),CsDJ[Credit])))+(SUM(IF((CRDJ[Ofc Code]=(TRIM(R$7)))*(CRDJ[Account Code]=(TRIM($D11))),CRDJ[Credit])))+(SUM(IF((GJ[Ofc Code]=(TRIM(R$7)))*(GJ[Account Code]=(TRIM($D11))),GJ[Credit]))))-((SUM(IF((CkDJ[Ofc Code]=(TRIM(R$7)))*(CkDJ[Account Code]=(TRIM($D11))),CkDJ[Debit])))+(SUM(IF((CsDJ[Ofc Code]=(TRIM(R$7)))*(CsDJ[Account Code]=(TRIM($D11))),CsDJ[Debit])))+(SUM(IF((CRDJ[Ofc Code]=(TRIM(R$7)))*(CRDJ[Account Code]=(TRIM($D11))),CRDJ[Debit])))+(SUM(IF((GJ[Ofc Code]=(TRIM(R$7)))*(GJ[Account Code]=(TRIM($D11))),GJ[Debit]))))</f>
        <v>0</v>
      </c>
      <c r="S11" s="211">
        <f t="array" ref="S11">((SUM(IF((CkDJ[Ofc Code]=(TRIM(S$7)))*(CkDJ[Account Code]=(TRIM($D11))),CkDJ[Credit])))+(SUM(IF((CsDJ[Ofc Code]=(TRIM(S$7)))*(CsDJ[Account Code]=(TRIM($D11))),CsDJ[Credit])))+(SUM(IF((CRDJ[Ofc Code]=(TRIM(S$7)))*(CRDJ[Account Code]=(TRIM($D11))),CRDJ[Credit])))+(SUM(IF((GJ[Ofc Code]=(TRIM(S$7)))*(GJ[Account Code]=(TRIM($D11))),GJ[Credit]))))-((SUM(IF((CkDJ[Ofc Code]=(TRIM(S$7)))*(CkDJ[Account Code]=(TRIM($D11))),CkDJ[Debit])))+(SUM(IF((CsDJ[Ofc Code]=(TRIM(S$7)))*(CsDJ[Account Code]=(TRIM($D11))),CsDJ[Debit])))+(SUM(IF((CRDJ[Ofc Code]=(TRIM(S$7)))*(CRDJ[Account Code]=(TRIM($D11))),CRDJ[Debit])))+(SUM(IF((GJ[Ofc Code]=(TRIM(S$7)))*(GJ[Account Code]=(TRIM($D11))),GJ[Debit]))))</f>
        <v>0</v>
      </c>
      <c r="T11" s="211">
        <f t="array" ref="T11">((SUM(IF((CkDJ[Ofc Code]=(TRIM(T$7)))*(CkDJ[Account Code]=(TRIM($D11))),CkDJ[Credit])))+(SUM(IF((CsDJ[Ofc Code]=(TRIM(T$7)))*(CsDJ[Account Code]=(TRIM($D11))),CsDJ[Credit])))+(SUM(IF((CRDJ[Ofc Code]=(TRIM(T$7)))*(CRDJ[Account Code]=(TRIM($D11))),CRDJ[Credit])))+(SUM(IF((GJ[Ofc Code]=(TRIM(T$7)))*(GJ[Account Code]=(TRIM($D11))),GJ[Credit]))))-((SUM(IF((CkDJ[Ofc Code]=(TRIM(T$7)))*(CkDJ[Account Code]=(TRIM($D11))),CkDJ[Debit])))+(SUM(IF((CsDJ[Ofc Code]=(TRIM(T$7)))*(CsDJ[Account Code]=(TRIM($D11))),CsDJ[Debit])))+(SUM(IF((CRDJ[Ofc Code]=(TRIM(T$7)))*(CRDJ[Account Code]=(TRIM($D11))),CRDJ[Debit])))+(SUM(IF((GJ[Ofc Code]=(TRIM(T$7)))*(GJ[Account Code]=(TRIM($D11))),GJ[Debit]))))</f>
        <v>0</v>
      </c>
      <c r="U11" s="211">
        <f t="shared" si="3"/>
        <v>0</v>
      </c>
      <c r="V11" s="211">
        <f t="shared" si="4"/>
        <v>0</v>
      </c>
    </row>
    <row r="12" spans="1:22" ht="15" x14ac:dyDescent="0.25">
      <c r="A12" s="212">
        <f t="shared" si="5"/>
        <v>4</v>
      </c>
      <c r="B12" s="214"/>
      <c r="C12" s="194" t="str">
        <f>IF(D12=0,"",(VLOOKUP((TRIM(D12)),Code,2,)))</f>
        <v>Other Service Income - CIS Equity &amp; Amortization</v>
      </c>
      <c r="D12" s="207" t="s">
        <v>127</v>
      </c>
      <c r="E12" s="211">
        <f t="array" ref="E12">((SUM(IF((CkDJ[Ofc Code]=(TRIM(E$7)))*(CkDJ[Account Code]=(TRIM($D12))),CkDJ[Credit])))+(SUM(IF((CsDJ[Ofc Code]=(TRIM(E$7)))*(CsDJ[Account Code]=(TRIM($D12))),CsDJ[Credit])))+(SUM(IF((CRDJ[Ofc Code]=(TRIM(E$7)))*(CRDJ[Account Code]=(TRIM($D12))),CRDJ[Credit])))+(SUM(IF((GJ[Ofc Code]=(TRIM(E$7)))*(GJ[Account Code]=(TRIM($D12))),GJ[Credit]))))-((SUM(IF((CkDJ[Ofc Code]=(TRIM(E$7)))*(CkDJ[Account Code]=(TRIM($D12))),CkDJ[Debit])))+(SUM(IF((CsDJ[Ofc Code]=(TRIM(E$7)))*(CsDJ[Account Code]=(TRIM($D12))),CsDJ[Debit])))+(SUM(IF((CRDJ[Ofc Code]=(TRIM(E$7)))*(CRDJ[Account Code]=(TRIM($D12))),CRDJ[Debit])))+(SUM(IF((GJ[Ofc Code]=(TRIM(E$7)))*(GJ[Account Code]=(TRIM($D12))),GJ[Debit]))))</f>
        <v>0</v>
      </c>
      <c r="F12" s="211">
        <f t="array" ref="F12">((SUM(IF((CkDJ[Ofc Code]=(TRIM(F$7)))*(CkDJ[Account Code]=(TRIM($D12))),CkDJ[Credit])))+(SUM(IF((CsDJ[Ofc Code]=(TRIM(F$7)))*(CsDJ[Account Code]=(TRIM($D12))),CsDJ[Credit])))+(SUM(IF((CRDJ[Ofc Code]=(TRIM(F$7)))*(CRDJ[Account Code]=(TRIM($D12))),CRDJ[Credit])))+(SUM(IF((GJ[Ofc Code]=(TRIM(F$7)))*(GJ[Account Code]=(TRIM($D12))),GJ[Credit]))))-((SUM(IF((CkDJ[Ofc Code]=(TRIM(F$7)))*(CkDJ[Account Code]=(TRIM($D12))),CkDJ[Debit])))+(SUM(IF((CsDJ[Ofc Code]=(TRIM(F$7)))*(CsDJ[Account Code]=(TRIM($D12))),CsDJ[Debit])))+(SUM(IF((CRDJ[Ofc Code]=(TRIM(F$7)))*(CRDJ[Account Code]=(TRIM($D12))),CRDJ[Debit])))+(SUM(IF((GJ[Ofc Code]=(TRIM(F$7)))*(GJ[Account Code]=(TRIM($D12))),GJ[Debit]))))</f>
        <v>0</v>
      </c>
      <c r="G12" s="211">
        <f t="array" ref="G12">((SUM(IF((CkDJ[Ofc Code]=(TRIM(G$7)))*(CkDJ[Account Code]=(TRIM($D12))),CkDJ[Credit])))+(SUM(IF((CsDJ[Ofc Code]=(TRIM(G$7)))*(CsDJ[Account Code]=(TRIM($D12))),CsDJ[Credit])))+(SUM(IF((CRDJ[Ofc Code]=(TRIM(G$7)))*(CRDJ[Account Code]=(TRIM($D12))),CRDJ[Credit])))+(SUM(IF((GJ[Ofc Code]=(TRIM(G$7)))*(GJ[Account Code]=(TRIM($D12))),GJ[Credit]))))-((SUM(IF((CkDJ[Ofc Code]=(TRIM(G$7)))*(CkDJ[Account Code]=(TRIM($D12))),CkDJ[Debit])))+(SUM(IF((CsDJ[Ofc Code]=(TRIM(G$7)))*(CsDJ[Account Code]=(TRIM($D12))),CsDJ[Debit])))+(SUM(IF((CRDJ[Ofc Code]=(TRIM(G$7)))*(CRDJ[Account Code]=(TRIM($D12))),CRDJ[Debit])))+(SUM(IF((GJ[Ofc Code]=(TRIM(G$7)))*(GJ[Account Code]=(TRIM($D12))),GJ[Debit]))))</f>
        <v>0</v>
      </c>
      <c r="H12" s="211">
        <f t="array" ref="H12">((SUM(IF((CkDJ[Ofc Code]=(TRIM(H$7)))*(CkDJ[Account Code]=(TRIM($D12))),CkDJ[Credit])))+(SUM(IF((CsDJ[Ofc Code]=(TRIM(H$7)))*(CsDJ[Account Code]=(TRIM($D12))),CsDJ[Credit])))+(SUM(IF((CRDJ[Ofc Code]=(TRIM(H$7)))*(CRDJ[Account Code]=(TRIM($D12))),CRDJ[Credit])))+(SUM(IF((GJ[Ofc Code]=(TRIM(H$7)))*(GJ[Account Code]=(TRIM($D12))),GJ[Credit]))))-((SUM(IF((CkDJ[Ofc Code]=(TRIM(H$7)))*(CkDJ[Account Code]=(TRIM($D12))),CkDJ[Debit])))+(SUM(IF((CsDJ[Ofc Code]=(TRIM(H$7)))*(CsDJ[Account Code]=(TRIM($D12))),CsDJ[Debit])))+(SUM(IF((CRDJ[Ofc Code]=(TRIM(H$7)))*(CRDJ[Account Code]=(TRIM($D12))),CRDJ[Debit])))+(SUM(IF((GJ[Ofc Code]=(TRIM(H$7)))*(GJ[Account Code]=(TRIM($D12))),GJ[Debit]))))</f>
        <v>0</v>
      </c>
      <c r="I12" s="211">
        <f t="array" ref="I12">((SUM(IF((CkDJ[Ofc Code]=(TRIM(I$7)))*(CkDJ[Account Code]=(TRIM($D12))),CkDJ[Credit])))+(SUM(IF((CsDJ[Ofc Code]=(TRIM(I$7)))*(CsDJ[Account Code]=(TRIM($D12))),CsDJ[Credit])))+(SUM(IF((CRDJ[Ofc Code]=(TRIM(I$7)))*(CRDJ[Account Code]=(TRIM($D12))),CRDJ[Credit])))+(SUM(IF((GJ[Ofc Code]=(TRIM(I$7)))*(GJ[Account Code]=(TRIM($D12))),GJ[Credit]))))-((SUM(IF((CkDJ[Ofc Code]=(TRIM(I$7)))*(CkDJ[Account Code]=(TRIM($D12))),CkDJ[Debit])))+(SUM(IF((CsDJ[Ofc Code]=(TRIM(I$7)))*(CsDJ[Account Code]=(TRIM($D12))),CsDJ[Debit])))+(SUM(IF((CRDJ[Ofc Code]=(TRIM(I$7)))*(CRDJ[Account Code]=(TRIM($D12))),CRDJ[Debit])))+(SUM(IF((GJ[Ofc Code]=(TRIM(I$7)))*(GJ[Account Code]=(TRIM($D12))),GJ[Debit]))))</f>
        <v>0</v>
      </c>
      <c r="J12" s="211">
        <f>SUM(F12:I12)</f>
        <v>0</v>
      </c>
      <c r="K12" s="211">
        <f t="array" ref="K12">((SUM(IF((CkDJ[Ofc Code]=(TRIM(K$7)))*(CkDJ[Account Code]=(TRIM($D12))),CkDJ[Credit])))+(SUM(IF((CsDJ[Ofc Code]=(TRIM(K$7)))*(CsDJ[Account Code]=(TRIM($D12))),CsDJ[Credit])))+(SUM(IF((CRDJ[Ofc Code]=(TRIM(K$7)))*(CRDJ[Account Code]=(TRIM($D12))),CRDJ[Credit])))+(SUM(IF((GJ[Ofc Code]=(TRIM(K$7)))*(GJ[Account Code]=(TRIM($D12))),GJ[Credit]))))-((SUM(IF((CkDJ[Ofc Code]=(TRIM(K$7)))*(CkDJ[Account Code]=(TRIM($D12))),CkDJ[Debit])))+(SUM(IF((CsDJ[Ofc Code]=(TRIM(K$7)))*(CsDJ[Account Code]=(TRIM($D12))),CsDJ[Debit])))+(SUM(IF((CRDJ[Ofc Code]=(TRIM(K$7)))*(CRDJ[Account Code]=(TRIM($D12))),CRDJ[Debit])))+(SUM(IF((GJ[Ofc Code]=(TRIM(K$7)))*(GJ[Account Code]=(TRIM($D12))),GJ[Debit]))))</f>
        <v>0</v>
      </c>
      <c r="L12" s="211">
        <f t="array" ref="L12">((SUM(IF((CkDJ[Ofc Code]=(TRIM(L$7)))*(CkDJ[Account Code]=(TRIM($D12))),CkDJ[Credit])))+(SUM(IF((CsDJ[Ofc Code]=(TRIM(L$7)))*(CsDJ[Account Code]=(TRIM($D12))),CsDJ[Credit])))+(SUM(IF((CRDJ[Ofc Code]=(TRIM(L$7)))*(CRDJ[Account Code]=(TRIM($D12))),CRDJ[Credit])))+(SUM(IF((GJ[Ofc Code]=(TRIM(L$7)))*(GJ[Account Code]=(TRIM($D12))),GJ[Credit]))))-((SUM(IF((CkDJ[Ofc Code]=(TRIM(L$7)))*(CkDJ[Account Code]=(TRIM($D12))),CkDJ[Debit])))+(SUM(IF((CsDJ[Ofc Code]=(TRIM(L$7)))*(CsDJ[Account Code]=(TRIM($D12))),CsDJ[Debit])))+(SUM(IF((CRDJ[Ofc Code]=(TRIM(L$7)))*(CRDJ[Account Code]=(TRIM($D12))),CRDJ[Debit])))+(SUM(IF((GJ[Ofc Code]=(TRIM(L$7)))*(GJ[Account Code]=(TRIM($D12))),GJ[Debit]))))</f>
        <v>0</v>
      </c>
      <c r="M12" s="211">
        <f t="array" ref="M12">((SUM(IF((CkDJ[Ofc Code]=(TRIM(M$7)))*(CkDJ[Account Code]=(TRIM($D12))),CkDJ[Credit])))+(SUM(IF((CsDJ[Ofc Code]=(TRIM(M$7)))*(CsDJ[Account Code]=(TRIM($D12))),CsDJ[Credit])))+(SUM(IF((CRDJ[Ofc Code]=(TRIM(M$7)))*(CRDJ[Account Code]=(TRIM($D12))),CRDJ[Credit])))+(SUM(IF((GJ[Ofc Code]=(TRIM(M$7)))*(GJ[Account Code]=(TRIM($D12))),GJ[Credit]))))-((SUM(IF((CkDJ[Ofc Code]=(TRIM(M$7)))*(CkDJ[Account Code]=(TRIM($D12))),CkDJ[Debit])))+(SUM(IF((CsDJ[Ofc Code]=(TRIM(M$7)))*(CsDJ[Account Code]=(TRIM($D12))),CsDJ[Debit])))+(SUM(IF((CRDJ[Ofc Code]=(TRIM(M$7)))*(CRDJ[Account Code]=(TRIM($D12))),CRDJ[Debit])))+(SUM(IF((GJ[Ofc Code]=(TRIM(M$7)))*(GJ[Account Code]=(TRIM($D12))),GJ[Debit]))))</f>
        <v>0</v>
      </c>
      <c r="N12" s="211">
        <f t="array" ref="N12">((SUM(IF((CkDJ[Ofc Code]=(TRIM(N$7)))*(CkDJ[Account Code]=(TRIM($D12))),CkDJ[Credit])))+(SUM(IF((CsDJ[Ofc Code]=(TRIM(N$7)))*(CsDJ[Account Code]=(TRIM($D12))),CsDJ[Credit])))+(SUM(IF((CRDJ[Ofc Code]=(TRIM(N$7)))*(CRDJ[Account Code]=(TRIM($D12))),CRDJ[Credit])))+(SUM(IF((GJ[Ofc Code]=(TRIM(N$7)))*(GJ[Account Code]=(TRIM($D12))),GJ[Credit]))))-((SUM(IF((CkDJ[Ofc Code]=(TRIM(N$7)))*(CkDJ[Account Code]=(TRIM($D12))),CkDJ[Debit])))+(SUM(IF((CsDJ[Ofc Code]=(TRIM(N$7)))*(CsDJ[Account Code]=(TRIM($D12))),CsDJ[Debit])))+(SUM(IF((CRDJ[Ofc Code]=(TRIM(N$7)))*(CRDJ[Account Code]=(TRIM($D12))),CRDJ[Debit])))+(SUM(IF((GJ[Ofc Code]=(TRIM(N$7)))*(GJ[Account Code]=(TRIM($D12))),GJ[Debit]))))</f>
        <v>0</v>
      </c>
      <c r="O12" s="211">
        <f>SUM(K12:N12)</f>
        <v>0</v>
      </c>
      <c r="P12" s="211">
        <f t="array" ref="P12">((SUM(IF((CkDJ[Ofc Code]=(TRIM(P$7)))*(CkDJ[Account Code]=(TRIM($D12))),CkDJ[Credit])))+(SUM(IF((CsDJ[Ofc Code]=(TRIM(P$7)))*(CsDJ[Account Code]=(TRIM($D12))),CsDJ[Credit])))+(SUM(IF((CRDJ[Ofc Code]=(TRIM(P$7)))*(CRDJ[Account Code]=(TRIM($D12))),CRDJ[Credit])))+(SUM(IF((GJ[Ofc Code]=(TRIM(P$7)))*(GJ[Account Code]=(TRIM($D12))),GJ[Credit]))))-((SUM(IF((CkDJ[Ofc Code]=(TRIM(P$7)))*(CkDJ[Account Code]=(TRIM($D12))),CkDJ[Debit])))+(SUM(IF((CsDJ[Ofc Code]=(TRIM(P$7)))*(CsDJ[Account Code]=(TRIM($D12))),CsDJ[Debit])))+(SUM(IF((CRDJ[Ofc Code]=(TRIM(P$7)))*(CRDJ[Account Code]=(TRIM($D12))),CRDJ[Debit])))+(SUM(IF((GJ[Ofc Code]=(TRIM(P$7)))*(GJ[Account Code]=(TRIM($D12))),GJ[Debit]))))</f>
        <v>0</v>
      </c>
      <c r="Q12" s="211">
        <f t="array" ref="Q12">((SUM(IF((CkDJ[Ofc Code]=(TRIM(Q$7)))*(CkDJ[Account Code]=(TRIM($D12))),CkDJ[Credit])))+(SUM(IF((CsDJ[Ofc Code]=(TRIM(Q$7)))*(CsDJ[Account Code]=(TRIM($D12))),CsDJ[Credit])))+(SUM(IF((CRDJ[Ofc Code]=(TRIM(Q$7)))*(CRDJ[Account Code]=(TRIM($D12))),CRDJ[Credit])))+(SUM(IF((GJ[Ofc Code]=(TRIM(Q$7)))*(GJ[Account Code]=(TRIM($D12))),GJ[Credit]))))-((SUM(IF((CkDJ[Ofc Code]=(TRIM(Q$7)))*(CkDJ[Account Code]=(TRIM($D12))),CkDJ[Debit])))+(SUM(IF((CsDJ[Ofc Code]=(TRIM(Q$7)))*(CsDJ[Account Code]=(TRIM($D12))),CsDJ[Debit])))+(SUM(IF((CRDJ[Ofc Code]=(TRIM(Q$7)))*(CRDJ[Account Code]=(TRIM($D12))),CRDJ[Debit])))+(SUM(IF((GJ[Ofc Code]=(TRIM(Q$7)))*(GJ[Account Code]=(TRIM($D12))),GJ[Debit]))))</f>
        <v>0</v>
      </c>
      <c r="R12" s="211">
        <f t="array" ref="R12">((SUM(IF((CkDJ[Ofc Code]=(TRIM(R$7)))*(CkDJ[Account Code]=(TRIM($D12))),CkDJ[Credit])))+(SUM(IF((CsDJ[Ofc Code]=(TRIM(R$7)))*(CsDJ[Account Code]=(TRIM($D12))),CsDJ[Credit])))+(SUM(IF((CRDJ[Ofc Code]=(TRIM(R$7)))*(CRDJ[Account Code]=(TRIM($D12))),CRDJ[Credit])))+(SUM(IF((GJ[Ofc Code]=(TRIM(R$7)))*(GJ[Account Code]=(TRIM($D12))),GJ[Credit]))))-((SUM(IF((CkDJ[Ofc Code]=(TRIM(R$7)))*(CkDJ[Account Code]=(TRIM($D12))),CkDJ[Debit])))+(SUM(IF((CsDJ[Ofc Code]=(TRIM(R$7)))*(CsDJ[Account Code]=(TRIM($D12))),CsDJ[Debit])))+(SUM(IF((CRDJ[Ofc Code]=(TRIM(R$7)))*(CRDJ[Account Code]=(TRIM($D12))),CRDJ[Debit])))+(SUM(IF((GJ[Ofc Code]=(TRIM(R$7)))*(GJ[Account Code]=(TRIM($D12))),GJ[Debit]))))</f>
        <v>0</v>
      </c>
      <c r="S12" s="211">
        <f t="array" ref="S12">((SUM(IF((CkDJ[Ofc Code]=(TRIM(S$7)))*(CkDJ[Account Code]=(TRIM($D12))),CkDJ[Credit])))+(SUM(IF((CsDJ[Ofc Code]=(TRIM(S$7)))*(CsDJ[Account Code]=(TRIM($D12))),CsDJ[Credit])))+(SUM(IF((CRDJ[Ofc Code]=(TRIM(S$7)))*(CRDJ[Account Code]=(TRIM($D12))),CRDJ[Credit])))+(SUM(IF((GJ[Ofc Code]=(TRIM(S$7)))*(GJ[Account Code]=(TRIM($D12))),GJ[Credit]))))-((SUM(IF((CkDJ[Ofc Code]=(TRIM(S$7)))*(CkDJ[Account Code]=(TRIM($D12))),CkDJ[Debit])))+(SUM(IF((CsDJ[Ofc Code]=(TRIM(S$7)))*(CsDJ[Account Code]=(TRIM($D12))),CsDJ[Debit])))+(SUM(IF((CRDJ[Ofc Code]=(TRIM(S$7)))*(CRDJ[Account Code]=(TRIM($D12))),CRDJ[Debit])))+(SUM(IF((GJ[Ofc Code]=(TRIM(S$7)))*(GJ[Account Code]=(TRIM($D12))),GJ[Debit]))))</f>
        <v>0</v>
      </c>
      <c r="T12" s="211">
        <f t="array" ref="T12">((SUM(IF((CkDJ[Ofc Code]=(TRIM(T$7)))*(CkDJ[Account Code]=(TRIM($D12))),CkDJ[Credit])))+(SUM(IF((CsDJ[Ofc Code]=(TRIM(T$7)))*(CsDJ[Account Code]=(TRIM($D12))),CsDJ[Credit])))+(SUM(IF((CRDJ[Ofc Code]=(TRIM(T$7)))*(CRDJ[Account Code]=(TRIM($D12))),CRDJ[Credit])))+(SUM(IF((GJ[Ofc Code]=(TRIM(T$7)))*(GJ[Account Code]=(TRIM($D12))),GJ[Credit]))))-((SUM(IF((CkDJ[Ofc Code]=(TRIM(T$7)))*(CkDJ[Account Code]=(TRIM($D12))),CkDJ[Debit])))+(SUM(IF((CsDJ[Ofc Code]=(TRIM(T$7)))*(CsDJ[Account Code]=(TRIM($D12))),CsDJ[Debit])))+(SUM(IF((CRDJ[Ofc Code]=(TRIM(T$7)))*(CRDJ[Account Code]=(TRIM($D12))),CRDJ[Debit])))+(SUM(IF((GJ[Ofc Code]=(TRIM(T$7)))*(GJ[Account Code]=(TRIM($D12))),GJ[Debit]))))</f>
        <v>0</v>
      </c>
      <c r="U12" s="211">
        <f>SUM(P12:T12)</f>
        <v>0</v>
      </c>
      <c r="V12" s="211">
        <f>E12+J12+O12+U12</f>
        <v>0</v>
      </c>
    </row>
    <row r="13" spans="1:22" ht="15" x14ac:dyDescent="0.25">
      <c r="A13" s="212">
        <f t="shared" si="5"/>
        <v>5</v>
      </c>
      <c r="B13" s="214"/>
      <c r="C13" s="194" t="str">
        <f t="shared" si="0"/>
        <v>Other Service Income - CIS Amortization (Current Account)</v>
      </c>
      <c r="D13" s="207" t="s">
        <v>128</v>
      </c>
      <c r="E13" s="211">
        <f t="array" ref="E13">((SUM(IF((CkDJ[Ofc Code]=(TRIM(E$7)))*(CkDJ[Account Code]=(TRIM($D13))),CkDJ[Credit])))+(SUM(IF((CsDJ[Ofc Code]=(TRIM(E$7)))*(CsDJ[Account Code]=(TRIM($D13))),CsDJ[Credit])))+(SUM(IF((CRDJ[Ofc Code]=(TRIM(E$7)))*(CRDJ[Account Code]=(TRIM($D13))),CRDJ[Credit])))+(SUM(IF((GJ[Ofc Code]=(TRIM(E$7)))*(GJ[Account Code]=(TRIM($D13))),GJ[Credit]))))-((SUM(IF((CkDJ[Ofc Code]=(TRIM(E$7)))*(CkDJ[Account Code]=(TRIM($D13))),CkDJ[Debit])))+(SUM(IF((CsDJ[Ofc Code]=(TRIM(E$7)))*(CsDJ[Account Code]=(TRIM($D13))),CsDJ[Debit])))+(SUM(IF((CRDJ[Ofc Code]=(TRIM(E$7)))*(CRDJ[Account Code]=(TRIM($D13))),CRDJ[Debit])))+(SUM(IF((GJ[Ofc Code]=(TRIM(E$7)))*(GJ[Account Code]=(TRIM($D13))),GJ[Debit]))))</f>
        <v>0</v>
      </c>
      <c r="F13" s="211">
        <f t="array" ref="F13">((SUM(IF((CkDJ[Ofc Code]=(TRIM(F$7)))*(CkDJ[Account Code]=(TRIM($D13))),CkDJ[Credit])))+(SUM(IF((CsDJ[Ofc Code]=(TRIM(F$7)))*(CsDJ[Account Code]=(TRIM($D13))),CsDJ[Credit])))+(SUM(IF((CRDJ[Ofc Code]=(TRIM(F$7)))*(CRDJ[Account Code]=(TRIM($D13))),CRDJ[Credit])))+(SUM(IF((GJ[Ofc Code]=(TRIM(F$7)))*(GJ[Account Code]=(TRIM($D13))),GJ[Credit]))))-((SUM(IF((CkDJ[Ofc Code]=(TRIM(F$7)))*(CkDJ[Account Code]=(TRIM($D13))),CkDJ[Debit])))+(SUM(IF((CsDJ[Ofc Code]=(TRIM(F$7)))*(CsDJ[Account Code]=(TRIM($D13))),CsDJ[Debit])))+(SUM(IF((CRDJ[Ofc Code]=(TRIM(F$7)))*(CRDJ[Account Code]=(TRIM($D13))),CRDJ[Debit])))+(SUM(IF((GJ[Ofc Code]=(TRIM(F$7)))*(GJ[Account Code]=(TRIM($D13))),GJ[Debit]))))</f>
        <v>0</v>
      </c>
      <c r="G13" s="211">
        <f t="array" ref="G13">((SUM(IF((CkDJ[Ofc Code]=(TRIM(G$7)))*(CkDJ[Account Code]=(TRIM($D13))),CkDJ[Credit])))+(SUM(IF((CsDJ[Ofc Code]=(TRIM(G$7)))*(CsDJ[Account Code]=(TRIM($D13))),CsDJ[Credit])))+(SUM(IF((CRDJ[Ofc Code]=(TRIM(G$7)))*(CRDJ[Account Code]=(TRIM($D13))),CRDJ[Credit])))+(SUM(IF((GJ[Ofc Code]=(TRIM(G$7)))*(GJ[Account Code]=(TRIM($D13))),GJ[Credit]))))-((SUM(IF((CkDJ[Ofc Code]=(TRIM(G$7)))*(CkDJ[Account Code]=(TRIM($D13))),CkDJ[Debit])))+(SUM(IF((CsDJ[Ofc Code]=(TRIM(G$7)))*(CsDJ[Account Code]=(TRIM($D13))),CsDJ[Debit])))+(SUM(IF((CRDJ[Ofc Code]=(TRIM(G$7)))*(CRDJ[Account Code]=(TRIM($D13))),CRDJ[Debit])))+(SUM(IF((GJ[Ofc Code]=(TRIM(G$7)))*(GJ[Account Code]=(TRIM($D13))),GJ[Debit]))))</f>
        <v>0</v>
      </c>
      <c r="H13" s="211">
        <f t="array" ref="H13">((SUM(IF((CkDJ[Ofc Code]=(TRIM(H$7)))*(CkDJ[Account Code]=(TRIM($D13))),CkDJ[Credit])))+(SUM(IF((CsDJ[Ofc Code]=(TRIM(H$7)))*(CsDJ[Account Code]=(TRIM($D13))),CsDJ[Credit])))+(SUM(IF((CRDJ[Ofc Code]=(TRIM(H$7)))*(CRDJ[Account Code]=(TRIM($D13))),CRDJ[Credit])))+(SUM(IF((GJ[Ofc Code]=(TRIM(H$7)))*(GJ[Account Code]=(TRIM($D13))),GJ[Credit]))))-((SUM(IF((CkDJ[Ofc Code]=(TRIM(H$7)))*(CkDJ[Account Code]=(TRIM($D13))),CkDJ[Debit])))+(SUM(IF((CsDJ[Ofc Code]=(TRIM(H$7)))*(CsDJ[Account Code]=(TRIM($D13))),CsDJ[Debit])))+(SUM(IF((CRDJ[Ofc Code]=(TRIM(H$7)))*(CRDJ[Account Code]=(TRIM($D13))),CRDJ[Debit])))+(SUM(IF((GJ[Ofc Code]=(TRIM(H$7)))*(GJ[Account Code]=(TRIM($D13))),GJ[Debit]))))</f>
        <v>0</v>
      </c>
      <c r="I13" s="211">
        <f t="array" ref="I13">((SUM(IF((CkDJ[Ofc Code]=(TRIM(I$7)))*(CkDJ[Account Code]=(TRIM($D13))),CkDJ[Credit])))+(SUM(IF((CsDJ[Ofc Code]=(TRIM(I$7)))*(CsDJ[Account Code]=(TRIM($D13))),CsDJ[Credit])))+(SUM(IF((CRDJ[Ofc Code]=(TRIM(I$7)))*(CRDJ[Account Code]=(TRIM($D13))),CRDJ[Credit])))+(SUM(IF((GJ[Ofc Code]=(TRIM(I$7)))*(GJ[Account Code]=(TRIM($D13))),GJ[Credit]))))-((SUM(IF((CkDJ[Ofc Code]=(TRIM(I$7)))*(CkDJ[Account Code]=(TRIM($D13))),CkDJ[Debit])))+(SUM(IF((CsDJ[Ofc Code]=(TRIM(I$7)))*(CsDJ[Account Code]=(TRIM($D13))),CsDJ[Debit])))+(SUM(IF((CRDJ[Ofc Code]=(TRIM(I$7)))*(CRDJ[Account Code]=(TRIM($D13))),CRDJ[Debit])))+(SUM(IF((GJ[Ofc Code]=(TRIM(I$7)))*(GJ[Account Code]=(TRIM($D13))),GJ[Debit]))))</f>
        <v>0</v>
      </c>
      <c r="J13" s="211">
        <f t="shared" si="1"/>
        <v>0</v>
      </c>
      <c r="K13" s="211">
        <f t="array" ref="K13">((SUM(IF((CkDJ[Ofc Code]=(TRIM(K$7)))*(CkDJ[Account Code]=(TRIM($D13))),CkDJ[Credit])))+(SUM(IF((CsDJ[Ofc Code]=(TRIM(K$7)))*(CsDJ[Account Code]=(TRIM($D13))),CsDJ[Credit])))+(SUM(IF((CRDJ[Ofc Code]=(TRIM(K$7)))*(CRDJ[Account Code]=(TRIM($D13))),CRDJ[Credit])))+(SUM(IF((GJ[Ofc Code]=(TRIM(K$7)))*(GJ[Account Code]=(TRIM($D13))),GJ[Credit]))))-((SUM(IF((CkDJ[Ofc Code]=(TRIM(K$7)))*(CkDJ[Account Code]=(TRIM($D13))),CkDJ[Debit])))+(SUM(IF((CsDJ[Ofc Code]=(TRIM(K$7)))*(CsDJ[Account Code]=(TRIM($D13))),CsDJ[Debit])))+(SUM(IF((CRDJ[Ofc Code]=(TRIM(K$7)))*(CRDJ[Account Code]=(TRIM($D13))),CRDJ[Debit])))+(SUM(IF((GJ[Ofc Code]=(TRIM(K$7)))*(GJ[Account Code]=(TRIM($D13))),GJ[Debit]))))</f>
        <v>0</v>
      </c>
      <c r="L13" s="211">
        <f t="array" ref="L13">((SUM(IF((CkDJ[Ofc Code]=(TRIM(L$7)))*(CkDJ[Account Code]=(TRIM($D13))),CkDJ[Credit])))+(SUM(IF((CsDJ[Ofc Code]=(TRIM(L$7)))*(CsDJ[Account Code]=(TRIM($D13))),CsDJ[Credit])))+(SUM(IF((CRDJ[Ofc Code]=(TRIM(L$7)))*(CRDJ[Account Code]=(TRIM($D13))),CRDJ[Credit])))+(SUM(IF((GJ[Ofc Code]=(TRIM(L$7)))*(GJ[Account Code]=(TRIM($D13))),GJ[Credit]))))-((SUM(IF((CkDJ[Ofc Code]=(TRIM(L$7)))*(CkDJ[Account Code]=(TRIM($D13))),CkDJ[Debit])))+(SUM(IF((CsDJ[Ofc Code]=(TRIM(L$7)))*(CsDJ[Account Code]=(TRIM($D13))),CsDJ[Debit])))+(SUM(IF((CRDJ[Ofc Code]=(TRIM(L$7)))*(CRDJ[Account Code]=(TRIM($D13))),CRDJ[Debit])))+(SUM(IF((GJ[Ofc Code]=(TRIM(L$7)))*(GJ[Account Code]=(TRIM($D13))),GJ[Debit]))))</f>
        <v>0</v>
      </c>
      <c r="M13" s="211">
        <f t="array" ref="M13">((SUM(IF((CkDJ[Ofc Code]=(TRIM(M$7)))*(CkDJ[Account Code]=(TRIM($D13))),CkDJ[Credit])))+(SUM(IF((CsDJ[Ofc Code]=(TRIM(M$7)))*(CsDJ[Account Code]=(TRIM($D13))),CsDJ[Credit])))+(SUM(IF((CRDJ[Ofc Code]=(TRIM(M$7)))*(CRDJ[Account Code]=(TRIM($D13))),CRDJ[Credit])))+(SUM(IF((GJ[Ofc Code]=(TRIM(M$7)))*(GJ[Account Code]=(TRIM($D13))),GJ[Credit]))))-((SUM(IF((CkDJ[Ofc Code]=(TRIM(M$7)))*(CkDJ[Account Code]=(TRIM($D13))),CkDJ[Debit])))+(SUM(IF((CsDJ[Ofc Code]=(TRIM(M$7)))*(CsDJ[Account Code]=(TRIM($D13))),CsDJ[Debit])))+(SUM(IF((CRDJ[Ofc Code]=(TRIM(M$7)))*(CRDJ[Account Code]=(TRIM($D13))),CRDJ[Debit])))+(SUM(IF((GJ[Ofc Code]=(TRIM(M$7)))*(GJ[Account Code]=(TRIM($D13))),GJ[Debit]))))</f>
        <v>0</v>
      </c>
      <c r="N13" s="211">
        <f t="array" ref="N13">((SUM(IF((CkDJ[Ofc Code]=(TRIM(N$7)))*(CkDJ[Account Code]=(TRIM($D13))),CkDJ[Credit])))+(SUM(IF((CsDJ[Ofc Code]=(TRIM(N$7)))*(CsDJ[Account Code]=(TRIM($D13))),CsDJ[Credit])))+(SUM(IF((CRDJ[Ofc Code]=(TRIM(N$7)))*(CRDJ[Account Code]=(TRIM($D13))),CRDJ[Credit])))+(SUM(IF((GJ[Ofc Code]=(TRIM(N$7)))*(GJ[Account Code]=(TRIM($D13))),GJ[Credit]))))-((SUM(IF((CkDJ[Ofc Code]=(TRIM(N$7)))*(CkDJ[Account Code]=(TRIM($D13))),CkDJ[Debit])))+(SUM(IF((CsDJ[Ofc Code]=(TRIM(N$7)))*(CsDJ[Account Code]=(TRIM($D13))),CsDJ[Debit])))+(SUM(IF((CRDJ[Ofc Code]=(TRIM(N$7)))*(CRDJ[Account Code]=(TRIM($D13))),CRDJ[Debit])))+(SUM(IF((GJ[Ofc Code]=(TRIM(N$7)))*(GJ[Account Code]=(TRIM($D13))),GJ[Debit]))))</f>
        <v>0</v>
      </c>
      <c r="O13" s="211">
        <f t="shared" si="2"/>
        <v>0</v>
      </c>
      <c r="P13" s="211">
        <f t="array" ref="P13">((SUM(IF((CkDJ[Ofc Code]=(TRIM(P$7)))*(CkDJ[Account Code]=(TRIM($D13))),CkDJ[Credit])))+(SUM(IF((CsDJ[Ofc Code]=(TRIM(P$7)))*(CsDJ[Account Code]=(TRIM($D13))),CsDJ[Credit])))+(SUM(IF((CRDJ[Ofc Code]=(TRIM(P$7)))*(CRDJ[Account Code]=(TRIM($D13))),CRDJ[Credit])))+(SUM(IF((GJ[Ofc Code]=(TRIM(P$7)))*(GJ[Account Code]=(TRIM($D13))),GJ[Credit]))))-((SUM(IF((CkDJ[Ofc Code]=(TRIM(P$7)))*(CkDJ[Account Code]=(TRIM($D13))),CkDJ[Debit])))+(SUM(IF((CsDJ[Ofc Code]=(TRIM(P$7)))*(CsDJ[Account Code]=(TRIM($D13))),CsDJ[Debit])))+(SUM(IF((CRDJ[Ofc Code]=(TRIM(P$7)))*(CRDJ[Account Code]=(TRIM($D13))),CRDJ[Debit])))+(SUM(IF((GJ[Ofc Code]=(TRIM(P$7)))*(GJ[Account Code]=(TRIM($D13))),GJ[Debit]))))</f>
        <v>0</v>
      </c>
      <c r="Q13" s="211">
        <f t="array" ref="Q13">((SUM(IF((CkDJ[Ofc Code]=(TRIM(Q$7)))*(CkDJ[Account Code]=(TRIM($D13))),CkDJ[Credit])))+(SUM(IF((CsDJ[Ofc Code]=(TRIM(Q$7)))*(CsDJ[Account Code]=(TRIM($D13))),CsDJ[Credit])))+(SUM(IF((CRDJ[Ofc Code]=(TRIM(Q$7)))*(CRDJ[Account Code]=(TRIM($D13))),CRDJ[Credit])))+(SUM(IF((GJ[Ofc Code]=(TRIM(Q$7)))*(GJ[Account Code]=(TRIM($D13))),GJ[Credit]))))-((SUM(IF((CkDJ[Ofc Code]=(TRIM(Q$7)))*(CkDJ[Account Code]=(TRIM($D13))),CkDJ[Debit])))+(SUM(IF((CsDJ[Ofc Code]=(TRIM(Q$7)))*(CsDJ[Account Code]=(TRIM($D13))),CsDJ[Debit])))+(SUM(IF((CRDJ[Ofc Code]=(TRIM(Q$7)))*(CRDJ[Account Code]=(TRIM($D13))),CRDJ[Debit])))+(SUM(IF((GJ[Ofc Code]=(TRIM(Q$7)))*(GJ[Account Code]=(TRIM($D13))),GJ[Debit]))))</f>
        <v>0</v>
      </c>
      <c r="R13" s="211">
        <f t="array" ref="R13">((SUM(IF((CkDJ[Ofc Code]=(TRIM(R$7)))*(CkDJ[Account Code]=(TRIM($D13))),CkDJ[Credit])))+(SUM(IF((CsDJ[Ofc Code]=(TRIM(R$7)))*(CsDJ[Account Code]=(TRIM($D13))),CsDJ[Credit])))+(SUM(IF((CRDJ[Ofc Code]=(TRIM(R$7)))*(CRDJ[Account Code]=(TRIM($D13))),CRDJ[Credit])))+(SUM(IF((GJ[Ofc Code]=(TRIM(R$7)))*(GJ[Account Code]=(TRIM($D13))),GJ[Credit]))))-((SUM(IF((CkDJ[Ofc Code]=(TRIM(R$7)))*(CkDJ[Account Code]=(TRIM($D13))),CkDJ[Debit])))+(SUM(IF((CsDJ[Ofc Code]=(TRIM(R$7)))*(CsDJ[Account Code]=(TRIM($D13))),CsDJ[Debit])))+(SUM(IF((CRDJ[Ofc Code]=(TRIM(R$7)))*(CRDJ[Account Code]=(TRIM($D13))),CRDJ[Debit])))+(SUM(IF((GJ[Ofc Code]=(TRIM(R$7)))*(GJ[Account Code]=(TRIM($D13))),GJ[Debit]))))</f>
        <v>0</v>
      </c>
      <c r="S13" s="211">
        <f t="array" ref="S13">((SUM(IF((CkDJ[Ofc Code]=(TRIM(S$7)))*(CkDJ[Account Code]=(TRIM($D13))),CkDJ[Credit])))+(SUM(IF((CsDJ[Ofc Code]=(TRIM(S$7)))*(CsDJ[Account Code]=(TRIM($D13))),CsDJ[Credit])))+(SUM(IF((CRDJ[Ofc Code]=(TRIM(S$7)))*(CRDJ[Account Code]=(TRIM($D13))),CRDJ[Credit])))+(SUM(IF((GJ[Ofc Code]=(TRIM(S$7)))*(GJ[Account Code]=(TRIM($D13))),GJ[Credit]))))-((SUM(IF((CkDJ[Ofc Code]=(TRIM(S$7)))*(CkDJ[Account Code]=(TRIM($D13))),CkDJ[Debit])))+(SUM(IF((CsDJ[Ofc Code]=(TRIM(S$7)))*(CsDJ[Account Code]=(TRIM($D13))),CsDJ[Debit])))+(SUM(IF((CRDJ[Ofc Code]=(TRIM(S$7)))*(CRDJ[Account Code]=(TRIM($D13))),CRDJ[Debit])))+(SUM(IF((GJ[Ofc Code]=(TRIM(S$7)))*(GJ[Account Code]=(TRIM($D13))),GJ[Debit]))))</f>
        <v>0</v>
      </c>
      <c r="T13" s="211">
        <f t="array" ref="T13">((SUM(IF((CkDJ[Ofc Code]=(TRIM(T$7)))*(CkDJ[Account Code]=(TRIM($D13))),CkDJ[Credit])))+(SUM(IF((CsDJ[Ofc Code]=(TRIM(T$7)))*(CsDJ[Account Code]=(TRIM($D13))),CsDJ[Credit])))+(SUM(IF((CRDJ[Ofc Code]=(TRIM(T$7)))*(CRDJ[Account Code]=(TRIM($D13))),CRDJ[Credit])))+(SUM(IF((GJ[Ofc Code]=(TRIM(T$7)))*(GJ[Account Code]=(TRIM($D13))),GJ[Credit]))))-((SUM(IF((CkDJ[Ofc Code]=(TRIM(T$7)))*(CkDJ[Account Code]=(TRIM($D13))),CkDJ[Debit])))+(SUM(IF((CsDJ[Ofc Code]=(TRIM(T$7)))*(CsDJ[Account Code]=(TRIM($D13))),CsDJ[Debit])))+(SUM(IF((CRDJ[Ofc Code]=(TRIM(T$7)))*(CRDJ[Account Code]=(TRIM($D13))),CRDJ[Debit])))+(SUM(IF((GJ[Ofc Code]=(TRIM(T$7)))*(GJ[Account Code]=(TRIM($D13))),GJ[Debit]))))</f>
        <v>0</v>
      </c>
      <c r="U13" s="211">
        <f t="shared" si="3"/>
        <v>0</v>
      </c>
      <c r="V13" s="211">
        <f t="shared" si="4"/>
        <v>0</v>
      </c>
    </row>
    <row r="14" spans="1:22" ht="15" x14ac:dyDescent="0.25">
      <c r="A14" s="212">
        <f t="shared" si="5"/>
        <v>6</v>
      </c>
      <c r="B14" s="214"/>
      <c r="C14" s="194" t="str">
        <f t="shared" si="0"/>
        <v>Other Service Income - CIS Amortization (Back Account)</v>
      </c>
      <c r="D14" s="207" t="s">
        <v>129</v>
      </c>
      <c r="E14" s="211">
        <f t="array" ref="E14">((SUM(IF((CkDJ[Ofc Code]=(TRIM(E$7)))*(CkDJ[Account Code]=(TRIM($D14))),CkDJ[Credit])))+(SUM(IF((CsDJ[Ofc Code]=(TRIM(E$7)))*(CsDJ[Account Code]=(TRIM($D14))),CsDJ[Credit])))+(SUM(IF((CRDJ[Ofc Code]=(TRIM(E$7)))*(CRDJ[Account Code]=(TRIM($D14))),CRDJ[Credit])))+(SUM(IF((GJ[Ofc Code]=(TRIM(E$7)))*(GJ[Account Code]=(TRIM($D14))),GJ[Credit]))))-((SUM(IF((CkDJ[Ofc Code]=(TRIM(E$7)))*(CkDJ[Account Code]=(TRIM($D14))),CkDJ[Debit])))+(SUM(IF((CsDJ[Ofc Code]=(TRIM(E$7)))*(CsDJ[Account Code]=(TRIM($D14))),CsDJ[Debit])))+(SUM(IF((CRDJ[Ofc Code]=(TRIM(E$7)))*(CRDJ[Account Code]=(TRIM($D14))),CRDJ[Debit])))+(SUM(IF((GJ[Ofc Code]=(TRIM(E$7)))*(GJ[Account Code]=(TRIM($D14))),GJ[Debit]))))</f>
        <v>0</v>
      </c>
      <c r="F14" s="211">
        <f t="array" ref="F14">((SUM(IF((CkDJ[Ofc Code]=(TRIM(F$7)))*(CkDJ[Account Code]=(TRIM($D14))),CkDJ[Credit])))+(SUM(IF((CsDJ[Ofc Code]=(TRIM(F$7)))*(CsDJ[Account Code]=(TRIM($D14))),CsDJ[Credit])))+(SUM(IF((CRDJ[Ofc Code]=(TRIM(F$7)))*(CRDJ[Account Code]=(TRIM($D14))),CRDJ[Credit])))+(SUM(IF((GJ[Ofc Code]=(TRIM(F$7)))*(GJ[Account Code]=(TRIM($D14))),GJ[Credit]))))-((SUM(IF((CkDJ[Ofc Code]=(TRIM(F$7)))*(CkDJ[Account Code]=(TRIM($D14))),CkDJ[Debit])))+(SUM(IF((CsDJ[Ofc Code]=(TRIM(F$7)))*(CsDJ[Account Code]=(TRIM($D14))),CsDJ[Debit])))+(SUM(IF((CRDJ[Ofc Code]=(TRIM(F$7)))*(CRDJ[Account Code]=(TRIM($D14))),CRDJ[Debit])))+(SUM(IF((GJ[Ofc Code]=(TRIM(F$7)))*(GJ[Account Code]=(TRIM($D14))),GJ[Debit]))))</f>
        <v>0</v>
      </c>
      <c r="G14" s="211">
        <f t="array" ref="G14">((SUM(IF((CkDJ[Ofc Code]=(TRIM(G$7)))*(CkDJ[Account Code]=(TRIM($D14))),CkDJ[Credit])))+(SUM(IF((CsDJ[Ofc Code]=(TRIM(G$7)))*(CsDJ[Account Code]=(TRIM($D14))),CsDJ[Credit])))+(SUM(IF((CRDJ[Ofc Code]=(TRIM(G$7)))*(CRDJ[Account Code]=(TRIM($D14))),CRDJ[Credit])))+(SUM(IF((GJ[Ofc Code]=(TRIM(G$7)))*(GJ[Account Code]=(TRIM($D14))),GJ[Credit]))))-((SUM(IF((CkDJ[Ofc Code]=(TRIM(G$7)))*(CkDJ[Account Code]=(TRIM($D14))),CkDJ[Debit])))+(SUM(IF((CsDJ[Ofc Code]=(TRIM(G$7)))*(CsDJ[Account Code]=(TRIM($D14))),CsDJ[Debit])))+(SUM(IF((CRDJ[Ofc Code]=(TRIM(G$7)))*(CRDJ[Account Code]=(TRIM($D14))),CRDJ[Debit])))+(SUM(IF((GJ[Ofc Code]=(TRIM(G$7)))*(GJ[Account Code]=(TRIM($D14))),GJ[Debit]))))</f>
        <v>0</v>
      </c>
      <c r="H14" s="211">
        <f t="array" ref="H14">((SUM(IF((CkDJ[Ofc Code]=(TRIM(H$7)))*(CkDJ[Account Code]=(TRIM($D14))),CkDJ[Credit])))+(SUM(IF((CsDJ[Ofc Code]=(TRIM(H$7)))*(CsDJ[Account Code]=(TRIM($D14))),CsDJ[Credit])))+(SUM(IF((CRDJ[Ofc Code]=(TRIM(H$7)))*(CRDJ[Account Code]=(TRIM($D14))),CRDJ[Credit])))+(SUM(IF((GJ[Ofc Code]=(TRIM(H$7)))*(GJ[Account Code]=(TRIM($D14))),GJ[Credit]))))-((SUM(IF((CkDJ[Ofc Code]=(TRIM(H$7)))*(CkDJ[Account Code]=(TRIM($D14))),CkDJ[Debit])))+(SUM(IF((CsDJ[Ofc Code]=(TRIM(H$7)))*(CsDJ[Account Code]=(TRIM($D14))),CsDJ[Debit])))+(SUM(IF((CRDJ[Ofc Code]=(TRIM(H$7)))*(CRDJ[Account Code]=(TRIM($D14))),CRDJ[Debit])))+(SUM(IF((GJ[Ofc Code]=(TRIM(H$7)))*(GJ[Account Code]=(TRIM($D14))),GJ[Debit]))))</f>
        <v>0</v>
      </c>
      <c r="I14" s="211">
        <f t="array" ref="I14">((SUM(IF((CkDJ[Ofc Code]=(TRIM(I$7)))*(CkDJ[Account Code]=(TRIM($D14))),CkDJ[Credit])))+(SUM(IF((CsDJ[Ofc Code]=(TRIM(I$7)))*(CsDJ[Account Code]=(TRIM($D14))),CsDJ[Credit])))+(SUM(IF((CRDJ[Ofc Code]=(TRIM(I$7)))*(CRDJ[Account Code]=(TRIM($D14))),CRDJ[Credit])))+(SUM(IF((GJ[Ofc Code]=(TRIM(I$7)))*(GJ[Account Code]=(TRIM($D14))),GJ[Credit]))))-((SUM(IF((CkDJ[Ofc Code]=(TRIM(I$7)))*(CkDJ[Account Code]=(TRIM($D14))),CkDJ[Debit])))+(SUM(IF((CsDJ[Ofc Code]=(TRIM(I$7)))*(CsDJ[Account Code]=(TRIM($D14))),CsDJ[Debit])))+(SUM(IF((CRDJ[Ofc Code]=(TRIM(I$7)))*(CRDJ[Account Code]=(TRIM($D14))),CRDJ[Debit])))+(SUM(IF((GJ[Ofc Code]=(TRIM(I$7)))*(GJ[Account Code]=(TRIM($D14))),GJ[Debit]))))</f>
        <v>0</v>
      </c>
      <c r="J14" s="211">
        <f t="shared" si="1"/>
        <v>0</v>
      </c>
      <c r="K14" s="211">
        <f t="array" ref="K14">((SUM(IF((CkDJ[Ofc Code]=(TRIM(K$7)))*(CkDJ[Account Code]=(TRIM($D14))),CkDJ[Credit])))+(SUM(IF((CsDJ[Ofc Code]=(TRIM(K$7)))*(CsDJ[Account Code]=(TRIM($D14))),CsDJ[Credit])))+(SUM(IF((CRDJ[Ofc Code]=(TRIM(K$7)))*(CRDJ[Account Code]=(TRIM($D14))),CRDJ[Credit])))+(SUM(IF((GJ[Ofc Code]=(TRIM(K$7)))*(GJ[Account Code]=(TRIM($D14))),GJ[Credit]))))-((SUM(IF((CkDJ[Ofc Code]=(TRIM(K$7)))*(CkDJ[Account Code]=(TRIM($D14))),CkDJ[Debit])))+(SUM(IF((CsDJ[Ofc Code]=(TRIM(K$7)))*(CsDJ[Account Code]=(TRIM($D14))),CsDJ[Debit])))+(SUM(IF((CRDJ[Ofc Code]=(TRIM(K$7)))*(CRDJ[Account Code]=(TRIM($D14))),CRDJ[Debit])))+(SUM(IF((GJ[Ofc Code]=(TRIM(K$7)))*(GJ[Account Code]=(TRIM($D14))),GJ[Debit]))))</f>
        <v>0</v>
      </c>
      <c r="L14" s="211">
        <f t="array" ref="L14">((SUM(IF((CkDJ[Ofc Code]=(TRIM(L$7)))*(CkDJ[Account Code]=(TRIM($D14))),CkDJ[Credit])))+(SUM(IF((CsDJ[Ofc Code]=(TRIM(L$7)))*(CsDJ[Account Code]=(TRIM($D14))),CsDJ[Credit])))+(SUM(IF((CRDJ[Ofc Code]=(TRIM(L$7)))*(CRDJ[Account Code]=(TRIM($D14))),CRDJ[Credit])))+(SUM(IF((GJ[Ofc Code]=(TRIM(L$7)))*(GJ[Account Code]=(TRIM($D14))),GJ[Credit]))))-((SUM(IF((CkDJ[Ofc Code]=(TRIM(L$7)))*(CkDJ[Account Code]=(TRIM($D14))),CkDJ[Debit])))+(SUM(IF((CsDJ[Ofc Code]=(TRIM(L$7)))*(CsDJ[Account Code]=(TRIM($D14))),CsDJ[Debit])))+(SUM(IF((CRDJ[Ofc Code]=(TRIM(L$7)))*(CRDJ[Account Code]=(TRIM($D14))),CRDJ[Debit])))+(SUM(IF((GJ[Ofc Code]=(TRIM(L$7)))*(GJ[Account Code]=(TRIM($D14))),GJ[Debit]))))</f>
        <v>0</v>
      </c>
      <c r="M14" s="211">
        <f t="array" ref="M14">((SUM(IF((CkDJ[Ofc Code]=(TRIM(M$7)))*(CkDJ[Account Code]=(TRIM($D14))),CkDJ[Credit])))+(SUM(IF((CsDJ[Ofc Code]=(TRIM(M$7)))*(CsDJ[Account Code]=(TRIM($D14))),CsDJ[Credit])))+(SUM(IF((CRDJ[Ofc Code]=(TRIM(M$7)))*(CRDJ[Account Code]=(TRIM($D14))),CRDJ[Credit])))+(SUM(IF((GJ[Ofc Code]=(TRIM(M$7)))*(GJ[Account Code]=(TRIM($D14))),GJ[Credit]))))-((SUM(IF((CkDJ[Ofc Code]=(TRIM(M$7)))*(CkDJ[Account Code]=(TRIM($D14))),CkDJ[Debit])))+(SUM(IF((CsDJ[Ofc Code]=(TRIM(M$7)))*(CsDJ[Account Code]=(TRIM($D14))),CsDJ[Debit])))+(SUM(IF((CRDJ[Ofc Code]=(TRIM(M$7)))*(CRDJ[Account Code]=(TRIM($D14))),CRDJ[Debit])))+(SUM(IF((GJ[Ofc Code]=(TRIM(M$7)))*(GJ[Account Code]=(TRIM($D14))),GJ[Debit]))))</f>
        <v>0</v>
      </c>
      <c r="N14" s="211">
        <f t="array" ref="N14">((SUM(IF((CkDJ[Ofc Code]=(TRIM(N$7)))*(CkDJ[Account Code]=(TRIM($D14))),CkDJ[Credit])))+(SUM(IF((CsDJ[Ofc Code]=(TRIM(N$7)))*(CsDJ[Account Code]=(TRIM($D14))),CsDJ[Credit])))+(SUM(IF((CRDJ[Ofc Code]=(TRIM(N$7)))*(CRDJ[Account Code]=(TRIM($D14))),CRDJ[Credit])))+(SUM(IF((GJ[Ofc Code]=(TRIM(N$7)))*(GJ[Account Code]=(TRIM($D14))),GJ[Credit]))))-((SUM(IF((CkDJ[Ofc Code]=(TRIM(N$7)))*(CkDJ[Account Code]=(TRIM($D14))),CkDJ[Debit])))+(SUM(IF((CsDJ[Ofc Code]=(TRIM(N$7)))*(CsDJ[Account Code]=(TRIM($D14))),CsDJ[Debit])))+(SUM(IF((CRDJ[Ofc Code]=(TRIM(N$7)))*(CRDJ[Account Code]=(TRIM($D14))),CRDJ[Debit])))+(SUM(IF((GJ[Ofc Code]=(TRIM(N$7)))*(GJ[Account Code]=(TRIM($D14))),GJ[Debit]))))</f>
        <v>0</v>
      </c>
      <c r="O14" s="211">
        <f t="shared" si="2"/>
        <v>0</v>
      </c>
      <c r="P14" s="211">
        <f t="array" ref="P14">((SUM(IF((CkDJ[Ofc Code]=(TRIM(P$7)))*(CkDJ[Account Code]=(TRIM($D14))),CkDJ[Credit])))+(SUM(IF((CsDJ[Ofc Code]=(TRIM(P$7)))*(CsDJ[Account Code]=(TRIM($D14))),CsDJ[Credit])))+(SUM(IF((CRDJ[Ofc Code]=(TRIM(P$7)))*(CRDJ[Account Code]=(TRIM($D14))),CRDJ[Credit])))+(SUM(IF((GJ[Ofc Code]=(TRIM(P$7)))*(GJ[Account Code]=(TRIM($D14))),GJ[Credit]))))-((SUM(IF((CkDJ[Ofc Code]=(TRIM(P$7)))*(CkDJ[Account Code]=(TRIM($D14))),CkDJ[Debit])))+(SUM(IF((CsDJ[Ofc Code]=(TRIM(P$7)))*(CsDJ[Account Code]=(TRIM($D14))),CsDJ[Debit])))+(SUM(IF((CRDJ[Ofc Code]=(TRIM(P$7)))*(CRDJ[Account Code]=(TRIM($D14))),CRDJ[Debit])))+(SUM(IF((GJ[Ofc Code]=(TRIM(P$7)))*(GJ[Account Code]=(TRIM($D14))),GJ[Debit]))))</f>
        <v>0</v>
      </c>
      <c r="Q14" s="211">
        <f t="array" ref="Q14">((SUM(IF((CkDJ[Ofc Code]=(TRIM(Q$7)))*(CkDJ[Account Code]=(TRIM($D14))),CkDJ[Credit])))+(SUM(IF((CsDJ[Ofc Code]=(TRIM(Q$7)))*(CsDJ[Account Code]=(TRIM($D14))),CsDJ[Credit])))+(SUM(IF((CRDJ[Ofc Code]=(TRIM(Q$7)))*(CRDJ[Account Code]=(TRIM($D14))),CRDJ[Credit])))+(SUM(IF((GJ[Ofc Code]=(TRIM(Q$7)))*(GJ[Account Code]=(TRIM($D14))),GJ[Credit]))))-((SUM(IF((CkDJ[Ofc Code]=(TRIM(Q$7)))*(CkDJ[Account Code]=(TRIM($D14))),CkDJ[Debit])))+(SUM(IF((CsDJ[Ofc Code]=(TRIM(Q$7)))*(CsDJ[Account Code]=(TRIM($D14))),CsDJ[Debit])))+(SUM(IF((CRDJ[Ofc Code]=(TRIM(Q$7)))*(CRDJ[Account Code]=(TRIM($D14))),CRDJ[Debit])))+(SUM(IF((GJ[Ofc Code]=(TRIM(Q$7)))*(GJ[Account Code]=(TRIM($D14))),GJ[Debit]))))</f>
        <v>0</v>
      </c>
      <c r="R14" s="211">
        <f t="array" ref="R14">((SUM(IF((CkDJ[Ofc Code]=(TRIM(R$7)))*(CkDJ[Account Code]=(TRIM($D14))),CkDJ[Credit])))+(SUM(IF((CsDJ[Ofc Code]=(TRIM(R$7)))*(CsDJ[Account Code]=(TRIM($D14))),CsDJ[Credit])))+(SUM(IF((CRDJ[Ofc Code]=(TRIM(R$7)))*(CRDJ[Account Code]=(TRIM($D14))),CRDJ[Credit])))+(SUM(IF((GJ[Ofc Code]=(TRIM(R$7)))*(GJ[Account Code]=(TRIM($D14))),GJ[Credit]))))-((SUM(IF((CkDJ[Ofc Code]=(TRIM(R$7)))*(CkDJ[Account Code]=(TRIM($D14))),CkDJ[Debit])))+(SUM(IF((CsDJ[Ofc Code]=(TRIM(R$7)))*(CsDJ[Account Code]=(TRIM($D14))),CsDJ[Debit])))+(SUM(IF((CRDJ[Ofc Code]=(TRIM(R$7)))*(CRDJ[Account Code]=(TRIM($D14))),CRDJ[Debit])))+(SUM(IF((GJ[Ofc Code]=(TRIM(R$7)))*(GJ[Account Code]=(TRIM($D14))),GJ[Debit]))))</f>
        <v>0</v>
      </c>
      <c r="S14" s="211">
        <f t="array" ref="S14">((SUM(IF((CkDJ[Ofc Code]=(TRIM(S$7)))*(CkDJ[Account Code]=(TRIM($D14))),CkDJ[Credit])))+(SUM(IF((CsDJ[Ofc Code]=(TRIM(S$7)))*(CsDJ[Account Code]=(TRIM($D14))),CsDJ[Credit])))+(SUM(IF((CRDJ[Ofc Code]=(TRIM(S$7)))*(CRDJ[Account Code]=(TRIM($D14))),CRDJ[Credit])))+(SUM(IF((GJ[Ofc Code]=(TRIM(S$7)))*(GJ[Account Code]=(TRIM($D14))),GJ[Credit]))))-((SUM(IF((CkDJ[Ofc Code]=(TRIM(S$7)))*(CkDJ[Account Code]=(TRIM($D14))),CkDJ[Debit])))+(SUM(IF((CsDJ[Ofc Code]=(TRIM(S$7)))*(CsDJ[Account Code]=(TRIM($D14))),CsDJ[Debit])))+(SUM(IF((CRDJ[Ofc Code]=(TRIM(S$7)))*(CRDJ[Account Code]=(TRIM($D14))),CRDJ[Debit])))+(SUM(IF((GJ[Ofc Code]=(TRIM(S$7)))*(GJ[Account Code]=(TRIM($D14))),GJ[Debit]))))</f>
        <v>0</v>
      </c>
      <c r="T14" s="211">
        <f t="array" ref="T14">((SUM(IF((CkDJ[Ofc Code]=(TRIM(T$7)))*(CkDJ[Account Code]=(TRIM($D14))),CkDJ[Credit])))+(SUM(IF((CsDJ[Ofc Code]=(TRIM(T$7)))*(CsDJ[Account Code]=(TRIM($D14))),CsDJ[Credit])))+(SUM(IF((CRDJ[Ofc Code]=(TRIM(T$7)))*(CRDJ[Account Code]=(TRIM($D14))),CRDJ[Credit])))+(SUM(IF((GJ[Ofc Code]=(TRIM(T$7)))*(GJ[Account Code]=(TRIM($D14))),GJ[Credit]))))-((SUM(IF((CkDJ[Ofc Code]=(TRIM(T$7)))*(CkDJ[Account Code]=(TRIM($D14))),CkDJ[Debit])))+(SUM(IF((CsDJ[Ofc Code]=(TRIM(T$7)))*(CsDJ[Account Code]=(TRIM($D14))),CsDJ[Debit])))+(SUM(IF((CRDJ[Ofc Code]=(TRIM(T$7)))*(CRDJ[Account Code]=(TRIM($D14))),CRDJ[Debit])))+(SUM(IF((GJ[Ofc Code]=(TRIM(T$7)))*(GJ[Account Code]=(TRIM($D14))),GJ[Debit]))))</f>
        <v>0</v>
      </c>
      <c r="U14" s="211">
        <f t="shared" si="3"/>
        <v>0</v>
      </c>
      <c r="V14" s="211">
        <f t="shared" si="4"/>
        <v>0</v>
      </c>
    </row>
    <row r="15" spans="1:22" ht="15" x14ac:dyDescent="0.25">
      <c r="A15" s="212">
        <f t="shared" si="5"/>
        <v>7</v>
      </c>
      <c r="B15" s="214"/>
      <c r="C15" s="194" t="e">
        <f t="shared" si="0"/>
        <v>#N/A</v>
      </c>
      <c r="D15" s="207" t="s">
        <v>130</v>
      </c>
      <c r="E15" s="211">
        <f t="array" ref="E15">((SUM(IF((CkDJ[Ofc Code]=(TRIM(E$7)))*(CkDJ[Account Code]=(TRIM($D15))),CkDJ[Credit])))+(SUM(IF((CsDJ[Ofc Code]=(TRIM(E$7)))*(CsDJ[Account Code]=(TRIM($D15))),CsDJ[Credit])))+(SUM(IF((CRDJ[Ofc Code]=(TRIM(E$7)))*(CRDJ[Account Code]=(TRIM($D15))),CRDJ[Credit])))+(SUM(IF((GJ[Ofc Code]=(TRIM(E$7)))*(GJ[Account Code]=(TRIM($D15))),GJ[Credit]))))-((SUM(IF((CkDJ[Ofc Code]=(TRIM(E$7)))*(CkDJ[Account Code]=(TRIM($D15))),CkDJ[Debit])))+(SUM(IF((CsDJ[Ofc Code]=(TRIM(E$7)))*(CsDJ[Account Code]=(TRIM($D15))),CsDJ[Debit])))+(SUM(IF((CRDJ[Ofc Code]=(TRIM(E$7)))*(CRDJ[Account Code]=(TRIM($D15))),CRDJ[Debit])))+(SUM(IF((GJ[Ofc Code]=(TRIM(E$7)))*(GJ[Account Code]=(TRIM($D15))),GJ[Debit]))))</f>
        <v>0</v>
      </c>
      <c r="F15" s="211">
        <f t="array" ref="F15">((SUM(IF((CkDJ[Ofc Code]=(TRIM(F$7)))*(CkDJ[Account Code]=(TRIM($D15))),CkDJ[Credit])))+(SUM(IF((CsDJ[Ofc Code]=(TRIM(F$7)))*(CsDJ[Account Code]=(TRIM($D15))),CsDJ[Credit])))+(SUM(IF((CRDJ[Ofc Code]=(TRIM(F$7)))*(CRDJ[Account Code]=(TRIM($D15))),CRDJ[Credit])))+(SUM(IF((GJ[Ofc Code]=(TRIM(F$7)))*(GJ[Account Code]=(TRIM($D15))),GJ[Credit]))))-((SUM(IF((CkDJ[Ofc Code]=(TRIM(F$7)))*(CkDJ[Account Code]=(TRIM($D15))),CkDJ[Debit])))+(SUM(IF((CsDJ[Ofc Code]=(TRIM(F$7)))*(CsDJ[Account Code]=(TRIM($D15))),CsDJ[Debit])))+(SUM(IF((CRDJ[Ofc Code]=(TRIM(F$7)))*(CRDJ[Account Code]=(TRIM($D15))),CRDJ[Debit])))+(SUM(IF((GJ[Ofc Code]=(TRIM(F$7)))*(GJ[Account Code]=(TRIM($D15))),GJ[Debit]))))</f>
        <v>0</v>
      </c>
      <c r="G15" s="211">
        <f t="array" ref="G15">((SUM(IF((CkDJ[Ofc Code]=(TRIM(G$7)))*(CkDJ[Account Code]=(TRIM($D15))),CkDJ[Credit])))+(SUM(IF((CsDJ[Ofc Code]=(TRIM(G$7)))*(CsDJ[Account Code]=(TRIM($D15))),CsDJ[Credit])))+(SUM(IF((CRDJ[Ofc Code]=(TRIM(G$7)))*(CRDJ[Account Code]=(TRIM($D15))),CRDJ[Credit])))+(SUM(IF((GJ[Ofc Code]=(TRIM(G$7)))*(GJ[Account Code]=(TRIM($D15))),GJ[Credit]))))-((SUM(IF((CkDJ[Ofc Code]=(TRIM(G$7)))*(CkDJ[Account Code]=(TRIM($D15))),CkDJ[Debit])))+(SUM(IF((CsDJ[Ofc Code]=(TRIM(G$7)))*(CsDJ[Account Code]=(TRIM($D15))),CsDJ[Debit])))+(SUM(IF((CRDJ[Ofc Code]=(TRIM(G$7)))*(CRDJ[Account Code]=(TRIM($D15))),CRDJ[Debit])))+(SUM(IF((GJ[Ofc Code]=(TRIM(G$7)))*(GJ[Account Code]=(TRIM($D15))),GJ[Debit]))))</f>
        <v>0</v>
      </c>
      <c r="H15" s="211">
        <f t="array" ref="H15">((SUM(IF((CkDJ[Ofc Code]=(TRIM(H$7)))*(CkDJ[Account Code]=(TRIM($D15))),CkDJ[Credit])))+(SUM(IF((CsDJ[Ofc Code]=(TRIM(H$7)))*(CsDJ[Account Code]=(TRIM($D15))),CsDJ[Credit])))+(SUM(IF((CRDJ[Ofc Code]=(TRIM(H$7)))*(CRDJ[Account Code]=(TRIM($D15))),CRDJ[Credit])))+(SUM(IF((GJ[Ofc Code]=(TRIM(H$7)))*(GJ[Account Code]=(TRIM($D15))),GJ[Credit]))))-((SUM(IF((CkDJ[Ofc Code]=(TRIM(H$7)))*(CkDJ[Account Code]=(TRIM($D15))),CkDJ[Debit])))+(SUM(IF((CsDJ[Ofc Code]=(TRIM(H$7)))*(CsDJ[Account Code]=(TRIM($D15))),CsDJ[Debit])))+(SUM(IF((CRDJ[Ofc Code]=(TRIM(H$7)))*(CRDJ[Account Code]=(TRIM($D15))),CRDJ[Debit])))+(SUM(IF((GJ[Ofc Code]=(TRIM(H$7)))*(GJ[Account Code]=(TRIM($D15))),GJ[Debit]))))</f>
        <v>0</v>
      </c>
      <c r="I15" s="211">
        <f t="array" ref="I15">((SUM(IF((CkDJ[Ofc Code]=(TRIM(I$7)))*(CkDJ[Account Code]=(TRIM($D15))),CkDJ[Credit])))+(SUM(IF((CsDJ[Ofc Code]=(TRIM(I$7)))*(CsDJ[Account Code]=(TRIM($D15))),CsDJ[Credit])))+(SUM(IF((CRDJ[Ofc Code]=(TRIM(I$7)))*(CRDJ[Account Code]=(TRIM($D15))),CRDJ[Credit])))+(SUM(IF((GJ[Ofc Code]=(TRIM(I$7)))*(GJ[Account Code]=(TRIM($D15))),GJ[Credit]))))-((SUM(IF((CkDJ[Ofc Code]=(TRIM(I$7)))*(CkDJ[Account Code]=(TRIM($D15))),CkDJ[Debit])))+(SUM(IF((CsDJ[Ofc Code]=(TRIM(I$7)))*(CsDJ[Account Code]=(TRIM($D15))),CsDJ[Debit])))+(SUM(IF((CRDJ[Ofc Code]=(TRIM(I$7)))*(CRDJ[Account Code]=(TRIM($D15))),CRDJ[Debit])))+(SUM(IF((GJ[Ofc Code]=(TRIM(I$7)))*(GJ[Account Code]=(TRIM($D15))),GJ[Debit]))))</f>
        <v>0</v>
      </c>
      <c r="J15" s="211">
        <f t="shared" si="1"/>
        <v>0</v>
      </c>
      <c r="K15" s="211">
        <f t="array" ref="K15">((SUM(IF((CkDJ[Ofc Code]=(TRIM(K$7)))*(CkDJ[Account Code]=(TRIM($D15))),CkDJ[Credit])))+(SUM(IF((CsDJ[Ofc Code]=(TRIM(K$7)))*(CsDJ[Account Code]=(TRIM($D15))),CsDJ[Credit])))+(SUM(IF((CRDJ[Ofc Code]=(TRIM(K$7)))*(CRDJ[Account Code]=(TRIM($D15))),CRDJ[Credit])))+(SUM(IF((GJ[Ofc Code]=(TRIM(K$7)))*(GJ[Account Code]=(TRIM($D15))),GJ[Credit]))))-((SUM(IF((CkDJ[Ofc Code]=(TRIM(K$7)))*(CkDJ[Account Code]=(TRIM($D15))),CkDJ[Debit])))+(SUM(IF((CsDJ[Ofc Code]=(TRIM(K$7)))*(CsDJ[Account Code]=(TRIM($D15))),CsDJ[Debit])))+(SUM(IF((CRDJ[Ofc Code]=(TRIM(K$7)))*(CRDJ[Account Code]=(TRIM($D15))),CRDJ[Debit])))+(SUM(IF((GJ[Ofc Code]=(TRIM(K$7)))*(GJ[Account Code]=(TRIM($D15))),GJ[Debit]))))</f>
        <v>0</v>
      </c>
      <c r="L15" s="211">
        <f t="array" ref="L15">((SUM(IF((CkDJ[Ofc Code]=(TRIM(L$7)))*(CkDJ[Account Code]=(TRIM($D15))),CkDJ[Credit])))+(SUM(IF((CsDJ[Ofc Code]=(TRIM(L$7)))*(CsDJ[Account Code]=(TRIM($D15))),CsDJ[Credit])))+(SUM(IF((CRDJ[Ofc Code]=(TRIM(L$7)))*(CRDJ[Account Code]=(TRIM($D15))),CRDJ[Credit])))+(SUM(IF((GJ[Ofc Code]=(TRIM(L$7)))*(GJ[Account Code]=(TRIM($D15))),GJ[Credit]))))-((SUM(IF((CkDJ[Ofc Code]=(TRIM(L$7)))*(CkDJ[Account Code]=(TRIM($D15))),CkDJ[Debit])))+(SUM(IF((CsDJ[Ofc Code]=(TRIM(L$7)))*(CsDJ[Account Code]=(TRIM($D15))),CsDJ[Debit])))+(SUM(IF((CRDJ[Ofc Code]=(TRIM(L$7)))*(CRDJ[Account Code]=(TRIM($D15))),CRDJ[Debit])))+(SUM(IF((GJ[Ofc Code]=(TRIM(L$7)))*(GJ[Account Code]=(TRIM($D15))),GJ[Debit]))))</f>
        <v>0</v>
      </c>
      <c r="M15" s="211">
        <f t="array" ref="M15">((SUM(IF((CkDJ[Ofc Code]=(TRIM(M$7)))*(CkDJ[Account Code]=(TRIM($D15))),CkDJ[Credit])))+(SUM(IF((CsDJ[Ofc Code]=(TRIM(M$7)))*(CsDJ[Account Code]=(TRIM($D15))),CsDJ[Credit])))+(SUM(IF((CRDJ[Ofc Code]=(TRIM(M$7)))*(CRDJ[Account Code]=(TRIM($D15))),CRDJ[Credit])))+(SUM(IF((GJ[Ofc Code]=(TRIM(M$7)))*(GJ[Account Code]=(TRIM($D15))),GJ[Credit]))))-((SUM(IF((CkDJ[Ofc Code]=(TRIM(M$7)))*(CkDJ[Account Code]=(TRIM($D15))),CkDJ[Debit])))+(SUM(IF((CsDJ[Ofc Code]=(TRIM(M$7)))*(CsDJ[Account Code]=(TRIM($D15))),CsDJ[Debit])))+(SUM(IF((CRDJ[Ofc Code]=(TRIM(M$7)))*(CRDJ[Account Code]=(TRIM($D15))),CRDJ[Debit])))+(SUM(IF((GJ[Ofc Code]=(TRIM(M$7)))*(GJ[Account Code]=(TRIM($D15))),GJ[Debit]))))</f>
        <v>0</v>
      </c>
      <c r="N15" s="211">
        <f t="array" ref="N15">((SUM(IF((CkDJ[Ofc Code]=(TRIM(N$7)))*(CkDJ[Account Code]=(TRIM($D15))),CkDJ[Credit])))+(SUM(IF((CsDJ[Ofc Code]=(TRIM(N$7)))*(CsDJ[Account Code]=(TRIM($D15))),CsDJ[Credit])))+(SUM(IF((CRDJ[Ofc Code]=(TRIM(N$7)))*(CRDJ[Account Code]=(TRIM($D15))),CRDJ[Credit])))+(SUM(IF((GJ[Ofc Code]=(TRIM(N$7)))*(GJ[Account Code]=(TRIM($D15))),GJ[Credit]))))-((SUM(IF((CkDJ[Ofc Code]=(TRIM(N$7)))*(CkDJ[Account Code]=(TRIM($D15))),CkDJ[Debit])))+(SUM(IF((CsDJ[Ofc Code]=(TRIM(N$7)))*(CsDJ[Account Code]=(TRIM($D15))),CsDJ[Debit])))+(SUM(IF((CRDJ[Ofc Code]=(TRIM(N$7)))*(CRDJ[Account Code]=(TRIM($D15))),CRDJ[Debit])))+(SUM(IF((GJ[Ofc Code]=(TRIM(N$7)))*(GJ[Account Code]=(TRIM($D15))),GJ[Debit]))))</f>
        <v>0</v>
      </c>
      <c r="O15" s="211">
        <f t="shared" si="2"/>
        <v>0</v>
      </c>
      <c r="P15" s="211">
        <f t="array" ref="P15">((SUM(IF((CkDJ[Ofc Code]=(TRIM(P$7)))*(CkDJ[Account Code]=(TRIM($D15))),CkDJ[Credit])))+(SUM(IF((CsDJ[Ofc Code]=(TRIM(P$7)))*(CsDJ[Account Code]=(TRIM($D15))),CsDJ[Credit])))+(SUM(IF((CRDJ[Ofc Code]=(TRIM(P$7)))*(CRDJ[Account Code]=(TRIM($D15))),CRDJ[Credit])))+(SUM(IF((GJ[Ofc Code]=(TRIM(P$7)))*(GJ[Account Code]=(TRIM($D15))),GJ[Credit]))))-((SUM(IF((CkDJ[Ofc Code]=(TRIM(P$7)))*(CkDJ[Account Code]=(TRIM($D15))),CkDJ[Debit])))+(SUM(IF((CsDJ[Ofc Code]=(TRIM(P$7)))*(CsDJ[Account Code]=(TRIM($D15))),CsDJ[Debit])))+(SUM(IF((CRDJ[Ofc Code]=(TRIM(P$7)))*(CRDJ[Account Code]=(TRIM($D15))),CRDJ[Debit])))+(SUM(IF((GJ[Ofc Code]=(TRIM(P$7)))*(GJ[Account Code]=(TRIM($D15))),GJ[Debit]))))</f>
        <v>0</v>
      </c>
      <c r="Q15" s="211">
        <f t="array" ref="Q15">((SUM(IF((CkDJ[Ofc Code]=(TRIM(Q$7)))*(CkDJ[Account Code]=(TRIM($D15))),CkDJ[Credit])))+(SUM(IF((CsDJ[Ofc Code]=(TRIM(Q$7)))*(CsDJ[Account Code]=(TRIM($D15))),CsDJ[Credit])))+(SUM(IF((CRDJ[Ofc Code]=(TRIM(Q$7)))*(CRDJ[Account Code]=(TRIM($D15))),CRDJ[Credit])))+(SUM(IF((GJ[Ofc Code]=(TRIM(Q$7)))*(GJ[Account Code]=(TRIM($D15))),GJ[Credit]))))-((SUM(IF((CkDJ[Ofc Code]=(TRIM(Q$7)))*(CkDJ[Account Code]=(TRIM($D15))),CkDJ[Debit])))+(SUM(IF((CsDJ[Ofc Code]=(TRIM(Q$7)))*(CsDJ[Account Code]=(TRIM($D15))),CsDJ[Debit])))+(SUM(IF((CRDJ[Ofc Code]=(TRIM(Q$7)))*(CRDJ[Account Code]=(TRIM($D15))),CRDJ[Debit])))+(SUM(IF((GJ[Ofc Code]=(TRIM(Q$7)))*(GJ[Account Code]=(TRIM($D15))),GJ[Debit]))))</f>
        <v>0</v>
      </c>
      <c r="R15" s="211">
        <f t="array" ref="R15">((SUM(IF((CkDJ[Ofc Code]=(TRIM(R$7)))*(CkDJ[Account Code]=(TRIM($D15))),CkDJ[Credit])))+(SUM(IF((CsDJ[Ofc Code]=(TRIM(R$7)))*(CsDJ[Account Code]=(TRIM($D15))),CsDJ[Credit])))+(SUM(IF((CRDJ[Ofc Code]=(TRIM(R$7)))*(CRDJ[Account Code]=(TRIM($D15))),CRDJ[Credit])))+(SUM(IF((GJ[Ofc Code]=(TRIM(R$7)))*(GJ[Account Code]=(TRIM($D15))),GJ[Credit]))))-((SUM(IF((CkDJ[Ofc Code]=(TRIM(R$7)))*(CkDJ[Account Code]=(TRIM($D15))),CkDJ[Debit])))+(SUM(IF((CsDJ[Ofc Code]=(TRIM(R$7)))*(CsDJ[Account Code]=(TRIM($D15))),CsDJ[Debit])))+(SUM(IF((CRDJ[Ofc Code]=(TRIM(R$7)))*(CRDJ[Account Code]=(TRIM($D15))),CRDJ[Debit])))+(SUM(IF((GJ[Ofc Code]=(TRIM(R$7)))*(GJ[Account Code]=(TRIM($D15))),GJ[Debit]))))</f>
        <v>0</v>
      </c>
      <c r="S15" s="211">
        <f t="array" ref="S15">((SUM(IF((CkDJ[Ofc Code]=(TRIM(S$7)))*(CkDJ[Account Code]=(TRIM($D15))),CkDJ[Credit])))+(SUM(IF((CsDJ[Ofc Code]=(TRIM(S$7)))*(CsDJ[Account Code]=(TRIM($D15))),CsDJ[Credit])))+(SUM(IF((CRDJ[Ofc Code]=(TRIM(S$7)))*(CRDJ[Account Code]=(TRIM($D15))),CRDJ[Credit])))+(SUM(IF((GJ[Ofc Code]=(TRIM(S$7)))*(GJ[Account Code]=(TRIM($D15))),GJ[Credit]))))-((SUM(IF((CkDJ[Ofc Code]=(TRIM(S$7)))*(CkDJ[Account Code]=(TRIM($D15))),CkDJ[Debit])))+(SUM(IF((CsDJ[Ofc Code]=(TRIM(S$7)))*(CsDJ[Account Code]=(TRIM($D15))),CsDJ[Debit])))+(SUM(IF((CRDJ[Ofc Code]=(TRIM(S$7)))*(CRDJ[Account Code]=(TRIM($D15))),CRDJ[Debit])))+(SUM(IF((GJ[Ofc Code]=(TRIM(S$7)))*(GJ[Account Code]=(TRIM($D15))),GJ[Debit]))))</f>
        <v>0</v>
      </c>
      <c r="T15" s="211">
        <f t="array" ref="T15">((SUM(IF((CkDJ[Ofc Code]=(TRIM(T$7)))*(CkDJ[Account Code]=(TRIM($D15))),CkDJ[Credit])))+(SUM(IF((CsDJ[Ofc Code]=(TRIM(T$7)))*(CsDJ[Account Code]=(TRIM($D15))),CsDJ[Credit])))+(SUM(IF((CRDJ[Ofc Code]=(TRIM(T$7)))*(CRDJ[Account Code]=(TRIM($D15))),CRDJ[Credit])))+(SUM(IF((GJ[Ofc Code]=(TRIM(T$7)))*(GJ[Account Code]=(TRIM($D15))),GJ[Credit]))))-((SUM(IF((CkDJ[Ofc Code]=(TRIM(T$7)))*(CkDJ[Account Code]=(TRIM($D15))),CkDJ[Debit])))+(SUM(IF((CsDJ[Ofc Code]=(TRIM(T$7)))*(CsDJ[Account Code]=(TRIM($D15))),CsDJ[Debit])))+(SUM(IF((CRDJ[Ofc Code]=(TRIM(T$7)))*(CRDJ[Account Code]=(TRIM($D15))),CRDJ[Debit])))+(SUM(IF((GJ[Ofc Code]=(TRIM(T$7)))*(GJ[Account Code]=(TRIM($D15))),GJ[Debit]))))</f>
        <v>0</v>
      </c>
      <c r="U15" s="211">
        <f t="shared" si="3"/>
        <v>0</v>
      </c>
      <c r="V15" s="211">
        <f t="shared" si="4"/>
        <v>0</v>
      </c>
    </row>
    <row r="16" spans="1:22" ht="15" x14ac:dyDescent="0.25">
      <c r="A16" s="212">
        <f t="shared" si="5"/>
        <v>8</v>
      </c>
      <c r="B16" s="214"/>
      <c r="C16" s="194" t="str">
        <f t="shared" si="0"/>
        <v>Other Service Income - Pump Amortization (Current Account)</v>
      </c>
      <c r="D16" s="207" t="s">
        <v>131</v>
      </c>
      <c r="E16" s="211">
        <f t="array" ref="E16">((SUM(IF((CkDJ[Ofc Code]=(TRIM(E$7)))*(CkDJ[Account Code]=(TRIM($D16))),CkDJ[Credit])))+(SUM(IF((CsDJ[Ofc Code]=(TRIM(E$7)))*(CsDJ[Account Code]=(TRIM($D16))),CsDJ[Credit])))+(SUM(IF((CRDJ[Ofc Code]=(TRIM(E$7)))*(CRDJ[Account Code]=(TRIM($D16))),CRDJ[Credit])))+(SUM(IF((GJ[Ofc Code]=(TRIM(E$7)))*(GJ[Account Code]=(TRIM($D16))),GJ[Credit]))))-((SUM(IF((CkDJ[Ofc Code]=(TRIM(E$7)))*(CkDJ[Account Code]=(TRIM($D16))),CkDJ[Debit])))+(SUM(IF((CsDJ[Ofc Code]=(TRIM(E$7)))*(CsDJ[Account Code]=(TRIM($D16))),CsDJ[Debit])))+(SUM(IF((CRDJ[Ofc Code]=(TRIM(E$7)))*(CRDJ[Account Code]=(TRIM($D16))),CRDJ[Debit])))+(SUM(IF((GJ[Ofc Code]=(TRIM(E$7)))*(GJ[Account Code]=(TRIM($D16))),GJ[Debit]))))</f>
        <v>0</v>
      </c>
      <c r="F16" s="211">
        <f t="array" ref="F16">((SUM(IF((CkDJ[Ofc Code]=(TRIM(F$7)))*(CkDJ[Account Code]=(TRIM($D16))),CkDJ[Credit])))+(SUM(IF((CsDJ[Ofc Code]=(TRIM(F$7)))*(CsDJ[Account Code]=(TRIM($D16))),CsDJ[Credit])))+(SUM(IF((CRDJ[Ofc Code]=(TRIM(F$7)))*(CRDJ[Account Code]=(TRIM($D16))),CRDJ[Credit])))+(SUM(IF((GJ[Ofc Code]=(TRIM(F$7)))*(GJ[Account Code]=(TRIM($D16))),GJ[Credit]))))-((SUM(IF((CkDJ[Ofc Code]=(TRIM(F$7)))*(CkDJ[Account Code]=(TRIM($D16))),CkDJ[Debit])))+(SUM(IF((CsDJ[Ofc Code]=(TRIM(F$7)))*(CsDJ[Account Code]=(TRIM($D16))),CsDJ[Debit])))+(SUM(IF((CRDJ[Ofc Code]=(TRIM(F$7)))*(CRDJ[Account Code]=(TRIM($D16))),CRDJ[Debit])))+(SUM(IF((GJ[Ofc Code]=(TRIM(F$7)))*(GJ[Account Code]=(TRIM($D16))),GJ[Debit]))))</f>
        <v>0</v>
      </c>
      <c r="G16" s="211">
        <f t="array" ref="G16">((SUM(IF((CkDJ[Ofc Code]=(TRIM(G$7)))*(CkDJ[Account Code]=(TRIM($D16))),CkDJ[Credit])))+(SUM(IF((CsDJ[Ofc Code]=(TRIM(G$7)))*(CsDJ[Account Code]=(TRIM($D16))),CsDJ[Credit])))+(SUM(IF((CRDJ[Ofc Code]=(TRIM(G$7)))*(CRDJ[Account Code]=(TRIM($D16))),CRDJ[Credit])))+(SUM(IF((GJ[Ofc Code]=(TRIM(G$7)))*(GJ[Account Code]=(TRIM($D16))),GJ[Credit]))))-((SUM(IF((CkDJ[Ofc Code]=(TRIM(G$7)))*(CkDJ[Account Code]=(TRIM($D16))),CkDJ[Debit])))+(SUM(IF((CsDJ[Ofc Code]=(TRIM(G$7)))*(CsDJ[Account Code]=(TRIM($D16))),CsDJ[Debit])))+(SUM(IF((CRDJ[Ofc Code]=(TRIM(G$7)))*(CRDJ[Account Code]=(TRIM($D16))),CRDJ[Debit])))+(SUM(IF((GJ[Ofc Code]=(TRIM(G$7)))*(GJ[Account Code]=(TRIM($D16))),GJ[Debit]))))</f>
        <v>0</v>
      </c>
      <c r="H16" s="211">
        <f t="array" ref="H16">((SUM(IF((CkDJ[Ofc Code]=(TRIM(H$7)))*(CkDJ[Account Code]=(TRIM($D16))),CkDJ[Credit])))+(SUM(IF((CsDJ[Ofc Code]=(TRIM(H$7)))*(CsDJ[Account Code]=(TRIM($D16))),CsDJ[Credit])))+(SUM(IF((CRDJ[Ofc Code]=(TRIM(H$7)))*(CRDJ[Account Code]=(TRIM($D16))),CRDJ[Credit])))+(SUM(IF((GJ[Ofc Code]=(TRIM(H$7)))*(GJ[Account Code]=(TRIM($D16))),GJ[Credit]))))-((SUM(IF((CkDJ[Ofc Code]=(TRIM(H$7)))*(CkDJ[Account Code]=(TRIM($D16))),CkDJ[Debit])))+(SUM(IF((CsDJ[Ofc Code]=(TRIM(H$7)))*(CsDJ[Account Code]=(TRIM($D16))),CsDJ[Debit])))+(SUM(IF((CRDJ[Ofc Code]=(TRIM(H$7)))*(CRDJ[Account Code]=(TRIM($D16))),CRDJ[Debit])))+(SUM(IF((GJ[Ofc Code]=(TRIM(H$7)))*(GJ[Account Code]=(TRIM($D16))),GJ[Debit]))))</f>
        <v>0</v>
      </c>
      <c r="I16" s="211">
        <f t="array" ref="I16">((SUM(IF((CkDJ[Ofc Code]=(TRIM(I$7)))*(CkDJ[Account Code]=(TRIM($D16))),CkDJ[Credit])))+(SUM(IF((CsDJ[Ofc Code]=(TRIM(I$7)))*(CsDJ[Account Code]=(TRIM($D16))),CsDJ[Credit])))+(SUM(IF((CRDJ[Ofc Code]=(TRIM(I$7)))*(CRDJ[Account Code]=(TRIM($D16))),CRDJ[Credit])))+(SUM(IF((GJ[Ofc Code]=(TRIM(I$7)))*(GJ[Account Code]=(TRIM($D16))),GJ[Credit]))))-((SUM(IF((CkDJ[Ofc Code]=(TRIM(I$7)))*(CkDJ[Account Code]=(TRIM($D16))),CkDJ[Debit])))+(SUM(IF((CsDJ[Ofc Code]=(TRIM(I$7)))*(CsDJ[Account Code]=(TRIM($D16))),CsDJ[Debit])))+(SUM(IF((CRDJ[Ofc Code]=(TRIM(I$7)))*(CRDJ[Account Code]=(TRIM($D16))),CRDJ[Debit])))+(SUM(IF((GJ[Ofc Code]=(TRIM(I$7)))*(GJ[Account Code]=(TRIM($D16))),GJ[Debit]))))</f>
        <v>0</v>
      </c>
      <c r="J16" s="211">
        <f t="shared" si="1"/>
        <v>0</v>
      </c>
      <c r="K16" s="211">
        <f t="array" ref="K16">((SUM(IF((CkDJ[Ofc Code]=(TRIM(K$7)))*(CkDJ[Account Code]=(TRIM($D16))),CkDJ[Credit])))+(SUM(IF((CsDJ[Ofc Code]=(TRIM(K$7)))*(CsDJ[Account Code]=(TRIM($D16))),CsDJ[Credit])))+(SUM(IF((CRDJ[Ofc Code]=(TRIM(K$7)))*(CRDJ[Account Code]=(TRIM($D16))),CRDJ[Credit])))+(SUM(IF((GJ[Ofc Code]=(TRIM(K$7)))*(GJ[Account Code]=(TRIM($D16))),GJ[Credit]))))-((SUM(IF((CkDJ[Ofc Code]=(TRIM(K$7)))*(CkDJ[Account Code]=(TRIM($D16))),CkDJ[Debit])))+(SUM(IF((CsDJ[Ofc Code]=(TRIM(K$7)))*(CsDJ[Account Code]=(TRIM($D16))),CsDJ[Debit])))+(SUM(IF((CRDJ[Ofc Code]=(TRIM(K$7)))*(CRDJ[Account Code]=(TRIM($D16))),CRDJ[Debit])))+(SUM(IF((GJ[Ofc Code]=(TRIM(K$7)))*(GJ[Account Code]=(TRIM($D16))),GJ[Debit]))))</f>
        <v>0</v>
      </c>
      <c r="L16" s="211">
        <f t="array" ref="L16">((SUM(IF((CkDJ[Ofc Code]=(TRIM(L$7)))*(CkDJ[Account Code]=(TRIM($D16))),CkDJ[Credit])))+(SUM(IF((CsDJ[Ofc Code]=(TRIM(L$7)))*(CsDJ[Account Code]=(TRIM($D16))),CsDJ[Credit])))+(SUM(IF((CRDJ[Ofc Code]=(TRIM(L$7)))*(CRDJ[Account Code]=(TRIM($D16))),CRDJ[Credit])))+(SUM(IF((GJ[Ofc Code]=(TRIM(L$7)))*(GJ[Account Code]=(TRIM($D16))),GJ[Credit]))))-((SUM(IF((CkDJ[Ofc Code]=(TRIM(L$7)))*(CkDJ[Account Code]=(TRIM($D16))),CkDJ[Debit])))+(SUM(IF((CsDJ[Ofc Code]=(TRIM(L$7)))*(CsDJ[Account Code]=(TRIM($D16))),CsDJ[Debit])))+(SUM(IF((CRDJ[Ofc Code]=(TRIM(L$7)))*(CRDJ[Account Code]=(TRIM($D16))),CRDJ[Debit])))+(SUM(IF((GJ[Ofc Code]=(TRIM(L$7)))*(GJ[Account Code]=(TRIM($D16))),GJ[Debit]))))</f>
        <v>0</v>
      </c>
      <c r="M16" s="211">
        <f t="array" ref="M16">((SUM(IF((CkDJ[Ofc Code]=(TRIM(M$7)))*(CkDJ[Account Code]=(TRIM($D16))),CkDJ[Credit])))+(SUM(IF((CsDJ[Ofc Code]=(TRIM(M$7)))*(CsDJ[Account Code]=(TRIM($D16))),CsDJ[Credit])))+(SUM(IF((CRDJ[Ofc Code]=(TRIM(M$7)))*(CRDJ[Account Code]=(TRIM($D16))),CRDJ[Credit])))+(SUM(IF((GJ[Ofc Code]=(TRIM(M$7)))*(GJ[Account Code]=(TRIM($D16))),GJ[Credit]))))-((SUM(IF((CkDJ[Ofc Code]=(TRIM(M$7)))*(CkDJ[Account Code]=(TRIM($D16))),CkDJ[Debit])))+(SUM(IF((CsDJ[Ofc Code]=(TRIM(M$7)))*(CsDJ[Account Code]=(TRIM($D16))),CsDJ[Debit])))+(SUM(IF((CRDJ[Ofc Code]=(TRIM(M$7)))*(CRDJ[Account Code]=(TRIM($D16))),CRDJ[Debit])))+(SUM(IF((GJ[Ofc Code]=(TRIM(M$7)))*(GJ[Account Code]=(TRIM($D16))),GJ[Debit]))))</f>
        <v>0</v>
      </c>
      <c r="N16" s="211">
        <f t="array" ref="N16">((SUM(IF((CkDJ[Ofc Code]=(TRIM(N$7)))*(CkDJ[Account Code]=(TRIM($D16))),CkDJ[Credit])))+(SUM(IF((CsDJ[Ofc Code]=(TRIM(N$7)))*(CsDJ[Account Code]=(TRIM($D16))),CsDJ[Credit])))+(SUM(IF((CRDJ[Ofc Code]=(TRIM(N$7)))*(CRDJ[Account Code]=(TRIM($D16))),CRDJ[Credit])))+(SUM(IF((GJ[Ofc Code]=(TRIM(N$7)))*(GJ[Account Code]=(TRIM($D16))),GJ[Credit]))))-((SUM(IF((CkDJ[Ofc Code]=(TRIM(N$7)))*(CkDJ[Account Code]=(TRIM($D16))),CkDJ[Debit])))+(SUM(IF((CsDJ[Ofc Code]=(TRIM(N$7)))*(CsDJ[Account Code]=(TRIM($D16))),CsDJ[Debit])))+(SUM(IF((CRDJ[Ofc Code]=(TRIM(N$7)))*(CRDJ[Account Code]=(TRIM($D16))),CRDJ[Debit])))+(SUM(IF((GJ[Ofc Code]=(TRIM(N$7)))*(GJ[Account Code]=(TRIM($D16))),GJ[Debit]))))</f>
        <v>0</v>
      </c>
      <c r="O16" s="211">
        <f t="shared" si="2"/>
        <v>0</v>
      </c>
      <c r="P16" s="211">
        <f t="array" ref="P16">((SUM(IF((CkDJ[Ofc Code]=(TRIM(P$7)))*(CkDJ[Account Code]=(TRIM($D16))),CkDJ[Credit])))+(SUM(IF((CsDJ[Ofc Code]=(TRIM(P$7)))*(CsDJ[Account Code]=(TRIM($D16))),CsDJ[Credit])))+(SUM(IF((CRDJ[Ofc Code]=(TRIM(P$7)))*(CRDJ[Account Code]=(TRIM($D16))),CRDJ[Credit])))+(SUM(IF((GJ[Ofc Code]=(TRIM(P$7)))*(GJ[Account Code]=(TRIM($D16))),GJ[Credit]))))-((SUM(IF((CkDJ[Ofc Code]=(TRIM(P$7)))*(CkDJ[Account Code]=(TRIM($D16))),CkDJ[Debit])))+(SUM(IF((CsDJ[Ofc Code]=(TRIM(P$7)))*(CsDJ[Account Code]=(TRIM($D16))),CsDJ[Debit])))+(SUM(IF((CRDJ[Ofc Code]=(TRIM(P$7)))*(CRDJ[Account Code]=(TRIM($D16))),CRDJ[Debit])))+(SUM(IF((GJ[Ofc Code]=(TRIM(P$7)))*(GJ[Account Code]=(TRIM($D16))),GJ[Debit]))))</f>
        <v>0</v>
      </c>
      <c r="Q16" s="211">
        <f t="array" ref="Q16">((SUM(IF((CkDJ[Ofc Code]=(TRIM(Q$7)))*(CkDJ[Account Code]=(TRIM($D16))),CkDJ[Credit])))+(SUM(IF((CsDJ[Ofc Code]=(TRIM(Q$7)))*(CsDJ[Account Code]=(TRIM($D16))),CsDJ[Credit])))+(SUM(IF((CRDJ[Ofc Code]=(TRIM(Q$7)))*(CRDJ[Account Code]=(TRIM($D16))),CRDJ[Credit])))+(SUM(IF((GJ[Ofc Code]=(TRIM(Q$7)))*(GJ[Account Code]=(TRIM($D16))),GJ[Credit]))))-((SUM(IF((CkDJ[Ofc Code]=(TRIM(Q$7)))*(CkDJ[Account Code]=(TRIM($D16))),CkDJ[Debit])))+(SUM(IF((CsDJ[Ofc Code]=(TRIM(Q$7)))*(CsDJ[Account Code]=(TRIM($D16))),CsDJ[Debit])))+(SUM(IF((CRDJ[Ofc Code]=(TRIM(Q$7)))*(CRDJ[Account Code]=(TRIM($D16))),CRDJ[Debit])))+(SUM(IF((GJ[Ofc Code]=(TRIM(Q$7)))*(GJ[Account Code]=(TRIM($D16))),GJ[Debit]))))</f>
        <v>0</v>
      </c>
      <c r="R16" s="211">
        <f t="array" ref="R16">((SUM(IF((CkDJ[Ofc Code]=(TRIM(R$7)))*(CkDJ[Account Code]=(TRIM($D16))),CkDJ[Credit])))+(SUM(IF((CsDJ[Ofc Code]=(TRIM(R$7)))*(CsDJ[Account Code]=(TRIM($D16))),CsDJ[Credit])))+(SUM(IF((CRDJ[Ofc Code]=(TRIM(R$7)))*(CRDJ[Account Code]=(TRIM($D16))),CRDJ[Credit])))+(SUM(IF((GJ[Ofc Code]=(TRIM(R$7)))*(GJ[Account Code]=(TRIM($D16))),GJ[Credit]))))-((SUM(IF((CkDJ[Ofc Code]=(TRIM(R$7)))*(CkDJ[Account Code]=(TRIM($D16))),CkDJ[Debit])))+(SUM(IF((CsDJ[Ofc Code]=(TRIM(R$7)))*(CsDJ[Account Code]=(TRIM($D16))),CsDJ[Debit])))+(SUM(IF((CRDJ[Ofc Code]=(TRIM(R$7)))*(CRDJ[Account Code]=(TRIM($D16))),CRDJ[Debit])))+(SUM(IF((GJ[Ofc Code]=(TRIM(R$7)))*(GJ[Account Code]=(TRIM($D16))),GJ[Debit]))))</f>
        <v>0</v>
      </c>
      <c r="S16" s="211">
        <f t="array" ref="S16">((SUM(IF((CkDJ[Ofc Code]=(TRIM(S$7)))*(CkDJ[Account Code]=(TRIM($D16))),CkDJ[Credit])))+(SUM(IF((CsDJ[Ofc Code]=(TRIM(S$7)))*(CsDJ[Account Code]=(TRIM($D16))),CsDJ[Credit])))+(SUM(IF((CRDJ[Ofc Code]=(TRIM(S$7)))*(CRDJ[Account Code]=(TRIM($D16))),CRDJ[Credit])))+(SUM(IF((GJ[Ofc Code]=(TRIM(S$7)))*(GJ[Account Code]=(TRIM($D16))),GJ[Credit]))))-((SUM(IF((CkDJ[Ofc Code]=(TRIM(S$7)))*(CkDJ[Account Code]=(TRIM($D16))),CkDJ[Debit])))+(SUM(IF((CsDJ[Ofc Code]=(TRIM(S$7)))*(CsDJ[Account Code]=(TRIM($D16))),CsDJ[Debit])))+(SUM(IF((CRDJ[Ofc Code]=(TRIM(S$7)))*(CRDJ[Account Code]=(TRIM($D16))),CRDJ[Debit])))+(SUM(IF((GJ[Ofc Code]=(TRIM(S$7)))*(GJ[Account Code]=(TRIM($D16))),GJ[Debit]))))</f>
        <v>0</v>
      </c>
      <c r="T16" s="211">
        <f t="array" ref="T16">((SUM(IF((CkDJ[Ofc Code]=(TRIM(T$7)))*(CkDJ[Account Code]=(TRIM($D16))),CkDJ[Credit])))+(SUM(IF((CsDJ[Ofc Code]=(TRIM(T$7)))*(CsDJ[Account Code]=(TRIM($D16))),CsDJ[Credit])))+(SUM(IF((CRDJ[Ofc Code]=(TRIM(T$7)))*(CRDJ[Account Code]=(TRIM($D16))),CRDJ[Credit])))+(SUM(IF((GJ[Ofc Code]=(TRIM(T$7)))*(GJ[Account Code]=(TRIM($D16))),GJ[Credit]))))-((SUM(IF((CkDJ[Ofc Code]=(TRIM(T$7)))*(CkDJ[Account Code]=(TRIM($D16))),CkDJ[Debit])))+(SUM(IF((CsDJ[Ofc Code]=(TRIM(T$7)))*(CsDJ[Account Code]=(TRIM($D16))),CsDJ[Debit])))+(SUM(IF((CRDJ[Ofc Code]=(TRIM(T$7)))*(CRDJ[Account Code]=(TRIM($D16))),CRDJ[Debit])))+(SUM(IF((GJ[Ofc Code]=(TRIM(T$7)))*(GJ[Account Code]=(TRIM($D16))),GJ[Debit]))))</f>
        <v>0</v>
      </c>
      <c r="U16" s="211">
        <f t="shared" si="3"/>
        <v>0</v>
      </c>
      <c r="V16" s="211">
        <f t="shared" si="4"/>
        <v>0</v>
      </c>
    </row>
    <row r="17" spans="1:22" ht="15" x14ac:dyDescent="0.25">
      <c r="A17" s="212">
        <f t="shared" si="5"/>
        <v>9</v>
      </c>
      <c r="B17" s="214"/>
      <c r="C17" s="194" t="str">
        <f t="shared" si="0"/>
        <v>Other Service Income - Pump Equity (Current Account)</v>
      </c>
      <c r="D17" s="207" t="s">
        <v>141</v>
      </c>
      <c r="E17" s="211">
        <f t="array" ref="E17">((SUM(IF((CkDJ[Ofc Code]=(TRIM(E$7)))*(CkDJ[Account Code]=(TRIM($D17))),CkDJ[Credit])))+(SUM(IF((CsDJ[Ofc Code]=(TRIM(E$7)))*(CsDJ[Account Code]=(TRIM($D17))),CsDJ[Credit])))+(SUM(IF((CRDJ[Ofc Code]=(TRIM(E$7)))*(CRDJ[Account Code]=(TRIM($D17))),CRDJ[Credit])))+(SUM(IF((GJ[Ofc Code]=(TRIM(E$7)))*(GJ[Account Code]=(TRIM($D17))),GJ[Credit]))))-((SUM(IF((CkDJ[Ofc Code]=(TRIM(E$7)))*(CkDJ[Account Code]=(TRIM($D17))),CkDJ[Debit])))+(SUM(IF((CsDJ[Ofc Code]=(TRIM(E$7)))*(CsDJ[Account Code]=(TRIM($D17))),CsDJ[Debit])))+(SUM(IF((CRDJ[Ofc Code]=(TRIM(E$7)))*(CRDJ[Account Code]=(TRIM($D17))),CRDJ[Debit])))+(SUM(IF((GJ[Ofc Code]=(TRIM(E$7)))*(GJ[Account Code]=(TRIM($D17))),GJ[Debit]))))</f>
        <v>0</v>
      </c>
      <c r="F17" s="211">
        <f t="array" ref="F17">((SUM(IF((CkDJ[Ofc Code]=(TRIM(F$7)))*(CkDJ[Account Code]=(TRIM($D17))),CkDJ[Credit])))+(SUM(IF((CsDJ[Ofc Code]=(TRIM(F$7)))*(CsDJ[Account Code]=(TRIM($D17))),CsDJ[Credit])))+(SUM(IF((CRDJ[Ofc Code]=(TRIM(F$7)))*(CRDJ[Account Code]=(TRIM($D17))),CRDJ[Credit])))+(SUM(IF((GJ[Ofc Code]=(TRIM(F$7)))*(GJ[Account Code]=(TRIM($D17))),GJ[Credit]))))-((SUM(IF((CkDJ[Ofc Code]=(TRIM(F$7)))*(CkDJ[Account Code]=(TRIM($D17))),CkDJ[Debit])))+(SUM(IF((CsDJ[Ofc Code]=(TRIM(F$7)))*(CsDJ[Account Code]=(TRIM($D17))),CsDJ[Debit])))+(SUM(IF((CRDJ[Ofc Code]=(TRIM(F$7)))*(CRDJ[Account Code]=(TRIM($D17))),CRDJ[Debit])))+(SUM(IF((GJ[Ofc Code]=(TRIM(F$7)))*(GJ[Account Code]=(TRIM($D17))),GJ[Debit]))))</f>
        <v>0</v>
      </c>
      <c r="G17" s="211">
        <f t="array" ref="G17">((SUM(IF((CkDJ[Ofc Code]=(TRIM(G$7)))*(CkDJ[Account Code]=(TRIM($D17))),CkDJ[Credit])))+(SUM(IF((CsDJ[Ofc Code]=(TRIM(G$7)))*(CsDJ[Account Code]=(TRIM($D17))),CsDJ[Credit])))+(SUM(IF((CRDJ[Ofc Code]=(TRIM(G$7)))*(CRDJ[Account Code]=(TRIM($D17))),CRDJ[Credit])))+(SUM(IF((GJ[Ofc Code]=(TRIM(G$7)))*(GJ[Account Code]=(TRIM($D17))),GJ[Credit]))))-((SUM(IF((CkDJ[Ofc Code]=(TRIM(G$7)))*(CkDJ[Account Code]=(TRIM($D17))),CkDJ[Debit])))+(SUM(IF((CsDJ[Ofc Code]=(TRIM(G$7)))*(CsDJ[Account Code]=(TRIM($D17))),CsDJ[Debit])))+(SUM(IF((CRDJ[Ofc Code]=(TRIM(G$7)))*(CRDJ[Account Code]=(TRIM($D17))),CRDJ[Debit])))+(SUM(IF((GJ[Ofc Code]=(TRIM(G$7)))*(GJ[Account Code]=(TRIM($D17))),GJ[Debit]))))</f>
        <v>0</v>
      </c>
      <c r="H17" s="211">
        <f t="array" ref="H17">((SUM(IF((CkDJ[Ofc Code]=(TRIM(H$7)))*(CkDJ[Account Code]=(TRIM($D17))),CkDJ[Credit])))+(SUM(IF((CsDJ[Ofc Code]=(TRIM(H$7)))*(CsDJ[Account Code]=(TRIM($D17))),CsDJ[Credit])))+(SUM(IF((CRDJ[Ofc Code]=(TRIM(H$7)))*(CRDJ[Account Code]=(TRIM($D17))),CRDJ[Credit])))+(SUM(IF((GJ[Ofc Code]=(TRIM(H$7)))*(GJ[Account Code]=(TRIM($D17))),GJ[Credit]))))-((SUM(IF((CkDJ[Ofc Code]=(TRIM(H$7)))*(CkDJ[Account Code]=(TRIM($D17))),CkDJ[Debit])))+(SUM(IF((CsDJ[Ofc Code]=(TRIM(H$7)))*(CsDJ[Account Code]=(TRIM($D17))),CsDJ[Debit])))+(SUM(IF((CRDJ[Ofc Code]=(TRIM(H$7)))*(CRDJ[Account Code]=(TRIM($D17))),CRDJ[Debit])))+(SUM(IF((GJ[Ofc Code]=(TRIM(H$7)))*(GJ[Account Code]=(TRIM($D17))),GJ[Debit]))))</f>
        <v>0</v>
      </c>
      <c r="I17" s="211">
        <f t="array" ref="I17">((SUM(IF((CkDJ[Ofc Code]=(TRIM(I$7)))*(CkDJ[Account Code]=(TRIM($D17))),CkDJ[Credit])))+(SUM(IF((CsDJ[Ofc Code]=(TRIM(I$7)))*(CsDJ[Account Code]=(TRIM($D17))),CsDJ[Credit])))+(SUM(IF((CRDJ[Ofc Code]=(TRIM(I$7)))*(CRDJ[Account Code]=(TRIM($D17))),CRDJ[Credit])))+(SUM(IF((GJ[Ofc Code]=(TRIM(I$7)))*(GJ[Account Code]=(TRIM($D17))),GJ[Credit]))))-((SUM(IF((CkDJ[Ofc Code]=(TRIM(I$7)))*(CkDJ[Account Code]=(TRIM($D17))),CkDJ[Debit])))+(SUM(IF((CsDJ[Ofc Code]=(TRIM(I$7)))*(CsDJ[Account Code]=(TRIM($D17))),CsDJ[Debit])))+(SUM(IF((CRDJ[Ofc Code]=(TRIM(I$7)))*(CRDJ[Account Code]=(TRIM($D17))),CRDJ[Debit])))+(SUM(IF((GJ[Ofc Code]=(TRIM(I$7)))*(GJ[Account Code]=(TRIM($D17))),GJ[Debit]))))</f>
        <v>0</v>
      </c>
      <c r="J17" s="211">
        <f t="shared" si="1"/>
        <v>0</v>
      </c>
      <c r="K17" s="211">
        <f t="array" ref="K17">((SUM(IF((CkDJ[Ofc Code]=(TRIM(K$7)))*(CkDJ[Account Code]=(TRIM($D17))),CkDJ[Credit])))+(SUM(IF((CsDJ[Ofc Code]=(TRIM(K$7)))*(CsDJ[Account Code]=(TRIM($D17))),CsDJ[Credit])))+(SUM(IF((CRDJ[Ofc Code]=(TRIM(K$7)))*(CRDJ[Account Code]=(TRIM($D17))),CRDJ[Credit])))+(SUM(IF((GJ[Ofc Code]=(TRIM(K$7)))*(GJ[Account Code]=(TRIM($D17))),GJ[Credit]))))-((SUM(IF((CkDJ[Ofc Code]=(TRIM(K$7)))*(CkDJ[Account Code]=(TRIM($D17))),CkDJ[Debit])))+(SUM(IF((CsDJ[Ofc Code]=(TRIM(K$7)))*(CsDJ[Account Code]=(TRIM($D17))),CsDJ[Debit])))+(SUM(IF((CRDJ[Ofc Code]=(TRIM(K$7)))*(CRDJ[Account Code]=(TRIM($D17))),CRDJ[Debit])))+(SUM(IF((GJ[Ofc Code]=(TRIM(K$7)))*(GJ[Account Code]=(TRIM($D17))),GJ[Debit]))))</f>
        <v>0</v>
      </c>
      <c r="L17" s="211">
        <f t="array" ref="L17">((SUM(IF((CkDJ[Ofc Code]=(TRIM(L$7)))*(CkDJ[Account Code]=(TRIM($D17))),CkDJ[Credit])))+(SUM(IF((CsDJ[Ofc Code]=(TRIM(L$7)))*(CsDJ[Account Code]=(TRIM($D17))),CsDJ[Credit])))+(SUM(IF((CRDJ[Ofc Code]=(TRIM(L$7)))*(CRDJ[Account Code]=(TRIM($D17))),CRDJ[Credit])))+(SUM(IF((GJ[Ofc Code]=(TRIM(L$7)))*(GJ[Account Code]=(TRIM($D17))),GJ[Credit]))))-((SUM(IF((CkDJ[Ofc Code]=(TRIM(L$7)))*(CkDJ[Account Code]=(TRIM($D17))),CkDJ[Debit])))+(SUM(IF((CsDJ[Ofc Code]=(TRIM(L$7)))*(CsDJ[Account Code]=(TRIM($D17))),CsDJ[Debit])))+(SUM(IF((CRDJ[Ofc Code]=(TRIM(L$7)))*(CRDJ[Account Code]=(TRIM($D17))),CRDJ[Debit])))+(SUM(IF((GJ[Ofc Code]=(TRIM(L$7)))*(GJ[Account Code]=(TRIM($D17))),GJ[Debit]))))</f>
        <v>0</v>
      </c>
      <c r="M17" s="211">
        <f t="array" ref="M17">((SUM(IF((CkDJ[Ofc Code]=(TRIM(M$7)))*(CkDJ[Account Code]=(TRIM($D17))),CkDJ[Credit])))+(SUM(IF((CsDJ[Ofc Code]=(TRIM(M$7)))*(CsDJ[Account Code]=(TRIM($D17))),CsDJ[Credit])))+(SUM(IF((CRDJ[Ofc Code]=(TRIM(M$7)))*(CRDJ[Account Code]=(TRIM($D17))),CRDJ[Credit])))+(SUM(IF((GJ[Ofc Code]=(TRIM(M$7)))*(GJ[Account Code]=(TRIM($D17))),GJ[Credit]))))-((SUM(IF((CkDJ[Ofc Code]=(TRIM(M$7)))*(CkDJ[Account Code]=(TRIM($D17))),CkDJ[Debit])))+(SUM(IF((CsDJ[Ofc Code]=(TRIM(M$7)))*(CsDJ[Account Code]=(TRIM($D17))),CsDJ[Debit])))+(SUM(IF((CRDJ[Ofc Code]=(TRIM(M$7)))*(CRDJ[Account Code]=(TRIM($D17))),CRDJ[Debit])))+(SUM(IF((GJ[Ofc Code]=(TRIM(M$7)))*(GJ[Account Code]=(TRIM($D17))),GJ[Debit]))))</f>
        <v>0</v>
      </c>
      <c r="N17" s="211">
        <f t="array" ref="N17">((SUM(IF((CkDJ[Ofc Code]=(TRIM(N$7)))*(CkDJ[Account Code]=(TRIM($D17))),CkDJ[Credit])))+(SUM(IF((CsDJ[Ofc Code]=(TRIM(N$7)))*(CsDJ[Account Code]=(TRIM($D17))),CsDJ[Credit])))+(SUM(IF((CRDJ[Ofc Code]=(TRIM(N$7)))*(CRDJ[Account Code]=(TRIM($D17))),CRDJ[Credit])))+(SUM(IF((GJ[Ofc Code]=(TRIM(N$7)))*(GJ[Account Code]=(TRIM($D17))),GJ[Credit]))))-((SUM(IF((CkDJ[Ofc Code]=(TRIM(N$7)))*(CkDJ[Account Code]=(TRIM($D17))),CkDJ[Debit])))+(SUM(IF((CsDJ[Ofc Code]=(TRIM(N$7)))*(CsDJ[Account Code]=(TRIM($D17))),CsDJ[Debit])))+(SUM(IF((CRDJ[Ofc Code]=(TRIM(N$7)))*(CRDJ[Account Code]=(TRIM($D17))),CRDJ[Debit])))+(SUM(IF((GJ[Ofc Code]=(TRIM(N$7)))*(GJ[Account Code]=(TRIM($D17))),GJ[Debit]))))</f>
        <v>0</v>
      </c>
      <c r="O17" s="211">
        <f t="shared" si="2"/>
        <v>0</v>
      </c>
      <c r="P17" s="211">
        <f t="array" ref="P17">((SUM(IF((CkDJ[Ofc Code]=(TRIM(P$7)))*(CkDJ[Account Code]=(TRIM($D17))),CkDJ[Credit])))+(SUM(IF((CsDJ[Ofc Code]=(TRIM(P$7)))*(CsDJ[Account Code]=(TRIM($D17))),CsDJ[Credit])))+(SUM(IF((CRDJ[Ofc Code]=(TRIM(P$7)))*(CRDJ[Account Code]=(TRIM($D17))),CRDJ[Credit])))+(SUM(IF((GJ[Ofc Code]=(TRIM(P$7)))*(GJ[Account Code]=(TRIM($D17))),GJ[Credit]))))-((SUM(IF((CkDJ[Ofc Code]=(TRIM(P$7)))*(CkDJ[Account Code]=(TRIM($D17))),CkDJ[Debit])))+(SUM(IF((CsDJ[Ofc Code]=(TRIM(P$7)))*(CsDJ[Account Code]=(TRIM($D17))),CsDJ[Debit])))+(SUM(IF((CRDJ[Ofc Code]=(TRIM(P$7)))*(CRDJ[Account Code]=(TRIM($D17))),CRDJ[Debit])))+(SUM(IF((GJ[Ofc Code]=(TRIM(P$7)))*(GJ[Account Code]=(TRIM($D17))),GJ[Debit]))))</f>
        <v>0</v>
      </c>
      <c r="Q17" s="211">
        <f t="array" ref="Q17">((SUM(IF((CkDJ[Ofc Code]=(TRIM(Q$7)))*(CkDJ[Account Code]=(TRIM($D17))),CkDJ[Credit])))+(SUM(IF((CsDJ[Ofc Code]=(TRIM(Q$7)))*(CsDJ[Account Code]=(TRIM($D17))),CsDJ[Credit])))+(SUM(IF((CRDJ[Ofc Code]=(TRIM(Q$7)))*(CRDJ[Account Code]=(TRIM($D17))),CRDJ[Credit])))+(SUM(IF((GJ[Ofc Code]=(TRIM(Q$7)))*(GJ[Account Code]=(TRIM($D17))),GJ[Credit]))))-((SUM(IF((CkDJ[Ofc Code]=(TRIM(Q$7)))*(CkDJ[Account Code]=(TRIM($D17))),CkDJ[Debit])))+(SUM(IF((CsDJ[Ofc Code]=(TRIM(Q$7)))*(CsDJ[Account Code]=(TRIM($D17))),CsDJ[Debit])))+(SUM(IF((CRDJ[Ofc Code]=(TRIM(Q$7)))*(CRDJ[Account Code]=(TRIM($D17))),CRDJ[Debit])))+(SUM(IF((GJ[Ofc Code]=(TRIM(Q$7)))*(GJ[Account Code]=(TRIM($D17))),GJ[Debit]))))</f>
        <v>0</v>
      </c>
      <c r="R17" s="211">
        <f t="array" ref="R17">((SUM(IF((CkDJ[Ofc Code]=(TRIM(R$7)))*(CkDJ[Account Code]=(TRIM($D17))),CkDJ[Credit])))+(SUM(IF((CsDJ[Ofc Code]=(TRIM(R$7)))*(CsDJ[Account Code]=(TRIM($D17))),CsDJ[Credit])))+(SUM(IF((CRDJ[Ofc Code]=(TRIM(R$7)))*(CRDJ[Account Code]=(TRIM($D17))),CRDJ[Credit])))+(SUM(IF((GJ[Ofc Code]=(TRIM(R$7)))*(GJ[Account Code]=(TRIM($D17))),GJ[Credit]))))-((SUM(IF((CkDJ[Ofc Code]=(TRIM(R$7)))*(CkDJ[Account Code]=(TRIM($D17))),CkDJ[Debit])))+(SUM(IF((CsDJ[Ofc Code]=(TRIM(R$7)))*(CsDJ[Account Code]=(TRIM($D17))),CsDJ[Debit])))+(SUM(IF((CRDJ[Ofc Code]=(TRIM(R$7)))*(CRDJ[Account Code]=(TRIM($D17))),CRDJ[Debit])))+(SUM(IF((GJ[Ofc Code]=(TRIM(R$7)))*(GJ[Account Code]=(TRIM($D17))),GJ[Debit]))))</f>
        <v>0</v>
      </c>
      <c r="S17" s="211">
        <f t="array" ref="S17">((SUM(IF((CkDJ[Ofc Code]=(TRIM(S$7)))*(CkDJ[Account Code]=(TRIM($D17))),CkDJ[Credit])))+(SUM(IF((CsDJ[Ofc Code]=(TRIM(S$7)))*(CsDJ[Account Code]=(TRIM($D17))),CsDJ[Credit])))+(SUM(IF((CRDJ[Ofc Code]=(TRIM(S$7)))*(CRDJ[Account Code]=(TRIM($D17))),CRDJ[Credit])))+(SUM(IF((GJ[Ofc Code]=(TRIM(S$7)))*(GJ[Account Code]=(TRIM($D17))),GJ[Credit]))))-((SUM(IF((CkDJ[Ofc Code]=(TRIM(S$7)))*(CkDJ[Account Code]=(TRIM($D17))),CkDJ[Debit])))+(SUM(IF((CsDJ[Ofc Code]=(TRIM(S$7)))*(CsDJ[Account Code]=(TRIM($D17))),CsDJ[Debit])))+(SUM(IF((CRDJ[Ofc Code]=(TRIM(S$7)))*(CRDJ[Account Code]=(TRIM($D17))),CRDJ[Debit])))+(SUM(IF((GJ[Ofc Code]=(TRIM(S$7)))*(GJ[Account Code]=(TRIM($D17))),GJ[Debit]))))</f>
        <v>0</v>
      </c>
      <c r="T17" s="211">
        <f t="array" ref="T17">((SUM(IF((CkDJ[Ofc Code]=(TRIM(T$7)))*(CkDJ[Account Code]=(TRIM($D17))),CkDJ[Credit])))+(SUM(IF((CsDJ[Ofc Code]=(TRIM(T$7)))*(CsDJ[Account Code]=(TRIM($D17))),CsDJ[Credit])))+(SUM(IF((CRDJ[Ofc Code]=(TRIM(T$7)))*(CRDJ[Account Code]=(TRIM($D17))),CRDJ[Credit])))+(SUM(IF((GJ[Ofc Code]=(TRIM(T$7)))*(GJ[Account Code]=(TRIM($D17))),GJ[Credit]))))-((SUM(IF((CkDJ[Ofc Code]=(TRIM(T$7)))*(CkDJ[Account Code]=(TRIM($D17))),CkDJ[Debit])))+(SUM(IF((CsDJ[Ofc Code]=(TRIM(T$7)))*(CsDJ[Account Code]=(TRIM($D17))),CsDJ[Debit])))+(SUM(IF((CRDJ[Ofc Code]=(TRIM(T$7)))*(CRDJ[Account Code]=(TRIM($D17))),CRDJ[Debit])))+(SUM(IF((GJ[Ofc Code]=(TRIM(T$7)))*(GJ[Account Code]=(TRIM($D17))),GJ[Debit]))))</f>
        <v>0</v>
      </c>
      <c r="U17" s="211">
        <f t="shared" si="3"/>
        <v>0</v>
      </c>
      <c r="V17" s="211">
        <f t="shared" si="4"/>
        <v>0</v>
      </c>
    </row>
    <row r="18" spans="1:22" ht="15" x14ac:dyDescent="0.25">
      <c r="A18" s="212">
        <f t="shared" si="5"/>
        <v>10</v>
      </c>
      <c r="B18" s="214"/>
      <c r="C18" s="194" t="str">
        <f t="shared" si="0"/>
        <v>Other Service Income - Pump Equity (Back Account)</v>
      </c>
      <c r="D18" s="207" t="s">
        <v>142</v>
      </c>
      <c r="E18" s="211">
        <f t="array" ref="E18">((SUM(IF((CkDJ[Ofc Code]=(TRIM(E$7)))*(CkDJ[Account Code]=(TRIM($D18))),CkDJ[Credit])))+(SUM(IF((CsDJ[Ofc Code]=(TRIM(E$7)))*(CsDJ[Account Code]=(TRIM($D18))),CsDJ[Credit])))+(SUM(IF((CRDJ[Ofc Code]=(TRIM(E$7)))*(CRDJ[Account Code]=(TRIM($D18))),CRDJ[Credit])))+(SUM(IF((GJ[Ofc Code]=(TRIM(E$7)))*(GJ[Account Code]=(TRIM($D18))),GJ[Credit]))))-((SUM(IF((CkDJ[Ofc Code]=(TRIM(E$7)))*(CkDJ[Account Code]=(TRIM($D18))),CkDJ[Debit])))+(SUM(IF((CsDJ[Ofc Code]=(TRIM(E$7)))*(CsDJ[Account Code]=(TRIM($D18))),CsDJ[Debit])))+(SUM(IF((CRDJ[Ofc Code]=(TRIM(E$7)))*(CRDJ[Account Code]=(TRIM($D18))),CRDJ[Debit])))+(SUM(IF((GJ[Ofc Code]=(TRIM(E$7)))*(GJ[Account Code]=(TRIM($D18))),GJ[Debit]))))</f>
        <v>0</v>
      </c>
      <c r="F18" s="211">
        <f t="array" ref="F18">((SUM(IF((CkDJ[Ofc Code]=(TRIM(F$7)))*(CkDJ[Account Code]=(TRIM($D18))),CkDJ[Credit])))+(SUM(IF((CsDJ[Ofc Code]=(TRIM(F$7)))*(CsDJ[Account Code]=(TRIM($D18))),CsDJ[Credit])))+(SUM(IF((CRDJ[Ofc Code]=(TRIM(F$7)))*(CRDJ[Account Code]=(TRIM($D18))),CRDJ[Credit])))+(SUM(IF((GJ[Ofc Code]=(TRIM(F$7)))*(GJ[Account Code]=(TRIM($D18))),GJ[Credit]))))-((SUM(IF((CkDJ[Ofc Code]=(TRIM(F$7)))*(CkDJ[Account Code]=(TRIM($D18))),CkDJ[Debit])))+(SUM(IF((CsDJ[Ofc Code]=(TRIM(F$7)))*(CsDJ[Account Code]=(TRIM($D18))),CsDJ[Debit])))+(SUM(IF((CRDJ[Ofc Code]=(TRIM(F$7)))*(CRDJ[Account Code]=(TRIM($D18))),CRDJ[Debit])))+(SUM(IF((GJ[Ofc Code]=(TRIM(F$7)))*(GJ[Account Code]=(TRIM($D18))),GJ[Debit]))))</f>
        <v>0</v>
      </c>
      <c r="G18" s="211">
        <f t="array" ref="G18">((SUM(IF((CkDJ[Ofc Code]=(TRIM(G$7)))*(CkDJ[Account Code]=(TRIM($D18))),CkDJ[Credit])))+(SUM(IF((CsDJ[Ofc Code]=(TRIM(G$7)))*(CsDJ[Account Code]=(TRIM($D18))),CsDJ[Credit])))+(SUM(IF((CRDJ[Ofc Code]=(TRIM(G$7)))*(CRDJ[Account Code]=(TRIM($D18))),CRDJ[Credit])))+(SUM(IF((GJ[Ofc Code]=(TRIM(G$7)))*(GJ[Account Code]=(TRIM($D18))),GJ[Credit]))))-((SUM(IF((CkDJ[Ofc Code]=(TRIM(G$7)))*(CkDJ[Account Code]=(TRIM($D18))),CkDJ[Debit])))+(SUM(IF((CsDJ[Ofc Code]=(TRIM(G$7)))*(CsDJ[Account Code]=(TRIM($D18))),CsDJ[Debit])))+(SUM(IF((CRDJ[Ofc Code]=(TRIM(G$7)))*(CRDJ[Account Code]=(TRIM($D18))),CRDJ[Debit])))+(SUM(IF((GJ[Ofc Code]=(TRIM(G$7)))*(GJ[Account Code]=(TRIM($D18))),GJ[Debit]))))</f>
        <v>0</v>
      </c>
      <c r="H18" s="211">
        <f t="array" ref="H18">((SUM(IF((CkDJ[Ofc Code]=(TRIM(H$7)))*(CkDJ[Account Code]=(TRIM($D18))),CkDJ[Credit])))+(SUM(IF((CsDJ[Ofc Code]=(TRIM(H$7)))*(CsDJ[Account Code]=(TRIM($D18))),CsDJ[Credit])))+(SUM(IF((CRDJ[Ofc Code]=(TRIM(H$7)))*(CRDJ[Account Code]=(TRIM($D18))),CRDJ[Credit])))+(SUM(IF((GJ[Ofc Code]=(TRIM(H$7)))*(GJ[Account Code]=(TRIM($D18))),GJ[Credit]))))-((SUM(IF((CkDJ[Ofc Code]=(TRIM(H$7)))*(CkDJ[Account Code]=(TRIM($D18))),CkDJ[Debit])))+(SUM(IF((CsDJ[Ofc Code]=(TRIM(H$7)))*(CsDJ[Account Code]=(TRIM($D18))),CsDJ[Debit])))+(SUM(IF((CRDJ[Ofc Code]=(TRIM(H$7)))*(CRDJ[Account Code]=(TRIM($D18))),CRDJ[Debit])))+(SUM(IF((GJ[Ofc Code]=(TRIM(H$7)))*(GJ[Account Code]=(TRIM($D18))),GJ[Debit]))))</f>
        <v>0</v>
      </c>
      <c r="I18" s="211">
        <f t="array" ref="I18">((SUM(IF((CkDJ[Ofc Code]=(TRIM(I$7)))*(CkDJ[Account Code]=(TRIM($D18))),CkDJ[Credit])))+(SUM(IF((CsDJ[Ofc Code]=(TRIM(I$7)))*(CsDJ[Account Code]=(TRIM($D18))),CsDJ[Credit])))+(SUM(IF((CRDJ[Ofc Code]=(TRIM(I$7)))*(CRDJ[Account Code]=(TRIM($D18))),CRDJ[Credit])))+(SUM(IF((GJ[Ofc Code]=(TRIM(I$7)))*(GJ[Account Code]=(TRIM($D18))),GJ[Credit]))))-((SUM(IF((CkDJ[Ofc Code]=(TRIM(I$7)))*(CkDJ[Account Code]=(TRIM($D18))),CkDJ[Debit])))+(SUM(IF((CsDJ[Ofc Code]=(TRIM(I$7)))*(CsDJ[Account Code]=(TRIM($D18))),CsDJ[Debit])))+(SUM(IF((CRDJ[Ofc Code]=(TRIM(I$7)))*(CRDJ[Account Code]=(TRIM($D18))),CRDJ[Debit])))+(SUM(IF((GJ[Ofc Code]=(TRIM(I$7)))*(GJ[Account Code]=(TRIM($D18))),GJ[Debit]))))</f>
        <v>0</v>
      </c>
      <c r="J18" s="211">
        <f>SUM(F18:I18)</f>
        <v>0</v>
      </c>
      <c r="K18" s="211">
        <f t="array" ref="K18">((SUM(IF((CkDJ[Ofc Code]=(TRIM(K$7)))*(CkDJ[Account Code]=(TRIM($D18))),CkDJ[Credit])))+(SUM(IF((CsDJ[Ofc Code]=(TRIM(K$7)))*(CsDJ[Account Code]=(TRIM($D18))),CsDJ[Credit])))+(SUM(IF((CRDJ[Ofc Code]=(TRIM(K$7)))*(CRDJ[Account Code]=(TRIM($D18))),CRDJ[Credit])))+(SUM(IF((GJ[Ofc Code]=(TRIM(K$7)))*(GJ[Account Code]=(TRIM($D18))),GJ[Credit]))))-((SUM(IF((CkDJ[Ofc Code]=(TRIM(K$7)))*(CkDJ[Account Code]=(TRIM($D18))),CkDJ[Debit])))+(SUM(IF((CsDJ[Ofc Code]=(TRIM(K$7)))*(CsDJ[Account Code]=(TRIM($D18))),CsDJ[Debit])))+(SUM(IF((CRDJ[Ofc Code]=(TRIM(K$7)))*(CRDJ[Account Code]=(TRIM($D18))),CRDJ[Debit])))+(SUM(IF((GJ[Ofc Code]=(TRIM(K$7)))*(GJ[Account Code]=(TRIM($D18))),GJ[Debit]))))</f>
        <v>0</v>
      </c>
      <c r="L18" s="211">
        <f t="array" ref="L18">((SUM(IF((CkDJ[Ofc Code]=(TRIM(L$7)))*(CkDJ[Account Code]=(TRIM($D18))),CkDJ[Credit])))+(SUM(IF((CsDJ[Ofc Code]=(TRIM(L$7)))*(CsDJ[Account Code]=(TRIM($D18))),CsDJ[Credit])))+(SUM(IF((CRDJ[Ofc Code]=(TRIM(L$7)))*(CRDJ[Account Code]=(TRIM($D18))),CRDJ[Credit])))+(SUM(IF((GJ[Ofc Code]=(TRIM(L$7)))*(GJ[Account Code]=(TRIM($D18))),GJ[Credit]))))-((SUM(IF((CkDJ[Ofc Code]=(TRIM(L$7)))*(CkDJ[Account Code]=(TRIM($D18))),CkDJ[Debit])))+(SUM(IF((CsDJ[Ofc Code]=(TRIM(L$7)))*(CsDJ[Account Code]=(TRIM($D18))),CsDJ[Debit])))+(SUM(IF((CRDJ[Ofc Code]=(TRIM(L$7)))*(CRDJ[Account Code]=(TRIM($D18))),CRDJ[Debit])))+(SUM(IF((GJ[Ofc Code]=(TRIM(L$7)))*(GJ[Account Code]=(TRIM($D18))),GJ[Debit]))))</f>
        <v>0</v>
      </c>
      <c r="M18" s="211">
        <f t="array" ref="M18">((SUM(IF((CkDJ[Ofc Code]=(TRIM(M$7)))*(CkDJ[Account Code]=(TRIM($D18))),CkDJ[Credit])))+(SUM(IF((CsDJ[Ofc Code]=(TRIM(M$7)))*(CsDJ[Account Code]=(TRIM($D18))),CsDJ[Credit])))+(SUM(IF((CRDJ[Ofc Code]=(TRIM(M$7)))*(CRDJ[Account Code]=(TRIM($D18))),CRDJ[Credit])))+(SUM(IF((GJ[Ofc Code]=(TRIM(M$7)))*(GJ[Account Code]=(TRIM($D18))),GJ[Credit]))))-((SUM(IF((CkDJ[Ofc Code]=(TRIM(M$7)))*(CkDJ[Account Code]=(TRIM($D18))),CkDJ[Debit])))+(SUM(IF((CsDJ[Ofc Code]=(TRIM(M$7)))*(CsDJ[Account Code]=(TRIM($D18))),CsDJ[Debit])))+(SUM(IF((CRDJ[Ofc Code]=(TRIM(M$7)))*(CRDJ[Account Code]=(TRIM($D18))),CRDJ[Debit])))+(SUM(IF((GJ[Ofc Code]=(TRIM(M$7)))*(GJ[Account Code]=(TRIM($D18))),GJ[Debit]))))</f>
        <v>0</v>
      </c>
      <c r="N18" s="211">
        <f t="array" ref="N18">((SUM(IF((CkDJ[Ofc Code]=(TRIM(N$7)))*(CkDJ[Account Code]=(TRIM($D18))),CkDJ[Credit])))+(SUM(IF((CsDJ[Ofc Code]=(TRIM(N$7)))*(CsDJ[Account Code]=(TRIM($D18))),CsDJ[Credit])))+(SUM(IF((CRDJ[Ofc Code]=(TRIM(N$7)))*(CRDJ[Account Code]=(TRIM($D18))),CRDJ[Credit])))+(SUM(IF((GJ[Ofc Code]=(TRIM(N$7)))*(GJ[Account Code]=(TRIM($D18))),GJ[Credit]))))-((SUM(IF((CkDJ[Ofc Code]=(TRIM(N$7)))*(CkDJ[Account Code]=(TRIM($D18))),CkDJ[Debit])))+(SUM(IF((CsDJ[Ofc Code]=(TRIM(N$7)))*(CsDJ[Account Code]=(TRIM($D18))),CsDJ[Debit])))+(SUM(IF((CRDJ[Ofc Code]=(TRIM(N$7)))*(CRDJ[Account Code]=(TRIM($D18))),CRDJ[Debit])))+(SUM(IF((GJ[Ofc Code]=(TRIM(N$7)))*(GJ[Account Code]=(TRIM($D18))),GJ[Debit]))))</f>
        <v>0</v>
      </c>
      <c r="O18" s="211">
        <f>SUM(K18:N18)</f>
        <v>0</v>
      </c>
      <c r="P18" s="211">
        <f t="array" ref="P18">((SUM(IF((CkDJ[Ofc Code]=(TRIM(P$7)))*(CkDJ[Account Code]=(TRIM($D18))),CkDJ[Credit])))+(SUM(IF((CsDJ[Ofc Code]=(TRIM(P$7)))*(CsDJ[Account Code]=(TRIM($D18))),CsDJ[Credit])))+(SUM(IF((CRDJ[Ofc Code]=(TRIM(P$7)))*(CRDJ[Account Code]=(TRIM($D18))),CRDJ[Credit])))+(SUM(IF((GJ[Ofc Code]=(TRIM(P$7)))*(GJ[Account Code]=(TRIM($D18))),GJ[Credit]))))-((SUM(IF((CkDJ[Ofc Code]=(TRIM(P$7)))*(CkDJ[Account Code]=(TRIM($D18))),CkDJ[Debit])))+(SUM(IF((CsDJ[Ofc Code]=(TRIM(P$7)))*(CsDJ[Account Code]=(TRIM($D18))),CsDJ[Debit])))+(SUM(IF((CRDJ[Ofc Code]=(TRIM(P$7)))*(CRDJ[Account Code]=(TRIM($D18))),CRDJ[Debit])))+(SUM(IF((GJ[Ofc Code]=(TRIM(P$7)))*(GJ[Account Code]=(TRIM($D18))),GJ[Debit]))))</f>
        <v>0</v>
      </c>
      <c r="Q18" s="211">
        <f t="array" ref="Q18">((SUM(IF((CkDJ[Ofc Code]=(TRIM(Q$7)))*(CkDJ[Account Code]=(TRIM($D18))),CkDJ[Credit])))+(SUM(IF((CsDJ[Ofc Code]=(TRIM(Q$7)))*(CsDJ[Account Code]=(TRIM($D18))),CsDJ[Credit])))+(SUM(IF((CRDJ[Ofc Code]=(TRIM(Q$7)))*(CRDJ[Account Code]=(TRIM($D18))),CRDJ[Credit])))+(SUM(IF((GJ[Ofc Code]=(TRIM(Q$7)))*(GJ[Account Code]=(TRIM($D18))),GJ[Credit]))))-((SUM(IF((CkDJ[Ofc Code]=(TRIM(Q$7)))*(CkDJ[Account Code]=(TRIM($D18))),CkDJ[Debit])))+(SUM(IF((CsDJ[Ofc Code]=(TRIM(Q$7)))*(CsDJ[Account Code]=(TRIM($D18))),CsDJ[Debit])))+(SUM(IF((CRDJ[Ofc Code]=(TRIM(Q$7)))*(CRDJ[Account Code]=(TRIM($D18))),CRDJ[Debit])))+(SUM(IF((GJ[Ofc Code]=(TRIM(Q$7)))*(GJ[Account Code]=(TRIM($D18))),GJ[Debit]))))</f>
        <v>0</v>
      </c>
      <c r="R18" s="211">
        <f t="array" ref="R18">((SUM(IF((CkDJ[Ofc Code]=(TRIM(R$7)))*(CkDJ[Account Code]=(TRIM($D18))),CkDJ[Credit])))+(SUM(IF((CsDJ[Ofc Code]=(TRIM(R$7)))*(CsDJ[Account Code]=(TRIM($D18))),CsDJ[Credit])))+(SUM(IF((CRDJ[Ofc Code]=(TRIM(R$7)))*(CRDJ[Account Code]=(TRIM($D18))),CRDJ[Credit])))+(SUM(IF((GJ[Ofc Code]=(TRIM(R$7)))*(GJ[Account Code]=(TRIM($D18))),GJ[Credit]))))-((SUM(IF((CkDJ[Ofc Code]=(TRIM(R$7)))*(CkDJ[Account Code]=(TRIM($D18))),CkDJ[Debit])))+(SUM(IF((CsDJ[Ofc Code]=(TRIM(R$7)))*(CsDJ[Account Code]=(TRIM($D18))),CsDJ[Debit])))+(SUM(IF((CRDJ[Ofc Code]=(TRIM(R$7)))*(CRDJ[Account Code]=(TRIM($D18))),CRDJ[Debit])))+(SUM(IF((GJ[Ofc Code]=(TRIM(R$7)))*(GJ[Account Code]=(TRIM($D18))),GJ[Debit]))))</f>
        <v>0</v>
      </c>
      <c r="S18" s="211">
        <f t="array" ref="S18">((SUM(IF((CkDJ[Ofc Code]=(TRIM(S$7)))*(CkDJ[Account Code]=(TRIM($D18))),CkDJ[Credit])))+(SUM(IF((CsDJ[Ofc Code]=(TRIM(S$7)))*(CsDJ[Account Code]=(TRIM($D18))),CsDJ[Credit])))+(SUM(IF((CRDJ[Ofc Code]=(TRIM(S$7)))*(CRDJ[Account Code]=(TRIM($D18))),CRDJ[Credit])))+(SUM(IF((GJ[Ofc Code]=(TRIM(S$7)))*(GJ[Account Code]=(TRIM($D18))),GJ[Credit]))))-((SUM(IF((CkDJ[Ofc Code]=(TRIM(S$7)))*(CkDJ[Account Code]=(TRIM($D18))),CkDJ[Debit])))+(SUM(IF((CsDJ[Ofc Code]=(TRIM(S$7)))*(CsDJ[Account Code]=(TRIM($D18))),CsDJ[Debit])))+(SUM(IF((CRDJ[Ofc Code]=(TRIM(S$7)))*(CRDJ[Account Code]=(TRIM($D18))),CRDJ[Debit])))+(SUM(IF((GJ[Ofc Code]=(TRIM(S$7)))*(GJ[Account Code]=(TRIM($D18))),GJ[Debit]))))</f>
        <v>0</v>
      </c>
      <c r="T18" s="211">
        <f t="array" ref="T18">((SUM(IF((CkDJ[Ofc Code]=(TRIM(T$7)))*(CkDJ[Account Code]=(TRIM($D18))),CkDJ[Credit])))+(SUM(IF((CsDJ[Ofc Code]=(TRIM(T$7)))*(CsDJ[Account Code]=(TRIM($D18))),CsDJ[Credit])))+(SUM(IF((CRDJ[Ofc Code]=(TRIM(T$7)))*(CRDJ[Account Code]=(TRIM($D18))),CRDJ[Credit])))+(SUM(IF((GJ[Ofc Code]=(TRIM(T$7)))*(GJ[Account Code]=(TRIM($D18))),GJ[Credit]))))-((SUM(IF((CkDJ[Ofc Code]=(TRIM(T$7)))*(CkDJ[Account Code]=(TRIM($D18))),CkDJ[Debit])))+(SUM(IF((CsDJ[Ofc Code]=(TRIM(T$7)))*(CsDJ[Account Code]=(TRIM($D18))),CsDJ[Debit])))+(SUM(IF((CRDJ[Ofc Code]=(TRIM(T$7)))*(CRDJ[Account Code]=(TRIM($D18))),CRDJ[Debit])))+(SUM(IF((GJ[Ofc Code]=(TRIM(T$7)))*(GJ[Account Code]=(TRIM($D18))),GJ[Debit]))))</f>
        <v>0</v>
      </c>
      <c r="U18" s="211">
        <f>SUM(P18:T18)</f>
        <v>0</v>
      </c>
      <c r="V18" s="211">
        <f>E18+J18+O18+U18</f>
        <v>0</v>
      </c>
    </row>
    <row r="19" spans="1:22" ht="15" x14ac:dyDescent="0.25">
      <c r="A19" s="212">
        <f t="shared" si="5"/>
        <v>11</v>
      </c>
      <c r="B19" s="214"/>
      <c r="C19" s="194" t="str">
        <f t="shared" si="0"/>
        <v>Fines and Penalties-Irrigation Service Fee</v>
      </c>
      <c r="D19" s="207" t="s">
        <v>143</v>
      </c>
      <c r="E19" s="211">
        <f t="array" ref="E19">((SUM(IF((CkDJ[Ofc Code]=(TRIM(E$7)))*(CkDJ[Account Code]=(TRIM($D19))),CkDJ[Credit])))+(SUM(IF((CsDJ[Ofc Code]=(TRIM(E$7)))*(CsDJ[Account Code]=(TRIM($D19))),CsDJ[Credit])))+(SUM(IF((CRDJ[Ofc Code]=(TRIM(E$7)))*(CRDJ[Account Code]=(TRIM($D19))),CRDJ[Credit])))+(SUM(IF((GJ[Ofc Code]=(TRIM(E$7)))*(GJ[Account Code]=(TRIM($D19))),GJ[Credit]))))-((SUM(IF((CkDJ[Ofc Code]=(TRIM(E$7)))*(CkDJ[Account Code]=(TRIM($D19))),CkDJ[Debit])))+(SUM(IF((CsDJ[Ofc Code]=(TRIM(E$7)))*(CsDJ[Account Code]=(TRIM($D19))),CsDJ[Debit])))+(SUM(IF((CRDJ[Ofc Code]=(TRIM(E$7)))*(CRDJ[Account Code]=(TRIM($D19))),CRDJ[Debit])))+(SUM(IF((GJ[Ofc Code]=(TRIM(E$7)))*(GJ[Account Code]=(TRIM($D19))),GJ[Debit]))))</f>
        <v>0</v>
      </c>
      <c r="F19" s="211">
        <f t="array" ref="F19">((SUM(IF((CkDJ[Ofc Code]=(TRIM(F$7)))*(CkDJ[Account Code]=(TRIM($D19))),CkDJ[Credit])))+(SUM(IF((CsDJ[Ofc Code]=(TRIM(F$7)))*(CsDJ[Account Code]=(TRIM($D19))),CsDJ[Credit])))+(SUM(IF((CRDJ[Ofc Code]=(TRIM(F$7)))*(CRDJ[Account Code]=(TRIM($D19))),CRDJ[Credit])))+(SUM(IF((GJ[Ofc Code]=(TRIM(F$7)))*(GJ[Account Code]=(TRIM($D19))),GJ[Credit]))))-((SUM(IF((CkDJ[Ofc Code]=(TRIM(F$7)))*(CkDJ[Account Code]=(TRIM($D19))),CkDJ[Debit])))+(SUM(IF((CsDJ[Ofc Code]=(TRIM(F$7)))*(CsDJ[Account Code]=(TRIM($D19))),CsDJ[Debit])))+(SUM(IF((CRDJ[Ofc Code]=(TRIM(F$7)))*(CRDJ[Account Code]=(TRIM($D19))),CRDJ[Debit])))+(SUM(IF((GJ[Ofc Code]=(TRIM(F$7)))*(GJ[Account Code]=(TRIM($D19))),GJ[Debit]))))</f>
        <v>0</v>
      </c>
      <c r="G19" s="211">
        <f t="array" ref="G19">((SUM(IF((CkDJ[Ofc Code]=(TRIM(G$7)))*(CkDJ[Account Code]=(TRIM($D19))),CkDJ[Credit])))+(SUM(IF((CsDJ[Ofc Code]=(TRIM(G$7)))*(CsDJ[Account Code]=(TRIM($D19))),CsDJ[Credit])))+(SUM(IF((CRDJ[Ofc Code]=(TRIM(G$7)))*(CRDJ[Account Code]=(TRIM($D19))),CRDJ[Credit])))+(SUM(IF((GJ[Ofc Code]=(TRIM(G$7)))*(GJ[Account Code]=(TRIM($D19))),GJ[Credit]))))-((SUM(IF((CkDJ[Ofc Code]=(TRIM(G$7)))*(CkDJ[Account Code]=(TRIM($D19))),CkDJ[Debit])))+(SUM(IF((CsDJ[Ofc Code]=(TRIM(G$7)))*(CsDJ[Account Code]=(TRIM($D19))),CsDJ[Debit])))+(SUM(IF((CRDJ[Ofc Code]=(TRIM(G$7)))*(CRDJ[Account Code]=(TRIM($D19))),CRDJ[Debit])))+(SUM(IF((GJ[Ofc Code]=(TRIM(G$7)))*(GJ[Account Code]=(TRIM($D19))),GJ[Debit]))))</f>
        <v>0</v>
      </c>
      <c r="H19" s="211">
        <f t="array" ref="H19">((SUM(IF((CkDJ[Ofc Code]=(TRIM(H$7)))*(CkDJ[Account Code]=(TRIM($D19))),CkDJ[Credit])))+(SUM(IF((CsDJ[Ofc Code]=(TRIM(H$7)))*(CsDJ[Account Code]=(TRIM($D19))),CsDJ[Credit])))+(SUM(IF((CRDJ[Ofc Code]=(TRIM(H$7)))*(CRDJ[Account Code]=(TRIM($D19))),CRDJ[Credit])))+(SUM(IF((GJ[Ofc Code]=(TRIM(H$7)))*(GJ[Account Code]=(TRIM($D19))),GJ[Credit]))))-((SUM(IF((CkDJ[Ofc Code]=(TRIM(H$7)))*(CkDJ[Account Code]=(TRIM($D19))),CkDJ[Debit])))+(SUM(IF((CsDJ[Ofc Code]=(TRIM(H$7)))*(CsDJ[Account Code]=(TRIM($D19))),CsDJ[Debit])))+(SUM(IF((CRDJ[Ofc Code]=(TRIM(H$7)))*(CRDJ[Account Code]=(TRIM($D19))),CRDJ[Debit])))+(SUM(IF((GJ[Ofc Code]=(TRIM(H$7)))*(GJ[Account Code]=(TRIM($D19))),GJ[Debit]))))</f>
        <v>0</v>
      </c>
      <c r="I19" s="211">
        <f t="array" ref="I19">((SUM(IF((CkDJ[Ofc Code]=(TRIM(I$7)))*(CkDJ[Account Code]=(TRIM($D19))),CkDJ[Credit])))+(SUM(IF((CsDJ[Ofc Code]=(TRIM(I$7)))*(CsDJ[Account Code]=(TRIM($D19))),CsDJ[Credit])))+(SUM(IF((CRDJ[Ofc Code]=(TRIM(I$7)))*(CRDJ[Account Code]=(TRIM($D19))),CRDJ[Credit])))+(SUM(IF((GJ[Ofc Code]=(TRIM(I$7)))*(GJ[Account Code]=(TRIM($D19))),GJ[Credit]))))-((SUM(IF((CkDJ[Ofc Code]=(TRIM(I$7)))*(CkDJ[Account Code]=(TRIM($D19))),CkDJ[Debit])))+(SUM(IF((CsDJ[Ofc Code]=(TRIM(I$7)))*(CsDJ[Account Code]=(TRIM($D19))),CsDJ[Debit])))+(SUM(IF((CRDJ[Ofc Code]=(TRIM(I$7)))*(CRDJ[Account Code]=(TRIM($D19))),CRDJ[Debit])))+(SUM(IF((GJ[Ofc Code]=(TRIM(I$7)))*(GJ[Account Code]=(TRIM($D19))),GJ[Debit]))))</f>
        <v>0</v>
      </c>
      <c r="J19" s="211">
        <f t="shared" si="1"/>
        <v>0</v>
      </c>
      <c r="K19" s="211">
        <f t="array" ref="K19">((SUM(IF((CkDJ[Ofc Code]=(TRIM(K$7)))*(CkDJ[Account Code]=(TRIM($D19))),CkDJ[Credit])))+(SUM(IF((CsDJ[Ofc Code]=(TRIM(K$7)))*(CsDJ[Account Code]=(TRIM($D19))),CsDJ[Credit])))+(SUM(IF((CRDJ[Ofc Code]=(TRIM(K$7)))*(CRDJ[Account Code]=(TRIM($D19))),CRDJ[Credit])))+(SUM(IF((GJ[Ofc Code]=(TRIM(K$7)))*(GJ[Account Code]=(TRIM($D19))),GJ[Credit]))))-((SUM(IF((CkDJ[Ofc Code]=(TRIM(K$7)))*(CkDJ[Account Code]=(TRIM($D19))),CkDJ[Debit])))+(SUM(IF((CsDJ[Ofc Code]=(TRIM(K$7)))*(CsDJ[Account Code]=(TRIM($D19))),CsDJ[Debit])))+(SUM(IF((CRDJ[Ofc Code]=(TRIM(K$7)))*(CRDJ[Account Code]=(TRIM($D19))),CRDJ[Debit])))+(SUM(IF((GJ[Ofc Code]=(TRIM(K$7)))*(GJ[Account Code]=(TRIM($D19))),GJ[Debit]))))</f>
        <v>0</v>
      </c>
      <c r="L19" s="211">
        <f t="array" ref="L19">((SUM(IF((CkDJ[Ofc Code]=(TRIM(L$7)))*(CkDJ[Account Code]=(TRIM($D19))),CkDJ[Credit])))+(SUM(IF((CsDJ[Ofc Code]=(TRIM(L$7)))*(CsDJ[Account Code]=(TRIM($D19))),CsDJ[Credit])))+(SUM(IF((CRDJ[Ofc Code]=(TRIM(L$7)))*(CRDJ[Account Code]=(TRIM($D19))),CRDJ[Credit])))+(SUM(IF((GJ[Ofc Code]=(TRIM(L$7)))*(GJ[Account Code]=(TRIM($D19))),GJ[Credit]))))-((SUM(IF((CkDJ[Ofc Code]=(TRIM(L$7)))*(CkDJ[Account Code]=(TRIM($D19))),CkDJ[Debit])))+(SUM(IF((CsDJ[Ofc Code]=(TRIM(L$7)))*(CsDJ[Account Code]=(TRIM($D19))),CsDJ[Debit])))+(SUM(IF((CRDJ[Ofc Code]=(TRIM(L$7)))*(CRDJ[Account Code]=(TRIM($D19))),CRDJ[Debit])))+(SUM(IF((GJ[Ofc Code]=(TRIM(L$7)))*(GJ[Account Code]=(TRIM($D19))),GJ[Debit]))))</f>
        <v>0</v>
      </c>
      <c r="M19" s="211">
        <f t="array" ref="M19">((SUM(IF((CkDJ[Ofc Code]=(TRIM(M$7)))*(CkDJ[Account Code]=(TRIM($D19))),CkDJ[Credit])))+(SUM(IF((CsDJ[Ofc Code]=(TRIM(M$7)))*(CsDJ[Account Code]=(TRIM($D19))),CsDJ[Credit])))+(SUM(IF((CRDJ[Ofc Code]=(TRIM(M$7)))*(CRDJ[Account Code]=(TRIM($D19))),CRDJ[Credit])))+(SUM(IF((GJ[Ofc Code]=(TRIM(M$7)))*(GJ[Account Code]=(TRIM($D19))),GJ[Credit]))))-((SUM(IF((CkDJ[Ofc Code]=(TRIM(M$7)))*(CkDJ[Account Code]=(TRIM($D19))),CkDJ[Debit])))+(SUM(IF((CsDJ[Ofc Code]=(TRIM(M$7)))*(CsDJ[Account Code]=(TRIM($D19))),CsDJ[Debit])))+(SUM(IF((CRDJ[Ofc Code]=(TRIM(M$7)))*(CRDJ[Account Code]=(TRIM($D19))),CRDJ[Debit])))+(SUM(IF((GJ[Ofc Code]=(TRIM(M$7)))*(GJ[Account Code]=(TRIM($D19))),GJ[Debit]))))</f>
        <v>0</v>
      </c>
      <c r="N19" s="211">
        <f t="array" ref="N19">((SUM(IF((CkDJ[Ofc Code]=(TRIM(N$7)))*(CkDJ[Account Code]=(TRIM($D19))),CkDJ[Credit])))+(SUM(IF((CsDJ[Ofc Code]=(TRIM(N$7)))*(CsDJ[Account Code]=(TRIM($D19))),CsDJ[Credit])))+(SUM(IF((CRDJ[Ofc Code]=(TRIM(N$7)))*(CRDJ[Account Code]=(TRIM($D19))),CRDJ[Credit])))+(SUM(IF((GJ[Ofc Code]=(TRIM(N$7)))*(GJ[Account Code]=(TRIM($D19))),GJ[Credit]))))-((SUM(IF((CkDJ[Ofc Code]=(TRIM(N$7)))*(CkDJ[Account Code]=(TRIM($D19))),CkDJ[Debit])))+(SUM(IF((CsDJ[Ofc Code]=(TRIM(N$7)))*(CsDJ[Account Code]=(TRIM($D19))),CsDJ[Debit])))+(SUM(IF((CRDJ[Ofc Code]=(TRIM(N$7)))*(CRDJ[Account Code]=(TRIM($D19))),CRDJ[Debit])))+(SUM(IF((GJ[Ofc Code]=(TRIM(N$7)))*(GJ[Account Code]=(TRIM($D19))),GJ[Debit]))))</f>
        <v>0</v>
      </c>
      <c r="O19" s="211">
        <f t="shared" si="2"/>
        <v>0</v>
      </c>
      <c r="P19" s="211">
        <f t="array" ref="P19">((SUM(IF((CkDJ[Ofc Code]=(TRIM(P$7)))*(CkDJ[Account Code]=(TRIM($D19))),CkDJ[Credit])))+(SUM(IF((CsDJ[Ofc Code]=(TRIM(P$7)))*(CsDJ[Account Code]=(TRIM($D19))),CsDJ[Credit])))+(SUM(IF((CRDJ[Ofc Code]=(TRIM(P$7)))*(CRDJ[Account Code]=(TRIM($D19))),CRDJ[Credit])))+(SUM(IF((GJ[Ofc Code]=(TRIM(P$7)))*(GJ[Account Code]=(TRIM($D19))),GJ[Credit]))))-((SUM(IF((CkDJ[Ofc Code]=(TRIM(P$7)))*(CkDJ[Account Code]=(TRIM($D19))),CkDJ[Debit])))+(SUM(IF((CsDJ[Ofc Code]=(TRIM(P$7)))*(CsDJ[Account Code]=(TRIM($D19))),CsDJ[Debit])))+(SUM(IF((CRDJ[Ofc Code]=(TRIM(P$7)))*(CRDJ[Account Code]=(TRIM($D19))),CRDJ[Debit])))+(SUM(IF((GJ[Ofc Code]=(TRIM(P$7)))*(GJ[Account Code]=(TRIM($D19))),GJ[Debit]))))</f>
        <v>0</v>
      </c>
      <c r="Q19" s="211">
        <f t="array" ref="Q19">((SUM(IF((CkDJ[Ofc Code]=(TRIM(Q$7)))*(CkDJ[Account Code]=(TRIM($D19))),CkDJ[Credit])))+(SUM(IF((CsDJ[Ofc Code]=(TRIM(Q$7)))*(CsDJ[Account Code]=(TRIM($D19))),CsDJ[Credit])))+(SUM(IF((CRDJ[Ofc Code]=(TRIM(Q$7)))*(CRDJ[Account Code]=(TRIM($D19))),CRDJ[Credit])))+(SUM(IF((GJ[Ofc Code]=(TRIM(Q$7)))*(GJ[Account Code]=(TRIM($D19))),GJ[Credit]))))-((SUM(IF((CkDJ[Ofc Code]=(TRIM(Q$7)))*(CkDJ[Account Code]=(TRIM($D19))),CkDJ[Debit])))+(SUM(IF((CsDJ[Ofc Code]=(TRIM(Q$7)))*(CsDJ[Account Code]=(TRIM($D19))),CsDJ[Debit])))+(SUM(IF((CRDJ[Ofc Code]=(TRIM(Q$7)))*(CRDJ[Account Code]=(TRIM($D19))),CRDJ[Debit])))+(SUM(IF((GJ[Ofc Code]=(TRIM(Q$7)))*(GJ[Account Code]=(TRIM($D19))),GJ[Debit]))))</f>
        <v>0</v>
      </c>
      <c r="R19" s="211">
        <f t="array" ref="R19">((SUM(IF((CkDJ[Ofc Code]=(TRIM(R$7)))*(CkDJ[Account Code]=(TRIM($D19))),CkDJ[Credit])))+(SUM(IF((CsDJ[Ofc Code]=(TRIM(R$7)))*(CsDJ[Account Code]=(TRIM($D19))),CsDJ[Credit])))+(SUM(IF((CRDJ[Ofc Code]=(TRIM(R$7)))*(CRDJ[Account Code]=(TRIM($D19))),CRDJ[Credit])))+(SUM(IF((GJ[Ofc Code]=(TRIM(R$7)))*(GJ[Account Code]=(TRIM($D19))),GJ[Credit]))))-((SUM(IF((CkDJ[Ofc Code]=(TRIM(R$7)))*(CkDJ[Account Code]=(TRIM($D19))),CkDJ[Debit])))+(SUM(IF((CsDJ[Ofc Code]=(TRIM(R$7)))*(CsDJ[Account Code]=(TRIM($D19))),CsDJ[Debit])))+(SUM(IF((CRDJ[Ofc Code]=(TRIM(R$7)))*(CRDJ[Account Code]=(TRIM($D19))),CRDJ[Debit])))+(SUM(IF((GJ[Ofc Code]=(TRIM(R$7)))*(GJ[Account Code]=(TRIM($D19))),GJ[Debit]))))</f>
        <v>0</v>
      </c>
      <c r="S19" s="211">
        <f t="array" ref="S19">((SUM(IF((CkDJ[Ofc Code]=(TRIM(S$7)))*(CkDJ[Account Code]=(TRIM($D19))),CkDJ[Credit])))+(SUM(IF((CsDJ[Ofc Code]=(TRIM(S$7)))*(CsDJ[Account Code]=(TRIM($D19))),CsDJ[Credit])))+(SUM(IF((CRDJ[Ofc Code]=(TRIM(S$7)))*(CRDJ[Account Code]=(TRIM($D19))),CRDJ[Credit])))+(SUM(IF((GJ[Ofc Code]=(TRIM(S$7)))*(GJ[Account Code]=(TRIM($D19))),GJ[Credit]))))-((SUM(IF((CkDJ[Ofc Code]=(TRIM(S$7)))*(CkDJ[Account Code]=(TRIM($D19))),CkDJ[Debit])))+(SUM(IF((CsDJ[Ofc Code]=(TRIM(S$7)))*(CsDJ[Account Code]=(TRIM($D19))),CsDJ[Debit])))+(SUM(IF((CRDJ[Ofc Code]=(TRIM(S$7)))*(CRDJ[Account Code]=(TRIM($D19))),CRDJ[Debit])))+(SUM(IF((GJ[Ofc Code]=(TRIM(S$7)))*(GJ[Account Code]=(TRIM($D19))),GJ[Debit]))))</f>
        <v>0</v>
      </c>
      <c r="T19" s="211">
        <f t="array" ref="T19">((SUM(IF((CkDJ[Ofc Code]=(TRIM(T$7)))*(CkDJ[Account Code]=(TRIM($D19))),CkDJ[Credit])))+(SUM(IF((CsDJ[Ofc Code]=(TRIM(T$7)))*(CsDJ[Account Code]=(TRIM($D19))),CsDJ[Credit])))+(SUM(IF((CRDJ[Ofc Code]=(TRIM(T$7)))*(CRDJ[Account Code]=(TRIM($D19))),CRDJ[Credit])))+(SUM(IF((GJ[Ofc Code]=(TRIM(T$7)))*(GJ[Account Code]=(TRIM($D19))),GJ[Credit]))))-((SUM(IF((CkDJ[Ofc Code]=(TRIM(T$7)))*(CkDJ[Account Code]=(TRIM($D19))),CkDJ[Debit])))+(SUM(IF((CsDJ[Ofc Code]=(TRIM(T$7)))*(CsDJ[Account Code]=(TRIM($D19))),CsDJ[Debit])))+(SUM(IF((CRDJ[Ofc Code]=(TRIM(T$7)))*(CRDJ[Account Code]=(TRIM($D19))),CRDJ[Debit])))+(SUM(IF((GJ[Ofc Code]=(TRIM(T$7)))*(GJ[Account Code]=(TRIM($D19))),GJ[Debit]))))</f>
        <v>0</v>
      </c>
      <c r="U19" s="211">
        <f t="shared" si="3"/>
        <v>0</v>
      </c>
      <c r="V19" s="211">
        <f t="shared" si="4"/>
        <v>0</v>
      </c>
    </row>
    <row r="20" spans="1:22" ht="15" x14ac:dyDescent="0.25">
      <c r="A20" s="212">
        <f t="shared" si="5"/>
        <v>12</v>
      </c>
      <c r="B20" s="214"/>
      <c r="C20" s="194" t="e">
        <f t="shared" si="0"/>
        <v>#N/A</v>
      </c>
      <c r="D20" s="207" t="s">
        <v>144</v>
      </c>
      <c r="E20" s="211">
        <f t="array" ref="E20">((SUM(IF((CkDJ[Ofc Code]=(TRIM(E$7)))*(CkDJ[Account Code]=(TRIM($D20))),CkDJ[Credit])))+(SUM(IF((CsDJ[Ofc Code]=(TRIM(E$7)))*(CsDJ[Account Code]=(TRIM($D20))),CsDJ[Credit])))+(SUM(IF((CRDJ[Ofc Code]=(TRIM(E$7)))*(CRDJ[Account Code]=(TRIM($D20))),CRDJ[Credit])))+(SUM(IF((GJ[Ofc Code]=(TRIM(E$7)))*(GJ[Account Code]=(TRIM($D20))),GJ[Credit]))))-((SUM(IF((CkDJ[Ofc Code]=(TRIM(E$7)))*(CkDJ[Account Code]=(TRIM($D20))),CkDJ[Debit])))+(SUM(IF((CsDJ[Ofc Code]=(TRIM(E$7)))*(CsDJ[Account Code]=(TRIM($D20))),CsDJ[Debit])))+(SUM(IF((CRDJ[Ofc Code]=(TRIM(E$7)))*(CRDJ[Account Code]=(TRIM($D20))),CRDJ[Debit])))+(SUM(IF((GJ[Ofc Code]=(TRIM(E$7)))*(GJ[Account Code]=(TRIM($D20))),GJ[Debit]))))</f>
        <v>0</v>
      </c>
      <c r="F20" s="211">
        <f t="array" ref="F20">((SUM(IF((CkDJ[Ofc Code]=(TRIM(F$7)))*(CkDJ[Account Code]=(TRIM($D20))),CkDJ[Credit])))+(SUM(IF((CsDJ[Ofc Code]=(TRIM(F$7)))*(CsDJ[Account Code]=(TRIM($D20))),CsDJ[Credit])))+(SUM(IF((CRDJ[Ofc Code]=(TRIM(F$7)))*(CRDJ[Account Code]=(TRIM($D20))),CRDJ[Credit])))+(SUM(IF((GJ[Ofc Code]=(TRIM(F$7)))*(GJ[Account Code]=(TRIM($D20))),GJ[Credit]))))-((SUM(IF((CkDJ[Ofc Code]=(TRIM(F$7)))*(CkDJ[Account Code]=(TRIM($D20))),CkDJ[Debit])))+(SUM(IF((CsDJ[Ofc Code]=(TRIM(F$7)))*(CsDJ[Account Code]=(TRIM($D20))),CsDJ[Debit])))+(SUM(IF((CRDJ[Ofc Code]=(TRIM(F$7)))*(CRDJ[Account Code]=(TRIM($D20))),CRDJ[Debit])))+(SUM(IF((GJ[Ofc Code]=(TRIM(F$7)))*(GJ[Account Code]=(TRIM($D20))),GJ[Debit]))))</f>
        <v>0</v>
      </c>
      <c r="G20" s="211">
        <f t="array" ref="G20">((SUM(IF((CkDJ[Ofc Code]=(TRIM(G$7)))*(CkDJ[Account Code]=(TRIM($D20))),CkDJ[Credit])))+(SUM(IF((CsDJ[Ofc Code]=(TRIM(G$7)))*(CsDJ[Account Code]=(TRIM($D20))),CsDJ[Credit])))+(SUM(IF((CRDJ[Ofc Code]=(TRIM(G$7)))*(CRDJ[Account Code]=(TRIM($D20))),CRDJ[Credit])))+(SUM(IF((GJ[Ofc Code]=(TRIM(G$7)))*(GJ[Account Code]=(TRIM($D20))),GJ[Credit]))))-((SUM(IF((CkDJ[Ofc Code]=(TRIM(G$7)))*(CkDJ[Account Code]=(TRIM($D20))),CkDJ[Debit])))+(SUM(IF((CsDJ[Ofc Code]=(TRIM(G$7)))*(CsDJ[Account Code]=(TRIM($D20))),CsDJ[Debit])))+(SUM(IF((CRDJ[Ofc Code]=(TRIM(G$7)))*(CRDJ[Account Code]=(TRIM($D20))),CRDJ[Debit])))+(SUM(IF((GJ[Ofc Code]=(TRIM(G$7)))*(GJ[Account Code]=(TRIM($D20))),GJ[Debit]))))</f>
        <v>0</v>
      </c>
      <c r="H20" s="211">
        <f t="array" ref="H20">((SUM(IF((CkDJ[Ofc Code]=(TRIM(H$7)))*(CkDJ[Account Code]=(TRIM($D20))),CkDJ[Credit])))+(SUM(IF((CsDJ[Ofc Code]=(TRIM(H$7)))*(CsDJ[Account Code]=(TRIM($D20))),CsDJ[Credit])))+(SUM(IF((CRDJ[Ofc Code]=(TRIM(H$7)))*(CRDJ[Account Code]=(TRIM($D20))),CRDJ[Credit])))+(SUM(IF((GJ[Ofc Code]=(TRIM(H$7)))*(GJ[Account Code]=(TRIM($D20))),GJ[Credit]))))-((SUM(IF((CkDJ[Ofc Code]=(TRIM(H$7)))*(CkDJ[Account Code]=(TRIM($D20))),CkDJ[Debit])))+(SUM(IF((CsDJ[Ofc Code]=(TRIM(H$7)))*(CsDJ[Account Code]=(TRIM($D20))),CsDJ[Debit])))+(SUM(IF((CRDJ[Ofc Code]=(TRIM(H$7)))*(CRDJ[Account Code]=(TRIM($D20))),CRDJ[Debit])))+(SUM(IF((GJ[Ofc Code]=(TRIM(H$7)))*(GJ[Account Code]=(TRIM($D20))),GJ[Debit]))))</f>
        <v>0</v>
      </c>
      <c r="I20" s="211">
        <f t="array" ref="I20">((SUM(IF((CkDJ[Ofc Code]=(TRIM(I$7)))*(CkDJ[Account Code]=(TRIM($D20))),CkDJ[Credit])))+(SUM(IF((CsDJ[Ofc Code]=(TRIM(I$7)))*(CsDJ[Account Code]=(TRIM($D20))),CsDJ[Credit])))+(SUM(IF((CRDJ[Ofc Code]=(TRIM(I$7)))*(CRDJ[Account Code]=(TRIM($D20))),CRDJ[Credit])))+(SUM(IF((GJ[Ofc Code]=(TRIM(I$7)))*(GJ[Account Code]=(TRIM($D20))),GJ[Credit]))))-((SUM(IF((CkDJ[Ofc Code]=(TRIM(I$7)))*(CkDJ[Account Code]=(TRIM($D20))),CkDJ[Debit])))+(SUM(IF((CsDJ[Ofc Code]=(TRIM(I$7)))*(CsDJ[Account Code]=(TRIM($D20))),CsDJ[Debit])))+(SUM(IF((CRDJ[Ofc Code]=(TRIM(I$7)))*(CRDJ[Account Code]=(TRIM($D20))),CRDJ[Debit])))+(SUM(IF((GJ[Ofc Code]=(TRIM(I$7)))*(GJ[Account Code]=(TRIM($D20))),GJ[Debit]))))</f>
        <v>0</v>
      </c>
      <c r="J20" s="211">
        <f t="shared" si="1"/>
        <v>0</v>
      </c>
      <c r="K20" s="211">
        <f t="array" ref="K20">((SUM(IF((CkDJ[Ofc Code]=(TRIM(K$7)))*(CkDJ[Account Code]=(TRIM($D20))),CkDJ[Credit])))+(SUM(IF((CsDJ[Ofc Code]=(TRIM(K$7)))*(CsDJ[Account Code]=(TRIM($D20))),CsDJ[Credit])))+(SUM(IF((CRDJ[Ofc Code]=(TRIM(K$7)))*(CRDJ[Account Code]=(TRIM($D20))),CRDJ[Credit])))+(SUM(IF((GJ[Ofc Code]=(TRIM(K$7)))*(GJ[Account Code]=(TRIM($D20))),GJ[Credit]))))-((SUM(IF((CkDJ[Ofc Code]=(TRIM(K$7)))*(CkDJ[Account Code]=(TRIM($D20))),CkDJ[Debit])))+(SUM(IF((CsDJ[Ofc Code]=(TRIM(K$7)))*(CsDJ[Account Code]=(TRIM($D20))),CsDJ[Debit])))+(SUM(IF((CRDJ[Ofc Code]=(TRIM(K$7)))*(CRDJ[Account Code]=(TRIM($D20))),CRDJ[Debit])))+(SUM(IF((GJ[Ofc Code]=(TRIM(K$7)))*(GJ[Account Code]=(TRIM($D20))),GJ[Debit]))))</f>
        <v>0</v>
      </c>
      <c r="L20" s="211">
        <f t="array" ref="L20">((SUM(IF((CkDJ[Ofc Code]=(TRIM(L$7)))*(CkDJ[Account Code]=(TRIM($D20))),CkDJ[Credit])))+(SUM(IF((CsDJ[Ofc Code]=(TRIM(L$7)))*(CsDJ[Account Code]=(TRIM($D20))),CsDJ[Credit])))+(SUM(IF((CRDJ[Ofc Code]=(TRIM(L$7)))*(CRDJ[Account Code]=(TRIM($D20))),CRDJ[Credit])))+(SUM(IF((GJ[Ofc Code]=(TRIM(L$7)))*(GJ[Account Code]=(TRIM($D20))),GJ[Credit]))))-((SUM(IF((CkDJ[Ofc Code]=(TRIM(L$7)))*(CkDJ[Account Code]=(TRIM($D20))),CkDJ[Debit])))+(SUM(IF((CsDJ[Ofc Code]=(TRIM(L$7)))*(CsDJ[Account Code]=(TRIM($D20))),CsDJ[Debit])))+(SUM(IF((CRDJ[Ofc Code]=(TRIM(L$7)))*(CRDJ[Account Code]=(TRIM($D20))),CRDJ[Debit])))+(SUM(IF((GJ[Ofc Code]=(TRIM(L$7)))*(GJ[Account Code]=(TRIM($D20))),GJ[Debit]))))</f>
        <v>0</v>
      </c>
      <c r="M20" s="211">
        <f t="array" ref="M20">((SUM(IF((CkDJ[Ofc Code]=(TRIM(M$7)))*(CkDJ[Account Code]=(TRIM($D20))),CkDJ[Credit])))+(SUM(IF((CsDJ[Ofc Code]=(TRIM(M$7)))*(CsDJ[Account Code]=(TRIM($D20))),CsDJ[Credit])))+(SUM(IF((CRDJ[Ofc Code]=(TRIM(M$7)))*(CRDJ[Account Code]=(TRIM($D20))),CRDJ[Credit])))+(SUM(IF((GJ[Ofc Code]=(TRIM(M$7)))*(GJ[Account Code]=(TRIM($D20))),GJ[Credit]))))-((SUM(IF((CkDJ[Ofc Code]=(TRIM(M$7)))*(CkDJ[Account Code]=(TRIM($D20))),CkDJ[Debit])))+(SUM(IF((CsDJ[Ofc Code]=(TRIM(M$7)))*(CsDJ[Account Code]=(TRIM($D20))),CsDJ[Debit])))+(SUM(IF((CRDJ[Ofc Code]=(TRIM(M$7)))*(CRDJ[Account Code]=(TRIM($D20))),CRDJ[Debit])))+(SUM(IF((GJ[Ofc Code]=(TRIM(M$7)))*(GJ[Account Code]=(TRIM($D20))),GJ[Debit]))))</f>
        <v>0</v>
      </c>
      <c r="N20" s="211">
        <f t="array" ref="N20">((SUM(IF((CkDJ[Ofc Code]=(TRIM(N$7)))*(CkDJ[Account Code]=(TRIM($D20))),CkDJ[Credit])))+(SUM(IF((CsDJ[Ofc Code]=(TRIM(N$7)))*(CsDJ[Account Code]=(TRIM($D20))),CsDJ[Credit])))+(SUM(IF((CRDJ[Ofc Code]=(TRIM(N$7)))*(CRDJ[Account Code]=(TRIM($D20))),CRDJ[Credit])))+(SUM(IF((GJ[Ofc Code]=(TRIM(N$7)))*(GJ[Account Code]=(TRIM($D20))),GJ[Credit]))))-((SUM(IF((CkDJ[Ofc Code]=(TRIM(N$7)))*(CkDJ[Account Code]=(TRIM($D20))),CkDJ[Debit])))+(SUM(IF((CsDJ[Ofc Code]=(TRIM(N$7)))*(CsDJ[Account Code]=(TRIM($D20))),CsDJ[Debit])))+(SUM(IF((CRDJ[Ofc Code]=(TRIM(N$7)))*(CRDJ[Account Code]=(TRIM($D20))),CRDJ[Debit])))+(SUM(IF((GJ[Ofc Code]=(TRIM(N$7)))*(GJ[Account Code]=(TRIM($D20))),GJ[Debit]))))</f>
        <v>0</v>
      </c>
      <c r="O20" s="211">
        <f t="shared" si="2"/>
        <v>0</v>
      </c>
      <c r="P20" s="211">
        <f t="array" ref="P20">((SUM(IF((CkDJ[Ofc Code]=(TRIM(P$7)))*(CkDJ[Account Code]=(TRIM($D20))),CkDJ[Credit])))+(SUM(IF((CsDJ[Ofc Code]=(TRIM(P$7)))*(CsDJ[Account Code]=(TRIM($D20))),CsDJ[Credit])))+(SUM(IF((CRDJ[Ofc Code]=(TRIM(P$7)))*(CRDJ[Account Code]=(TRIM($D20))),CRDJ[Credit])))+(SUM(IF((GJ[Ofc Code]=(TRIM(P$7)))*(GJ[Account Code]=(TRIM($D20))),GJ[Credit]))))-((SUM(IF((CkDJ[Ofc Code]=(TRIM(P$7)))*(CkDJ[Account Code]=(TRIM($D20))),CkDJ[Debit])))+(SUM(IF((CsDJ[Ofc Code]=(TRIM(P$7)))*(CsDJ[Account Code]=(TRIM($D20))),CsDJ[Debit])))+(SUM(IF((CRDJ[Ofc Code]=(TRIM(P$7)))*(CRDJ[Account Code]=(TRIM($D20))),CRDJ[Debit])))+(SUM(IF((GJ[Ofc Code]=(TRIM(P$7)))*(GJ[Account Code]=(TRIM($D20))),GJ[Debit]))))</f>
        <v>0</v>
      </c>
      <c r="Q20" s="211">
        <f t="array" ref="Q20">((SUM(IF((CkDJ[Ofc Code]=(TRIM(Q$7)))*(CkDJ[Account Code]=(TRIM($D20))),CkDJ[Credit])))+(SUM(IF((CsDJ[Ofc Code]=(TRIM(Q$7)))*(CsDJ[Account Code]=(TRIM($D20))),CsDJ[Credit])))+(SUM(IF((CRDJ[Ofc Code]=(TRIM(Q$7)))*(CRDJ[Account Code]=(TRIM($D20))),CRDJ[Credit])))+(SUM(IF((GJ[Ofc Code]=(TRIM(Q$7)))*(GJ[Account Code]=(TRIM($D20))),GJ[Credit]))))-((SUM(IF((CkDJ[Ofc Code]=(TRIM(Q$7)))*(CkDJ[Account Code]=(TRIM($D20))),CkDJ[Debit])))+(SUM(IF((CsDJ[Ofc Code]=(TRIM(Q$7)))*(CsDJ[Account Code]=(TRIM($D20))),CsDJ[Debit])))+(SUM(IF((CRDJ[Ofc Code]=(TRIM(Q$7)))*(CRDJ[Account Code]=(TRIM($D20))),CRDJ[Debit])))+(SUM(IF((GJ[Ofc Code]=(TRIM(Q$7)))*(GJ[Account Code]=(TRIM($D20))),GJ[Debit]))))</f>
        <v>0</v>
      </c>
      <c r="R20" s="211">
        <f t="array" ref="R20">((SUM(IF((CkDJ[Ofc Code]=(TRIM(R$7)))*(CkDJ[Account Code]=(TRIM($D20))),CkDJ[Credit])))+(SUM(IF((CsDJ[Ofc Code]=(TRIM(R$7)))*(CsDJ[Account Code]=(TRIM($D20))),CsDJ[Credit])))+(SUM(IF((CRDJ[Ofc Code]=(TRIM(R$7)))*(CRDJ[Account Code]=(TRIM($D20))),CRDJ[Credit])))+(SUM(IF((GJ[Ofc Code]=(TRIM(R$7)))*(GJ[Account Code]=(TRIM($D20))),GJ[Credit]))))-((SUM(IF((CkDJ[Ofc Code]=(TRIM(R$7)))*(CkDJ[Account Code]=(TRIM($D20))),CkDJ[Debit])))+(SUM(IF((CsDJ[Ofc Code]=(TRIM(R$7)))*(CsDJ[Account Code]=(TRIM($D20))),CsDJ[Debit])))+(SUM(IF((CRDJ[Ofc Code]=(TRIM(R$7)))*(CRDJ[Account Code]=(TRIM($D20))),CRDJ[Debit])))+(SUM(IF((GJ[Ofc Code]=(TRIM(R$7)))*(GJ[Account Code]=(TRIM($D20))),GJ[Debit]))))</f>
        <v>0</v>
      </c>
      <c r="S20" s="211">
        <f t="array" ref="S20">((SUM(IF((CkDJ[Ofc Code]=(TRIM(S$7)))*(CkDJ[Account Code]=(TRIM($D20))),CkDJ[Credit])))+(SUM(IF((CsDJ[Ofc Code]=(TRIM(S$7)))*(CsDJ[Account Code]=(TRIM($D20))),CsDJ[Credit])))+(SUM(IF((CRDJ[Ofc Code]=(TRIM(S$7)))*(CRDJ[Account Code]=(TRIM($D20))),CRDJ[Credit])))+(SUM(IF((GJ[Ofc Code]=(TRIM(S$7)))*(GJ[Account Code]=(TRIM($D20))),GJ[Credit]))))-((SUM(IF((CkDJ[Ofc Code]=(TRIM(S$7)))*(CkDJ[Account Code]=(TRIM($D20))),CkDJ[Debit])))+(SUM(IF((CsDJ[Ofc Code]=(TRIM(S$7)))*(CsDJ[Account Code]=(TRIM($D20))),CsDJ[Debit])))+(SUM(IF((CRDJ[Ofc Code]=(TRIM(S$7)))*(CRDJ[Account Code]=(TRIM($D20))),CRDJ[Debit])))+(SUM(IF((GJ[Ofc Code]=(TRIM(S$7)))*(GJ[Account Code]=(TRIM($D20))),GJ[Debit]))))</f>
        <v>0</v>
      </c>
      <c r="T20" s="211">
        <f t="array" ref="T20">((SUM(IF((CkDJ[Ofc Code]=(TRIM(T$7)))*(CkDJ[Account Code]=(TRIM($D20))),CkDJ[Credit])))+(SUM(IF((CsDJ[Ofc Code]=(TRIM(T$7)))*(CsDJ[Account Code]=(TRIM($D20))),CsDJ[Credit])))+(SUM(IF((CRDJ[Ofc Code]=(TRIM(T$7)))*(CRDJ[Account Code]=(TRIM($D20))),CRDJ[Credit])))+(SUM(IF((GJ[Ofc Code]=(TRIM(T$7)))*(GJ[Account Code]=(TRIM($D20))),GJ[Credit]))))-((SUM(IF((CkDJ[Ofc Code]=(TRIM(T$7)))*(CkDJ[Account Code]=(TRIM($D20))),CkDJ[Debit])))+(SUM(IF((CsDJ[Ofc Code]=(TRIM(T$7)))*(CsDJ[Account Code]=(TRIM($D20))),CsDJ[Debit])))+(SUM(IF((CRDJ[Ofc Code]=(TRIM(T$7)))*(CRDJ[Account Code]=(TRIM($D20))),CRDJ[Debit])))+(SUM(IF((GJ[Ofc Code]=(TRIM(T$7)))*(GJ[Account Code]=(TRIM($D20))),GJ[Debit]))))</f>
        <v>0</v>
      </c>
      <c r="U20" s="211">
        <f t="shared" si="3"/>
        <v>0</v>
      </c>
      <c r="V20" s="211">
        <f t="shared" si="4"/>
        <v>0</v>
      </c>
    </row>
    <row r="21" spans="1:22" ht="15" x14ac:dyDescent="0.25">
      <c r="A21" s="212">
        <f t="shared" si="5"/>
        <v>13</v>
      </c>
      <c r="B21" s="214"/>
      <c r="C21" s="194" t="e">
        <f t="shared" si="0"/>
        <v>#N/A</v>
      </c>
      <c r="D21" s="207" t="s">
        <v>145</v>
      </c>
      <c r="E21" s="211">
        <f t="array" ref="E21">((SUM(IF((CkDJ[Ofc Code]=(TRIM(E$7)))*(CkDJ[Account Code]=(TRIM($D21))),CkDJ[Credit])))+(SUM(IF((CsDJ[Ofc Code]=(TRIM(E$7)))*(CsDJ[Account Code]=(TRIM($D21))),CsDJ[Credit])))+(SUM(IF((CRDJ[Ofc Code]=(TRIM(E$7)))*(CRDJ[Account Code]=(TRIM($D21))),CRDJ[Credit])))+(SUM(IF((GJ[Ofc Code]=(TRIM(E$7)))*(GJ[Account Code]=(TRIM($D21))),GJ[Credit]))))-((SUM(IF((CkDJ[Ofc Code]=(TRIM(E$7)))*(CkDJ[Account Code]=(TRIM($D21))),CkDJ[Debit])))+(SUM(IF((CsDJ[Ofc Code]=(TRIM(E$7)))*(CsDJ[Account Code]=(TRIM($D21))),CsDJ[Debit])))+(SUM(IF((CRDJ[Ofc Code]=(TRIM(E$7)))*(CRDJ[Account Code]=(TRIM($D21))),CRDJ[Debit])))+(SUM(IF((GJ[Ofc Code]=(TRIM(E$7)))*(GJ[Account Code]=(TRIM($D21))),GJ[Debit]))))</f>
        <v>0</v>
      </c>
      <c r="F21" s="211">
        <f t="array" ref="F21">((SUM(IF((CkDJ[Ofc Code]=(TRIM(F$7)))*(CkDJ[Account Code]=(TRIM($D21))),CkDJ[Credit])))+(SUM(IF((CsDJ[Ofc Code]=(TRIM(F$7)))*(CsDJ[Account Code]=(TRIM($D21))),CsDJ[Credit])))+(SUM(IF((CRDJ[Ofc Code]=(TRIM(F$7)))*(CRDJ[Account Code]=(TRIM($D21))),CRDJ[Credit])))+(SUM(IF((GJ[Ofc Code]=(TRIM(F$7)))*(GJ[Account Code]=(TRIM($D21))),GJ[Credit]))))-((SUM(IF((CkDJ[Ofc Code]=(TRIM(F$7)))*(CkDJ[Account Code]=(TRIM($D21))),CkDJ[Debit])))+(SUM(IF((CsDJ[Ofc Code]=(TRIM(F$7)))*(CsDJ[Account Code]=(TRIM($D21))),CsDJ[Debit])))+(SUM(IF((CRDJ[Ofc Code]=(TRIM(F$7)))*(CRDJ[Account Code]=(TRIM($D21))),CRDJ[Debit])))+(SUM(IF((GJ[Ofc Code]=(TRIM(F$7)))*(GJ[Account Code]=(TRIM($D21))),GJ[Debit]))))</f>
        <v>0</v>
      </c>
      <c r="G21" s="211">
        <f t="array" ref="G21">((SUM(IF((CkDJ[Ofc Code]=(TRIM(G$7)))*(CkDJ[Account Code]=(TRIM($D21))),CkDJ[Credit])))+(SUM(IF((CsDJ[Ofc Code]=(TRIM(G$7)))*(CsDJ[Account Code]=(TRIM($D21))),CsDJ[Credit])))+(SUM(IF((CRDJ[Ofc Code]=(TRIM(G$7)))*(CRDJ[Account Code]=(TRIM($D21))),CRDJ[Credit])))+(SUM(IF((GJ[Ofc Code]=(TRIM(G$7)))*(GJ[Account Code]=(TRIM($D21))),GJ[Credit]))))-((SUM(IF((CkDJ[Ofc Code]=(TRIM(G$7)))*(CkDJ[Account Code]=(TRIM($D21))),CkDJ[Debit])))+(SUM(IF((CsDJ[Ofc Code]=(TRIM(G$7)))*(CsDJ[Account Code]=(TRIM($D21))),CsDJ[Debit])))+(SUM(IF((CRDJ[Ofc Code]=(TRIM(G$7)))*(CRDJ[Account Code]=(TRIM($D21))),CRDJ[Debit])))+(SUM(IF((GJ[Ofc Code]=(TRIM(G$7)))*(GJ[Account Code]=(TRIM($D21))),GJ[Debit]))))</f>
        <v>0</v>
      </c>
      <c r="H21" s="211">
        <f t="array" ref="H21">((SUM(IF((CkDJ[Ofc Code]=(TRIM(H$7)))*(CkDJ[Account Code]=(TRIM($D21))),CkDJ[Credit])))+(SUM(IF((CsDJ[Ofc Code]=(TRIM(H$7)))*(CsDJ[Account Code]=(TRIM($D21))),CsDJ[Credit])))+(SUM(IF((CRDJ[Ofc Code]=(TRIM(H$7)))*(CRDJ[Account Code]=(TRIM($D21))),CRDJ[Credit])))+(SUM(IF((GJ[Ofc Code]=(TRIM(H$7)))*(GJ[Account Code]=(TRIM($D21))),GJ[Credit]))))-((SUM(IF((CkDJ[Ofc Code]=(TRIM(H$7)))*(CkDJ[Account Code]=(TRIM($D21))),CkDJ[Debit])))+(SUM(IF((CsDJ[Ofc Code]=(TRIM(H$7)))*(CsDJ[Account Code]=(TRIM($D21))),CsDJ[Debit])))+(SUM(IF((CRDJ[Ofc Code]=(TRIM(H$7)))*(CRDJ[Account Code]=(TRIM($D21))),CRDJ[Debit])))+(SUM(IF((GJ[Ofc Code]=(TRIM(H$7)))*(GJ[Account Code]=(TRIM($D21))),GJ[Debit]))))</f>
        <v>0</v>
      </c>
      <c r="I21" s="211">
        <f t="array" ref="I21">((SUM(IF((CkDJ[Ofc Code]=(TRIM(I$7)))*(CkDJ[Account Code]=(TRIM($D21))),CkDJ[Credit])))+(SUM(IF((CsDJ[Ofc Code]=(TRIM(I$7)))*(CsDJ[Account Code]=(TRIM($D21))),CsDJ[Credit])))+(SUM(IF((CRDJ[Ofc Code]=(TRIM(I$7)))*(CRDJ[Account Code]=(TRIM($D21))),CRDJ[Credit])))+(SUM(IF((GJ[Ofc Code]=(TRIM(I$7)))*(GJ[Account Code]=(TRIM($D21))),GJ[Credit]))))-((SUM(IF((CkDJ[Ofc Code]=(TRIM(I$7)))*(CkDJ[Account Code]=(TRIM($D21))),CkDJ[Debit])))+(SUM(IF((CsDJ[Ofc Code]=(TRIM(I$7)))*(CsDJ[Account Code]=(TRIM($D21))),CsDJ[Debit])))+(SUM(IF((CRDJ[Ofc Code]=(TRIM(I$7)))*(CRDJ[Account Code]=(TRIM($D21))),CRDJ[Debit])))+(SUM(IF((GJ[Ofc Code]=(TRIM(I$7)))*(GJ[Account Code]=(TRIM($D21))),GJ[Debit]))))</f>
        <v>0</v>
      </c>
      <c r="J21" s="211">
        <f t="shared" si="1"/>
        <v>0</v>
      </c>
      <c r="K21" s="211">
        <f t="array" ref="K21">((SUM(IF((CkDJ[Ofc Code]=(TRIM(K$7)))*(CkDJ[Account Code]=(TRIM($D21))),CkDJ[Credit])))+(SUM(IF((CsDJ[Ofc Code]=(TRIM(K$7)))*(CsDJ[Account Code]=(TRIM($D21))),CsDJ[Credit])))+(SUM(IF((CRDJ[Ofc Code]=(TRIM(K$7)))*(CRDJ[Account Code]=(TRIM($D21))),CRDJ[Credit])))+(SUM(IF((GJ[Ofc Code]=(TRIM(K$7)))*(GJ[Account Code]=(TRIM($D21))),GJ[Credit]))))-((SUM(IF((CkDJ[Ofc Code]=(TRIM(K$7)))*(CkDJ[Account Code]=(TRIM($D21))),CkDJ[Debit])))+(SUM(IF((CsDJ[Ofc Code]=(TRIM(K$7)))*(CsDJ[Account Code]=(TRIM($D21))),CsDJ[Debit])))+(SUM(IF((CRDJ[Ofc Code]=(TRIM(K$7)))*(CRDJ[Account Code]=(TRIM($D21))),CRDJ[Debit])))+(SUM(IF((GJ[Ofc Code]=(TRIM(K$7)))*(GJ[Account Code]=(TRIM($D21))),GJ[Debit]))))</f>
        <v>0</v>
      </c>
      <c r="L21" s="211">
        <f t="array" ref="L21">((SUM(IF((CkDJ[Ofc Code]=(TRIM(L$7)))*(CkDJ[Account Code]=(TRIM($D21))),CkDJ[Credit])))+(SUM(IF((CsDJ[Ofc Code]=(TRIM(L$7)))*(CsDJ[Account Code]=(TRIM($D21))),CsDJ[Credit])))+(SUM(IF((CRDJ[Ofc Code]=(TRIM(L$7)))*(CRDJ[Account Code]=(TRIM($D21))),CRDJ[Credit])))+(SUM(IF((GJ[Ofc Code]=(TRIM(L$7)))*(GJ[Account Code]=(TRIM($D21))),GJ[Credit]))))-((SUM(IF((CkDJ[Ofc Code]=(TRIM(L$7)))*(CkDJ[Account Code]=(TRIM($D21))),CkDJ[Debit])))+(SUM(IF((CsDJ[Ofc Code]=(TRIM(L$7)))*(CsDJ[Account Code]=(TRIM($D21))),CsDJ[Debit])))+(SUM(IF((CRDJ[Ofc Code]=(TRIM(L$7)))*(CRDJ[Account Code]=(TRIM($D21))),CRDJ[Debit])))+(SUM(IF((GJ[Ofc Code]=(TRIM(L$7)))*(GJ[Account Code]=(TRIM($D21))),GJ[Debit]))))</f>
        <v>0</v>
      </c>
      <c r="M21" s="211">
        <f t="array" ref="M21">((SUM(IF((CkDJ[Ofc Code]=(TRIM(M$7)))*(CkDJ[Account Code]=(TRIM($D21))),CkDJ[Credit])))+(SUM(IF((CsDJ[Ofc Code]=(TRIM(M$7)))*(CsDJ[Account Code]=(TRIM($D21))),CsDJ[Credit])))+(SUM(IF((CRDJ[Ofc Code]=(TRIM(M$7)))*(CRDJ[Account Code]=(TRIM($D21))),CRDJ[Credit])))+(SUM(IF((GJ[Ofc Code]=(TRIM(M$7)))*(GJ[Account Code]=(TRIM($D21))),GJ[Credit]))))-((SUM(IF((CkDJ[Ofc Code]=(TRIM(M$7)))*(CkDJ[Account Code]=(TRIM($D21))),CkDJ[Debit])))+(SUM(IF((CsDJ[Ofc Code]=(TRIM(M$7)))*(CsDJ[Account Code]=(TRIM($D21))),CsDJ[Debit])))+(SUM(IF((CRDJ[Ofc Code]=(TRIM(M$7)))*(CRDJ[Account Code]=(TRIM($D21))),CRDJ[Debit])))+(SUM(IF((GJ[Ofc Code]=(TRIM(M$7)))*(GJ[Account Code]=(TRIM($D21))),GJ[Debit]))))</f>
        <v>0</v>
      </c>
      <c r="N21" s="211">
        <f t="array" ref="N21">((SUM(IF((CkDJ[Ofc Code]=(TRIM(N$7)))*(CkDJ[Account Code]=(TRIM($D21))),CkDJ[Credit])))+(SUM(IF((CsDJ[Ofc Code]=(TRIM(N$7)))*(CsDJ[Account Code]=(TRIM($D21))),CsDJ[Credit])))+(SUM(IF((CRDJ[Ofc Code]=(TRIM(N$7)))*(CRDJ[Account Code]=(TRIM($D21))),CRDJ[Credit])))+(SUM(IF((GJ[Ofc Code]=(TRIM(N$7)))*(GJ[Account Code]=(TRIM($D21))),GJ[Credit]))))-((SUM(IF((CkDJ[Ofc Code]=(TRIM(N$7)))*(CkDJ[Account Code]=(TRIM($D21))),CkDJ[Debit])))+(SUM(IF((CsDJ[Ofc Code]=(TRIM(N$7)))*(CsDJ[Account Code]=(TRIM($D21))),CsDJ[Debit])))+(SUM(IF((CRDJ[Ofc Code]=(TRIM(N$7)))*(CRDJ[Account Code]=(TRIM($D21))),CRDJ[Debit])))+(SUM(IF((GJ[Ofc Code]=(TRIM(N$7)))*(GJ[Account Code]=(TRIM($D21))),GJ[Debit]))))</f>
        <v>0</v>
      </c>
      <c r="O21" s="211">
        <f t="shared" si="2"/>
        <v>0</v>
      </c>
      <c r="P21" s="211">
        <f t="array" ref="P21">((SUM(IF((CkDJ[Ofc Code]=(TRIM(P$7)))*(CkDJ[Account Code]=(TRIM($D21))),CkDJ[Credit])))+(SUM(IF((CsDJ[Ofc Code]=(TRIM(P$7)))*(CsDJ[Account Code]=(TRIM($D21))),CsDJ[Credit])))+(SUM(IF((CRDJ[Ofc Code]=(TRIM(P$7)))*(CRDJ[Account Code]=(TRIM($D21))),CRDJ[Credit])))+(SUM(IF((GJ[Ofc Code]=(TRIM(P$7)))*(GJ[Account Code]=(TRIM($D21))),GJ[Credit]))))-((SUM(IF((CkDJ[Ofc Code]=(TRIM(P$7)))*(CkDJ[Account Code]=(TRIM($D21))),CkDJ[Debit])))+(SUM(IF((CsDJ[Ofc Code]=(TRIM(P$7)))*(CsDJ[Account Code]=(TRIM($D21))),CsDJ[Debit])))+(SUM(IF((CRDJ[Ofc Code]=(TRIM(P$7)))*(CRDJ[Account Code]=(TRIM($D21))),CRDJ[Debit])))+(SUM(IF((GJ[Ofc Code]=(TRIM(P$7)))*(GJ[Account Code]=(TRIM($D21))),GJ[Debit]))))</f>
        <v>0</v>
      </c>
      <c r="Q21" s="211">
        <f t="array" ref="Q21">((SUM(IF((CkDJ[Ofc Code]=(TRIM(Q$7)))*(CkDJ[Account Code]=(TRIM($D21))),CkDJ[Credit])))+(SUM(IF((CsDJ[Ofc Code]=(TRIM(Q$7)))*(CsDJ[Account Code]=(TRIM($D21))),CsDJ[Credit])))+(SUM(IF((CRDJ[Ofc Code]=(TRIM(Q$7)))*(CRDJ[Account Code]=(TRIM($D21))),CRDJ[Credit])))+(SUM(IF((GJ[Ofc Code]=(TRIM(Q$7)))*(GJ[Account Code]=(TRIM($D21))),GJ[Credit]))))-((SUM(IF((CkDJ[Ofc Code]=(TRIM(Q$7)))*(CkDJ[Account Code]=(TRIM($D21))),CkDJ[Debit])))+(SUM(IF((CsDJ[Ofc Code]=(TRIM(Q$7)))*(CsDJ[Account Code]=(TRIM($D21))),CsDJ[Debit])))+(SUM(IF((CRDJ[Ofc Code]=(TRIM(Q$7)))*(CRDJ[Account Code]=(TRIM($D21))),CRDJ[Debit])))+(SUM(IF((GJ[Ofc Code]=(TRIM(Q$7)))*(GJ[Account Code]=(TRIM($D21))),GJ[Debit]))))</f>
        <v>0</v>
      </c>
      <c r="R21" s="211">
        <f t="array" ref="R21">((SUM(IF((CkDJ[Ofc Code]=(TRIM(R$7)))*(CkDJ[Account Code]=(TRIM($D21))),CkDJ[Credit])))+(SUM(IF((CsDJ[Ofc Code]=(TRIM(R$7)))*(CsDJ[Account Code]=(TRIM($D21))),CsDJ[Credit])))+(SUM(IF((CRDJ[Ofc Code]=(TRIM(R$7)))*(CRDJ[Account Code]=(TRIM($D21))),CRDJ[Credit])))+(SUM(IF((GJ[Ofc Code]=(TRIM(R$7)))*(GJ[Account Code]=(TRIM($D21))),GJ[Credit]))))-((SUM(IF((CkDJ[Ofc Code]=(TRIM(R$7)))*(CkDJ[Account Code]=(TRIM($D21))),CkDJ[Debit])))+(SUM(IF((CsDJ[Ofc Code]=(TRIM(R$7)))*(CsDJ[Account Code]=(TRIM($D21))),CsDJ[Debit])))+(SUM(IF((CRDJ[Ofc Code]=(TRIM(R$7)))*(CRDJ[Account Code]=(TRIM($D21))),CRDJ[Debit])))+(SUM(IF((GJ[Ofc Code]=(TRIM(R$7)))*(GJ[Account Code]=(TRIM($D21))),GJ[Debit]))))</f>
        <v>0</v>
      </c>
      <c r="S21" s="211">
        <f t="array" ref="S21">((SUM(IF((CkDJ[Ofc Code]=(TRIM(S$7)))*(CkDJ[Account Code]=(TRIM($D21))),CkDJ[Credit])))+(SUM(IF((CsDJ[Ofc Code]=(TRIM(S$7)))*(CsDJ[Account Code]=(TRIM($D21))),CsDJ[Credit])))+(SUM(IF((CRDJ[Ofc Code]=(TRIM(S$7)))*(CRDJ[Account Code]=(TRIM($D21))),CRDJ[Credit])))+(SUM(IF((GJ[Ofc Code]=(TRIM(S$7)))*(GJ[Account Code]=(TRIM($D21))),GJ[Credit]))))-((SUM(IF((CkDJ[Ofc Code]=(TRIM(S$7)))*(CkDJ[Account Code]=(TRIM($D21))),CkDJ[Debit])))+(SUM(IF((CsDJ[Ofc Code]=(TRIM(S$7)))*(CsDJ[Account Code]=(TRIM($D21))),CsDJ[Debit])))+(SUM(IF((CRDJ[Ofc Code]=(TRIM(S$7)))*(CRDJ[Account Code]=(TRIM($D21))),CRDJ[Debit])))+(SUM(IF((GJ[Ofc Code]=(TRIM(S$7)))*(GJ[Account Code]=(TRIM($D21))),GJ[Debit]))))</f>
        <v>0</v>
      </c>
      <c r="T21" s="211">
        <f t="array" ref="T21">((SUM(IF((CkDJ[Ofc Code]=(TRIM(T$7)))*(CkDJ[Account Code]=(TRIM($D21))),CkDJ[Credit])))+(SUM(IF((CsDJ[Ofc Code]=(TRIM(T$7)))*(CsDJ[Account Code]=(TRIM($D21))),CsDJ[Credit])))+(SUM(IF((CRDJ[Ofc Code]=(TRIM(T$7)))*(CRDJ[Account Code]=(TRIM($D21))),CRDJ[Credit])))+(SUM(IF((GJ[Ofc Code]=(TRIM(T$7)))*(GJ[Account Code]=(TRIM($D21))),GJ[Credit]))))-((SUM(IF((CkDJ[Ofc Code]=(TRIM(T$7)))*(CkDJ[Account Code]=(TRIM($D21))),CkDJ[Debit])))+(SUM(IF((CsDJ[Ofc Code]=(TRIM(T$7)))*(CsDJ[Account Code]=(TRIM($D21))),CsDJ[Debit])))+(SUM(IF((CRDJ[Ofc Code]=(TRIM(T$7)))*(CRDJ[Account Code]=(TRIM($D21))),CRDJ[Debit])))+(SUM(IF((GJ[Ofc Code]=(TRIM(T$7)))*(GJ[Account Code]=(TRIM($D21))),GJ[Debit]))))</f>
        <v>0</v>
      </c>
      <c r="U21" s="211">
        <f t="shared" si="3"/>
        <v>0</v>
      </c>
      <c r="V21" s="211">
        <f t="shared" si="4"/>
        <v>0</v>
      </c>
    </row>
    <row r="22" spans="1:22" ht="15" x14ac:dyDescent="0.25">
      <c r="A22" s="212">
        <f t="shared" si="5"/>
        <v>14</v>
      </c>
      <c r="B22" s="214"/>
      <c r="C22" s="194" t="str">
        <f t="shared" si="0"/>
        <v>Equipment Rental - Internal (CA)</v>
      </c>
      <c r="D22" s="207" t="s">
        <v>146</v>
      </c>
      <c r="E22" s="211">
        <f t="array" ref="E22">((SUM(IF((CkDJ[Ofc Code]=(TRIM(E$7)))*(CkDJ[Account Code]=(TRIM($D22))),CkDJ[Credit])))+(SUM(IF((CsDJ[Ofc Code]=(TRIM(E$7)))*(CsDJ[Account Code]=(TRIM($D22))),CsDJ[Credit])))+(SUM(IF((CRDJ[Ofc Code]=(TRIM(E$7)))*(CRDJ[Account Code]=(TRIM($D22))),CRDJ[Credit])))+(SUM(IF((GJ[Ofc Code]=(TRIM(E$7)))*(GJ[Account Code]=(TRIM($D22))),GJ[Credit]))))-((SUM(IF((CkDJ[Ofc Code]=(TRIM(E$7)))*(CkDJ[Account Code]=(TRIM($D22))),CkDJ[Debit])))+(SUM(IF((CsDJ[Ofc Code]=(TRIM(E$7)))*(CsDJ[Account Code]=(TRIM($D22))),CsDJ[Debit])))+(SUM(IF((CRDJ[Ofc Code]=(TRIM(E$7)))*(CRDJ[Account Code]=(TRIM($D22))),CRDJ[Debit])))+(SUM(IF((GJ[Ofc Code]=(TRIM(E$7)))*(GJ[Account Code]=(TRIM($D22))),GJ[Debit]))))</f>
        <v>0</v>
      </c>
      <c r="F22" s="211">
        <f t="array" ref="F22">((SUM(IF((CkDJ[Ofc Code]=(TRIM(F$7)))*(CkDJ[Account Code]=(TRIM($D22))),CkDJ[Credit])))+(SUM(IF((CsDJ[Ofc Code]=(TRIM(F$7)))*(CsDJ[Account Code]=(TRIM($D22))),CsDJ[Credit])))+(SUM(IF((CRDJ[Ofc Code]=(TRIM(F$7)))*(CRDJ[Account Code]=(TRIM($D22))),CRDJ[Credit])))+(SUM(IF((GJ[Ofc Code]=(TRIM(F$7)))*(GJ[Account Code]=(TRIM($D22))),GJ[Credit]))))-((SUM(IF((CkDJ[Ofc Code]=(TRIM(F$7)))*(CkDJ[Account Code]=(TRIM($D22))),CkDJ[Debit])))+(SUM(IF((CsDJ[Ofc Code]=(TRIM(F$7)))*(CsDJ[Account Code]=(TRIM($D22))),CsDJ[Debit])))+(SUM(IF((CRDJ[Ofc Code]=(TRIM(F$7)))*(CRDJ[Account Code]=(TRIM($D22))),CRDJ[Debit])))+(SUM(IF((GJ[Ofc Code]=(TRIM(F$7)))*(GJ[Account Code]=(TRIM($D22))),GJ[Debit]))))</f>
        <v>0</v>
      </c>
      <c r="G22" s="211">
        <f t="array" ref="G22">((SUM(IF((CkDJ[Ofc Code]=(TRIM(G$7)))*(CkDJ[Account Code]=(TRIM($D22))),CkDJ[Credit])))+(SUM(IF((CsDJ[Ofc Code]=(TRIM(G$7)))*(CsDJ[Account Code]=(TRIM($D22))),CsDJ[Credit])))+(SUM(IF((CRDJ[Ofc Code]=(TRIM(G$7)))*(CRDJ[Account Code]=(TRIM($D22))),CRDJ[Credit])))+(SUM(IF((GJ[Ofc Code]=(TRIM(G$7)))*(GJ[Account Code]=(TRIM($D22))),GJ[Credit]))))-((SUM(IF((CkDJ[Ofc Code]=(TRIM(G$7)))*(CkDJ[Account Code]=(TRIM($D22))),CkDJ[Debit])))+(SUM(IF((CsDJ[Ofc Code]=(TRIM(G$7)))*(CsDJ[Account Code]=(TRIM($D22))),CsDJ[Debit])))+(SUM(IF((CRDJ[Ofc Code]=(TRIM(G$7)))*(CRDJ[Account Code]=(TRIM($D22))),CRDJ[Debit])))+(SUM(IF((GJ[Ofc Code]=(TRIM(G$7)))*(GJ[Account Code]=(TRIM($D22))),GJ[Debit]))))</f>
        <v>0</v>
      </c>
      <c r="H22" s="211">
        <f t="array" ref="H22">((SUM(IF((CkDJ[Ofc Code]=(TRIM(H$7)))*(CkDJ[Account Code]=(TRIM($D22))),CkDJ[Credit])))+(SUM(IF((CsDJ[Ofc Code]=(TRIM(H$7)))*(CsDJ[Account Code]=(TRIM($D22))),CsDJ[Credit])))+(SUM(IF((CRDJ[Ofc Code]=(TRIM(H$7)))*(CRDJ[Account Code]=(TRIM($D22))),CRDJ[Credit])))+(SUM(IF((GJ[Ofc Code]=(TRIM(H$7)))*(GJ[Account Code]=(TRIM($D22))),GJ[Credit]))))-((SUM(IF((CkDJ[Ofc Code]=(TRIM(H$7)))*(CkDJ[Account Code]=(TRIM($D22))),CkDJ[Debit])))+(SUM(IF((CsDJ[Ofc Code]=(TRIM(H$7)))*(CsDJ[Account Code]=(TRIM($D22))),CsDJ[Debit])))+(SUM(IF((CRDJ[Ofc Code]=(TRIM(H$7)))*(CRDJ[Account Code]=(TRIM($D22))),CRDJ[Debit])))+(SUM(IF((GJ[Ofc Code]=(TRIM(H$7)))*(GJ[Account Code]=(TRIM($D22))),GJ[Debit]))))</f>
        <v>0</v>
      </c>
      <c r="I22" s="211">
        <f t="array" ref="I22">((SUM(IF((CkDJ[Ofc Code]=(TRIM(I$7)))*(CkDJ[Account Code]=(TRIM($D22))),CkDJ[Credit])))+(SUM(IF((CsDJ[Ofc Code]=(TRIM(I$7)))*(CsDJ[Account Code]=(TRIM($D22))),CsDJ[Credit])))+(SUM(IF((CRDJ[Ofc Code]=(TRIM(I$7)))*(CRDJ[Account Code]=(TRIM($D22))),CRDJ[Credit])))+(SUM(IF((GJ[Ofc Code]=(TRIM(I$7)))*(GJ[Account Code]=(TRIM($D22))),GJ[Credit]))))-((SUM(IF((CkDJ[Ofc Code]=(TRIM(I$7)))*(CkDJ[Account Code]=(TRIM($D22))),CkDJ[Debit])))+(SUM(IF((CsDJ[Ofc Code]=(TRIM(I$7)))*(CsDJ[Account Code]=(TRIM($D22))),CsDJ[Debit])))+(SUM(IF((CRDJ[Ofc Code]=(TRIM(I$7)))*(CRDJ[Account Code]=(TRIM($D22))),CRDJ[Debit])))+(SUM(IF((GJ[Ofc Code]=(TRIM(I$7)))*(GJ[Account Code]=(TRIM($D22))),GJ[Debit]))))</f>
        <v>0</v>
      </c>
      <c r="J22" s="211">
        <f t="shared" si="1"/>
        <v>0</v>
      </c>
      <c r="K22" s="211">
        <f t="array" ref="K22">((SUM(IF((CkDJ[Ofc Code]=(TRIM(K$7)))*(CkDJ[Account Code]=(TRIM($D22))),CkDJ[Credit])))+(SUM(IF((CsDJ[Ofc Code]=(TRIM(K$7)))*(CsDJ[Account Code]=(TRIM($D22))),CsDJ[Credit])))+(SUM(IF((CRDJ[Ofc Code]=(TRIM(K$7)))*(CRDJ[Account Code]=(TRIM($D22))),CRDJ[Credit])))+(SUM(IF((GJ[Ofc Code]=(TRIM(K$7)))*(GJ[Account Code]=(TRIM($D22))),GJ[Credit]))))-((SUM(IF((CkDJ[Ofc Code]=(TRIM(K$7)))*(CkDJ[Account Code]=(TRIM($D22))),CkDJ[Debit])))+(SUM(IF((CsDJ[Ofc Code]=(TRIM(K$7)))*(CsDJ[Account Code]=(TRIM($D22))),CsDJ[Debit])))+(SUM(IF((CRDJ[Ofc Code]=(TRIM(K$7)))*(CRDJ[Account Code]=(TRIM($D22))),CRDJ[Debit])))+(SUM(IF((GJ[Ofc Code]=(TRIM(K$7)))*(GJ[Account Code]=(TRIM($D22))),GJ[Debit]))))</f>
        <v>0</v>
      </c>
      <c r="L22" s="211">
        <f t="array" ref="L22">((SUM(IF((CkDJ[Ofc Code]=(TRIM(L$7)))*(CkDJ[Account Code]=(TRIM($D22))),CkDJ[Credit])))+(SUM(IF((CsDJ[Ofc Code]=(TRIM(L$7)))*(CsDJ[Account Code]=(TRIM($D22))),CsDJ[Credit])))+(SUM(IF((CRDJ[Ofc Code]=(TRIM(L$7)))*(CRDJ[Account Code]=(TRIM($D22))),CRDJ[Credit])))+(SUM(IF((GJ[Ofc Code]=(TRIM(L$7)))*(GJ[Account Code]=(TRIM($D22))),GJ[Credit]))))-((SUM(IF((CkDJ[Ofc Code]=(TRIM(L$7)))*(CkDJ[Account Code]=(TRIM($D22))),CkDJ[Debit])))+(SUM(IF((CsDJ[Ofc Code]=(TRIM(L$7)))*(CsDJ[Account Code]=(TRIM($D22))),CsDJ[Debit])))+(SUM(IF((CRDJ[Ofc Code]=(TRIM(L$7)))*(CRDJ[Account Code]=(TRIM($D22))),CRDJ[Debit])))+(SUM(IF((GJ[Ofc Code]=(TRIM(L$7)))*(GJ[Account Code]=(TRIM($D22))),GJ[Debit]))))</f>
        <v>0</v>
      </c>
      <c r="M22" s="211">
        <f t="array" ref="M22">((SUM(IF((CkDJ[Ofc Code]=(TRIM(M$7)))*(CkDJ[Account Code]=(TRIM($D22))),CkDJ[Credit])))+(SUM(IF((CsDJ[Ofc Code]=(TRIM(M$7)))*(CsDJ[Account Code]=(TRIM($D22))),CsDJ[Credit])))+(SUM(IF((CRDJ[Ofc Code]=(TRIM(M$7)))*(CRDJ[Account Code]=(TRIM($D22))),CRDJ[Credit])))+(SUM(IF((GJ[Ofc Code]=(TRIM(M$7)))*(GJ[Account Code]=(TRIM($D22))),GJ[Credit]))))-((SUM(IF((CkDJ[Ofc Code]=(TRIM(M$7)))*(CkDJ[Account Code]=(TRIM($D22))),CkDJ[Debit])))+(SUM(IF((CsDJ[Ofc Code]=(TRIM(M$7)))*(CsDJ[Account Code]=(TRIM($D22))),CsDJ[Debit])))+(SUM(IF((CRDJ[Ofc Code]=(TRIM(M$7)))*(CRDJ[Account Code]=(TRIM($D22))),CRDJ[Debit])))+(SUM(IF((GJ[Ofc Code]=(TRIM(M$7)))*(GJ[Account Code]=(TRIM($D22))),GJ[Debit]))))</f>
        <v>0</v>
      </c>
      <c r="N22" s="211">
        <f t="array" ref="N22">((SUM(IF((CkDJ[Ofc Code]=(TRIM(N$7)))*(CkDJ[Account Code]=(TRIM($D22))),CkDJ[Credit])))+(SUM(IF((CsDJ[Ofc Code]=(TRIM(N$7)))*(CsDJ[Account Code]=(TRIM($D22))),CsDJ[Credit])))+(SUM(IF((CRDJ[Ofc Code]=(TRIM(N$7)))*(CRDJ[Account Code]=(TRIM($D22))),CRDJ[Credit])))+(SUM(IF((GJ[Ofc Code]=(TRIM(N$7)))*(GJ[Account Code]=(TRIM($D22))),GJ[Credit]))))-((SUM(IF((CkDJ[Ofc Code]=(TRIM(N$7)))*(CkDJ[Account Code]=(TRIM($D22))),CkDJ[Debit])))+(SUM(IF((CsDJ[Ofc Code]=(TRIM(N$7)))*(CsDJ[Account Code]=(TRIM($D22))),CsDJ[Debit])))+(SUM(IF((CRDJ[Ofc Code]=(TRIM(N$7)))*(CRDJ[Account Code]=(TRIM($D22))),CRDJ[Debit])))+(SUM(IF((GJ[Ofc Code]=(TRIM(N$7)))*(GJ[Account Code]=(TRIM($D22))),GJ[Debit]))))</f>
        <v>0</v>
      </c>
      <c r="O22" s="211">
        <f t="shared" si="2"/>
        <v>0</v>
      </c>
      <c r="P22" s="211">
        <f t="array" ref="P22">((SUM(IF((CkDJ[Ofc Code]=(TRIM(P$7)))*(CkDJ[Account Code]=(TRIM($D22))),CkDJ[Credit])))+(SUM(IF((CsDJ[Ofc Code]=(TRIM(P$7)))*(CsDJ[Account Code]=(TRIM($D22))),CsDJ[Credit])))+(SUM(IF((CRDJ[Ofc Code]=(TRIM(P$7)))*(CRDJ[Account Code]=(TRIM($D22))),CRDJ[Credit])))+(SUM(IF((GJ[Ofc Code]=(TRIM(P$7)))*(GJ[Account Code]=(TRIM($D22))),GJ[Credit]))))-((SUM(IF((CkDJ[Ofc Code]=(TRIM(P$7)))*(CkDJ[Account Code]=(TRIM($D22))),CkDJ[Debit])))+(SUM(IF((CsDJ[Ofc Code]=(TRIM(P$7)))*(CsDJ[Account Code]=(TRIM($D22))),CsDJ[Debit])))+(SUM(IF((CRDJ[Ofc Code]=(TRIM(P$7)))*(CRDJ[Account Code]=(TRIM($D22))),CRDJ[Debit])))+(SUM(IF((GJ[Ofc Code]=(TRIM(P$7)))*(GJ[Account Code]=(TRIM($D22))),GJ[Debit]))))</f>
        <v>0</v>
      </c>
      <c r="Q22" s="211">
        <f t="array" ref="Q22">((SUM(IF((CkDJ[Ofc Code]=(TRIM(Q$7)))*(CkDJ[Account Code]=(TRIM($D22))),CkDJ[Credit])))+(SUM(IF((CsDJ[Ofc Code]=(TRIM(Q$7)))*(CsDJ[Account Code]=(TRIM($D22))),CsDJ[Credit])))+(SUM(IF((CRDJ[Ofc Code]=(TRIM(Q$7)))*(CRDJ[Account Code]=(TRIM($D22))),CRDJ[Credit])))+(SUM(IF((GJ[Ofc Code]=(TRIM(Q$7)))*(GJ[Account Code]=(TRIM($D22))),GJ[Credit]))))-((SUM(IF((CkDJ[Ofc Code]=(TRIM(Q$7)))*(CkDJ[Account Code]=(TRIM($D22))),CkDJ[Debit])))+(SUM(IF((CsDJ[Ofc Code]=(TRIM(Q$7)))*(CsDJ[Account Code]=(TRIM($D22))),CsDJ[Debit])))+(SUM(IF((CRDJ[Ofc Code]=(TRIM(Q$7)))*(CRDJ[Account Code]=(TRIM($D22))),CRDJ[Debit])))+(SUM(IF((GJ[Ofc Code]=(TRIM(Q$7)))*(GJ[Account Code]=(TRIM($D22))),GJ[Debit]))))</f>
        <v>0</v>
      </c>
      <c r="R22" s="211">
        <f t="array" ref="R22">((SUM(IF((CkDJ[Ofc Code]=(TRIM(R$7)))*(CkDJ[Account Code]=(TRIM($D22))),CkDJ[Credit])))+(SUM(IF((CsDJ[Ofc Code]=(TRIM(R$7)))*(CsDJ[Account Code]=(TRIM($D22))),CsDJ[Credit])))+(SUM(IF((CRDJ[Ofc Code]=(TRIM(R$7)))*(CRDJ[Account Code]=(TRIM($D22))),CRDJ[Credit])))+(SUM(IF((GJ[Ofc Code]=(TRIM(R$7)))*(GJ[Account Code]=(TRIM($D22))),GJ[Credit]))))-((SUM(IF((CkDJ[Ofc Code]=(TRIM(R$7)))*(CkDJ[Account Code]=(TRIM($D22))),CkDJ[Debit])))+(SUM(IF((CsDJ[Ofc Code]=(TRIM(R$7)))*(CsDJ[Account Code]=(TRIM($D22))),CsDJ[Debit])))+(SUM(IF((CRDJ[Ofc Code]=(TRIM(R$7)))*(CRDJ[Account Code]=(TRIM($D22))),CRDJ[Debit])))+(SUM(IF((GJ[Ofc Code]=(TRIM(R$7)))*(GJ[Account Code]=(TRIM($D22))),GJ[Debit]))))</f>
        <v>0</v>
      </c>
      <c r="S22" s="211">
        <f t="array" ref="S22">((SUM(IF((CkDJ[Ofc Code]=(TRIM(S$7)))*(CkDJ[Account Code]=(TRIM($D22))),CkDJ[Credit])))+(SUM(IF((CsDJ[Ofc Code]=(TRIM(S$7)))*(CsDJ[Account Code]=(TRIM($D22))),CsDJ[Credit])))+(SUM(IF((CRDJ[Ofc Code]=(TRIM(S$7)))*(CRDJ[Account Code]=(TRIM($D22))),CRDJ[Credit])))+(SUM(IF((GJ[Ofc Code]=(TRIM(S$7)))*(GJ[Account Code]=(TRIM($D22))),GJ[Credit]))))-((SUM(IF((CkDJ[Ofc Code]=(TRIM(S$7)))*(CkDJ[Account Code]=(TRIM($D22))),CkDJ[Debit])))+(SUM(IF((CsDJ[Ofc Code]=(TRIM(S$7)))*(CsDJ[Account Code]=(TRIM($D22))),CsDJ[Debit])))+(SUM(IF((CRDJ[Ofc Code]=(TRIM(S$7)))*(CRDJ[Account Code]=(TRIM($D22))),CRDJ[Debit])))+(SUM(IF((GJ[Ofc Code]=(TRIM(S$7)))*(GJ[Account Code]=(TRIM($D22))),GJ[Debit]))))</f>
        <v>0</v>
      </c>
      <c r="T22" s="211">
        <f t="array" ref="T22">((SUM(IF((CkDJ[Ofc Code]=(TRIM(T$7)))*(CkDJ[Account Code]=(TRIM($D22))),CkDJ[Credit])))+(SUM(IF((CsDJ[Ofc Code]=(TRIM(T$7)))*(CsDJ[Account Code]=(TRIM($D22))),CsDJ[Credit])))+(SUM(IF((CRDJ[Ofc Code]=(TRIM(T$7)))*(CRDJ[Account Code]=(TRIM($D22))),CRDJ[Credit])))+(SUM(IF((GJ[Ofc Code]=(TRIM(T$7)))*(GJ[Account Code]=(TRIM($D22))),GJ[Credit]))))-((SUM(IF((CkDJ[Ofc Code]=(TRIM(T$7)))*(CkDJ[Account Code]=(TRIM($D22))),CkDJ[Debit])))+(SUM(IF((CsDJ[Ofc Code]=(TRIM(T$7)))*(CsDJ[Account Code]=(TRIM($D22))),CsDJ[Debit])))+(SUM(IF((CRDJ[Ofc Code]=(TRIM(T$7)))*(CRDJ[Account Code]=(TRIM($D22))),CRDJ[Debit])))+(SUM(IF((GJ[Ofc Code]=(TRIM(T$7)))*(GJ[Account Code]=(TRIM($D22))),GJ[Debit]))))</f>
        <v>0</v>
      </c>
      <c r="U22" s="211">
        <f t="shared" si="3"/>
        <v>0</v>
      </c>
      <c r="V22" s="211">
        <f t="shared" si="4"/>
        <v>0</v>
      </c>
    </row>
    <row r="23" spans="1:22" ht="15" x14ac:dyDescent="0.25">
      <c r="A23" s="212">
        <f t="shared" si="5"/>
        <v>15</v>
      </c>
      <c r="B23" s="214"/>
      <c r="C23" s="194" t="str">
        <f t="shared" si="0"/>
        <v>Equipment Rental - External (CA)</v>
      </c>
      <c r="D23" s="207" t="s">
        <v>147</v>
      </c>
      <c r="E23" s="211">
        <f t="array" ref="E23">((SUM(IF((CkDJ[Ofc Code]=(TRIM(E$7)))*(CkDJ[Account Code]=(TRIM($D23))),CkDJ[Credit])))+(SUM(IF((CsDJ[Ofc Code]=(TRIM(E$7)))*(CsDJ[Account Code]=(TRIM($D23))),CsDJ[Credit])))+(SUM(IF((CRDJ[Ofc Code]=(TRIM(E$7)))*(CRDJ[Account Code]=(TRIM($D23))),CRDJ[Credit])))+(SUM(IF((GJ[Ofc Code]=(TRIM(E$7)))*(GJ[Account Code]=(TRIM($D23))),GJ[Credit]))))-((SUM(IF((CkDJ[Ofc Code]=(TRIM(E$7)))*(CkDJ[Account Code]=(TRIM($D23))),CkDJ[Debit])))+(SUM(IF((CsDJ[Ofc Code]=(TRIM(E$7)))*(CsDJ[Account Code]=(TRIM($D23))),CsDJ[Debit])))+(SUM(IF((CRDJ[Ofc Code]=(TRIM(E$7)))*(CRDJ[Account Code]=(TRIM($D23))),CRDJ[Debit])))+(SUM(IF((GJ[Ofc Code]=(TRIM(E$7)))*(GJ[Account Code]=(TRIM($D23))),GJ[Debit]))))</f>
        <v>0</v>
      </c>
      <c r="F23" s="211">
        <f t="array" ref="F23">((SUM(IF((CkDJ[Ofc Code]=(TRIM(F$7)))*(CkDJ[Account Code]=(TRIM($D23))),CkDJ[Credit])))+(SUM(IF((CsDJ[Ofc Code]=(TRIM(F$7)))*(CsDJ[Account Code]=(TRIM($D23))),CsDJ[Credit])))+(SUM(IF((CRDJ[Ofc Code]=(TRIM(F$7)))*(CRDJ[Account Code]=(TRIM($D23))),CRDJ[Credit])))+(SUM(IF((GJ[Ofc Code]=(TRIM(F$7)))*(GJ[Account Code]=(TRIM($D23))),GJ[Credit]))))-((SUM(IF((CkDJ[Ofc Code]=(TRIM(F$7)))*(CkDJ[Account Code]=(TRIM($D23))),CkDJ[Debit])))+(SUM(IF((CsDJ[Ofc Code]=(TRIM(F$7)))*(CsDJ[Account Code]=(TRIM($D23))),CsDJ[Debit])))+(SUM(IF((CRDJ[Ofc Code]=(TRIM(F$7)))*(CRDJ[Account Code]=(TRIM($D23))),CRDJ[Debit])))+(SUM(IF((GJ[Ofc Code]=(TRIM(F$7)))*(GJ[Account Code]=(TRIM($D23))),GJ[Debit]))))</f>
        <v>0</v>
      </c>
      <c r="G23" s="211">
        <f t="array" ref="G23">((SUM(IF((CkDJ[Ofc Code]=(TRIM(G$7)))*(CkDJ[Account Code]=(TRIM($D23))),CkDJ[Credit])))+(SUM(IF((CsDJ[Ofc Code]=(TRIM(G$7)))*(CsDJ[Account Code]=(TRIM($D23))),CsDJ[Credit])))+(SUM(IF((CRDJ[Ofc Code]=(TRIM(G$7)))*(CRDJ[Account Code]=(TRIM($D23))),CRDJ[Credit])))+(SUM(IF((GJ[Ofc Code]=(TRIM(G$7)))*(GJ[Account Code]=(TRIM($D23))),GJ[Credit]))))-((SUM(IF((CkDJ[Ofc Code]=(TRIM(G$7)))*(CkDJ[Account Code]=(TRIM($D23))),CkDJ[Debit])))+(SUM(IF((CsDJ[Ofc Code]=(TRIM(G$7)))*(CsDJ[Account Code]=(TRIM($D23))),CsDJ[Debit])))+(SUM(IF((CRDJ[Ofc Code]=(TRIM(G$7)))*(CRDJ[Account Code]=(TRIM($D23))),CRDJ[Debit])))+(SUM(IF((GJ[Ofc Code]=(TRIM(G$7)))*(GJ[Account Code]=(TRIM($D23))),GJ[Debit]))))</f>
        <v>0</v>
      </c>
      <c r="H23" s="211">
        <f t="array" ref="H23">((SUM(IF((CkDJ[Ofc Code]=(TRIM(H$7)))*(CkDJ[Account Code]=(TRIM($D23))),CkDJ[Credit])))+(SUM(IF((CsDJ[Ofc Code]=(TRIM(H$7)))*(CsDJ[Account Code]=(TRIM($D23))),CsDJ[Credit])))+(SUM(IF((CRDJ[Ofc Code]=(TRIM(H$7)))*(CRDJ[Account Code]=(TRIM($D23))),CRDJ[Credit])))+(SUM(IF((GJ[Ofc Code]=(TRIM(H$7)))*(GJ[Account Code]=(TRIM($D23))),GJ[Credit]))))-((SUM(IF((CkDJ[Ofc Code]=(TRIM(H$7)))*(CkDJ[Account Code]=(TRIM($D23))),CkDJ[Debit])))+(SUM(IF((CsDJ[Ofc Code]=(TRIM(H$7)))*(CsDJ[Account Code]=(TRIM($D23))),CsDJ[Debit])))+(SUM(IF((CRDJ[Ofc Code]=(TRIM(H$7)))*(CRDJ[Account Code]=(TRIM($D23))),CRDJ[Debit])))+(SUM(IF((GJ[Ofc Code]=(TRIM(H$7)))*(GJ[Account Code]=(TRIM($D23))),GJ[Debit]))))</f>
        <v>0</v>
      </c>
      <c r="I23" s="211">
        <f t="array" ref="I23">((SUM(IF((CkDJ[Ofc Code]=(TRIM(I$7)))*(CkDJ[Account Code]=(TRIM($D23))),CkDJ[Credit])))+(SUM(IF((CsDJ[Ofc Code]=(TRIM(I$7)))*(CsDJ[Account Code]=(TRIM($D23))),CsDJ[Credit])))+(SUM(IF((CRDJ[Ofc Code]=(TRIM(I$7)))*(CRDJ[Account Code]=(TRIM($D23))),CRDJ[Credit])))+(SUM(IF((GJ[Ofc Code]=(TRIM(I$7)))*(GJ[Account Code]=(TRIM($D23))),GJ[Credit]))))-((SUM(IF((CkDJ[Ofc Code]=(TRIM(I$7)))*(CkDJ[Account Code]=(TRIM($D23))),CkDJ[Debit])))+(SUM(IF((CsDJ[Ofc Code]=(TRIM(I$7)))*(CsDJ[Account Code]=(TRIM($D23))),CsDJ[Debit])))+(SUM(IF((CRDJ[Ofc Code]=(TRIM(I$7)))*(CRDJ[Account Code]=(TRIM($D23))),CRDJ[Debit])))+(SUM(IF((GJ[Ofc Code]=(TRIM(I$7)))*(GJ[Account Code]=(TRIM($D23))),GJ[Debit]))))</f>
        <v>0</v>
      </c>
      <c r="J23" s="211">
        <f t="shared" si="1"/>
        <v>0</v>
      </c>
      <c r="K23" s="211">
        <f t="array" ref="K23">((SUM(IF((CkDJ[Ofc Code]=(TRIM(K$7)))*(CkDJ[Account Code]=(TRIM($D23))),CkDJ[Credit])))+(SUM(IF((CsDJ[Ofc Code]=(TRIM(K$7)))*(CsDJ[Account Code]=(TRIM($D23))),CsDJ[Credit])))+(SUM(IF((CRDJ[Ofc Code]=(TRIM(K$7)))*(CRDJ[Account Code]=(TRIM($D23))),CRDJ[Credit])))+(SUM(IF((GJ[Ofc Code]=(TRIM(K$7)))*(GJ[Account Code]=(TRIM($D23))),GJ[Credit]))))-((SUM(IF((CkDJ[Ofc Code]=(TRIM(K$7)))*(CkDJ[Account Code]=(TRIM($D23))),CkDJ[Debit])))+(SUM(IF((CsDJ[Ofc Code]=(TRIM(K$7)))*(CsDJ[Account Code]=(TRIM($D23))),CsDJ[Debit])))+(SUM(IF((CRDJ[Ofc Code]=(TRIM(K$7)))*(CRDJ[Account Code]=(TRIM($D23))),CRDJ[Debit])))+(SUM(IF((GJ[Ofc Code]=(TRIM(K$7)))*(GJ[Account Code]=(TRIM($D23))),GJ[Debit]))))</f>
        <v>0</v>
      </c>
      <c r="L23" s="211">
        <f t="array" ref="L23">((SUM(IF((CkDJ[Ofc Code]=(TRIM(L$7)))*(CkDJ[Account Code]=(TRIM($D23))),CkDJ[Credit])))+(SUM(IF((CsDJ[Ofc Code]=(TRIM(L$7)))*(CsDJ[Account Code]=(TRIM($D23))),CsDJ[Credit])))+(SUM(IF((CRDJ[Ofc Code]=(TRIM(L$7)))*(CRDJ[Account Code]=(TRIM($D23))),CRDJ[Credit])))+(SUM(IF((GJ[Ofc Code]=(TRIM(L$7)))*(GJ[Account Code]=(TRIM($D23))),GJ[Credit]))))-((SUM(IF((CkDJ[Ofc Code]=(TRIM(L$7)))*(CkDJ[Account Code]=(TRIM($D23))),CkDJ[Debit])))+(SUM(IF((CsDJ[Ofc Code]=(TRIM(L$7)))*(CsDJ[Account Code]=(TRIM($D23))),CsDJ[Debit])))+(SUM(IF((CRDJ[Ofc Code]=(TRIM(L$7)))*(CRDJ[Account Code]=(TRIM($D23))),CRDJ[Debit])))+(SUM(IF((GJ[Ofc Code]=(TRIM(L$7)))*(GJ[Account Code]=(TRIM($D23))),GJ[Debit]))))</f>
        <v>0</v>
      </c>
      <c r="M23" s="211">
        <f t="array" ref="M23">((SUM(IF((CkDJ[Ofc Code]=(TRIM(M$7)))*(CkDJ[Account Code]=(TRIM($D23))),CkDJ[Credit])))+(SUM(IF((CsDJ[Ofc Code]=(TRIM(M$7)))*(CsDJ[Account Code]=(TRIM($D23))),CsDJ[Credit])))+(SUM(IF((CRDJ[Ofc Code]=(TRIM(M$7)))*(CRDJ[Account Code]=(TRIM($D23))),CRDJ[Credit])))+(SUM(IF((GJ[Ofc Code]=(TRIM(M$7)))*(GJ[Account Code]=(TRIM($D23))),GJ[Credit]))))-((SUM(IF((CkDJ[Ofc Code]=(TRIM(M$7)))*(CkDJ[Account Code]=(TRIM($D23))),CkDJ[Debit])))+(SUM(IF((CsDJ[Ofc Code]=(TRIM(M$7)))*(CsDJ[Account Code]=(TRIM($D23))),CsDJ[Debit])))+(SUM(IF((CRDJ[Ofc Code]=(TRIM(M$7)))*(CRDJ[Account Code]=(TRIM($D23))),CRDJ[Debit])))+(SUM(IF((GJ[Ofc Code]=(TRIM(M$7)))*(GJ[Account Code]=(TRIM($D23))),GJ[Debit]))))</f>
        <v>0</v>
      </c>
      <c r="N23" s="211">
        <f t="array" ref="N23">((SUM(IF((CkDJ[Ofc Code]=(TRIM(N$7)))*(CkDJ[Account Code]=(TRIM($D23))),CkDJ[Credit])))+(SUM(IF((CsDJ[Ofc Code]=(TRIM(N$7)))*(CsDJ[Account Code]=(TRIM($D23))),CsDJ[Credit])))+(SUM(IF((CRDJ[Ofc Code]=(TRIM(N$7)))*(CRDJ[Account Code]=(TRIM($D23))),CRDJ[Credit])))+(SUM(IF((GJ[Ofc Code]=(TRIM(N$7)))*(GJ[Account Code]=(TRIM($D23))),GJ[Credit]))))-((SUM(IF((CkDJ[Ofc Code]=(TRIM(N$7)))*(CkDJ[Account Code]=(TRIM($D23))),CkDJ[Debit])))+(SUM(IF((CsDJ[Ofc Code]=(TRIM(N$7)))*(CsDJ[Account Code]=(TRIM($D23))),CsDJ[Debit])))+(SUM(IF((CRDJ[Ofc Code]=(TRIM(N$7)))*(CRDJ[Account Code]=(TRIM($D23))),CRDJ[Debit])))+(SUM(IF((GJ[Ofc Code]=(TRIM(N$7)))*(GJ[Account Code]=(TRIM($D23))),GJ[Debit]))))</f>
        <v>0</v>
      </c>
      <c r="O23" s="211">
        <f t="shared" si="2"/>
        <v>0</v>
      </c>
      <c r="P23" s="211">
        <f t="array" ref="P23">((SUM(IF((CkDJ[Ofc Code]=(TRIM(P$7)))*(CkDJ[Account Code]=(TRIM($D23))),CkDJ[Credit])))+(SUM(IF((CsDJ[Ofc Code]=(TRIM(P$7)))*(CsDJ[Account Code]=(TRIM($D23))),CsDJ[Credit])))+(SUM(IF((CRDJ[Ofc Code]=(TRIM(P$7)))*(CRDJ[Account Code]=(TRIM($D23))),CRDJ[Credit])))+(SUM(IF((GJ[Ofc Code]=(TRIM(P$7)))*(GJ[Account Code]=(TRIM($D23))),GJ[Credit]))))-((SUM(IF((CkDJ[Ofc Code]=(TRIM(P$7)))*(CkDJ[Account Code]=(TRIM($D23))),CkDJ[Debit])))+(SUM(IF((CsDJ[Ofc Code]=(TRIM(P$7)))*(CsDJ[Account Code]=(TRIM($D23))),CsDJ[Debit])))+(SUM(IF((CRDJ[Ofc Code]=(TRIM(P$7)))*(CRDJ[Account Code]=(TRIM($D23))),CRDJ[Debit])))+(SUM(IF((GJ[Ofc Code]=(TRIM(P$7)))*(GJ[Account Code]=(TRIM($D23))),GJ[Debit]))))</f>
        <v>0</v>
      </c>
      <c r="Q23" s="211">
        <f t="array" ref="Q23">((SUM(IF((CkDJ[Ofc Code]=(TRIM(Q$7)))*(CkDJ[Account Code]=(TRIM($D23))),CkDJ[Credit])))+(SUM(IF((CsDJ[Ofc Code]=(TRIM(Q$7)))*(CsDJ[Account Code]=(TRIM($D23))),CsDJ[Credit])))+(SUM(IF((CRDJ[Ofc Code]=(TRIM(Q$7)))*(CRDJ[Account Code]=(TRIM($D23))),CRDJ[Credit])))+(SUM(IF((GJ[Ofc Code]=(TRIM(Q$7)))*(GJ[Account Code]=(TRIM($D23))),GJ[Credit]))))-((SUM(IF((CkDJ[Ofc Code]=(TRIM(Q$7)))*(CkDJ[Account Code]=(TRIM($D23))),CkDJ[Debit])))+(SUM(IF((CsDJ[Ofc Code]=(TRIM(Q$7)))*(CsDJ[Account Code]=(TRIM($D23))),CsDJ[Debit])))+(SUM(IF((CRDJ[Ofc Code]=(TRIM(Q$7)))*(CRDJ[Account Code]=(TRIM($D23))),CRDJ[Debit])))+(SUM(IF((GJ[Ofc Code]=(TRIM(Q$7)))*(GJ[Account Code]=(TRIM($D23))),GJ[Debit]))))</f>
        <v>0</v>
      </c>
      <c r="R23" s="211">
        <f t="array" ref="R23">((SUM(IF((CkDJ[Ofc Code]=(TRIM(R$7)))*(CkDJ[Account Code]=(TRIM($D23))),CkDJ[Credit])))+(SUM(IF((CsDJ[Ofc Code]=(TRIM(R$7)))*(CsDJ[Account Code]=(TRIM($D23))),CsDJ[Credit])))+(SUM(IF((CRDJ[Ofc Code]=(TRIM(R$7)))*(CRDJ[Account Code]=(TRIM($D23))),CRDJ[Credit])))+(SUM(IF((GJ[Ofc Code]=(TRIM(R$7)))*(GJ[Account Code]=(TRIM($D23))),GJ[Credit]))))-((SUM(IF((CkDJ[Ofc Code]=(TRIM(R$7)))*(CkDJ[Account Code]=(TRIM($D23))),CkDJ[Debit])))+(SUM(IF((CsDJ[Ofc Code]=(TRIM(R$7)))*(CsDJ[Account Code]=(TRIM($D23))),CsDJ[Debit])))+(SUM(IF((CRDJ[Ofc Code]=(TRIM(R$7)))*(CRDJ[Account Code]=(TRIM($D23))),CRDJ[Debit])))+(SUM(IF((GJ[Ofc Code]=(TRIM(R$7)))*(GJ[Account Code]=(TRIM($D23))),GJ[Debit]))))</f>
        <v>0</v>
      </c>
      <c r="S23" s="211">
        <f t="array" ref="S23">((SUM(IF((CkDJ[Ofc Code]=(TRIM(S$7)))*(CkDJ[Account Code]=(TRIM($D23))),CkDJ[Credit])))+(SUM(IF((CsDJ[Ofc Code]=(TRIM(S$7)))*(CsDJ[Account Code]=(TRIM($D23))),CsDJ[Credit])))+(SUM(IF((CRDJ[Ofc Code]=(TRIM(S$7)))*(CRDJ[Account Code]=(TRIM($D23))),CRDJ[Credit])))+(SUM(IF((GJ[Ofc Code]=(TRIM(S$7)))*(GJ[Account Code]=(TRIM($D23))),GJ[Credit]))))-((SUM(IF((CkDJ[Ofc Code]=(TRIM(S$7)))*(CkDJ[Account Code]=(TRIM($D23))),CkDJ[Debit])))+(SUM(IF((CsDJ[Ofc Code]=(TRIM(S$7)))*(CsDJ[Account Code]=(TRIM($D23))),CsDJ[Debit])))+(SUM(IF((CRDJ[Ofc Code]=(TRIM(S$7)))*(CRDJ[Account Code]=(TRIM($D23))),CRDJ[Debit])))+(SUM(IF((GJ[Ofc Code]=(TRIM(S$7)))*(GJ[Account Code]=(TRIM($D23))),GJ[Debit]))))</f>
        <v>0</v>
      </c>
      <c r="T23" s="211">
        <f t="array" ref="T23">((SUM(IF((CkDJ[Ofc Code]=(TRIM(T$7)))*(CkDJ[Account Code]=(TRIM($D23))),CkDJ[Credit])))+(SUM(IF((CsDJ[Ofc Code]=(TRIM(T$7)))*(CsDJ[Account Code]=(TRIM($D23))),CsDJ[Credit])))+(SUM(IF((CRDJ[Ofc Code]=(TRIM(T$7)))*(CRDJ[Account Code]=(TRIM($D23))),CRDJ[Credit])))+(SUM(IF((GJ[Ofc Code]=(TRIM(T$7)))*(GJ[Account Code]=(TRIM($D23))),GJ[Credit]))))-((SUM(IF((CkDJ[Ofc Code]=(TRIM(T$7)))*(CkDJ[Account Code]=(TRIM($D23))),CkDJ[Debit])))+(SUM(IF((CsDJ[Ofc Code]=(TRIM(T$7)))*(CsDJ[Account Code]=(TRIM($D23))),CsDJ[Debit])))+(SUM(IF((CRDJ[Ofc Code]=(TRIM(T$7)))*(CRDJ[Account Code]=(TRIM($D23))),CRDJ[Debit])))+(SUM(IF((GJ[Ofc Code]=(TRIM(T$7)))*(GJ[Account Code]=(TRIM($D23))),GJ[Debit]))))</f>
        <v>0</v>
      </c>
      <c r="U23" s="211">
        <f t="shared" si="3"/>
        <v>0</v>
      </c>
      <c r="V23" s="211">
        <f t="shared" si="4"/>
        <v>0</v>
      </c>
    </row>
    <row r="24" spans="1:22" ht="15" x14ac:dyDescent="0.25">
      <c r="A24" s="212">
        <f t="shared" si="5"/>
        <v>16</v>
      </c>
      <c r="B24" s="214"/>
      <c r="C24" s="194" t="str">
        <f t="shared" si="0"/>
        <v>Equipment Rental - Internal (BA)</v>
      </c>
      <c r="D24" s="207" t="s">
        <v>148</v>
      </c>
      <c r="E24" s="211">
        <f t="array" ref="E24">((SUM(IF((CkDJ[Ofc Code]=(TRIM(E$7)))*(CkDJ[Account Code]=(TRIM($D24))),CkDJ[Credit])))+(SUM(IF((CsDJ[Ofc Code]=(TRIM(E$7)))*(CsDJ[Account Code]=(TRIM($D24))),CsDJ[Credit])))+(SUM(IF((CRDJ[Ofc Code]=(TRIM(E$7)))*(CRDJ[Account Code]=(TRIM($D24))),CRDJ[Credit])))+(SUM(IF((GJ[Ofc Code]=(TRIM(E$7)))*(GJ[Account Code]=(TRIM($D24))),GJ[Credit]))))-((SUM(IF((CkDJ[Ofc Code]=(TRIM(E$7)))*(CkDJ[Account Code]=(TRIM($D24))),CkDJ[Debit])))+(SUM(IF((CsDJ[Ofc Code]=(TRIM(E$7)))*(CsDJ[Account Code]=(TRIM($D24))),CsDJ[Debit])))+(SUM(IF((CRDJ[Ofc Code]=(TRIM(E$7)))*(CRDJ[Account Code]=(TRIM($D24))),CRDJ[Debit])))+(SUM(IF((GJ[Ofc Code]=(TRIM(E$7)))*(GJ[Account Code]=(TRIM($D24))),GJ[Debit]))))</f>
        <v>0</v>
      </c>
      <c r="F24" s="211">
        <f t="array" ref="F24">((SUM(IF((CkDJ[Ofc Code]=(TRIM(F$7)))*(CkDJ[Account Code]=(TRIM($D24))),CkDJ[Credit])))+(SUM(IF((CsDJ[Ofc Code]=(TRIM(F$7)))*(CsDJ[Account Code]=(TRIM($D24))),CsDJ[Credit])))+(SUM(IF((CRDJ[Ofc Code]=(TRIM(F$7)))*(CRDJ[Account Code]=(TRIM($D24))),CRDJ[Credit])))+(SUM(IF((GJ[Ofc Code]=(TRIM(F$7)))*(GJ[Account Code]=(TRIM($D24))),GJ[Credit]))))-((SUM(IF((CkDJ[Ofc Code]=(TRIM(F$7)))*(CkDJ[Account Code]=(TRIM($D24))),CkDJ[Debit])))+(SUM(IF((CsDJ[Ofc Code]=(TRIM(F$7)))*(CsDJ[Account Code]=(TRIM($D24))),CsDJ[Debit])))+(SUM(IF((CRDJ[Ofc Code]=(TRIM(F$7)))*(CRDJ[Account Code]=(TRIM($D24))),CRDJ[Debit])))+(SUM(IF((GJ[Ofc Code]=(TRIM(F$7)))*(GJ[Account Code]=(TRIM($D24))),GJ[Debit]))))</f>
        <v>0</v>
      </c>
      <c r="G24" s="211">
        <f t="array" ref="G24">((SUM(IF((CkDJ[Ofc Code]=(TRIM(G$7)))*(CkDJ[Account Code]=(TRIM($D24))),CkDJ[Credit])))+(SUM(IF((CsDJ[Ofc Code]=(TRIM(G$7)))*(CsDJ[Account Code]=(TRIM($D24))),CsDJ[Credit])))+(SUM(IF((CRDJ[Ofc Code]=(TRIM(G$7)))*(CRDJ[Account Code]=(TRIM($D24))),CRDJ[Credit])))+(SUM(IF((GJ[Ofc Code]=(TRIM(G$7)))*(GJ[Account Code]=(TRIM($D24))),GJ[Credit]))))-((SUM(IF((CkDJ[Ofc Code]=(TRIM(G$7)))*(CkDJ[Account Code]=(TRIM($D24))),CkDJ[Debit])))+(SUM(IF((CsDJ[Ofc Code]=(TRIM(G$7)))*(CsDJ[Account Code]=(TRIM($D24))),CsDJ[Debit])))+(SUM(IF((CRDJ[Ofc Code]=(TRIM(G$7)))*(CRDJ[Account Code]=(TRIM($D24))),CRDJ[Debit])))+(SUM(IF((GJ[Ofc Code]=(TRIM(G$7)))*(GJ[Account Code]=(TRIM($D24))),GJ[Debit]))))</f>
        <v>0</v>
      </c>
      <c r="H24" s="211">
        <f t="array" ref="H24">((SUM(IF((CkDJ[Ofc Code]=(TRIM(H$7)))*(CkDJ[Account Code]=(TRIM($D24))),CkDJ[Credit])))+(SUM(IF((CsDJ[Ofc Code]=(TRIM(H$7)))*(CsDJ[Account Code]=(TRIM($D24))),CsDJ[Credit])))+(SUM(IF((CRDJ[Ofc Code]=(TRIM(H$7)))*(CRDJ[Account Code]=(TRIM($D24))),CRDJ[Credit])))+(SUM(IF((GJ[Ofc Code]=(TRIM(H$7)))*(GJ[Account Code]=(TRIM($D24))),GJ[Credit]))))-((SUM(IF((CkDJ[Ofc Code]=(TRIM(H$7)))*(CkDJ[Account Code]=(TRIM($D24))),CkDJ[Debit])))+(SUM(IF((CsDJ[Ofc Code]=(TRIM(H$7)))*(CsDJ[Account Code]=(TRIM($D24))),CsDJ[Debit])))+(SUM(IF((CRDJ[Ofc Code]=(TRIM(H$7)))*(CRDJ[Account Code]=(TRIM($D24))),CRDJ[Debit])))+(SUM(IF((GJ[Ofc Code]=(TRIM(H$7)))*(GJ[Account Code]=(TRIM($D24))),GJ[Debit]))))</f>
        <v>0</v>
      </c>
      <c r="I24" s="211">
        <f t="array" ref="I24">((SUM(IF((CkDJ[Ofc Code]=(TRIM(I$7)))*(CkDJ[Account Code]=(TRIM($D24))),CkDJ[Credit])))+(SUM(IF((CsDJ[Ofc Code]=(TRIM(I$7)))*(CsDJ[Account Code]=(TRIM($D24))),CsDJ[Credit])))+(SUM(IF((CRDJ[Ofc Code]=(TRIM(I$7)))*(CRDJ[Account Code]=(TRIM($D24))),CRDJ[Credit])))+(SUM(IF((GJ[Ofc Code]=(TRIM(I$7)))*(GJ[Account Code]=(TRIM($D24))),GJ[Credit]))))-((SUM(IF((CkDJ[Ofc Code]=(TRIM(I$7)))*(CkDJ[Account Code]=(TRIM($D24))),CkDJ[Debit])))+(SUM(IF((CsDJ[Ofc Code]=(TRIM(I$7)))*(CsDJ[Account Code]=(TRIM($D24))),CsDJ[Debit])))+(SUM(IF((CRDJ[Ofc Code]=(TRIM(I$7)))*(CRDJ[Account Code]=(TRIM($D24))),CRDJ[Debit])))+(SUM(IF((GJ[Ofc Code]=(TRIM(I$7)))*(GJ[Account Code]=(TRIM($D24))),GJ[Debit]))))</f>
        <v>0</v>
      </c>
      <c r="J24" s="211">
        <f t="shared" si="1"/>
        <v>0</v>
      </c>
      <c r="K24" s="211">
        <f t="array" ref="K24">((SUM(IF((CkDJ[Ofc Code]=(TRIM(K$7)))*(CkDJ[Account Code]=(TRIM($D24))),CkDJ[Credit])))+(SUM(IF((CsDJ[Ofc Code]=(TRIM(K$7)))*(CsDJ[Account Code]=(TRIM($D24))),CsDJ[Credit])))+(SUM(IF((CRDJ[Ofc Code]=(TRIM(K$7)))*(CRDJ[Account Code]=(TRIM($D24))),CRDJ[Credit])))+(SUM(IF((GJ[Ofc Code]=(TRIM(K$7)))*(GJ[Account Code]=(TRIM($D24))),GJ[Credit]))))-((SUM(IF((CkDJ[Ofc Code]=(TRIM(K$7)))*(CkDJ[Account Code]=(TRIM($D24))),CkDJ[Debit])))+(SUM(IF((CsDJ[Ofc Code]=(TRIM(K$7)))*(CsDJ[Account Code]=(TRIM($D24))),CsDJ[Debit])))+(SUM(IF((CRDJ[Ofc Code]=(TRIM(K$7)))*(CRDJ[Account Code]=(TRIM($D24))),CRDJ[Debit])))+(SUM(IF((GJ[Ofc Code]=(TRIM(K$7)))*(GJ[Account Code]=(TRIM($D24))),GJ[Debit]))))</f>
        <v>0</v>
      </c>
      <c r="L24" s="211">
        <f t="array" ref="L24">((SUM(IF((CkDJ[Ofc Code]=(TRIM(L$7)))*(CkDJ[Account Code]=(TRIM($D24))),CkDJ[Credit])))+(SUM(IF((CsDJ[Ofc Code]=(TRIM(L$7)))*(CsDJ[Account Code]=(TRIM($D24))),CsDJ[Credit])))+(SUM(IF((CRDJ[Ofc Code]=(TRIM(L$7)))*(CRDJ[Account Code]=(TRIM($D24))),CRDJ[Credit])))+(SUM(IF((GJ[Ofc Code]=(TRIM(L$7)))*(GJ[Account Code]=(TRIM($D24))),GJ[Credit]))))-((SUM(IF((CkDJ[Ofc Code]=(TRIM(L$7)))*(CkDJ[Account Code]=(TRIM($D24))),CkDJ[Debit])))+(SUM(IF((CsDJ[Ofc Code]=(TRIM(L$7)))*(CsDJ[Account Code]=(TRIM($D24))),CsDJ[Debit])))+(SUM(IF((CRDJ[Ofc Code]=(TRIM(L$7)))*(CRDJ[Account Code]=(TRIM($D24))),CRDJ[Debit])))+(SUM(IF((GJ[Ofc Code]=(TRIM(L$7)))*(GJ[Account Code]=(TRIM($D24))),GJ[Debit]))))</f>
        <v>0</v>
      </c>
      <c r="M24" s="211">
        <f t="array" ref="M24">((SUM(IF((CkDJ[Ofc Code]=(TRIM(M$7)))*(CkDJ[Account Code]=(TRIM($D24))),CkDJ[Credit])))+(SUM(IF((CsDJ[Ofc Code]=(TRIM(M$7)))*(CsDJ[Account Code]=(TRIM($D24))),CsDJ[Credit])))+(SUM(IF((CRDJ[Ofc Code]=(TRIM(M$7)))*(CRDJ[Account Code]=(TRIM($D24))),CRDJ[Credit])))+(SUM(IF((GJ[Ofc Code]=(TRIM(M$7)))*(GJ[Account Code]=(TRIM($D24))),GJ[Credit]))))-((SUM(IF((CkDJ[Ofc Code]=(TRIM(M$7)))*(CkDJ[Account Code]=(TRIM($D24))),CkDJ[Debit])))+(SUM(IF((CsDJ[Ofc Code]=(TRIM(M$7)))*(CsDJ[Account Code]=(TRIM($D24))),CsDJ[Debit])))+(SUM(IF((CRDJ[Ofc Code]=(TRIM(M$7)))*(CRDJ[Account Code]=(TRIM($D24))),CRDJ[Debit])))+(SUM(IF((GJ[Ofc Code]=(TRIM(M$7)))*(GJ[Account Code]=(TRIM($D24))),GJ[Debit]))))</f>
        <v>0</v>
      </c>
      <c r="N24" s="211">
        <f t="array" ref="N24">((SUM(IF((CkDJ[Ofc Code]=(TRIM(N$7)))*(CkDJ[Account Code]=(TRIM($D24))),CkDJ[Credit])))+(SUM(IF((CsDJ[Ofc Code]=(TRIM(N$7)))*(CsDJ[Account Code]=(TRIM($D24))),CsDJ[Credit])))+(SUM(IF((CRDJ[Ofc Code]=(TRIM(N$7)))*(CRDJ[Account Code]=(TRIM($D24))),CRDJ[Credit])))+(SUM(IF((GJ[Ofc Code]=(TRIM(N$7)))*(GJ[Account Code]=(TRIM($D24))),GJ[Credit]))))-((SUM(IF((CkDJ[Ofc Code]=(TRIM(N$7)))*(CkDJ[Account Code]=(TRIM($D24))),CkDJ[Debit])))+(SUM(IF((CsDJ[Ofc Code]=(TRIM(N$7)))*(CsDJ[Account Code]=(TRIM($D24))),CsDJ[Debit])))+(SUM(IF((CRDJ[Ofc Code]=(TRIM(N$7)))*(CRDJ[Account Code]=(TRIM($D24))),CRDJ[Debit])))+(SUM(IF((GJ[Ofc Code]=(TRIM(N$7)))*(GJ[Account Code]=(TRIM($D24))),GJ[Debit]))))</f>
        <v>0</v>
      </c>
      <c r="O24" s="211">
        <f t="shared" si="2"/>
        <v>0</v>
      </c>
      <c r="P24" s="211">
        <f t="array" ref="P24">((SUM(IF((CkDJ[Ofc Code]=(TRIM(P$7)))*(CkDJ[Account Code]=(TRIM($D24))),CkDJ[Credit])))+(SUM(IF((CsDJ[Ofc Code]=(TRIM(P$7)))*(CsDJ[Account Code]=(TRIM($D24))),CsDJ[Credit])))+(SUM(IF((CRDJ[Ofc Code]=(TRIM(P$7)))*(CRDJ[Account Code]=(TRIM($D24))),CRDJ[Credit])))+(SUM(IF((GJ[Ofc Code]=(TRIM(P$7)))*(GJ[Account Code]=(TRIM($D24))),GJ[Credit]))))-((SUM(IF((CkDJ[Ofc Code]=(TRIM(P$7)))*(CkDJ[Account Code]=(TRIM($D24))),CkDJ[Debit])))+(SUM(IF((CsDJ[Ofc Code]=(TRIM(P$7)))*(CsDJ[Account Code]=(TRIM($D24))),CsDJ[Debit])))+(SUM(IF((CRDJ[Ofc Code]=(TRIM(P$7)))*(CRDJ[Account Code]=(TRIM($D24))),CRDJ[Debit])))+(SUM(IF((GJ[Ofc Code]=(TRIM(P$7)))*(GJ[Account Code]=(TRIM($D24))),GJ[Debit]))))</f>
        <v>0</v>
      </c>
      <c r="Q24" s="211">
        <f t="array" ref="Q24">((SUM(IF((CkDJ[Ofc Code]=(TRIM(Q$7)))*(CkDJ[Account Code]=(TRIM($D24))),CkDJ[Credit])))+(SUM(IF((CsDJ[Ofc Code]=(TRIM(Q$7)))*(CsDJ[Account Code]=(TRIM($D24))),CsDJ[Credit])))+(SUM(IF((CRDJ[Ofc Code]=(TRIM(Q$7)))*(CRDJ[Account Code]=(TRIM($D24))),CRDJ[Credit])))+(SUM(IF((GJ[Ofc Code]=(TRIM(Q$7)))*(GJ[Account Code]=(TRIM($D24))),GJ[Credit]))))-((SUM(IF((CkDJ[Ofc Code]=(TRIM(Q$7)))*(CkDJ[Account Code]=(TRIM($D24))),CkDJ[Debit])))+(SUM(IF((CsDJ[Ofc Code]=(TRIM(Q$7)))*(CsDJ[Account Code]=(TRIM($D24))),CsDJ[Debit])))+(SUM(IF((CRDJ[Ofc Code]=(TRIM(Q$7)))*(CRDJ[Account Code]=(TRIM($D24))),CRDJ[Debit])))+(SUM(IF((GJ[Ofc Code]=(TRIM(Q$7)))*(GJ[Account Code]=(TRIM($D24))),GJ[Debit]))))</f>
        <v>0</v>
      </c>
      <c r="R24" s="211">
        <f t="array" ref="R24">((SUM(IF((CkDJ[Ofc Code]=(TRIM(R$7)))*(CkDJ[Account Code]=(TRIM($D24))),CkDJ[Credit])))+(SUM(IF((CsDJ[Ofc Code]=(TRIM(R$7)))*(CsDJ[Account Code]=(TRIM($D24))),CsDJ[Credit])))+(SUM(IF((CRDJ[Ofc Code]=(TRIM(R$7)))*(CRDJ[Account Code]=(TRIM($D24))),CRDJ[Credit])))+(SUM(IF((GJ[Ofc Code]=(TRIM(R$7)))*(GJ[Account Code]=(TRIM($D24))),GJ[Credit]))))-((SUM(IF((CkDJ[Ofc Code]=(TRIM(R$7)))*(CkDJ[Account Code]=(TRIM($D24))),CkDJ[Debit])))+(SUM(IF((CsDJ[Ofc Code]=(TRIM(R$7)))*(CsDJ[Account Code]=(TRIM($D24))),CsDJ[Debit])))+(SUM(IF((CRDJ[Ofc Code]=(TRIM(R$7)))*(CRDJ[Account Code]=(TRIM($D24))),CRDJ[Debit])))+(SUM(IF((GJ[Ofc Code]=(TRIM(R$7)))*(GJ[Account Code]=(TRIM($D24))),GJ[Debit]))))</f>
        <v>0</v>
      </c>
      <c r="S24" s="211">
        <f t="array" ref="S24">((SUM(IF((CkDJ[Ofc Code]=(TRIM(S$7)))*(CkDJ[Account Code]=(TRIM($D24))),CkDJ[Credit])))+(SUM(IF((CsDJ[Ofc Code]=(TRIM(S$7)))*(CsDJ[Account Code]=(TRIM($D24))),CsDJ[Credit])))+(SUM(IF((CRDJ[Ofc Code]=(TRIM(S$7)))*(CRDJ[Account Code]=(TRIM($D24))),CRDJ[Credit])))+(SUM(IF((GJ[Ofc Code]=(TRIM(S$7)))*(GJ[Account Code]=(TRIM($D24))),GJ[Credit]))))-((SUM(IF((CkDJ[Ofc Code]=(TRIM(S$7)))*(CkDJ[Account Code]=(TRIM($D24))),CkDJ[Debit])))+(SUM(IF((CsDJ[Ofc Code]=(TRIM(S$7)))*(CsDJ[Account Code]=(TRIM($D24))),CsDJ[Debit])))+(SUM(IF((CRDJ[Ofc Code]=(TRIM(S$7)))*(CRDJ[Account Code]=(TRIM($D24))),CRDJ[Debit])))+(SUM(IF((GJ[Ofc Code]=(TRIM(S$7)))*(GJ[Account Code]=(TRIM($D24))),GJ[Debit]))))</f>
        <v>0</v>
      </c>
      <c r="T24" s="211">
        <f t="array" ref="T24">((SUM(IF((CkDJ[Ofc Code]=(TRIM(T$7)))*(CkDJ[Account Code]=(TRIM($D24))),CkDJ[Credit])))+(SUM(IF((CsDJ[Ofc Code]=(TRIM(T$7)))*(CsDJ[Account Code]=(TRIM($D24))),CsDJ[Credit])))+(SUM(IF((CRDJ[Ofc Code]=(TRIM(T$7)))*(CRDJ[Account Code]=(TRIM($D24))),CRDJ[Credit])))+(SUM(IF((GJ[Ofc Code]=(TRIM(T$7)))*(GJ[Account Code]=(TRIM($D24))),GJ[Credit]))))-((SUM(IF((CkDJ[Ofc Code]=(TRIM(T$7)))*(CkDJ[Account Code]=(TRIM($D24))),CkDJ[Debit])))+(SUM(IF((CsDJ[Ofc Code]=(TRIM(T$7)))*(CsDJ[Account Code]=(TRIM($D24))),CsDJ[Debit])))+(SUM(IF((CRDJ[Ofc Code]=(TRIM(T$7)))*(CRDJ[Account Code]=(TRIM($D24))),CRDJ[Debit])))+(SUM(IF((GJ[Ofc Code]=(TRIM(T$7)))*(GJ[Account Code]=(TRIM($D24))),GJ[Debit]))))</f>
        <v>0</v>
      </c>
      <c r="U24" s="211">
        <f t="shared" si="3"/>
        <v>0</v>
      </c>
      <c r="V24" s="211">
        <f t="shared" si="4"/>
        <v>0</v>
      </c>
    </row>
    <row r="25" spans="1:22" ht="15" x14ac:dyDescent="0.25">
      <c r="A25" s="212">
        <f t="shared" si="5"/>
        <v>17</v>
      </c>
      <c r="B25" s="194"/>
      <c r="C25" s="194" t="str">
        <f t="shared" si="0"/>
        <v>Income from Hostels/Dormitories and Other Like Facilities</v>
      </c>
      <c r="D25" s="207" t="s">
        <v>150</v>
      </c>
      <c r="E25" s="211">
        <f t="array" ref="E25">((SUM(IF((CkDJ[Ofc Code]=(TRIM(E$7)))*(CkDJ[Account Code]=(TRIM($D25))),CkDJ[Credit])))+(SUM(IF((CsDJ[Ofc Code]=(TRIM(E$7)))*(CsDJ[Account Code]=(TRIM($D25))),CsDJ[Credit])))+(SUM(IF((CRDJ[Ofc Code]=(TRIM(E$7)))*(CRDJ[Account Code]=(TRIM($D25))),CRDJ[Credit])))+(SUM(IF((GJ[Ofc Code]=(TRIM(E$7)))*(GJ[Account Code]=(TRIM($D25))),GJ[Credit]))))-((SUM(IF((CkDJ[Ofc Code]=(TRIM(E$7)))*(CkDJ[Account Code]=(TRIM($D25))),CkDJ[Debit])))+(SUM(IF((CsDJ[Ofc Code]=(TRIM(E$7)))*(CsDJ[Account Code]=(TRIM($D25))),CsDJ[Debit])))+(SUM(IF((CRDJ[Ofc Code]=(TRIM(E$7)))*(CRDJ[Account Code]=(TRIM($D25))),CRDJ[Debit])))+(SUM(IF((GJ[Ofc Code]=(TRIM(E$7)))*(GJ[Account Code]=(TRIM($D25))),GJ[Debit]))))</f>
        <v>0</v>
      </c>
      <c r="F25" s="211">
        <f t="array" ref="F25">((SUM(IF((CkDJ[Ofc Code]=(TRIM(F$7)))*(CkDJ[Account Code]=(TRIM($D25))),CkDJ[Credit])))+(SUM(IF((CsDJ[Ofc Code]=(TRIM(F$7)))*(CsDJ[Account Code]=(TRIM($D25))),CsDJ[Credit])))+(SUM(IF((CRDJ[Ofc Code]=(TRIM(F$7)))*(CRDJ[Account Code]=(TRIM($D25))),CRDJ[Credit])))+(SUM(IF((GJ[Ofc Code]=(TRIM(F$7)))*(GJ[Account Code]=(TRIM($D25))),GJ[Credit]))))-((SUM(IF((CkDJ[Ofc Code]=(TRIM(F$7)))*(CkDJ[Account Code]=(TRIM($D25))),CkDJ[Debit])))+(SUM(IF((CsDJ[Ofc Code]=(TRIM(F$7)))*(CsDJ[Account Code]=(TRIM($D25))),CsDJ[Debit])))+(SUM(IF((CRDJ[Ofc Code]=(TRIM(F$7)))*(CRDJ[Account Code]=(TRIM($D25))),CRDJ[Debit])))+(SUM(IF((GJ[Ofc Code]=(TRIM(F$7)))*(GJ[Account Code]=(TRIM($D25))),GJ[Debit]))))</f>
        <v>0</v>
      </c>
      <c r="G25" s="211">
        <f t="array" ref="G25">((SUM(IF((CkDJ[Ofc Code]=(TRIM(G$7)))*(CkDJ[Account Code]=(TRIM($D25))),CkDJ[Credit])))+(SUM(IF((CsDJ[Ofc Code]=(TRIM(G$7)))*(CsDJ[Account Code]=(TRIM($D25))),CsDJ[Credit])))+(SUM(IF((CRDJ[Ofc Code]=(TRIM(G$7)))*(CRDJ[Account Code]=(TRIM($D25))),CRDJ[Credit])))+(SUM(IF((GJ[Ofc Code]=(TRIM(G$7)))*(GJ[Account Code]=(TRIM($D25))),GJ[Credit]))))-((SUM(IF((CkDJ[Ofc Code]=(TRIM(G$7)))*(CkDJ[Account Code]=(TRIM($D25))),CkDJ[Debit])))+(SUM(IF((CsDJ[Ofc Code]=(TRIM(G$7)))*(CsDJ[Account Code]=(TRIM($D25))),CsDJ[Debit])))+(SUM(IF((CRDJ[Ofc Code]=(TRIM(G$7)))*(CRDJ[Account Code]=(TRIM($D25))),CRDJ[Debit])))+(SUM(IF((GJ[Ofc Code]=(TRIM(G$7)))*(GJ[Account Code]=(TRIM($D25))),GJ[Debit]))))</f>
        <v>0</v>
      </c>
      <c r="H25" s="211">
        <f t="array" ref="H25">((SUM(IF((CkDJ[Ofc Code]=(TRIM(H$7)))*(CkDJ[Account Code]=(TRIM($D25))),CkDJ[Credit])))+(SUM(IF((CsDJ[Ofc Code]=(TRIM(H$7)))*(CsDJ[Account Code]=(TRIM($D25))),CsDJ[Credit])))+(SUM(IF((CRDJ[Ofc Code]=(TRIM(H$7)))*(CRDJ[Account Code]=(TRIM($D25))),CRDJ[Credit])))+(SUM(IF((GJ[Ofc Code]=(TRIM(H$7)))*(GJ[Account Code]=(TRIM($D25))),GJ[Credit]))))-((SUM(IF((CkDJ[Ofc Code]=(TRIM(H$7)))*(CkDJ[Account Code]=(TRIM($D25))),CkDJ[Debit])))+(SUM(IF((CsDJ[Ofc Code]=(TRIM(H$7)))*(CsDJ[Account Code]=(TRIM($D25))),CsDJ[Debit])))+(SUM(IF((CRDJ[Ofc Code]=(TRIM(H$7)))*(CRDJ[Account Code]=(TRIM($D25))),CRDJ[Debit])))+(SUM(IF((GJ[Ofc Code]=(TRIM(H$7)))*(GJ[Account Code]=(TRIM($D25))),GJ[Debit]))))</f>
        <v>0</v>
      </c>
      <c r="I25" s="211">
        <f t="array" ref="I25">((SUM(IF((CkDJ[Ofc Code]=(TRIM(I$7)))*(CkDJ[Account Code]=(TRIM($D25))),CkDJ[Credit])))+(SUM(IF((CsDJ[Ofc Code]=(TRIM(I$7)))*(CsDJ[Account Code]=(TRIM($D25))),CsDJ[Credit])))+(SUM(IF((CRDJ[Ofc Code]=(TRIM(I$7)))*(CRDJ[Account Code]=(TRIM($D25))),CRDJ[Credit])))+(SUM(IF((GJ[Ofc Code]=(TRIM(I$7)))*(GJ[Account Code]=(TRIM($D25))),GJ[Credit]))))-((SUM(IF((CkDJ[Ofc Code]=(TRIM(I$7)))*(CkDJ[Account Code]=(TRIM($D25))),CkDJ[Debit])))+(SUM(IF((CsDJ[Ofc Code]=(TRIM(I$7)))*(CsDJ[Account Code]=(TRIM($D25))),CsDJ[Debit])))+(SUM(IF((CRDJ[Ofc Code]=(TRIM(I$7)))*(CRDJ[Account Code]=(TRIM($D25))),CRDJ[Debit])))+(SUM(IF((GJ[Ofc Code]=(TRIM(I$7)))*(GJ[Account Code]=(TRIM($D25))),GJ[Debit]))))</f>
        <v>0</v>
      </c>
      <c r="J25" s="211">
        <f t="shared" si="1"/>
        <v>0</v>
      </c>
      <c r="K25" s="211">
        <f t="array" ref="K25">((SUM(IF((CkDJ[Ofc Code]=(TRIM(K$7)))*(CkDJ[Account Code]=(TRIM($D25))),CkDJ[Credit])))+(SUM(IF((CsDJ[Ofc Code]=(TRIM(K$7)))*(CsDJ[Account Code]=(TRIM($D25))),CsDJ[Credit])))+(SUM(IF((CRDJ[Ofc Code]=(TRIM(K$7)))*(CRDJ[Account Code]=(TRIM($D25))),CRDJ[Credit])))+(SUM(IF((GJ[Ofc Code]=(TRIM(K$7)))*(GJ[Account Code]=(TRIM($D25))),GJ[Credit]))))-((SUM(IF((CkDJ[Ofc Code]=(TRIM(K$7)))*(CkDJ[Account Code]=(TRIM($D25))),CkDJ[Debit])))+(SUM(IF((CsDJ[Ofc Code]=(TRIM(K$7)))*(CsDJ[Account Code]=(TRIM($D25))),CsDJ[Debit])))+(SUM(IF((CRDJ[Ofc Code]=(TRIM(K$7)))*(CRDJ[Account Code]=(TRIM($D25))),CRDJ[Debit])))+(SUM(IF((GJ[Ofc Code]=(TRIM(K$7)))*(GJ[Account Code]=(TRIM($D25))),GJ[Debit]))))</f>
        <v>0</v>
      </c>
      <c r="L25" s="211">
        <f t="array" ref="L25">((SUM(IF((CkDJ[Ofc Code]=(TRIM(L$7)))*(CkDJ[Account Code]=(TRIM($D25))),CkDJ[Credit])))+(SUM(IF((CsDJ[Ofc Code]=(TRIM(L$7)))*(CsDJ[Account Code]=(TRIM($D25))),CsDJ[Credit])))+(SUM(IF((CRDJ[Ofc Code]=(TRIM(L$7)))*(CRDJ[Account Code]=(TRIM($D25))),CRDJ[Credit])))+(SUM(IF((GJ[Ofc Code]=(TRIM(L$7)))*(GJ[Account Code]=(TRIM($D25))),GJ[Credit]))))-((SUM(IF((CkDJ[Ofc Code]=(TRIM(L$7)))*(CkDJ[Account Code]=(TRIM($D25))),CkDJ[Debit])))+(SUM(IF((CsDJ[Ofc Code]=(TRIM(L$7)))*(CsDJ[Account Code]=(TRIM($D25))),CsDJ[Debit])))+(SUM(IF((CRDJ[Ofc Code]=(TRIM(L$7)))*(CRDJ[Account Code]=(TRIM($D25))),CRDJ[Debit])))+(SUM(IF((GJ[Ofc Code]=(TRIM(L$7)))*(GJ[Account Code]=(TRIM($D25))),GJ[Debit]))))</f>
        <v>0</v>
      </c>
      <c r="M25" s="211">
        <f t="array" ref="M25">((SUM(IF((CkDJ[Ofc Code]=(TRIM(M$7)))*(CkDJ[Account Code]=(TRIM($D25))),CkDJ[Credit])))+(SUM(IF((CsDJ[Ofc Code]=(TRIM(M$7)))*(CsDJ[Account Code]=(TRIM($D25))),CsDJ[Credit])))+(SUM(IF((CRDJ[Ofc Code]=(TRIM(M$7)))*(CRDJ[Account Code]=(TRIM($D25))),CRDJ[Credit])))+(SUM(IF((GJ[Ofc Code]=(TRIM(M$7)))*(GJ[Account Code]=(TRIM($D25))),GJ[Credit]))))-((SUM(IF((CkDJ[Ofc Code]=(TRIM(M$7)))*(CkDJ[Account Code]=(TRIM($D25))),CkDJ[Debit])))+(SUM(IF((CsDJ[Ofc Code]=(TRIM(M$7)))*(CsDJ[Account Code]=(TRIM($D25))),CsDJ[Debit])))+(SUM(IF((CRDJ[Ofc Code]=(TRIM(M$7)))*(CRDJ[Account Code]=(TRIM($D25))),CRDJ[Debit])))+(SUM(IF((GJ[Ofc Code]=(TRIM(M$7)))*(GJ[Account Code]=(TRIM($D25))),GJ[Debit]))))</f>
        <v>0</v>
      </c>
      <c r="N25" s="211">
        <f t="array" ref="N25">((SUM(IF((CkDJ[Ofc Code]=(TRIM(N$7)))*(CkDJ[Account Code]=(TRIM($D25))),CkDJ[Credit])))+(SUM(IF((CsDJ[Ofc Code]=(TRIM(N$7)))*(CsDJ[Account Code]=(TRIM($D25))),CsDJ[Credit])))+(SUM(IF((CRDJ[Ofc Code]=(TRIM(N$7)))*(CRDJ[Account Code]=(TRIM($D25))),CRDJ[Credit])))+(SUM(IF((GJ[Ofc Code]=(TRIM(N$7)))*(GJ[Account Code]=(TRIM($D25))),GJ[Credit]))))-((SUM(IF((CkDJ[Ofc Code]=(TRIM(N$7)))*(CkDJ[Account Code]=(TRIM($D25))),CkDJ[Debit])))+(SUM(IF((CsDJ[Ofc Code]=(TRIM(N$7)))*(CsDJ[Account Code]=(TRIM($D25))),CsDJ[Debit])))+(SUM(IF((CRDJ[Ofc Code]=(TRIM(N$7)))*(CRDJ[Account Code]=(TRIM($D25))),CRDJ[Debit])))+(SUM(IF((GJ[Ofc Code]=(TRIM(N$7)))*(GJ[Account Code]=(TRIM($D25))),GJ[Debit]))))</f>
        <v>0</v>
      </c>
      <c r="O25" s="211">
        <f t="shared" si="2"/>
        <v>0</v>
      </c>
      <c r="P25" s="211">
        <f t="array" ref="P25">((SUM(IF((CkDJ[Ofc Code]=(TRIM(P$7)))*(CkDJ[Account Code]=(TRIM($D25))),CkDJ[Credit])))+(SUM(IF((CsDJ[Ofc Code]=(TRIM(P$7)))*(CsDJ[Account Code]=(TRIM($D25))),CsDJ[Credit])))+(SUM(IF((CRDJ[Ofc Code]=(TRIM(P$7)))*(CRDJ[Account Code]=(TRIM($D25))),CRDJ[Credit])))+(SUM(IF((GJ[Ofc Code]=(TRIM(P$7)))*(GJ[Account Code]=(TRIM($D25))),GJ[Credit]))))-((SUM(IF((CkDJ[Ofc Code]=(TRIM(P$7)))*(CkDJ[Account Code]=(TRIM($D25))),CkDJ[Debit])))+(SUM(IF((CsDJ[Ofc Code]=(TRIM(P$7)))*(CsDJ[Account Code]=(TRIM($D25))),CsDJ[Debit])))+(SUM(IF((CRDJ[Ofc Code]=(TRIM(P$7)))*(CRDJ[Account Code]=(TRIM($D25))),CRDJ[Debit])))+(SUM(IF((GJ[Ofc Code]=(TRIM(P$7)))*(GJ[Account Code]=(TRIM($D25))),GJ[Debit]))))</f>
        <v>0</v>
      </c>
      <c r="Q25" s="211">
        <f t="array" ref="Q25">((SUM(IF((CkDJ[Ofc Code]=(TRIM(Q$7)))*(CkDJ[Account Code]=(TRIM($D25))),CkDJ[Credit])))+(SUM(IF((CsDJ[Ofc Code]=(TRIM(Q$7)))*(CsDJ[Account Code]=(TRIM($D25))),CsDJ[Credit])))+(SUM(IF((CRDJ[Ofc Code]=(TRIM(Q$7)))*(CRDJ[Account Code]=(TRIM($D25))),CRDJ[Credit])))+(SUM(IF((GJ[Ofc Code]=(TRIM(Q$7)))*(GJ[Account Code]=(TRIM($D25))),GJ[Credit]))))-((SUM(IF((CkDJ[Ofc Code]=(TRIM(Q$7)))*(CkDJ[Account Code]=(TRIM($D25))),CkDJ[Debit])))+(SUM(IF((CsDJ[Ofc Code]=(TRIM(Q$7)))*(CsDJ[Account Code]=(TRIM($D25))),CsDJ[Debit])))+(SUM(IF((CRDJ[Ofc Code]=(TRIM(Q$7)))*(CRDJ[Account Code]=(TRIM($D25))),CRDJ[Debit])))+(SUM(IF((GJ[Ofc Code]=(TRIM(Q$7)))*(GJ[Account Code]=(TRIM($D25))),GJ[Debit]))))</f>
        <v>0</v>
      </c>
      <c r="R25" s="211">
        <f t="array" ref="R25">((SUM(IF((CkDJ[Ofc Code]=(TRIM(R$7)))*(CkDJ[Account Code]=(TRIM($D25))),CkDJ[Credit])))+(SUM(IF((CsDJ[Ofc Code]=(TRIM(R$7)))*(CsDJ[Account Code]=(TRIM($D25))),CsDJ[Credit])))+(SUM(IF((CRDJ[Ofc Code]=(TRIM(R$7)))*(CRDJ[Account Code]=(TRIM($D25))),CRDJ[Credit])))+(SUM(IF((GJ[Ofc Code]=(TRIM(R$7)))*(GJ[Account Code]=(TRIM($D25))),GJ[Credit]))))-((SUM(IF((CkDJ[Ofc Code]=(TRIM(R$7)))*(CkDJ[Account Code]=(TRIM($D25))),CkDJ[Debit])))+(SUM(IF((CsDJ[Ofc Code]=(TRIM(R$7)))*(CsDJ[Account Code]=(TRIM($D25))),CsDJ[Debit])))+(SUM(IF((CRDJ[Ofc Code]=(TRIM(R$7)))*(CRDJ[Account Code]=(TRIM($D25))),CRDJ[Debit])))+(SUM(IF((GJ[Ofc Code]=(TRIM(R$7)))*(GJ[Account Code]=(TRIM($D25))),GJ[Debit]))))</f>
        <v>0</v>
      </c>
      <c r="S25" s="211">
        <f t="array" ref="S25">((SUM(IF((CkDJ[Ofc Code]=(TRIM(S$7)))*(CkDJ[Account Code]=(TRIM($D25))),CkDJ[Credit])))+(SUM(IF((CsDJ[Ofc Code]=(TRIM(S$7)))*(CsDJ[Account Code]=(TRIM($D25))),CsDJ[Credit])))+(SUM(IF((CRDJ[Ofc Code]=(TRIM(S$7)))*(CRDJ[Account Code]=(TRIM($D25))),CRDJ[Credit])))+(SUM(IF((GJ[Ofc Code]=(TRIM(S$7)))*(GJ[Account Code]=(TRIM($D25))),GJ[Credit]))))-((SUM(IF((CkDJ[Ofc Code]=(TRIM(S$7)))*(CkDJ[Account Code]=(TRIM($D25))),CkDJ[Debit])))+(SUM(IF((CsDJ[Ofc Code]=(TRIM(S$7)))*(CsDJ[Account Code]=(TRIM($D25))),CsDJ[Debit])))+(SUM(IF((CRDJ[Ofc Code]=(TRIM(S$7)))*(CRDJ[Account Code]=(TRIM($D25))),CRDJ[Debit])))+(SUM(IF((GJ[Ofc Code]=(TRIM(S$7)))*(GJ[Account Code]=(TRIM($D25))),GJ[Debit]))))</f>
        <v>0</v>
      </c>
      <c r="T25" s="211">
        <f t="array" ref="T25">((SUM(IF((CkDJ[Ofc Code]=(TRIM(T$7)))*(CkDJ[Account Code]=(TRIM($D25))),CkDJ[Credit])))+(SUM(IF((CsDJ[Ofc Code]=(TRIM(T$7)))*(CsDJ[Account Code]=(TRIM($D25))),CsDJ[Credit])))+(SUM(IF((CRDJ[Ofc Code]=(TRIM(T$7)))*(CRDJ[Account Code]=(TRIM($D25))),CRDJ[Credit])))+(SUM(IF((GJ[Ofc Code]=(TRIM(T$7)))*(GJ[Account Code]=(TRIM($D25))),GJ[Credit]))))-((SUM(IF((CkDJ[Ofc Code]=(TRIM(T$7)))*(CkDJ[Account Code]=(TRIM($D25))),CkDJ[Debit])))+(SUM(IF((CsDJ[Ofc Code]=(TRIM(T$7)))*(CsDJ[Account Code]=(TRIM($D25))),CsDJ[Debit])))+(SUM(IF((CRDJ[Ofc Code]=(TRIM(T$7)))*(CRDJ[Account Code]=(TRIM($D25))),CRDJ[Debit])))+(SUM(IF((GJ[Ofc Code]=(TRIM(T$7)))*(GJ[Account Code]=(TRIM($D25))),GJ[Debit]))))</f>
        <v>0</v>
      </c>
      <c r="U25" s="211">
        <f t="shared" si="3"/>
        <v>0</v>
      </c>
      <c r="V25" s="211">
        <f t="shared" si="4"/>
        <v>0</v>
      </c>
    </row>
    <row r="26" spans="1:22" ht="15" x14ac:dyDescent="0.25">
      <c r="A26" s="212">
        <f t="shared" si="5"/>
        <v>18</v>
      </c>
      <c r="B26" s="194"/>
      <c r="C26" s="194" t="e">
        <f t="shared" si="0"/>
        <v>#N/A</v>
      </c>
      <c r="D26" s="207">
        <v>662</v>
      </c>
      <c r="E26" s="211">
        <f t="array" ref="E26">((SUM(IF((CkDJ[Ofc Code]=(TRIM(E$7)))*(CkDJ[Account Code]=(TRIM($D26))),CkDJ[Credit])))+(SUM(IF((CsDJ[Ofc Code]=(TRIM(E$7)))*(CsDJ[Account Code]=(TRIM($D26))),CsDJ[Credit])))+(SUM(IF((CRDJ[Ofc Code]=(TRIM(E$7)))*(CRDJ[Account Code]=(TRIM($D26))),CRDJ[Credit])))+(SUM(IF((GJ[Ofc Code]=(TRIM(E$7)))*(GJ[Account Code]=(TRIM($D26))),GJ[Credit]))))-((SUM(IF((CkDJ[Ofc Code]=(TRIM(E$7)))*(CkDJ[Account Code]=(TRIM($D26))),CkDJ[Debit])))+(SUM(IF((CsDJ[Ofc Code]=(TRIM(E$7)))*(CsDJ[Account Code]=(TRIM($D26))),CsDJ[Debit])))+(SUM(IF((CRDJ[Ofc Code]=(TRIM(E$7)))*(CRDJ[Account Code]=(TRIM($D26))),CRDJ[Debit])))+(SUM(IF((GJ[Ofc Code]=(TRIM(E$7)))*(GJ[Account Code]=(TRIM($D26))),GJ[Debit]))))</f>
        <v>0</v>
      </c>
      <c r="F26" s="211">
        <f t="array" ref="F26">((SUM(IF((CkDJ[Ofc Code]=(TRIM(F$7)))*(CkDJ[Account Code]=(TRIM($D26))),CkDJ[Credit])))+(SUM(IF((CsDJ[Ofc Code]=(TRIM(F$7)))*(CsDJ[Account Code]=(TRIM($D26))),CsDJ[Credit])))+(SUM(IF((CRDJ[Ofc Code]=(TRIM(F$7)))*(CRDJ[Account Code]=(TRIM($D26))),CRDJ[Credit])))+(SUM(IF((GJ[Ofc Code]=(TRIM(F$7)))*(GJ[Account Code]=(TRIM($D26))),GJ[Credit]))))-((SUM(IF((CkDJ[Ofc Code]=(TRIM(F$7)))*(CkDJ[Account Code]=(TRIM($D26))),CkDJ[Debit])))+(SUM(IF((CsDJ[Ofc Code]=(TRIM(F$7)))*(CsDJ[Account Code]=(TRIM($D26))),CsDJ[Debit])))+(SUM(IF((CRDJ[Ofc Code]=(TRIM(F$7)))*(CRDJ[Account Code]=(TRIM($D26))),CRDJ[Debit])))+(SUM(IF((GJ[Ofc Code]=(TRIM(F$7)))*(GJ[Account Code]=(TRIM($D26))),GJ[Debit]))))</f>
        <v>0</v>
      </c>
      <c r="G26" s="211">
        <f t="array" ref="G26">((SUM(IF((CkDJ[Ofc Code]=(TRIM(G$7)))*(CkDJ[Account Code]=(TRIM($D26))),CkDJ[Credit])))+(SUM(IF((CsDJ[Ofc Code]=(TRIM(G$7)))*(CsDJ[Account Code]=(TRIM($D26))),CsDJ[Credit])))+(SUM(IF((CRDJ[Ofc Code]=(TRIM(G$7)))*(CRDJ[Account Code]=(TRIM($D26))),CRDJ[Credit])))+(SUM(IF((GJ[Ofc Code]=(TRIM(G$7)))*(GJ[Account Code]=(TRIM($D26))),GJ[Credit]))))-((SUM(IF((CkDJ[Ofc Code]=(TRIM(G$7)))*(CkDJ[Account Code]=(TRIM($D26))),CkDJ[Debit])))+(SUM(IF((CsDJ[Ofc Code]=(TRIM(G$7)))*(CsDJ[Account Code]=(TRIM($D26))),CsDJ[Debit])))+(SUM(IF((CRDJ[Ofc Code]=(TRIM(G$7)))*(CRDJ[Account Code]=(TRIM($D26))),CRDJ[Debit])))+(SUM(IF((GJ[Ofc Code]=(TRIM(G$7)))*(GJ[Account Code]=(TRIM($D26))),GJ[Debit]))))</f>
        <v>0</v>
      </c>
      <c r="H26" s="211">
        <f t="array" ref="H26">((SUM(IF((CkDJ[Ofc Code]=(TRIM(H$7)))*(CkDJ[Account Code]=(TRIM($D26))),CkDJ[Credit])))+(SUM(IF((CsDJ[Ofc Code]=(TRIM(H$7)))*(CsDJ[Account Code]=(TRIM($D26))),CsDJ[Credit])))+(SUM(IF((CRDJ[Ofc Code]=(TRIM(H$7)))*(CRDJ[Account Code]=(TRIM($D26))),CRDJ[Credit])))+(SUM(IF((GJ[Ofc Code]=(TRIM(H$7)))*(GJ[Account Code]=(TRIM($D26))),GJ[Credit]))))-((SUM(IF((CkDJ[Ofc Code]=(TRIM(H$7)))*(CkDJ[Account Code]=(TRIM($D26))),CkDJ[Debit])))+(SUM(IF((CsDJ[Ofc Code]=(TRIM(H$7)))*(CsDJ[Account Code]=(TRIM($D26))),CsDJ[Debit])))+(SUM(IF((CRDJ[Ofc Code]=(TRIM(H$7)))*(CRDJ[Account Code]=(TRIM($D26))),CRDJ[Debit])))+(SUM(IF((GJ[Ofc Code]=(TRIM(H$7)))*(GJ[Account Code]=(TRIM($D26))),GJ[Debit]))))</f>
        <v>0</v>
      </c>
      <c r="I26" s="211">
        <f t="array" ref="I26">((SUM(IF((CkDJ[Ofc Code]=(TRIM(I$7)))*(CkDJ[Account Code]=(TRIM($D26))),CkDJ[Credit])))+(SUM(IF((CsDJ[Ofc Code]=(TRIM(I$7)))*(CsDJ[Account Code]=(TRIM($D26))),CsDJ[Credit])))+(SUM(IF((CRDJ[Ofc Code]=(TRIM(I$7)))*(CRDJ[Account Code]=(TRIM($D26))),CRDJ[Credit])))+(SUM(IF((GJ[Ofc Code]=(TRIM(I$7)))*(GJ[Account Code]=(TRIM($D26))),GJ[Credit]))))-((SUM(IF((CkDJ[Ofc Code]=(TRIM(I$7)))*(CkDJ[Account Code]=(TRIM($D26))),CkDJ[Debit])))+(SUM(IF((CsDJ[Ofc Code]=(TRIM(I$7)))*(CsDJ[Account Code]=(TRIM($D26))),CsDJ[Debit])))+(SUM(IF((CRDJ[Ofc Code]=(TRIM(I$7)))*(CRDJ[Account Code]=(TRIM($D26))),CRDJ[Debit])))+(SUM(IF((GJ[Ofc Code]=(TRIM(I$7)))*(GJ[Account Code]=(TRIM($D26))),GJ[Debit]))))</f>
        <v>0</v>
      </c>
      <c r="J26" s="211">
        <f t="shared" si="1"/>
        <v>0</v>
      </c>
      <c r="K26" s="211">
        <f t="array" ref="K26">((SUM(IF((CkDJ[Ofc Code]=(TRIM(K$7)))*(CkDJ[Account Code]=(TRIM($D26))),CkDJ[Credit])))+(SUM(IF((CsDJ[Ofc Code]=(TRIM(K$7)))*(CsDJ[Account Code]=(TRIM($D26))),CsDJ[Credit])))+(SUM(IF((CRDJ[Ofc Code]=(TRIM(K$7)))*(CRDJ[Account Code]=(TRIM($D26))),CRDJ[Credit])))+(SUM(IF((GJ[Ofc Code]=(TRIM(K$7)))*(GJ[Account Code]=(TRIM($D26))),GJ[Credit]))))-((SUM(IF((CkDJ[Ofc Code]=(TRIM(K$7)))*(CkDJ[Account Code]=(TRIM($D26))),CkDJ[Debit])))+(SUM(IF((CsDJ[Ofc Code]=(TRIM(K$7)))*(CsDJ[Account Code]=(TRIM($D26))),CsDJ[Debit])))+(SUM(IF((CRDJ[Ofc Code]=(TRIM(K$7)))*(CRDJ[Account Code]=(TRIM($D26))),CRDJ[Debit])))+(SUM(IF((GJ[Ofc Code]=(TRIM(K$7)))*(GJ[Account Code]=(TRIM($D26))),GJ[Debit]))))</f>
        <v>0</v>
      </c>
      <c r="L26" s="211">
        <f t="array" ref="L26">((SUM(IF((CkDJ[Ofc Code]=(TRIM(L$7)))*(CkDJ[Account Code]=(TRIM($D26))),CkDJ[Credit])))+(SUM(IF((CsDJ[Ofc Code]=(TRIM(L$7)))*(CsDJ[Account Code]=(TRIM($D26))),CsDJ[Credit])))+(SUM(IF((CRDJ[Ofc Code]=(TRIM(L$7)))*(CRDJ[Account Code]=(TRIM($D26))),CRDJ[Credit])))+(SUM(IF((GJ[Ofc Code]=(TRIM(L$7)))*(GJ[Account Code]=(TRIM($D26))),GJ[Credit]))))-((SUM(IF((CkDJ[Ofc Code]=(TRIM(L$7)))*(CkDJ[Account Code]=(TRIM($D26))),CkDJ[Debit])))+(SUM(IF((CsDJ[Ofc Code]=(TRIM(L$7)))*(CsDJ[Account Code]=(TRIM($D26))),CsDJ[Debit])))+(SUM(IF((CRDJ[Ofc Code]=(TRIM(L$7)))*(CRDJ[Account Code]=(TRIM($D26))),CRDJ[Debit])))+(SUM(IF((GJ[Ofc Code]=(TRIM(L$7)))*(GJ[Account Code]=(TRIM($D26))),GJ[Debit]))))</f>
        <v>0</v>
      </c>
      <c r="M26" s="211">
        <f t="array" ref="M26">((SUM(IF((CkDJ[Ofc Code]=(TRIM(M$7)))*(CkDJ[Account Code]=(TRIM($D26))),CkDJ[Credit])))+(SUM(IF((CsDJ[Ofc Code]=(TRIM(M$7)))*(CsDJ[Account Code]=(TRIM($D26))),CsDJ[Credit])))+(SUM(IF((CRDJ[Ofc Code]=(TRIM(M$7)))*(CRDJ[Account Code]=(TRIM($D26))),CRDJ[Credit])))+(SUM(IF((GJ[Ofc Code]=(TRIM(M$7)))*(GJ[Account Code]=(TRIM($D26))),GJ[Credit]))))-((SUM(IF((CkDJ[Ofc Code]=(TRIM(M$7)))*(CkDJ[Account Code]=(TRIM($D26))),CkDJ[Debit])))+(SUM(IF((CsDJ[Ofc Code]=(TRIM(M$7)))*(CsDJ[Account Code]=(TRIM($D26))),CsDJ[Debit])))+(SUM(IF((CRDJ[Ofc Code]=(TRIM(M$7)))*(CRDJ[Account Code]=(TRIM($D26))),CRDJ[Debit])))+(SUM(IF((GJ[Ofc Code]=(TRIM(M$7)))*(GJ[Account Code]=(TRIM($D26))),GJ[Debit]))))</f>
        <v>0</v>
      </c>
      <c r="N26" s="211">
        <f t="array" ref="N26">((SUM(IF((CkDJ[Ofc Code]=(TRIM(N$7)))*(CkDJ[Account Code]=(TRIM($D26))),CkDJ[Credit])))+(SUM(IF((CsDJ[Ofc Code]=(TRIM(N$7)))*(CsDJ[Account Code]=(TRIM($D26))),CsDJ[Credit])))+(SUM(IF((CRDJ[Ofc Code]=(TRIM(N$7)))*(CRDJ[Account Code]=(TRIM($D26))),CRDJ[Credit])))+(SUM(IF((GJ[Ofc Code]=(TRIM(N$7)))*(GJ[Account Code]=(TRIM($D26))),GJ[Credit]))))-((SUM(IF((CkDJ[Ofc Code]=(TRIM(N$7)))*(CkDJ[Account Code]=(TRIM($D26))),CkDJ[Debit])))+(SUM(IF((CsDJ[Ofc Code]=(TRIM(N$7)))*(CsDJ[Account Code]=(TRIM($D26))),CsDJ[Debit])))+(SUM(IF((CRDJ[Ofc Code]=(TRIM(N$7)))*(CRDJ[Account Code]=(TRIM($D26))),CRDJ[Debit])))+(SUM(IF((GJ[Ofc Code]=(TRIM(N$7)))*(GJ[Account Code]=(TRIM($D26))),GJ[Debit]))))</f>
        <v>0</v>
      </c>
      <c r="O26" s="211">
        <f t="shared" si="2"/>
        <v>0</v>
      </c>
      <c r="P26" s="211">
        <f t="array" ref="P26">((SUM(IF((CkDJ[Ofc Code]=(TRIM(P$7)))*(CkDJ[Account Code]=(TRIM($D26))),CkDJ[Credit])))+(SUM(IF((CsDJ[Ofc Code]=(TRIM(P$7)))*(CsDJ[Account Code]=(TRIM($D26))),CsDJ[Credit])))+(SUM(IF((CRDJ[Ofc Code]=(TRIM(P$7)))*(CRDJ[Account Code]=(TRIM($D26))),CRDJ[Credit])))+(SUM(IF((GJ[Ofc Code]=(TRIM(P$7)))*(GJ[Account Code]=(TRIM($D26))),GJ[Credit]))))-((SUM(IF((CkDJ[Ofc Code]=(TRIM(P$7)))*(CkDJ[Account Code]=(TRIM($D26))),CkDJ[Debit])))+(SUM(IF((CsDJ[Ofc Code]=(TRIM(P$7)))*(CsDJ[Account Code]=(TRIM($D26))),CsDJ[Debit])))+(SUM(IF((CRDJ[Ofc Code]=(TRIM(P$7)))*(CRDJ[Account Code]=(TRIM($D26))),CRDJ[Debit])))+(SUM(IF((GJ[Ofc Code]=(TRIM(P$7)))*(GJ[Account Code]=(TRIM($D26))),GJ[Debit]))))</f>
        <v>0</v>
      </c>
      <c r="Q26" s="211">
        <f t="array" ref="Q26">((SUM(IF((CkDJ[Ofc Code]=(TRIM(Q$7)))*(CkDJ[Account Code]=(TRIM($D26))),CkDJ[Credit])))+(SUM(IF((CsDJ[Ofc Code]=(TRIM(Q$7)))*(CsDJ[Account Code]=(TRIM($D26))),CsDJ[Credit])))+(SUM(IF((CRDJ[Ofc Code]=(TRIM(Q$7)))*(CRDJ[Account Code]=(TRIM($D26))),CRDJ[Credit])))+(SUM(IF((GJ[Ofc Code]=(TRIM(Q$7)))*(GJ[Account Code]=(TRIM($D26))),GJ[Credit]))))-((SUM(IF((CkDJ[Ofc Code]=(TRIM(Q$7)))*(CkDJ[Account Code]=(TRIM($D26))),CkDJ[Debit])))+(SUM(IF((CsDJ[Ofc Code]=(TRIM(Q$7)))*(CsDJ[Account Code]=(TRIM($D26))),CsDJ[Debit])))+(SUM(IF((CRDJ[Ofc Code]=(TRIM(Q$7)))*(CRDJ[Account Code]=(TRIM($D26))),CRDJ[Debit])))+(SUM(IF((GJ[Ofc Code]=(TRIM(Q$7)))*(GJ[Account Code]=(TRIM($D26))),GJ[Debit]))))</f>
        <v>0</v>
      </c>
      <c r="R26" s="211">
        <f t="array" ref="R26">((SUM(IF((CkDJ[Ofc Code]=(TRIM(R$7)))*(CkDJ[Account Code]=(TRIM($D26))),CkDJ[Credit])))+(SUM(IF((CsDJ[Ofc Code]=(TRIM(R$7)))*(CsDJ[Account Code]=(TRIM($D26))),CsDJ[Credit])))+(SUM(IF((CRDJ[Ofc Code]=(TRIM(R$7)))*(CRDJ[Account Code]=(TRIM($D26))),CRDJ[Credit])))+(SUM(IF((GJ[Ofc Code]=(TRIM(R$7)))*(GJ[Account Code]=(TRIM($D26))),GJ[Credit]))))-((SUM(IF((CkDJ[Ofc Code]=(TRIM(R$7)))*(CkDJ[Account Code]=(TRIM($D26))),CkDJ[Debit])))+(SUM(IF((CsDJ[Ofc Code]=(TRIM(R$7)))*(CsDJ[Account Code]=(TRIM($D26))),CsDJ[Debit])))+(SUM(IF((CRDJ[Ofc Code]=(TRIM(R$7)))*(CRDJ[Account Code]=(TRIM($D26))),CRDJ[Debit])))+(SUM(IF((GJ[Ofc Code]=(TRIM(R$7)))*(GJ[Account Code]=(TRIM($D26))),GJ[Debit]))))</f>
        <v>0</v>
      </c>
      <c r="S26" s="211">
        <f t="array" ref="S26">((SUM(IF((CkDJ[Ofc Code]=(TRIM(S$7)))*(CkDJ[Account Code]=(TRIM($D26))),CkDJ[Credit])))+(SUM(IF((CsDJ[Ofc Code]=(TRIM(S$7)))*(CsDJ[Account Code]=(TRIM($D26))),CsDJ[Credit])))+(SUM(IF((CRDJ[Ofc Code]=(TRIM(S$7)))*(CRDJ[Account Code]=(TRIM($D26))),CRDJ[Credit])))+(SUM(IF((GJ[Ofc Code]=(TRIM(S$7)))*(GJ[Account Code]=(TRIM($D26))),GJ[Credit]))))-((SUM(IF((CkDJ[Ofc Code]=(TRIM(S$7)))*(CkDJ[Account Code]=(TRIM($D26))),CkDJ[Debit])))+(SUM(IF((CsDJ[Ofc Code]=(TRIM(S$7)))*(CsDJ[Account Code]=(TRIM($D26))),CsDJ[Debit])))+(SUM(IF((CRDJ[Ofc Code]=(TRIM(S$7)))*(CRDJ[Account Code]=(TRIM($D26))),CRDJ[Debit])))+(SUM(IF((GJ[Ofc Code]=(TRIM(S$7)))*(GJ[Account Code]=(TRIM($D26))),GJ[Debit]))))</f>
        <v>0</v>
      </c>
      <c r="T26" s="211">
        <f t="array" ref="T26">((SUM(IF((CkDJ[Ofc Code]=(TRIM(T$7)))*(CkDJ[Account Code]=(TRIM($D26))),CkDJ[Credit])))+(SUM(IF((CsDJ[Ofc Code]=(TRIM(T$7)))*(CsDJ[Account Code]=(TRIM($D26))),CsDJ[Credit])))+(SUM(IF((CRDJ[Ofc Code]=(TRIM(T$7)))*(CRDJ[Account Code]=(TRIM($D26))),CRDJ[Credit])))+(SUM(IF((GJ[Ofc Code]=(TRIM(T$7)))*(GJ[Account Code]=(TRIM($D26))),GJ[Credit]))))-((SUM(IF((CkDJ[Ofc Code]=(TRIM(T$7)))*(CkDJ[Account Code]=(TRIM($D26))),CkDJ[Debit])))+(SUM(IF((CsDJ[Ofc Code]=(TRIM(T$7)))*(CsDJ[Account Code]=(TRIM($D26))),CsDJ[Debit])))+(SUM(IF((CRDJ[Ofc Code]=(TRIM(T$7)))*(CRDJ[Account Code]=(TRIM($D26))),CRDJ[Debit])))+(SUM(IF((GJ[Ofc Code]=(TRIM(T$7)))*(GJ[Account Code]=(TRIM($D26))),GJ[Debit]))))</f>
        <v>0</v>
      </c>
      <c r="U26" s="211">
        <f t="shared" si="3"/>
        <v>0</v>
      </c>
      <c r="V26" s="211">
        <f t="shared" si="4"/>
        <v>0</v>
      </c>
    </row>
    <row r="27" spans="1:22" ht="15" x14ac:dyDescent="0.25">
      <c r="A27" s="212">
        <f t="shared" si="5"/>
        <v>19</v>
      </c>
      <c r="B27" s="194"/>
      <c r="C27" s="194" t="str">
        <f t="shared" si="0"/>
        <v>Interest Income</v>
      </c>
      <c r="D27" s="207" t="s">
        <v>154</v>
      </c>
      <c r="E27" s="211">
        <f t="array" ref="E27">((SUM(IF((CkDJ[Ofc Code]=(TRIM(E$7)))*(CkDJ[Account Code]=(TRIM($D27))),CkDJ[Credit])))+(SUM(IF((CsDJ[Ofc Code]=(TRIM(E$7)))*(CsDJ[Account Code]=(TRIM($D27))),CsDJ[Credit])))+(SUM(IF((CRDJ[Ofc Code]=(TRIM(E$7)))*(CRDJ[Account Code]=(TRIM($D27))),CRDJ[Credit])))+(SUM(IF((GJ[Ofc Code]=(TRIM(E$7)))*(GJ[Account Code]=(TRIM($D27))),GJ[Credit]))))-((SUM(IF((CkDJ[Ofc Code]=(TRIM(E$7)))*(CkDJ[Account Code]=(TRIM($D27))),CkDJ[Debit])))+(SUM(IF((CsDJ[Ofc Code]=(TRIM(E$7)))*(CsDJ[Account Code]=(TRIM($D27))),CsDJ[Debit])))+(SUM(IF((CRDJ[Ofc Code]=(TRIM(E$7)))*(CRDJ[Account Code]=(TRIM($D27))),CRDJ[Debit])))+(SUM(IF((GJ[Ofc Code]=(TRIM(E$7)))*(GJ[Account Code]=(TRIM($D27))),GJ[Debit]))))</f>
        <v>0</v>
      </c>
      <c r="F27" s="211">
        <f t="array" ref="F27">((SUM(IF((CkDJ[Ofc Code]=(TRIM(F$7)))*(CkDJ[Account Code]=(TRIM($D27))),CkDJ[Credit])))+(SUM(IF((CsDJ[Ofc Code]=(TRIM(F$7)))*(CsDJ[Account Code]=(TRIM($D27))),CsDJ[Credit])))+(SUM(IF((CRDJ[Ofc Code]=(TRIM(F$7)))*(CRDJ[Account Code]=(TRIM($D27))),CRDJ[Credit])))+(SUM(IF((GJ[Ofc Code]=(TRIM(F$7)))*(GJ[Account Code]=(TRIM($D27))),GJ[Credit]))))-((SUM(IF((CkDJ[Ofc Code]=(TRIM(F$7)))*(CkDJ[Account Code]=(TRIM($D27))),CkDJ[Debit])))+(SUM(IF((CsDJ[Ofc Code]=(TRIM(F$7)))*(CsDJ[Account Code]=(TRIM($D27))),CsDJ[Debit])))+(SUM(IF((CRDJ[Ofc Code]=(TRIM(F$7)))*(CRDJ[Account Code]=(TRIM($D27))),CRDJ[Debit])))+(SUM(IF((GJ[Ofc Code]=(TRIM(F$7)))*(GJ[Account Code]=(TRIM($D27))),GJ[Debit]))))</f>
        <v>0</v>
      </c>
      <c r="G27" s="211">
        <f t="array" ref="G27">((SUM(IF((CkDJ[Ofc Code]=(TRIM(G$7)))*(CkDJ[Account Code]=(TRIM($D27))),CkDJ[Credit])))+(SUM(IF((CsDJ[Ofc Code]=(TRIM(G$7)))*(CsDJ[Account Code]=(TRIM($D27))),CsDJ[Credit])))+(SUM(IF((CRDJ[Ofc Code]=(TRIM(G$7)))*(CRDJ[Account Code]=(TRIM($D27))),CRDJ[Credit])))+(SUM(IF((GJ[Ofc Code]=(TRIM(G$7)))*(GJ[Account Code]=(TRIM($D27))),GJ[Credit]))))-((SUM(IF((CkDJ[Ofc Code]=(TRIM(G$7)))*(CkDJ[Account Code]=(TRIM($D27))),CkDJ[Debit])))+(SUM(IF((CsDJ[Ofc Code]=(TRIM(G$7)))*(CsDJ[Account Code]=(TRIM($D27))),CsDJ[Debit])))+(SUM(IF((CRDJ[Ofc Code]=(TRIM(G$7)))*(CRDJ[Account Code]=(TRIM($D27))),CRDJ[Debit])))+(SUM(IF((GJ[Ofc Code]=(TRIM(G$7)))*(GJ[Account Code]=(TRIM($D27))),GJ[Debit]))))</f>
        <v>0</v>
      </c>
      <c r="H27" s="211">
        <f t="array" ref="H27">((SUM(IF((CkDJ[Ofc Code]=(TRIM(H$7)))*(CkDJ[Account Code]=(TRIM($D27))),CkDJ[Credit])))+(SUM(IF((CsDJ[Ofc Code]=(TRIM(H$7)))*(CsDJ[Account Code]=(TRIM($D27))),CsDJ[Credit])))+(SUM(IF((CRDJ[Ofc Code]=(TRIM(H$7)))*(CRDJ[Account Code]=(TRIM($D27))),CRDJ[Credit])))+(SUM(IF((GJ[Ofc Code]=(TRIM(H$7)))*(GJ[Account Code]=(TRIM($D27))),GJ[Credit]))))-((SUM(IF((CkDJ[Ofc Code]=(TRIM(H$7)))*(CkDJ[Account Code]=(TRIM($D27))),CkDJ[Debit])))+(SUM(IF((CsDJ[Ofc Code]=(TRIM(H$7)))*(CsDJ[Account Code]=(TRIM($D27))),CsDJ[Debit])))+(SUM(IF((CRDJ[Ofc Code]=(TRIM(H$7)))*(CRDJ[Account Code]=(TRIM($D27))),CRDJ[Debit])))+(SUM(IF((GJ[Ofc Code]=(TRIM(H$7)))*(GJ[Account Code]=(TRIM($D27))),GJ[Debit]))))</f>
        <v>0</v>
      </c>
      <c r="I27" s="211">
        <f t="array" ref="I27">((SUM(IF((CkDJ[Ofc Code]=(TRIM(I$7)))*(CkDJ[Account Code]=(TRIM($D27))),CkDJ[Credit])))+(SUM(IF((CsDJ[Ofc Code]=(TRIM(I$7)))*(CsDJ[Account Code]=(TRIM($D27))),CsDJ[Credit])))+(SUM(IF((CRDJ[Ofc Code]=(TRIM(I$7)))*(CRDJ[Account Code]=(TRIM($D27))),CRDJ[Credit])))+(SUM(IF((GJ[Ofc Code]=(TRIM(I$7)))*(GJ[Account Code]=(TRIM($D27))),GJ[Credit]))))-((SUM(IF((CkDJ[Ofc Code]=(TRIM(I$7)))*(CkDJ[Account Code]=(TRIM($D27))),CkDJ[Debit])))+(SUM(IF((CsDJ[Ofc Code]=(TRIM(I$7)))*(CsDJ[Account Code]=(TRIM($D27))),CsDJ[Debit])))+(SUM(IF((CRDJ[Ofc Code]=(TRIM(I$7)))*(CRDJ[Account Code]=(TRIM($D27))),CRDJ[Debit])))+(SUM(IF((GJ[Ofc Code]=(TRIM(I$7)))*(GJ[Account Code]=(TRIM($D27))),GJ[Debit]))))</f>
        <v>0</v>
      </c>
      <c r="J27" s="211">
        <f t="shared" si="1"/>
        <v>0</v>
      </c>
      <c r="K27" s="211">
        <f t="array" ref="K27">((SUM(IF((CkDJ[Ofc Code]=(TRIM(K$7)))*(CkDJ[Account Code]=(TRIM($D27))),CkDJ[Credit])))+(SUM(IF((CsDJ[Ofc Code]=(TRIM(K$7)))*(CsDJ[Account Code]=(TRIM($D27))),CsDJ[Credit])))+(SUM(IF((CRDJ[Ofc Code]=(TRIM(K$7)))*(CRDJ[Account Code]=(TRIM($D27))),CRDJ[Credit])))+(SUM(IF((GJ[Ofc Code]=(TRIM(K$7)))*(GJ[Account Code]=(TRIM($D27))),GJ[Credit]))))-((SUM(IF((CkDJ[Ofc Code]=(TRIM(K$7)))*(CkDJ[Account Code]=(TRIM($D27))),CkDJ[Debit])))+(SUM(IF((CsDJ[Ofc Code]=(TRIM(K$7)))*(CsDJ[Account Code]=(TRIM($D27))),CsDJ[Debit])))+(SUM(IF((CRDJ[Ofc Code]=(TRIM(K$7)))*(CRDJ[Account Code]=(TRIM($D27))),CRDJ[Debit])))+(SUM(IF((GJ[Ofc Code]=(TRIM(K$7)))*(GJ[Account Code]=(TRIM($D27))),GJ[Debit]))))</f>
        <v>0</v>
      </c>
      <c r="L27" s="211">
        <f t="array" ref="L27">((SUM(IF((CkDJ[Ofc Code]=(TRIM(L$7)))*(CkDJ[Account Code]=(TRIM($D27))),CkDJ[Credit])))+(SUM(IF((CsDJ[Ofc Code]=(TRIM(L$7)))*(CsDJ[Account Code]=(TRIM($D27))),CsDJ[Credit])))+(SUM(IF((CRDJ[Ofc Code]=(TRIM(L$7)))*(CRDJ[Account Code]=(TRIM($D27))),CRDJ[Credit])))+(SUM(IF((GJ[Ofc Code]=(TRIM(L$7)))*(GJ[Account Code]=(TRIM($D27))),GJ[Credit]))))-((SUM(IF((CkDJ[Ofc Code]=(TRIM(L$7)))*(CkDJ[Account Code]=(TRIM($D27))),CkDJ[Debit])))+(SUM(IF((CsDJ[Ofc Code]=(TRIM(L$7)))*(CsDJ[Account Code]=(TRIM($D27))),CsDJ[Debit])))+(SUM(IF((CRDJ[Ofc Code]=(TRIM(L$7)))*(CRDJ[Account Code]=(TRIM($D27))),CRDJ[Debit])))+(SUM(IF((GJ[Ofc Code]=(TRIM(L$7)))*(GJ[Account Code]=(TRIM($D27))),GJ[Debit]))))</f>
        <v>0</v>
      </c>
      <c r="M27" s="211">
        <f t="array" ref="M27">((SUM(IF((CkDJ[Ofc Code]=(TRIM(M$7)))*(CkDJ[Account Code]=(TRIM($D27))),CkDJ[Credit])))+(SUM(IF((CsDJ[Ofc Code]=(TRIM(M$7)))*(CsDJ[Account Code]=(TRIM($D27))),CsDJ[Credit])))+(SUM(IF((CRDJ[Ofc Code]=(TRIM(M$7)))*(CRDJ[Account Code]=(TRIM($D27))),CRDJ[Credit])))+(SUM(IF((GJ[Ofc Code]=(TRIM(M$7)))*(GJ[Account Code]=(TRIM($D27))),GJ[Credit]))))-((SUM(IF((CkDJ[Ofc Code]=(TRIM(M$7)))*(CkDJ[Account Code]=(TRIM($D27))),CkDJ[Debit])))+(SUM(IF((CsDJ[Ofc Code]=(TRIM(M$7)))*(CsDJ[Account Code]=(TRIM($D27))),CsDJ[Debit])))+(SUM(IF((CRDJ[Ofc Code]=(TRIM(M$7)))*(CRDJ[Account Code]=(TRIM($D27))),CRDJ[Debit])))+(SUM(IF((GJ[Ofc Code]=(TRIM(M$7)))*(GJ[Account Code]=(TRIM($D27))),GJ[Debit]))))</f>
        <v>0</v>
      </c>
      <c r="N27" s="211">
        <f t="array" ref="N27">((SUM(IF((CkDJ[Ofc Code]=(TRIM(N$7)))*(CkDJ[Account Code]=(TRIM($D27))),CkDJ[Credit])))+(SUM(IF((CsDJ[Ofc Code]=(TRIM(N$7)))*(CsDJ[Account Code]=(TRIM($D27))),CsDJ[Credit])))+(SUM(IF((CRDJ[Ofc Code]=(TRIM(N$7)))*(CRDJ[Account Code]=(TRIM($D27))),CRDJ[Credit])))+(SUM(IF((GJ[Ofc Code]=(TRIM(N$7)))*(GJ[Account Code]=(TRIM($D27))),GJ[Credit]))))-((SUM(IF((CkDJ[Ofc Code]=(TRIM(N$7)))*(CkDJ[Account Code]=(TRIM($D27))),CkDJ[Debit])))+(SUM(IF((CsDJ[Ofc Code]=(TRIM(N$7)))*(CsDJ[Account Code]=(TRIM($D27))),CsDJ[Debit])))+(SUM(IF((CRDJ[Ofc Code]=(TRIM(N$7)))*(CRDJ[Account Code]=(TRIM($D27))),CRDJ[Debit])))+(SUM(IF((GJ[Ofc Code]=(TRIM(N$7)))*(GJ[Account Code]=(TRIM($D27))),GJ[Debit]))))</f>
        <v>0</v>
      </c>
      <c r="O27" s="211">
        <f t="shared" si="2"/>
        <v>0</v>
      </c>
      <c r="P27" s="211">
        <f t="array" ref="P27">((SUM(IF((CkDJ[Ofc Code]=(TRIM(P$7)))*(CkDJ[Account Code]=(TRIM($D27))),CkDJ[Credit])))+(SUM(IF((CsDJ[Ofc Code]=(TRIM(P$7)))*(CsDJ[Account Code]=(TRIM($D27))),CsDJ[Credit])))+(SUM(IF((CRDJ[Ofc Code]=(TRIM(P$7)))*(CRDJ[Account Code]=(TRIM($D27))),CRDJ[Credit])))+(SUM(IF((GJ[Ofc Code]=(TRIM(P$7)))*(GJ[Account Code]=(TRIM($D27))),GJ[Credit]))))-((SUM(IF((CkDJ[Ofc Code]=(TRIM(P$7)))*(CkDJ[Account Code]=(TRIM($D27))),CkDJ[Debit])))+(SUM(IF((CsDJ[Ofc Code]=(TRIM(P$7)))*(CsDJ[Account Code]=(TRIM($D27))),CsDJ[Debit])))+(SUM(IF((CRDJ[Ofc Code]=(TRIM(P$7)))*(CRDJ[Account Code]=(TRIM($D27))),CRDJ[Debit])))+(SUM(IF((GJ[Ofc Code]=(TRIM(P$7)))*(GJ[Account Code]=(TRIM($D27))),GJ[Debit]))))</f>
        <v>0</v>
      </c>
      <c r="Q27" s="211">
        <f t="array" ref="Q27">((SUM(IF((CkDJ[Ofc Code]=(TRIM(Q$7)))*(CkDJ[Account Code]=(TRIM($D27))),CkDJ[Credit])))+(SUM(IF((CsDJ[Ofc Code]=(TRIM(Q$7)))*(CsDJ[Account Code]=(TRIM($D27))),CsDJ[Credit])))+(SUM(IF((CRDJ[Ofc Code]=(TRIM(Q$7)))*(CRDJ[Account Code]=(TRIM($D27))),CRDJ[Credit])))+(SUM(IF((GJ[Ofc Code]=(TRIM(Q$7)))*(GJ[Account Code]=(TRIM($D27))),GJ[Credit]))))-((SUM(IF((CkDJ[Ofc Code]=(TRIM(Q$7)))*(CkDJ[Account Code]=(TRIM($D27))),CkDJ[Debit])))+(SUM(IF((CsDJ[Ofc Code]=(TRIM(Q$7)))*(CsDJ[Account Code]=(TRIM($D27))),CsDJ[Debit])))+(SUM(IF((CRDJ[Ofc Code]=(TRIM(Q$7)))*(CRDJ[Account Code]=(TRIM($D27))),CRDJ[Debit])))+(SUM(IF((GJ[Ofc Code]=(TRIM(Q$7)))*(GJ[Account Code]=(TRIM($D27))),GJ[Debit]))))</f>
        <v>0</v>
      </c>
      <c r="R27" s="211">
        <f t="array" ref="R27">((SUM(IF((CkDJ[Ofc Code]=(TRIM(R$7)))*(CkDJ[Account Code]=(TRIM($D27))),CkDJ[Credit])))+(SUM(IF((CsDJ[Ofc Code]=(TRIM(R$7)))*(CsDJ[Account Code]=(TRIM($D27))),CsDJ[Credit])))+(SUM(IF((CRDJ[Ofc Code]=(TRIM(R$7)))*(CRDJ[Account Code]=(TRIM($D27))),CRDJ[Credit])))+(SUM(IF((GJ[Ofc Code]=(TRIM(R$7)))*(GJ[Account Code]=(TRIM($D27))),GJ[Credit]))))-((SUM(IF((CkDJ[Ofc Code]=(TRIM(R$7)))*(CkDJ[Account Code]=(TRIM($D27))),CkDJ[Debit])))+(SUM(IF((CsDJ[Ofc Code]=(TRIM(R$7)))*(CsDJ[Account Code]=(TRIM($D27))),CsDJ[Debit])))+(SUM(IF((CRDJ[Ofc Code]=(TRIM(R$7)))*(CRDJ[Account Code]=(TRIM($D27))),CRDJ[Debit])))+(SUM(IF((GJ[Ofc Code]=(TRIM(R$7)))*(GJ[Account Code]=(TRIM($D27))),GJ[Debit]))))</f>
        <v>0</v>
      </c>
      <c r="S27" s="211">
        <f t="array" ref="S27">((SUM(IF((CkDJ[Ofc Code]=(TRIM(S$7)))*(CkDJ[Account Code]=(TRIM($D27))),CkDJ[Credit])))+(SUM(IF((CsDJ[Ofc Code]=(TRIM(S$7)))*(CsDJ[Account Code]=(TRIM($D27))),CsDJ[Credit])))+(SUM(IF((CRDJ[Ofc Code]=(TRIM(S$7)))*(CRDJ[Account Code]=(TRIM($D27))),CRDJ[Credit])))+(SUM(IF((GJ[Ofc Code]=(TRIM(S$7)))*(GJ[Account Code]=(TRIM($D27))),GJ[Credit]))))-((SUM(IF((CkDJ[Ofc Code]=(TRIM(S$7)))*(CkDJ[Account Code]=(TRIM($D27))),CkDJ[Debit])))+(SUM(IF((CsDJ[Ofc Code]=(TRIM(S$7)))*(CsDJ[Account Code]=(TRIM($D27))),CsDJ[Debit])))+(SUM(IF((CRDJ[Ofc Code]=(TRIM(S$7)))*(CRDJ[Account Code]=(TRIM($D27))),CRDJ[Debit])))+(SUM(IF((GJ[Ofc Code]=(TRIM(S$7)))*(GJ[Account Code]=(TRIM($D27))),GJ[Debit]))))</f>
        <v>0</v>
      </c>
      <c r="T27" s="211">
        <f t="array" ref="T27">((SUM(IF((CkDJ[Ofc Code]=(TRIM(T$7)))*(CkDJ[Account Code]=(TRIM($D27))),CkDJ[Credit])))+(SUM(IF((CsDJ[Ofc Code]=(TRIM(T$7)))*(CsDJ[Account Code]=(TRIM($D27))),CsDJ[Credit])))+(SUM(IF((CRDJ[Ofc Code]=(TRIM(T$7)))*(CRDJ[Account Code]=(TRIM($D27))),CRDJ[Credit])))+(SUM(IF((GJ[Ofc Code]=(TRIM(T$7)))*(GJ[Account Code]=(TRIM($D27))),GJ[Credit]))))-((SUM(IF((CkDJ[Ofc Code]=(TRIM(T$7)))*(CkDJ[Account Code]=(TRIM($D27))),CkDJ[Debit])))+(SUM(IF((CsDJ[Ofc Code]=(TRIM(T$7)))*(CsDJ[Account Code]=(TRIM($D27))),CsDJ[Debit])))+(SUM(IF((CRDJ[Ofc Code]=(TRIM(T$7)))*(CRDJ[Account Code]=(TRIM($D27))),CRDJ[Debit])))+(SUM(IF((GJ[Ofc Code]=(TRIM(T$7)))*(GJ[Account Code]=(TRIM($D27))),GJ[Debit]))))</f>
        <v>0</v>
      </c>
      <c r="U27" s="211">
        <f t="shared" si="3"/>
        <v>0</v>
      </c>
      <c r="V27" s="211">
        <f t="shared" si="4"/>
        <v>0</v>
      </c>
    </row>
    <row r="28" spans="1:22" ht="15" x14ac:dyDescent="0.25">
      <c r="A28" s="212">
        <f t="shared" si="5"/>
        <v>20</v>
      </c>
      <c r="B28" s="194"/>
      <c r="C28" s="194" t="str">
        <f t="shared" si="0"/>
        <v>Miscellaneous Income (Bid Documents)</v>
      </c>
      <c r="D28" s="207" t="s">
        <v>155</v>
      </c>
      <c r="E28" s="211">
        <f t="array" ref="E28">((SUM(IF((CkDJ[Ofc Code]=(TRIM(E$7)))*(CkDJ[Account Code]=(TRIM($D28))),CkDJ[Credit])))+(SUM(IF((CsDJ[Ofc Code]=(TRIM(E$7)))*(CsDJ[Account Code]=(TRIM($D28))),CsDJ[Credit])))+(SUM(IF((CRDJ[Ofc Code]=(TRIM(E$7)))*(CRDJ[Account Code]=(TRIM($D28))),CRDJ[Credit])))+(SUM(IF((GJ[Ofc Code]=(TRIM(E$7)))*(GJ[Account Code]=(TRIM($D28))),GJ[Credit]))))-((SUM(IF((CkDJ[Ofc Code]=(TRIM(E$7)))*(CkDJ[Account Code]=(TRIM($D28))),CkDJ[Debit])))+(SUM(IF((CsDJ[Ofc Code]=(TRIM(E$7)))*(CsDJ[Account Code]=(TRIM($D28))),CsDJ[Debit])))+(SUM(IF((CRDJ[Ofc Code]=(TRIM(E$7)))*(CRDJ[Account Code]=(TRIM($D28))),CRDJ[Debit])))+(SUM(IF((GJ[Ofc Code]=(TRIM(E$7)))*(GJ[Account Code]=(TRIM($D28))),GJ[Debit]))))</f>
        <v>0</v>
      </c>
      <c r="F28" s="211">
        <f t="array" ref="F28">((SUM(IF((CkDJ[Ofc Code]=(TRIM(F$7)))*(CkDJ[Account Code]=(TRIM($D28))),CkDJ[Credit])))+(SUM(IF((CsDJ[Ofc Code]=(TRIM(F$7)))*(CsDJ[Account Code]=(TRIM($D28))),CsDJ[Credit])))+(SUM(IF((CRDJ[Ofc Code]=(TRIM(F$7)))*(CRDJ[Account Code]=(TRIM($D28))),CRDJ[Credit])))+(SUM(IF((GJ[Ofc Code]=(TRIM(F$7)))*(GJ[Account Code]=(TRIM($D28))),GJ[Credit]))))-((SUM(IF((CkDJ[Ofc Code]=(TRIM(F$7)))*(CkDJ[Account Code]=(TRIM($D28))),CkDJ[Debit])))+(SUM(IF((CsDJ[Ofc Code]=(TRIM(F$7)))*(CsDJ[Account Code]=(TRIM($D28))),CsDJ[Debit])))+(SUM(IF((CRDJ[Ofc Code]=(TRIM(F$7)))*(CRDJ[Account Code]=(TRIM($D28))),CRDJ[Debit])))+(SUM(IF((GJ[Ofc Code]=(TRIM(F$7)))*(GJ[Account Code]=(TRIM($D28))),GJ[Debit]))))</f>
        <v>0</v>
      </c>
      <c r="G28" s="211">
        <f t="array" ref="G28">((SUM(IF((CkDJ[Ofc Code]=(TRIM(G$7)))*(CkDJ[Account Code]=(TRIM($D28))),CkDJ[Credit])))+(SUM(IF((CsDJ[Ofc Code]=(TRIM(G$7)))*(CsDJ[Account Code]=(TRIM($D28))),CsDJ[Credit])))+(SUM(IF((CRDJ[Ofc Code]=(TRIM(G$7)))*(CRDJ[Account Code]=(TRIM($D28))),CRDJ[Credit])))+(SUM(IF((GJ[Ofc Code]=(TRIM(G$7)))*(GJ[Account Code]=(TRIM($D28))),GJ[Credit]))))-((SUM(IF((CkDJ[Ofc Code]=(TRIM(G$7)))*(CkDJ[Account Code]=(TRIM($D28))),CkDJ[Debit])))+(SUM(IF((CsDJ[Ofc Code]=(TRIM(G$7)))*(CsDJ[Account Code]=(TRIM($D28))),CsDJ[Debit])))+(SUM(IF((CRDJ[Ofc Code]=(TRIM(G$7)))*(CRDJ[Account Code]=(TRIM($D28))),CRDJ[Debit])))+(SUM(IF((GJ[Ofc Code]=(TRIM(G$7)))*(GJ[Account Code]=(TRIM($D28))),GJ[Debit]))))</f>
        <v>0</v>
      </c>
      <c r="H28" s="211">
        <f t="array" ref="H28">((SUM(IF((CkDJ[Ofc Code]=(TRIM(H$7)))*(CkDJ[Account Code]=(TRIM($D28))),CkDJ[Credit])))+(SUM(IF((CsDJ[Ofc Code]=(TRIM(H$7)))*(CsDJ[Account Code]=(TRIM($D28))),CsDJ[Credit])))+(SUM(IF((CRDJ[Ofc Code]=(TRIM(H$7)))*(CRDJ[Account Code]=(TRIM($D28))),CRDJ[Credit])))+(SUM(IF((GJ[Ofc Code]=(TRIM(H$7)))*(GJ[Account Code]=(TRIM($D28))),GJ[Credit]))))-((SUM(IF((CkDJ[Ofc Code]=(TRIM(H$7)))*(CkDJ[Account Code]=(TRIM($D28))),CkDJ[Debit])))+(SUM(IF((CsDJ[Ofc Code]=(TRIM(H$7)))*(CsDJ[Account Code]=(TRIM($D28))),CsDJ[Debit])))+(SUM(IF((CRDJ[Ofc Code]=(TRIM(H$7)))*(CRDJ[Account Code]=(TRIM($D28))),CRDJ[Debit])))+(SUM(IF((GJ[Ofc Code]=(TRIM(H$7)))*(GJ[Account Code]=(TRIM($D28))),GJ[Debit]))))</f>
        <v>0</v>
      </c>
      <c r="I28" s="211">
        <f t="array" ref="I28">((SUM(IF((CkDJ[Ofc Code]=(TRIM(I$7)))*(CkDJ[Account Code]=(TRIM($D28))),CkDJ[Credit])))+(SUM(IF((CsDJ[Ofc Code]=(TRIM(I$7)))*(CsDJ[Account Code]=(TRIM($D28))),CsDJ[Credit])))+(SUM(IF((CRDJ[Ofc Code]=(TRIM(I$7)))*(CRDJ[Account Code]=(TRIM($D28))),CRDJ[Credit])))+(SUM(IF((GJ[Ofc Code]=(TRIM(I$7)))*(GJ[Account Code]=(TRIM($D28))),GJ[Credit]))))-((SUM(IF((CkDJ[Ofc Code]=(TRIM(I$7)))*(CkDJ[Account Code]=(TRIM($D28))),CkDJ[Debit])))+(SUM(IF((CsDJ[Ofc Code]=(TRIM(I$7)))*(CsDJ[Account Code]=(TRIM($D28))),CsDJ[Debit])))+(SUM(IF((CRDJ[Ofc Code]=(TRIM(I$7)))*(CRDJ[Account Code]=(TRIM($D28))),CRDJ[Debit])))+(SUM(IF((GJ[Ofc Code]=(TRIM(I$7)))*(GJ[Account Code]=(TRIM($D28))),GJ[Debit]))))</f>
        <v>0</v>
      </c>
      <c r="J28" s="211">
        <f t="shared" si="1"/>
        <v>0</v>
      </c>
      <c r="K28" s="211">
        <f t="array" ref="K28">((SUM(IF((CkDJ[Ofc Code]=(TRIM(K$7)))*(CkDJ[Account Code]=(TRIM($D28))),CkDJ[Credit])))+(SUM(IF((CsDJ[Ofc Code]=(TRIM(K$7)))*(CsDJ[Account Code]=(TRIM($D28))),CsDJ[Credit])))+(SUM(IF((CRDJ[Ofc Code]=(TRIM(K$7)))*(CRDJ[Account Code]=(TRIM($D28))),CRDJ[Credit])))+(SUM(IF((GJ[Ofc Code]=(TRIM(K$7)))*(GJ[Account Code]=(TRIM($D28))),GJ[Credit]))))-((SUM(IF((CkDJ[Ofc Code]=(TRIM(K$7)))*(CkDJ[Account Code]=(TRIM($D28))),CkDJ[Debit])))+(SUM(IF((CsDJ[Ofc Code]=(TRIM(K$7)))*(CsDJ[Account Code]=(TRIM($D28))),CsDJ[Debit])))+(SUM(IF((CRDJ[Ofc Code]=(TRIM(K$7)))*(CRDJ[Account Code]=(TRIM($D28))),CRDJ[Debit])))+(SUM(IF((GJ[Ofc Code]=(TRIM(K$7)))*(GJ[Account Code]=(TRIM($D28))),GJ[Debit]))))</f>
        <v>0</v>
      </c>
      <c r="L28" s="211">
        <f t="array" ref="L28">((SUM(IF((CkDJ[Ofc Code]=(TRIM(L$7)))*(CkDJ[Account Code]=(TRIM($D28))),CkDJ[Credit])))+(SUM(IF((CsDJ[Ofc Code]=(TRIM(L$7)))*(CsDJ[Account Code]=(TRIM($D28))),CsDJ[Credit])))+(SUM(IF((CRDJ[Ofc Code]=(TRIM(L$7)))*(CRDJ[Account Code]=(TRIM($D28))),CRDJ[Credit])))+(SUM(IF((GJ[Ofc Code]=(TRIM(L$7)))*(GJ[Account Code]=(TRIM($D28))),GJ[Credit]))))-((SUM(IF((CkDJ[Ofc Code]=(TRIM(L$7)))*(CkDJ[Account Code]=(TRIM($D28))),CkDJ[Debit])))+(SUM(IF((CsDJ[Ofc Code]=(TRIM(L$7)))*(CsDJ[Account Code]=(TRIM($D28))),CsDJ[Debit])))+(SUM(IF((CRDJ[Ofc Code]=(TRIM(L$7)))*(CRDJ[Account Code]=(TRIM($D28))),CRDJ[Debit])))+(SUM(IF((GJ[Ofc Code]=(TRIM(L$7)))*(GJ[Account Code]=(TRIM($D28))),GJ[Debit]))))</f>
        <v>0</v>
      </c>
      <c r="M28" s="211">
        <f t="array" ref="M28">((SUM(IF((CkDJ[Ofc Code]=(TRIM(M$7)))*(CkDJ[Account Code]=(TRIM($D28))),CkDJ[Credit])))+(SUM(IF((CsDJ[Ofc Code]=(TRIM(M$7)))*(CsDJ[Account Code]=(TRIM($D28))),CsDJ[Credit])))+(SUM(IF((CRDJ[Ofc Code]=(TRIM(M$7)))*(CRDJ[Account Code]=(TRIM($D28))),CRDJ[Credit])))+(SUM(IF((GJ[Ofc Code]=(TRIM(M$7)))*(GJ[Account Code]=(TRIM($D28))),GJ[Credit]))))-((SUM(IF((CkDJ[Ofc Code]=(TRIM(M$7)))*(CkDJ[Account Code]=(TRIM($D28))),CkDJ[Debit])))+(SUM(IF((CsDJ[Ofc Code]=(TRIM(M$7)))*(CsDJ[Account Code]=(TRIM($D28))),CsDJ[Debit])))+(SUM(IF((CRDJ[Ofc Code]=(TRIM(M$7)))*(CRDJ[Account Code]=(TRIM($D28))),CRDJ[Debit])))+(SUM(IF((GJ[Ofc Code]=(TRIM(M$7)))*(GJ[Account Code]=(TRIM($D28))),GJ[Debit]))))</f>
        <v>0</v>
      </c>
      <c r="N28" s="211">
        <f t="array" ref="N28">((SUM(IF((CkDJ[Ofc Code]=(TRIM(N$7)))*(CkDJ[Account Code]=(TRIM($D28))),CkDJ[Credit])))+(SUM(IF((CsDJ[Ofc Code]=(TRIM(N$7)))*(CsDJ[Account Code]=(TRIM($D28))),CsDJ[Credit])))+(SUM(IF((CRDJ[Ofc Code]=(TRIM(N$7)))*(CRDJ[Account Code]=(TRIM($D28))),CRDJ[Credit])))+(SUM(IF((GJ[Ofc Code]=(TRIM(N$7)))*(GJ[Account Code]=(TRIM($D28))),GJ[Credit]))))-((SUM(IF((CkDJ[Ofc Code]=(TRIM(N$7)))*(CkDJ[Account Code]=(TRIM($D28))),CkDJ[Debit])))+(SUM(IF((CsDJ[Ofc Code]=(TRIM(N$7)))*(CsDJ[Account Code]=(TRIM($D28))),CsDJ[Debit])))+(SUM(IF((CRDJ[Ofc Code]=(TRIM(N$7)))*(CRDJ[Account Code]=(TRIM($D28))),CRDJ[Debit])))+(SUM(IF((GJ[Ofc Code]=(TRIM(N$7)))*(GJ[Account Code]=(TRIM($D28))),GJ[Debit]))))</f>
        <v>0</v>
      </c>
      <c r="O28" s="211">
        <f t="shared" si="2"/>
        <v>0</v>
      </c>
      <c r="P28" s="211">
        <f t="array" ref="P28">((SUM(IF((CkDJ[Ofc Code]=(TRIM(P$7)))*(CkDJ[Account Code]=(TRIM($D28))),CkDJ[Credit])))+(SUM(IF((CsDJ[Ofc Code]=(TRIM(P$7)))*(CsDJ[Account Code]=(TRIM($D28))),CsDJ[Credit])))+(SUM(IF((CRDJ[Ofc Code]=(TRIM(P$7)))*(CRDJ[Account Code]=(TRIM($D28))),CRDJ[Credit])))+(SUM(IF((GJ[Ofc Code]=(TRIM(P$7)))*(GJ[Account Code]=(TRIM($D28))),GJ[Credit]))))-((SUM(IF((CkDJ[Ofc Code]=(TRIM(P$7)))*(CkDJ[Account Code]=(TRIM($D28))),CkDJ[Debit])))+(SUM(IF((CsDJ[Ofc Code]=(TRIM(P$7)))*(CsDJ[Account Code]=(TRIM($D28))),CsDJ[Debit])))+(SUM(IF((CRDJ[Ofc Code]=(TRIM(P$7)))*(CRDJ[Account Code]=(TRIM($D28))),CRDJ[Debit])))+(SUM(IF((GJ[Ofc Code]=(TRIM(P$7)))*(GJ[Account Code]=(TRIM($D28))),GJ[Debit]))))</f>
        <v>0</v>
      </c>
      <c r="Q28" s="211">
        <f t="array" ref="Q28">((SUM(IF((CkDJ[Ofc Code]=(TRIM(Q$7)))*(CkDJ[Account Code]=(TRIM($D28))),CkDJ[Credit])))+(SUM(IF((CsDJ[Ofc Code]=(TRIM(Q$7)))*(CsDJ[Account Code]=(TRIM($D28))),CsDJ[Credit])))+(SUM(IF((CRDJ[Ofc Code]=(TRIM(Q$7)))*(CRDJ[Account Code]=(TRIM($D28))),CRDJ[Credit])))+(SUM(IF((GJ[Ofc Code]=(TRIM(Q$7)))*(GJ[Account Code]=(TRIM($D28))),GJ[Credit]))))-((SUM(IF((CkDJ[Ofc Code]=(TRIM(Q$7)))*(CkDJ[Account Code]=(TRIM($D28))),CkDJ[Debit])))+(SUM(IF((CsDJ[Ofc Code]=(TRIM(Q$7)))*(CsDJ[Account Code]=(TRIM($D28))),CsDJ[Debit])))+(SUM(IF((CRDJ[Ofc Code]=(TRIM(Q$7)))*(CRDJ[Account Code]=(TRIM($D28))),CRDJ[Debit])))+(SUM(IF((GJ[Ofc Code]=(TRIM(Q$7)))*(GJ[Account Code]=(TRIM($D28))),GJ[Debit]))))</f>
        <v>0</v>
      </c>
      <c r="R28" s="211">
        <f t="array" ref="R28">((SUM(IF((CkDJ[Ofc Code]=(TRIM(R$7)))*(CkDJ[Account Code]=(TRIM($D28))),CkDJ[Credit])))+(SUM(IF((CsDJ[Ofc Code]=(TRIM(R$7)))*(CsDJ[Account Code]=(TRIM($D28))),CsDJ[Credit])))+(SUM(IF((CRDJ[Ofc Code]=(TRIM(R$7)))*(CRDJ[Account Code]=(TRIM($D28))),CRDJ[Credit])))+(SUM(IF((GJ[Ofc Code]=(TRIM(R$7)))*(GJ[Account Code]=(TRIM($D28))),GJ[Credit]))))-((SUM(IF((CkDJ[Ofc Code]=(TRIM(R$7)))*(CkDJ[Account Code]=(TRIM($D28))),CkDJ[Debit])))+(SUM(IF((CsDJ[Ofc Code]=(TRIM(R$7)))*(CsDJ[Account Code]=(TRIM($D28))),CsDJ[Debit])))+(SUM(IF((CRDJ[Ofc Code]=(TRIM(R$7)))*(CRDJ[Account Code]=(TRIM($D28))),CRDJ[Debit])))+(SUM(IF((GJ[Ofc Code]=(TRIM(R$7)))*(GJ[Account Code]=(TRIM($D28))),GJ[Debit]))))</f>
        <v>0</v>
      </c>
      <c r="S28" s="211">
        <f t="array" ref="S28">((SUM(IF((CkDJ[Ofc Code]=(TRIM(S$7)))*(CkDJ[Account Code]=(TRIM($D28))),CkDJ[Credit])))+(SUM(IF((CsDJ[Ofc Code]=(TRIM(S$7)))*(CsDJ[Account Code]=(TRIM($D28))),CsDJ[Credit])))+(SUM(IF((CRDJ[Ofc Code]=(TRIM(S$7)))*(CRDJ[Account Code]=(TRIM($D28))),CRDJ[Credit])))+(SUM(IF((GJ[Ofc Code]=(TRIM(S$7)))*(GJ[Account Code]=(TRIM($D28))),GJ[Credit]))))-((SUM(IF((CkDJ[Ofc Code]=(TRIM(S$7)))*(CkDJ[Account Code]=(TRIM($D28))),CkDJ[Debit])))+(SUM(IF((CsDJ[Ofc Code]=(TRIM(S$7)))*(CsDJ[Account Code]=(TRIM($D28))),CsDJ[Debit])))+(SUM(IF((CRDJ[Ofc Code]=(TRIM(S$7)))*(CRDJ[Account Code]=(TRIM($D28))),CRDJ[Debit])))+(SUM(IF((GJ[Ofc Code]=(TRIM(S$7)))*(GJ[Account Code]=(TRIM($D28))),GJ[Debit]))))</f>
        <v>0</v>
      </c>
      <c r="T28" s="211">
        <f t="array" ref="T28">((SUM(IF((CkDJ[Ofc Code]=(TRIM(T$7)))*(CkDJ[Account Code]=(TRIM($D28))),CkDJ[Credit])))+(SUM(IF((CsDJ[Ofc Code]=(TRIM(T$7)))*(CsDJ[Account Code]=(TRIM($D28))),CsDJ[Credit])))+(SUM(IF((CRDJ[Ofc Code]=(TRIM(T$7)))*(CRDJ[Account Code]=(TRIM($D28))),CRDJ[Credit])))+(SUM(IF((GJ[Ofc Code]=(TRIM(T$7)))*(GJ[Account Code]=(TRIM($D28))),GJ[Credit]))))-((SUM(IF((CkDJ[Ofc Code]=(TRIM(T$7)))*(CkDJ[Account Code]=(TRIM($D28))),CkDJ[Debit])))+(SUM(IF((CsDJ[Ofc Code]=(TRIM(T$7)))*(CsDJ[Account Code]=(TRIM($D28))),CsDJ[Debit])))+(SUM(IF((CRDJ[Ofc Code]=(TRIM(T$7)))*(CRDJ[Account Code]=(TRIM($D28))),CRDJ[Debit])))+(SUM(IF((GJ[Ofc Code]=(TRIM(T$7)))*(GJ[Account Code]=(TRIM($D28))),GJ[Debit]))))</f>
        <v>0</v>
      </c>
      <c r="U28" s="211">
        <f t="shared" si="3"/>
        <v>0</v>
      </c>
      <c r="V28" s="211">
        <f t="shared" si="4"/>
        <v>0</v>
      </c>
    </row>
    <row r="29" spans="1:22" ht="15" x14ac:dyDescent="0.25">
      <c r="A29" s="212">
        <f t="shared" si="5"/>
        <v>21</v>
      </c>
      <c r="B29" s="194"/>
      <c r="C29" s="194" t="str">
        <f>IF(D29=0,"",(VLOOKUP((TRIM(D29)),Code,2,)))</f>
        <v>Sale of Unserviceable Property</v>
      </c>
      <c r="D29" s="207" t="s">
        <v>156</v>
      </c>
      <c r="E29" s="211">
        <f t="array" ref="E29">((SUM(IF((CkDJ[Ofc Code]=(TRIM(E$7)))*(CkDJ[Account Code]=(TRIM($D29))),CkDJ[Credit])))+(SUM(IF((CsDJ[Ofc Code]=(TRIM(E$7)))*(CsDJ[Account Code]=(TRIM($D29))),CsDJ[Credit])))+(SUM(IF((CRDJ[Ofc Code]=(TRIM(E$7)))*(CRDJ[Account Code]=(TRIM($D29))),CRDJ[Credit])))+(SUM(IF((GJ[Ofc Code]=(TRIM(E$7)))*(GJ[Account Code]=(TRIM($D29))),GJ[Credit]))))-((SUM(IF((CkDJ[Ofc Code]=(TRIM(E$7)))*(CkDJ[Account Code]=(TRIM($D29))),CkDJ[Debit])))+(SUM(IF((CsDJ[Ofc Code]=(TRIM(E$7)))*(CsDJ[Account Code]=(TRIM($D29))),CsDJ[Debit])))+(SUM(IF((CRDJ[Ofc Code]=(TRIM(E$7)))*(CRDJ[Account Code]=(TRIM($D29))),CRDJ[Debit])))+(SUM(IF((GJ[Ofc Code]=(TRIM(E$7)))*(GJ[Account Code]=(TRIM($D29))),GJ[Debit]))))</f>
        <v>0</v>
      </c>
      <c r="F29" s="211">
        <f t="array" ref="F29">((SUM(IF((CkDJ[Ofc Code]=(TRIM(F$7)))*(CkDJ[Account Code]=(TRIM($D29))),CkDJ[Credit])))+(SUM(IF((CsDJ[Ofc Code]=(TRIM(F$7)))*(CsDJ[Account Code]=(TRIM($D29))),CsDJ[Credit])))+(SUM(IF((CRDJ[Ofc Code]=(TRIM(F$7)))*(CRDJ[Account Code]=(TRIM($D29))),CRDJ[Credit])))+(SUM(IF((GJ[Ofc Code]=(TRIM(F$7)))*(GJ[Account Code]=(TRIM($D29))),GJ[Credit]))))-((SUM(IF((CkDJ[Ofc Code]=(TRIM(F$7)))*(CkDJ[Account Code]=(TRIM($D29))),CkDJ[Debit])))+(SUM(IF((CsDJ[Ofc Code]=(TRIM(F$7)))*(CsDJ[Account Code]=(TRIM($D29))),CsDJ[Debit])))+(SUM(IF((CRDJ[Ofc Code]=(TRIM(F$7)))*(CRDJ[Account Code]=(TRIM($D29))),CRDJ[Debit])))+(SUM(IF((GJ[Ofc Code]=(TRIM(F$7)))*(GJ[Account Code]=(TRIM($D29))),GJ[Debit]))))</f>
        <v>0</v>
      </c>
      <c r="G29" s="211">
        <f t="array" ref="G29">((SUM(IF((CkDJ[Ofc Code]=(TRIM(G$7)))*(CkDJ[Account Code]=(TRIM($D29))),CkDJ[Credit])))+(SUM(IF((CsDJ[Ofc Code]=(TRIM(G$7)))*(CsDJ[Account Code]=(TRIM($D29))),CsDJ[Credit])))+(SUM(IF((CRDJ[Ofc Code]=(TRIM(G$7)))*(CRDJ[Account Code]=(TRIM($D29))),CRDJ[Credit])))+(SUM(IF((GJ[Ofc Code]=(TRIM(G$7)))*(GJ[Account Code]=(TRIM($D29))),GJ[Credit]))))-((SUM(IF((CkDJ[Ofc Code]=(TRIM(G$7)))*(CkDJ[Account Code]=(TRIM($D29))),CkDJ[Debit])))+(SUM(IF((CsDJ[Ofc Code]=(TRIM(G$7)))*(CsDJ[Account Code]=(TRIM($D29))),CsDJ[Debit])))+(SUM(IF((CRDJ[Ofc Code]=(TRIM(G$7)))*(CRDJ[Account Code]=(TRIM($D29))),CRDJ[Debit])))+(SUM(IF((GJ[Ofc Code]=(TRIM(G$7)))*(GJ[Account Code]=(TRIM($D29))),GJ[Debit]))))</f>
        <v>0</v>
      </c>
      <c r="H29" s="211">
        <f t="array" ref="H29">((SUM(IF((CkDJ[Ofc Code]=(TRIM(H$7)))*(CkDJ[Account Code]=(TRIM($D29))),CkDJ[Credit])))+(SUM(IF((CsDJ[Ofc Code]=(TRIM(H$7)))*(CsDJ[Account Code]=(TRIM($D29))),CsDJ[Credit])))+(SUM(IF((CRDJ[Ofc Code]=(TRIM(H$7)))*(CRDJ[Account Code]=(TRIM($D29))),CRDJ[Credit])))+(SUM(IF((GJ[Ofc Code]=(TRIM(H$7)))*(GJ[Account Code]=(TRIM($D29))),GJ[Credit]))))-((SUM(IF((CkDJ[Ofc Code]=(TRIM(H$7)))*(CkDJ[Account Code]=(TRIM($D29))),CkDJ[Debit])))+(SUM(IF((CsDJ[Ofc Code]=(TRIM(H$7)))*(CsDJ[Account Code]=(TRIM($D29))),CsDJ[Debit])))+(SUM(IF((CRDJ[Ofc Code]=(TRIM(H$7)))*(CRDJ[Account Code]=(TRIM($D29))),CRDJ[Debit])))+(SUM(IF((GJ[Ofc Code]=(TRIM(H$7)))*(GJ[Account Code]=(TRIM($D29))),GJ[Debit]))))</f>
        <v>0</v>
      </c>
      <c r="I29" s="211">
        <f t="array" ref="I29">((SUM(IF((CkDJ[Ofc Code]=(TRIM(I$7)))*(CkDJ[Account Code]=(TRIM($D29))),CkDJ[Credit])))+(SUM(IF((CsDJ[Ofc Code]=(TRIM(I$7)))*(CsDJ[Account Code]=(TRIM($D29))),CsDJ[Credit])))+(SUM(IF((CRDJ[Ofc Code]=(TRIM(I$7)))*(CRDJ[Account Code]=(TRIM($D29))),CRDJ[Credit])))+(SUM(IF((GJ[Ofc Code]=(TRIM(I$7)))*(GJ[Account Code]=(TRIM($D29))),GJ[Credit]))))-((SUM(IF((CkDJ[Ofc Code]=(TRIM(I$7)))*(CkDJ[Account Code]=(TRIM($D29))),CkDJ[Debit])))+(SUM(IF((CsDJ[Ofc Code]=(TRIM(I$7)))*(CsDJ[Account Code]=(TRIM($D29))),CsDJ[Debit])))+(SUM(IF((CRDJ[Ofc Code]=(TRIM(I$7)))*(CRDJ[Account Code]=(TRIM($D29))),CRDJ[Debit])))+(SUM(IF((GJ[Ofc Code]=(TRIM(I$7)))*(GJ[Account Code]=(TRIM($D29))),GJ[Debit]))))</f>
        <v>0</v>
      </c>
      <c r="J29" s="211">
        <f>SUM(F29:I29)</f>
        <v>0</v>
      </c>
      <c r="K29" s="211">
        <f t="array" ref="K29">((SUM(IF((CkDJ[Ofc Code]=(TRIM(K$7)))*(CkDJ[Account Code]=(TRIM($D29))),CkDJ[Credit])))+(SUM(IF((CsDJ[Ofc Code]=(TRIM(K$7)))*(CsDJ[Account Code]=(TRIM($D29))),CsDJ[Credit])))+(SUM(IF((CRDJ[Ofc Code]=(TRIM(K$7)))*(CRDJ[Account Code]=(TRIM($D29))),CRDJ[Credit])))+(SUM(IF((GJ[Ofc Code]=(TRIM(K$7)))*(GJ[Account Code]=(TRIM($D29))),GJ[Credit]))))-((SUM(IF((CkDJ[Ofc Code]=(TRIM(K$7)))*(CkDJ[Account Code]=(TRIM($D29))),CkDJ[Debit])))+(SUM(IF((CsDJ[Ofc Code]=(TRIM(K$7)))*(CsDJ[Account Code]=(TRIM($D29))),CsDJ[Debit])))+(SUM(IF((CRDJ[Ofc Code]=(TRIM(K$7)))*(CRDJ[Account Code]=(TRIM($D29))),CRDJ[Debit])))+(SUM(IF((GJ[Ofc Code]=(TRIM(K$7)))*(GJ[Account Code]=(TRIM($D29))),GJ[Debit]))))</f>
        <v>0</v>
      </c>
      <c r="L29" s="211">
        <f t="array" ref="L29">((SUM(IF((CkDJ[Ofc Code]=(TRIM(L$7)))*(CkDJ[Account Code]=(TRIM($D29))),CkDJ[Credit])))+(SUM(IF((CsDJ[Ofc Code]=(TRIM(L$7)))*(CsDJ[Account Code]=(TRIM($D29))),CsDJ[Credit])))+(SUM(IF((CRDJ[Ofc Code]=(TRIM(L$7)))*(CRDJ[Account Code]=(TRIM($D29))),CRDJ[Credit])))+(SUM(IF((GJ[Ofc Code]=(TRIM(L$7)))*(GJ[Account Code]=(TRIM($D29))),GJ[Credit]))))-((SUM(IF((CkDJ[Ofc Code]=(TRIM(L$7)))*(CkDJ[Account Code]=(TRIM($D29))),CkDJ[Debit])))+(SUM(IF((CsDJ[Ofc Code]=(TRIM(L$7)))*(CsDJ[Account Code]=(TRIM($D29))),CsDJ[Debit])))+(SUM(IF((CRDJ[Ofc Code]=(TRIM(L$7)))*(CRDJ[Account Code]=(TRIM($D29))),CRDJ[Debit])))+(SUM(IF((GJ[Ofc Code]=(TRIM(L$7)))*(GJ[Account Code]=(TRIM($D29))),GJ[Debit]))))</f>
        <v>0</v>
      </c>
      <c r="M29" s="211">
        <f t="array" ref="M29">((SUM(IF((CkDJ[Ofc Code]=(TRIM(M$7)))*(CkDJ[Account Code]=(TRIM($D29))),CkDJ[Credit])))+(SUM(IF((CsDJ[Ofc Code]=(TRIM(M$7)))*(CsDJ[Account Code]=(TRIM($D29))),CsDJ[Credit])))+(SUM(IF((CRDJ[Ofc Code]=(TRIM(M$7)))*(CRDJ[Account Code]=(TRIM($D29))),CRDJ[Credit])))+(SUM(IF((GJ[Ofc Code]=(TRIM(M$7)))*(GJ[Account Code]=(TRIM($D29))),GJ[Credit]))))-((SUM(IF((CkDJ[Ofc Code]=(TRIM(M$7)))*(CkDJ[Account Code]=(TRIM($D29))),CkDJ[Debit])))+(SUM(IF((CsDJ[Ofc Code]=(TRIM(M$7)))*(CsDJ[Account Code]=(TRIM($D29))),CsDJ[Debit])))+(SUM(IF((CRDJ[Ofc Code]=(TRIM(M$7)))*(CRDJ[Account Code]=(TRIM($D29))),CRDJ[Debit])))+(SUM(IF((GJ[Ofc Code]=(TRIM(M$7)))*(GJ[Account Code]=(TRIM($D29))),GJ[Debit]))))</f>
        <v>0</v>
      </c>
      <c r="N29" s="211">
        <f t="array" ref="N29">((SUM(IF((CkDJ[Ofc Code]=(TRIM(N$7)))*(CkDJ[Account Code]=(TRIM($D29))),CkDJ[Credit])))+(SUM(IF((CsDJ[Ofc Code]=(TRIM(N$7)))*(CsDJ[Account Code]=(TRIM($D29))),CsDJ[Credit])))+(SUM(IF((CRDJ[Ofc Code]=(TRIM(N$7)))*(CRDJ[Account Code]=(TRIM($D29))),CRDJ[Credit])))+(SUM(IF((GJ[Ofc Code]=(TRIM(N$7)))*(GJ[Account Code]=(TRIM($D29))),GJ[Credit]))))-((SUM(IF((CkDJ[Ofc Code]=(TRIM(N$7)))*(CkDJ[Account Code]=(TRIM($D29))),CkDJ[Debit])))+(SUM(IF((CsDJ[Ofc Code]=(TRIM(N$7)))*(CsDJ[Account Code]=(TRIM($D29))),CsDJ[Debit])))+(SUM(IF((CRDJ[Ofc Code]=(TRIM(N$7)))*(CRDJ[Account Code]=(TRIM($D29))),CRDJ[Debit])))+(SUM(IF((GJ[Ofc Code]=(TRIM(N$7)))*(GJ[Account Code]=(TRIM($D29))),GJ[Debit]))))</f>
        <v>0</v>
      </c>
      <c r="O29" s="211">
        <f>SUM(K29:N29)</f>
        <v>0</v>
      </c>
      <c r="P29" s="211">
        <f t="array" ref="P29">((SUM(IF((CkDJ[Ofc Code]=(TRIM(P$7)))*(CkDJ[Account Code]=(TRIM($D29))),CkDJ[Credit])))+(SUM(IF((CsDJ[Ofc Code]=(TRIM(P$7)))*(CsDJ[Account Code]=(TRIM($D29))),CsDJ[Credit])))+(SUM(IF((CRDJ[Ofc Code]=(TRIM(P$7)))*(CRDJ[Account Code]=(TRIM($D29))),CRDJ[Credit])))+(SUM(IF((GJ[Ofc Code]=(TRIM(P$7)))*(GJ[Account Code]=(TRIM($D29))),GJ[Credit]))))-((SUM(IF((CkDJ[Ofc Code]=(TRIM(P$7)))*(CkDJ[Account Code]=(TRIM($D29))),CkDJ[Debit])))+(SUM(IF((CsDJ[Ofc Code]=(TRIM(P$7)))*(CsDJ[Account Code]=(TRIM($D29))),CsDJ[Debit])))+(SUM(IF((CRDJ[Ofc Code]=(TRIM(P$7)))*(CRDJ[Account Code]=(TRIM($D29))),CRDJ[Debit])))+(SUM(IF((GJ[Ofc Code]=(TRIM(P$7)))*(GJ[Account Code]=(TRIM($D29))),GJ[Debit]))))</f>
        <v>0</v>
      </c>
      <c r="Q29" s="211">
        <f t="array" ref="Q29">((SUM(IF((CkDJ[Ofc Code]=(TRIM(Q$7)))*(CkDJ[Account Code]=(TRIM($D29))),CkDJ[Credit])))+(SUM(IF((CsDJ[Ofc Code]=(TRIM(Q$7)))*(CsDJ[Account Code]=(TRIM($D29))),CsDJ[Credit])))+(SUM(IF((CRDJ[Ofc Code]=(TRIM(Q$7)))*(CRDJ[Account Code]=(TRIM($D29))),CRDJ[Credit])))+(SUM(IF((GJ[Ofc Code]=(TRIM(Q$7)))*(GJ[Account Code]=(TRIM($D29))),GJ[Credit]))))-((SUM(IF((CkDJ[Ofc Code]=(TRIM(Q$7)))*(CkDJ[Account Code]=(TRIM($D29))),CkDJ[Debit])))+(SUM(IF((CsDJ[Ofc Code]=(TRIM(Q$7)))*(CsDJ[Account Code]=(TRIM($D29))),CsDJ[Debit])))+(SUM(IF((CRDJ[Ofc Code]=(TRIM(Q$7)))*(CRDJ[Account Code]=(TRIM($D29))),CRDJ[Debit])))+(SUM(IF((GJ[Ofc Code]=(TRIM(Q$7)))*(GJ[Account Code]=(TRIM($D29))),GJ[Debit]))))</f>
        <v>0</v>
      </c>
      <c r="R29" s="211">
        <f t="array" ref="R29">((SUM(IF((CkDJ[Ofc Code]=(TRIM(R$7)))*(CkDJ[Account Code]=(TRIM($D29))),CkDJ[Credit])))+(SUM(IF((CsDJ[Ofc Code]=(TRIM(R$7)))*(CsDJ[Account Code]=(TRIM($D29))),CsDJ[Credit])))+(SUM(IF((CRDJ[Ofc Code]=(TRIM(R$7)))*(CRDJ[Account Code]=(TRIM($D29))),CRDJ[Credit])))+(SUM(IF((GJ[Ofc Code]=(TRIM(R$7)))*(GJ[Account Code]=(TRIM($D29))),GJ[Credit]))))-((SUM(IF((CkDJ[Ofc Code]=(TRIM(R$7)))*(CkDJ[Account Code]=(TRIM($D29))),CkDJ[Debit])))+(SUM(IF((CsDJ[Ofc Code]=(TRIM(R$7)))*(CsDJ[Account Code]=(TRIM($D29))),CsDJ[Debit])))+(SUM(IF((CRDJ[Ofc Code]=(TRIM(R$7)))*(CRDJ[Account Code]=(TRIM($D29))),CRDJ[Debit])))+(SUM(IF((GJ[Ofc Code]=(TRIM(R$7)))*(GJ[Account Code]=(TRIM($D29))),GJ[Debit]))))</f>
        <v>0</v>
      </c>
      <c r="S29" s="211">
        <f t="array" ref="S29">((SUM(IF((CkDJ[Ofc Code]=(TRIM(S$7)))*(CkDJ[Account Code]=(TRIM($D29))),CkDJ[Credit])))+(SUM(IF((CsDJ[Ofc Code]=(TRIM(S$7)))*(CsDJ[Account Code]=(TRIM($D29))),CsDJ[Credit])))+(SUM(IF((CRDJ[Ofc Code]=(TRIM(S$7)))*(CRDJ[Account Code]=(TRIM($D29))),CRDJ[Credit])))+(SUM(IF((GJ[Ofc Code]=(TRIM(S$7)))*(GJ[Account Code]=(TRIM($D29))),GJ[Credit]))))-((SUM(IF((CkDJ[Ofc Code]=(TRIM(S$7)))*(CkDJ[Account Code]=(TRIM($D29))),CkDJ[Debit])))+(SUM(IF((CsDJ[Ofc Code]=(TRIM(S$7)))*(CsDJ[Account Code]=(TRIM($D29))),CsDJ[Debit])))+(SUM(IF((CRDJ[Ofc Code]=(TRIM(S$7)))*(CRDJ[Account Code]=(TRIM($D29))),CRDJ[Debit])))+(SUM(IF((GJ[Ofc Code]=(TRIM(S$7)))*(GJ[Account Code]=(TRIM($D29))),GJ[Debit]))))</f>
        <v>0</v>
      </c>
      <c r="T29" s="211">
        <f t="array" ref="T29">((SUM(IF((CkDJ[Ofc Code]=(TRIM(T$7)))*(CkDJ[Account Code]=(TRIM($D29))),CkDJ[Credit])))+(SUM(IF((CsDJ[Ofc Code]=(TRIM(T$7)))*(CsDJ[Account Code]=(TRIM($D29))),CsDJ[Credit])))+(SUM(IF((CRDJ[Ofc Code]=(TRIM(T$7)))*(CRDJ[Account Code]=(TRIM($D29))),CRDJ[Credit])))+(SUM(IF((GJ[Ofc Code]=(TRIM(T$7)))*(GJ[Account Code]=(TRIM($D29))),GJ[Credit]))))-((SUM(IF((CkDJ[Ofc Code]=(TRIM(T$7)))*(CkDJ[Account Code]=(TRIM($D29))),CkDJ[Debit])))+(SUM(IF((CsDJ[Ofc Code]=(TRIM(T$7)))*(CsDJ[Account Code]=(TRIM($D29))),CsDJ[Debit])))+(SUM(IF((CRDJ[Ofc Code]=(TRIM(T$7)))*(CRDJ[Account Code]=(TRIM($D29))),CRDJ[Debit])))+(SUM(IF((GJ[Ofc Code]=(TRIM(T$7)))*(GJ[Account Code]=(TRIM($D29))),GJ[Debit]))))</f>
        <v>0</v>
      </c>
      <c r="U29" s="211">
        <f>SUM(P29:T29)</f>
        <v>0</v>
      </c>
      <c r="V29" s="211">
        <f>E29+J29+O29+U29</f>
        <v>0</v>
      </c>
    </row>
    <row r="30" spans="1:22" ht="15" x14ac:dyDescent="0.25">
      <c r="A30" s="212">
        <f t="shared" si="5"/>
        <v>22</v>
      </c>
      <c r="B30" s="194"/>
      <c r="C30" s="194" t="e">
        <f t="shared" si="0"/>
        <v>#N/A</v>
      </c>
      <c r="D30" s="207" t="s">
        <v>157</v>
      </c>
      <c r="E30" s="211">
        <f t="array" ref="E30">((SUM(IF((CkDJ[Ofc Code]=(TRIM(E$7)))*(CkDJ[Account Code]=(TRIM($D30))),CkDJ[Credit])))+(SUM(IF((CsDJ[Ofc Code]=(TRIM(E$7)))*(CsDJ[Account Code]=(TRIM($D30))),CsDJ[Credit])))+(SUM(IF((CRDJ[Ofc Code]=(TRIM(E$7)))*(CRDJ[Account Code]=(TRIM($D30))),CRDJ[Credit])))+(SUM(IF((GJ[Ofc Code]=(TRIM(E$7)))*(GJ[Account Code]=(TRIM($D30))),GJ[Credit]))))-((SUM(IF((CkDJ[Ofc Code]=(TRIM(E$7)))*(CkDJ[Account Code]=(TRIM($D30))),CkDJ[Debit])))+(SUM(IF((CsDJ[Ofc Code]=(TRIM(E$7)))*(CsDJ[Account Code]=(TRIM($D30))),CsDJ[Debit])))+(SUM(IF((CRDJ[Ofc Code]=(TRIM(E$7)))*(CRDJ[Account Code]=(TRIM($D30))),CRDJ[Debit])))+(SUM(IF((GJ[Ofc Code]=(TRIM(E$7)))*(GJ[Account Code]=(TRIM($D30))),GJ[Debit]))))</f>
        <v>0</v>
      </c>
      <c r="F30" s="211">
        <f t="array" ref="F30">((SUM(IF((CkDJ[Ofc Code]=(TRIM(F$7)))*(CkDJ[Account Code]=(TRIM($D30))),CkDJ[Credit])))+(SUM(IF((CsDJ[Ofc Code]=(TRIM(F$7)))*(CsDJ[Account Code]=(TRIM($D30))),CsDJ[Credit])))+(SUM(IF((CRDJ[Ofc Code]=(TRIM(F$7)))*(CRDJ[Account Code]=(TRIM($D30))),CRDJ[Credit])))+(SUM(IF((GJ[Ofc Code]=(TRIM(F$7)))*(GJ[Account Code]=(TRIM($D30))),GJ[Credit]))))-((SUM(IF((CkDJ[Ofc Code]=(TRIM(F$7)))*(CkDJ[Account Code]=(TRIM($D30))),CkDJ[Debit])))+(SUM(IF((CsDJ[Ofc Code]=(TRIM(F$7)))*(CsDJ[Account Code]=(TRIM($D30))),CsDJ[Debit])))+(SUM(IF((CRDJ[Ofc Code]=(TRIM(F$7)))*(CRDJ[Account Code]=(TRIM($D30))),CRDJ[Debit])))+(SUM(IF((GJ[Ofc Code]=(TRIM(F$7)))*(GJ[Account Code]=(TRIM($D30))),GJ[Debit]))))</f>
        <v>0</v>
      </c>
      <c r="G30" s="211">
        <f t="array" ref="G30">((SUM(IF((CkDJ[Ofc Code]=(TRIM(G$7)))*(CkDJ[Account Code]=(TRIM($D30))),CkDJ[Credit])))+(SUM(IF((CsDJ[Ofc Code]=(TRIM(G$7)))*(CsDJ[Account Code]=(TRIM($D30))),CsDJ[Credit])))+(SUM(IF((CRDJ[Ofc Code]=(TRIM(G$7)))*(CRDJ[Account Code]=(TRIM($D30))),CRDJ[Credit])))+(SUM(IF((GJ[Ofc Code]=(TRIM(G$7)))*(GJ[Account Code]=(TRIM($D30))),GJ[Credit]))))-((SUM(IF((CkDJ[Ofc Code]=(TRIM(G$7)))*(CkDJ[Account Code]=(TRIM($D30))),CkDJ[Debit])))+(SUM(IF((CsDJ[Ofc Code]=(TRIM(G$7)))*(CsDJ[Account Code]=(TRIM($D30))),CsDJ[Debit])))+(SUM(IF((CRDJ[Ofc Code]=(TRIM(G$7)))*(CRDJ[Account Code]=(TRIM($D30))),CRDJ[Debit])))+(SUM(IF((GJ[Ofc Code]=(TRIM(G$7)))*(GJ[Account Code]=(TRIM($D30))),GJ[Debit]))))</f>
        <v>0</v>
      </c>
      <c r="H30" s="211">
        <f t="array" ref="H30">((SUM(IF((CkDJ[Ofc Code]=(TRIM(H$7)))*(CkDJ[Account Code]=(TRIM($D30))),CkDJ[Credit])))+(SUM(IF((CsDJ[Ofc Code]=(TRIM(H$7)))*(CsDJ[Account Code]=(TRIM($D30))),CsDJ[Credit])))+(SUM(IF((CRDJ[Ofc Code]=(TRIM(H$7)))*(CRDJ[Account Code]=(TRIM($D30))),CRDJ[Credit])))+(SUM(IF((GJ[Ofc Code]=(TRIM(H$7)))*(GJ[Account Code]=(TRIM($D30))),GJ[Credit]))))-((SUM(IF((CkDJ[Ofc Code]=(TRIM(H$7)))*(CkDJ[Account Code]=(TRIM($D30))),CkDJ[Debit])))+(SUM(IF((CsDJ[Ofc Code]=(TRIM(H$7)))*(CsDJ[Account Code]=(TRIM($D30))),CsDJ[Debit])))+(SUM(IF((CRDJ[Ofc Code]=(TRIM(H$7)))*(CRDJ[Account Code]=(TRIM($D30))),CRDJ[Debit])))+(SUM(IF((GJ[Ofc Code]=(TRIM(H$7)))*(GJ[Account Code]=(TRIM($D30))),GJ[Debit]))))</f>
        <v>0</v>
      </c>
      <c r="I30" s="211">
        <f t="array" ref="I30">((SUM(IF((CkDJ[Ofc Code]=(TRIM(I$7)))*(CkDJ[Account Code]=(TRIM($D30))),CkDJ[Credit])))+(SUM(IF((CsDJ[Ofc Code]=(TRIM(I$7)))*(CsDJ[Account Code]=(TRIM($D30))),CsDJ[Credit])))+(SUM(IF((CRDJ[Ofc Code]=(TRIM(I$7)))*(CRDJ[Account Code]=(TRIM($D30))),CRDJ[Credit])))+(SUM(IF((GJ[Ofc Code]=(TRIM(I$7)))*(GJ[Account Code]=(TRIM($D30))),GJ[Credit]))))-((SUM(IF((CkDJ[Ofc Code]=(TRIM(I$7)))*(CkDJ[Account Code]=(TRIM($D30))),CkDJ[Debit])))+(SUM(IF((CsDJ[Ofc Code]=(TRIM(I$7)))*(CsDJ[Account Code]=(TRIM($D30))),CsDJ[Debit])))+(SUM(IF((CRDJ[Ofc Code]=(TRIM(I$7)))*(CRDJ[Account Code]=(TRIM($D30))),CRDJ[Debit])))+(SUM(IF((GJ[Ofc Code]=(TRIM(I$7)))*(GJ[Account Code]=(TRIM($D30))),GJ[Debit]))))</f>
        <v>0</v>
      </c>
      <c r="J30" s="211">
        <f>SUM(F30:I30)</f>
        <v>0</v>
      </c>
      <c r="K30" s="211">
        <f t="array" ref="K30">((SUM(IF((CkDJ[Ofc Code]=(TRIM(K$7)))*(CkDJ[Account Code]=(TRIM($D30))),CkDJ[Credit])))+(SUM(IF((CsDJ[Ofc Code]=(TRIM(K$7)))*(CsDJ[Account Code]=(TRIM($D30))),CsDJ[Credit])))+(SUM(IF((CRDJ[Ofc Code]=(TRIM(K$7)))*(CRDJ[Account Code]=(TRIM($D30))),CRDJ[Credit])))+(SUM(IF((GJ[Ofc Code]=(TRIM(K$7)))*(GJ[Account Code]=(TRIM($D30))),GJ[Credit]))))-((SUM(IF((CkDJ[Ofc Code]=(TRIM(K$7)))*(CkDJ[Account Code]=(TRIM($D30))),CkDJ[Debit])))+(SUM(IF((CsDJ[Ofc Code]=(TRIM(K$7)))*(CsDJ[Account Code]=(TRIM($D30))),CsDJ[Debit])))+(SUM(IF((CRDJ[Ofc Code]=(TRIM(K$7)))*(CRDJ[Account Code]=(TRIM($D30))),CRDJ[Debit])))+(SUM(IF((GJ[Ofc Code]=(TRIM(K$7)))*(GJ[Account Code]=(TRIM($D30))),GJ[Debit]))))</f>
        <v>0</v>
      </c>
      <c r="L30" s="211">
        <f t="array" ref="L30">((SUM(IF((CkDJ[Ofc Code]=(TRIM(L$7)))*(CkDJ[Account Code]=(TRIM($D30))),CkDJ[Credit])))+(SUM(IF((CsDJ[Ofc Code]=(TRIM(L$7)))*(CsDJ[Account Code]=(TRIM($D30))),CsDJ[Credit])))+(SUM(IF((CRDJ[Ofc Code]=(TRIM(L$7)))*(CRDJ[Account Code]=(TRIM($D30))),CRDJ[Credit])))+(SUM(IF((GJ[Ofc Code]=(TRIM(L$7)))*(GJ[Account Code]=(TRIM($D30))),GJ[Credit]))))-((SUM(IF((CkDJ[Ofc Code]=(TRIM(L$7)))*(CkDJ[Account Code]=(TRIM($D30))),CkDJ[Debit])))+(SUM(IF((CsDJ[Ofc Code]=(TRIM(L$7)))*(CsDJ[Account Code]=(TRIM($D30))),CsDJ[Debit])))+(SUM(IF((CRDJ[Ofc Code]=(TRIM(L$7)))*(CRDJ[Account Code]=(TRIM($D30))),CRDJ[Debit])))+(SUM(IF((GJ[Ofc Code]=(TRIM(L$7)))*(GJ[Account Code]=(TRIM($D30))),GJ[Debit]))))</f>
        <v>0</v>
      </c>
      <c r="M30" s="211">
        <f t="array" ref="M30">((SUM(IF((CkDJ[Ofc Code]=(TRIM(M$7)))*(CkDJ[Account Code]=(TRIM($D30))),CkDJ[Credit])))+(SUM(IF((CsDJ[Ofc Code]=(TRIM(M$7)))*(CsDJ[Account Code]=(TRIM($D30))),CsDJ[Credit])))+(SUM(IF((CRDJ[Ofc Code]=(TRIM(M$7)))*(CRDJ[Account Code]=(TRIM($D30))),CRDJ[Credit])))+(SUM(IF((GJ[Ofc Code]=(TRIM(M$7)))*(GJ[Account Code]=(TRIM($D30))),GJ[Credit]))))-((SUM(IF((CkDJ[Ofc Code]=(TRIM(M$7)))*(CkDJ[Account Code]=(TRIM($D30))),CkDJ[Debit])))+(SUM(IF((CsDJ[Ofc Code]=(TRIM(M$7)))*(CsDJ[Account Code]=(TRIM($D30))),CsDJ[Debit])))+(SUM(IF((CRDJ[Ofc Code]=(TRIM(M$7)))*(CRDJ[Account Code]=(TRIM($D30))),CRDJ[Debit])))+(SUM(IF((GJ[Ofc Code]=(TRIM(M$7)))*(GJ[Account Code]=(TRIM($D30))),GJ[Debit]))))</f>
        <v>0</v>
      </c>
      <c r="N30" s="211">
        <f t="array" ref="N30">((SUM(IF((CkDJ[Ofc Code]=(TRIM(N$7)))*(CkDJ[Account Code]=(TRIM($D30))),CkDJ[Credit])))+(SUM(IF((CsDJ[Ofc Code]=(TRIM(N$7)))*(CsDJ[Account Code]=(TRIM($D30))),CsDJ[Credit])))+(SUM(IF((CRDJ[Ofc Code]=(TRIM(N$7)))*(CRDJ[Account Code]=(TRIM($D30))),CRDJ[Credit])))+(SUM(IF((GJ[Ofc Code]=(TRIM(N$7)))*(GJ[Account Code]=(TRIM($D30))),GJ[Credit]))))-((SUM(IF((CkDJ[Ofc Code]=(TRIM(N$7)))*(CkDJ[Account Code]=(TRIM($D30))),CkDJ[Debit])))+(SUM(IF((CsDJ[Ofc Code]=(TRIM(N$7)))*(CsDJ[Account Code]=(TRIM($D30))),CsDJ[Debit])))+(SUM(IF((CRDJ[Ofc Code]=(TRIM(N$7)))*(CRDJ[Account Code]=(TRIM($D30))),CRDJ[Debit])))+(SUM(IF((GJ[Ofc Code]=(TRIM(N$7)))*(GJ[Account Code]=(TRIM($D30))),GJ[Debit]))))</f>
        <v>0</v>
      </c>
      <c r="O30" s="211">
        <f>SUM(K30:N30)</f>
        <v>0</v>
      </c>
      <c r="P30" s="211">
        <f t="array" ref="P30">((SUM(IF((CkDJ[Ofc Code]=(TRIM(P$7)))*(CkDJ[Account Code]=(TRIM($D30))),CkDJ[Credit])))+(SUM(IF((CsDJ[Ofc Code]=(TRIM(P$7)))*(CsDJ[Account Code]=(TRIM($D30))),CsDJ[Credit])))+(SUM(IF((CRDJ[Ofc Code]=(TRIM(P$7)))*(CRDJ[Account Code]=(TRIM($D30))),CRDJ[Credit])))+(SUM(IF((GJ[Ofc Code]=(TRIM(P$7)))*(GJ[Account Code]=(TRIM($D30))),GJ[Credit]))))-((SUM(IF((CkDJ[Ofc Code]=(TRIM(P$7)))*(CkDJ[Account Code]=(TRIM($D30))),CkDJ[Debit])))+(SUM(IF((CsDJ[Ofc Code]=(TRIM(P$7)))*(CsDJ[Account Code]=(TRIM($D30))),CsDJ[Debit])))+(SUM(IF((CRDJ[Ofc Code]=(TRIM(P$7)))*(CRDJ[Account Code]=(TRIM($D30))),CRDJ[Debit])))+(SUM(IF((GJ[Ofc Code]=(TRIM(P$7)))*(GJ[Account Code]=(TRIM($D30))),GJ[Debit]))))</f>
        <v>0</v>
      </c>
      <c r="Q30" s="211">
        <f t="array" ref="Q30">((SUM(IF((CkDJ[Ofc Code]=(TRIM(Q$7)))*(CkDJ[Account Code]=(TRIM($D30))),CkDJ[Credit])))+(SUM(IF((CsDJ[Ofc Code]=(TRIM(Q$7)))*(CsDJ[Account Code]=(TRIM($D30))),CsDJ[Credit])))+(SUM(IF((CRDJ[Ofc Code]=(TRIM(Q$7)))*(CRDJ[Account Code]=(TRIM($D30))),CRDJ[Credit])))+(SUM(IF((GJ[Ofc Code]=(TRIM(Q$7)))*(GJ[Account Code]=(TRIM($D30))),GJ[Credit]))))-((SUM(IF((CkDJ[Ofc Code]=(TRIM(Q$7)))*(CkDJ[Account Code]=(TRIM($D30))),CkDJ[Debit])))+(SUM(IF((CsDJ[Ofc Code]=(TRIM(Q$7)))*(CsDJ[Account Code]=(TRIM($D30))),CsDJ[Debit])))+(SUM(IF((CRDJ[Ofc Code]=(TRIM(Q$7)))*(CRDJ[Account Code]=(TRIM($D30))),CRDJ[Debit])))+(SUM(IF((GJ[Ofc Code]=(TRIM(Q$7)))*(GJ[Account Code]=(TRIM($D30))),GJ[Debit]))))</f>
        <v>0</v>
      </c>
      <c r="R30" s="211">
        <f t="array" ref="R30">((SUM(IF((CkDJ[Ofc Code]=(TRIM(R$7)))*(CkDJ[Account Code]=(TRIM($D30))),CkDJ[Credit])))+(SUM(IF((CsDJ[Ofc Code]=(TRIM(R$7)))*(CsDJ[Account Code]=(TRIM($D30))),CsDJ[Credit])))+(SUM(IF((CRDJ[Ofc Code]=(TRIM(R$7)))*(CRDJ[Account Code]=(TRIM($D30))),CRDJ[Credit])))+(SUM(IF((GJ[Ofc Code]=(TRIM(R$7)))*(GJ[Account Code]=(TRIM($D30))),GJ[Credit]))))-((SUM(IF((CkDJ[Ofc Code]=(TRIM(R$7)))*(CkDJ[Account Code]=(TRIM($D30))),CkDJ[Debit])))+(SUM(IF((CsDJ[Ofc Code]=(TRIM(R$7)))*(CsDJ[Account Code]=(TRIM($D30))),CsDJ[Debit])))+(SUM(IF((CRDJ[Ofc Code]=(TRIM(R$7)))*(CRDJ[Account Code]=(TRIM($D30))),CRDJ[Debit])))+(SUM(IF((GJ[Ofc Code]=(TRIM(R$7)))*(GJ[Account Code]=(TRIM($D30))),GJ[Debit]))))</f>
        <v>0</v>
      </c>
      <c r="S30" s="211">
        <f t="array" ref="S30">((SUM(IF((CkDJ[Ofc Code]=(TRIM(S$7)))*(CkDJ[Account Code]=(TRIM($D30))),CkDJ[Credit])))+(SUM(IF((CsDJ[Ofc Code]=(TRIM(S$7)))*(CsDJ[Account Code]=(TRIM($D30))),CsDJ[Credit])))+(SUM(IF((CRDJ[Ofc Code]=(TRIM(S$7)))*(CRDJ[Account Code]=(TRIM($D30))),CRDJ[Credit])))+(SUM(IF((GJ[Ofc Code]=(TRIM(S$7)))*(GJ[Account Code]=(TRIM($D30))),GJ[Credit]))))-((SUM(IF((CkDJ[Ofc Code]=(TRIM(S$7)))*(CkDJ[Account Code]=(TRIM($D30))),CkDJ[Debit])))+(SUM(IF((CsDJ[Ofc Code]=(TRIM(S$7)))*(CsDJ[Account Code]=(TRIM($D30))),CsDJ[Debit])))+(SUM(IF((CRDJ[Ofc Code]=(TRIM(S$7)))*(CRDJ[Account Code]=(TRIM($D30))),CRDJ[Debit])))+(SUM(IF((GJ[Ofc Code]=(TRIM(S$7)))*(GJ[Account Code]=(TRIM($D30))),GJ[Debit]))))</f>
        <v>0</v>
      </c>
      <c r="T30" s="211">
        <f t="array" ref="T30">((SUM(IF((CkDJ[Ofc Code]=(TRIM(T$7)))*(CkDJ[Account Code]=(TRIM($D30))),CkDJ[Credit])))+(SUM(IF((CsDJ[Ofc Code]=(TRIM(T$7)))*(CsDJ[Account Code]=(TRIM($D30))),CsDJ[Credit])))+(SUM(IF((CRDJ[Ofc Code]=(TRIM(T$7)))*(CRDJ[Account Code]=(TRIM($D30))),CRDJ[Credit])))+(SUM(IF((GJ[Ofc Code]=(TRIM(T$7)))*(GJ[Account Code]=(TRIM($D30))),GJ[Credit]))))-((SUM(IF((CkDJ[Ofc Code]=(TRIM(T$7)))*(CkDJ[Account Code]=(TRIM($D30))),CkDJ[Debit])))+(SUM(IF((CsDJ[Ofc Code]=(TRIM(T$7)))*(CsDJ[Account Code]=(TRIM($D30))),CsDJ[Debit])))+(SUM(IF((CRDJ[Ofc Code]=(TRIM(T$7)))*(CRDJ[Account Code]=(TRIM($D30))),CRDJ[Debit])))+(SUM(IF((GJ[Ofc Code]=(TRIM(T$7)))*(GJ[Account Code]=(TRIM($D30))),GJ[Debit]))))</f>
        <v>0</v>
      </c>
      <c r="U30" s="211">
        <f>SUM(P30:T30)</f>
        <v>0</v>
      </c>
      <c r="V30" s="211">
        <f>E30+J30+O30+U30</f>
        <v>0</v>
      </c>
    </row>
    <row r="31" spans="1:22" ht="15" x14ac:dyDescent="0.25">
      <c r="A31" s="212">
        <f t="shared" si="5"/>
        <v>23</v>
      </c>
      <c r="B31" s="194"/>
      <c r="C31" s="194" t="str">
        <f t="shared" si="0"/>
        <v>Miscellaneous Income (Scrap of Fixed Assets)</v>
      </c>
      <c r="D31" s="207" t="s">
        <v>159</v>
      </c>
      <c r="E31" s="211">
        <f t="array" ref="E31">((SUM(IF((CkDJ[Ofc Code]=(TRIM(E$7)))*(CkDJ[Account Code]=(TRIM($D31))),CkDJ[Credit])))+(SUM(IF((CsDJ[Ofc Code]=(TRIM(E$7)))*(CsDJ[Account Code]=(TRIM($D31))),CsDJ[Credit])))+(SUM(IF((CRDJ[Ofc Code]=(TRIM(E$7)))*(CRDJ[Account Code]=(TRIM($D31))),CRDJ[Credit])))+(SUM(IF((GJ[Ofc Code]=(TRIM(E$7)))*(GJ[Account Code]=(TRIM($D31))),GJ[Credit]))))-((SUM(IF((CkDJ[Ofc Code]=(TRIM(E$7)))*(CkDJ[Account Code]=(TRIM($D31))),CkDJ[Debit])))+(SUM(IF((CsDJ[Ofc Code]=(TRIM(E$7)))*(CsDJ[Account Code]=(TRIM($D31))),CsDJ[Debit])))+(SUM(IF((CRDJ[Ofc Code]=(TRIM(E$7)))*(CRDJ[Account Code]=(TRIM($D31))),CRDJ[Debit])))+(SUM(IF((GJ[Ofc Code]=(TRIM(E$7)))*(GJ[Account Code]=(TRIM($D31))),GJ[Debit]))))</f>
        <v>0</v>
      </c>
      <c r="F31" s="211">
        <f t="array" ref="F31">((SUM(IF((CkDJ[Ofc Code]=(TRIM(F$7)))*(CkDJ[Account Code]=(TRIM($D31))),CkDJ[Credit])))+(SUM(IF((CsDJ[Ofc Code]=(TRIM(F$7)))*(CsDJ[Account Code]=(TRIM($D31))),CsDJ[Credit])))+(SUM(IF((CRDJ[Ofc Code]=(TRIM(F$7)))*(CRDJ[Account Code]=(TRIM($D31))),CRDJ[Credit])))+(SUM(IF((GJ[Ofc Code]=(TRIM(F$7)))*(GJ[Account Code]=(TRIM($D31))),GJ[Credit]))))-((SUM(IF((CkDJ[Ofc Code]=(TRIM(F$7)))*(CkDJ[Account Code]=(TRIM($D31))),CkDJ[Debit])))+(SUM(IF((CsDJ[Ofc Code]=(TRIM(F$7)))*(CsDJ[Account Code]=(TRIM($D31))),CsDJ[Debit])))+(SUM(IF((CRDJ[Ofc Code]=(TRIM(F$7)))*(CRDJ[Account Code]=(TRIM($D31))),CRDJ[Debit])))+(SUM(IF((GJ[Ofc Code]=(TRIM(F$7)))*(GJ[Account Code]=(TRIM($D31))),GJ[Debit]))))</f>
        <v>0</v>
      </c>
      <c r="G31" s="211">
        <f t="array" ref="G31">((SUM(IF((CkDJ[Ofc Code]=(TRIM(G$7)))*(CkDJ[Account Code]=(TRIM($D31))),CkDJ[Credit])))+(SUM(IF((CsDJ[Ofc Code]=(TRIM(G$7)))*(CsDJ[Account Code]=(TRIM($D31))),CsDJ[Credit])))+(SUM(IF((CRDJ[Ofc Code]=(TRIM(G$7)))*(CRDJ[Account Code]=(TRIM($D31))),CRDJ[Credit])))+(SUM(IF((GJ[Ofc Code]=(TRIM(G$7)))*(GJ[Account Code]=(TRIM($D31))),GJ[Credit]))))-((SUM(IF((CkDJ[Ofc Code]=(TRIM(G$7)))*(CkDJ[Account Code]=(TRIM($D31))),CkDJ[Debit])))+(SUM(IF((CsDJ[Ofc Code]=(TRIM(G$7)))*(CsDJ[Account Code]=(TRIM($D31))),CsDJ[Debit])))+(SUM(IF((CRDJ[Ofc Code]=(TRIM(G$7)))*(CRDJ[Account Code]=(TRIM($D31))),CRDJ[Debit])))+(SUM(IF((GJ[Ofc Code]=(TRIM(G$7)))*(GJ[Account Code]=(TRIM($D31))),GJ[Debit]))))</f>
        <v>0</v>
      </c>
      <c r="H31" s="211">
        <f t="array" ref="H31">((SUM(IF((CkDJ[Ofc Code]=(TRIM(H$7)))*(CkDJ[Account Code]=(TRIM($D31))),CkDJ[Credit])))+(SUM(IF((CsDJ[Ofc Code]=(TRIM(H$7)))*(CsDJ[Account Code]=(TRIM($D31))),CsDJ[Credit])))+(SUM(IF((CRDJ[Ofc Code]=(TRIM(H$7)))*(CRDJ[Account Code]=(TRIM($D31))),CRDJ[Credit])))+(SUM(IF((GJ[Ofc Code]=(TRIM(H$7)))*(GJ[Account Code]=(TRIM($D31))),GJ[Credit]))))-((SUM(IF((CkDJ[Ofc Code]=(TRIM(H$7)))*(CkDJ[Account Code]=(TRIM($D31))),CkDJ[Debit])))+(SUM(IF((CsDJ[Ofc Code]=(TRIM(H$7)))*(CsDJ[Account Code]=(TRIM($D31))),CsDJ[Debit])))+(SUM(IF((CRDJ[Ofc Code]=(TRIM(H$7)))*(CRDJ[Account Code]=(TRIM($D31))),CRDJ[Debit])))+(SUM(IF((GJ[Ofc Code]=(TRIM(H$7)))*(GJ[Account Code]=(TRIM($D31))),GJ[Debit]))))</f>
        <v>0</v>
      </c>
      <c r="I31" s="211">
        <f t="array" ref="I31">((SUM(IF((CkDJ[Ofc Code]=(TRIM(I$7)))*(CkDJ[Account Code]=(TRIM($D31))),CkDJ[Credit])))+(SUM(IF((CsDJ[Ofc Code]=(TRIM(I$7)))*(CsDJ[Account Code]=(TRIM($D31))),CsDJ[Credit])))+(SUM(IF((CRDJ[Ofc Code]=(TRIM(I$7)))*(CRDJ[Account Code]=(TRIM($D31))),CRDJ[Credit])))+(SUM(IF((GJ[Ofc Code]=(TRIM(I$7)))*(GJ[Account Code]=(TRIM($D31))),GJ[Credit]))))-((SUM(IF((CkDJ[Ofc Code]=(TRIM(I$7)))*(CkDJ[Account Code]=(TRIM($D31))),CkDJ[Debit])))+(SUM(IF((CsDJ[Ofc Code]=(TRIM(I$7)))*(CsDJ[Account Code]=(TRIM($D31))),CsDJ[Debit])))+(SUM(IF((CRDJ[Ofc Code]=(TRIM(I$7)))*(CRDJ[Account Code]=(TRIM($D31))),CRDJ[Debit])))+(SUM(IF((GJ[Ofc Code]=(TRIM(I$7)))*(GJ[Account Code]=(TRIM($D31))),GJ[Debit]))))</f>
        <v>0</v>
      </c>
      <c r="J31" s="211">
        <f t="shared" si="1"/>
        <v>0</v>
      </c>
      <c r="K31" s="211">
        <f t="array" ref="K31">((SUM(IF((CkDJ[Ofc Code]=(TRIM(K$7)))*(CkDJ[Account Code]=(TRIM($D31))),CkDJ[Credit])))+(SUM(IF((CsDJ[Ofc Code]=(TRIM(K$7)))*(CsDJ[Account Code]=(TRIM($D31))),CsDJ[Credit])))+(SUM(IF((CRDJ[Ofc Code]=(TRIM(K$7)))*(CRDJ[Account Code]=(TRIM($D31))),CRDJ[Credit])))+(SUM(IF((GJ[Ofc Code]=(TRIM(K$7)))*(GJ[Account Code]=(TRIM($D31))),GJ[Credit]))))-((SUM(IF((CkDJ[Ofc Code]=(TRIM(K$7)))*(CkDJ[Account Code]=(TRIM($D31))),CkDJ[Debit])))+(SUM(IF((CsDJ[Ofc Code]=(TRIM(K$7)))*(CsDJ[Account Code]=(TRIM($D31))),CsDJ[Debit])))+(SUM(IF((CRDJ[Ofc Code]=(TRIM(K$7)))*(CRDJ[Account Code]=(TRIM($D31))),CRDJ[Debit])))+(SUM(IF((GJ[Ofc Code]=(TRIM(K$7)))*(GJ[Account Code]=(TRIM($D31))),GJ[Debit]))))</f>
        <v>0</v>
      </c>
      <c r="L31" s="211">
        <f t="array" ref="L31">((SUM(IF((CkDJ[Ofc Code]=(TRIM(L$7)))*(CkDJ[Account Code]=(TRIM($D31))),CkDJ[Credit])))+(SUM(IF((CsDJ[Ofc Code]=(TRIM(L$7)))*(CsDJ[Account Code]=(TRIM($D31))),CsDJ[Credit])))+(SUM(IF((CRDJ[Ofc Code]=(TRIM(L$7)))*(CRDJ[Account Code]=(TRIM($D31))),CRDJ[Credit])))+(SUM(IF((GJ[Ofc Code]=(TRIM(L$7)))*(GJ[Account Code]=(TRIM($D31))),GJ[Credit]))))-((SUM(IF((CkDJ[Ofc Code]=(TRIM(L$7)))*(CkDJ[Account Code]=(TRIM($D31))),CkDJ[Debit])))+(SUM(IF((CsDJ[Ofc Code]=(TRIM(L$7)))*(CsDJ[Account Code]=(TRIM($D31))),CsDJ[Debit])))+(SUM(IF((CRDJ[Ofc Code]=(TRIM(L$7)))*(CRDJ[Account Code]=(TRIM($D31))),CRDJ[Debit])))+(SUM(IF((GJ[Ofc Code]=(TRIM(L$7)))*(GJ[Account Code]=(TRIM($D31))),GJ[Debit]))))</f>
        <v>0</v>
      </c>
      <c r="M31" s="211">
        <f t="array" ref="M31">((SUM(IF((CkDJ[Ofc Code]=(TRIM(M$7)))*(CkDJ[Account Code]=(TRIM($D31))),CkDJ[Credit])))+(SUM(IF((CsDJ[Ofc Code]=(TRIM(M$7)))*(CsDJ[Account Code]=(TRIM($D31))),CsDJ[Credit])))+(SUM(IF((CRDJ[Ofc Code]=(TRIM(M$7)))*(CRDJ[Account Code]=(TRIM($D31))),CRDJ[Credit])))+(SUM(IF((GJ[Ofc Code]=(TRIM(M$7)))*(GJ[Account Code]=(TRIM($D31))),GJ[Credit]))))-((SUM(IF((CkDJ[Ofc Code]=(TRIM(M$7)))*(CkDJ[Account Code]=(TRIM($D31))),CkDJ[Debit])))+(SUM(IF((CsDJ[Ofc Code]=(TRIM(M$7)))*(CsDJ[Account Code]=(TRIM($D31))),CsDJ[Debit])))+(SUM(IF((CRDJ[Ofc Code]=(TRIM(M$7)))*(CRDJ[Account Code]=(TRIM($D31))),CRDJ[Debit])))+(SUM(IF((GJ[Ofc Code]=(TRIM(M$7)))*(GJ[Account Code]=(TRIM($D31))),GJ[Debit]))))</f>
        <v>0</v>
      </c>
      <c r="N31" s="211">
        <f t="array" ref="N31">((SUM(IF((CkDJ[Ofc Code]=(TRIM(N$7)))*(CkDJ[Account Code]=(TRIM($D31))),CkDJ[Credit])))+(SUM(IF((CsDJ[Ofc Code]=(TRIM(N$7)))*(CsDJ[Account Code]=(TRIM($D31))),CsDJ[Credit])))+(SUM(IF((CRDJ[Ofc Code]=(TRIM(N$7)))*(CRDJ[Account Code]=(TRIM($D31))),CRDJ[Credit])))+(SUM(IF((GJ[Ofc Code]=(TRIM(N$7)))*(GJ[Account Code]=(TRIM($D31))),GJ[Credit]))))-((SUM(IF((CkDJ[Ofc Code]=(TRIM(N$7)))*(CkDJ[Account Code]=(TRIM($D31))),CkDJ[Debit])))+(SUM(IF((CsDJ[Ofc Code]=(TRIM(N$7)))*(CsDJ[Account Code]=(TRIM($D31))),CsDJ[Debit])))+(SUM(IF((CRDJ[Ofc Code]=(TRIM(N$7)))*(CRDJ[Account Code]=(TRIM($D31))),CRDJ[Debit])))+(SUM(IF((GJ[Ofc Code]=(TRIM(N$7)))*(GJ[Account Code]=(TRIM($D31))),GJ[Debit]))))</f>
        <v>0</v>
      </c>
      <c r="O31" s="211">
        <f t="shared" si="2"/>
        <v>0</v>
      </c>
      <c r="P31" s="211">
        <f t="array" ref="P31">((SUM(IF((CkDJ[Ofc Code]=(TRIM(P$7)))*(CkDJ[Account Code]=(TRIM($D31))),CkDJ[Credit])))+(SUM(IF((CsDJ[Ofc Code]=(TRIM(P$7)))*(CsDJ[Account Code]=(TRIM($D31))),CsDJ[Credit])))+(SUM(IF((CRDJ[Ofc Code]=(TRIM(P$7)))*(CRDJ[Account Code]=(TRIM($D31))),CRDJ[Credit])))+(SUM(IF((GJ[Ofc Code]=(TRIM(P$7)))*(GJ[Account Code]=(TRIM($D31))),GJ[Credit]))))-((SUM(IF((CkDJ[Ofc Code]=(TRIM(P$7)))*(CkDJ[Account Code]=(TRIM($D31))),CkDJ[Debit])))+(SUM(IF((CsDJ[Ofc Code]=(TRIM(P$7)))*(CsDJ[Account Code]=(TRIM($D31))),CsDJ[Debit])))+(SUM(IF((CRDJ[Ofc Code]=(TRIM(P$7)))*(CRDJ[Account Code]=(TRIM($D31))),CRDJ[Debit])))+(SUM(IF((GJ[Ofc Code]=(TRIM(P$7)))*(GJ[Account Code]=(TRIM($D31))),GJ[Debit]))))</f>
        <v>0</v>
      </c>
      <c r="Q31" s="211">
        <f t="array" ref="Q31">((SUM(IF((CkDJ[Ofc Code]=(TRIM(Q$7)))*(CkDJ[Account Code]=(TRIM($D31))),CkDJ[Credit])))+(SUM(IF((CsDJ[Ofc Code]=(TRIM(Q$7)))*(CsDJ[Account Code]=(TRIM($D31))),CsDJ[Credit])))+(SUM(IF((CRDJ[Ofc Code]=(TRIM(Q$7)))*(CRDJ[Account Code]=(TRIM($D31))),CRDJ[Credit])))+(SUM(IF((GJ[Ofc Code]=(TRIM(Q$7)))*(GJ[Account Code]=(TRIM($D31))),GJ[Credit]))))-((SUM(IF((CkDJ[Ofc Code]=(TRIM(Q$7)))*(CkDJ[Account Code]=(TRIM($D31))),CkDJ[Debit])))+(SUM(IF((CsDJ[Ofc Code]=(TRIM(Q$7)))*(CsDJ[Account Code]=(TRIM($D31))),CsDJ[Debit])))+(SUM(IF((CRDJ[Ofc Code]=(TRIM(Q$7)))*(CRDJ[Account Code]=(TRIM($D31))),CRDJ[Debit])))+(SUM(IF((GJ[Ofc Code]=(TRIM(Q$7)))*(GJ[Account Code]=(TRIM($D31))),GJ[Debit]))))</f>
        <v>0</v>
      </c>
      <c r="R31" s="211">
        <f t="array" ref="R31">((SUM(IF((CkDJ[Ofc Code]=(TRIM(R$7)))*(CkDJ[Account Code]=(TRIM($D31))),CkDJ[Credit])))+(SUM(IF((CsDJ[Ofc Code]=(TRIM(R$7)))*(CsDJ[Account Code]=(TRIM($D31))),CsDJ[Credit])))+(SUM(IF((CRDJ[Ofc Code]=(TRIM(R$7)))*(CRDJ[Account Code]=(TRIM($D31))),CRDJ[Credit])))+(SUM(IF((GJ[Ofc Code]=(TRIM(R$7)))*(GJ[Account Code]=(TRIM($D31))),GJ[Credit]))))-((SUM(IF((CkDJ[Ofc Code]=(TRIM(R$7)))*(CkDJ[Account Code]=(TRIM($D31))),CkDJ[Debit])))+(SUM(IF((CsDJ[Ofc Code]=(TRIM(R$7)))*(CsDJ[Account Code]=(TRIM($D31))),CsDJ[Debit])))+(SUM(IF((CRDJ[Ofc Code]=(TRIM(R$7)))*(CRDJ[Account Code]=(TRIM($D31))),CRDJ[Debit])))+(SUM(IF((GJ[Ofc Code]=(TRIM(R$7)))*(GJ[Account Code]=(TRIM($D31))),GJ[Debit]))))</f>
        <v>0</v>
      </c>
      <c r="S31" s="211">
        <f t="array" ref="S31">((SUM(IF((CkDJ[Ofc Code]=(TRIM(S$7)))*(CkDJ[Account Code]=(TRIM($D31))),CkDJ[Credit])))+(SUM(IF((CsDJ[Ofc Code]=(TRIM(S$7)))*(CsDJ[Account Code]=(TRIM($D31))),CsDJ[Credit])))+(SUM(IF((CRDJ[Ofc Code]=(TRIM(S$7)))*(CRDJ[Account Code]=(TRIM($D31))),CRDJ[Credit])))+(SUM(IF((GJ[Ofc Code]=(TRIM(S$7)))*(GJ[Account Code]=(TRIM($D31))),GJ[Credit]))))-((SUM(IF((CkDJ[Ofc Code]=(TRIM(S$7)))*(CkDJ[Account Code]=(TRIM($D31))),CkDJ[Debit])))+(SUM(IF((CsDJ[Ofc Code]=(TRIM(S$7)))*(CsDJ[Account Code]=(TRIM($D31))),CsDJ[Debit])))+(SUM(IF((CRDJ[Ofc Code]=(TRIM(S$7)))*(CRDJ[Account Code]=(TRIM($D31))),CRDJ[Debit])))+(SUM(IF((GJ[Ofc Code]=(TRIM(S$7)))*(GJ[Account Code]=(TRIM($D31))),GJ[Debit]))))</f>
        <v>0</v>
      </c>
      <c r="T31" s="211">
        <f t="array" ref="T31">((SUM(IF((CkDJ[Ofc Code]=(TRIM(T$7)))*(CkDJ[Account Code]=(TRIM($D31))),CkDJ[Credit])))+(SUM(IF((CsDJ[Ofc Code]=(TRIM(T$7)))*(CsDJ[Account Code]=(TRIM($D31))),CsDJ[Credit])))+(SUM(IF((CRDJ[Ofc Code]=(TRIM(T$7)))*(CRDJ[Account Code]=(TRIM($D31))),CRDJ[Credit])))+(SUM(IF((GJ[Ofc Code]=(TRIM(T$7)))*(GJ[Account Code]=(TRIM($D31))),GJ[Credit]))))-((SUM(IF((CkDJ[Ofc Code]=(TRIM(T$7)))*(CkDJ[Account Code]=(TRIM($D31))),CkDJ[Debit])))+(SUM(IF((CsDJ[Ofc Code]=(TRIM(T$7)))*(CsDJ[Account Code]=(TRIM($D31))),CsDJ[Debit])))+(SUM(IF((CRDJ[Ofc Code]=(TRIM(T$7)))*(CRDJ[Account Code]=(TRIM($D31))),CRDJ[Debit])))+(SUM(IF((GJ[Ofc Code]=(TRIM(T$7)))*(GJ[Account Code]=(TRIM($D31))),GJ[Debit]))))</f>
        <v>0</v>
      </c>
      <c r="U31" s="211">
        <f t="shared" si="3"/>
        <v>0</v>
      </c>
      <c r="V31" s="211">
        <f t="shared" si="4"/>
        <v>0</v>
      </c>
    </row>
    <row r="32" spans="1:22" ht="15" x14ac:dyDescent="0.25">
      <c r="A32" s="212">
        <f t="shared" si="5"/>
        <v>24</v>
      </c>
      <c r="B32" s="194"/>
      <c r="C32" s="194" t="str">
        <f t="shared" si="0"/>
        <v>Miscellaneous Income (Others)</v>
      </c>
      <c r="D32" s="207" t="s">
        <v>160</v>
      </c>
      <c r="E32" s="211">
        <f t="array" ref="E32">((SUM(IF((CkDJ[Ofc Code]=(TRIM(E$7)))*(CkDJ[Account Code]=(TRIM($D32))),CkDJ[Credit])))+(SUM(IF((CsDJ[Ofc Code]=(TRIM(E$7)))*(CsDJ[Account Code]=(TRIM($D32))),CsDJ[Credit])))+(SUM(IF((CRDJ[Ofc Code]=(TRIM(E$7)))*(CRDJ[Account Code]=(TRIM($D32))),CRDJ[Credit])))+(SUM(IF((GJ[Ofc Code]=(TRIM(E$7)))*(GJ[Account Code]=(TRIM($D32))),GJ[Credit]))))-((SUM(IF((CkDJ[Ofc Code]=(TRIM(E$7)))*(CkDJ[Account Code]=(TRIM($D32))),CkDJ[Debit])))+(SUM(IF((CsDJ[Ofc Code]=(TRIM(E$7)))*(CsDJ[Account Code]=(TRIM($D32))),CsDJ[Debit])))+(SUM(IF((CRDJ[Ofc Code]=(TRIM(E$7)))*(CRDJ[Account Code]=(TRIM($D32))),CRDJ[Debit])))+(SUM(IF((GJ[Ofc Code]=(TRIM(E$7)))*(GJ[Account Code]=(TRIM($D32))),GJ[Debit]))))</f>
        <v>0</v>
      </c>
      <c r="F32" s="211">
        <f t="array" ref="F32">((SUM(IF((CkDJ[Ofc Code]=(TRIM(F$7)))*(CkDJ[Account Code]=(TRIM($D32))),CkDJ[Credit])))+(SUM(IF((CsDJ[Ofc Code]=(TRIM(F$7)))*(CsDJ[Account Code]=(TRIM($D32))),CsDJ[Credit])))+(SUM(IF((CRDJ[Ofc Code]=(TRIM(F$7)))*(CRDJ[Account Code]=(TRIM($D32))),CRDJ[Credit])))+(SUM(IF((GJ[Ofc Code]=(TRIM(F$7)))*(GJ[Account Code]=(TRIM($D32))),GJ[Credit]))))-((SUM(IF((CkDJ[Ofc Code]=(TRIM(F$7)))*(CkDJ[Account Code]=(TRIM($D32))),CkDJ[Debit])))+(SUM(IF((CsDJ[Ofc Code]=(TRIM(F$7)))*(CsDJ[Account Code]=(TRIM($D32))),CsDJ[Debit])))+(SUM(IF((CRDJ[Ofc Code]=(TRIM(F$7)))*(CRDJ[Account Code]=(TRIM($D32))),CRDJ[Debit])))+(SUM(IF((GJ[Ofc Code]=(TRIM(F$7)))*(GJ[Account Code]=(TRIM($D32))),GJ[Debit]))))</f>
        <v>0</v>
      </c>
      <c r="G32" s="211">
        <f t="array" ref="G32">((SUM(IF((CkDJ[Ofc Code]=(TRIM(G$7)))*(CkDJ[Account Code]=(TRIM($D32))),CkDJ[Credit])))+(SUM(IF((CsDJ[Ofc Code]=(TRIM(G$7)))*(CsDJ[Account Code]=(TRIM($D32))),CsDJ[Credit])))+(SUM(IF((CRDJ[Ofc Code]=(TRIM(G$7)))*(CRDJ[Account Code]=(TRIM($D32))),CRDJ[Credit])))+(SUM(IF((GJ[Ofc Code]=(TRIM(G$7)))*(GJ[Account Code]=(TRIM($D32))),GJ[Credit]))))-((SUM(IF((CkDJ[Ofc Code]=(TRIM(G$7)))*(CkDJ[Account Code]=(TRIM($D32))),CkDJ[Debit])))+(SUM(IF((CsDJ[Ofc Code]=(TRIM(G$7)))*(CsDJ[Account Code]=(TRIM($D32))),CsDJ[Debit])))+(SUM(IF((CRDJ[Ofc Code]=(TRIM(G$7)))*(CRDJ[Account Code]=(TRIM($D32))),CRDJ[Debit])))+(SUM(IF((GJ[Ofc Code]=(TRIM(G$7)))*(GJ[Account Code]=(TRIM($D32))),GJ[Debit]))))</f>
        <v>0</v>
      </c>
      <c r="H32" s="211">
        <f t="array" ref="H32">((SUM(IF((CkDJ[Ofc Code]=(TRIM(H$7)))*(CkDJ[Account Code]=(TRIM($D32))),CkDJ[Credit])))+(SUM(IF((CsDJ[Ofc Code]=(TRIM(H$7)))*(CsDJ[Account Code]=(TRIM($D32))),CsDJ[Credit])))+(SUM(IF((CRDJ[Ofc Code]=(TRIM(H$7)))*(CRDJ[Account Code]=(TRIM($D32))),CRDJ[Credit])))+(SUM(IF((GJ[Ofc Code]=(TRIM(H$7)))*(GJ[Account Code]=(TRIM($D32))),GJ[Credit]))))-((SUM(IF((CkDJ[Ofc Code]=(TRIM(H$7)))*(CkDJ[Account Code]=(TRIM($D32))),CkDJ[Debit])))+(SUM(IF((CsDJ[Ofc Code]=(TRIM(H$7)))*(CsDJ[Account Code]=(TRIM($D32))),CsDJ[Debit])))+(SUM(IF((CRDJ[Ofc Code]=(TRIM(H$7)))*(CRDJ[Account Code]=(TRIM($D32))),CRDJ[Debit])))+(SUM(IF((GJ[Ofc Code]=(TRIM(H$7)))*(GJ[Account Code]=(TRIM($D32))),GJ[Debit]))))</f>
        <v>0</v>
      </c>
      <c r="I32" s="211">
        <f t="array" ref="I32">((SUM(IF((CkDJ[Ofc Code]=(TRIM(I$7)))*(CkDJ[Account Code]=(TRIM($D32))),CkDJ[Credit])))+(SUM(IF((CsDJ[Ofc Code]=(TRIM(I$7)))*(CsDJ[Account Code]=(TRIM($D32))),CsDJ[Credit])))+(SUM(IF((CRDJ[Ofc Code]=(TRIM(I$7)))*(CRDJ[Account Code]=(TRIM($D32))),CRDJ[Credit])))+(SUM(IF((GJ[Ofc Code]=(TRIM(I$7)))*(GJ[Account Code]=(TRIM($D32))),GJ[Credit]))))-((SUM(IF((CkDJ[Ofc Code]=(TRIM(I$7)))*(CkDJ[Account Code]=(TRIM($D32))),CkDJ[Debit])))+(SUM(IF((CsDJ[Ofc Code]=(TRIM(I$7)))*(CsDJ[Account Code]=(TRIM($D32))),CsDJ[Debit])))+(SUM(IF((CRDJ[Ofc Code]=(TRIM(I$7)))*(CRDJ[Account Code]=(TRIM($D32))),CRDJ[Debit])))+(SUM(IF((GJ[Ofc Code]=(TRIM(I$7)))*(GJ[Account Code]=(TRIM($D32))),GJ[Debit]))))</f>
        <v>0</v>
      </c>
      <c r="J32" s="211">
        <f t="shared" si="1"/>
        <v>0</v>
      </c>
      <c r="K32" s="211">
        <f t="array" ref="K32">((SUM(IF((CkDJ[Ofc Code]=(TRIM(K$7)))*(CkDJ[Account Code]=(TRIM($D32))),CkDJ[Credit])))+(SUM(IF((CsDJ[Ofc Code]=(TRIM(K$7)))*(CsDJ[Account Code]=(TRIM($D32))),CsDJ[Credit])))+(SUM(IF((CRDJ[Ofc Code]=(TRIM(K$7)))*(CRDJ[Account Code]=(TRIM($D32))),CRDJ[Credit])))+(SUM(IF((GJ[Ofc Code]=(TRIM(K$7)))*(GJ[Account Code]=(TRIM($D32))),GJ[Credit]))))-((SUM(IF((CkDJ[Ofc Code]=(TRIM(K$7)))*(CkDJ[Account Code]=(TRIM($D32))),CkDJ[Debit])))+(SUM(IF((CsDJ[Ofc Code]=(TRIM(K$7)))*(CsDJ[Account Code]=(TRIM($D32))),CsDJ[Debit])))+(SUM(IF((CRDJ[Ofc Code]=(TRIM(K$7)))*(CRDJ[Account Code]=(TRIM($D32))),CRDJ[Debit])))+(SUM(IF((GJ[Ofc Code]=(TRIM(K$7)))*(GJ[Account Code]=(TRIM($D32))),GJ[Debit]))))</f>
        <v>0</v>
      </c>
      <c r="L32" s="211">
        <f t="array" ref="L32">((SUM(IF((CkDJ[Ofc Code]=(TRIM(L$7)))*(CkDJ[Account Code]=(TRIM($D32))),CkDJ[Credit])))+(SUM(IF((CsDJ[Ofc Code]=(TRIM(L$7)))*(CsDJ[Account Code]=(TRIM($D32))),CsDJ[Credit])))+(SUM(IF((CRDJ[Ofc Code]=(TRIM(L$7)))*(CRDJ[Account Code]=(TRIM($D32))),CRDJ[Credit])))+(SUM(IF((GJ[Ofc Code]=(TRIM(L$7)))*(GJ[Account Code]=(TRIM($D32))),GJ[Credit]))))-((SUM(IF((CkDJ[Ofc Code]=(TRIM(L$7)))*(CkDJ[Account Code]=(TRIM($D32))),CkDJ[Debit])))+(SUM(IF((CsDJ[Ofc Code]=(TRIM(L$7)))*(CsDJ[Account Code]=(TRIM($D32))),CsDJ[Debit])))+(SUM(IF((CRDJ[Ofc Code]=(TRIM(L$7)))*(CRDJ[Account Code]=(TRIM($D32))),CRDJ[Debit])))+(SUM(IF((GJ[Ofc Code]=(TRIM(L$7)))*(GJ[Account Code]=(TRIM($D32))),GJ[Debit]))))</f>
        <v>0</v>
      </c>
      <c r="M32" s="211">
        <f t="array" ref="M32">((SUM(IF((CkDJ[Ofc Code]=(TRIM(M$7)))*(CkDJ[Account Code]=(TRIM($D32))),CkDJ[Credit])))+(SUM(IF((CsDJ[Ofc Code]=(TRIM(M$7)))*(CsDJ[Account Code]=(TRIM($D32))),CsDJ[Credit])))+(SUM(IF((CRDJ[Ofc Code]=(TRIM(M$7)))*(CRDJ[Account Code]=(TRIM($D32))),CRDJ[Credit])))+(SUM(IF((GJ[Ofc Code]=(TRIM(M$7)))*(GJ[Account Code]=(TRIM($D32))),GJ[Credit]))))-((SUM(IF((CkDJ[Ofc Code]=(TRIM(M$7)))*(CkDJ[Account Code]=(TRIM($D32))),CkDJ[Debit])))+(SUM(IF((CsDJ[Ofc Code]=(TRIM(M$7)))*(CsDJ[Account Code]=(TRIM($D32))),CsDJ[Debit])))+(SUM(IF((CRDJ[Ofc Code]=(TRIM(M$7)))*(CRDJ[Account Code]=(TRIM($D32))),CRDJ[Debit])))+(SUM(IF((GJ[Ofc Code]=(TRIM(M$7)))*(GJ[Account Code]=(TRIM($D32))),GJ[Debit]))))</f>
        <v>0</v>
      </c>
      <c r="N32" s="211">
        <f t="array" ref="N32">((SUM(IF((CkDJ[Ofc Code]=(TRIM(N$7)))*(CkDJ[Account Code]=(TRIM($D32))),CkDJ[Credit])))+(SUM(IF((CsDJ[Ofc Code]=(TRIM(N$7)))*(CsDJ[Account Code]=(TRIM($D32))),CsDJ[Credit])))+(SUM(IF((CRDJ[Ofc Code]=(TRIM(N$7)))*(CRDJ[Account Code]=(TRIM($D32))),CRDJ[Credit])))+(SUM(IF((GJ[Ofc Code]=(TRIM(N$7)))*(GJ[Account Code]=(TRIM($D32))),GJ[Credit]))))-((SUM(IF((CkDJ[Ofc Code]=(TRIM(N$7)))*(CkDJ[Account Code]=(TRIM($D32))),CkDJ[Debit])))+(SUM(IF((CsDJ[Ofc Code]=(TRIM(N$7)))*(CsDJ[Account Code]=(TRIM($D32))),CsDJ[Debit])))+(SUM(IF((CRDJ[Ofc Code]=(TRIM(N$7)))*(CRDJ[Account Code]=(TRIM($D32))),CRDJ[Debit])))+(SUM(IF((GJ[Ofc Code]=(TRIM(N$7)))*(GJ[Account Code]=(TRIM($D32))),GJ[Debit]))))</f>
        <v>0</v>
      </c>
      <c r="O32" s="211">
        <f t="shared" si="2"/>
        <v>0</v>
      </c>
      <c r="P32" s="211">
        <f t="array" ref="P32">((SUM(IF((CkDJ[Ofc Code]=(TRIM(P$7)))*(CkDJ[Account Code]=(TRIM($D32))),CkDJ[Credit])))+(SUM(IF((CsDJ[Ofc Code]=(TRIM(P$7)))*(CsDJ[Account Code]=(TRIM($D32))),CsDJ[Credit])))+(SUM(IF((CRDJ[Ofc Code]=(TRIM(P$7)))*(CRDJ[Account Code]=(TRIM($D32))),CRDJ[Credit])))+(SUM(IF((GJ[Ofc Code]=(TRIM(P$7)))*(GJ[Account Code]=(TRIM($D32))),GJ[Credit]))))-((SUM(IF((CkDJ[Ofc Code]=(TRIM(P$7)))*(CkDJ[Account Code]=(TRIM($D32))),CkDJ[Debit])))+(SUM(IF((CsDJ[Ofc Code]=(TRIM(P$7)))*(CsDJ[Account Code]=(TRIM($D32))),CsDJ[Debit])))+(SUM(IF((CRDJ[Ofc Code]=(TRIM(P$7)))*(CRDJ[Account Code]=(TRIM($D32))),CRDJ[Debit])))+(SUM(IF((GJ[Ofc Code]=(TRIM(P$7)))*(GJ[Account Code]=(TRIM($D32))),GJ[Debit]))))</f>
        <v>0</v>
      </c>
      <c r="Q32" s="211">
        <f t="array" ref="Q32">((SUM(IF((CkDJ[Ofc Code]=(TRIM(Q$7)))*(CkDJ[Account Code]=(TRIM($D32))),CkDJ[Credit])))+(SUM(IF((CsDJ[Ofc Code]=(TRIM(Q$7)))*(CsDJ[Account Code]=(TRIM($D32))),CsDJ[Credit])))+(SUM(IF((CRDJ[Ofc Code]=(TRIM(Q$7)))*(CRDJ[Account Code]=(TRIM($D32))),CRDJ[Credit])))+(SUM(IF((GJ[Ofc Code]=(TRIM(Q$7)))*(GJ[Account Code]=(TRIM($D32))),GJ[Credit]))))-((SUM(IF((CkDJ[Ofc Code]=(TRIM(Q$7)))*(CkDJ[Account Code]=(TRIM($D32))),CkDJ[Debit])))+(SUM(IF((CsDJ[Ofc Code]=(TRIM(Q$7)))*(CsDJ[Account Code]=(TRIM($D32))),CsDJ[Debit])))+(SUM(IF((CRDJ[Ofc Code]=(TRIM(Q$7)))*(CRDJ[Account Code]=(TRIM($D32))),CRDJ[Debit])))+(SUM(IF((GJ[Ofc Code]=(TRIM(Q$7)))*(GJ[Account Code]=(TRIM($D32))),GJ[Debit]))))</f>
        <v>0</v>
      </c>
      <c r="R32" s="211">
        <f t="array" ref="R32">((SUM(IF((CkDJ[Ofc Code]=(TRIM(R$7)))*(CkDJ[Account Code]=(TRIM($D32))),CkDJ[Credit])))+(SUM(IF((CsDJ[Ofc Code]=(TRIM(R$7)))*(CsDJ[Account Code]=(TRIM($D32))),CsDJ[Credit])))+(SUM(IF((CRDJ[Ofc Code]=(TRIM(R$7)))*(CRDJ[Account Code]=(TRIM($D32))),CRDJ[Credit])))+(SUM(IF((GJ[Ofc Code]=(TRIM(R$7)))*(GJ[Account Code]=(TRIM($D32))),GJ[Credit]))))-((SUM(IF((CkDJ[Ofc Code]=(TRIM(R$7)))*(CkDJ[Account Code]=(TRIM($D32))),CkDJ[Debit])))+(SUM(IF((CsDJ[Ofc Code]=(TRIM(R$7)))*(CsDJ[Account Code]=(TRIM($D32))),CsDJ[Debit])))+(SUM(IF((CRDJ[Ofc Code]=(TRIM(R$7)))*(CRDJ[Account Code]=(TRIM($D32))),CRDJ[Debit])))+(SUM(IF((GJ[Ofc Code]=(TRIM(R$7)))*(GJ[Account Code]=(TRIM($D32))),GJ[Debit]))))</f>
        <v>0</v>
      </c>
      <c r="S32" s="211">
        <f t="array" ref="S32">((SUM(IF((CkDJ[Ofc Code]=(TRIM(S$7)))*(CkDJ[Account Code]=(TRIM($D32))),CkDJ[Credit])))+(SUM(IF((CsDJ[Ofc Code]=(TRIM(S$7)))*(CsDJ[Account Code]=(TRIM($D32))),CsDJ[Credit])))+(SUM(IF((CRDJ[Ofc Code]=(TRIM(S$7)))*(CRDJ[Account Code]=(TRIM($D32))),CRDJ[Credit])))+(SUM(IF((GJ[Ofc Code]=(TRIM(S$7)))*(GJ[Account Code]=(TRIM($D32))),GJ[Credit]))))-((SUM(IF((CkDJ[Ofc Code]=(TRIM(S$7)))*(CkDJ[Account Code]=(TRIM($D32))),CkDJ[Debit])))+(SUM(IF((CsDJ[Ofc Code]=(TRIM(S$7)))*(CsDJ[Account Code]=(TRIM($D32))),CsDJ[Debit])))+(SUM(IF((CRDJ[Ofc Code]=(TRIM(S$7)))*(CRDJ[Account Code]=(TRIM($D32))),CRDJ[Debit])))+(SUM(IF((GJ[Ofc Code]=(TRIM(S$7)))*(GJ[Account Code]=(TRIM($D32))),GJ[Debit]))))</f>
        <v>0</v>
      </c>
      <c r="T32" s="211">
        <f t="array" ref="T32">((SUM(IF((CkDJ[Ofc Code]=(TRIM(T$7)))*(CkDJ[Account Code]=(TRIM($D32))),CkDJ[Credit])))+(SUM(IF((CsDJ[Ofc Code]=(TRIM(T$7)))*(CsDJ[Account Code]=(TRIM($D32))),CsDJ[Credit])))+(SUM(IF((CRDJ[Ofc Code]=(TRIM(T$7)))*(CRDJ[Account Code]=(TRIM($D32))),CRDJ[Credit])))+(SUM(IF((GJ[Ofc Code]=(TRIM(T$7)))*(GJ[Account Code]=(TRIM($D32))),GJ[Credit]))))-((SUM(IF((CkDJ[Ofc Code]=(TRIM(T$7)))*(CkDJ[Account Code]=(TRIM($D32))),CkDJ[Debit])))+(SUM(IF((CsDJ[Ofc Code]=(TRIM(T$7)))*(CsDJ[Account Code]=(TRIM($D32))),CsDJ[Debit])))+(SUM(IF((CRDJ[Ofc Code]=(TRIM(T$7)))*(CRDJ[Account Code]=(TRIM($D32))),CRDJ[Debit])))+(SUM(IF((GJ[Ofc Code]=(TRIM(T$7)))*(GJ[Account Code]=(TRIM($D32))),GJ[Debit]))))</f>
        <v>0</v>
      </c>
      <c r="U32" s="211">
        <f t="shared" si="3"/>
        <v>0</v>
      </c>
      <c r="V32" s="211">
        <f t="shared" si="4"/>
        <v>0</v>
      </c>
    </row>
    <row r="33" spans="1:22" ht="15" x14ac:dyDescent="0.25">
      <c r="A33" s="212">
        <f t="shared" si="5"/>
        <v>25</v>
      </c>
      <c r="B33" s="194"/>
      <c r="C33" s="194" t="str">
        <f t="shared" si="0"/>
        <v>Miscellaneous Income (Power)</v>
      </c>
      <c r="D33" s="207" t="s">
        <v>352</v>
      </c>
      <c r="E33" s="211">
        <f t="array" ref="E33">((SUM(IF((CkDJ[Ofc Code]=(TRIM(E$7)))*(CkDJ[Account Code]=(TRIM($D33))),CkDJ[Credit])))+(SUM(IF((CsDJ[Ofc Code]=(TRIM(E$7)))*(CsDJ[Account Code]=(TRIM($D33))),CsDJ[Credit])))+(SUM(IF((CRDJ[Ofc Code]=(TRIM(E$7)))*(CRDJ[Account Code]=(TRIM($D33))),CRDJ[Credit])))+(SUM(IF((GJ[Ofc Code]=(TRIM(E$7)))*(GJ[Account Code]=(TRIM($D33))),GJ[Credit]))))-((SUM(IF((CkDJ[Ofc Code]=(TRIM(E$7)))*(CkDJ[Account Code]=(TRIM($D33))),CkDJ[Debit])))+(SUM(IF((CsDJ[Ofc Code]=(TRIM(E$7)))*(CsDJ[Account Code]=(TRIM($D33))),CsDJ[Debit])))+(SUM(IF((CRDJ[Ofc Code]=(TRIM(E$7)))*(CRDJ[Account Code]=(TRIM($D33))),CRDJ[Debit])))+(SUM(IF((GJ[Ofc Code]=(TRIM(E$7)))*(GJ[Account Code]=(TRIM($D33))),GJ[Debit]))))</f>
        <v>0</v>
      </c>
      <c r="F33" s="211">
        <f t="array" ref="F33">((SUM(IF((CkDJ[Ofc Code]=(TRIM(F$7)))*(CkDJ[Account Code]=(TRIM($D33))),CkDJ[Credit])))+(SUM(IF((CsDJ[Ofc Code]=(TRIM(F$7)))*(CsDJ[Account Code]=(TRIM($D33))),CsDJ[Credit])))+(SUM(IF((CRDJ[Ofc Code]=(TRIM(F$7)))*(CRDJ[Account Code]=(TRIM($D33))),CRDJ[Credit])))+(SUM(IF((GJ[Ofc Code]=(TRIM(F$7)))*(GJ[Account Code]=(TRIM($D33))),GJ[Credit]))))-((SUM(IF((CkDJ[Ofc Code]=(TRIM(F$7)))*(CkDJ[Account Code]=(TRIM($D33))),CkDJ[Debit])))+(SUM(IF((CsDJ[Ofc Code]=(TRIM(F$7)))*(CsDJ[Account Code]=(TRIM($D33))),CsDJ[Debit])))+(SUM(IF((CRDJ[Ofc Code]=(TRIM(F$7)))*(CRDJ[Account Code]=(TRIM($D33))),CRDJ[Debit])))+(SUM(IF((GJ[Ofc Code]=(TRIM(F$7)))*(GJ[Account Code]=(TRIM($D33))),GJ[Debit]))))</f>
        <v>0</v>
      </c>
      <c r="G33" s="211">
        <f t="array" ref="G33">((SUM(IF((CkDJ[Ofc Code]=(TRIM(G$7)))*(CkDJ[Account Code]=(TRIM($D33))),CkDJ[Credit])))+(SUM(IF((CsDJ[Ofc Code]=(TRIM(G$7)))*(CsDJ[Account Code]=(TRIM($D33))),CsDJ[Credit])))+(SUM(IF((CRDJ[Ofc Code]=(TRIM(G$7)))*(CRDJ[Account Code]=(TRIM($D33))),CRDJ[Credit])))+(SUM(IF((GJ[Ofc Code]=(TRIM(G$7)))*(GJ[Account Code]=(TRIM($D33))),GJ[Credit]))))-((SUM(IF((CkDJ[Ofc Code]=(TRIM(G$7)))*(CkDJ[Account Code]=(TRIM($D33))),CkDJ[Debit])))+(SUM(IF((CsDJ[Ofc Code]=(TRIM(G$7)))*(CsDJ[Account Code]=(TRIM($D33))),CsDJ[Debit])))+(SUM(IF((CRDJ[Ofc Code]=(TRIM(G$7)))*(CRDJ[Account Code]=(TRIM($D33))),CRDJ[Debit])))+(SUM(IF((GJ[Ofc Code]=(TRIM(G$7)))*(GJ[Account Code]=(TRIM($D33))),GJ[Debit]))))</f>
        <v>0</v>
      </c>
      <c r="H33" s="211">
        <f t="array" ref="H33">((SUM(IF((CkDJ[Ofc Code]=(TRIM(H$7)))*(CkDJ[Account Code]=(TRIM($D33))),CkDJ[Credit])))+(SUM(IF((CsDJ[Ofc Code]=(TRIM(H$7)))*(CsDJ[Account Code]=(TRIM($D33))),CsDJ[Credit])))+(SUM(IF((CRDJ[Ofc Code]=(TRIM(H$7)))*(CRDJ[Account Code]=(TRIM($D33))),CRDJ[Credit])))+(SUM(IF((GJ[Ofc Code]=(TRIM(H$7)))*(GJ[Account Code]=(TRIM($D33))),GJ[Credit]))))-((SUM(IF((CkDJ[Ofc Code]=(TRIM(H$7)))*(CkDJ[Account Code]=(TRIM($D33))),CkDJ[Debit])))+(SUM(IF((CsDJ[Ofc Code]=(TRIM(H$7)))*(CsDJ[Account Code]=(TRIM($D33))),CsDJ[Debit])))+(SUM(IF((CRDJ[Ofc Code]=(TRIM(H$7)))*(CRDJ[Account Code]=(TRIM($D33))),CRDJ[Debit])))+(SUM(IF((GJ[Ofc Code]=(TRIM(H$7)))*(GJ[Account Code]=(TRIM($D33))),GJ[Debit]))))</f>
        <v>0</v>
      </c>
      <c r="I33" s="211">
        <f t="array" ref="I33">((SUM(IF((CkDJ[Ofc Code]=(TRIM(I$7)))*(CkDJ[Account Code]=(TRIM($D33))),CkDJ[Credit])))+(SUM(IF((CsDJ[Ofc Code]=(TRIM(I$7)))*(CsDJ[Account Code]=(TRIM($D33))),CsDJ[Credit])))+(SUM(IF((CRDJ[Ofc Code]=(TRIM(I$7)))*(CRDJ[Account Code]=(TRIM($D33))),CRDJ[Credit])))+(SUM(IF((GJ[Ofc Code]=(TRIM(I$7)))*(GJ[Account Code]=(TRIM($D33))),GJ[Credit]))))-((SUM(IF((CkDJ[Ofc Code]=(TRIM(I$7)))*(CkDJ[Account Code]=(TRIM($D33))),CkDJ[Debit])))+(SUM(IF((CsDJ[Ofc Code]=(TRIM(I$7)))*(CsDJ[Account Code]=(TRIM($D33))),CsDJ[Debit])))+(SUM(IF((CRDJ[Ofc Code]=(TRIM(I$7)))*(CRDJ[Account Code]=(TRIM($D33))),CRDJ[Debit])))+(SUM(IF((GJ[Ofc Code]=(TRIM(I$7)))*(GJ[Account Code]=(TRIM($D33))),GJ[Debit]))))</f>
        <v>0</v>
      </c>
      <c r="J33" s="211">
        <f t="shared" si="1"/>
        <v>0</v>
      </c>
      <c r="K33" s="211">
        <f t="array" ref="K33">((SUM(IF((CkDJ[Ofc Code]=(TRIM(K$7)))*(CkDJ[Account Code]=(TRIM($D33))),CkDJ[Credit])))+(SUM(IF((CsDJ[Ofc Code]=(TRIM(K$7)))*(CsDJ[Account Code]=(TRIM($D33))),CsDJ[Credit])))+(SUM(IF((CRDJ[Ofc Code]=(TRIM(K$7)))*(CRDJ[Account Code]=(TRIM($D33))),CRDJ[Credit])))+(SUM(IF((GJ[Ofc Code]=(TRIM(K$7)))*(GJ[Account Code]=(TRIM($D33))),GJ[Credit]))))-((SUM(IF((CkDJ[Ofc Code]=(TRIM(K$7)))*(CkDJ[Account Code]=(TRIM($D33))),CkDJ[Debit])))+(SUM(IF((CsDJ[Ofc Code]=(TRIM(K$7)))*(CsDJ[Account Code]=(TRIM($D33))),CsDJ[Debit])))+(SUM(IF((CRDJ[Ofc Code]=(TRIM(K$7)))*(CRDJ[Account Code]=(TRIM($D33))),CRDJ[Debit])))+(SUM(IF((GJ[Ofc Code]=(TRIM(K$7)))*(GJ[Account Code]=(TRIM($D33))),GJ[Debit]))))</f>
        <v>0</v>
      </c>
      <c r="L33" s="211">
        <f t="array" ref="L33">((SUM(IF((CkDJ[Ofc Code]=(TRIM(L$7)))*(CkDJ[Account Code]=(TRIM($D33))),CkDJ[Credit])))+(SUM(IF((CsDJ[Ofc Code]=(TRIM(L$7)))*(CsDJ[Account Code]=(TRIM($D33))),CsDJ[Credit])))+(SUM(IF((CRDJ[Ofc Code]=(TRIM(L$7)))*(CRDJ[Account Code]=(TRIM($D33))),CRDJ[Credit])))+(SUM(IF((GJ[Ofc Code]=(TRIM(L$7)))*(GJ[Account Code]=(TRIM($D33))),GJ[Credit]))))-((SUM(IF((CkDJ[Ofc Code]=(TRIM(L$7)))*(CkDJ[Account Code]=(TRIM($D33))),CkDJ[Debit])))+(SUM(IF((CsDJ[Ofc Code]=(TRIM(L$7)))*(CsDJ[Account Code]=(TRIM($D33))),CsDJ[Debit])))+(SUM(IF((CRDJ[Ofc Code]=(TRIM(L$7)))*(CRDJ[Account Code]=(TRIM($D33))),CRDJ[Debit])))+(SUM(IF((GJ[Ofc Code]=(TRIM(L$7)))*(GJ[Account Code]=(TRIM($D33))),GJ[Debit]))))</f>
        <v>0</v>
      </c>
      <c r="M33" s="211">
        <f t="array" ref="M33">((SUM(IF((CkDJ[Ofc Code]=(TRIM(M$7)))*(CkDJ[Account Code]=(TRIM($D33))),CkDJ[Credit])))+(SUM(IF((CsDJ[Ofc Code]=(TRIM(M$7)))*(CsDJ[Account Code]=(TRIM($D33))),CsDJ[Credit])))+(SUM(IF((CRDJ[Ofc Code]=(TRIM(M$7)))*(CRDJ[Account Code]=(TRIM($D33))),CRDJ[Credit])))+(SUM(IF((GJ[Ofc Code]=(TRIM(M$7)))*(GJ[Account Code]=(TRIM($D33))),GJ[Credit]))))-((SUM(IF((CkDJ[Ofc Code]=(TRIM(M$7)))*(CkDJ[Account Code]=(TRIM($D33))),CkDJ[Debit])))+(SUM(IF((CsDJ[Ofc Code]=(TRIM(M$7)))*(CsDJ[Account Code]=(TRIM($D33))),CsDJ[Debit])))+(SUM(IF((CRDJ[Ofc Code]=(TRIM(M$7)))*(CRDJ[Account Code]=(TRIM($D33))),CRDJ[Debit])))+(SUM(IF((GJ[Ofc Code]=(TRIM(M$7)))*(GJ[Account Code]=(TRIM($D33))),GJ[Debit]))))</f>
        <v>0</v>
      </c>
      <c r="N33" s="211">
        <f t="array" ref="N33">((SUM(IF((CkDJ[Ofc Code]=(TRIM(N$7)))*(CkDJ[Account Code]=(TRIM($D33))),CkDJ[Credit])))+(SUM(IF((CsDJ[Ofc Code]=(TRIM(N$7)))*(CsDJ[Account Code]=(TRIM($D33))),CsDJ[Credit])))+(SUM(IF((CRDJ[Ofc Code]=(TRIM(N$7)))*(CRDJ[Account Code]=(TRIM($D33))),CRDJ[Credit])))+(SUM(IF((GJ[Ofc Code]=(TRIM(N$7)))*(GJ[Account Code]=(TRIM($D33))),GJ[Credit]))))-((SUM(IF((CkDJ[Ofc Code]=(TRIM(N$7)))*(CkDJ[Account Code]=(TRIM($D33))),CkDJ[Debit])))+(SUM(IF((CsDJ[Ofc Code]=(TRIM(N$7)))*(CsDJ[Account Code]=(TRIM($D33))),CsDJ[Debit])))+(SUM(IF((CRDJ[Ofc Code]=(TRIM(N$7)))*(CRDJ[Account Code]=(TRIM($D33))),CRDJ[Debit])))+(SUM(IF((GJ[Ofc Code]=(TRIM(N$7)))*(GJ[Account Code]=(TRIM($D33))),GJ[Debit]))))</f>
        <v>0</v>
      </c>
      <c r="O33" s="211">
        <f t="shared" si="2"/>
        <v>0</v>
      </c>
      <c r="P33" s="211">
        <f t="array" ref="P33">((SUM(IF((CkDJ[Ofc Code]=(TRIM(P$7)))*(CkDJ[Account Code]=(TRIM($D33))),CkDJ[Credit])))+(SUM(IF((CsDJ[Ofc Code]=(TRIM(P$7)))*(CsDJ[Account Code]=(TRIM($D33))),CsDJ[Credit])))+(SUM(IF((CRDJ[Ofc Code]=(TRIM(P$7)))*(CRDJ[Account Code]=(TRIM($D33))),CRDJ[Credit])))+(SUM(IF((GJ[Ofc Code]=(TRIM(P$7)))*(GJ[Account Code]=(TRIM($D33))),GJ[Credit]))))-((SUM(IF((CkDJ[Ofc Code]=(TRIM(P$7)))*(CkDJ[Account Code]=(TRIM($D33))),CkDJ[Debit])))+(SUM(IF((CsDJ[Ofc Code]=(TRIM(P$7)))*(CsDJ[Account Code]=(TRIM($D33))),CsDJ[Debit])))+(SUM(IF((CRDJ[Ofc Code]=(TRIM(P$7)))*(CRDJ[Account Code]=(TRIM($D33))),CRDJ[Debit])))+(SUM(IF((GJ[Ofc Code]=(TRIM(P$7)))*(GJ[Account Code]=(TRIM($D33))),GJ[Debit]))))</f>
        <v>0</v>
      </c>
      <c r="Q33" s="211">
        <f t="array" ref="Q33">((SUM(IF((CkDJ[Ofc Code]=(TRIM(Q$7)))*(CkDJ[Account Code]=(TRIM($D33))),CkDJ[Credit])))+(SUM(IF((CsDJ[Ofc Code]=(TRIM(Q$7)))*(CsDJ[Account Code]=(TRIM($D33))),CsDJ[Credit])))+(SUM(IF((CRDJ[Ofc Code]=(TRIM(Q$7)))*(CRDJ[Account Code]=(TRIM($D33))),CRDJ[Credit])))+(SUM(IF((GJ[Ofc Code]=(TRIM(Q$7)))*(GJ[Account Code]=(TRIM($D33))),GJ[Credit]))))-((SUM(IF((CkDJ[Ofc Code]=(TRIM(Q$7)))*(CkDJ[Account Code]=(TRIM($D33))),CkDJ[Debit])))+(SUM(IF((CsDJ[Ofc Code]=(TRIM(Q$7)))*(CsDJ[Account Code]=(TRIM($D33))),CsDJ[Debit])))+(SUM(IF((CRDJ[Ofc Code]=(TRIM(Q$7)))*(CRDJ[Account Code]=(TRIM($D33))),CRDJ[Debit])))+(SUM(IF((GJ[Ofc Code]=(TRIM(Q$7)))*(GJ[Account Code]=(TRIM($D33))),GJ[Debit]))))</f>
        <v>0</v>
      </c>
      <c r="R33" s="211">
        <f t="array" ref="R33">((SUM(IF((CkDJ[Ofc Code]=(TRIM(R$7)))*(CkDJ[Account Code]=(TRIM($D33))),CkDJ[Credit])))+(SUM(IF((CsDJ[Ofc Code]=(TRIM(R$7)))*(CsDJ[Account Code]=(TRIM($D33))),CsDJ[Credit])))+(SUM(IF((CRDJ[Ofc Code]=(TRIM(R$7)))*(CRDJ[Account Code]=(TRIM($D33))),CRDJ[Credit])))+(SUM(IF((GJ[Ofc Code]=(TRIM(R$7)))*(GJ[Account Code]=(TRIM($D33))),GJ[Credit]))))-((SUM(IF((CkDJ[Ofc Code]=(TRIM(R$7)))*(CkDJ[Account Code]=(TRIM($D33))),CkDJ[Debit])))+(SUM(IF((CsDJ[Ofc Code]=(TRIM(R$7)))*(CsDJ[Account Code]=(TRIM($D33))),CsDJ[Debit])))+(SUM(IF((CRDJ[Ofc Code]=(TRIM(R$7)))*(CRDJ[Account Code]=(TRIM($D33))),CRDJ[Debit])))+(SUM(IF((GJ[Ofc Code]=(TRIM(R$7)))*(GJ[Account Code]=(TRIM($D33))),GJ[Debit]))))</f>
        <v>0</v>
      </c>
      <c r="S33" s="211">
        <f t="array" ref="S33">((SUM(IF((CkDJ[Ofc Code]=(TRIM(S$7)))*(CkDJ[Account Code]=(TRIM($D33))),CkDJ[Credit])))+(SUM(IF((CsDJ[Ofc Code]=(TRIM(S$7)))*(CsDJ[Account Code]=(TRIM($D33))),CsDJ[Credit])))+(SUM(IF((CRDJ[Ofc Code]=(TRIM(S$7)))*(CRDJ[Account Code]=(TRIM($D33))),CRDJ[Credit])))+(SUM(IF((GJ[Ofc Code]=(TRIM(S$7)))*(GJ[Account Code]=(TRIM($D33))),GJ[Credit]))))-((SUM(IF((CkDJ[Ofc Code]=(TRIM(S$7)))*(CkDJ[Account Code]=(TRIM($D33))),CkDJ[Debit])))+(SUM(IF((CsDJ[Ofc Code]=(TRIM(S$7)))*(CsDJ[Account Code]=(TRIM($D33))),CsDJ[Debit])))+(SUM(IF((CRDJ[Ofc Code]=(TRIM(S$7)))*(CRDJ[Account Code]=(TRIM($D33))),CRDJ[Debit])))+(SUM(IF((GJ[Ofc Code]=(TRIM(S$7)))*(GJ[Account Code]=(TRIM($D33))),GJ[Debit]))))</f>
        <v>0</v>
      </c>
      <c r="T33" s="211">
        <f t="array" ref="T33">((SUM(IF((CkDJ[Ofc Code]=(TRIM(T$7)))*(CkDJ[Account Code]=(TRIM($D33))),CkDJ[Credit])))+(SUM(IF((CsDJ[Ofc Code]=(TRIM(T$7)))*(CsDJ[Account Code]=(TRIM($D33))),CsDJ[Credit])))+(SUM(IF((CRDJ[Ofc Code]=(TRIM(T$7)))*(CRDJ[Account Code]=(TRIM($D33))),CRDJ[Credit])))+(SUM(IF((GJ[Ofc Code]=(TRIM(T$7)))*(GJ[Account Code]=(TRIM($D33))),GJ[Credit]))))-((SUM(IF((CkDJ[Ofc Code]=(TRIM(T$7)))*(CkDJ[Account Code]=(TRIM($D33))),CkDJ[Debit])))+(SUM(IF((CsDJ[Ofc Code]=(TRIM(T$7)))*(CsDJ[Account Code]=(TRIM($D33))),CsDJ[Debit])))+(SUM(IF((CRDJ[Ofc Code]=(TRIM(T$7)))*(CRDJ[Account Code]=(TRIM($D33))),CRDJ[Debit])))+(SUM(IF((GJ[Ofc Code]=(TRIM(T$7)))*(GJ[Account Code]=(TRIM($D33))),GJ[Debit]))))</f>
        <v>0</v>
      </c>
      <c r="U33" s="211">
        <f t="shared" si="3"/>
        <v>0</v>
      </c>
      <c r="V33" s="211">
        <f t="shared" si="4"/>
        <v>0</v>
      </c>
    </row>
    <row r="34" spans="1:22" ht="15" x14ac:dyDescent="0.25">
      <c r="A34" s="212">
        <f t="shared" si="5"/>
        <v>26</v>
      </c>
      <c r="B34" s="194"/>
      <c r="C34" s="194" t="e">
        <f>IF(D34=0,"",(VLOOKUP((TRIM(D34)),Code,2,)))</f>
        <v>#N/A</v>
      </c>
      <c r="D34" s="207" t="s">
        <v>158</v>
      </c>
      <c r="E34" s="211">
        <f t="array" ref="E34">((SUM(IF((CkDJ[Ofc Code]=(TRIM(E$7)))*(CkDJ[Account Code]=(TRIM($D34))),CkDJ[Credit])))+(SUM(IF((CsDJ[Ofc Code]=(TRIM(E$7)))*(CsDJ[Account Code]=(TRIM($D34))),CsDJ[Credit])))+(SUM(IF((CRDJ[Ofc Code]=(TRIM(E$7)))*(CRDJ[Account Code]=(TRIM($D34))),CRDJ[Credit])))+(SUM(IF((GJ[Ofc Code]=(TRIM(E$7)))*(GJ[Account Code]=(TRIM($D34))),GJ[Credit]))))-((SUM(IF((CkDJ[Ofc Code]=(TRIM(E$7)))*(CkDJ[Account Code]=(TRIM($D34))),CkDJ[Debit])))+(SUM(IF((CsDJ[Ofc Code]=(TRIM(E$7)))*(CsDJ[Account Code]=(TRIM($D34))),CsDJ[Debit])))+(SUM(IF((CRDJ[Ofc Code]=(TRIM(E$7)))*(CRDJ[Account Code]=(TRIM($D34))),CRDJ[Debit])))+(SUM(IF((GJ[Ofc Code]=(TRIM(E$7)))*(GJ[Account Code]=(TRIM($D34))),GJ[Debit]))))</f>
        <v>0</v>
      </c>
      <c r="F34" s="211">
        <f t="array" ref="F34">((SUM(IF((CkDJ[Ofc Code]=(TRIM(F$7)))*(CkDJ[Account Code]=(TRIM($D34))),CkDJ[Credit])))+(SUM(IF((CsDJ[Ofc Code]=(TRIM(F$7)))*(CsDJ[Account Code]=(TRIM($D34))),CsDJ[Credit])))+(SUM(IF((CRDJ[Ofc Code]=(TRIM(F$7)))*(CRDJ[Account Code]=(TRIM($D34))),CRDJ[Credit])))+(SUM(IF((GJ[Ofc Code]=(TRIM(F$7)))*(GJ[Account Code]=(TRIM($D34))),GJ[Credit]))))-((SUM(IF((CkDJ[Ofc Code]=(TRIM(F$7)))*(CkDJ[Account Code]=(TRIM($D34))),CkDJ[Debit])))+(SUM(IF((CsDJ[Ofc Code]=(TRIM(F$7)))*(CsDJ[Account Code]=(TRIM($D34))),CsDJ[Debit])))+(SUM(IF((CRDJ[Ofc Code]=(TRIM(F$7)))*(CRDJ[Account Code]=(TRIM($D34))),CRDJ[Debit])))+(SUM(IF((GJ[Ofc Code]=(TRIM(F$7)))*(GJ[Account Code]=(TRIM($D34))),GJ[Debit]))))</f>
        <v>0</v>
      </c>
      <c r="G34" s="211">
        <f t="array" ref="G34">((SUM(IF((CkDJ[Ofc Code]=(TRIM(G$7)))*(CkDJ[Account Code]=(TRIM($D34))),CkDJ[Credit])))+(SUM(IF((CsDJ[Ofc Code]=(TRIM(G$7)))*(CsDJ[Account Code]=(TRIM($D34))),CsDJ[Credit])))+(SUM(IF((CRDJ[Ofc Code]=(TRIM(G$7)))*(CRDJ[Account Code]=(TRIM($D34))),CRDJ[Credit])))+(SUM(IF((GJ[Ofc Code]=(TRIM(G$7)))*(GJ[Account Code]=(TRIM($D34))),GJ[Credit]))))-((SUM(IF((CkDJ[Ofc Code]=(TRIM(G$7)))*(CkDJ[Account Code]=(TRIM($D34))),CkDJ[Debit])))+(SUM(IF((CsDJ[Ofc Code]=(TRIM(G$7)))*(CsDJ[Account Code]=(TRIM($D34))),CsDJ[Debit])))+(SUM(IF((CRDJ[Ofc Code]=(TRIM(G$7)))*(CRDJ[Account Code]=(TRIM($D34))),CRDJ[Debit])))+(SUM(IF((GJ[Ofc Code]=(TRIM(G$7)))*(GJ[Account Code]=(TRIM($D34))),GJ[Debit]))))</f>
        <v>0</v>
      </c>
      <c r="H34" s="211">
        <f t="array" ref="H34">((SUM(IF((CkDJ[Ofc Code]=(TRIM(H$7)))*(CkDJ[Account Code]=(TRIM($D34))),CkDJ[Credit])))+(SUM(IF((CsDJ[Ofc Code]=(TRIM(H$7)))*(CsDJ[Account Code]=(TRIM($D34))),CsDJ[Credit])))+(SUM(IF((CRDJ[Ofc Code]=(TRIM(H$7)))*(CRDJ[Account Code]=(TRIM($D34))),CRDJ[Credit])))+(SUM(IF((GJ[Ofc Code]=(TRIM(H$7)))*(GJ[Account Code]=(TRIM($D34))),GJ[Credit]))))-((SUM(IF((CkDJ[Ofc Code]=(TRIM(H$7)))*(CkDJ[Account Code]=(TRIM($D34))),CkDJ[Debit])))+(SUM(IF((CsDJ[Ofc Code]=(TRIM(H$7)))*(CsDJ[Account Code]=(TRIM($D34))),CsDJ[Debit])))+(SUM(IF((CRDJ[Ofc Code]=(TRIM(H$7)))*(CRDJ[Account Code]=(TRIM($D34))),CRDJ[Debit])))+(SUM(IF((GJ[Ofc Code]=(TRIM(H$7)))*(GJ[Account Code]=(TRIM($D34))),GJ[Debit]))))</f>
        <v>0</v>
      </c>
      <c r="I34" s="211">
        <f t="array" ref="I34">((SUM(IF((CkDJ[Ofc Code]=(TRIM(I$7)))*(CkDJ[Account Code]=(TRIM($D34))),CkDJ[Credit])))+(SUM(IF((CsDJ[Ofc Code]=(TRIM(I$7)))*(CsDJ[Account Code]=(TRIM($D34))),CsDJ[Credit])))+(SUM(IF((CRDJ[Ofc Code]=(TRIM(I$7)))*(CRDJ[Account Code]=(TRIM($D34))),CRDJ[Credit])))+(SUM(IF((GJ[Ofc Code]=(TRIM(I$7)))*(GJ[Account Code]=(TRIM($D34))),GJ[Credit]))))-((SUM(IF((CkDJ[Ofc Code]=(TRIM(I$7)))*(CkDJ[Account Code]=(TRIM($D34))),CkDJ[Debit])))+(SUM(IF((CsDJ[Ofc Code]=(TRIM(I$7)))*(CsDJ[Account Code]=(TRIM($D34))),CsDJ[Debit])))+(SUM(IF((CRDJ[Ofc Code]=(TRIM(I$7)))*(CRDJ[Account Code]=(TRIM($D34))),CRDJ[Debit])))+(SUM(IF((GJ[Ofc Code]=(TRIM(I$7)))*(GJ[Account Code]=(TRIM($D34))),GJ[Debit]))))</f>
        <v>0</v>
      </c>
      <c r="J34" s="211">
        <f>SUM(F34:I34)</f>
        <v>0</v>
      </c>
      <c r="K34" s="211">
        <f t="array" ref="K34">((SUM(IF((CkDJ[Ofc Code]=(TRIM(K$7)))*(CkDJ[Account Code]=(TRIM($D34))),CkDJ[Credit])))+(SUM(IF((CsDJ[Ofc Code]=(TRIM(K$7)))*(CsDJ[Account Code]=(TRIM($D34))),CsDJ[Credit])))+(SUM(IF((CRDJ[Ofc Code]=(TRIM(K$7)))*(CRDJ[Account Code]=(TRIM($D34))),CRDJ[Credit])))+(SUM(IF((GJ[Ofc Code]=(TRIM(K$7)))*(GJ[Account Code]=(TRIM($D34))),GJ[Credit]))))-((SUM(IF((CkDJ[Ofc Code]=(TRIM(K$7)))*(CkDJ[Account Code]=(TRIM($D34))),CkDJ[Debit])))+(SUM(IF((CsDJ[Ofc Code]=(TRIM(K$7)))*(CsDJ[Account Code]=(TRIM($D34))),CsDJ[Debit])))+(SUM(IF((CRDJ[Ofc Code]=(TRIM(K$7)))*(CRDJ[Account Code]=(TRIM($D34))),CRDJ[Debit])))+(SUM(IF((GJ[Ofc Code]=(TRIM(K$7)))*(GJ[Account Code]=(TRIM($D34))),GJ[Debit]))))</f>
        <v>0</v>
      </c>
      <c r="L34" s="211">
        <f t="array" ref="L34">((SUM(IF((CkDJ[Ofc Code]=(TRIM(L$7)))*(CkDJ[Account Code]=(TRIM($D34))),CkDJ[Credit])))+(SUM(IF((CsDJ[Ofc Code]=(TRIM(L$7)))*(CsDJ[Account Code]=(TRIM($D34))),CsDJ[Credit])))+(SUM(IF((CRDJ[Ofc Code]=(TRIM(L$7)))*(CRDJ[Account Code]=(TRIM($D34))),CRDJ[Credit])))+(SUM(IF((GJ[Ofc Code]=(TRIM(L$7)))*(GJ[Account Code]=(TRIM($D34))),GJ[Credit]))))-((SUM(IF((CkDJ[Ofc Code]=(TRIM(L$7)))*(CkDJ[Account Code]=(TRIM($D34))),CkDJ[Debit])))+(SUM(IF((CsDJ[Ofc Code]=(TRIM(L$7)))*(CsDJ[Account Code]=(TRIM($D34))),CsDJ[Debit])))+(SUM(IF((CRDJ[Ofc Code]=(TRIM(L$7)))*(CRDJ[Account Code]=(TRIM($D34))),CRDJ[Debit])))+(SUM(IF((GJ[Ofc Code]=(TRIM(L$7)))*(GJ[Account Code]=(TRIM($D34))),GJ[Debit]))))</f>
        <v>0</v>
      </c>
      <c r="M34" s="211">
        <f t="array" ref="M34">((SUM(IF((CkDJ[Ofc Code]=(TRIM(M$7)))*(CkDJ[Account Code]=(TRIM($D34))),CkDJ[Credit])))+(SUM(IF((CsDJ[Ofc Code]=(TRIM(M$7)))*(CsDJ[Account Code]=(TRIM($D34))),CsDJ[Credit])))+(SUM(IF((CRDJ[Ofc Code]=(TRIM(M$7)))*(CRDJ[Account Code]=(TRIM($D34))),CRDJ[Credit])))+(SUM(IF((GJ[Ofc Code]=(TRIM(M$7)))*(GJ[Account Code]=(TRIM($D34))),GJ[Credit]))))-((SUM(IF((CkDJ[Ofc Code]=(TRIM(M$7)))*(CkDJ[Account Code]=(TRIM($D34))),CkDJ[Debit])))+(SUM(IF((CsDJ[Ofc Code]=(TRIM(M$7)))*(CsDJ[Account Code]=(TRIM($D34))),CsDJ[Debit])))+(SUM(IF((CRDJ[Ofc Code]=(TRIM(M$7)))*(CRDJ[Account Code]=(TRIM($D34))),CRDJ[Debit])))+(SUM(IF((GJ[Ofc Code]=(TRIM(M$7)))*(GJ[Account Code]=(TRIM($D34))),GJ[Debit]))))</f>
        <v>0</v>
      </c>
      <c r="N34" s="211">
        <f t="array" ref="N34">((SUM(IF((CkDJ[Ofc Code]=(TRIM(N$7)))*(CkDJ[Account Code]=(TRIM($D34))),CkDJ[Credit])))+(SUM(IF((CsDJ[Ofc Code]=(TRIM(N$7)))*(CsDJ[Account Code]=(TRIM($D34))),CsDJ[Credit])))+(SUM(IF((CRDJ[Ofc Code]=(TRIM(N$7)))*(CRDJ[Account Code]=(TRIM($D34))),CRDJ[Credit])))+(SUM(IF((GJ[Ofc Code]=(TRIM(N$7)))*(GJ[Account Code]=(TRIM($D34))),GJ[Credit]))))-((SUM(IF((CkDJ[Ofc Code]=(TRIM(N$7)))*(CkDJ[Account Code]=(TRIM($D34))),CkDJ[Debit])))+(SUM(IF((CsDJ[Ofc Code]=(TRIM(N$7)))*(CsDJ[Account Code]=(TRIM($D34))),CsDJ[Debit])))+(SUM(IF((CRDJ[Ofc Code]=(TRIM(N$7)))*(CRDJ[Account Code]=(TRIM($D34))),CRDJ[Debit])))+(SUM(IF((GJ[Ofc Code]=(TRIM(N$7)))*(GJ[Account Code]=(TRIM($D34))),GJ[Debit]))))</f>
        <v>0</v>
      </c>
      <c r="O34" s="211">
        <f>SUM(K34:N34)</f>
        <v>0</v>
      </c>
      <c r="P34" s="211">
        <f t="array" ref="P34">((SUM(IF((CkDJ[Ofc Code]=(TRIM(P$7)))*(CkDJ[Account Code]=(TRIM($D34))),CkDJ[Credit])))+(SUM(IF((CsDJ[Ofc Code]=(TRIM(P$7)))*(CsDJ[Account Code]=(TRIM($D34))),CsDJ[Credit])))+(SUM(IF((CRDJ[Ofc Code]=(TRIM(P$7)))*(CRDJ[Account Code]=(TRIM($D34))),CRDJ[Credit])))+(SUM(IF((GJ[Ofc Code]=(TRIM(P$7)))*(GJ[Account Code]=(TRIM($D34))),GJ[Credit]))))-((SUM(IF((CkDJ[Ofc Code]=(TRIM(P$7)))*(CkDJ[Account Code]=(TRIM($D34))),CkDJ[Debit])))+(SUM(IF((CsDJ[Ofc Code]=(TRIM(P$7)))*(CsDJ[Account Code]=(TRIM($D34))),CsDJ[Debit])))+(SUM(IF((CRDJ[Ofc Code]=(TRIM(P$7)))*(CRDJ[Account Code]=(TRIM($D34))),CRDJ[Debit])))+(SUM(IF((GJ[Ofc Code]=(TRIM(P$7)))*(GJ[Account Code]=(TRIM($D34))),GJ[Debit]))))</f>
        <v>0</v>
      </c>
      <c r="Q34" s="211">
        <f t="array" ref="Q34">((SUM(IF((CkDJ[Ofc Code]=(TRIM(Q$7)))*(CkDJ[Account Code]=(TRIM($D34))),CkDJ[Credit])))+(SUM(IF((CsDJ[Ofc Code]=(TRIM(Q$7)))*(CsDJ[Account Code]=(TRIM($D34))),CsDJ[Credit])))+(SUM(IF((CRDJ[Ofc Code]=(TRIM(Q$7)))*(CRDJ[Account Code]=(TRIM($D34))),CRDJ[Credit])))+(SUM(IF((GJ[Ofc Code]=(TRIM(Q$7)))*(GJ[Account Code]=(TRIM($D34))),GJ[Credit]))))-((SUM(IF((CkDJ[Ofc Code]=(TRIM(Q$7)))*(CkDJ[Account Code]=(TRIM($D34))),CkDJ[Debit])))+(SUM(IF((CsDJ[Ofc Code]=(TRIM(Q$7)))*(CsDJ[Account Code]=(TRIM($D34))),CsDJ[Debit])))+(SUM(IF((CRDJ[Ofc Code]=(TRIM(Q$7)))*(CRDJ[Account Code]=(TRIM($D34))),CRDJ[Debit])))+(SUM(IF((GJ[Ofc Code]=(TRIM(Q$7)))*(GJ[Account Code]=(TRIM($D34))),GJ[Debit]))))</f>
        <v>0</v>
      </c>
      <c r="R34" s="211">
        <f t="array" ref="R34">((SUM(IF((CkDJ[Ofc Code]=(TRIM(R$7)))*(CkDJ[Account Code]=(TRIM($D34))),CkDJ[Credit])))+(SUM(IF((CsDJ[Ofc Code]=(TRIM(R$7)))*(CsDJ[Account Code]=(TRIM($D34))),CsDJ[Credit])))+(SUM(IF((CRDJ[Ofc Code]=(TRIM(R$7)))*(CRDJ[Account Code]=(TRIM($D34))),CRDJ[Credit])))+(SUM(IF((GJ[Ofc Code]=(TRIM(R$7)))*(GJ[Account Code]=(TRIM($D34))),GJ[Credit]))))-((SUM(IF((CkDJ[Ofc Code]=(TRIM(R$7)))*(CkDJ[Account Code]=(TRIM($D34))),CkDJ[Debit])))+(SUM(IF((CsDJ[Ofc Code]=(TRIM(R$7)))*(CsDJ[Account Code]=(TRIM($D34))),CsDJ[Debit])))+(SUM(IF((CRDJ[Ofc Code]=(TRIM(R$7)))*(CRDJ[Account Code]=(TRIM($D34))),CRDJ[Debit])))+(SUM(IF((GJ[Ofc Code]=(TRIM(R$7)))*(GJ[Account Code]=(TRIM($D34))),GJ[Debit]))))</f>
        <v>0</v>
      </c>
      <c r="S34" s="211">
        <f t="array" ref="S34">((SUM(IF((CkDJ[Ofc Code]=(TRIM(S$7)))*(CkDJ[Account Code]=(TRIM($D34))),CkDJ[Credit])))+(SUM(IF((CsDJ[Ofc Code]=(TRIM(S$7)))*(CsDJ[Account Code]=(TRIM($D34))),CsDJ[Credit])))+(SUM(IF((CRDJ[Ofc Code]=(TRIM(S$7)))*(CRDJ[Account Code]=(TRIM($D34))),CRDJ[Credit])))+(SUM(IF((GJ[Ofc Code]=(TRIM(S$7)))*(GJ[Account Code]=(TRIM($D34))),GJ[Credit]))))-((SUM(IF((CkDJ[Ofc Code]=(TRIM(S$7)))*(CkDJ[Account Code]=(TRIM($D34))),CkDJ[Debit])))+(SUM(IF((CsDJ[Ofc Code]=(TRIM(S$7)))*(CsDJ[Account Code]=(TRIM($D34))),CsDJ[Debit])))+(SUM(IF((CRDJ[Ofc Code]=(TRIM(S$7)))*(CRDJ[Account Code]=(TRIM($D34))),CRDJ[Debit])))+(SUM(IF((GJ[Ofc Code]=(TRIM(S$7)))*(GJ[Account Code]=(TRIM($D34))),GJ[Debit]))))</f>
        <v>0</v>
      </c>
      <c r="T34" s="211">
        <f t="array" ref="T34">((SUM(IF((CkDJ[Ofc Code]=(TRIM(T$7)))*(CkDJ[Account Code]=(TRIM($D34))),CkDJ[Credit])))+(SUM(IF((CsDJ[Ofc Code]=(TRIM(T$7)))*(CsDJ[Account Code]=(TRIM($D34))),CsDJ[Credit])))+(SUM(IF((CRDJ[Ofc Code]=(TRIM(T$7)))*(CRDJ[Account Code]=(TRIM($D34))),CRDJ[Credit])))+(SUM(IF((GJ[Ofc Code]=(TRIM(T$7)))*(GJ[Account Code]=(TRIM($D34))),GJ[Credit]))))-((SUM(IF((CkDJ[Ofc Code]=(TRIM(T$7)))*(CkDJ[Account Code]=(TRIM($D34))),CkDJ[Debit])))+(SUM(IF((CsDJ[Ofc Code]=(TRIM(T$7)))*(CsDJ[Account Code]=(TRIM($D34))),CsDJ[Debit])))+(SUM(IF((CRDJ[Ofc Code]=(TRIM(T$7)))*(CRDJ[Account Code]=(TRIM($D34))),CRDJ[Debit])))+(SUM(IF((GJ[Ofc Code]=(TRIM(T$7)))*(GJ[Account Code]=(TRIM($D34))),GJ[Debit]))))</f>
        <v>0</v>
      </c>
      <c r="U34" s="211">
        <f>SUM(P34:T34)</f>
        <v>0</v>
      </c>
      <c r="V34" s="211">
        <f>E34+J34+O34+U34</f>
        <v>0</v>
      </c>
    </row>
    <row r="35" spans="1:22" ht="15" x14ac:dyDescent="0.25">
      <c r="A35" s="212">
        <f t="shared" si="5"/>
        <v>27</v>
      </c>
      <c r="B35" s="194"/>
      <c r="C35" s="194" t="e">
        <f t="shared" si="0"/>
        <v>#N/A</v>
      </c>
      <c r="D35" s="207" t="s">
        <v>161</v>
      </c>
      <c r="E35" s="211">
        <f t="array" ref="E35">((SUM(IF((CkDJ[Ofc Code]=(TRIM(E$7)))*(CkDJ[Account Code]=(TRIM($D35))),CkDJ[Credit])))+(SUM(IF((CsDJ[Ofc Code]=(TRIM(E$7)))*(CsDJ[Account Code]=(TRIM($D35))),CsDJ[Credit])))+(SUM(IF((CRDJ[Ofc Code]=(TRIM(E$7)))*(CRDJ[Account Code]=(TRIM($D35))),CRDJ[Credit])))+(SUM(IF((GJ[Ofc Code]=(TRIM(E$7)))*(GJ[Account Code]=(TRIM($D35))),GJ[Credit]))))-((SUM(IF((CkDJ[Ofc Code]=(TRIM(E$7)))*(CkDJ[Account Code]=(TRIM($D35))),CkDJ[Debit])))+(SUM(IF((CsDJ[Ofc Code]=(TRIM(E$7)))*(CsDJ[Account Code]=(TRIM($D35))),CsDJ[Debit])))+(SUM(IF((CRDJ[Ofc Code]=(TRIM(E$7)))*(CRDJ[Account Code]=(TRIM($D35))),CRDJ[Debit])))+(SUM(IF((GJ[Ofc Code]=(TRIM(E$7)))*(GJ[Account Code]=(TRIM($D35))),GJ[Debit]))))</f>
        <v>0</v>
      </c>
      <c r="F35" s="211">
        <f t="array" ref="F35">((SUM(IF((CkDJ[Ofc Code]=(TRIM(F$7)))*(CkDJ[Account Code]=(TRIM($D35))),CkDJ[Credit])))+(SUM(IF((CsDJ[Ofc Code]=(TRIM(F$7)))*(CsDJ[Account Code]=(TRIM($D35))),CsDJ[Credit])))+(SUM(IF((CRDJ[Ofc Code]=(TRIM(F$7)))*(CRDJ[Account Code]=(TRIM($D35))),CRDJ[Credit])))+(SUM(IF((GJ[Ofc Code]=(TRIM(F$7)))*(GJ[Account Code]=(TRIM($D35))),GJ[Credit]))))-((SUM(IF((CkDJ[Ofc Code]=(TRIM(F$7)))*(CkDJ[Account Code]=(TRIM($D35))),CkDJ[Debit])))+(SUM(IF((CsDJ[Ofc Code]=(TRIM(F$7)))*(CsDJ[Account Code]=(TRIM($D35))),CsDJ[Debit])))+(SUM(IF((CRDJ[Ofc Code]=(TRIM(F$7)))*(CRDJ[Account Code]=(TRIM($D35))),CRDJ[Debit])))+(SUM(IF((GJ[Ofc Code]=(TRIM(F$7)))*(GJ[Account Code]=(TRIM($D35))),GJ[Debit]))))</f>
        <v>0</v>
      </c>
      <c r="G35" s="211">
        <f t="array" ref="G35">((SUM(IF((CkDJ[Ofc Code]=(TRIM(G$7)))*(CkDJ[Account Code]=(TRIM($D35))),CkDJ[Credit])))+(SUM(IF((CsDJ[Ofc Code]=(TRIM(G$7)))*(CsDJ[Account Code]=(TRIM($D35))),CsDJ[Credit])))+(SUM(IF((CRDJ[Ofc Code]=(TRIM(G$7)))*(CRDJ[Account Code]=(TRIM($D35))),CRDJ[Credit])))+(SUM(IF((GJ[Ofc Code]=(TRIM(G$7)))*(GJ[Account Code]=(TRIM($D35))),GJ[Credit]))))-((SUM(IF((CkDJ[Ofc Code]=(TRIM(G$7)))*(CkDJ[Account Code]=(TRIM($D35))),CkDJ[Debit])))+(SUM(IF((CsDJ[Ofc Code]=(TRIM(G$7)))*(CsDJ[Account Code]=(TRIM($D35))),CsDJ[Debit])))+(SUM(IF((CRDJ[Ofc Code]=(TRIM(G$7)))*(CRDJ[Account Code]=(TRIM($D35))),CRDJ[Debit])))+(SUM(IF((GJ[Ofc Code]=(TRIM(G$7)))*(GJ[Account Code]=(TRIM($D35))),GJ[Debit]))))</f>
        <v>0</v>
      </c>
      <c r="H35" s="211">
        <f t="array" ref="H35">((SUM(IF((CkDJ[Ofc Code]=(TRIM(H$7)))*(CkDJ[Account Code]=(TRIM($D35))),CkDJ[Credit])))+(SUM(IF((CsDJ[Ofc Code]=(TRIM(H$7)))*(CsDJ[Account Code]=(TRIM($D35))),CsDJ[Credit])))+(SUM(IF((CRDJ[Ofc Code]=(TRIM(H$7)))*(CRDJ[Account Code]=(TRIM($D35))),CRDJ[Credit])))+(SUM(IF((GJ[Ofc Code]=(TRIM(H$7)))*(GJ[Account Code]=(TRIM($D35))),GJ[Credit]))))-((SUM(IF((CkDJ[Ofc Code]=(TRIM(H$7)))*(CkDJ[Account Code]=(TRIM($D35))),CkDJ[Debit])))+(SUM(IF((CsDJ[Ofc Code]=(TRIM(H$7)))*(CsDJ[Account Code]=(TRIM($D35))),CsDJ[Debit])))+(SUM(IF((CRDJ[Ofc Code]=(TRIM(H$7)))*(CRDJ[Account Code]=(TRIM($D35))),CRDJ[Debit])))+(SUM(IF((GJ[Ofc Code]=(TRIM(H$7)))*(GJ[Account Code]=(TRIM($D35))),GJ[Debit]))))</f>
        <v>0</v>
      </c>
      <c r="I35" s="211">
        <f t="array" ref="I35">((SUM(IF((CkDJ[Ofc Code]=(TRIM(I$7)))*(CkDJ[Account Code]=(TRIM($D35))),CkDJ[Credit])))+(SUM(IF((CsDJ[Ofc Code]=(TRIM(I$7)))*(CsDJ[Account Code]=(TRIM($D35))),CsDJ[Credit])))+(SUM(IF((CRDJ[Ofc Code]=(TRIM(I$7)))*(CRDJ[Account Code]=(TRIM($D35))),CRDJ[Credit])))+(SUM(IF((GJ[Ofc Code]=(TRIM(I$7)))*(GJ[Account Code]=(TRIM($D35))),GJ[Credit]))))-((SUM(IF((CkDJ[Ofc Code]=(TRIM(I$7)))*(CkDJ[Account Code]=(TRIM($D35))),CkDJ[Debit])))+(SUM(IF((CsDJ[Ofc Code]=(TRIM(I$7)))*(CsDJ[Account Code]=(TRIM($D35))),CsDJ[Debit])))+(SUM(IF((CRDJ[Ofc Code]=(TRIM(I$7)))*(CRDJ[Account Code]=(TRIM($D35))),CRDJ[Debit])))+(SUM(IF((GJ[Ofc Code]=(TRIM(I$7)))*(GJ[Account Code]=(TRIM($D35))),GJ[Debit]))))</f>
        <v>0</v>
      </c>
      <c r="J35" s="211">
        <f t="shared" si="1"/>
        <v>0</v>
      </c>
      <c r="K35" s="211">
        <f t="array" ref="K35">((SUM(IF((CkDJ[Ofc Code]=(TRIM(K$7)))*(CkDJ[Account Code]=(TRIM($D35))),CkDJ[Credit])))+(SUM(IF((CsDJ[Ofc Code]=(TRIM(K$7)))*(CsDJ[Account Code]=(TRIM($D35))),CsDJ[Credit])))+(SUM(IF((CRDJ[Ofc Code]=(TRIM(K$7)))*(CRDJ[Account Code]=(TRIM($D35))),CRDJ[Credit])))+(SUM(IF((GJ[Ofc Code]=(TRIM(K$7)))*(GJ[Account Code]=(TRIM($D35))),GJ[Credit]))))-((SUM(IF((CkDJ[Ofc Code]=(TRIM(K$7)))*(CkDJ[Account Code]=(TRIM($D35))),CkDJ[Debit])))+(SUM(IF((CsDJ[Ofc Code]=(TRIM(K$7)))*(CsDJ[Account Code]=(TRIM($D35))),CsDJ[Debit])))+(SUM(IF((CRDJ[Ofc Code]=(TRIM(K$7)))*(CRDJ[Account Code]=(TRIM($D35))),CRDJ[Debit])))+(SUM(IF((GJ[Ofc Code]=(TRIM(K$7)))*(GJ[Account Code]=(TRIM($D35))),GJ[Debit]))))</f>
        <v>0</v>
      </c>
      <c r="L35" s="211">
        <f t="array" ref="L35">((SUM(IF((CkDJ[Ofc Code]=(TRIM(L$7)))*(CkDJ[Account Code]=(TRIM($D35))),CkDJ[Credit])))+(SUM(IF((CsDJ[Ofc Code]=(TRIM(L$7)))*(CsDJ[Account Code]=(TRIM($D35))),CsDJ[Credit])))+(SUM(IF((CRDJ[Ofc Code]=(TRIM(L$7)))*(CRDJ[Account Code]=(TRIM($D35))),CRDJ[Credit])))+(SUM(IF((GJ[Ofc Code]=(TRIM(L$7)))*(GJ[Account Code]=(TRIM($D35))),GJ[Credit]))))-((SUM(IF((CkDJ[Ofc Code]=(TRIM(L$7)))*(CkDJ[Account Code]=(TRIM($D35))),CkDJ[Debit])))+(SUM(IF((CsDJ[Ofc Code]=(TRIM(L$7)))*(CsDJ[Account Code]=(TRIM($D35))),CsDJ[Debit])))+(SUM(IF((CRDJ[Ofc Code]=(TRIM(L$7)))*(CRDJ[Account Code]=(TRIM($D35))),CRDJ[Debit])))+(SUM(IF((GJ[Ofc Code]=(TRIM(L$7)))*(GJ[Account Code]=(TRIM($D35))),GJ[Debit]))))</f>
        <v>0</v>
      </c>
      <c r="M35" s="211">
        <f t="array" ref="M35">((SUM(IF((CkDJ[Ofc Code]=(TRIM(M$7)))*(CkDJ[Account Code]=(TRIM($D35))),CkDJ[Credit])))+(SUM(IF((CsDJ[Ofc Code]=(TRIM(M$7)))*(CsDJ[Account Code]=(TRIM($D35))),CsDJ[Credit])))+(SUM(IF((CRDJ[Ofc Code]=(TRIM(M$7)))*(CRDJ[Account Code]=(TRIM($D35))),CRDJ[Credit])))+(SUM(IF((GJ[Ofc Code]=(TRIM(M$7)))*(GJ[Account Code]=(TRIM($D35))),GJ[Credit]))))-((SUM(IF((CkDJ[Ofc Code]=(TRIM(M$7)))*(CkDJ[Account Code]=(TRIM($D35))),CkDJ[Debit])))+(SUM(IF((CsDJ[Ofc Code]=(TRIM(M$7)))*(CsDJ[Account Code]=(TRIM($D35))),CsDJ[Debit])))+(SUM(IF((CRDJ[Ofc Code]=(TRIM(M$7)))*(CRDJ[Account Code]=(TRIM($D35))),CRDJ[Debit])))+(SUM(IF((GJ[Ofc Code]=(TRIM(M$7)))*(GJ[Account Code]=(TRIM($D35))),GJ[Debit]))))</f>
        <v>0</v>
      </c>
      <c r="N35" s="211">
        <f t="array" ref="N35">((SUM(IF((CkDJ[Ofc Code]=(TRIM(N$7)))*(CkDJ[Account Code]=(TRIM($D35))),CkDJ[Credit])))+(SUM(IF((CsDJ[Ofc Code]=(TRIM(N$7)))*(CsDJ[Account Code]=(TRIM($D35))),CsDJ[Credit])))+(SUM(IF((CRDJ[Ofc Code]=(TRIM(N$7)))*(CRDJ[Account Code]=(TRIM($D35))),CRDJ[Credit])))+(SUM(IF((GJ[Ofc Code]=(TRIM(N$7)))*(GJ[Account Code]=(TRIM($D35))),GJ[Credit]))))-((SUM(IF((CkDJ[Ofc Code]=(TRIM(N$7)))*(CkDJ[Account Code]=(TRIM($D35))),CkDJ[Debit])))+(SUM(IF((CsDJ[Ofc Code]=(TRIM(N$7)))*(CsDJ[Account Code]=(TRIM($D35))),CsDJ[Debit])))+(SUM(IF((CRDJ[Ofc Code]=(TRIM(N$7)))*(CRDJ[Account Code]=(TRIM($D35))),CRDJ[Debit])))+(SUM(IF((GJ[Ofc Code]=(TRIM(N$7)))*(GJ[Account Code]=(TRIM($D35))),GJ[Debit]))))</f>
        <v>0</v>
      </c>
      <c r="O35" s="211">
        <f t="shared" si="2"/>
        <v>0</v>
      </c>
      <c r="P35" s="211">
        <f t="array" ref="P35">((SUM(IF((CkDJ[Ofc Code]=(TRIM(P$7)))*(CkDJ[Account Code]=(TRIM($D35))),CkDJ[Credit])))+(SUM(IF((CsDJ[Ofc Code]=(TRIM(P$7)))*(CsDJ[Account Code]=(TRIM($D35))),CsDJ[Credit])))+(SUM(IF((CRDJ[Ofc Code]=(TRIM(P$7)))*(CRDJ[Account Code]=(TRIM($D35))),CRDJ[Credit])))+(SUM(IF((GJ[Ofc Code]=(TRIM(P$7)))*(GJ[Account Code]=(TRIM($D35))),GJ[Credit]))))-((SUM(IF((CkDJ[Ofc Code]=(TRIM(P$7)))*(CkDJ[Account Code]=(TRIM($D35))),CkDJ[Debit])))+(SUM(IF((CsDJ[Ofc Code]=(TRIM(P$7)))*(CsDJ[Account Code]=(TRIM($D35))),CsDJ[Debit])))+(SUM(IF((CRDJ[Ofc Code]=(TRIM(P$7)))*(CRDJ[Account Code]=(TRIM($D35))),CRDJ[Debit])))+(SUM(IF((GJ[Ofc Code]=(TRIM(P$7)))*(GJ[Account Code]=(TRIM($D35))),GJ[Debit]))))</f>
        <v>0</v>
      </c>
      <c r="Q35" s="211">
        <f t="array" ref="Q35">((SUM(IF((CkDJ[Ofc Code]=(TRIM(Q$7)))*(CkDJ[Account Code]=(TRIM($D35))),CkDJ[Credit])))+(SUM(IF((CsDJ[Ofc Code]=(TRIM(Q$7)))*(CsDJ[Account Code]=(TRIM($D35))),CsDJ[Credit])))+(SUM(IF((CRDJ[Ofc Code]=(TRIM(Q$7)))*(CRDJ[Account Code]=(TRIM($D35))),CRDJ[Credit])))+(SUM(IF((GJ[Ofc Code]=(TRIM(Q$7)))*(GJ[Account Code]=(TRIM($D35))),GJ[Credit]))))-((SUM(IF((CkDJ[Ofc Code]=(TRIM(Q$7)))*(CkDJ[Account Code]=(TRIM($D35))),CkDJ[Debit])))+(SUM(IF((CsDJ[Ofc Code]=(TRIM(Q$7)))*(CsDJ[Account Code]=(TRIM($D35))),CsDJ[Debit])))+(SUM(IF((CRDJ[Ofc Code]=(TRIM(Q$7)))*(CRDJ[Account Code]=(TRIM($D35))),CRDJ[Debit])))+(SUM(IF((GJ[Ofc Code]=(TRIM(Q$7)))*(GJ[Account Code]=(TRIM($D35))),GJ[Debit]))))</f>
        <v>0</v>
      </c>
      <c r="R35" s="211">
        <f t="array" ref="R35">((SUM(IF((CkDJ[Ofc Code]=(TRIM(R$7)))*(CkDJ[Account Code]=(TRIM($D35))),CkDJ[Credit])))+(SUM(IF((CsDJ[Ofc Code]=(TRIM(R$7)))*(CsDJ[Account Code]=(TRIM($D35))),CsDJ[Credit])))+(SUM(IF((CRDJ[Ofc Code]=(TRIM(R$7)))*(CRDJ[Account Code]=(TRIM($D35))),CRDJ[Credit])))+(SUM(IF((GJ[Ofc Code]=(TRIM(R$7)))*(GJ[Account Code]=(TRIM($D35))),GJ[Credit]))))-((SUM(IF((CkDJ[Ofc Code]=(TRIM(R$7)))*(CkDJ[Account Code]=(TRIM($D35))),CkDJ[Debit])))+(SUM(IF((CsDJ[Ofc Code]=(TRIM(R$7)))*(CsDJ[Account Code]=(TRIM($D35))),CsDJ[Debit])))+(SUM(IF((CRDJ[Ofc Code]=(TRIM(R$7)))*(CRDJ[Account Code]=(TRIM($D35))),CRDJ[Debit])))+(SUM(IF((GJ[Ofc Code]=(TRIM(R$7)))*(GJ[Account Code]=(TRIM($D35))),GJ[Debit]))))</f>
        <v>0</v>
      </c>
      <c r="S35" s="211">
        <f t="array" ref="S35">((SUM(IF((CkDJ[Ofc Code]=(TRIM(S$7)))*(CkDJ[Account Code]=(TRIM($D35))),CkDJ[Credit])))+(SUM(IF((CsDJ[Ofc Code]=(TRIM(S$7)))*(CsDJ[Account Code]=(TRIM($D35))),CsDJ[Credit])))+(SUM(IF((CRDJ[Ofc Code]=(TRIM(S$7)))*(CRDJ[Account Code]=(TRIM($D35))),CRDJ[Credit])))+(SUM(IF((GJ[Ofc Code]=(TRIM(S$7)))*(GJ[Account Code]=(TRIM($D35))),GJ[Credit]))))-((SUM(IF((CkDJ[Ofc Code]=(TRIM(S$7)))*(CkDJ[Account Code]=(TRIM($D35))),CkDJ[Debit])))+(SUM(IF((CsDJ[Ofc Code]=(TRIM(S$7)))*(CsDJ[Account Code]=(TRIM($D35))),CsDJ[Debit])))+(SUM(IF((CRDJ[Ofc Code]=(TRIM(S$7)))*(CRDJ[Account Code]=(TRIM($D35))),CRDJ[Debit])))+(SUM(IF((GJ[Ofc Code]=(TRIM(S$7)))*(GJ[Account Code]=(TRIM($D35))),GJ[Debit]))))</f>
        <v>0</v>
      </c>
      <c r="T35" s="211">
        <f t="array" ref="T35">((SUM(IF((CkDJ[Ofc Code]=(TRIM(T$7)))*(CkDJ[Account Code]=(TRIM($D35))),CkDJ[Credit])))+(SUM(IF((CsDJ[Ofc Code]=(TRIM(T$7)))*(CsDJ[Account Code]=(TRIM($D35))),CsDJ[Credit])))+(SUM(IF((CRDJ[Ofc Code]=(TRIM(T$7)))*(CRDJ[Account Code]=(TRIM($D35))),CRDJ[Credit])))+(SUM(IF((GJ[Ofc Code]=(TRIM(T$7)))*(GJ[Account Code]=(TRIM($D35))),GJ[Credit]))))-((SUM(IF((CkDJ[Ofc Code]=(TRIM(T$7)))*(CkDJ[Account Code]=(TRIM($D35))),CkDJ[Debit])))+(SUM(IF((CsDJ[Ofc Code]=(TRIM(T$7)))*(CsDJ[Account Code]=(TRIM($D35))),CsDJ[Debit])))+(SUM(IF((CRDJ[Ofc Code]=(TRIM(T$7)))*(CRDJ[Account Code]=(TRIM($D35))),CRDJ[Debit])))+(SUM(IF((GJ[Ofc Code]=(TRIM(T$7)))*(GJ[Account Code]=(TRIM($D35))),GJ[Debit]))))</f>
        <v>0</v>
      </c>
      <c r="U35" s="211">
        <f t="shared" si="3"/>
        <v>0</v>
      </c>
      <c r="V35" s="211">
        <f t="shared" si="4"/>
        <v>0</v>
      </c>
    </row>
    <row r="36" spans="1:22" ht="15" x14ac:dyDescent="0.25">
      <c r="A36" s="1167" t="s">
        <v>760</v>
      </c>
      <c r="B36" s="1168"/>
      <c r="C36" s="1168"/>
      <c r="D36" s="209"/>
      <c r="E36" s="208">
        <f t="shared" ref="E36:V36" si="6">SUM(E9:E35)</f>
        <v>0</v>
      </c>
      <c r="F36" s="208">
        <f t="shared" si="6"/>
        <v>0</v>
      </c>
      <c r="G36" s="208">
        <f>SUM(G9:G35)</f>
        <v>0</v>
      </c>
      <c r="H36" s="208">
        <f t="shared" si="6"/>
        <v>0</v>
      </c>
      <c r="I36" s="208">
        <f t="shared" si="6"/>
        <v>0</v>
      </c>
      <c r="J36" s="208">
        <f t="shared" si="6"/>
        <v>0</v>
      </c>
      <c r="K36" s="208">
        <f t="shared" si="6"/>
        <v>0</v>
      </c>
      <c r="L36" s="208">
        <f t="shared" si="6"/>
        <v>0</v>
      </c>
      <c r="M36" s="208">
        <f t="shared" si="6"/>
        <v>0</v>
      </c>
      <c r="N36" s="208">
        <f t="shared" si="6"/>
        <v>0</v>
      </c>
      <c r="O36" s="208">
        <f t="shared" si="6"/>
        <v>0</v>
      </c>
      <c r="P36" s="208">
        <f t="shared" si="6"/>
        <v>0</v>
      </c>
      <c r="Q36" s="208">
        <f t="shared" si="6"/>
        <v>0</v>
      </c>
      <c r="R36" s="208">
        <f t="shared" si="6"/>
        <v>0</v>
      </c>
      <c r="S36" s="208">
        <f t="shared" si="6"/>
        <v>0</v>
      </c>
      <c r="T36" s="208">
        <f t="shared" si="6"/>
        <v>0</v>
      </c>
      <c r="U36" s="208">
        <f t="shared" si="6"/>
        <v>0</v>
      </c>
      <c r="V36" s="208">
        <f t="shared" si="6"/>
        <v>0</v>
      </c>
    </row>
    <row r="37" spans="1:22" ht="15" x14ac:dyDescent="0.25">
      <c r="A37" s="1183" t="s">
        <v>759</v>
      </c>
      <c r="B37" s="1184"/>
      <c r="C37" s="1184"/>
      <c r="D37" s="207"/>
      <c r="E37" s="211"/>
      <c r="F37" s="211"/>
      <c r="G37" s="211"/>
      <c r="H37" s="211"/>
      <c r="I37" s="211"/>
      <c r="J37" s="221"/>
      <c r="K37" s="220"/>
      <c r="L37" s="219"/>
      <c r="M37" s="218"/>
      <c r="N37" s="217"/>
      <c r="O37" s="216"/>
      <c r="P37" s="211"/>
      <c r="Q37" s="211"/>
      <c r="R37" s="211"/>
      <c r="S37" s="211"/>
      <c r="T37" s="211"/>
      <c r="U37" s="211"/>
      <c r="V37" s="211"/>
    </row>
    <row r="38" spans="1:22" ht="15" x14ac:dyDescent="0.25">
      <c r="A38" s="212">
        <v>1</v>
      </c>
      <c r="B38" s="214" t="s">
        <v>756</v>
      </c>
      <c r="C38" s="194" t="str">
        <f t="shared" ref="C38:C60" si="7">IF(D38=0,"",(VLOOKUP((TRIM(D38)),Code,2,)))</f>
        <v>Salaries and Wages-Regular</v>
      </c>
      <c r="D38" s="215">
        <v>701</v>
      </c>
      <c r="E38" s="211">
        <f t="array" ref="E38">((SUM(IF((CkDJ[Ofc Code]=(TRIM(E$7)))*(CkDJ[Account Code]=(TRIM($D38))),CkDJ[Debit])))+(SUM(IF((CsDJ[Ofc Code]=(TRIM(E$7)))*(CsDJ[Account Code]=(TRIM($D38))),CsDJ[Debit])))+(SUM(IF((CRDJ[Ofc Code]=(TRIM(E$7)))*(CRDJ[Account Code]=(TRIM($D38))),CRDJ[Debit])))+(SUM(IF((GJ[Ofc Code]=(TRIM(E$7)))*(GJ[Account Code]=(TRIM($D38))),GJ[Debit]))))-((SUM(IF((CkDJ[Ofc Code]=(TRIM(E$7)))*(CkDJ[Account Code]=(TRIM($D38))),CkDJ[Credit])))+(SUM(IF((CsDJ[Ofc Code]=(TRIM(E$7)))*(CsDJ[Account Code]=(TRIM($D38))),CsDJ[Credit])))+(SUM(IF((CRDJ[Ofc Code]=(TRIM(E$7)))*(CRDJ[Account Code]=(TRIM($D38))),CRDJ[Credit])))+(SUM(IF((GJ[Ofc Code]=(TRIM(E$7)))*(GJ[Account Code]=(TRIM($D38))),GJ[Credit]))))</f>
        <v>0</v>
      </c>
      <c r="F38" s="211">
        <f t="array" ref="F38">((SUM(IF((CkDJ[Ofc Code]=(TRIM(F$7)))*(CkDJ[Account Code]=(TRIM($D38))),CkDJ[Debit])))+(SUM(IF((CsDJ[Ofc Code]=(TRIM(F$7)))*(CsDJ[Account Code]=(TRIM($D38))),CsDJ[Debit])))+(SUM(IF((CRDJ[Ofc Code]=(TRIM(F$7)))*(CRDJ[Account Code]=(TRIM($D38))),CRDJ[Debit])))+(SUM(IF((GJ[Ofc Code]=(TRIM(F$7)))*(GJ[Account Code]=(TRIM($D38))),GJ[Debit]))))-((SUM(IF((CkDJ[Ofc Code]=(TRIM(F$7)))*(CkDJ[Account Code]=(TRIM($D38))),CkDJ[Credit])))+(SUM(IF((CsDJ[Ofc Code]=(TRIM(F$7)))*(CsDJ[Account Code]=(TRIM($D38))),CsDJ[Credit])))+(SUM(IF((CRDJ[Ofc Code]=(TRIM(F$7)))*(CRDJ[Account Code]=(TRIM($D38))),CRDJ[Credit])))+(SUM(IF((GJ[Ofc Code]=(TRIM(F$7)))*(GJ[Account Code]=(TRIM($D38))),GJ[Credit]))))</f>
        <v>0</v>
      </c>
      <c r="G38" s="211">
        <f t="array" ref="G38">((SUM(IF((CkDJ[Ofc Code]=(TRIM(G$7)))*(CkDJ[Account Code]=(TRIM($D38))),CkDJ[Debit])))+(SUM(IF((CsDJ[Ofc Code]=(TRIM(G$7)))*(CsDJ[Account Code]=(TRIM($D38))),CsDJ[Debit])))+(SUM(IF((CRDJ[Ofc Code]=(TRIM(G$7)))*(CRDJ[Account Code]=(TRIM($D38))),CRDJ[Debit])))+(SUM(IF((GJ[Ofc Code]=(TRIM(G$7)))*(GJ[Account Code]=(TRIM($D38))),GJ[Debit]))))-((SUM(IF((CkDJ[Ofc Code]=(TRIM(G$7)))*(CkDJ[Account Code]=(TRIM($D38))),CkDJ[Credit])))+(SUM(IF((CsDJ[Ofc Code]=(TRIM(G$7)))*(CsDJ[Account Code]=(TRIM($D38))),CsDJ[Credit])))+(SUM(IF((CRDJ[Ofc Code]=(TRIM(G$7)))*(CRDJ[Account Code]=(TRIM($D38))),CRDJ[Credit])))+(SUM(IF((GJ[Ofc Code]=(TRIM(G$7)))*(GJ[Account Code]=(TRIM($D38))),GJ[Credit]))))</f>
        <v>0</v>
      </c>
      <c r="H38" s="211">
        <f t="array" ref="H38">((SUM(IF((CkDJ[Ofc Code]=(TRIM(H$7)))*(CkDJ[Account Code]=(TRIM($D38))),CkDJ[Debit])))+(SUM(IF((CsDJ[Ofc Code]=(TRIM(H$7)))*(CsDJ[Account Code]=(TRIM($D38))),CsDJ[Debit])))+(SUM(IF((CRDJ[Ofc Code]=(TRIM(H$7)))*(CRDJ[Account Code]=(TRIM($D38))),CRDJ[Debit])))+(SUM(IF((GJ[Ofc Code]=(TRIM(H$7)))*(GJ[Account Code]=(TRIM($D38))),GJ[Debit]))))-((SUM(IF((CkDJ[Ofc Code]=(TRIM(H$7)))*(CkDJ[Account Code]=(TRIM($D38))),CkDJ[Credit])))+(SUM(IF((CsDJ[Ofc Code]=(TRIM(H$7)))*(CsDJ[Account Code]=(TRIM($D38))),CsDJ[Credit])))+(SUM(IF((CRDJ[Ofc Code]=(TRIM(H$7)))*(CRDJ[Account Code]=(TRIM($D38))),CRDJ[Credit])))+(SUM(IF((GJ[Ofc Code]=(TRIM(H$7)))*(GJ[Account Code]=(TRIM($D38))),GJ[Credit]))))</f>
        <v>0</v>
      </c>
      <c r="I38" s="211">
        <f t="array" ref="I38">((SUM(IF((CkDJ[Ofc Code]=(TRIM(I$7)))*(CkDJ[Account Code]=(TRIM($D38))),CkDJ[Debit])))+(SUM(IF((CsDJ[Ofc Code]=(TRIM(I$7)))*(CsDJ[Account Code]=(TRIM($D38))),CsDJ[Debit])))+(SUM(IF((CRDJ[Ofc Code]=(TRIM(I$7)))*(CRDJ[Account Code]=(TRIM($D38))),CRDJ[Debit])))+(SUM(IF((GJ[Ofc Code]=(TRIM(I$7)))*(GJ[Account Code]=(TRIM($D38))),GJ[Debit]))))-((SUM(IF((CkDJ[Ofc Code]=(TRIM(I$7)))*(CkDJ[Account Code]=(TRIM($D38))),CkDJ[Credit])))+(SUM(IF((CsDJ[Ofc Code]=(TRIM(I$7)))*(CsDJ[Account Code]=(TRIM($D38))),CsDJ[Credit])))+(SUM(IF((CRDJ[Ofc Code]=(TRIM(I$7)))*(CRDJ[Account Code]=(TRIM($D38))),CRDJ[Credit])))+(SUM(IF((GJ[Ofc Code]=(TRIM(I$7)))*(GJ[Account Code]=(TRIM($D38))),GJ[Credit]))))</f>
        <v>0</v>
      </c>
      <c r="J38" s="211">
        <f t="shared" ref="J38:J60" si="8">SUM(F38:I38)</f>
        <v>0</v>
      </c>
      <c r="K38" s="211">
        <f t="array" ref="K38">((SUM(IF((CkDJ[Ofc Code]=(TRIM(K$7)))*(CkDJ[Account Code]=(TRIM($D38))),CkDJ[Debit])))+(SUM(IF((CsDJ[Ofc Code]=(TRIM(K$7)))*(CsDJ[Account Code]=(TRIM($D38))),CsDJ[Debit])))+(SUM(IF((CRDJ[Ofc Code]=(TRIM(K$7)))*(CRDJ[Account Code]=(TRIM($D38))),CRDJ[Debit])))+(SUM(IF((GJ[Ofc Code]=(TRIM(K$7)))*(GJ[Account Code]=(TRIM($D38))),GJ[Debit]))))-((SUM(IF((CkDJ[Ofc Code]=(TRIM(K$7)))*(CkDJ[Account Code]=(TRIM($D38))),CkDJ[Credit])))+(SUM(IF((CsDJ[Ofc Code]=(TRIM(K$7)))*(CsDJ[Account Code]=(TRIM($D38))),CsDJ[Credit])))+(SUM(IF((CRDJ[Ofc Code]=(TRIM(K$7)))*(CRDJ[Account Code]=(TRIM($D38))),CRDJ[Credit])))+(SUM(IF((GJ[Ofc Code]=(TRIM(K$7)))*(GJ[Account Code]=(TRIM($D38))),GJ[Credit]))))</f>
        <v>0</v>
      </c>
      <c r="L38" s="211">
        <f t="array" ref="L38">((SUM(IF((CkDJ[Ofc Code]=(TRIM(L$7)))*(CkDJ[Account Code]=(TRIM($D38))),CkDJ[Debit])))+(SUM(IF((CsDJ[Ofc Code]=(TRIM(L$7)))*(CsDJ[Account Code]=(TRIM($D38))),CsDJ[Debit])))+(SUM(IF((CRDJ[Ofc Code]=(TRIM(L$7)))*(CRDJ[Account Code]=(TRIM($D38))),CRDJ[Debit])))+(SUM(IF((GJ[Ofc Code]=(TRIM(L$7)))*(GJ[Account Code]=(TRIM($D38))),GJ[Debit]))))-((SUM(IF((CkDJ[Ofc Code]=(TRIM(L$7)))*(CkDJ[Account Code]=(TRIM($D38))),CkDJ[Credit])))+(SUM(IF((CsDJ[Ofc Code]=(TRIM(L$7)))*(CsDJ[Account Code]=(TRIM($D38))),CsDJ[Credit])))+(SUM(IF((CRDJ[Ofc Code]=(TRIM(L$7)))*(CRDJ[Account Code]=(TRIM($D38))),CRDJ[Credit])))+(SUM(IF((GJ[Ofc Code]=(TRIM(L$7)))*(GJ[Account Code]=(TRIM($D38))),GJ[Credit]))))</f>
        <v>0</v>
      </c>
      <c r="M38" s="211">
        <f t="array" ref="M38">((SUM(IF((CkDJ[Ofc Code]=(TRIM(M$7)))*(CkDJ[Account Code]=(TRIM($D38))),CkDJ[Debit])))+(SUM(IF((CsDJ[Ofc Code]=(TRIM(M$7)))*(CsDJ[Account Code]=(TRIM($D38))),CsDJ[Debit])))+(SUM(IF((CRDJ[Ofc Code]=(TRIM(M$7)))*(CRDJ[Account Code]=(TRIM($D38))),CRDJ[Debit])))+(SUM(IF((GJ[Ofc Code]=(TRIM(M$7)))*(GJ[Account Code]=(TRIM($D38))),GJ[Debit]))))-((SUM(IF((CkDJ[Ofc Code]=(TRIM(M$7)))*(CkDJ[Account Code]=(TRIM($D38))),CkDJ[Credit])))+(SUM(IF((CsDJ[Ofc Code]=(TRIM(M$7)))*(CsDJ[Account Code]=(TRIM($D38))),CsDJ[Credit])))+(SUM(IF((CRDJ[Ofc Code]=(TRIM(M$7)))*(CRDJ[Account Code]=(TRIM($D38))),CRDJ[Credit])))+(SUM(IF((GJ[Ofc Code]=(TRIM(M$7)))*(GJ[Account Code]=(TRIM($D38))),GJ[Credit]))))</f>
        <v>0</v>
      </c>
      <c r="N38" s="211">
        <f t="array" ref="N38">((SUM(IF((CkDJ[Ofc Code]=(TRIM(N$7)))*(CkDJ[Account Code]=(TRIM($D38))),CkDJ[Debit])))+(SUM(IF((CsDJ[Ofc Code]=(TRIM(N$7)))*(CsDJ[Account Code]=(TRIM($D38))),CsDJ[Debit])))+(SUM(IF((CRDJ[Ofc Code]=(TRIM(N$7)))*(CRDJ[Account Code]=(TRIM($D38))),CRDJ[Debit])))+(SUM(IF((GJ[Ofc Code]=(TRIM(N$7)))*(GJ[Account Code]=(TRIM($D38))),GJ[Debit]))))-((SUM(IF((CkDJ[Ofc Code]=(TRIM(N$7)))*(CkDJ[Account Code]=(TRIM($D38))),CkDJ[Credit])))+(SUM(IF((CsDJ[Ofc Code]=(TRIM(N$7)))*(CsDJ[Account Code]=(TRIM($D38))),CsDJ[Credit])))+(SUM(IF((CRDJ[Ofc Code]=(TRIM(N$7)))*(CRDJ[Account Code]=(TRIM($D38))),CRDJ[Credit])))+(SUM(IF((GJ[Ofc Code]=(TRIM(N$7)))*(GJ[Account Code]=(TRIM($D38))),GJ[Credit]))))</f>
        <v>0</v>
      </c>
      <c r="O38" s="211">
        <f t="shared" ref="O38:O60" si="9">SUM(K38:N38)</f>
        <v>0</v>
      </c>
      <c r="P38" s="211">
        <f t="array" ref="P38">((SUM(IF((CkDJ[Ofc Code]=(TRIM(P$7)))*(CkDJ[Account Code]=(TRIM($D38))),CkDJ[Debit])))+(SUM(IF((CsDJ[Ofc Code]=(TRIM(P$7)))*(CsDJ[Account Code]=(TRIM($D38))),CsDJ[Debit])))+(SUM(IF((CRDJ[Ofc Code]=(TRIM(P$7)))*(CRDJ[Account Code]=(TRIM($D38))),CRDJ[Debit])))+(SUM(IF((GJ[Ofc Code]=(TRIM(P$7)))*(GJ[Account Code]=(TRIM($D38))),GJ[Debit]))))-((SUM(IF((CkDJ[Ofc Code]=(TRIM(P$7)))*(CkDJ[Account Code]=(TRIM($D38))),CkDJ[Credit])))+(SUM(IF((CsDJ[Ofc Code]=(TRIM(P$7)))*(CsDJ[Account Code]=(TRIM($D38))),CsDJ[Credit])))+(SUM(IF((CRDJ[Ofc Code]=(TRIM(P$7)))*(CRDJ[Account Code]=(TRIM($D38))),CRDJ[Credit])))+(SUM(IF((GJ[Ofc Code]=(TRIM(P$7)))*(GJ[Account Code]=(TRIM($D38))),GJ[Credit]))))</f>
        <v>0</v>
      </c>
      <c r="Q38" s="211">
        <f t="array" ref="Q38">((SUM(IF((CkDJ[Ofc Code]=(TRIM(Q$7)))*(CkDJ[Account Code]=(TRIM($D38))),CkDJ[Debit])))+(SUM(IF((CsDJ[Ofc Code]=(TRIM(Q$7)))*(CsDJ[Account Code]=(TRIM($D38))),CsDJ[Debit])))+(SUM(IF((CRDJ[Ofc Code]=(TRIM(Q$7)))*(CRDJ[Account Code]=(TRIM($D38))),CRDJ[Debit])))+(SUM(IF((GJ[Ofc Code]=(TRIM(Q$7)))*(GJ[Account Code]=(TRIM($D38))),GJ[Debit]))))-((SUM(IF((CkDJ[Ofc Code]=(TRIM(Q$7)))*(CkDJ[Account Code]=(TRIM($D38))),CkDJ[Credit])))+(SUM(IF((CsDJ[Ofc Code]=(TRIM(Q$7)))*(CsDJ[Account Code]=(TRIM($D38))),CsDJ[Credit])))+(SUM(IF((CRDJ[Ofc Code]=(TRIM(Q$7)))*(CRDJ[Account Code]=(TRIM($D38))),CRDJ[Credit])))+(SUM(IF((GJ[Ofc Code]=(TRIM(Q$7)))*(GJ[Account Code]=(TRIM($D38))),GJ[Credit]))))</f>
        <v>0</v>
      </c>
      <c r="R38" s="211">
        <f t="array" ref="R38">((SUM(IF((CkDJ[Ofc Code]=(TRIM(R$7)))*(CkDJ[Account Code]=(TRIM($D38))),CkDJ[Debit])))+(SUM(IF((CsDJ[Ofc Code]=(TRIM(R$7)))*(CsDJ[Account Code]=(TRIM($D38))),CsDJ[Debit])))+(SUM(IF((CRDJ[Ofc Code]=(TRIM(R$7)))*(CRDJ[Account Code]=(TRIM($D38))),CRDJ[Debit])))+(SUM(IF((GJ[Ofc Code]=(TRIM(R$7)))*(GJ[Account Code]=(TRIM($D38))),GJ[Debit]))))-((SUM(IF((CkDJ[Ofc Code]=(TRIM(R$7)))*(CkDJ[Account Code]=(TRIM($D38))),CkDJ[Credit])))+(SUM(IF((CsDJ[Ofc Code]=(TRIM(R$7)))*(CsDJ[Account Code]=(TRIM($D38))),CsDJ[Credit])))+(SUM(IF((CRDJ[Ofc Code]=(TRIM(R$7)))*(CRDJ[Account Code]=(TRIM($D38))),CRDJ[Credit])))+(SUM(IF((GJ[Ofc Code]=(TRIM(R$7)))*(GJ[Account Code]=(TRIM($D38))),GJ[Credit]))))</f>
        <v>0</v>
      </c>
      <c r="S38" s="211">
        <f t="array" ref="S38">((SUM(IF((CkDJ[Ofc Code]=(TRIM(S$7)))*(CkDJ[Account Code]=(TRIM($D38))),CkDJ[Debit])))+(SUM(IF((CsDJ[Ofc Code]=(TRIM(S$7)))*(CsDJ[Account Code]=(TRIM($D38))),CsDJ[Debit])))+(SUM(IF((CRDJ[Ofc Code]=(TRIM(S$7)))*(CRDJ[Account Code]=(TRIM($D38))),CRDJ[Debit])))+(SUM(IF((GJ[Ofc Code]=(TRIM(S$7)))*(GJ[Account Code]=(TRIM($D38))),GJ[Debit]))))-((SUM(IF((CkDJ[Ofc Code]=(TRIM(S$7)))*(CkDJ[Account Code]=(TRIM($D38))),CkDJ[Credit])))+(SUM(IF((CsDJ[Ofc Code]=(TRIM(S$7)))*(CsDJ[Account Code]=(TRIM($D38))),CsDJ[Credit])))+(SUM(IF((CRDJ[Ofc Code]=(TRIM(S$7)))*(CRDJ[Account Code]=(TRIM($D38))),CRDJ[Credit])))+(SUM(IF((GJ[Ofc Code]=(TRIM(S$7)))*(GJ[Account Code]=(TRIM($D38))),GJ[Credit]))))</f>
        <v>0</v>
      </c>
      <c r="T38" s="211">
        <f t="array" ref="T38">((SUM(IF((CkDJ[Ofc Code]=(TRIM(T$7)))*(CkDJ[Account Code]=(TRIM($D38))),CkDJ[Debit])))+(SUM(IF((CsDJ[Ofc Code]=(TRIM(T$7)))*(CsDJ[Account Code]=(TRIM($D38))),CsDJ[Debit])))+(SUM(IF((CRDJ[Ofc Code]=(TRIM(T$7)))*(CRDJ[Account Code]=(TRIM($D38))),CRDJ[Debit])))+(SUM(IF((GJ[Ofc Code]=(TRIM(T$7)))*(GJ[Account Code]=(TRIM($D38))),GJ[Debit]))))-((SUM(IF((CkDJ[Ofc Code]=(TRIM(T$7)))*(CkDJ[Account Code]=(TRIM($D38))),CkDJ[Credit])))+(SUM(IF((CsDJ[Ofc Code]=(TRIM(T$7)))*(CsDJ[Account Code]=(TRIM($D38))),CsDJ[Credit])))+(SUM(IF((CRDJ[Ofc Code]=(TRIM(T$7)))*(CRDJ[Account Code]=(TRIM($D38))),CRDJ[Credit])))+(SUM(IF((GJ[Ofc Code]=(TRIM(T$7)))*(GJ[Account Code]=(TRIM($D38))),GJ[Credit]))))</f>
        <v>0</v>
      </c>
      <c r="U38" s="211">
        <f t="shared" ref="U38:U60" si="10">SUM(P38:T38)</f>
        <v>0</v>
      </c>
      <c r="V38" s="211">
        <f t="shared" ref="V38:V60" si="11">E38+J38+O38+U38</f>
        <v>0</v>
      </c>
    </row>
    <row r="39" spans="1:22" ht="15" x14ac:dyDescent="0.25">
      <c r="A39" s="212">
        <f t="shared" ref="A39:A59" si="12">1+A38</f>
        <v>2</v>
      </c>
      <c r="B39" s="214" t="s">
        <v>756</v>
      </c>
      <c r="C39" s="194" t="str">
        <f t="shared" si="7"/>
        <v>Salaries and Wages-Casual/Contractual</v>
      </c>
      <c r="D39" s="215">
        <v>705</v>
      </c>
      <c r="E39" s="211">
        <f t="array" ref="E39">((SUM(IF((CkDJ[Ofc Code]=(TRIM(E$7)))*(CkDJ[Account Code]=(TRIM($D39))),CkDJ[Debit])))+(SUM(IF((CsDJ[Ofc Code]=(TRIM(E$7)))*(CsDJ[Account Code]=(TRIM($D39))),CsDJ[Debit])))+(SUM(IF((CRDJ[Ofc Code]=(TRIM(E$7)))*(CRDJ[Account Code]=(TRIM($D39))),CRDJ[Debit])))+(SUM(IF((GJ[Ofc Code]=(TRIM(E$7)))*(GJ[Account Code]=(TRIM($D39))),GJ[Debit]))))-((SUM(IF((CkDJ[Ofc Code]=(TRIM(E$7)))*(CkDJ[Account Code]=(TRIM($D39))),CkDJ[Credit])))+(SUM(IF((CsDJ[Ofc Code]=(TRIM(E$7)))*(CsDJ[Account Code]=(TRIM($D39))),CsDJ[Credit])))+(SUM(IF((CRDJ[Ofc Code]=(TRIM(E$7)))*(CRDJ[Account Code]=(TRIM($D39))),CRDJ[Credit])))+(SUM(IF((GJ[Ofc Code]=(TRIM(E$7)))*(GJ[Account Code]=(TRIM($D39))),GJ[Credit]))))</f>
        <v>0</v>
      </c>
      <c r="F39" s="211">
        <f t="array" ref="F39">((SUM(IF((CkDJ[Ofc Code]=(TRIM(F$7)))*(CkDJ[Account Code]=(TRIM($D39))),CkDJ[Debit])))+(SUM(IF((CsDJ[Ofc Code]=(TRIM(F$7)))*(CsDJ[Account Code]=(TRIM($D39))),CsDJ[Debit])))+(SUM(IF((CRDJ[Ofc Code]=(TRIM(F$7)))*(CRDJ[Account Code]=(TRIM($D39))),CRDJ[Debit])))+(SUM(IF((GJ[Ofc Code]=(TRIM(F$7)))*(GJ[Account Code]=(TRIM($D39))),GJ[Debit]))))-((SUM(IF((CkDJ[Ofc Code]=(TRIM(F$7)))*(CkDJ[Account Code]=(TRIM($D39))),CkDJ[Credit])))+(SUM(IF((CsDJ[Ofc Code]=(TRIM(F$7)))*(CsDJ[Account Code]=(TRIM($D39))),CsDJ[Credit])))+(SUM(IF((CRDJ[Ofc Code]=(TRIM(F$7)))*(CRDJ[Account Code]=(TRIM($D39))),CRDJ[Credit])))+(SUM(IF((GJ[Ofc Code]=(TRIM(F$7)))*(GJ[Account Code]=(TRIM($D39))),GJ[Credit]))))</f>
        <v>0</v>
      </c>
      <c r="G39" s="211">
        <f t="array" ref="G39">((SUM(IF((CkDJ[Ofc Code]=(TRIM(G$7)))*(CkDJ[Account Code]=(TRIM($D39))),CkDJ[Debit])))+(SUM(IF((CsDJ[Ofc Code]=(TRIM(G$7)))*(CsDJ[Account Code]=(TRIM($D39))),CsDJ[Debit])))+(SUM(IF((CRDJ[Ofc Code]=(TRIM(G$7)))*(CRDJ[Account Code]=(TRIM($D39))),CRDJ[Debit])))+(SUM(IF((GJ[Ofc Code]=(TRIM(G$7)))*(GJ[Account Code]=(TRIM($D39))),GJ[Debit]))))-((SUM(IF((CkDJ[Ofc Code]=(TRIM(G$7)))*(CkDJ[Account Code]=(TRIM($D39))),CkDJ[Credit])))+(SUM(IF((CsDJ[Ofc Code]=(TRIM(G$7)))*(CsDJ[Account Code]=(TRIM($D39))),CsDJ[Credit])))+(SUM(IF((CRDJ[Ofc Code]=(TRIM(G$7)))*(CRDJ[Account Code]=(TRIM($D39))),CRDJ[Credit])))+(SUM(IF((GJ[Ofc Code]=(TRIM(G$7)))*(GJ[Account Code]=(TRIM($D39))),GJ[Credit]))))</f>
        <v>0</v>
      </c>
      <c r="H39" s="211">
        <f t="array" ref="H39">((SUM(IF((CkDJ[Ofc Code]=(TRIM(H$7)))*(CkDJ[Account Code]=(TRIM($D39))),CkDJ[Debit])))+(SUM(IF((CsDJ[Ofc Code]=(TRIM(H$7)))*(CsDJ[Account Code]=(TRIM($D39))),CsDJ[Debit])))+(SUM(IF((CRDJ[Ofc Code]=(TRIM(H$7)))*(CRDJ[Account Code]=(TRIM($D39))),CRDJ[Debit])))+(SUM(IF((GJ[Ofc Code]=(TRIM(H$7)))*(GJ[Account Code]=(TRIM($D39))),GJ[Debit]))))-((SUM(IF((CkDJ[Ofc Code]=(TRIM(H$7)))*(CkDJ[Account Code]=(TRIM($D39))),CkDJ[Credit])))+(SUM(IF((CsDJ[Ofc Code]=(TRIM(H$7)))*(CsDJ[Account Code]=(TRIM($D39))),CsDJ[Credit])))+(SUM(IF((CRDJ[Ofc Code]=(TRIM(H$7)))*(CRDJ[Account Code]=(TRIM($D39))),CRDJ[Credit])))+(SUM(IF((GJ[Ofc Code]=(TRIM(H$7)))*(GJ[Account Code]=(TRIM($D39))),GJ[Credit]))))</f>
        <v>0</v>
      </c>
      <c r="I39" s="211">
        <f t="array" ref="I39">((SUM(IF((CkDJ[Ofc Code]=(TRIM(I$7)))*(CkDJ[Account Code]=(TRIM($D39))),CkDJ[Debit])))+(SUM(IF((CsDJ[Ofc Code]=(TRIM(I$7)))*(CsDJ[Account Code]=(TRIM($D39))),CsDJ[Debit])))+(SUM(IF((CRDJ[Ofc Code]=(TRIM(I$7)))*(CRDJ[Account Code]=(TRIM($D39))),CRDJ[Debit])))+(SUM(IF((GJ[Ofc Code]=(TRIM(I$7)))*(GJ[Account Code]=(TRIM($D39))),GJ[Debit]))))-((SUM(IF((CkDJ[Ofc Code]=(TRIM(I$7)))*(CkDJ[Account Code]=(TRIM($D39))),CkDJ[Credit])))+(SUM(IF((CsDJ[Ofc Code]=(TRIM(I$7)))*(CsDJ[Account Code]=(TRIM($D39))),CsDJ[Credit])))+(SUM(IF((CRDJ[Ofc Code]=(TRIM(I$7)))*(CRDJ[Account Code]=(TRIM($D39))),CRDJ[Credit])))+(SUM(IF((GJ[Ofc Code]=(TRIM(I$7)))*(GJ[Account Code]=(TRIM($D39))),GJ[Credit]))))</f>
        <v>0</v>
      </c>
      <c r="J39" s="211">
        <f t="shared" si="8"/>
        <v>0</v>
      </c>
      <c r="K39" s="211">
        <f t="array" ref="K39">((SUM(IF((CkDJ[Ofc Code]=(TRIM(K$7)))*(CkDJ[Account Code]=(TRIM($D39))),CkDJ[Debit])))+(SUM(IF((CsDJ[Ofc Code]=(TRIM(K$7)))*(CsDJ[Account Code]=(TRIM($D39))),CsDJ[Debit])))+(SUM(IF((CRDJ[Ofc Code]=(TRIM(K$7)))*(CRDJ[Account Code]=(TRIM($D39))),CRDJ[Debit])))+(SUM(IF((GJ[Ofc Code]=(TRIM(K$7)))*(GJ[Account Code]=(TRIM($D39))),GJ[Debit]))))-((SUM(IF((CkDJ[Ofc Code]=(TRIM(K$7)))*(CkDJ[Account Code]=(TRIM($D39))),CkDJ[Credit])))+(SUM(IF((CsDJ[Ofc Code]=(TRIM(K$7)))*(CsDJ[Account Code]=(TRIM($D39))),CsDJ[Credit])))+(SUM(IF((CRDJ[Ofc Code]=(TRIM(K$7)))*(CRDJ[Account Code]=(TRIM($D39))),CRDJ[Credit])))+(SUM(IF((GJ[Ofc Code]=(TRIM(K$7)))*(GJ[Account Code]=(TRIM($D39))),GJ[Credit]))))</f>
        <v>0</v>
      </c>
      <c r="L39" s="211">
        <f t="array" ref="L39">((SUM(IF((CkDJ[Ofc Code]=(TRIM(L$7)))*(CkDJ[Account Code]=(TRIM($D39))),CkDJ[Debit])))+(SUM(IF((CsDJ[Ofc Code]=(TRIM(L$7)))*(CsDJ[Account Code]=(TRIM($D39))),CsDJ[Debit])))+(SUM(IF((CRDJ[Ofc Code]=(TRIM(L$7)))*(CRDJ[Account Code]=(TRIM($D39))),CRDJ[Debit])))+(SUM(IF((GJ[Ofc Code]=(TRIM(L$7)))*(GJ[Account Code]=(TRIM($D39))),GJ[Debit]))))-((SUM(IF((CkDJ[Ofc Code]=(TRIM(L$7)))*(CkDJ[Account Code]=(TRIM($D39))),CkDJ[Credit])))+(SUM(IF((CsDJ[Ofc Code]=(TRIM(L$7)))*(CsDJ[Account Code]=(TRIM($D39))),CsDJ[Credit])))+(SUM(IF((CRDJ[Ofc Code]=(TRIM(L$7)))*(CRDJ[Account Code]=(TRIM($D39))),CRDJ[Credit])))+(SUM(IF((GJ[Ofc Code]=(TRIM(L$7)))*(GJ[Account Code]=(TRIM($D39))),GJ[Credit]))))</f>
        <v>0</v>
      </c>
      <c r="M39" s="211">
        <f t="array" ref="M39">((SUM(IF((CkDJ[Ofc Code]=(TRIM(M$7)))*(CkDJ[Account Code]=(TRIM($D39))),CkDJ[Debit])))+(SUM(IF((CsDJ[Ofc Code]=(TRIM(M$7)))*(CsDJ[Account Code]=(TRIM($D39))),CsDJ[Debit])))+(SUM(IF((CRDJ[Ofc Code]=(TRIM(M$7)))*(CRDJ[Account Code]=(TRIM($D39))),CRDJ[Debit])))+(SUM(IF((GJ[Ofc Code]=(TRIM(M$7)))*(GJ[Account Code]=(TRIM($D39))),GJ[Debit]))))-((SUM(IF((CkDJ[Ofc Code]=(TRIM(M$7)))*(CkDJ[Account Code]=(TRIM($D39))),CkDJ[Credit])))+(SUM(IF((CsDJ[Ofc Code]=(TRIM(M$7)))*(CsDJ[Account Code]=(TRIM($D39))),CsDJ[Credit])))+(SUM(IF((CRDJ[Ofc Code]=(TRIM(M$7)))*(CRDJ[Account Code]=(TRIM($D39))),CRDJ[Credit])))+(SUM(IF((GJ[Ofc Code]=(TRIM(M$7)))*(GJ[Account Code]=(TRIM($D39))),GJ[Credit]))))</f>
        <v>0</v>
      </c>
      <c r="N39" s="211">
        <f t="array" ref="N39">((SUM(IF((CkDJ[Ofc Code]=(TRIM(N$7)))*(CkDJ[Account Code]=(TRIM($D39))),CkDJ[Debit])))+(SUM(IF((CsDJ[Ofc Code]=(TRIM(N$7)))*(CsDJ[Account Code]=(TRIM($D39))),CsDJ[Debit])))+(SUM(IF((CRDJ[Ofc Code]=(TRIM(N$7)))*(CRDJ[Account Code]=(TRIM($D39))),CRDJ[Debit])))+(SUM(IF((GJ[Ofc Code]=(TRIM(N$7)))*(GJ[Account Code]=(TRIM($D39))),GJ[Debit]))))-((SUM(IF((CkDJ[Ofc Code]=(TRIM(N$7)))*(CkDJ[Account Code]=(TRIM($D39))),CkDJ[Credit])))+(SUM(IF((CsDJ[Ofc Code]=(TRIM(N$7)))*(CsDJ[Account Code]=(TRIM($D39))),CsDJ[Credit])))+(SUM(IF((CRDJ[Ofc Code]=(TRIM(N$7)))*(CRDJ[Account Code]=(TRIM($D39))),CRDJ[Credit])))+(SUM(IF((GJ[Ofc Code]=(TRIM(N$7)))*(GJ[Account Code]=(TRIM($D39))),GJ[Credit]))))</f>
        <v>0</v>
      </c>
      <c r="O39" s="211">
        <f t="shared" si="9"/>
        <v>0</v>
      </c>
      <c r="P39" s="211">
        <f t="array" ref="P39">((SUM(IF((CkDJ[Ofc Code]=(TRIM(P$7)))*(CkDJ[Account Code]=(TRIM($D39))),CkDJ[Debit])))+(SUM(IF((CsDJ[Ofc Code]=(TRIM(P$7)))*(CsDJ[Account Code]=(TRIM($D39))),CsDJ[Debit])))+(SUM(IF((CRDJ[Ofc Code]=(TRIM(P$7)))*(CRDJ[Account Code]=(TRIM($D39))),CRDJ[Debit])))+(SUM(IF((GJ[Ofc Code]=(TRIM(P$7)))*(GJ[Account Code]=(TRIM($D39))),GJ[Debit]))))-((SUM(IF((CkDJ[Ofc Code]=(TRIM(P$7)))*(CkDJ[Account Code]=(TRIM($D39))),CkDJ[Credit])))+(SUM(IF((CsDJ[Ofc Code]=(TRIM(P$7)))*(CsDJ[Account Code]=(TRIM($D39))),CsDJ[Credit])))+(SUM(IF((CRDJ[Ofc Code]=(TRIM(P$7)))*(CRDJ[Account Code]=(TRIM($D39))),CRDJ[Credit])))+(SUM(IF((GJ[Ofc Code]=(TRIM(P$7)))*(GJ[Account Code]=(TRIM($D39))),GJ[Credit]))))</f>
        <v>0</v>
      </c>
      <c r="Q39" s="211">
        <f t="array" ref="Q39">((SUM(IF((CkDJ[Ofc Code]=(TRIM(Q$7)))*(CkDJ[Account Code]=(TRIM($D39))),CkDJ[Debit])))+(SUM(IF((CsDJ[Ofc Code]=(TRIM(Q$7)))*(CsDJ[Account Code]=(TRIM($D39))),CsDJ[Debit])))+(SUM(IF((CRDJ[Ofc Code]=(TRIM(Q$7)))*(CRDJ[Account Code]=(TRIM($D39))),CRDJ[Debit])))+(SUM(IF((GJ[Ofc Code]=(TRIM(Q$7)))*(GJ[Account Code]=(TRIM($D39))),GJ[Debit]))))-((SUM(IF((CkDJ[Ofc Code]=(TRIM(Q$7)))*(CkDJ[Account Code]=(TRIM($D39))),CkDJ[Credit])))+(SUM(IF((CsDJ[Ofc Code]=(TRIM(Q$7)))*(CsDJ[Account Code]=(TRIM($D39))),CsDJ[Credit])))+(SUM(IF((CRDJ[Ofc Code]=(TRIM(Q$7)))*(CRDJ[Account Code]=(TRIM($D39))),CRDJ[Credit])))+(SUM(IF((GJ[Ofc Code]=(TRIM(Q$7)))*(GJ[Account Code]=(TRIM($D39))),GJ[Credit]))))</f>
        <v>0</v>
      </c>
      <c r="R39" s="211">
        <f t="array" ref="R39">((SUM(IF((CkDJ[Ofc Code]=(TRIM(R$7)))*(CkDJ[Account Code]=(TRIM($D39))),CkDJ[Debit])))+(SUM(IF((CsDJ[Ofc Code]=(TRIM(R$7)))*(CsDJ[Account Code]=(TRIM($D39))),CsDJ[Debit])))+(SUM(IF((CRDJ[Ofc Code]=(TRIM(R$7)))*(CRDJ[Account Code]=(TRIM($D39))),CRDJ[Debit])))+(SUM(IF((GJ[Ofc Code]=(TRIM(R$7)))*(GJ[Account Code]=(TRIM($D39))),GJ[Debit]))))-((SUM(IF((CkDJ[Ofc Code]=(TRIM(R$7)))*(CkDJ[Account Code]=(TRIM($D39))),CkDJ[Credit])))+(SUM(IF((CsDJ[Ofc Code]=(TRIM(R$7)))*(CsDJ[Account Code]=(TRIM($D39))),CsDJ[Credit])))+(SUM(IF((CRDJ[Ofc Code]=(TRIM(R$7)))*(CRDJ[Account Code]=(TRIM($D39))),CRDJ[Credit])))+(SUM(IF((GJ[Ofc Code]=(TRIM(R$7)))*(GJ[Account Code]=(TRIM($D39))),GJ[Credit]))))</f>
        <v>0</v>
      </c>
      <c r="S39" s="211">
        <f t="array" ref="S39">((SUM(IF((CkDJ[Ofc Code]=(TRIM(S$7)))*(CkDJ[Account Code]=(TRIM($D39))),CkDJ[Debit])))+(SUM(IF((CsDJ[Ofc Code]=(TRIM(S$7)))*(CsDJ[Account Code]=(TRIM($D39))),CsDJ[Debit])))+(SUM(IF((CRDJ[Ofc Code]=(TRIM(S$7)))*(CRDJ[Account Code]=(TRIM($D39))),CRDJ[Debit])))+(SUM(IF((GJ[Ofc Code]=(TRIM(S$7)))*(GJ[Account Code]=(TRIM($D39))),GJ[Debit]))))-((SUM(IF((CkDJ[Ofc Code]=(TRIM(S$7)))*(CkDJ[Account Code]=(TRIM($D39))),CkDJ[Credit])))+(SUM(IF((CsDJ[Ofc Code]=(TRIM(S$7)))*(CsDJ[Account Code]=(TRIM($D39))),CsDJ[Credit])))+(SUM(IF((CRDJ[Ofc Code]=(TRIM(S$7)))*(CRDJ[Account Code]=(TRIM($D39))),CRDJ[Credit])))+(SUM(IF((GJ[Ofc Code]=(TRIM(S$7)))*(GJ[Account Code]=(TRIM($D39))),GJ[Credit]))))</f>
        <v>0</v>
      </c>
      <c r="T39" s="211">
        <f t="array" ref="T39">((SUM(IF((CkDJ[Ofc Code]=(TRIM(T$7)))*(CkDJ[Account Code]=(TRIM($D39))),CkDJ[Debit])))+(SUM(IF((CsDJ[Ofc Code]=(TRIM(T$7)))*(CsDJ[Account Code]=(TRIM($D39))),CsDJ[Debit])))+(SUM(IF((CRDJ[Ofc Code]=(TRIM(T$7)))*(CRDJ[Account Code]=(TRIM($D39))),CRDJ[Debit])))+(SUM(IF((GJ[Ofc Code]=(TRIM(T$7)))*(GJ[Account Code]=(TRIM($D39))),GJ[Debit]))))-((SUM(IF((CkDJ[Ofc Code]=(TRIM(T$7)))*(CkDJ[Account Code]=(TRIM($D39))),CkDJ[Credit])))+(SUM(IF((CsDJ[Ofc Code]=(TRIM(T$7)))*(CsDJ[Account Code]=(TRIM($D39))),CsDJ[Credit])))+(SUM(IF((CRDJ[Ofc Code]=(TRIM(T$7)))*(CRDJ[Account Code]=(TRIM($D39))),CRDJ[Credit])))+(SUM(IF((GJ[Ofc Code]=(TRIM(T$7)))*(GJ[Account Code]=(TRIM($D39))),GJ[Credit]))))</f>
        <v>0</v>
      </c>
      <c r="U39" s="211">
        <f t="shared" si="10"/>
        <v>0</v>
      </c>
      <c r="V39" s="211">
        <f t="shared" si="11"/>
        <v>0</v>
      </c>
    </row>
    <row r="40" spans="1:22" ht="15" x14ac:dyDescent="0.25">
      <c r="A40" s="212">
        <f t="shared" si="12"/>
        <v>3</v>
      </c>
      <c r="B40" s="214" t="s">
        <v>756</v>
      </c>
      <c r="C40" s="194" t="str">
        <f t="shared" si="7"/>
        <v>Personal Economic Relief Allowance (PERA)</v>
      </c>
      <c r="D40" s="215">
        <v>711</v>
      </c>
      <c r="E40" s="211">
        <f t="array" ref="E40">((SUM(IF((CkDJ[Ofc Code]=(TRIM(E$7)))*(CkDJ[Account Code]=(TRIM($D40))),CkDJ[Debit])))+(SUM(IF((CsDJ[Ofc Code]=(TRIM(E$7)))*(CsDJ[Account Code]=(TRIM($D40))),CsDJ[Debit])))+(SUM(IF((CRDJ[Ofc Code]=(TRIM(E$7)))*(CRDJ[Account Code]=(TRIM($D40))),CRDJ[Debit])))+(SUM(IF((GJ[Ofc Code]=(TRIM(E$7)))*(GJ[Account Code]=(TRIM($D40))),GJ[Debit]))))-((SUM(IF((CkDJ[Ofc Code]=(TRIM(E$7)))*(CkDJ[Account Code]=(TRIM($D40))),CkDJ[Credit])))+(SUM(IF((CsDJ[Ofc Code]=(TRIM(E$7)))*(CsDJ[Account Code]=(TRIM($D40))),CsDJ[Credit])))+(SUM(IF((CRDJ[Ofc Code]=(TRIM(E$7)))*(CRDJ[Account Code]=(TRIM($D40))),CRDJ[Credit])))+(SUM(IF((GJ[Ofc Code]=(TRIM(E$7)))*(GJ[Account Code]=(TRIM($D40))),GJ[Credit]))))</f>
        <v>0</v>
      </c>
      <c r="F40" s="211">
        <f t="array" ref="F40">((SUM(IF((CkDJ[Ofc Code]=(TRIM(F$7)))*(CkDJ[Account Code]=(TRIM($D40))),CkDJ[Debit])))+(SUM(IF((CsDJ[Ofc Code]=(TRIM(F$7)))*(CsDJ[Account Code]=(TRIM($D40))),CsDJ[Debit])))+(SUM(IF((CRDJ[Ofc Code]=(TRIM(F$7)))*(CRDJ[Account Code]=(TRIM($D40))),CRDJ[Debit])))+(SUM(IF((GJ[Ofc Code]=(TRIM(F$7)))*(GJ[Account Code]=(TRIM($D40))),GJ[Debit]))))-((SUM(IF((CkDJ[Ofc Code]=(TRIM(F$7)))*(CkDJ[Account Code]=(TRIM($D40))),CkDJ[Credit])))+(SUM(IF((CsDJ[Ofc Code]=(TRIM(F$7)))*(CsDJ[Account Code]=(TRIM($D40))),CsDJ[Credit])))+(SUM(IF((CRDJ[Ofc Code]=(TRIM(F$7)))*(CRDJ[Account Code]=(TRIM($D40))),CRDJ[Credit])))+(SUM(IF((GJ[Ofc Code]=(TRIM(F$7)))*(GJ[Account Code]=(TRIM($D40))),GJ[Credit]))))</f>
        <v>0</v>
      </c>
      <c r="G40" s="211">
        <f t="array" ref="G40">((SUM(IF((CkDJ[Ofc Code]=(TRIM(G$7)))*(CkDJ[Account Code]=(TRIM($D40))),CkDJ[Debit])))+(SUM(IF((CsDJ[Ofc Code]=(TRIM(G$7)))*(CsDJ[Account Code]=(TRIM($D40))),CsDJ[Debit])))+(SUM(IF((CRDJ[Ofc Code]=(TRIM(G$7)))*(CRDJ[Account Code]=(TRIM($D40))),CRDJ[Debit])))+(SUM(IF((GJ[Ofc Code]=(TRIM(G$7)))*(GJ[Account Code]=(TRIM($D40))),GJ[Debit]))))-((SUM(IF((CkDJ[Ofc Code]=(TRIM(G$7)))*(CkDJ[Account Code]=(TRIM($D40))),CkDJ[Credit])))+(SUM(IF((CsDJ[Ofc Code]=(TRIM(G$7)))*(CsDJ[Account Code]=(TRIM($D40))),CsDJ[Credit])))+(SUM(IF((CRDJ[Ofc Code]=(TRIM(G$7)))*(CRDJ[Account Code]=(TRIM($D40))),CRDJ[Credit])))+(SUM(IF((GJ[Ofc Code]=(TRIM(G$7)))*(GJ[Account Code]=(TRIM($D40))),GJ[Credit]))))</f>
        <v>0</v>
      </c>
      <c r="H40" s="211">
        <f t="array" ref="H40">((SUM(IF((CkDJ[Ofc Code]=(TRIM(H$7)))*(CkDJ[Account Code]=(TRIM($D40))),CkDJ[Debit])))+(SUM(IF((CsDJ[Ofc Code]=(TRIM(H$7)))*(CsDJ[Account Code]=(TRIM($D40))),CsDJ[Debit])))+(SUM(IF((CRDJ[Ofc Code]=(TRIM(H$7)))*(CRDJ[Account Code]=(TRIM($D40))),CRDJ[Debit])))+(SUM(IF((GJ[Ofc Code]=(TRIM(H$7)))*(GJ[Account Code]=(TRIM($D40))),GJ[Debit]))))-((SUM(IF((CkDJ[Ofc Code]=(TRIM(H$7)))*(CkDJ[Account Code]=(TRIM($D40))),CkDJ[Credit])))+(SUM(IF((CsDJ[Ofc Code]=(TRIM(H$7)))*(CsDJ[Account Code]=(TRIM($D40))),CsDJ[Credit])))+(SUM(IF((CRDJ[Ofc Code]=(TRIM(H$7)))*(CRDJ[Account Code]=(TRIM($D40))),CRDJ[Credit])))+(SUM(IF((GJ[Ofc Code]=(TRIM(H$7)))*(GJ[Account Code]=(TRIM($D40))),GJ[Credit]))))</f>
        <v>0</v>
      </c>
      <c r="I40" s="211">
        <f t="array" ref="I40">((SUM(IF((CkDJ[Ofc Code]=(TRIM(I$7)))*(CkDJ[Account Code]=(TRIM($D40))),CkDJ[Debit])))+(SUM(IF((CsDJ[Ofc Code]=(TRIM(I$7)))*(CsDJ[Account Code]=(TRIM($D40))),CsDJ[Debit])))+(SUM(IF((CRDJ[Ofc Code]=(TRIM(I$7)))*(CRDJ[Account Code]=(TRIM($D40))),CRDJ[Debit])))+(SUM(IF((GJ[Ofc Code]=(TRIM(I$7)))*(GJ[Account Code]=(TRIM($D40))),GJ[Debit]))))-((SUM(IF((CkDJ[Ofc Code]=(TRIM(I$7)))*(CkDJ[Account Code]=(TRIM($D40))),CkDJ[Credit])))+(SUM(IF((CsDJ[Ofc Code]=(TRIM(I$7)))*(CsDJ[Account Code]=(TRIM($D40))),CsDJ[Credit])))+(SUM(IF((CRDJ[Ofc Code]=(TRIM(I$7)))*(CRDJ[Account Code]=(TRIM($D40))),CRDJ[Credit])))+(SUM(IF((GJ[Ofc Code]=(TRIM(I$7)))*(GJ[Account Code]=(TRIM($D40))),GJ[Credit]))))</f>
        <v>0</v>
      </c>
      <c r="J40" s="211">
        <f t="shared" si="8"/>
        <v>0</v>
      </c>
      <c r="K40" s="211">
        <f t="array" ref="K40">((SUM(IF((CkDJ[Ofc Code]=(TRIM(K$7)))*(CkDJ[Account Code]=(TRIM($D40))),CkDJ[Debit])))+(SUM(IF((CsDJ[Ofc Code]=(TRIM(K$7)))*(CsDJ[Account Code]=(TRIM($D40))),CsDJ[Debit])))+(SUM(IF((CRDJ[Ofc Code]=(TRIM(K$7)))*(CRDJ[Account Code]=(TRIM($D40))),CRDJ[Debit])))+(SUM(IF((GJ[Ofc Code]=(TRIM(K$7)))*(GJ[Account Code]=(TRIM($D40))),GJ[Debit]))))-((SUM(IF((CkDJ[Ofc Code]=(TRIM(K$7)))*(CkDJ[Account Code]=(TRIM($D40))),CkDJ[Credit])))+(SUM(IF((CsDJ[Ofc Code]=(TRIM(K$7)))*(CsDJ[Account Code]=(TRIM($D40))),CsDJ[Credit])))+(SUM(IF((CRDJ[Ofc Code]=(TRIM(K$7)))*(CRDJ[Account Code]=(TRIM($D40))),CRDJ[Credit])))+(SUM(IF((GJ[Ofc Code]=(TRIM(K$7)))*(GJ[Account Code]=(TRIM($D40))),GJ[Credit]))))</f>
        <v>0</v>
      </c>
      <c r="L40" s="211">
        <f t="array" ref="L40">((SUM(IF((CkDJ[Ofc Code]=(TRIM(L$7)))*(CkDJ[Account Code]=(TRIM($D40))),CkDJ[Debit])))+(SUM(IF((CsDJ[Ofc Code]=(TRIM(L$7)))*(CsDJ[Account Code]=(TRIM($D40))),CsDJ[Debit])))+(SUM(IF((CRDJ[Ofc Code]=(TRIM(L$7)))*(CRDJ[Account Code]=(TRIM($D40))),CRDJ[Debit])))+(SUM(IF((GJ[Ofc Code]=(TRIM(L$7)))*(GJ[Account Code]=(TRIM($D40))),GJ[Debit]))))-((SUM(IF((CkDJ[Ofc Code]=(TRIM(L$7)))*(CkDJ[Account Code]=(TRIM($D40))),CkDJ[Credit])))+(SUM(IF((CsDJ[Ofc Code]=(TRIM(L$7)))*(CsDJ[Account Code]=(TRIM($D40))),CsDJ[Credit])))+(SUM(IF((CRDJ[Ofc Code]=(TRIM(L$7)))*(CRDJ[Account Code]=(TRIM($D40))),CRDJ[Credit])))+(SUM(IF((GJ[Ofc Code]=(TRIM(L$7)))*(GJ[Account Code]=(TRIM($D40))),GJ[Credit]))))</f>
        <v>0</v>
      </c>
      <c r="M40" s="211">
        <f t="array" ref="M40">((SUM(IF((CkDJ[Ofc Code]=(TRIM(M$7)))*(CkDJ[Account Code]=(TRIM($D40))),CkDJ[Debit])))+(SUM(IF((CsDJ[Ofc Code]=(TRIM(M$7)))*(CsDJ[Account Code]=(TRIM($D40))),CsDJ[Debit])))+(SUM(IF((CRDJ[Ofc Code]=(TRIM(M$7)))*(CRDJ[Account Code]=(TRIM($D40))),CRDJ[Debit])))+(SUM(IF((GJ[Ofc Code]=(TRIM(M$7)))*(GJ[Account Code]=(TRIM($D40))),GJ[Debit]))))-((SUM(IF((CkDJ[Ofc Code]=(TRIM(M$7)))*(CkDJ[Account Code]=(TRIM($D40))),CkDJ[Credit])))+(SUM(IF((CsDJ[Ofc Code]=(TRIM(M$7)))*(CsDJ[Account Code]=(TRIM($D40))),CsDJ[Credit])))+(SUM(IF((CRDJ[Ofc Code]=(TRIM(M$7)))*(CRDJ[Account Code]=(TRIM($D40))),CRDJ[Credit])))+(SUM(IF((GJ[Ofc Code]=(TRIM(M$7)))*(GJ[Account Code]=(TRIM($D40))),GJ[Credit]))))</f>
        <v>0</v>
      </c>
      <c r="N40" s="211">
        <f t="array" ref="N40">((SUM(IF((CkDJ[Ofc Code]=(TRIM(N$7)))*(CkDJ[Account Code]=(TRIM($D40))),CkDJ[Debit])))+(SUM(IF((CsDJ[Ofc Code]=(TRIM(N$7)))*(CsDJ[Account Code]=(TRIM($D40))),CsDJ[Debit])))+(SUM(IF((CRDJ[Ofc Code]=(TRIM(N$7)))*(CRDJ[Account Code]=(TRIM($D40))),CRDJ[Debit])))+(SUM(IF((GJ[Ofc Code]=(TRIM(N$7)))*(GJ[Account Code]=(TRIM($D40))),GJ[Debit]))))-((SUM(IF((CkDJ[Ofc Code]=(TRIM(N$7)))*(CkDJ[Account Code]=(TRIM($D40))),CkDJ[Credit])))+(SUM(IF((CsDJ[Ofc Code]=(TRIM(N$7)))*(CsDJ[Account Code]=(TRIM($D40))),CsDJ[Credit])))+(SUM(IF((CRDJ[Ofc Code]=(TRIM(N$7)))*(CRDJ[Account Code]=(TRIM($D40))),CRDJ[Credit])))+(SUM(IF((GJ[Ofc Code]=(TRIM(N$7)))*(GJ[Account Code]=(TRIM($D40))),GJ[Credit]))))</f>
        <v>0</v>
      </c>
      <c r="O40" s="211">
        <f t="shared" si="9"/>
        <v>0</v>
      </c>
      <c r="P40" s="211">
        <f t="array" ref="P40">((SUM(IF((CkDJ[Ofc Code]=(TRIM(P$7)))*(CkDJ[Account Code]=(TRIM($D40))),CkDJ[Debit])))+(SUM(IF((CsDJ[Ofc Code]=(TRIM(P$7)))*(CsDJ[Account Code]=(TRIM($D40))),CsDJ[Debit])))+(SUM(IF((CRDJ[Ofc Code]=(TRIM(P$7)))*(CRDJ[Account Code]=(TRIM($D40))),CRDJ[Debit])))+(SUM(IF((GJ[Ofc Code]=(TRIM(P$7)))*(GJ[Account Code]=(TRIM($D40))),GJ[Debit]))))-((SUM(IF((CkDJ[Ofc Code]=(TRIM(P$7)))*(CkDJ[Account Code]=(TRIM($D40))),CkDJ[Credit])))+(SUM(IF((CsDJ[Ofc Code]=(TRIM(P$7)))*(CsDJ[Account Code]=(TRIM($D40))),CsDJ[Credit])))+(SUM(IF((CRDJ[Ofc Code]=(TRIM(P$7)))*(CRDJ[Account Code]=(TRIM($D40))),CRDJ[Credit])))+(SUM(IF((GJ[Ofc Code]=(TRIM(P$7)))*(GJ[Account Code]=(TRIM($D40))),GJ[Credit]))))</f>
        <v>0</v>
      </c>
      <c r="Q40" s="211">
        <f t="array" ref="Q40">((SUM(IF((CkDJ[Ofc Code]=(TRIM(Q$7)))*(CkDJ[Account Code]=(TRIM($D40))),CkDJ[Debit])))+(SUM(IF((CsDJ[Ofc Code]=(TRIM(Q$7)))*(CsDJ[Account Code]=(TRIM($D40))),CsDJ[Debit])))+(SUM(IF((CRDJ[Ofc Code]=(TRIM(Q$7)))*(CRDJ[Account Code]=(TRIM($D40))),CRDJ[Debit])))+(SUM(IF((GJ[Ofc Code]=(TRIM(Q$7)))*(GJ[Account Code]=(TRIM($D40))),GJ[Debit]))))-((SUM(IF((CkDJ[Ofc Code]=(TRIM(Q$7)))*(CkDJ[Account Code]=(TRIM($D40))),CkDJ[Credit])))+(SUM(IF((CsDJ[Ofc Code]=(TRIM(Q$7)))*(CsDJ[Account Code]=(TRIM($D40))),CsDJ[Credit])))+(SUM(IF((CRDJ[Ofc Code]=(TRIM(Q$7)))*(CRDJ[Account Code]=(TRIM($D40))),CRDJ[Credit])))+(SUM(IF((GJ[Ofc Code]=(TRIM(Q$7)))*(GJ[Account Code]=(TRIM($D40))),GJ[Credit]))))</f>
        <v>0</v>
      </c>
      <c r="R40" s="211">
        <f t="array" ref="R40">((SUM(IF((CkDJ[Ofc Code]=(TRIM(R$7)))*(CkDJ[Account Code]=(TRIM($D40))),CkDJ[Debit])))+(SUM(IF((CsDJ[Ofc Code]=(TRIM(R$7)))*(CsDJ[Account Code]=(TRIM($D40))),CsDJ[Debit])))+(SUM(IF((CRDJ[Ofc Code]=(TRIM(R$7)))*(CRDJ[Account Code]=(TRIM($D40))),CRDJ[Debit])))+(SUM(IF((GJ[Ofc Code]=(TRIM(R$7)))*(GJ[Account Code]=(TRIM($D40))),GJ[Debit]))))-((SUM(IF((CkDJ[Ofc Code]=(TRIM(R$7)))*(CkDJ[Account Code]=(TRIM($D40))),CkDJ[Credit])))+(SUM(IF((CsDJ[Ofc Code]=(TRIM(R$7)))*(CsDJ[Account Code]=(TRIM($D40))),CsDJ[Credit])))+(SUM(IF((CRDJ[Ofc Code]=(TRIM(R$7)))*(CRDJ[Account Code]=(TRIM($D40))),CRDJ[Credit])))+(SUM(IF((GJ[Ofc Code]=(TRIM(R$7)))*(GJ[Account Code]=(TRIM($D40))),GJ[Credit]))))</f>
        <v>0</v>
      </c>
      <c r="S40" s="211">
        <f t="array" ref="S40">((SUM(IF((CkDJ[Ofc Code]=(TRIM(S$7)))*(CkDJ[Account Code]=(TRIM($D40))),CkDJ[Debit])))+(SUM(IF((CsDJ[Ofc Code]=(TRIM(S$7)))*(CsDJ[Account Code]=(TRIM($D40))),CsDJ[Debit])))+(SUM(IF((CRDJ[Ofc Code]=(TRIM(S$7)))*(CRDJ[Account Code]=(TRIM($D40))),CRDJ[Debit])))+(SUM(IF((GJ[Ofc Code]=(TRIM(S$7)))*(GJ[Account Code]=(TRIM($D40))),GJ[Debit]))))-((SUM(IF((CkDJ[Ofc Code]=(TRIM(S$7)))*(CkDJ[Account Code]=(TRIM($D40))),CkDJ[Credit])))+(SUM(IF((CsDJ[Ofc Code]=(TRIM(S$7)))*(CsDJ[Account Code]=(TRIM($D40))),CsDJ[Credit])))+(SUM(IF((CRDJ[Ofc Code]=(TRIM(S$7)))*(CRDJ[Account Code]=(TRIM($D40))),CRDJ[Credit])))+(SUM(IF((GJ[Ofc Code]=(TRIM(S$7)))*(GJ[Account Code]=(TRIM($D40))),GJ[Credit]))))</f>
        <v>0</v>
      </c>
      <c r="T40" s="211">
        <f t="array" ref="T40">((SUM(IF((CkDJ[Ofc Code]=(TRIM(T$7)))*(CkDJ[Account Code]=(TRIM($D40))),CkDJ[Debit])))+(SUM(IF((CsDJ[Ofc Code]=(TRIM(T$7)))*(CsDJ[Account Code]=(TRIM($D40))),CsDJ[Debit])))+(SUM(IF((CRDJ[Ofc Code]=(TRIM(T$7)))*(CRDJ[Account Code]=(TRIM($D40))),CRDJ[Debit])))+(SUM(IF((GJ[Ofc Code]=(TRIM(T$7)))*(GJ[Account Code]=(TRIM($D40))),GJ[Debit]))))-((SUM(IF((CkDJ[Ofc Code]=(TRIM(T$7)))*(CkDJ[Account Code]=(TRIM($D40))),CkDJ[Credit])))+(SUM(IF((CsDJ[Ofc Code]=(TRIM(T$7)))*(CsDJ[Account Code]=(TRIM($D40))),CsDJ[Credit])))+(SUM(IF((CRDJ[Ofc Code]=(TRIM(T$7)))*(CRDJ[Account Code]=(TRIM($D40))),CRDJ[Credit])))+(SUM(IF((GJ[Ofc Code]=(TRIM(T$7)))*(GJ[Account Code]=(TRIM($D40))),GJ[Credit]))))</f>
        <v>0</v>
      </c>
      <c r="U40" s="211">
        <f t="shared" si="10"/>
        <v>0</v>
      </c>
      <c r="V40" s="211">
        <f t="shared" si="11"/>
        <v>0</v>
      </c>
    </row>
    <row r="41" spans="1:22" ht="15" x14ac:dyDescent="0.25">
      <c r="A41" s="212">
        <f t="shared" si="12"/>
        <v>4</v>
      </c>
      <c r="B41" s="214" t="s">
        <v>756</v>
      </c>
      <c r="C41" s="194" t="str">
        <f t="shared" si="7"/>
        <v>Representation Allowance (RA)</v>
      </c>
      <c r="D41" s="215">
        <v>713</v>
      </c>
      <c r="E41" s="211">
        <f t="array" ref="E41">((SUM(IF((CkDJ[Ofc Code]=(TRIM(E$7)))*(CkDJ[Account Code]=(TRIM($D41))),CkDJ[Debit])))+(SUM(IF((CsDJ[Ofc Code]=(TRIM(E$7)))*(CsDJ[Account Code]=(TRIM($D41))),CsDJ[Debit])))+(SUM(IF((CRDJ[Ofc Code]=(TRIM(E$7)))*(CRDJ[Account Code]=(TRIM($D41))),CRDJ[Debit])))+(SUM(IF((GJ[Ofc Code]=(TRIM(E$7)))*(GJ[Account Code]=(TRIM($D41))),GJ[Debit]))))-((SUM(IF((CkDJ[Ofc Code]=(TRIM(E$7)))*(CkDJ[Account Code]=(TRIM($D41))),CkDJ[Credit])))+(SUM(IF((CsDJ[Ofc Code]=(TRIM(E$7)))*(CsDJ[Account Code]=(TRIM($D41))),CsDJ[Credit])))+(SUM(IF((CRDJ[Ofc Code]=(TRIM(E$7)))*(CRDJ[Account Code]=(TRIM($D41))),CRDJ[Credit])))+(SUM(IF((GJ[Ofc Code]=(TRIM(E$7)))*(GJ[Account Code]=(TRIM($D41))),GJ[Credit]))))</f>
        <v>0</v>
      </c>
      <c r="F41" s="211">
        <f t="array" ref="F41">((SUM(IF((CkDJ[Ofc Code]=(TRIM(F$7)))*(CkDJ[Account Code]=(TRIM($D41))),CkDJ[Debit])))+(SUM(IF((CsDJ[Ofc Code]=(TRIM(F$7)))*(CsDJ[Account Code]=(TRIM($D41))),CsDJ[Debit])))+(SUM(IF((CRDJ[Ofc Code]=(TRIM(F$7)))*(CRDJ[Account Code]=(TRIM($D41))),CRDJ[Debit])))+(SUM(IF((GJ[Ofc Code]=(TRIM(F$7)))*(GJ[Account Code]=(TRIM($D41))),GJ[Debit]))))-((SUM(IF((CkDJ[Ofc Code]=(TRIM(F$7)))*(CkDJ[Account Code]=(TRIM($D41))),CkDJ[Credit])))+(SUM(IF((CsDJ[Ofc Code]=(TRIM(F$7)))*(CsDJ[Account Code]=(TRIM($D41))),CsDJ[Credit])))+(SUM(IF((CRDJ[Ofc Code]=(TRIM(F$7)))*(CRDJ[Account Code]=(TRIM($D41))),CRDJ[Credit])))+(SUM(IF((GJ[Ofc Code]=(TRIM(F$7)))*(GJ[Account Code]=(TRIM($D41))),GJ[Credit]))))</f>
        <v>0</v>
      </c>
      <c r="G41" s="211">
        <f t="array" ref="G41">((SUM(IF((CkDJ[Ofc Code]=(TRIM(G$7)))*(CkDJ[Account Code]=(TRIM($D41))),CkDJ[Debit])))+(SUM(IF((CsDJ[Ofc Code]=(TRIM(G$7)))*(CsDJ[Account Code]=(TRIM($D41))),CsDJ[Debit])))+(SUM(IF((CRDJ[Ofc Code]=(TRIM(G$7)))*(CRDJ[Account Code]=(TRIM($D41))),CRDJ[Debit])))+(SUM(IF((GJ[Ofc Code]=(TRIM(G$7)))*(GJ[Account Code]=(TRIM($D41))),GJ[Debit]))))-((SUM(IF((CkDJ[Ofc Code]=(TRIM(G$7)))*(CkDJ[Account Code]=(TRIM($D41))),CkDJ[Credit])))+(SUM(IF((CsDJ[Ofc Code]=(TRIM(G$7)))*(CsDJ[Account Code]=(TRIM($D41))),CsDJ[Credit])))+(SUM(IF((CRDJ[Ofc Code]=(TRIM(G$7)))*(CRDJ[Account Code]=(TRIM($D41))),CRDJ[Credit])))+(SUM(IF((GJ[Ofc Code]=(TRIM(G$7)))*(GJ[Account Code]=(TRIM($D41))),GJ[Credit]))))</f>
        <v>0</v>
      </c>
      <c r="H41" s="211">
        <f t="array" ref="H41">((SUM(IF((CkDJ[Ofc Code]=(TRIM(H$7)))*(CkDJ[Account Code]=(TRIM($D41))),CkDJ[Debit])))+(SUM(IF((CsDJ[Ofc Code]=(TRIM(H$7)))*(CsDJ[Account Code]=(TRIM($D41))),CsDJ[Debit])))+(SUM(IF((CRDJ[Ofc Code]=(TRIM(H$7)))*(CRDJ[Account Code]=(TRIM($D41))),CRDJ[Debit])))+(SUM(IF((GJ[Ofc Code]=(TRIM(H$7)))*(GJ[Account Code]=(TRIM($D41))),GJ[Debit]))))-((SUM(IF((CkDJ[Ofc Code]=(TRIM(H$7)))*(CkDJ[Account Code]=(TRIM($D41))),CkDJ[Credit])))+(SUM(IF((CsDJ[Ofc Code]=(TRIM(H$7)))*(CsDJ[Account Code]=(TRIM($D41))),CsDJ[Credit])))+(SUM(IF((CRDJ[Ofc Code]=(TRIM(H$7)))*(CRDJ[Account Code]=(TRIM($D41))),CRDJ[Credit])))+(SUM(IF((GJ[Ofc Code]=(TRIM(H$7)))*(GJ[Account Code]=(TRIM($D41))),GJ[Credit]))))</f>
        <v>0</v>
      </c>
      <c r="I41" s="211">
        <f t="array" ref="I41">((SUM(IF((CkDJ[Ofc Code]=(TRIM(I$7)))*(CkDJ[Account Code]=(TRIM($D41))),CkDJ[Debit])))+(SUM(IF((CsDJ[Ofc Code]=(TRIM(I$7)))*(CsDJ[Account Code]=(TRIM($D41))),CsDJ[Debit])))+(SUM(IF((CRDJ[Ofc Code]=(TRIM(I$7)))*(CRDJ[Account Code]=(TRIM($D41))),CRDJ[Debit])))+(SUM(IF((GJ[Ofc Code]=(TRIM(I$7)))*(GJ[Account Code]=(TRIM($D41))),GJ[Debit]))))-((SUM(IF((CkDJ[Ofc Code]=(TRIM(I$7)))*(CkDJ[Account Code]=(TRIM($D41))),CkDJ[Credit])))+(SUM(IF((CsDJ[Ofc Code]=(TRIM(I$7)))*(CsDJ[Account Code]=(TRIM($D41))),CsDJ[Credit])))+(SUM(IF((CRDJ[Ofc Code]=(TRIM(I$7)))*(CRDJ[Account Code]=(TRIM($D41))),CRDJ[Credit])))+(SUM(IF((GJ[Ofc Code]=(TRIM(I$7)))*(GJ[Account Code]=(TRIM($D41))),GJ[Credit]))))</f>
        <v>0</v>
      </c>
      <c r="J41" s="211">
        <f t="shared" si="8"/>
        <v>0</v>
      </c>
      <c r="K41" s="211">
        <f t="array" ref="K41">((SUM(IF((CkDJ[Ofc Code]=(TRIM(K$7)))*(CkDJ[Account Code]=(TRIM($D41))),CkDJ[Debit])))+(SUM(IF((CsDJ[Ofc Code]=(TRIM(K$7)))*(CsDJ[Account Code]=(TRIM($D41))),CsDJ[Debit])))+(SUM(IF((CRDJ[Ofc Code]=(TRIM(K$7)))*(CRDJ[Account Code]=(TRIM($D41))),CRDJ[Debit])))+(SUM(IF((GJ[Ofc Code]=(TRIM(K$7)))*(GJ[Account Code]=(TRIM($D41))),GJ[Debit]))))-((SUM(IF((CkDJ[Ofc Code]=(TRIM(K$7)))*(CkDJ[Account Code]=(TRIM($D41))),CkDJ[Credit])))+(SUM(IF((CsDJ[Ofc Code]=(TRIM(K$7)))*(CsDJ[Account Code]=(TRIM($D41))),CsDJ[Credit])))+(SUM(IF((CRDJ[Ofc Code]=(TRIM(K$7)))*(CRDJ[Account Code]=(TRIM($D41))),CRDJ[Credit])))+(SUM(IF((GJ[Ofc Code]=(TRIM(K$7)))*(GJ[Account Code]=(TRIM($D41))),GJ[Credit]))))</f>
        <v>0</v>
      </c>
      <c r="L41" s="211">
        <f t="array" ref="L41">((SUM(IF((CkDJ[Ofc Code]=(TRIM(L$7)))*(CkDJ[Account Code]=(TRIM($D41))),CkDJ[Debit])))+(SUM(IF((CsDJ[Ofc Code]=(TRIM(L$7)))*(CsDJ[Account Code]=(TRIM($D41))),CsDJ[Debit])))+(SUM(IF((CRDJ[Ofc Code]=(TRIM(L$7)))*(CRDJ[Account Code]=(TRIM($D41))),CRDJ[Debit])))+(SUM(IF((GJ[Ofc Code]=(TRIM(L$7)))*(GJ[Account Code]=(TRIM($D41))),GJ[Debit]))))-((SUM(IF((CkDJ[Ofc Code]=(TRIM(L$7)))*(CkDJ[Account Code]=(TRIM($D41))),CkDJ[Credit])))+(SUM(IF((CsDJ[Ofc Code]=(TRIM(L$7)))*(CsDJ[Account Code]=(TRIM($D41))),CsDJ[Credit])))+(SUM(IF((CRDJ[Ofc Code]=(TRIM(L$7)))*(CRDJ[Account Code]=(TRIM($D41))),CRDJ[Credit])))+(SUM(IF((GJ[Ofc Code]=(TRIM(L$7)))*(GJ[Account Code]=(TRIM($D41))),GJ[Credit]))))</f>
        <v>0</v>
      </c>
      <c r="M41" s="211">
        <f t="array" ref="M41">((SUM(IF((CkDJ[Ofc Code]=(TRIM(M$7)))*(CkDJ[Account Code]=(TRIM($D41))),CkDJ[Debit])))+(SUM(IF((CsDJ[Ofc Code]=(TRIM(M$7)))*(CsDJ[Account Code]=(TRIM($D41))),CsDJ[Debit])))+(SUM(IF((CRDJ[Ofc Code]=(TRIM(M$7)))*(CRDJ[Account Code]=(TRIM($D41))),CRDJ[Debit])))+(SUM(IF((GJ[Ofc Code]=(TRIM(M$7)))*(GJ[Account Code]=(TRIM($D41))),GJ[Debit]))))-((SUM(IF((CkDJ[Ofc Code]=(TRIM(M$7)))*(CkDJ[Account Code]=(TRIM($D41))),CkDJ[Credit])))+(SUM(IF((CsDJ[Ofc Code]=(TRIM(M$7)))*(CsDJ[Account Code]=(TRIM($D41))),CsDJ[Credit])))+(SUM(IF((CRDJ[Ofc Code]=(TRIM(M$7)))*(CRDJ[Account Code]=(TRIM($D41))),CRDJ[Credit])))+(SUM(IF((GJ[Ofc Code]=(TRIM(M$7)))*(GJ[Account Code]=(TRIM($D41))),GJ[Credit]))))</f>
        <v>0</v>
      </c>
      <c r="N41" s="211">
        <f t="array" ref="N41">((SUM(IF((CkDJ[Ofc Code]=(TRIM(N$7)))*(CkDJ[Account Code]=(TRIM($D41))),CkDJ[Debit])))+(SUM(IF((CsDJ[Ofc Code]=(TRIM(N$7)))*(CsDJ[Account Code]=(TRIM($D41))),CsDJ[Debit])))+(SUM(IF((CRDJ[Ofc Code]=(TRIM(N$7)))*(CRDJ[Account Code]=(TRIM($D41))),CRDJ[Debit])))+(SUM(IF((GJ[Ofc Code]=(TRIM(N$7)))*(GJ[Account Code]=(TRIM($D41))),GJ[Debit]))))-((SUM(IF((CkDJ[Ofc Code]=(TRIM(N$7)))*(CkDJ[Account Code]=(TRIM($D41))),CkDJ[Credit])))+(SUM(IF((CsDJ[Ofc Code]=(TRIM(N$7)))*(CsDJ[Account Code]=(TRIM($D41))),CsDJ[Credit])))+(SUM(IF((CRDJ[Ofc Code]=(TRIM(N$7)))*(CRDJ[Account Code]=(TRIM($D41))),CRDJ[Credit])))+(SUM(IF((GJ[Ofc Code]=(TRIM(N$7)))*(GJ[Account Code]=(TRIM($D41))),GJ[Credit]))))</f>
        <v>0</v>
      </c>
      <c r="O41" s="211">
        <f t="shared" si="9"/>
        <v>0</v>
      </c>
      <c r="P41" s="211">
        <f t="array" ref="P41">((SUM(IF((CkDJ[Ofc Code]=(TRIM(P$7)))*(CkDJ[Account Code]=(TRIM($D41))),CkDJ[Debit])))+(SUM(IF((CsDJ[Ofc Code]=(TRIM(P$7)))*(CsDJ[Account Code]=(TRIM($D41))),CsDJ[Debit])))+(SUM(IF((CRDJ[Ofc Code]=(TRIM(P$7)))*(CRDJ[Account Code]=(TRIM($D41))),CRDJ[Debit])))+(SUM(IF((GJ[Ofc Code]=(TRIM(P$7)))*(GJ[Account Code]=(TRIM($D41))),GJ[Debit]))))-((SUM(IF((CkDJ[Ofc Code]=(TRIM(P$7)))*(CkDJ[Account Code]=(TRIM($D41))),CkDJ[Credit])))+(SUM(IF((CsDJ[Ofc Code]=(TRIM(P$7)))*(CsDJ[Account Code]=(TRIM($D41))),CsDJ[Credit])))+(SUM(IF((CRDJ[Ofc Code]=(TRIM(P$7)))*(CRDJ[Account Code]=(TRIM($D41))),CRDJ[Credit])))+(SUM(IF((GJ[Ofc Code]=(TRIM(P$7)))*(GJ[Account Code]=(TRIM($D41))),GJ[Credit]))))</f>
        <v>0</v>
      </c>
      <c r="Q41" s="211">
        <f t="array" ref="Q41">((SUM(IF((CkDJ[Ofc Code]=(TRIM(Q$7)))*(CkDJ[Account Code]=(TRIM($D41))),CkDJ[Debit])))+(SUM(IF((CsDJ[Ofc Code]=(TRIM(Q$7)))*(CsDJ[Account Code]=(TRIM($D41))),CsDJ[Debit])))+(SUM(IF((CRDJ[Ofc Code]=(TRIM(Q$7)))*(CRDJ[Account Code]=(TRIM($D41))),CRDJ[Debit])))+(SUM(IF((GJ[Ofc Code]=(TRIM(Q$7)))*(GJ[Account Code]=(TRIM($D41))),GJ[Debit]))))-((SUM(IF((CkDJ[Ofc Code]=(TRIM(Q$7)))*(CkDJ[Account Code]=(TRIM($D41))),CkDJ[Credit])))+(SUM(IF((CsDJ[Ofc Code]=(TRIM(Q$7)))*(CsDJ[Account Code]=(TRIM($D41))),CsDJ[Credit])))+(SUM(IF((CRDJ[Ofc Code]=(TRIM(Q$7)))*(CRDJ[Account Code]=(TRIM($D41))),CRDJ[Credit])))+(SUM(IF((GJ[Ofc Code]=(TRIM(Q$7)))*(GJ[Account Code]=(TRIM($D41))),GJ[Credit]))))</f>
        <v>0</v>
      </c>
      <c r="R41" s="211">
        <f t="array" ref="R41">((SUM(IF((CkDJ[Ofc Code]=(TRIM(R$7)))*(CkDJ[Account Code]=(TRIM($D41))),CkDJ[Debit])))+(SUM(IF((CsDJ[Ofc Code]=(TRIM(R$7)))*(CsDJ[Account Code]=(TRIM($D41))),CsDJ[Debit])))+(SUM(IF((CRDJ[Ofc Code]=(TRIM(R$7)))*(CRDJ[Account Code]=(TRIM($D41))),CRDJ[Debit])))+(SUM(IF((GJ[Ofc Code]=(TRIM(R$7)))*(GJ[Account Code]=(TRIM($D41))),GJ[Debit]))))-((SUM(IF((CkDJ[Ofc Code]=(TRIM(R$7)))*(CkDJ[Account Code]=(TRIM($D41))),CkDJ[Credit])))+(SUM(IF((CsDJ[Ofc Code]=(TRIM(R$7)))*(CsDJ[Account Code]=(TRIM($D41))),CsDJ[Credit])))+(SUM(IF((CRDJ[Ofc Code]=(TRIM(R$7)))*(CRDJ[Account Code]=(TRIM($D41))),CRDJ[Credit])))+(SUM(IF((GJ[Ofc Code]=(TRIM(R$7)))*(GJ[Account Code]=(TRIM($D41))),GJ[Credit]))))</f>
        <v>0</v>
      </c>
      <c r="S41" s="211">
        <f t="array" ref="S41">((SUM(IF((CkDJ[Ofc Code]=(TRIM(S$7)))*(CkDJ[Account Code]=(TRIM($D41))),CkDJ[Debit])))+(SUM(IF((CsDJ[Ofc Code]=(TRIM(S$7)))*(CsDJ[Account Code]=(TRIM($D41))),CsDJ[Debit])))+(SUM(IF((CRDJ[Ofc Code]=(TRIM(S$7)))*(CRDJ[Account Code]=(TRIM($D41))),CRDJ[Debit])))+(SUM(IF((GJ[Ofc Code]=(TRIM(S$7)))*(GJ[Account Code]=(TRIM($D41))),GJ[Debit]))))-((SUM(IF((CkDJ[Ofc Code]=(TRIM(S$7)))*(CkDJ[Account Code]=(TRIM($D41))),CkDJ[Credit])))+(SUM(IF((CsDJ[Ofc Code]=(TRIM(S$7)))*(CsDJ[Account Code]=(TRIM($D41))),CsDJ[Credit])))+(SUM(IF((CRDJ[Ofc Code]=(TRIM(S$7)))*(CRDJ[Account Code]=(TRIM($D41))),CRDJ[Credit])))+(SUM(IF((GJ[Ofc Code]=(TRIM(S$7)))*(GJ[Account Code]=(TRIM($D41))),GJ[Credit]))))</f>
        <v>0</v>
      </c>
      <c r="T41" s="211">
        <f t="array" ref="T41">((SUM(IF((CkDJ[Ofc Code]=(TRIM(T$7)))*(CkDJ[Account Code]=(TRIM($D41))),CkDJ[Debit])))+(SUM(IF((CsDJ[Ofc Code]=(TRIM(T$7)))*(CsDJ[Account Code]=(TRIM($D41))),CsDJ[Debit])))+(SUM(IF((CRDJ[Ofc Code]=(TRIM(T$7)))*(CRDJ[Account Code]=(TRIM($D41))),CRDJ[Debit])))+(SUM(IF((GJ[Ofc Code]=(TRIM(T$7)))*(GJ[Account Code]=(TRIM($D41))),GJ[Debit]))))-((SUM(IF((CkDJ[Ofc Code]=(TRIM(T$7)))*(CkDJ[Account Code]=(TRIM($D41))),CkDJ[Credit])))+(SUM(IF((CsDJ[Ofc Code]=(TRIM(T$7)))*(CsDJ[Account Code]=(TRIM($D41))),CsDJ[Credit])))+(SUM(IF((CRDJ[Ofc Code]=(TRIM(T$7)))*(CRDJ[Account Code]=(TRIM($D41))),CRDJ[Credit])))+(SUM(IF((GJ[Ofc Code]=(TRIM(T$7)))*(GJ[Account Code]=(TRIM($D41))),GJ[Credit]))))</f>
        <v>0</v>
      </c>
      <c r="U41" s="211">
        <f t="shared" si="10"/>
        <v>0</v>
      </c>
      <c r="V41" s="211">
        <f t="shared" si="11"/>
        <v>0</v>
      </c>
    </row>
    <row r="42" spans="1:22" ht="15" x14ac:dyDescent="0.25">
      <c r="A42" s="212">
        <f t="shared" si="12"/>
        <v>5</v>
      </c>
      <c r="B42" s="214" t="s">
        <v>756</v>
      </c>
      <c r="C42" s="194" t="str">
        <f t="shared" si="7"/>
        <v>Transportation Allowance (TA)</v>
      </c>
      <c r="D42" s="215">
        <v>714</v>
      </c>
      <c r="E42" s="211">
        <f t="array" ref="E42">((SUM(IF((CkDJ[Ofc Code]=(TRIM(E$7)))*(CkDJ[Account Code]=(TRIM($D42))),CkDJ[Debit])))+(SUM(IF((CsDJ[Ofc Code]=(TRIM(E$7)))*(CsDJ[Account Code]=(TRIM($D42))),CsDJ[Debit])))+(SUM(IF((CRDJ[Ofc Code]=(TRIM(E$7)))*(CRDJ[Account Code]=(TRIM($D42))),CRDJ[Debit])))+(SUM(IF((GJ[Ofc Code]=(TRIM(E$7)))*(GJ[Account Code]=(TRIM($D42))),GJ[Debit]))))-((SUM(IF((CkDJ[Ofc Code]=(TRIM(E$7)))*(CkDJ[Account Code]=(TRIM($D42))),CkDJ[Credit])))+(SUM(IF((CsDJ[Ofc Code]=(TRIM(E$7)))*(CsDJ[Account Code]=(TRIM($D42))),CsDJ[Credit])))+(SUM(IF((CRDJ[Ofc Code]=(TRIM(E$7)))*(CRDJ[Account Code]=(TRIM($D42))),CRDJ[Credit])))+(SUM(IF((GJ[Ofc Code]=(TRIM(E$7)))*(GJ[Account Code]=(TRIM($D42))),GJ[Credit]))))</f>
        <v>0</v>
      </c>
      <c r="F42" s="211">
        <f t="array" ref="F42">((SUM(IF((CkDJ[Ofc Code]=(TRIM(F$7)))*(CkDJ[Account Code]=(TRIM($D42))),CkDJ[Debit])))+(SUM(IF((CsDJ[Ofc Code]=(TRIM(F$7)))*(CsDJ[Account Code]=(TRIM($D42))),CsDJ[Debit])))+(SUM(IF((CRDJ[Ofc Code]=(TRIM(F$7)))*(CRDJ[Account Code]=(TRIM($D42))),CRDJ[Debit])))+(SUM(IF((GJ[Ofc Code]=(TRIM(F$7)))*(GJ[Account Code]=(TRIM($D42))),GJ[Debit]))))-((SUM(IF((CkDJ[Ofc Code]=(TRIM(F$7)))*(CkDJ[Account Code]=(TRIM($D42))),CkDJ[Credit])))+(SUM(IF((CsDJ[Ofc Code]=(TRIM(F$7)))*(CsDJ[Account Code]=(TRIM($D42))),CsDJ[Credit])))+(SUM(IF((CRDJ[Ofc Code]=(TRIM(F$7)))*(CRDJ[Account Code]=(TRIM($D42))),CRDJ[Credit])))+(SUM(IF((GJ[Ofc Code]=(TRIM(F$7)))*(GJ[Account Code]=(TRIM($D42))),GJ[Credit]))))</f>
        <v>0</v>
      </c>
      <c r="G42" s="211">
        <f t="array" ref="G42">((SUM(IF((CkDJ[Ofc Code]=(TRIM(G$7)))*(CkDJ[Account Code]=(TRIM($D42))),CkDJ[Debit])))+(SUM(IF((CsDJ[Ofc Code]=(TRIM(G$7)))*(CsDJ[Account Code]=(TRIM($D42))),CsDJ[Debit])))+(SUM(IF((CRDJ[Ofc Code]=(TRIM(G$7)))*(CRDJ[Account Code]=(TRIM($D42))),CRDJ[Debit])))+(SUM(IF((GJ[Ofc Code]=(TRIM(G$7)))*(GJ[Account Code]=(TRIM($D42))),GJ[Debit]))))-((SUM(IF((CkDJ[Ofc Code]=(TRIM(G$7)))*(CkDJ[Account Code]=(TRIM($D42))),CkDJ[Credit])))+(SUM(IF((CsDJ[Ofc Code]=(TRIM(G$7)))*(CsDJ[Account Code]=(TRIM($D42))),CsDJ[Credit])))+(SUM(IF((CRDJ[Ofc Code]=(TRIM(G$7)))*(CRDJ[Account Code]=(TRIM($D42))),CRDJ[Credit])))+(SUM(IF((GJ[Ofc Code]=(TRIM(G$7)))*(GJ[Account Code]=(TRIM($D42))),GJ[Credit]))))</f>
        <v>0</v>
      </c>
      <c r="H42" s="211">
        <f t="array" ref="H42">((SUM(IF((CkDJ[Ofc Code]=(TRIM(H$7)))*(CkDJ[Account Code]=(TRIM($D42))),CkDJ[Debit])))+(SUM(IF((CsDJ[Ofc Code]=(TRIM(H$7)))*(CsDJ[Account Code]=(TRIM($D42))),CsDJ[Debit])))+(SUM(IF((CRDJ[Ofc Code]=(TRIM(H$7)))*(CRDJ[Account Code]=(TRIM($D42))),CRDJ[Debit])))+(SUM(IF((GJ[Ofc Code]=(TRIM(H$7)))*(GJ[Account Code]=(TRIM($D42))),GJ[Debit]))))-((SUM(IF((CkDJ[Ofc Code]=(TRIM(H$7)))*(CkDJ[Account Code]=(TRIM($D42))),CkDJ[Credit])))+(SUM(IF((CsDJ[Ofc Code]=(TRIM(H$7)))*(CsDJ[Account Code]=(TRIM($D42))),CsDJ[Credit])))+(SUM(IF((CRDJ[Ofc Code]=(TRIM(H$7)))*(CRDJ[Account Code]=(TRIM($D42))),CRDJ[Credit])))+(SUM(IF((GJ[Ofc Code]=(TRIM(H$7)))*(GJ[Account Code]=(TRIM($D42))),GJ[Credit]))))</f>
        <v>0</v>
      </c>
      <c r="I42" s="211">
        <f t="array" ref="I42">((SUM(IF((CkDJ[Ofc Code]=(TRIM(I$7)))*(CkDJ[Account Code]=(TRIM($D42))),CkDJ[Debit])))+(SUM(IF((CsDJ[Ofc Code]=(TRIM(I$7)))*(CsDJ[Account Code]=(TRIM($D42))),CsDJ[Debit])))+(SUM(IF((CRDJ[Ofc Code]=(TRIM(I$7)))*(CRDJ[Account Code]=(TRIM($D42))),CRDJ[Debit])))+(SUM(IF((GJ[Ofc Code]=(TRIM(I$7)))*(GJ[Account Code]=(TRIM($D42))),GJ[Debit]))))-((SUM(IF((CkDJ[Ofc Code]=(TRIM(I$7)))*(CkDJ[Account Code]=(TRIM($D42))),CkDJ[Credit])))+(SUM(IF((CsDJ[Ofc Code]=(TRIM(I$7)))*(CsDJ[Account Code]=(TRIM($D42))),CsDJ[Credit])))+(SUM(IF((CRDJ[Ofc Code]=(TRIM(I$7)))*(CRDJ[Account Code]=(TRIM($D42))),CRDJ[Credit])))+(SUM(IF((GJ[Ofc Code]=(TRIM(I$7)))*(GJ[Account Code]=(TRIM($D42))),GJ[Credit]))))</f>
        <v>0</v>
      </c>
      <c r="J42" s="211">
        <f t="shared" si="8"/>
        <v>0</v>
      </c>
      <c r="K42" s="211">
        <f t="array" ref="K42">((SUM(IF((CkDJ[Ofc Code]=(TRIM(K$7)))*(CkDJ[Account Code]=(TRIM($D42))),CkDJ[Debit])))+(SUM(IF((CsDJ[Ofc Code]=(TRIM(K$7)))*(CsDJ[Account Code]=(TRIM($D42))),CsDJ[Debit])))+(SUM(IF((CRDJ[Ofc Code]=(TRIM(K$7)))*(CRDJ[Account Code]=(TRIM($D42))),CRDJ[Debit])))+(SUM(IF((GJ[Ofc Code]=(TRIM(K$7)))*(GJ[Account Code]=(TRIM($D42))),GJ[Debit]))))-((SUM(IF((CkDJ[Ofc Code]=(TRIM(K$7)))*(CkDJ[Account Code]=(TRIM($D42))),CkDJ[Credit])))+(SUM(IF((CsDJ[Ofc Code]=(TRIM(K$7)))*(CsDJ[Account Code]=(TRIM($D42))),CsDJ[Credit])))+(SUM(IF((CRDJ[Ofc Code]=(TRIM(K$7)))*(CRDJ[Account Code]=(TRIM($D42))),CRDJ[Credit])))+(SUM(IF((GJ[Ofc Code]=(TRIM(K$7)))*(GJ[Account Code]=(TRIM($D42))),GJ[Credit]))))</f>
        <v>0</v>
      </c>
      <c r="L42" s="211">
        <f t="array" ref="L42">((SUM(IF((CkDJ[Ofc Code]=(TRIM(L$7)))*(CkDJ[Account Code]=(TRIM($D42))),CkDJ[Debit])))+(SUM(IF((CsDJ[Ofc Code]=(TRIM(L$7)))*(CsDJ[Account Code]=(TRIM($D42))),CsDJ[Debit])))+(SUM(IF((CRDJ[Ofc Code]=(TRIM(L$7)))*(CRDJ[Account Code]=(TRIM($D42))),CRDJ[Debit])))+(SUM(IF((GJ[Ofc Code]=(TRIM(L$7)))*(GJ[Account Code]=(TRIM($D42))),GJ[Debit]))))-((SUM(IF((CkDJ[Ofc Code]=(TRIM(L$7)))*(CkDJ[Account Code]=(TRIM($D42))),CkDJ[Credit])))+(SUM(IF((CsDJ[Ofc Code]=(TRIM(L$7)))*(CsDJ[Account Code]=(TRIM($D42))),CsDJ[Credit])))+(SUM(IF((CRDJ[Ofc Code]=(TRIM(L$7)))*(CRDJ[Account Code]=(TRIM($D42))),CRDJ[Credit])))+(SUM(IF((GJ[Ofc Code]=(TRIM(L$7)))*(GJ[Account Code]=(TRIM($D42))),GJ[Credit]))))</f>
        <v>0</v>
      </c>
      <c r="M42" s="211">
        <f t="array" ref="M42">((SUM(IF((CkDJ[Ofc Code]=(TRIM(M$7)))*(CkDJ[Account Code]=(TRIM($D42))),CkDJ[Debit])))+(SUM(IF((CsDJ[Ofc Code]=(TRIM(M$7)))*(CsDJ[Account Code]=(TRIM($D42))),CsDJ[Debit])))+(SUM(IF((CRDJ[Ofc Code]=(TRIM(M$7)))*(CRDJ[Account Code]=(TRIM($D42))),CRDJ[Debit])))+(SUM(IF((GJ[Ofc Code]=(TRIM(M$7)))*(GJ[Account Code]=(TRIM($D42))),GJ[Debit]))))-((SUM(IF((CkDJ[Ofc Code]=(TRIM(M$7)))*(CkDJ[Account Code]=(TRIM($D42))),CkDJ[Credit])))+(SUM(IF((CsDJ[Ofc Code]=(TRIM(M$7)))*(CsDJ[Account Code]=(TRIM($D42))),CsDJ[Credit])))+(SUM(IF((CRDJ[Ofc Code]=(TRIM(M$7)))*(CRDJ[Account Code]=(TRIM($D42))),CRDJ[Credit])))+(SUM(IF((GJ[Ofc Code]=(TRIM(M$7)))*(GJ[Account Code]=(TRIM($D42))),GJ[Credit]))))</f>
        <v>0</v>
      </c>
      <c r="N42" s="211">
        <f t="array" ref="N42">((SUM(IF((CkDJ[Ofc Code]=(TRIM(N$7)))*(CkDJ[Account Code]=(TRIM($D42))),CkDJ[Debit])))+(SUM(IF((CsDJ[Ofc Code]=(TRIM(N$7)))*(CsDJ[Account Code]=(TRIM($D42))),CsDJ[Debit])))+(SUM(IF((CRDJ[Ofc Code]=(TRIM(N$7)))*(CRDJ[Account Code]=(TRIM($D42))),CRDJ[Debit])))+(SUM(IF((GJ[Ofc Code]=(TRIM(N$7)))*(GJ[Account Code]=(TRIM($D42))),GJ[Debit]))))-((SUM(IF((CkDJ[Ofc Code]=(TRIM(N$7)))*(CkDJ[Account Code]=(TRIM($D42))),CkDJ[Credit])))+(SUM(IF((CsDJ[Ofc Code]=(TRIM(N$7)))*(CsDJ[Account Code]=(TRIM($D42))),CsDJ[Credit])))+(SUM(IF((CRDJ[Ofc Code]=(TRIM(N$7)))*(CRDJ[Account Code]=(TRIM($D42))),CRDJ[Credit])))+(SUM(IF((GJ[Ofc Code]=(TRIM(N$7)))*(GJ[Account Code]=(TRIM($D42))),GJ[Credit]))))</f>
        <v>0</v>
      </c>
      <c r="O42" s="211">
        <f t="shared" si="9"/>
        <v>0</v>
      </c>
      <c r="P42" s="211">
        <f t="array" ref="P42">((SUM(IF((CkDJ[Ofc Code]=(TRIM(P$7)))*(CkDJ[Account Code]=(TRIM($D42))),CkDJ[Debit])))+(SUM(IF((CsDJ[Ofc Code]=(TRIM(P$7)))*(CsDJ[Account Code]=(TRIM($D42))),CsDJ[Debit])))+(SUM(IF((CRDJ[Ofc Code]=(TRIM(P$7)))*(CRDJ[Account Code]=(TRIM($D42))),CRDJ[Debit])))+(SUM(IF((GJ[Ofc Code]=(TRIM(P$7)))*(GJ[Account Code]=(TRIM($D42))),GJ[Debit]))))-((SUM(IF((CkDJ[Ofc Code]=(TRIM(P$7)))*(CkDJ[Account Code]=(TRIM($D42))),CkDJ[Credit])))+(SUM(IF((CsDJ[Ofc Code]=(TRIM(P$7)))*(CsDJ[Account Code]=(TRIM($D42))),CsDJ[Credit])))+(SUM(IF((CRDJ[Ofc Code]=(TRIM(P$7)))*(CRDJ[Account Code]=(TRIM($D42))),CRDJ[Credit])))+(SUM(IF((GJ[Ofc Code]=(TRIM(P$7)))*(GJ[Account Code]=(TRIM($D42))),GJ[Credit]))))</f>
        <v>0</v>
      </c>
      <c r="Q42" s="211">
        <f t="array" ref="Q42">((SUM(IF((CkDJ[Ofc Code]=(TRIM(Q$7)))*(CkDJ[Account Code]=(TRIM($D42))),CkDJ[Debit])))+(SUM(IF((CsDJ[Ofc Code]=(TRIM(Q$7)))*(CsDJ[Account Code]=(TRIM($D42))),CsDJ[Debit])))+(SUM(IF((CRDJ[Ofc Code]=(TRIM(Q$7)))*(CRDJ[Account Code]=(TRIM($D42))),CRDJ[Debit])))+(SUM(IF((GJ[Ofc Code]=(TRIM(Q$7)))*(GJ[Account Code]=(TRIM($D42))),GJ[Debit]))))-((SUM(IF((CkDJ[Ofc Code]=(TRIM(Q$7)))*(CkDJ[Account Code]=(TRIM($D42))),CkDJ[Credit])))+(SUM(IF((CsDJ[Ofc Code]=(TRIM(Q$7)))*(CsDJ[Account Code]=(TRIM($D42))),CsDJ[Credit])))+(SUM(IF((CRDJ[Ofc Code]=(TRIM(Q$7)))*(CRDJ[Account Code]=(TRIM($D42))),CRDJ[Credit])))+(SUM(IF((GJ[Ofc Code]=(TRIM(Q$7)))*(GJ[Account Code]=(TRIM($D42))),GJ[Credit]))))</f>
        <v>0</v>
      </c>
      <c r="R42" s="211">
        <f t="array" ref="R42">((SUM(IF((CkDJ[Ofc Code]=(TRIM(R$7)))*(CkDJ[Account Code]=(TRIM($D42))),CkDJ[Debit])))+(SUM(IF((CsDJ[Ofc Code]=(TRIM(R$7)))*(CsDJ[Account Code]=(TRIM($D42))),CsDJ[Debit])))+(SUM(IF((CRDJ[Ofc Code]=(TRIM(R$7)))*(CRDJ[Account Code]=(TRIM($D42))),CRDJ[Debit])))+(SUM(IF((GJ[Ofc Code]=(TRIM(R$7)))*(GJ[Account Code]=(TRIM($D42))),GJ[Debit]))))-((SUM(IF((CkDJ[Ofc Code]=(TRIM(R$7)))*(CkDJ[Account Code]=(TRIM($D42))),CkDJ[Credit])))+(SUM(IF((CsDJ[Ofc Code]=(TRIM(R$7)))*(CsDJ[Account Code]=(TRIM($D42))),CsDJ[Credit])))+(SUM(IF((CRDJ[Ofc Code]=(TRIM(R$7)))*(CRDJ[Account Code]=(TRIM($D42))),CRDJ[Credit])))+(SUM(IF((GJ[Ofc Code]=(TRIM(R$7)))*(GJ[Account Code]=(TRIM($D42))),GJ[Credit]))))</f>
        <v>0</v>
      </c>
      <c r="S42" s="211">
        <f t="array" ref="S42">((SUM(IF((CkDJ[Ofc Code]=(TRIM(S$7)))*(CkDJ[Account Code]=(TRIM($D42))),CkDJ[Debit])))+(SUM(IF((CsDJ[Ofc Code]=(TRIM(S$7)))*(CsDJ[Account Code]=(TRIM($D42))),CsDJ[Debit])))+(SUM(IF((CRDJ[Ofc Code]=(TRIM(S$7)))*(CRDJ[Account Code]=(TRIM($D42))),CRDJ[Debit])))+(SUM(IF((GJ[Ofc Code]=(TRIM(S$7)))*(GJ[Account Code]=(TRIM($D42))),GJ[Debit]))))-((SUM(IF((CkDJ[Ofc Code]=(TRIM(S$7)))*(CkDJ[Account Code]=(TRIM($D42))),CkDJ[Credit])))+(SUM(IF((CsDJ[Ofc Code]=(TRIM(S$7)))*(CsDJ[Account Code]=(TRIM($D42))),CsDJ[Credit])))+(SUM(IF((CRDJ[Ofc Code]=(TRIM(S$7)))*(CRDJ[Account Code]=(TRIM($D42))),CRDJ[Credit])))+(SUM(IF((GJ[Ofc Code]=(TRIM(S$7)))*(GJ[Account Code]=(TRIM($D42))),GJ[Credit]))))</f>
        <v>0</v>
      </c>
      <c r="T42" s="211">
        <f t="array" ref="T42">((SUM(IF((CkDJ[Ofc Code]=(TRIM(T$7)))*(CkDJ[Account Code]=(TRIM($D42))),CkDJ[Debit])))+(SUM(IF((CsDJ[Ofc Code]=(TRIM(T$7)))*(CsDJ[Account Code]=(TRIM($D42))),CsDJ[Debit])))+(SUM(IF((CRDJ[Ofc Code]=(TRIM(T$7)))*(CRDJ[Account Code]=(TRIM($D42))),CRDJ[Debit])))+(SUM(IF((GJ[Ofc Code]=(TRIM(T$7)))*(GJ[Account Code]=(TRIM($D42))),GJ[Debit]))))-((SUM(IF((CkDJ[Ofc Code]=(TRIM(T$7)))*(CkDJ[Account Code]=(TRIM($D42))),CkDJ[Credit])))+(SUM(IF((CsDJ[Ofc Code]=(TRIM(T$7)))*(CsDJ[Account Code]=(TRIM($D42))),CsDJ[Credit])))+(SUM(IF((CRDJ[Ofc Code]=(TRIM(T$7)))*(CRDJ[Account Code]=(TRIM($D42))),CRDJ[Credit])))+(SUM(IF((GJ[Ofc Code]=(TRIM(T$7)))*(GJ[Account Code]=(TRIM($D42))),GJ[Credit]))))</f>
        <v>0</v>
      </c>
      <c r="U42" s="211">
        <f t="shared" si="10"/>
        <v>0</v>
      </c>
      <c r="V42" s="211">
        <f t="shared" si="11"/>
        <v>0</v>
      </c>
    </row>
    <row r="43" spans="1:22" ht="15" x14ac:dyDescent="0.25">
      <c r="A43" s="212">
        <f t="shared" si="12"/>
        <v>6</v>
      </c>
      <c r="B43" s="214" t="s">
        <v>756</v>
      </c>
      <c r="C43" s="194" t="str">
        <f t="shared" si="7"/>
        <v>Clothing/Uniform Allowance</v>
      </c>
      <c r="D43" s="215">
        <v>715</v>
      </c>
      <c r="E43" s="211">
        <f t="array" ref="E43">((SUM(IF((CkDJ[Ofc Code]=(TRIM(E$7)))*(CkDJ[Account Code]=(TRIM($D43))),CkDJ[Debit])))+(SUM(IF((CsDJ[Ofc Code]=(TRIM(E$7)))*(CsDJ[Account Code]=(TRIM($D43))),CsDJ[Debit])))+(SUM(IF((CRDJ[Ofc Code]=(TRIM(E$7)))*(CRDJ[Account Code]=(TRIM($D43))),CRDJ[Debit])))+(SUM(IF((GJ[Ofc Code]=(TRIM(E$7)))*(GJ[Account Code]=(TRIM($D43))),GJ[Debit]))))-((SUM(IF((CkDJ[Ofc Code]=(TRIM(E$7)))*(CkDJ[Account Code]=(TRIM($D43))),CkDJ[Credit])))+(SUM(IF((CsDJ[Ofc Code]=(TRIM(E$7)))*(CsDJ[Account Code]=(TRIM($D43))),CsDJ[Credit])))+(SUM(IF((CRDJ[Ofc Code]=(TRIM(E$7)))*(CRDJ[Account Code]=(TRIM($D43))),CRDJ[Credit])))+(SUM(IF((GJ[Ofc Code]=(TRIM(E$7)))*(GJ[Account Code]=(TRIM($D43))),GJ[Credit]))))</f>
        <v>0</v>
      </c>
      <c r="F43" s="211">
        <f t="array" ref="F43">((SUM(IF((CkDJ[Ofc Code]=(TRIM(F$7)))*(CkDJ[Account Code]=(TRIM($D43))),CkDJ[Debit])))+(SUM(IF((CsDJ[Ofc Code]=(TRIM(F$7)))*(CsDJ[Account Code]=(TRIM($D43))),CsDJ[Debit])))+(SUM(IF((CRDJ[Ofc Code]=(TRIM(F$7)))*(CRDJ[Account Code]=(TRIM($D43))),CRDJ[Debit])))+(SUM(IF((GJ[Ofc Code]=(TRIM(F$7)))*(GJ[Account Code]=(TRIM($D43))),GJ[Debit]))))-((SUM(IF((CkDJ[Ofc Code]=(TRIM(F$7)))*(CkDJ[Account Code]=(TRIM($D43))),CkDJ[Credit])))+(SUM(IF((CsDJ[Ofc Code]=(TRIM(F$7)))*(CsDJ[Account Code]=(TRIM($D43))),CsDJ[Credit])))+(SUM(IF((CRDJ[Ofc Code]=(TRIM(F$7)))*(CRDJ[Account Code]=(TRIM($D43))),CRDJ[Credit])))+(SUM(IF((GJ[Ofc Code]=(TRIM(F$7)))*(GJ[Account Code]=(TRIM($D43))),GJ[Credit]))))</f>
        <v>0</v>
      </c>
      <c r="G43" s="211">
        <f t="array" ref="G43">((SUM(IF((CkDJ[Ofc Code]=(TRIM(G$7)))*(CkDJ[Account Code]=(TRIM($D43))),CkDJ[Debit])))+(SUM(IF((CsDJ[Ofc Code]=(TRIM(G$7)))*(CsDJ[Account Code]=(TRIM($D43))),CsDJ[Debit])))+(SUM(IF((CRDJ[Ofc Code]=(TRIM(G$7)))*(CRDJ[Account Code]=(TRIM($D43))),CRDJ[Debit])))+(SUM(IF((GJ[Ofc Code]=(TRIM(G$7)))*(GJ[Account Code]=(TRIM($D43))),GJ[Debit]))))-((SUM(IF((CkDJ[Ofc Code]=(TRIM(G$7)))*(CkDJ[Account Code]=(TRIM($D43))),CkDJ[Credit])))+(SUM(IF((CsDJ[Ofc Code]=(TRIM(G$7)))*(CsDJ[Account Code]=(TRIM($D43))),CsDJ[Credit])))+(SUM(IF((CRDJ[Ofc Code]=(TRIM(G$7)))*(CRDJ[Account Code]=(TRIM($D43))),CRDJ[Credit])))+(SUM(IF((GJ[Ofc Code]=(TRIM(G$7)))*(GJ[Account Code]=(TRIM($D43))),GJ[Credit]))))</f>
        <v>0</v>
      </c>
      <c r="H43" s="211">
        <f t="array" ref="H43">((SUM(IF((CkDJ[Ofc Code]=(TRIM(H$7)))*(CkDJ[Account Code]=(TRIM($D43))),CkDJ[Debit])))+(SUM(IF((CsDJ[Ofc Code]=(TRIM(H$7)))*(CsDJ[Account Code]=(TRIM($D43))),CsDJ[Debit])))+(SUM(IF((CRDJ[Ofc Code]=(TRIM(H$7)))*(CRDJ[Account Code]=(TRIM($D43))),CRDJ[Debit])))+(SUM(IF((GJ[Ofc Code]=(TRIM(H$7)))*(GJ[Account Code]=(TRIM($D43))),GJ[Debit]))))-((SUM(IF((CkDJ[Ofc Code]=(TRIM(H$7)))*(CkDJ[Account Code]=(TRIM($D43))),CkDJ[Credit])))+(SUM(IF((CsDJ[Ofc Code]=(TRIM(H$7)))*(CsDJ[Account Code]=(TRIM($D43))),CsDJ[Credit])))+(SUM(IF((CRDJ[Ofc Code]=(TRIM(H$7)))*(CRDJ[Account Code]=(TRIM($D43))),CRDJ[Credit])))+(SUM(IF((GJ[Ofc Code]=(TRIM(H$7)))*(GJ[Account Code]=(TRIM($D43))),GJ[Credit]))))</f>
        <v>0</v>
      </c>
      <c r="I43" s="211">
        <f t="array" ref="I43">((SUM(IF((CkDJ[Ofc Code]=(TRIM(I$7)))*(CkDJ[Account Code]=(TRIM($D43))),CkDJ[Debit])))+(SUM(IF((CsDJ[Ofc Code]=(TRIM(I$7)))*(CsDJ[Account Code]=(TRIM($D43))),CsDJ[Debit])))+(SUM(IF((CRDJ[Ofc Code]=(TRIM(I$7)))*(CRDJ[Account Code]=(TRIM($D43))),CRDJ[Debit])))+(SUM(IF((GJ[Ofc Code]=(TRIM(I$7)))*(GJ[Account Code]=(TRIM($D43))),GJ[Debit]))))-((SUM(IF((CkDJ[Ofc Code]=(TRIM(I$7)))*(CkDJ[Account Code]=(TRIM($D43))),CkDJ[Credit])))+(SUM(IF((CsDJ[Ofc Code]=(TRIM(I$7)))*(CsDJ[Account Code]=(TRIM($D43))),CsDJ[Credit])))+(SUM(IF((CRDJ[Ofc Code]=(TRIM(I$7)))*(CRDJ[Account Code]=(TRIM($D43))),CRDJ[Credit])))+(SUM(IF((GJ[Ofc Code]=(TRIM(I$7)))*(GJ[Account Code]=(TRIM($D43))),GJ[Credit]))))</f>
        <v>0</v>
      </c>
      <c r="J43" s="211">
        <f t="shared" si="8"/>
        <v>0</v>
      </c>
      <c r="K43" s="211">
        <f t="array" ref="K43">((SUM(IF((CkDJ[Ofc Code]=(TRIM(K$7)))*(CkDJ[Account Code]=(TRIM($D43))),CkDJ[Debit])))+(SUM(IF((CsDJ[Ofc Code]=(TRIM(K$7)))*(CsDJ[Account Code]=(TRIM($D43))),CsDJ[Debit])))+(SUM(IF((CRDJ[Ofc Code]=(TRIM(K$7)))*(CRDJ[Account Code]=(TRIM($D43))),CRDJ[Debit])))+(SUM(IF((GJ[Ofc Code]=(TRIM(K$7)))*(GJ[Account Code]=(TRIM($D43))),GJ[Debit]))))-((SUM(IF((CkDJ[Ofc Code]=(TRIM(K$7)))*(CkDJ[Account Code]=(TRIM($D43))),CkDJ[Credit])))+(SUM(IF((CsDJ[Ofc Code]=(TRIM(K$7)))*(CsDJ[Account Code]=(TRIM($D43))),CsDJ[Credit])))+(SUM(IF((CRDJ[Ofc Code]=(TRIM(K$7)))*(CRDJ[Account Code]=(TRIM($D43))),CRDJ[Credit])))+(SUM(IF((GJ[Ofc Code]=(TRIM(K$7)))*(GJ[Account Code]=(TRIM($D43))),GJ[Credit]))))</f>
        <v>0</v>
      </c>
      <c r="L43" s="211">
        <f t="array" ref="L43">((SUM(IF((CkDJ[Ofc Code]=(TRIM(L$7)))*(CkDJ[Account Code]=(TRIM($D43))),CkDJ[Debit])))+(SUM(IF((CsDJ[Ofc Code]=(TRIM(L$7)))*(CsDJ[Account Code]=(TRIM($D43))),CsDJ[Debit])))+(SUM(IF((CRDJ[Ofc Code]=(TRIM(L$7)))*(CRDJ[Account Code]=(TRIM($D43))),CRDJ[Debit])))+(SUM(IF((GJ[Ofc Code]=(TRIM(L$7)))*(GJ[Account Code]=(TRIM($D43))),GJ[Debit]))))-((SUM(IF((CkDJ[Ofc Code]=(TRIM(L$7)))*(CkDJ[Account Code]=(TRIM($D43))),CkDJ[Credit])))+(SUM(IF((CsDJ[Ofc Code]=(TRIM(L$7)))*(CsDJ[Account Code]=(TRIM($D43))),CsDJ[Credit])))+(SUM(IF((CRDJ[Ofc Code]=(TRIM(L$7)))*(CRDJ[Account Code]=(TRIM($D43))),CRDJ[Credit])))+(SUM(IF((GJ[Ofc Code]=(TRIM(L$7)))*(GJ[Account Code]=(TRIM($D43))),GJ[Credit]))))</f>
        <v>0</v>
      </c>
      <c r="M43" s="211">
        <f t="array" ref="M43">((SUM(IF((CkDJ[Ofc Code]=(TRIM(M$7)))*(CkDJ[Account Code]=(TRIM($D43))),CkDJ[Debit])))+(SUM(IF((CsDJ[Ofc Code]=(TRIM(M$7)))*(CsDJ[Account Code]=(TRIM($D43))),CsDJ[Debit])))+(SUM(IF((CRDJ[Ofc Code]=(TRIM(M$7)))*(CRDJ[Account Code]=(TRIM($D43))),CRDJ[Debit])))+(SUM(IF((GJ[Ofc Code]=(TRIM(M$7)))*(GJ[Account Code]=(TRIM($D43))),GJ[Debit]))))-((SUM(IF((CkDJ[Ofc Code]=(TRIM(M$7)))*(CkDJ[Account Code]=(TRIM($D43))),CkDJ[Credit])))+(SUM(IF((CsDJ[Ofc Code]=(TRIM(M$7)))*(CsDJ[Account Code]=(TRIM($D43))),CsDJ[Credit])))+(SUM(IF((CRDJ[Ofc Code]=(TRIM(M$7)))*(CRDJ[Account Code]=(TRIM($D43))),CRDJ[Credit])))+(SUM(IF((GJ[Ofc Code]=(TRIM(M$7)))*(GJ[Account Code]=(TRIM($D43))),GJ[Credit]))))</f>
        <v>0</v>
      </c>
      <c r="N43" s="211">
        <f t="array" ref="N43">((SUM(IF((CkDJ[Ofc Code]=(TRIM(N$7)))*(CkDJ[Account Code]=(TRIM($D43))),CkDJ[Debit])))+(SUM(IF((CsDJ[Ofc Code]=(TRIM(N$7)))*(CsDJ[Account Code]=(TRIM($D43))),CsDJ[Debit])))+(SUM(IF((CRDJ[Ofc Code]=(TRIM(N$7)))*(CRDJ[Account Code]=(TRIM($D43))),CRDJ[Debit])))+(SUM(IF((GJ[Ofc Code]=(TRIM(N$7)))*(GJ[Account Code]=(TRIM($D43))),GJ[Debit]))))-((SUM(IF((CkDJ[Ofc Code]=(TRIM(N$7)))*(CkDJ[Account Code]=(TRIM($D43))),CkDJ[Credit])))+(SUM(IF((CsDJ[Ofc Code]=(TRIM(N$7)))*(CsDJ[Account Code]=(TRIM($D43))),CsDJ[Credit])))+(SUM(IF((CRDJ[Ofc Code]=(TRIM(N$7)))*(CRDJ[Account Code]=(TRIM($D43))),CRDJ[Credit])))+(SUM(IF((GJ[Ofc Code]=(TRIM(N$7)))*(GJ[Account Code]=(TRIM($D43))),GJ[Credit]))))</f>
        <v>0</v>
      </c>
      <c r="O43" s="211">
        <f t="shared" si="9"/>
        <v>0</v>
      </c>
      <c r="P43" s="211">
        <f t="array" ref="P43">((SUM(IF((CkDJ[Ofc Code]=(TRIM(P$7)))*(CkDJ[Account Code]=(TRIM($D43))),CkDJ[Debit])))+(SUM(IF((CsDJ[Ofc Code]=(TRIM(P$7)))*(CsDJ[Account Code]=(TRIM($D43))),CsDJ[Debit])))+(SUM(IF((CRDJ[Ofc Code]=(TRIM(P$7)))*(CRDJ[Account Code]=(TRIM($D43))),CRDJ[Debit])))+(SUM(IF((GJ[Ofc Code]=(TRIM(P$7)))*(GJ[Account Code]=(TRIM($D43))),GJ[Debit]))))-((SUM(IF((CkDJ[Ofc Code]=(TRIM(P$7)))*(CkDJ[Account Code]=(TRIM($D43))),CkDJ[Credit])))+(SUM(IF((CsDJ[Ofc Code]=(TRIM(P$7)))*(CsDJ[Account Code]=(TRIM($D43))),CsDJ[Credit])))+(SUM(IF((CRDJ[Ofc Code]=(TRIM(P$7)))*(CRDJ[Account Code]=(TRIM($D43))),CRDJ[Credit])))+(SUM(IF((GJ[Ofc Code]=(TRIM(P$7)))*(GJ[Account Code]=(TRIM($D43))),GJ[Credit]))))</f>
        <v>0</v>
      </c>
      <c r="Q43" s="211">
        <f t="array" ref="Q43">((SUM(IF((CkDJ[Ofc Code]=(TRIM(Q$7)))*(CkDJ[Account Code]=(TRIM($D43))),CkDJ[Debit])))+(SUM(IF((CsDJ[Ofc Code]=(TRIM(Q$7)))*(CsDJ[Account Code]=(TRIM($D43))),CsDJ[Debit])))+(SUM(IF((CRDJ[Ofc Code]=(TRIM(Q$7)))*(CRDJ[Account Code]=(TRIM($D43))),CRDJ[Debit])))+(SUM(IF((GJ[Ofc Code]=(TRIM(Q$7)))*(GJ[Account Code]=(TRIM($D43))),GJ[Debit]))))-((SUM(IF((CkDJ[Ofc Code]=(TRIM(Q$7)))*(CkDJ[Account Code]=(TRIM($D43))),CkDJ[Credit])))+(SUM(IF((CsDJ[Ofc Code]=(TRIM(Q$7)))*(CsDJ[Account Code]=(TRIM($D43))),CsDJ[Credit])))+(SUM(IF((CRDJ[Ofc Code]=(TRIM(Q$7)))*(CRDJ[Account Code]=(TRIM($D43))),CRDJ[Credit])))+(SUM(IF((GJ[Ofc Code]=(TRIM(Q$7)))*(GJ[Account Code]=(TRIM($D43))),GJ[Credit]))))</f>
        <v>0</v>
      </c>
      <c r="R43" s="211">
        <f t="array" ref="R43">((SUM(IF((CkDJ[Ofc Code]=(TRIM(R$7)))*(CkDJ[Account Code]=(TRIM($D43))),CkDJ[Debit])))+(SUM(IF((CsDJ[Ofc Code]=(TRIM(R$7)))*(CsDJ[Account Code]=(TRIM($D43))),CsDJ[Debit])))+(SUM(IF((CRDJ[Ofc Code]=(TRIM(R$7)))*(CRDJ[Account Code]=(TRIM($D43))),CRDJ[Debit])))+(SUM(IF((GJ[Ofc Code]=(TRIM(R$7)))*(GJ[Account Code]=(TRIM($D43))),GJ[Debit]))))-((SUM(IF((CkDJ[Ofc Code]=(TRIM(R$7)))*(CkDJ[Account Code]=(TRIM($D43))),CkDJ[Credit])))+(SUM(IF((CsDJ[Ofc Code]=(TRIM(R$7)))*(CsDJ[Account Code]=(TRIM($D43))),CsDJ[Credit])))+(SUM(IF((CRDJ[Ofc Code]=(TRIM(R$7)))*(CRDJ[Account Code]=(TRIM($D43))),CRDJ[Credit])))+(SUM(IF((GJ[Ofc Code]=(TRIM(R$7)))*(GJ[Account Code]=(TRIM($D43))),GJ[Credit]))))</f>
        <v>0</v>
      </c>
      <c r="S43" s="211">
        <f t="array" ref="S43">((SUM(IF((CkDJ[Ofc Code]=(TRIM(S$7)))*(CkDJ[Account Code]=(TRIM($D43))),CkDJ[Debit])))+(SUM(IF((CsDJ[Ofc Code]=(TRIM(S$7)))*(CsDJ[Account Code]=(TRIM($D43))),CsDJ[Debit])))+(SUM(IF((CRDJ[Ofc Code]=(TRIM(S$7)))*(CRDJ[Account Code]=(TRIM($D43))),CRDJ[Debit])))+(SUM(IF((GJ[Ofc Code]=(TRIM(S$7)))*(GJ[Account Code]=(TRIM($D43))),GJ[Debit]))))-((SUM(IF((CkDJ[Ofc Code]=(TRIM(S$7)))*(CkDJ[Account Code]=(TRIM($D43))),CkDJ[Credit])))+(SUM(IF((CsDJ[Ofc Code]=(TRIM(S$7)))*(CsDJ[Account Code]=(TRIM($D43))),CsDJ[Credit])))+(SUM(IF((CRDJ[Ofc Code]=(TRIM(S$7)))*(CRDJ[Account Code]=(TRIM($D43))),CRDJ[Credit])))+(SUM(IF((GJ[Ofc Code]=(TRIM(S$7)))*(GJ[Account Code]=(TRIM($D43))),GJ[Credit]))))</f>
        <v>0</v>
      </c>
      <c r="T43" s="211">
        <f t="array" ref="T43">((SUM(IF((CkDJ[Ofc Code]=(TRIM(T$7)))*(CkDJ[Account Code]=(TRIM($D43))),CkDJ[Debit])))+(SUM(IF((CsDJ[Ofc Code]=(TRIM(T$7)))*(CsDJ[Account Code]=(TRIM($D43))),CsDJ[Debit])))+(SUM(IF((CRDJ[Ofc Code]=(TRIM(T$7)))*(CRDJ[Account Code]=(TRIM($D43))),CRDJ[Debit])))+(SUM(IF((GJ[Ofc Code]=(TRIM(T$7)))*(GJ[Account Code]=(TRIM($D43))),GJ[Debit]))))-((SUM(IF((CkDJ[Ofc Code]=(TRIM(T$7)))*(CkDJ[Account Code]=(TRIM($D43))),CkDJ[Credit])))+(SUM(IF((CsDJ[Ofc Code]=(TRIM(T$7)))*(CsDJ[Account Code]=(TRIM($D43))),CsDJ[Credit])))+(SUM(IF((CRDJ[Ofc Code]=(TRIM(T$7)))*(CRDJ[Account Code]=(TRIM($D43))),CRDJ[Credit])))+(SUM(IF((GJ[Ofc Code]=(TRIM(T$7)))*(GJ[Account Code]=(TRIM($D43))),GJ[Credit]))))</f>
        <v>0</v>
      </c>
      <c r="U43" s="211">
        <f t="shared" si="10"/>
        <v>0</v>
      </c>
      <c r="V43" s="211">
        <f t="shared" si="11"/>
        <v>0</v>
      </c>
    </row>
    <row r="44" spans="1:22" ht="15" x14ac:dyDescent="0.25">
      <c r="A44" s="212">
        <f t="shared" si="12"/>
        <v>7</v>
      </c>
      <c r="B44" s="214" t="s">
        <v>756</v>
      </c>
      <c r="C44" s="194" t="str">
        <f t="shared" si="7"/>
        <v>Productivity Incentive Allowance</v>
      </c>
      <c r="D44" s="215">
        <v>717</v>
      </c>
      <c r="E44" s="211">
        <f t="array" ref="E44">((SUM(IF((CkDJ[Ofc Code]=(TRIM(E$7)))*(CkDJ[Account Code]=(TRIM($D44))),CkDJ[Debit])))+(SUM(IF((CsDJ[Ofc Code]=(TRIM(E$7)))*(CsDJ[Account Code]=(TRIM($D44))),CsDJ[Debit])))+(SUM(IF((CRDJ[Ofc Code]=(TRIM(E$7)))*(CRDJ[Account Code]=(TRIM($D44))),CRDJ[Debit])))+(SUM(IF((GJ[Ofc Code]=(TRIM(E$7)))*(GJ[Account Code]=(TRIM($D44))),GJ[Debit]))))-((SUM(IF((CkDJ[Ofc Code]=(TRIM(E$7)))*(CkDJ[Account Code]=(TRIM($D44))),CkDJ[Credit])))+(SUM(IF((CsDJ[Ofc Code]=(TRIM(E$7)))*(CsDJ[Account Code]=(TRIM($D44))),CsDJ[Credit])))+(SUM(IF((CRDJ[Ofc Code]=(TRIM(E$7)))*(CRDJ[Account Code]=(TRIM($D44))),CRDJ[Credit])))+(SUM(IF((GJ[Ofc Code]=(TRIM(E$7)))*(GJ[Account Code]=(TRIM($D44))),GJ[Credit]))))</f>
        <v>0</v>
      </c>
      <c r="F44" s="211">
        <f t="array" ref="F44">((SUM(IF((CkDJ[Ofc Code]=(TRIM(F$7)))*(CkDJ[Account Code]=(TRIM($D44))),CkDJ[Debit])))+(SUM(IF((CsDJ[Ofc Code]=(TRIM(F$7)))*(CsDJ[Account Code]=(TRIM($D44))),CsDJ[Debit])))+(SUM(IF((CRDJ[Ofc Code]=(TRIM(F$7)))*(CRDJ[Account Code]=(TRIM($D44))),CRDJ[Debit])))+(SUM(IF((GJ[Ofc Code]=(TRIM(F$7)))*(GJ[Account Code]=(TRIM($D44))),GJ[Debit]))))-((SUM(IF((CkDJ[Ofc Code]=(TRIM(F$7)))*(CkDJ[Account Code]=(TRIM($D44))),CkDJ[Credit])))+(SUM(IF((CsDJ[Ofc Code]=(TRIM(F$7)))*(CsDJ[Account Code]=(TRIM($D44))),CsDJ[Credit])))+(SUM(IF((CRDJ[Ofc Code]=(TRIM(F$7)))*(CRDJ[Account Code]=(TRIM($D44))),CRDJ[Credit])))+(SUM(IF((GJ[Ofc Code]=(TRIM(F$7)))*(GJ[Account Code]=(TRIM($D44))),GJ[Credit]))))</f>
        <v>0</v>
      </c>
      <c r="G44" s="211">
        <f t="array" ref="G44">((SUM(IF((CkDJ[Ofc Code]=(TRIM(G$7)))*(CkDJ[Account Code]=(TRIM($D44))),CkDJ[Debit])))+(SUM(IF((CsDJ[Ofc Code]=(TRIM(G$7)))*(CsDJ[Account Code]=(TRIM($D44))),CsDJ[Debit])))+(SUM(IF((CRDJ[Ofc Code]=(TRIM(G$7)))*(CRDJ[Account Code]=(TRIM($D44))),CRDJ[Debit])))+(SUM(IF((GJ[Ofc Code]=(TRIM(G$7)))*(GJ[Account Code]=(TRIM($D44))),GJ[Debit]))))-((SUM(IF((CkDJ[Ofc Code]=(TRIM(G$7)))*(CkDJ[Account Code]=(TRIM($D44))),CkDJ[Credit])))+(SUM(IF((CsDJ[Ofc Code]=(TRIM(G$7)))*(CsDJ[Account Code]=(TRIM($D44))),CsDJ[Credit])))+(SUM(IF((CRDJ[Ofc Code]=(TRIM(G$7)))*(CRDJ[Account Code]=(TRIM($D44))),CRDJ[Credit])))+(SUM(IF((GJ[Ofc Code]=(TRIM(G$7)))*(GJ[Account Code]=(TRIM($D44))),GJ[Credit]))))</f>
        <v>0</v>
      </c>
      <c r="H44" s="211">
        <f t="array" ref="H44">((SUM(IF((CkDJ[Ofc Code]=(TRIM(H$7)))*(CkDJ[Account Code]=(TRIM($D44))),CkDJ[Debit])))+(SUM(IF((CsDJ[Ofc Code]=(TRIM(H$7)))*(CsDJ[Account Code]=(TRIM($D44))),CsDJ[Debit])))+(SUM(IF((CRDJ[Ofc Code]=(TRIM(H$7)))*(CRDJ[Account Code]=(TRIM($D44))),CRDJ[Debit])))+(SUM(IF((GJ[Ofc Code]=(TRIM(H$7)))*(GJ[Account Code]=(TRIM($D44))),GJ[Debit]))))-((SUM(IF((CkDJ[Ofc Code]=(TRIM(H$7)))*(CkDJ[Account Code]=(TRIM($D44))),CkDJ[Credit])))+(SUM(IF((CsDJ[Ofc Code]=(TRIM(H$7)))*(CsDJ[Account Code]=(TRIM($D44))),CsDJ[Credit])))+(SUM(IF((CRDJ[Ofc Code]=(TRIM(H$7)))*(CRDJ[Account Code]=(TRIM($D44))),CRDJ[Credit])))+(SUM(IF((GJ[Ofc Code]=(TRIM(H$7)))*(GJ[Account Code]=(TRIM($D44))),GJ[Credit]))))</f>
        <v>0</v>
      </c>
      <c r="I44" s="211">
        <f t="array" ref="I44">((SUM(IF((CkDJ[Ofc Code]=(TRIM(I$7)))*(CkDJ[Account Code]=(TRIM($D44))),CkDJ[Debit])))+(SUM(IF((CsDJ[Ofc Code]=(TRIM(I$7)))*(CsDJ[Account Code]=(TRIM($D44))),CsDJ[Debit])))+(SUM(IF((CRDJ[Ofc Code]=(TRIM(I$7)))*(CRDJ[Account Code]=(TRIM($D44))),CRDJ[Debit])))+(SUM(IF((GJ[Ofc Code]=(TRIM(I$7)))*(GJ[Account Code]=(TRIM($D44))),GJ[Debit]))))-((SUM(IF((CkDJ[Ofc Code]=(TRIM(I$7)))*(CkDJ[Account Code]=(TRIM($D44))),CkDJ[Credit])))+(SUM(IF((CsDJ[Ofc Code]=(TRIM(I$7)))*(CsDJ[Account Code]=(TRIM($D44))),CsDJ[Credit])))+(SUM(IF((CRDJ[Ofc Code]=(TRIM(I$7)))*(CRDJ[Account Code]=(TRIM($D44))),CRDJ[Credit])))+(SUM(IF((GJ[Ofc Code]=(TRIM(I$7)))*(GJ[Account Code]=(TRIM($D44))),GJ[Credit]))))</f>
        <v>0</v>
      </c>
      <c r="J44" s="211">
        <f t="shared" si="8"/>
        <v>0</v>
      </c>
      <c r="K44" s="211">
        <f t="array" ref="K44">((SUM(IF((CkDJ[Ofc Code]=(TRIM(K$7)))*(CkDJ[Account Code]=(TRIM($D44))),CkDJ[Debit])))+(SUM(IF((CsDJ[Ofc Code]=(TRIM(K$7)))*(CsDJ[Account Code]=(TRIM($D44))),CsDJ[Debit])))+(SUM(IF((CRDJ[Ofc Code]=(TRIM(K$7)))*(CRDJ[Account Code]=(TRIM($D44))),CRDJ[Debit])))+(SUM(IF((GJ[Ofc Code]=(TRIM(K$7)))*(GJ[Account Code]=(TRIM($D44))),GJ[Debit]))))-((SUM(IF((CkDJ[Ofc Code]=(TRIM(K$7)))*(CkDJ[Account Code]=(TRIM($D44))),CkDJ[Credit])))+(SUM(IF((CsDJ[Ofc Code]=(TRIM(K$7)))*(CsDJ[Account Code]=(TRIM($D44))),CsDJ[Credit])))+(SUM(IF((CRDJ[Ofc Code]=(TRIM(K$7)))*(CRDJ[Account Code]=(TRIM($D44))),CRDJ[Credit])))+(SUM(IF((GJ[Ofc Code]=(TRIM(K$7)))*(GJ[Account Code]=(TRIM($D44))),GJ[Credit]))))</f>
        <v>0</v>
      </c>
      <c r="L44" s="211">
        <f t="array" ref="L44">((SUM(IF((CkDJ[Ofc Code]=(TRIM(L$7)))*(CkDJ[Account Code]=(TRIM($D44))),CkDJ[Debit])))+(SUM(IF((CsDJ[Ofc Code]=(TRIM(L$7)))*(CsDJ[Account Code]=(TRIM($D44))),CsDJ[Debit])))+(SUM(IF((CRDJ[Ofc Code]=(TRIM(L$7)))*(CRDJ[Account Code]=(TRIM($D44))),CRDJ[Debit])))+(SUM(IF((GJ[Ofc Code]=(TRIM(L$7)))*(GJ[Account Code]=(TRIM($D44))),GJ[Debit]))))-((SUM(IF((CkDJ[Ofc Code]=(TRIM(L$7)))*(CkDJ[Account Code]=(TRIM($D44))),CkDJ[Credit])))+(SUM(IF((CsDJ[Ofc Code]=(TRIM(L$7)))*(CsDJ[Account Code]=(TRIM($D44))),CsDJ[Credit])))+(SUM(IF((CRDJ[Ofc Code]=(TRIM(L$7)))*(CRDJ[Account Code]=(TRIM($D44))),CRDJ[Credit])))+(SUM(IF((GJ[Ofc Code]=(TRIM(L$7)))*(GJ[Account Code]=(TRIM($D44))),GJ[Credit]))))</f>
        <v>0</v>
      </c>
      <c r="M44" s="211">
        <f t="array" ref="M44">((SUM(IF((CkDJ[Ofc Code]=(TRIM(M$7)))*(CkDJ[Account Code]=(TRIM($D44))),CkDJ[Debit])))+(SUM(IF((CsDJ[Ofc Code]=(TRIM(M$7)))*(CsDJ[Account Code]=(TRIM($D44))),CsDJ[Debit])))+(SUM(IF((CRDJ[Ofc Code]=(TRIM(M$7)))*(CRDJ[Account Code]=(TRIM($D44))),CRDJ[Debit])))+(SUM(IF((GJ[Ofc Code]=(TRIM(M$7)))*(GJ[Account Code]=(TRIM($D44))),GJ[Debit]))))-((SUM(IF((CkDJ[Ofc Code]=(TRIM(M$7)))*(CkDJ[Account Code]=(TRIM($D44))),CkDJ[Credit])))+(SUM(IF((CsDJ[Ofc Code]=(TRIM(M$7)))*(CsDJ[Account Code]=(TRIM($D44))),CsDJ[Credit])))+(SUM(IF((CRDJ[Ofc Code]=(TRIM(M$7)))*(CRDJ[Account Code]=(TRIM($D44))),CRDJ[Credit])))+(SUM(IF((GJ[Ofc Code]=(TRIM(M$7)))*(GJ[Account Code]=(TRIM($D44))),GJ[Credit]))))</f>
        <v>0</v>
      </c>
      <c r="N44" s="211">
        <f t="array" ref="N44">((SUM(IF((CkDJ[Ofc Code]=(TRIM(N$7)))*(CkDJ[Account Code]=(TRIM($D44))),CkDJ[Debit])))+(SUM(IF((CsDJ[Ofc Code]=(TRIM(N$7)))*(CsDJ[Account Code]=(TRIM($D44))),CsDJ[Debit])))+(SUM(IF((CRDJ[Ofc Code]=(TRIM(N$7)))*(CRDJ[Account Code]=(TRIM($D44))),CRDJ[Debit])))+(SUM(IF((GJ[Ofc Code]=(TRIM(N$7)))*(GJ[Account Code]=(TRIM($D44))),GJ[Debit]))))-((SUM(IF((CkDJ[Ofc Code]=(TRIM(N$7)))*(CkDJ[Account Code]=(TRIM($D44))),CkDJ[Credit])))+(SUM(IF((CsDJ[Ofc Code]=(TRIM(N$7)))*(CsDJ[Account Code]=(TRIM($D44))),CsDJ[Credit])))+(SUM(IF((CRDJ[Ofc Code]=(TRIM(N$7)))*(CRDJ[Account Code]=(TRIM($D44))),CRDJ[Credit])))+(SUM(IF((GJ[Ofc Code]=(TRIM(N$7)))*(GJ[Account Code]=(TRIM($D44))),GJ[Credit]))))</f>
        <v>0</v>
      </c>
      <c r="O44" s="211">
        <f t="shared" si="9"/>
        <v>0</v>
      </c>
      <c r="P44" s="211">
        <f t="array" ref="P44">((SUM(IF((CkDJ[Ofc Code]=(TRIM(P$7)))*(CkDJ[Account Code]=(TRIM($D44))),CkDJ[Debit])))+(SUM(IF((CsDJ[Ofc Code]=(TRIM(P$7)))*(CsDJ[Account Code]=(TRIM($D44))),CsDJ[Debit])))+(SUM(IF((CRDJ[Ofc Code]=(TRIM(P$7)))*(CRDJ[Account Code]=(TRIM($D44))),CRDJ[Debit])))+(SUM(IF((GJ[Ofc Code]=(TRIM(P$7)))*(GJ[Account Code]=(TRIM($D44))),GJ[Debit]))))-((SUM(IF((CkDJ[Ofc Code]=(TRIM(P$7)))*(CkDJ[Account Code]=(TRIM($D44))),CkDJ[Credit])))+(SUM(IF((CsDJ[Ofc Code]=(TRIM(P$7)))*(CsDJ[Account Code]=(TRIM($D44))),CsDJ[Credit])))+(SUM(IF((CRDJ[Ofc Code]=(TRIM(P$7)))*(CRDJ[Account Code]=(TRIM($D44))),CRDJ[Credit])))+(SUM(IF((GJ[Ofc Code]=(TRIM(P$7)))*(GJ[Account Code]=(TRIM($D44))),GJ[Credit]))))</f>
        <v>0</v>
      </c>
      <c r="Q44" s="211">
        <f t="array" ref="Q44">((SUM(IF((CkDJ[Ofc Code]=(TRIM(Q$7)))*(CkDJ[Account Code]=(TRIM($D44))),CkDJ[Debit])))+(SUM(IF((CsDJ[Ofc Code]=(TRIM(Q$7)))*(CsDJ[Account Code]=(TRIM($D44))),CsDJ[Debit])))+(SUM(IF((CRDJ[Ofc Code]=(TRIM(Q$7)))*(CRDJ[Account Code]=(TRIM($D44))),CRDJ[Debit])))+(SUM(IF((GJ[Ofc Code]=(TRIM(Q$7)))*(GJ[Account Code]=(TRIM($D44))),GJ[Debit]))))-((SUM(IF((CkDJ[Ofc Code]=(TRIM(Q$7)))*(CkDJ[Account Code]=(TRIM($D44))),CkDJ[Credit])))+(SUM(IF((CsDJ[Ofc Code]=(TRIM(Q$7)))*(CsDJ[Account Code]=(TRIM($D44))),CsDJ[Credit])))+(SUM(IF((CRDJ[Ofc Code]=(TRIM(Q$7)))*(CRDJ[Account Code]=(TRIM($D44))),CRDJ[Credit])))+(SUM(IF((GJ[Ofc Code]=(TRIM(Q$7)))*(GJ[Account Code]=(TRIM($D44))),GJ[Credit]))))</f>
        <v>0</v>
      </c>
      <c r="R44" s="211">
        <f t="array" ref="R44">((SUM(IF((CkDJ[Ofc Code]=(TRIM(R$7)))*(CkDJ[Account Code]=(TRIM($D44))),CkDJ[Debit])))+(SUM(IF((CsDJ[Ofc Code]=(TRIM(R$7)))*(CsDJ[Account Code]=(TRIM($D44))),CsDJ[Debit])))+(SUM(IF((CRDJ[Ofc Code]=(TRIM(R$7)))*(CRDJ[Account Code]=(TRIM($D44))),CRDJ[Debit])))+(SUM(IF((GJ[Ofc Code]=(TRIM(R$7)))*(GJ[Account Code]=(TRIM($D44))),GJ[Debit]))))-((SUM(IF((CkDJ[Ofc Code]=(TRIM(R$7)))*(CkDJ[Account Code]=(TRIM($D44))),CkDJ[Credit])))+(SUM(IF((CsDJ[Ofc Code]=(TRIM(R$7)))*(CsDJ[Account Code]=(TRIM($D44))),CsDJ[Credit])))+(SUM(IF((CRDJ[Ofc Code]=(TRIM(R$7)))*(CRDJ[Account Code]=(TRIM($D44))),CRDJ[Credit])))+(SUM(IF((GJ[Ofc Code]=(TRIM(R$7)))*(GJ[Account Code]=(TRIM($D44))),GJ[Credit]))))</f>
        <v>0</v>
      </c>
      <c r="S44" s="211">
        <f t="array" ref="S44">((SUM(IF((CkDJ[Ofc Code]=(TRIM(S$7)))*(CkDJ[Account Code]=(TRIM($D44))),CkDJ[Debit])))+(SUM(IF((CsDJ[Ofc Code]=(TRIM(S$7)))*(CsDJ[Account Code]=(TRIM($D44))),CsDJ[Debit])))+(SUM(IF((CRDJ[Ofc Code]=(TRIM(S$7)))*(CRDJ[Account Code]=(TRIM($D44))),CRDJ[Debit])))+(SUM(IF((GJ[Ofc Code]=(TRIM(S$7)))*(GJ[Account Code]=(TRIM($D44))),GJ[Debit]))))-((SUM(IF((CkDJ[Ofc Code]=(TRIM(S$7)))*(CkDJ[Account Code]=(TRIM($D44))),CkDJ[Credit])))+(SUM(IF((CsDJ[Ofc Code]=(TRIM(S$7)))*(CsDJ[Account Code]=(TRIM($D44))),CsDJ[Credit])))+(SUM(IF((CRDJ[Ofc Code]=(TRIM(S$7)))*(CRDJ[Account Code]=(TRIM($D44))),CRDJ[Credit])))+(SUM(IF((GJ[Ofc Code]=(TRIM(S$7)))*(GJ[Account Code]=(TRIM($D44))),GJ[Credit]))))</f>
        <v>0</v>
      </c>
      <c r="T44" s="211">
        <f t="array" ref="T44">((SUM(IF((CkDJ[Ofc Code]=(TRIM(T$7)))*(CkDJ[Account Code]=(TRIM($D44))),CkDJ[Debit])))+(SUM(IF((CsDJ[Ofc Code]=(TRIM(T$7)))*(CsDJ[Account Code]=(TRIM($D44))),CsDJ[Debit])))+(SUM(IF((CRDJ[Ofc Code]=(TRIM(T$7)))*(CRDJ[Account Code]=(TRIM($D44))),CRDJ[Debit])))+(SUM(IF((GJ[Ofc Code]=(TRIM(T$7)))*(GJ[Account Code]=(TRIM($D44))),GJ[Debit]))))-((SUM(IF((CkDJ[Ofc Code]=(TRIM(T$7)))*(CkDJ[Account Code]=(TRIM($D44))),CkDJ[Credit])))+(SUM(IF((CsDJ[Ofc Code]=(TRIM(T$7)))*(CsDJ[Account Code]=(TRIM($D44))),CsDJ[Credit])))+(SUM(IF((CRDJ[Ofc Code]=(TRIM(T$7)))*(CRDJ[Account Code]=(TRIM($D44))),CRDJ[Credit])))+(SUM(IF((GJ[Ofc Code]=(TRIM(T$7)))*(GJ[Account Code]=(TRIM($D44))),GJ[Credit]))))</f>
        <v>0</v>
      </c>
      <c r="U44" s="211">
        <f t="shared" si="10"/>
        <v>0</v>
      </c>
      <c r="V44" s="211">
        <f t="shared" si="11"/>
        <v>0</v>
      </c>
    </row>
    <row r="45" spans="1:22" ht="15" x14ac:dyDescent="0.25">
      <c r="A45" s="212">
        <f t="shared" si="12"/>
        <v>8</v>
      </c>
      <c r="B45" s="214" t="s">
        <v>756</v>
      </c>
      <c r="C45" s="194" t="str">
        <f t="shared" si="7"/>
        <v>Other Bonuses and Allowances - Medical Allowance</v>
      </c>
      <c r="D45" s="215" t="s">
        <v>5</v>
      </c>
      <c r="E45" s="211">
        <f t="array" ref="E45">((SUM(IF((CkDJ[Ofc Code]=(TRIM(E$7)))*(CkDJ[Account Code]=(TRIM($D45))),CkDJ[Debit])))+(SUM(IF((CsDJ[Ofc Code]=(TRIM(E$7)))*(CsDJ[Account Code]=(TRIM($D45))),CsDJ[Debit])))+(SUM(IF((CRDJ[Ofc Code]=(TRIM(E$7)))*(CRDJ[Account Code]=(TRIM($D45))),CRDJ[Debit])))+(SUM(IF((GJ[Ofc Code]=(TRIM(E$7)))*(GJ[Account Code]=(TRIM($D45))),GJ[Debit]))))-((SUM(IF((CkDJ[Ofc Code]=(TRIM(E$7)))*(CkDJ[Account Code]=(TRIM($D45))),CkDJ[Credit])))+(SUM(IF((CsDJ[Ofc Code]=(TRIM(E$7)))*(CsDJ[Account Code]=(TRIM($D45))),CsDJ[Credit])))+(SUM(IF((CRDJ[Ofc Code]=(TRIM(E$7)))*(CRDJ[Account Code]=(TRIM($D45))),CRDJ[Credit])))+(SUM(IF((GJ[Ofc Code]=(TRIM(E$7)))*(GJ[Account Code]=(TRIM($D45))),GJ[Credit]))))</f>
        <v>0</v>
      </c>
      <c r="F45" s="211">
        <f t="array" ref="F45">((SUM(IF((CkDJ[Ofc Code]=(TRIM(F$7)))*(CkDJ[Account Code]=(TRIM($D45))),CkDJ[Debit])))+(SUM(IF((CsDJ[Ofc Code]=(TRIM(F$7)))*(CsDJ[Account Code]=(TRIM($D45))),CsDJ[Debit])))+(SUM(IF((CRDJ[Ofc Code]=(TRIM(F$7)))*(CRDJ[Account Code]=(TRIM($D45))),CRDJ[Debit])))+(SUM(IF((GJ[Ofc Code]=(TRIM(F$7)))*(GJ[Account Code]=(TRIM($D45))),GJ[Debit]))))-((SUM(IF((CkDJ[Ofc Code]=(TRIM(F$7)))*(CkDJ[Account Code]=(TRIM($D45))),CkDJ[Credit])))+(SUM(IF((CsDJ[Ofc Code]=(TRIM(F$7)))*(CsDJ[Account Code]=(TRIM($D45))),CsDJ[Credit])))+(SUM(IF((CRDJ[Ofc Code]=(TRIM(F$7)))*(CRDJ[Account Code]=(TRIM($D45))),CRDJ[Credit])))+(SUM(IF((GJ[Ofc Code]=(TRIM(F$7)))*(GJ[Account Code]=(TRIM($D45))),GJ[Credit]))))</f>
        <v>0</v>
      </c>
      <c r="G45" s="211">
        <f t="array" ref="G45">((SUM(IF((CkDJ[Ofc Code]=(TRIM(G$7)))*(CkDJ[Account Code]=(TRIM($D45))),CkDJ[Debit])))+(SUM(IF((CsDJ[Ofc Code]=(TRIM(G$7)))*(CsDJ[Account Code]=(TRIM($D45))),CsDJ[Debit])))+(SUM(IF((CRDJ[Ofc Code]=(TRIM(G$7)))*(CRDJ[Account Code]=(TRIM($D45))),CRDJ[Debit])))+(SUM(IF((GJ[Ofc Code]=(TRIM(G$7)))*(GJ[Account Code]=(TRIM($D45))),GJ[Debit]))))-((SUM(IF((CkDJ[Ofc Code]=(TRIM(G$7)))*(CkDJ[Account Code]=(TRIM($D45))),CkDJ[Credit])))+(SUM(IF((CsDJ[Ofc Code]=(TRIM(G$7)))*(CsDJ[Account Code]=(TRIM($D45))),CsDJ[Credit])))+(SUM(IF((CRDJ[Ofc Code]=(TRIM(G$7)))*(CRDJ[Account Code]=(TRIM($D45))),CRDJ[Credit])))+(SUM(IF((GJ[Ofc Code]=(TRIM(G$7)))*(GJ[Account Code]=(TRIM($D45))),GJ[Credit]))))</f>
        <v>0</v>
      </c>
      <c r="H45" s="211">
        <f t="array" ref="H45">((SUM(IF((CkDJ[Ofc Code]=(TRIM(H$7)))*(CkDJ[Account Code]=(TRIM($D45))),CkDJ[Debit])))+(SUM(IF((CsDJ[Ofc Code]=(TRIM(H$7)))*(CsDJ[Account Code]=(TRIM($D45))),CsDJ[Debit])))+(SUM(IF((CRDJ[Ofc Code]=(TRIM(H$7)))*(CRDJ[Account Code]=(TRIM($D45))),CRDJ[Debit])))+(SUM(IF((GJ[Ofc Code]=(TRIM(H$7)))*(GJ[Account Code]=(TRIM($D45))),GJ[Debit]))))-((SUM(IF((CkDJ[Ofc Code]=(TRIM(H$7)))*(CkDJ[Account Code]=(TRIM($D45))),CkDJ[Credit])))+(SUM(IF((CsDJ[Ofc Code]=(TRIM(H$7)))*(CsDJ[Account Code]=(TRIM($D45))),CsDJ[Credit])))+(SUM(IF((CRDJ[Ofc Code]=(TRIM(H$7)))*(CRDJ[Account Code]=(TRIM($D45))),CRDJ[Credit])))+(SUM(IF((GJ[Ofc Code]=(TRIM(H$7)))*(GJ[Account Code]=(TRIM($D45))),GJ[Credit]))))</f>
        <v>0</v>
      </c>
      <c r="I45" s="211">
        <f t="array" ref="I45">((SUM(IF((CkDJ[Ofc Code]=(TRIM(I$7)))*(CkDJ[Account Code]=(TRIM($D45))),CkDJ[Debit])))+(SUM(IF((CsDJ[Ofc Code]=(TRIM(I$7)))*(CsDJ[Account Code]=(TRIM($D45))),CsDJ[Debit])))+(SUM(IF((CRDJ[Ofc Code]=(TRIM(I$7)))*(CRDJ[Account Code]=(TRIM($D45))),CRDJ[Debit])))+(SUM(IF((GJ[Ofc Code]=(TRIM(I$7)))*(GJ[Account Code]=(TRIM($D45))),GJ[Debit]))))-((SUM(IF((CkDJ[Ofc Code]=(TRIM(I$7)))*(CkDJ[Account Code]=(TRIM($D45))),CkDJ[Credit])))+(SUM(IF((CsDJ[Ofc Code]=(TRIM(I$7)))*(CsDJ[Account Code]=(TRIM($D45))),CsDJ[Credit])))+(SUM(IF((CRDJ[Ofc Code]=(TRIM(I$7)))*(CRDJ[Account Code]=(TRIM($D45))),CRDJ[Credit])))+(SUM(IF((GJ[Ofc Code]=(TRIM(I$7)))*(GJ[Account Code]=(TRIM($D45))),GJ[Credit]))))</f>
        <v>0</v>
      </c>
      <c r="J45" s="211">
        <f t="shared" si="8"/>
        <v>0</v>
      </c>
      <c r="K45" s="211">
        <f t="array" ref="K45">((SUM(IF((CkDJ[Ofc Code]=(TRIM(K$7)))*(CkDJ[Account Code]=(TRIM($D45))),CkDJ[Debit])))+(SUM(IF((CsDJ[Ofc Code]=(TRIM(K$7)))*(CsDJ[Account Code]=(TRIM($D45))),CsDJ[Debit])))+(SUM(IF((CRDJ[Ofc Code]=(TRIM(K$7)))*(CRDJ[Account Code]=(TRIM($D45))),CRDJ[Debit])))+(SUM(IF((GJ[Ofc Code]=(TRIM(K$7)))*(GJ[Account Code]=(TRIM($D45))),GJ[Debit]))))-((SUM(IF((CkDJ[Ofc Code]=(TRIM(K$7)))*(CkDJ[Account Code]=(TRIM($D45))),CkDJ[Credit])))+(SUM(IF((CsDJ[Ofc Code]=(TRIM(K$7)))*(CsDJ[Account Code]=(TRIM($D45))),CsDJ[Credit])))+(SUM(IF((CRDJ[Ofc Code]=(TRIM(K$7)))*(CRDJ[Account Code]=(TRIM($D45))),CRDJ[Credit])))+(SUM(IF((GJ[Ofc Code]=(TRIM(K$7)))*(GJ[Account Code]=(TRIM($D45))),GJ[Credit]))))</f>
        <v>0</v>
      </c>
      <c r="L45" s="211">
        <f t="array" ref="L45">((SUM(IF((CkDJ[Ofc Code]=(TRIM(L$7)))*(CkDJ[Account Code]=(TRIM($D45))),CkDJ[Debit])))+(SUM(IF((CsDJ[Ofc Code]=(TRIM(L$7)))*(CsDJ[Account Code]=(TRIM($D45))),CsDJ[Debit])))+(SUM(IF((CRDJ[Ofc Code]=(TRIM(L$7)))*(CRDJ[Account Code]=(TRIM($D45))),CRDJ[Debit])))+(SUM(IF((GJ[Ofc Code]=(TRIM(L$7)))*(GJ[Account Code]=(TRIM($D45))),GJ[Debit]))))-((SUM(IF((CkDJ[Ofc Code]=(TRIM(L$7)))*(CkDJ[Account Code]=(TRIM($D45))),CkDJ[Credit])))+(SUM(IF((CsDJ[Ofc Code]=(TRIM(L$7)))*(CsDJ[Account Code]=(TRIM($D45))),CsDJ[Credit])))+(SUM(IF((CRDJ[Ofc Code]=(TRIM(L$7)))*(CRDJ[Account Code]=(TRIM($D45))),CRDJ[Credit])))+(SUM(IF((GJ[Ofc Code]=(TRIM(L$7)))*(GJ[Account Code]=(TRIM($D45))),GJ[Credit]))))</f>
        <v>0</v>
      </c>
      <c r="M45" s="211">
        <f t="array" ref="M45">((SUM(IF((CkDJ[Ofc Code]=(TRIM(M$7)))*(CkDJ[Account Code]=(TRIM($D45))),CkDJ[Debit])))+(SUM(IF((CsDJ[Ofc Code]=(TRIM(M$7)))*(CsDJ[Account Code]=(TRIM($D45))),CsDJ[Debit])))+(SUM(IF((CRDJ[Ofc Code]=(TRIM(M$7)))*(CRDJ[Account Code]=(TRIM($D45))),CRDJ[Debit])))+(SUM(IF((GJ[Ofc Code]=(TRIM(M$7)))*(GJ[Account Code]=(TRIM($D45))),GJ[Debit]))))-((SUM(IF((CkDJ[Ofc Code]=(TRIM(M$7)))*(CkDJ[Account Code]=(TRIM($D45))),CkDJ[Credit])))+(SUM(IF((CsDJ[Ofc Code]=(TRIM(M$7)))*(CsDJ[Account Code]=(TRIM($D45))),CsDJ[Credit])))+(SUM(IF((CRDJ[Ofc Code]=(TRIM(M$7)))*(CRDJ[Account Code]=(TRIM($D45))),CRDJ[Credit])))+(SUM(IF((GJ[Ofc Code]=(TRIM(M$7)))*(GJ[Account Code]=(TRIM($D45))),GJ[Credit]))))</f>
        <v>0</v>
      </c>
      <c r="N45" s="211">
        <f t="array" ref="N45">((SUM(IF((CkDJ[Ofc Code]=(TRIM(N$7)))*(CkDJ[Account Code]=(TRIM($D45))),CkDJ[Debit])))+(SUM(IF((CsDJ[Ofc Code]=(TRIM(N$7)))*(CsDJ[Account Code]=(TRIM($D45))),CsDJ[Debit])))+(SUM(IF((CRDJ[Ofc Code]=(TRIM(N$7)))*(CRDJ[Account Code]=(TRIM($D45))),CRDJ[Debit])))+(SUM(IF((GJ[Ofc Code]=(TRIM(N$7)))*(GJ[Account Code]=(TRIM($D45))),GJ[Debit]))))-((SUM(IF((CkDJ[Ofc Code]=(TRIM(N$7)))*(CkDJ[Account Code]=(TRIM($D45))),CkDJ[Credit])))+(SUM(IF((CsDJ[Ofc Code]=(TRIM(N$7)))*(CsDJ[Account Code]=(TRIM($D45))),CsDJ[Credit])))+(SUM(IF((CRDJ[Ofc Code]=(TRIM(N$7)))*(CRDJ[Account Code]=(TRIM($D45))),CRDJ[Credit])))+(SUM(IF((GJ[Ofc Code]=(TRIM(N$7)))*(GJ[Account Code]=(TRIM($D45))),GJ[Credit]))))</f>
        <v>0</v>
      </c>
      <c r="O45" s="211">
        <f t="shared" si="9"/>
        <v>0</v>
      </c>
      <c r="P45" s="211">
        <f t="array" ref="P45">((SUM(IF((CkDJ[Ofc Code]=(TRIM(P$7)))*(CkDJ[Account Code]=(TRIM($D45))),CkDJ[Debit])))+(SUM(IF((CsDJ[Ofc Code]=(TRIM(P$7)))*(CsDJ[Account Code]=(TRIM($D45))),CsDJ[Debit])))+(SUM(IF((CRDJ[Ofc Code]=(TRIM(P$7)))*(CRDJ[Account Code]=(TRIM($D45))),CRDJ[Debit])))+(SUM(IF((GJ[Ofc Code]=(TRIM(P$7)))*(GJ[Account Code]=(TRIM($D45))),GJ[Debit]))))-((SUM(IF((CkDJ[Ofc Code]=(TRIM(P$7)))*(CkDJ[Account Code]=(TRIM($D45))),CkDJ[Credit])))+(SUM(IF((CsDJ[Ofc Code]=(TRIM(P$7)))*(CsDJ[Account Code]=(TRIM($D45))),CsDJ[Credit])))+(SUM(IF((CRDJ[Ofc Code]=(TRIM(P$7)))*(CRDJ[Account Code]=(TRIM($D45))),CRDJ[Credit])))+(SUM(IF((GJ[Ofc Code]=(TRIM(P$7)))*(GJ[Account Code]=(TRIM($D45))),GJ[Credit]))))</f>
        <v>0</v>
      </c>
      <c r="Q45" s="211">
        <f t="array" ref="Q45">((SUM(IF((CkDJ[Ofc Code]=(TRIM(Q$7)))*(CkDJ[Account Code]=(TRIM($D45))),CkDJ[Debit])))+(SUM(IF((CsDJ[Ofc Code]=(TRIM(Q$7)))*(CsDJ[Account Code]=(TRIM($D45))),CsDJ[Debit])))+(SUM(IF((CRDJ[Ofc Code]=(TRIM(Q$7)))*(CRDJ[Account Code]=(TRIM($D45))),CRDJ[Debit])))+(SUM(IF((GJ[Ofc Code]=(TRIM(Q$7)))*(GJ[Account Code]=(TRIM($D45))),GJ[Debit]))))-((SUM(IF((CkDJ[Ofc Code]=(TRIM(Q$7)))*(CkDJ[Account Code]=(TRIM($D45))),CkDJ[Credit])))+(SUM(IF((CsDJ[Ofc Code]=(TRIM(Q$7)))*(CsDJ[Account Code]=(TRIM($D45))),CsDJ[Credit])))+(SUM(IF((CRDJ[Ofc Code]=(TRIM(Q$7)))*(CRDJ[Account Code]=(TRIM($D45))),CRDJ[Credit])))+(SUM(IF((GJ[Ofc Code]=(TRIM(Q$7)))*(GJ[Account Code]=(TRIM($D45))),GJ[Credit]))))</f>
        <v>0</v>
      </c>
      <c r="R45" s="211">
        <f t="array" ref="R45">((SUM(IF((CkDJ[Ofc Code]=(TRIM(R$7)))*(CkDJ[Account Code]=(TRIM($D45))),CkDJ[Debit])))+(SUM(IF((CsDJ[Ofc Code]=(TRIM(R$7)))*(CsDJ[Account Code]=(TRIM($D45))),CsDJ[Debit])))+(SUM(IF((CRDJ[Ofc Code]=(TRIM(R$7)))*(CRDJ[Account Code]=(TRIM($D45))),CRDJ[Debit])))+(SUM(IF((GJ[Ofc Code]=(TRIM(R$7)))*(GJ[Account Code]=(TRIM($D45))),GJ[Debit]))))-((SUM(IF((CkDJ[Ofc Code]=(TRIM(R$7)))*(CkDJ[Account Code]=(TRIM($D45))),CkDJ[Credit])))+(SUM(IF((CsDJ[Ofc Code]=(TRIM(R$7)))*(CsDJ[Account Code]=(TRIM($D45))),CsDJ[Credit])))+(SUM(IF((CRDJ[Ofc Code]=(TRIM(R$7)))*(CRDJ[Account Code]=(TRIM($D45))),CRDJ[Credit])))+(SUM(IF((GJ[Ofc Code]=(TRIM(R$7)))*(GJ[Account Code]=(TRIM($D45))),GJ[Credit]))))</f>
        <v>0</v>
      </c>
      <c r="S45" s="211">
        <f t="array" ref="S45">((SUM(IF((CkDJ[Ofc Code]=(TRIM(S$7)))*(CkDJ[Account Code]=(TRIM($D45))),CkDJ[Debit])))+(SUM(IF((CsDJ[Ofc Code]=(TRIM(S$7)))*(CsDJ[Account Code]=(TRIM($D45))),CsDJ[Debit])))+(SUM(IF((CRDJ[Ofc Code]=(TRIM(S$7)))*(CRDJ[Account Code]=(TRIM($D45))),CRDJ[Debit])))+(SUM(IF((GJ[Ofc Code]=(TRIM(S$7)))*(GJ[Account Code]=(TRIM($D45))),GJ[Debit]))))-((SUM(IF((CkDJ[Ofc Code]=(TRIM(S$7)))*(CkDJ[Account Code]=(TRIM($D45))),CkDJ[Credit])))+(SUM(IF((CsDJ[Ofc Code]=(TRIM(S$7)))*(CsDJ[Account Code]=(TRIM($D45))),CsDJ[Credit])))+(SUM(IF((CRDJ[Ofc Code]=(TRIM(S$7)))*(CRDJ[Account Code]=(TRIM($D45))),CRDJ[Credit])))+(SUM(IF((GJ[Ofc Code]=(TRIM(S$7)))*(GJ[Account Code]=(TRIM($D45))),GJ[Credit]))))</f>
        <v>0</v>
      </c>
      <c r="T45" s="211">
        <f t="array" ref="T45">((SUM(IF((CkDJ[Ofc Code]=(TRIM(T$7)))*(CkDJ[Account Code]=(TRIM($D45))),CkDJ[Debit])))+(SUM(IF((CsDJ[Ofc Code]=(TRIM(T$7)))*(CsDJ[Account Code]=(TRIM($D45))),CsDJ[Debit])))+(SUM(IF((CRDJ[Ofc Code]=(TRIM(T$7)))*(CRDJ[Account Code]=(TRIM($D45))),CRDJ[Debit])))+(SUM(IF((GJ[Ofc Code]=(TRIM(T$7)))*(GJ[Account Code]=(TRIM($D45))),GJ[Debit]))))-((SUM(IF((CkDJ[Ofc Code]=(TRIM(T$7)))*(CkDJ[Account Code]=(TRIM($D45))),CkDJ[Credit])))+(SUM(IF((CsDJ[Ofc Code]=(TRIM(T$7)))*(CsDJ[Account Code]=(TRIM($D45))),CsDJ[Credit])))+(SUM(IF((CRDJ[Ofc Code]=(TRIM(T$7)))*(CRDJ[Account Code]=(TRIM($D45))),CRDJ[Credit])))+(SUM(IF((GJ[Ofc Code]=(TRIM(T$7)))*(GJ[Account Code]=(TRIM($D45))),GJ[Credit]))))</f>
        <v>0</v>
      </c>
      <c r="U45" s="211">
        <f t="shared" si="10"/>
        <v>0</v>
      </c>
      <c r="V45" s="211">
        <f t="shared" si="11"/>
        <v>0</v>
      </c>
    </row>
    <row r="46" spans="1:22" ht="15" x14ac:dyDescent="0.25">
      <c r="A46" s="212">
        <f t="shared" si="12"/>
        <v>9</v>
      </c>
      <c r="B46" s="214" t="s">
        <v>756</v>
      </c>
      <c r="C46" s="194" t="str">
        <f t="shared" si="7"/>
        <v>Other Bonuses and Allowances - Meal Allowance</v>
      </c>
      <c r="D46" s="215" t="s">
        <v>6</v>
      </c>
      <c r="E46" s="211">
        <f t="array" ref="E46">((SUM(IF((CkDJ[Ofc Code]=(TRIM(E$7)))*(CkDJ[Account Code]=(TRIM($D46))),CkDJ[Debit])))+(SUM(IF((CsDJ[Ofc Code]=(TRIM(E$7)))*(CsDJ[Account Code]=(TRIM($D46))),CsDJ[Debit])))+(SUM(IF((CRDJ[Ofc Code]=(TRIM(E$7)))*(CRDJ[Account Code]=(TRIM($D46))),CRDJ[Debit])))+(SUM(IF((GJ[Ofc Code]=(TRIM(E$7)))*(GJ[Account Code]=(TRIM($D46))),GJ[Debit]))))-((SUM(IF((CkDJ[Ofc Code]=(TRIM(E$7)))*(CkDJ[Account Code]=(TRIM($D46))),CkDJ[Credit])))+(SUM(IF((CsDJ[Ofc Code]=(TRIM(E$7)))*(CsDJ[Account Code]=(TRIM($D46))),CsDJ[Credit])))+(SUM(IF((CRDJ[Ofc Code]=(TRIM(E$7)))*(CRDJ[Account Code]=(TRIM($D46))),CRDJ[Credit])))+(SUM(IF((GJ[Ofc Code]=(TRIM(E$7)))*(GJ[Account Code]=(TRIM($D46))),GJ[Credit]))))</f>
        <v>0</v>
      </c>
      <c r="F46" s="211">
        <f t="array" ref="F46">((SUM(IF((CkDJ[Ofc Code]=(TRIM(F$7)))*(CkDJ[Account Code]=(TRIM($D46))),CkDJ[Debit])))+(SUM(IF((CsDJ[Ofc Code]=(TRIM(F$7)))*(CsDJ[Account Code]=(TRIM($D46))),CsDJ[Debit])))+(SUM(IF((CRDJ[Ofc Code]=(TRIM(F$7)))*(CRDJ[Account Code]=(TRIM($D46))),CRDJ[Debit])))+(SUM(IF((GJ[Ofc Code]=(TRIM(F$7)))*(GJ[Account Code]=(TRIM($D46))),GJ[Debit]))))-((SUM(IF((CkDJ[Ofc Code]=(TRIM(F$7)))*(CkDJ[Account Code]=(TRIM($D46))),CkDJ[Credit])))+(SUM(IF((CsDJ[Ofc Code]=(TRIM(F$7)))*(CsDJ[Account Code]=(TRIM($D46))),CsDJ[Credit])))+(SUM(IF((CRDJ[Ofc Code]=(TRIM(F$7)))*(CRDJ[Account Code]=(TRIM($D46))),CRDJ[Credit])))+(SUM(IF((GJ[Ofc Code]=(TRIM(F$7)))*(GJ[Account Code]=(TRIM($D46))),GJ[Credit]))))</f>
        <v>0</v>
      </c>
      <c r="G46" s="211">
        <f t="array" ref="G46">((SUM(IF((CkDJ[Ofc Code]=(TRIM(G$7)))*(CkDJ[Account Code]=(TRIM($D46))),CkDJ[Debit])))+(SUM(IF((CsDJ[Ofc Code]=(TRIM(G$7)))*(CsDJ[Account Code]=(TRIM($D46))),CsDJ[Debit])))+(SUM(IF((CRDJ[Ofc Code]=(TRIM(G$7)))*(CRDJ[Account Code]=(TRIM($D46))),CRDJ[Debit])))+(SUM(IF((GJ[Ofc Code]=(TRIM(G$7)))*(GJ[Account Code]=(TRIM($D46))),GJ[Debit]))))-((SUM(IF((CkDJ[Ofc Code]=(TRIM(G$7)))*(CkDJ[Account Code]=(TRIM($D46))),CkDJ[Credit])))+(SUM(IF((CsDJ[Ofc Code]=(TRIM(G$7)))*(CsDJ[Account Code]=(TRIM($D46))),CsDJ[Credit])))+(SUM(IF((CRDJ[Ofc Code]=(TRIM(G$7)))*(CRDJ[Account Code]=(TRIM($D46))),CRDJ[Credit])))+(SUM(IF((GJ[Ofc Code]=(TRIM(G$7)))*(GJ[Account Code]=(TRIM($D46))),GJ[Credit]))))</f>
        <v>0</v>
      </c>
      <c r="H46" s="211">
        <f t="array" ref="H46">((SUM(IF((CkDJ[Ofc Code]=(TRIM(H$7)))*(CkDJ[Account Code]=(TRIM($D46))),CkDJ[Debit])))+(SUM(IF((CsDJ[Ofc Code]=(TRIM(H$7)))*(CsDJ[Account Code]=(TRIM($D46))),CsDJ[Debit])))+(SUM(IF((CRDJ[Ofc Code]=(TRIM(H$7)))*(CRDJ[Account Code]=(TRIM($D46))),CRDJ[Debit])))+(SUM(IF((GJ[Ofc Code]=(TRIM(H$7)))*(GJ[Account Code]=(TRIM($D46))),GJ[Debit]))))-((SUM(IF((CkDJ[Ofc Code]=(TRIM(H$7)))*(CkDJ[Account Code]=(TRIM($D46))),CkDJ[Credit])))+(SUM(IF((CsDJ[Ofc Code]=(TRIM(H$7)))*(CsDJ[Account Code]=(TRIM($D46))),CsDJ[Credit])))+(SUM(IF((CRDJ[Ofc Code]=(TRIM(H$7)))*(CRDJ[Account Code]=(TRIM($D46))),CRDJ[Credit])))+(SUM(IF((GJ[Ofc Code]=(TRIM(H$7)))*(GJ[Account Code]=(TRIM($D46))),GJ[Credit]))))</f>
        <v>0</v>
      </c>
      <c r="I46" s="211">
        <f t="array" ref="I46">((SUM(IF((CkDJ[Ofc Code]=(TRIM(I$7)))*(CkDJ[Account Code]=(TRIM($D46))),CkDJ[Debit])))+(SUM(IF((CsDJ[Ofc Code]=(TRIM(I$7)))*(CsDJ[Account Code]=(TRIM($D46))),CsDJ[Debit])))+(SUM(IF((CRDJ[Ofc Code]=(TRIM(I$7)))*(CRDJ[Account Code]=(TRIM($D46))),CRDJ[Debit])))+(SUM(IF((GJ[Ofc Code]=(TRIM(I$7)))*(GJ[Account Code]=(TRIM($D46))),GJ[Debit]))))-((SUM(IF((CkDJ[Ofc Code]=(TRIM(I$7)))*(CkDJ[Account Code]=(TRIM($D46))),CkDJ[Credit])))+(SUM(IF((CsDJ[Ofc Code]=(TRIM(I$7)))*(CsDJ[Account Code]=(TRIM($D46))),CsDJ[Credit])))+(SUM(IF((CRDJ[Ofc Code]=(TRIM(I$7)))*(CRDJ[Account Code]=(TRIM($D46))),CRDJ[Credit])))+(SUM(IF((GJ[Ofc Code]=(TRIM(I$7)))*(GJ[Account Code]=(TRIM($D46))),GJ[Credit]))))</f>
        <v>0</v>
      </c>
      <c r="J46" s="211">
        <f t="shared" si="8"/>
        <v>0</v>
      </c>
      <c r="K46" s="211">
        <f t="array" ref="K46">((SUM(IF((CkDJ[Ofc Code]=(TRIM(K$7)))*(CkDJ[Account Code]=(TRIM($D46))),CkDJ[Debit])))+(SUM(IF((CsDJ[Ofc Code]=(TRIM(K$7)))*(CsDJ[Account Code]=(TRIM($D46))),CsDJ[Debit])))+(SUM(IF((CRDJ[Ofc Code]=(TRIM(K$7)))*(CRDJ[Account Code]=(TRIM($D46))),CRDJ[Debit])))+(SUM(IF((GJ[Ofc Code]=(TRIM(K$7)))*(GJ[Account Code]=(TRIM($D46))),GJ[Debit]))))-((SUM(IF((CkDJ[Ofc Code]=(TRIM(K$7)))*(CkDJ[Account Code]=(TRIM($D46))),CkDJ[Credit])))+(SUM(IF((CsDJ[Ofc Code]=(TRIM(K$7)))*(CsDJ[Account Code]=(TRIM($D46))),CsDJ[Credit])))+(SUM(IF((CRDJ[Ofc Code]=(TRIM(K$7)))*(CRDJ[Account Code]=(TRIM($D46))),CRDJ[Credit])))+(SUM(IF((GJ[Ofc Code]=(TRIM(K$7)))*(GJ[Account Code]=(TRIM($D46))),GJ[Credit]))))</f>
        <v>0</v>
      </c>
      <c r="L46" s="211">
        <f t="array" ref="L46">((SUM(IF((CkDJ[Ofc Code]=(TRIM(L$7)))*(CkDJ[Account Code]=(TRIM($D46))),CkDJ[Debit])))+(SUM(IF((CsDJ[Ofc Code]=(TRIM(L$7)))*(CsDJ[Account Code]=(TRIM($D46))),CsDJ[Debit])))+(SUM(IF((CRDJ[Ofc Code]=(TRIM(L$7)))*(CRDJ[Account Code]=(TRIM($D46))),CRDJ[Debit])))+(SUM(IF((GJ[Ofc Code]=(TRIM(L$7)))*(GJ[Account Code]=(TRIM($D46))),GJ[Debit]))))-((SUM(IF((CkDJ[Ofc Code]=(TRIM(L$7)))*(CkDJ[Account Code]=(TRIM($D46))),CkDJ[Credit])))+(SUM(IF((CsDJ[Ofc Code]=(TRIM(L$7)))*(CsDJ[Account Code]=(TRIM($D46))),CsDJ[Credit])))+(SUM(IF((CRDJ[Ofc Code]=(TRIM(L$7)))*(CRDJ[Account Code]=(TRIM($D46))),CRDJ[Credit])))+(SUM(IF((GJ[Ofc Code]=(TRIM(L$7)))*(GJ[Account Code]=(TRIM($D46))),GJ[Credit]))))</f>
        <v>0</v>
      </c>
      <c r="M46" s="211">
        <f t="array" ref="M46">((SUM(IF((CkDJ[Ofc Code]=(TRIM(M$7)))*(CkDJ[Account Code]=(TRIM($D46))),CkDJ[Debit])))+(SUM(IF((CsDJ[Ofc Code]=(TRIM(M$7)))*(CsDJ[Account Code]=(TRIM($D46))),CsDJ[Debit])))+(SUM(IF((CRDJ[Ofc Code]=(TRIM(M$7)))*(CRDJ[Account Code]=(TRIM($D46))),CRDJ[Debit])))+(SUM(IF((GJ[Ofc Code]=(TRIM(M$7)))*(GJ[Account Code]=(TRIM($D46))),GJ[Debit]))))-((SUM(IF((CkDJ[Ofc Code]=(TRIM(M$7)))*(CkDJ[Account Code]=(TRIM($D46))),CkDJ[Credit])))+(SUM(IF((CsDJ[Ofc Code]=(TRIM(M$7)))*(CsDJ[Account Code]=(TRIM($D46))),CsDJ[Credit])))+(SUM(IF((CRDJ[Ofc Code]=(TRIM(M$7)))*(CRDJ[Account Code]=(TRIM($D46))),CRDJ[Credit])))+(SUM(IF((GJ[Ofc Code]=(TRIM(M$7)))*(GJ[Account Code]=(TRIM($D46))),GJ[Credit]))))</f>
        <v>0</v>
      </c>
      <c r="N46" s="211">
        <f t="array" ref="N46">((SUM(IF((CkDJ[Ofc Code]=(TRIM(N$7)))*(CkDJ[Account Code]=(TRIM($D46))),CkDJ[Debit])))+(SUM(IF((CsDJ[Ofc Code]=(TRIM(N$7)))*(CsDJ[Account Code]=(TRIM($D46))),CsDJ[Debit])))+(SUM(IF((CRDJ[Ofc Code]=(TRIM(N$7)))*(CRDJ[Account Code]=(TRIM($D46))),CRDJ[Debit])))+(SUM(IF((GJ[Ofc Code]=(TRIM(N$7)))*(GJ[Account Code]=(TRIM($D46))),GJ[Debit]))))-((SUM(IF((CkDJ[Ofc Code]=(TRIM(N$7)))*(CkDJ[Account Code]=(TRIM($D46))),CkDJ[Credit])))+(SUM(IF((CsDJ[Ofc Code]=(TRIM(N$7)))*(CsDJ[Account Code]=(TRIM($D46))),CsDJ[Credit])))+(SUM(IF((CRDJ[Ofc Code]=(TRIM(N$7)))*(CRDJ[Account Code]=(TRIM($D46))),CRDJ[Credit])))+(SUM(IF((GJ[Ofc Code]=(TRIM(N$7)))*(GJ[Account Code]=(TRIM($D46))),GJ[Credit]))))</f>
        <v>0</v>
      </c>
      <c r="O46" s="211">
        <f t="shared" si="9"/>
        <v>0</v>
      </c>
      <c r="P46" s="211">
        <f t="array" ref="P46">((SUM(IF((CkDJ[Ofc Code]=(TRIM(P$7)))*(CkDJ[Account Code]=(TRIM($D46))),CkDJ[Debit])))+(SUM(IF((CsDJ[Ofc Code]=(TRIM(P$7)))*(CsDJ[Account Code]=(TRIM($D46))),CsDJ[Debit])))+(SUM(IF((CRDJ[Ofc Code]=(TRIM(P$7)))*(CRDJ[Account Code]=(TRIM($D46))),CRDJ[Debit])))+(SUM(IF((GJ[Ofc Code]=(TRIM(P$7)))*(GJ[Account Code]=(TRIM($D46))),GJ[Debit]))))-((SUM(IF((CkDJ[Ofc Code]=(TRIM(P$7)))*(CkDJ[Account Code]=(TRIM($D46))),CkDJ[Credit])))+(SUM(IF((CsDJ[Ofc Code]=(TRIM(P$7)))*(CsDJ[Account Code]=(TRIM($D46))),CsDJ[Credit])))+(SUM(IF((CRDJ[Ofc Code]=(TRIM(P$7)))*(CRDJ[Account Code]=(TRIM($D46))),CRDJ[Credit])))+(SUM(IF((GJ[Ofc Code]=(TRIM(P$7)))*(GJ[Account Code]=(TRIM($D46))),GJ[Credit]))))</f>
        <v>0</v>
      </c>
      <c r="Q46" s="211">
        <f t="array" ref="Q46">((SUM(IF((CkDJ[Ofc Code]=(TRIM(Q$7)))*(CkDJ[Account Code]=(TRIM($D46))),CkDJ[Debit])))+(SUM(IF((CsDJ[Ofc Code]=(TRIM(Q$7)))*(CsDJ[Account Code]=(TRIM($D46))),CsDJ[Debit])))+(SUM(IF((CRDJ[Ofc Code]=(TRIM(Q$7)))*(CRDJ[Account Code]=(TRIM($D46))),CRDJ[Debit])))+(SUM(IF((GJ[Ofc Code]=(TRIM(Q$7)))*(GJ[Account Code]=(TRIM($D46))),GJ[Debit]))))-((SUM(IF((CkDJ[Ofc Code]=(TRIM(Q$7)))*(CkDJ[Account Code]=(TRIM($D46))),CkDJ[Credit])))+(SUM(IF((CsDJ[Ofc Code]=(TRIM(Q$7)))*(CsDJ[Account Code]=(TRIM($D46))),CsDJ[Credit])))+(SUM(IF((CRDJ[Ofc Code]=(TRIM(Q$7)))*(CRDJ[Account Code]=(TRIM($D46))),CRDJ[Credit])))+(SUM(IF((GJ[Ofc Code]=(TRIM(Q$7)))*(GJ[Account Code]=(TRIM($D46))),GJ[Credit]))))</f>
        <v>0</v>
      </c>
      <c r="R46" s="211">
        <f t="array" ref="R46">((SUM(IF((CkDJ[Ofc Code]=(TRIM(R$7)))*(CkDJ[Account Code]=(TRIM($D46))),CkDJ[Debit])))+(SUM(IF((CsDJ[Ofc Code]=(TRIM(R$7)))*(CsDJ[Account Code]=(TRIM($D46))),CsDJ[Debit])))+(SUM(IF((CRDJ[Ofc Code]=(TRIM(R$7)))*(CRDJ[Account Code]=(TRIM($D46))),CRDJ[Debit])))+(SUM(IF((GJ[Ofc Code]=(TRIM(R$7)))*(GJ[Account Code]=(TRIM($D46))),GJ[Debit]))))-((SUM(IF((CkDJ[Ofc Code]=(TRIM(R$7)))*(CkDJ[Account Code]=(TRIM($D46))),CkDJ[Credit])))+(SUM(IF((CsDJ[Ofc Code]=(TRIM(R$7)))*(CsDJ[Account Code]=(TRIM($D46))),CsDJ[Credit])))+(SUM(IF((CRDJ[Ofc Code]=(TRIM(R$7)))*(CRDJ[Account Code]=(TRIM($D46))),CRDJ[Credit])))+(SUM(IF((GJ[Ofc Code]=(TRIM(R$7)))*(GJ[Account Code]=(TRIM($D46))),GJ[Credit]))))</f>
        <v>0</v>
      </c>
      <c r="S46" s="211">
        <f t="array" ref="S46">((SUM(IF((CkDJ[Ofc Code]=(TRIM(S$7)))*(CkDJ[Account Code]=(TRIM($D46))),CkDJ[Debit])))+(SUM(IF((CsDJ[Ofc Code]=(TRIM(S$7)))*(CsDJ[Account Code]=(TRIM($D46))),CsDJ[Debit])))+(SUM(IF((CRDJ[Ofc Code]=(TRIM(S$7)))*(CRDJ[Account Code]=(TRIM($D46))),CRDJ[Debit])))+(SUM(IF((GJ[Ofc Code]=(TRIM(S$7)))*(GJ[Account Code]=(TRIM($D46))),GJ[Debit]))))-((SUM(IF((CkDJ[Ofc Code]=(TRIM(S$7)))*(CkDJ[Account Code]=(TRIM($D46))),CkDJ[Credit])))+(SUM(IF((CsDJ[Ofc Code]=(TRIM(S$7)))*(CsDJ[Account Code]=(TRIM($D46))),CsDJ[Credit])))+(SUM(IF((CRDJ[Ofc Code]=(TRIM(S$7)))*(CRDJ[Account Code]=(TRIM($D46))),CRDJ[Credit])))+(SUM(IF((GJ[Ofc Code]=(TRIM(S$7)))*(GJ[Account Code]=(TRIM($D46))),GJ[Credit]))))</f>
        <v>0</v>
      </c>
      <c r="T46" s="211">
        <f t="array" ref="T46">((SUM(IF((CkDJ[Ofc Code]=(TRIM(T$7)))*(CkDJ[Account Code]=(TRIM($D46))),CkDJ[Debit])))+(SUM(IF((CsDJ[Ofc Code]=(TRIM(T$7)))*(CsDJ[Account Code]=(TRIM($D46))),CsDJ[Debit])))+(SUM(IF((CRDJ[Ofc Code]=(TRIM(T$7)))*(CRDJ[Account Code]=(TRIM($D46))),CRDJ[Debit])))+(SUM(IF((GJ[Ofc Code]=(TRIM(T$7)))*(GJ[Account Code]=(TRIM($D46))),GJ[Debit]))))-((SUM(IF((CkDJ[Ofc Code]=(TRIM(T$7)))*(CkDJ[Account Code]=(TRIM($D46))),CkDJ[Credit])))+(SUM(IF((CsDJ[Ofc Code]=(TRIM(T$7)))*(CsDJ[Account Code]=(TRIM($D46))),CsDJ[Credit])))+(SUM(IF((CRDJ[Ofc Code]=(TRIM(T$7)))*(CRDJ[Account Code]=(TRIM($D46))),CRDJ[Credit])))+(SUM(IF((GJ[Ofc Code]=(TRIM(T$7)))*(GJ[Account Code]=(TRIM($D46))),GJ[Credit]))))</f>
        <v>0</v>
      </c>
      <c r="U46" s="211">
        <f t="shared" si="10"/>
        <v>0</v>
      </c>
      <c r="V46" s="211">
        <f t="shared" si="11"/>
        <v>0</v>
      </c>
    </row>
    <row r="47" spans="1:22" ht="15" x14ac:dyDescent="0.25">
      <c r="A47" s="212">
        <f t="shared" si="12"/>
        <v>10</v>
      </c>
      <c r="B47" s="214" t="s">
        <v>756</v>
      </c>
      <c r="C47" s="194" t="str">
        <f t="shared" si="7"/>
        <v>Other Bonuses and Allowances - Children Allowance</v>
      </c>
      <c r="D47" s="215" t="s">
        <v>7</v>
      </c>
      <c r="E47" s="211">
        <f t="array" ref="E47">((SUM(IF((CkDJ[Ofc Code]=(TRIM(E$7)))*(CkDJ[Account Code]=(TRIM($D47))),CkDJ[Debit])))+(SUM(IF((CsDJ[Ofc Code]=(TRIM(E$7)))*(CsDJ[Account Code]=(TRIM($D47))),CsDJ[Debit])))+(SUM(IF((CRDJ[Ofc Code]=(TRIM(E$7)))*(CRDJ[Account Code]=(TRIM($D47))),CRDJ[Debit])))+(SUM(IF((GJ[Ofc Code]=(TRIM(E$7)))*(GJ[Account Code]=(TRIM($D47))),GJ[Debit]))))-((SUM(IF((CkDJ[Ofc Code]=(TRIM(E$7)))*(CkDJ[Account Code]=(TRIM($D47))),CkDJ[Credit])))+(SUM(IF((CsDJ[Ofc Code]=(TRIM(E$7)))*(CsDJ[Account Code]=(TRIM($D47))),CsDJ[Credit])))+(SUM(IF((CRDJ[Ofc Code]=(TRIM(E$7)))*(CRDJ[Account Code]=(TRIM($D47))),CRDJ[Credit])))+(SUM(IF((GJ[Ofc Code]=(TRIM(E$7)))*(GJ[Account Code]=(TRIM($D47))),GJ[Credit]))))</f>
        <v>0</v>
      </c>
      <c r="F47" s="211">
        <f t="array" ref="F47">((SUM(IF((CkDJ[Ofc Code]=(TRIM(F$7)))*(CkDJ[Account Code]=(TRIM($D47))),CkDJ[Debit])))+(SUM(IF((CsDJ[Ofc Code]=(TRIM(F$7)))*(CsDJ[Account Code]=(TRIM($D47))),CsDJ[Debit])))+(SUM(IF((CRDJ[Ofc Code]=(TRIM(F$7)))*(CRDJ[Account Code]=(TRIM($D47))),CRDJ[Debit])))+(SUM(IF((GJ[Ofc Code]=(TRIM(F$7)))*(GJ[Account Code]=(TRIM($D47))),GJ[Debit]))))-((SUM(IF((CkDJ[Ofc Code]=(TRIM(F$7)))*(CkDJ[Account Code]=(TRIM($D47))),CkDJ[Credit])))+(SUM(IF((CsDJ[Ofc Code]=(TRIM(F$7)))*(CsDJ[Account Code]=(TRIM($D47))),CsDJ[Credit])))+(SUM(IF((CRDJ[Ofc Code]=(TRIM(F$7)))*(CRDJ[Account Code]=(TRIM($D47))),CRDJ[Credit])))+(SUM(IF((GJ[Ofc Code]=(TRIM(F$7)))*(GJ[Account Code]=(TRIM($D47))),GJ[Credit]))))</f>
        <v>0</v>
      </c>
      <c r="G47" s="211">
        <f t="array" ref="G47">((SUM(IF((CkDJ[Ofc Code]=(TRIM(G$7)))*(CkDJ[Account Code]=(TRIM($D47))),CkDJ[Debit])))+(SUM(IF((CsDJ[Ofc Code]=(TRIM(G$7)))*(CsDJ[Account Code]=(TRIM($D47))),CsDJ[Debit])))+(SUM(IF((CRDJ[Ofc Code]=(TRIM(G$7)))*(CRDJ[Account Code]=(TRIM($D47))),CRDJ[Debit])))+(SUM(IF((GJ[Ofc Code]=(TRIM(G$7)))*(GJ[Account Code]=(TRIM($D47))),GJ[Debit]))))-((SUM(IF((CkDJ[Ofc Code]=(TRIM(G$7)))*(CkDJ[Account Code]=(TRIM($D47))),CkDJ[Credit])))+(SUM(IF((CsDJ[Ofc Code]=(TRIM(G$7)))*(CsDJ[Account Code]=(TRIM($D47))),CsDJ[Credit])))+(SUM(IF((CRDJ[Ofc Code]=(TRIM(G$7)))*(CRDJ[Account Code]=(TRIM($D47))),CRDJ[Credit])))+(SUM(IF((GJ[Ofc Code]=(TRIM(G$7)))*(GJ[Account Code]=(TRIM($D47))),GJ[Credit]))))</f>
        <v>0</v>
      </c>
      <c r="H47" s="211">
        <f t="array" ref="H47">((SUM(IF((CkDJ[Ofc Code]=(TRIM(H$7)))*(CkDJ[Account Code]=(TRIM($D47))),CkDJ[Debit])))+(SUM(IF((CsDJ[Ofc Code]=(TRIM(H$7)))*(CsDJ[Account Code]=(TRIM($D47))),CsDJ[Debit])))+(SUM(IF((CRDJ[Ofc Code]=(TRIM(H$7)))*(CRDJ[Account Code]=(TRIM($D47))),CRDJ[Debit])))+(SUM(IF((GJ[Ofc Code]=(TRIM(H$7)))*(GJ[Account Code]=(TRIM($D47))),GJ[Debit]))))-((SUM(IF((CkDJ[Ofc Code]=(TRIM(H$7)))*(CkDJ[Account Code]=(TRIM($D47))),CkDJ[Credit])))+(SUM(IF((CsDJ[Ofc Code]=(TRIM(H$7)))*(CsDJ[Account Code]=(TRIM($D47))),CsDJ[Credit])))+(SUM(IF((CRDJ[Ofc Code]=(TRIM(H$7)))*(CRDJ[Account Code]=(TRIM($D47))),CRDJ[Credit])))+(SUM(IF((GJ[Ofc Code]=(TRIM(H$7)))*(GJ[Account Code]=(TRIM($D47))),GJ[Credit]))))</f>
        <v>0</v>
      </c>
      <c r="I47" s="211">
        <f t="array" ref="I47">((SUM(IF((CkDJ[Ofc Code]=(TRIM(I$7)))*(CkDJ[Account Code]=(TRIM($D47))),CkDJ[Debit])))+(SUM(IF((CsDJ[Ofc Code]=(TRIM(I$7)))*(CsDJ[Account Code]=(TRIM($D47))),CsDJ[Debit])))+(SUM(IF((CRDJ[Ofc Code]=(TRIM(I$7)))*(CRDJ[Account Code]=(TRIM($D47))),CRDJ[Debit])))+(SUM(IF((GJ[Ofc Code]=(TRIM(I$7)))*(GJ[Account Code]=(TRIM($D47))),GJ[Debit]))))-((SUM(IF((CkDJ[Ofc Code]=(TRIM(I$7)))*(CkDJ[Account Code]=(TRIM($D47))),CkDJ[Credit])))+(SUM(IF((CsDJ[Ofc Code]=(TRIM(I$7)))*(CsDJ[Account Code]=(TRIM($D47))),CsDJ[Credit])))+(SUM(IF((CRDJ[Ofc Code]=(TRIM(I$7)))*(CRDJ[Account Code]=(TRIM($D47))),CRDJ[Credit])))+(SUM(IF((GJ[Ofc Code]=(TRIM(I$7)))*(GJ[Account Code]=(TRIM($D47))),GJ[Credit]))))</f>
        <v>0</v>
      </c>
      <c r="J47" s="211">
        <f t="shared" si="8"/>
        <v>0</v>
      </c>
      <c r="K47" s="211">
        <f t="array" ref="K47">((SUM(IF((CkDJ[Ofc Code]=(TRIM(K$7)))*(CkDJ[Account Code]=(TRIM($D47))),CkDJ[Debit])))+(SUM(IF((CsDJ[Ofc Code]=(TRIM(K$7)))*(CsDJ[Account Code]=(TRIM($D47))),CsDJ[Debit])))+(SUM(IF((CRDJ[Ofc Code]=(TRIM(K$7)))*(CRDJ[Account Code]=(TRIM($D47))),CRDJ[Debit])))+(SUM(IF((GJ[Ofc Code]=(TRIM(K$7)))*(GJ[Account Code]=(TRIM($D47))),GJ[Debit]))))-((SUM(IF((CkDJ[Ofc Code]=(TRIM(K$7)))*(CkDJ[Account Code]=(TRIM($D47))),CkDJ[Credit])))+(SUM(IF((CsDJ[Ofc Code]=(TRIM(K$7)))*(CsDJ[Account Code]=(TRIM($D47))),CsDJ[Credit])))+(SUM(IF((CRDJ[Ofc Code]=(TRIM(K$7)))*(CRDJ[Account Code]=(TRIM($D47))),CRDJ[Credit])))+(SUM(IF((GJ[Ofc Code]=(TRIM(K$7)))*(GJ[Account Code]=(TRIM($D47))),GJ[Credit]))))</f>
        <v>0</v>
      </c>
      <c r="L47" s="211">
        <f t="array" ref="L47">((SUM(IF((CkDJ[Ofc Code]=(TRIM(L$7)))*(CkDJ[Account Code]=(TRIM($D47))),CkDJ[Debit])))+(SUM(IF((CsDJ[Ofc Code]=(TRIM(L$7)))*(CsDJ[Account Code]=(TRIM($D47))),CsDJ[Debit])))+(SUM(IF((CRDJ[Ofc Code]=(TRIM(L$7)))*(CRDJ[Account Code]=(TRIM($D47))),CRDJ[Debit])))+(SUM(IF((GJ[Ofc Code]=(TRIM(L$7)))*(GJ[Account Code]=(TRIM($D47))),GJ[Debit]))))-((SUM(IF((CkDJ[Ofc Code]=(TRIM(L$7)))*(CkDJ[Account Code]=(TRIM($D47))),CkDJ[Credit])))+(SUM(IF((CsDJ[Ofc Code]=(TRIM(L$7)))*(CsDJ[Account Code]=(TRIM($D47))),CsDJ[Credit])))+(SUM(IF((CRDJ[Ofc Code]=(TRIM(L$7)))*(CRDJ[Account Code]=(TRIM($D47))),CRDJ[Credit])))+(SUM(IF((GJ[Ofc Code]=(TRIM(L$7)))*(GJ[Account Code]=(TRIM($D47))),GJ[Credit]))))</f>
        <v>0</v>
      </c>
      <c r="M47" s="211">
        <f t="array" ref="M47">((SUM(IF((CkDJ[Ofc Code]=(TRIM(M$7)))*(CkDJ[Account Code]=(TRIM($D47))),CkDJ[Debit])))+(SUM(IF((CsDJ[Ofc Code]=(TRIM(M$7)))*(CsDJ[Account Code]=(TRIM($D47))),CsDJ[Debit])))+(SUM(IF((CRDJ[Ofc Code]=(TRIM(M$7)))*(CRDJ[Account Code]=(TRIM($D47))),CRDJ[Debit])))+(SUM(IF((GJ[Ofc Code]=(TRIM(M$7)))*(GJ[Account Code]=(TRIM($D47))),GJ[Debit]))))-((SUM(IF((CkDJ[Ofc Code]=(TRIM(M$7)))*(CkDJ[Account Code]=(TRIM($D47))),CkDJ[Credit])))+(SUM(IF((CsDJ[Ofc Code]=(TRIM(M$7)))*(CsDJ[Account Code]=(TRIM($D47))),CsDJ[Credit])))+(SUM(IF((CRDJ[Ofc Code]=(TRIM(M$7)))*(CRDJ[Account Code]=(TRIM($D47))),CRDJ[Credit])))+(SUM(IF((GJ[Ofc Code]=(TRIM(M$7)))*(GJ[Account Code]=(TRIM($D47))),GJ[Credit]))))</f>
        <v>0</v>
      </c>
      <c r="N47" s="211">
        <f t="array" ref="N47">((SUM(IF((CkDJ[Ofc Code]=(TRIM(N$7)))*(CkDJ[Account Code]=(TRIM($D47))),CkDJ[Debit])))+(SUM(IF((CsDJ[Ofc Code]=(TRIM(N$7)))*(CsDJ[Account Code]=(TRIM($D47))),CsDJ[Debit])))+(SUM(IF((CRDJ[Ofc Code]=(TRIM(N$7)))*(CRDJ[Account Code]=(TRIM($D47))),CRDJ[Debit])))+(SUM(IF((GJ[Ofc Code]=(TRIM(N$7)))*(GJ[Account Code]=(TRIM($D47))),GJ[Debit]))))-((SUM(IF((CkDJ[Ofc Code]=(TRIM(N$7)))*(CkDJ[Account Code]=(TRIM($D47))),CkDJ[Credit])))+(SUM(IF((CsDJ[Ofc Code]=(TRIM(N$7)))*(CsDJ[Account Code]=(TRIM($D47))),CsDJ[Credit])))+(SUM(IF((CRDJ[Ofc Code]=(TRIM(N$7)))*(CRDJ[Account Code]=(TRIM($D47))),CRDJ[Credit])))+(SUM(IF((GJ[Ofc Code]=(TRIM(N$7)))*(GJ[Account Code]=(TRIM($D47))),GJ[Credit]))))</f>
        <v>0</v>
      </c>
      <c r="O47" s="211">
        <f t="shared" si="9"/>
        <v>0</v>
      </c>
      <c r="P47" s="211">
        <f t="array" ref="P47">((SUM(IF((CkDJ[Ofc Code]=(TRIM(P$7)))*(CkDJ[Account Code]=(TRIM($D47))),CkDJ[Debit])))+(SUM(IF((CsDJ[Ofc Code]=(TRIM(P$7)))*(CsDJ[Account Code]=(TRIM($D47))),CsDJ[Debit])))+(SUM(IF((CRDJ[Ofc Code]=(TRIM(P$7)))*(CRDJ[Account Code]=(TRIM($D47))),CRDJ[Debit])))+(SUM(IF((GJ[Ofc Code]=(TRIM(P$7)))*(GJ[Account Code]=(TRIM($D47))),GJ[Debit]))))-((SUM(IF((CkDJ[Ofc Code]=(TRIM(P$7)))*(CkDJ[Account Code]=(TRIM($D47))),CkDJ[Credit])))+(SUM(IF((CsDJ[Ofc Code]=(TRIM(P$7)))*(CsDJ[Account Code]=(TRIM($D47))),CsDJ[Credit])))+(SUM(IF((CRDJ[Ofc Code]=(TRIM(P$7)))*(CRDJ[Account Code]=(TRIM($D47))),CRDJ[Credit])))+(SUM(IF((GJ[Ofc Code]=(TRIM(P$7)))*(GJ[Account Code]=(TRIM($D47))),GJ[Credit]))))</f>
        <v>0</v>
      </c>
      <c r="Q47" s="211">
        <f t="array" ref="Q47">((SUM(IF((CkDJ[Ofc Code]=(TRIM(Q$7)))*(CkDJ[Account Code]=(TRIM($D47))),CkDJ[Debit])))+(SUM(IF((CsDJ[Ofc Code]=(TRIM(Q$7)))*(CsDJ[Account Code]=(TRIM($D47))),CsDJ[Debit])))+(SUM(IF((CRDJ[Ofc Code]=(TRIM(Q$7)))*(CRDJ[Account Code]=(TRIM($D47))),CRDJ[Debit])))+(SUM(IF((GJ[Ofc Code]=(TRIM(Q$7)))*(GJ[Account Code]=(TRIM($D47))),GJ[Debit]))))-((SUM(IF((CkDJ[Ofc Code]=(TRIM(Q$7)))*(CkDJ[Account Code]=(TRIM($D47))),CkDJ[Credit])))+(SUM(IF((CsDJ[Ofc Code]=(TRIM(Q$7)))*(CsDJ[Account Code]=(TRIM($D47))),CsDJ[Credit])))+(SUM(IF((CRDJ[Ofc Code]=(TRIM(Q$7)))*(CRDJ[Account Code]=(TRIM($D47))),CRDJ[Credit])))+(SUM(IF((GJ[Ofc Code]=(TRIM(Q$7)))*(GJ[Account Code]=(TRIM($D47))),GJ[Credit]))))</f>
        <v>0</v>
      </c>
      <c r="R47" s="211">
        <f t="array" ref="R47">((SUM(IF((CkDJ[Ofc Code]=(TRIM(R$7)))*(CkDJ[Account Code]=(TRIM($D47))),CkDJ[Debit])))+(SUM(IF((CsDJ[Ofc Code]=(TRIM(R$7)))*(CsDJ[Account Code]=(TRIM($D47))),CsDJ[Debit])))+(SUM(IF((CRDJ[Ofc Code]=(TRIM(R$7)))*(CRDJ[Account Code]=(TRIM($D47))),CRDJ[Debit])))+(SUM(IF((GJ[Ofc Code]=(TRIM(R$7)))*(GJ[Account Code]=(TRIM($D47))),GJ[Debit]))))-((SUM(IF((CkDJ[Ofc Code]=(TRIM(R$7)))*(CkDJ[Account Code]=(TRIM($D47))),CkDJ[Credit])))+(SUM(IF((CsDJ[Ofc Code]=(TRIM(R$7)))*(CsDJ[Account Code]=(TRIM($D47))),CsDJ[Credit])))+(SUM(IF((CRDJ[Ofc Code]=(TRIM(R$7)))*(CRDJ[Account Code]=(TRIM($D47))),CRDJ[Credit])))+(SUM(IF((GJ[Ofc Code]=(TRIM(R$7)))*(GJ[Account Code]=(TRIM($D47))),GJ[Credit]))))</f>
        <v>0</v>
      </c>
      <c r="S47" s="211">
        <f t="array" ref="S47">((SUM(IF((CkDJ[Ofc Code]=(TRIM(S$7)))*(CkDJ[Account Code]=(TRIM($D47))),CkDJ[Debit])))+(SUM(IF((CsDJ[Ofc Code]=(TRIM(S$7)))*(CsDJ[Account Code]=(TRIM($D47))),CsDJ[Debit])))+(SUM(IF((CRDJ[Ofc Code]=(TRIM(S$7)))*(CRDJ[Account Code]=(TRIM($D47))),CRDJ[Debit])))+(SUM(IF((GJ[Ofc Code]=(TRIM(S$7)))*(GJ[Account Code]=(TRIM($D47))),GJ[Debit]))))-((SUM(IF((CkDJ[Ofc Code]=(TRIM(S$7)))*(CkDJ[Account Code]=(TRIM($D47))),CkDJ[Credit])))+(SUM(IF((CsDJ[Ofc Code]=(TRIM(S$7)))*(CsDJ[Account Code]=(TRIM($D47))),CsDJ[Credit])))+(SUM(IF((CRDJ[Ofc Code]=(TRIM(S$7)))*(CRDJ[Account Code]=(TRIM($D47))),CRDJ[Credit])))+(SUM(IF((GJ[Ofc Code]=(TRIM(S$7)))*(GJ[Account Code]=(TRIM($D47))),GJ[Credit]))))</f>
        <v>0</v>
      </c>
      <c r="T47" s="211">
        <f t="array" ref="T47">((SUM(IF((CkDJ[Ofc Code]=(TRIM(T$7)))*(CkDJ[Account Code]=(TRIM($D47))),CkDJ[Debit])))+(SUM(IF((CsDJ[Ofc Code]=(TRIM(T$7)))*(CsDJ[Account Code]=(TRIM($D47))),CsDJ[Debit])))+(SUM(IF((CRDJ[Ofc Code]=(TRIM(T$7)))*(CRDJ[Account Code]=(TRIM($D47))),CRDJ[Debit])))+(SUM(IF((GJ[Ofc Code]=(TRIM(T$7)))*(GJ[Account Code]=(TRIM($D47))),GJ[Debit]))))-((SUM(IF((CkDJ[Ofc Code]=(TRIM(T$7)))*(CkDJ[Account Code]=(TRIM($D47))),CkDJ[Credit])))+(SUM(IF((CsDJ[Ofc Code]=(TRIM(T$7)))*(CsDJ[Account Code]=(TRIM($D47))),CsDJ[Credit])))+(SUM(IF((CRDJ[Ofc Code]=(TRIM(T$7)))*(CRDJ[Account Code]=(TRIM($D47))),CRDJ[Credit])))+(SUM(IF((GJ[Ofc Code]=(TRIM(T$7)))*(GJ[Account Code]=(TRIM($D47))),GJ[Credit]))))</f>
        <v>0</v>
      </c>
      <c r="U47" s="211">
        <f t="shared" si="10"/>
        <v>0</v>
      </c>
      <c r="V47" s="211">
        <f t="shared" si="11"/>
        <v>0</v>
      </c>
    </row>
    <row r="48" spans="1:22" ht="15" x14ac:dyDescent="0.25">
      <c r="A48" s="212">
        <f t="shared" si="12"/>
        <v>11</v>
      </c>
      <c r="B48" s="214" t="s">
        <v>756</v>
      </c>
      <c r="C48" s="194" t="str">
        <f t="shared" si="7"/>
        <v>Other Bonuses and Allowances - Collective Negotiation Agreement Incentive-Civilian</v>
      </c>
      <c r="D48" s="215" t="s">
        <v>168</v>
      </c>
      <c r="E48" s="211">
        <f t="array" ref="E48">((SUM(IF((CkDJ[Ofc Code]=(TRIM(E$7)))*(CkDJ[Account Code]=(TRIM($D48))),CkDJ[Debit])))+(SUM(IF((CsDJ[Ofc Code]=(TRIM(E$7)))*(CsDJ[Account Code]=(TRIM($D48))),CsDJ[Debit])))+(SUM(IF((CRDJ[Ofc Code]=(TRIM(E$7)))*(CRDJ[Account Code]=(TRIM($D48))),CRDJ[Debit])))+(SUM(IF((GJ[Ofc Code]=(TRIM(E$7)))*(GJ[Account Code]=(TRIM($D48))),GJ[Debit]))))-((SUM(IF((CkDJ[Ofc Code]=(TRIM(E$7)))*(CkDJ[Account Code]=(TRIM($D48))),CkDJ[Credit])))+(SUM(IF((CsDJ[Ofc Code]=(TRIM(E$7)))*(CsDJ[Account Code]=(TRIM($D48))),CsDJ[Credit])))+(SUM(IF((CRDJ[Ofc Code]=(TRIM(E$7)))*(CRDJ[Account Code]=(TRIM($D48))),CRDJ[Credit])))+(SUM(IF((GJ[Ofc Code]=(TRIM(E$7)))*(GJ[Account Code]=(TRIM($D48))),GJ[Credit]))))</f>
        <v>0</v>
      </c>
      <c r="F48" s="211">
        <f t="array" ref="F48">((SUM(IF((CkDJ[Ofc Code]=(TRIM(F$7)))*(CkDJ[Account Code]=(TRIM($D48))),CkDJ[Debit])))+(SUM(IF((CsDJ[Ofc Code]=(TRIM(F$7)))*(CsDJ[Account Code]=(TRIM($D48))),CsDJ[Debit])))+(SUM(IF((CRDJ[Ofc Code]=(TRIM(F$7)))*(CRDJ[Account Code]=(TRIM($D48))),CRDJ[Debit])))+(SUM(IF((GJ[Ofc Code]=(TRIM(F$7)))*(GJ[Account Code]=(TRIM($D48))),GJ[Debit]))))-((SUM(IF((CkDJ[Ofc Code]=(TRIM(F$7)))*(CkDJ[Account Code]=(TRIM($D48))),CkDJ[Credit])))+(SUM(IF((CsDJ[Ofc Code]=(TRIM(F$7)))*(CsDJ[Account Code]=(TRIM($D48))),CsDJ[Credit])))+(SUM(IF((CRDJ[Ofc Code]=(TRIM(F$7)))*(CRDJ[Account Code]=(TRIM($D48))),CRDJ[Credit])))+(SUM(IF((GJ[Ofc Code]=(TRIM(F$7)))*(GJ[Account Code]=(TRIM($D48))),GJ[Credit]))))</f>
        <v>0</v>
      </c>
      <c r="G48" s="211">
        <f t="array" ref="G48">((SUM(IF((CkDJ[Ofc Code]=(TRIM(G$7)))*(CkDJ[Account Code]=(TRIM($D48))),CkDJ[Debit])))+(SUM(IF((CsDJ[Ofc Code]=(TRIM(G$7)))*(CsDJ[Account Code]=(TRIM($D48))),CsDJ[Debit])))+(SUM(IF((CRDJ[Ofc Code]=(TRIM(G$7)))*(CRDJ[Account Code]=(TRIM($D48))),CRDJ[Debit])))+(SUM(IF((GJ[Ofc Code]=(TRIM(G$7)))*(GJ[Account Code]=(TRIM($D48))),GJ[Debit]))))-((SUM(IF((CkDJ[Ofc Code]=(TRIM(G$7)))*(CkDJ[Account Code]=(TRIM($D48))),CkDJ[Credit])))+(SUM(IF((CsDJ[Ofc Code]=(TRIM(G$7)))*(CsDJ[Account Code]=(TRIM($D48))),CsDJ[Credit])))+(SUM(IF((CRDJ[Ofc Code]=(TRIM(G$7)))*(CRDJ[Account Code]=(TRIM($D48))),CRDJ[Credit])))+(SUM(IF((GJ[Ofc Code]=(TRIM(G$7)))*(GJ[Account Code]=(TRIM($D48))),GJ[Credit]))))</f>
        <v>0</v>
      </c>
      <c r="H48" s="211">
        <f t="array" ref="H48">((SUM(IF((CkDJ[Ofc Code]=(TRIM(H$7)))*(CkDJ[Account Code]=(TRIM($D48))),CkDJ[Debit])))+(SUM(IF((CsDJ[Ofc Code]=(TRIM(H$7)))*(CsDJ[Account Code]=(TRIM($D48))),CsDJ[Debit])))+(SUM(IF((CRDJ[Ofc Code]=(TRIM(H$7)))*(CRDJ[Account Code]=(TRIM($D48))),CRDJ[Debit])))+(SUM(IF((GJ[Ofc Code]=(TRIM(H$7)))*(GJ[Account Code]=(TRIM($D48))),GJ[Debit]))))-((SUM(IF((CkDJ[Ofc Code]=(TRIM(H$7)))*(CkDJ[Account Code]=(TRIM($D48))),CkDJ[Credit])))+(SUM(IF((CsDJ[Ofc Code]=(TRIM(H$7)))*(CsDJ[Account Code]=(TRIM($D48))),CsDJ[Credit])))+(SUM(IF((CRDJ[Ofc Code]=(TRIM(H$7)))*(CRDJ[Account Code]=(TRIM($D48))),CRDJ[Credit])))+(SUM(IF((GJ[Ofc Code]=(TRIM(H$7)))*(GJ[Account Code]=(TRIM($D48))),GJ[Credit]))))</f>
        <v>0</v>
      </c>
      <c r="I48" s="211">
        <f t="array" ref="I48">((SUM(IF((CkDJ[Ofc Code]=(TRIM(I$7)))*(CkDJ[Account Code]=(TRIM($D48))),CkDJ[Debit])))+(SUM(IF((CsDJ[Ofc Code]=(TRIM(I$7)))*(CsDJ[Account Code]=(TRIM($D48))),CsDJ[Debit])))+(SUM(IF((CRDJ[Ofc Code]=(TRIM(I$7)))*(CRDJ[Account Code]=(TRIM($D48))),CRDJ[Debit])))+(SUM(IF((GJ[Ofc Code]=(TRIM(I$7)))*(GJ[Account Code]=(TRIM($D48))),GJ[Debit]))))-((SUM(IF((CkDJ[Ofc Code]=(TRIM(I$7)))*(CkDJ[Account Code]=(TRIM($D48))),CkDJ[Credit])))+(SUM(IF((CsDJ[Ofc Code]=(TRIM(I$7)))*(CsDJ[Account Code]=(TRIM($D48))),CsDJ[Credit])))+(SUM(IF((CRDJ[Ofc Code]=(TRIM(I$7)))*(CRDJ[Account Code]=(TRIM($D48))),CRDJ[Credit])))+(SUM(IF((GJ[Ofc Code]=(TRIM(I$7)))*(GJ[Account Code]=(TRIM($D48))),GJ[Credit]))))</f>
        <v>0</v>
      </c>
      <c r="J48" s="211">
        <f t="shared" si="8"/>
        <v>0</v>
      </c>
      <c r="K48" s="211">
        <f t="array" ref="K48">((SUM(IF((CkDJ[Ofc Code]=(TRIM(K$7)))*(CkDJ[Account Code]=(TRIM($D48))),CkDJ[Debit])))+(SUM(IF((CsDJ[Ofc Code]=(TRIM(K$7)))*(CsDJ[Account Code]=(TRIM($D48))),CsDJ[Debit])))+(SUM(IF((CRDJ[Ofc Code]=(TRIM(K$7)))*(CRDJ[Account Code]=(TRIM($D48))),CRDJ[Debit])))+(SUM(IF((GJ[Ofc Code]=(TRIM(K$7)))*(GJ[Account Code]=(TRIM($D48))),GJ[Debit]))))-((SUM(IF((CkDJ[Ofc Code]=(TRIM(K$7)))*(CkDJ[Account Code]=(TRIM($D48))),CkDJ[Credit])))+(SUM(IF((CsDJ[Ofc Code]=(TRIM(K$7)))*(CsDJ[Account Code]=(TRIM($D48))),CsDJ[Credit])))+(SUM(IF((CRDJ[Ofc Code]=(TRIM(K$7)))*(CRDJ[Account Code]=(TRIM($D48))),CRDJ[Credit])))+(SUM(IF((GJ[Ofc Code]=(TRIM(K$7)))*(GJ[Account Code]=(TRIM($D48))),GJ[Credit]))))</f>
        <v>0</v>
      </c>
      <c r="L48" s="211">
        <f t="array" ref="L48">((SUM(IF((CkDJ[Ofc Code]=(TRIM(L$7)))*(CkDJ[Account Code]=(TRIM($D48))),CkDJ[Debit])))+(SUM(IF((CsDJ[Ofc Code]=(TRIM(L$7)))*(CsDJ[Account Code]=(TRIM($D48))),CsDJ[Debit])))+(SUM(IF((CRDJ[Ofc Code]=(TRIM(L$7)))*(CRDJ[Account Code]=(TRIM($D48))),CRDJ[Debit])))+(SUM(IF((GJ[Ofc Code]=(TRIM(L$7)))*(GJ[Account Code]=(TRIM($D48))),GJ[Debit]))))-((SUM(IF((CkDJ[Ofc Code]=(TRIM(L$7)))*(CkDJ[Account Code]=(TRIM($D48))),CkDJ[Credit])))+(SUM(IF((CsDJ[Ofc Code]=(TRIM(L$7)))*(CsDJ[Account Code]=(TRIM($D48))),CsDJ[Credit])))+(SUM(IF((CRDJ[Ofc Code]=(TRIM(L$7)))*(CRDJ[Account Code]=(TRIM($D48))),CRDJ[Credit])))+(SUM(IF((GJ[Ofc Code]=(TRIM(L$7)))*(GJ[Account Code]=(TRIM($D48))),GJ[Credit]))))</f>
        <v>0</v>
      </c>
      <c r="M48" s="211">
        <f t="array" ref="M48">((SUM(IF((CkDJ[Ofc Code]=(TRIM(M$7)))*(CkDJ[Account Code]=(TRIM($D48))),CkDJ[Debit])))+(SUM(IF((CsDJ[Ofc Code]=(TRIM(M$7)))*(CsDJ[Account Code]=(TRIM($D48))),CsDJ[Debit])))+(SUM(IF((CRDJ[Ofc Code]=(TRIM(M$7)))*(CRDJ[Account Code]=(TRIM($D48))),CRDJ[Debit])))+(SUM(IF((GJ[Ofc Code]=(TRIM(M$7)))*(GJ[Account Code]=(TRIM($D48))),GJ[Debit]))))-((SUM(IF((CkDJ[Ofc Code]=(TRIM(M$7)))*(CkDJ[Account Code]=(TRIM($D48))),CkDJ[Credit])))+(SUM(IF((CsDJ[Ofc Code]=(TRIM(M$7)))*(CsDJ[Account Code]=(TRIM($D48))),CsDJ[Credit])))+(SUM(IF((CRDJ[Ofc Code]=(TRIM(M$7)))*(CRDJ[Account Code]=(TRIM($D48))),CRDJ[Credit])))+(SUM(IF((GJ[Ofc Code]=(TRIM(M$7)))*(GJ[Account Code]=(TRIM($D48))),GJ[Credit]))))</f>
        <v>0</v>
      </c>
      <c r="N48" s="211">
        <f t="array" ref="N48">((SUM(IF((CkDJ[Ofc Code]=(TRIM(N$7)))*(CkDJ[Account Code]=(TRIM($D48))),CkDJ[Debit])))+(SUM(IF((CsDJ[Ofc Code]=(TRIM(N$7)))*(CsDJ[Account Code]=(TRIM($D48))),CsDJ[Debit])))+(SUM(IF((CRDJ[Ofc Code]=(TRIM(N$7)))*(CRDJ[Account Code]=(TRIM($D48))),CRDJ[Debit])))+(SUM(IF((GJ[Ofc Code]=(TRIM(N$7)))*(GJ[Account Code]=(TRIM($D48))),GJ[Debit]))))-((SUM(IF((CkDJ[Ofc Code]=(TRIM(N$7)))*(CkDJ[Account Code]=(TRIM($D48))),CkDJ[Credit])))+(SUM(IF((CsDJ[Ofc Code]=(TRIM(N$7)))*(CsDJ[Account Code]=(TRIM($D48))),CsDJ[Credit])))+(SUM(IF((CRDJ[Ofc Code]=(TRIM(N$7)))*(CRDJ[Account Code]=(TRIM($D48))),CRDJ[Credit])))+(SUM(IF((GJ[Ofc Code]=(TRIM(N$7)))*(GJ[Account Code]=(TRIM($D48))),GJ[Credit]))))</f>
        <v>0</v>
      </c>
      <c r="O48" s="211">
        <f t="shared" si="9"/>
        <v>0</v>
      </c>
      <c r="P48" s="211">
        <f t="array" ref="P48">((SUM(IF((CkDJ[Ofc Code]=(TRIM(P$7)))*(CkDJ[Account Code]=(TRIM($D48))),CkDJ[Debit])))+(SUM(IF((CsDJ[Ofc Code]=(TRIM(P$7)))*(CsDJ[Account Code]=(TRIM($D48))),CsDJ[Debit])))+(SUM(IF((CRDJ[Ofc Code]=(TRIM(P$7)))*(CRDJ[Account Code]=(TRIM($D48))),CRDJ[Debit])))+(SUM(IF((GJ[Ofc Code]=(TRIM(P$7)))*(GJ[Account Code]=(TRIM($D48))),GJ[Debit]))))-((SUM(IF((CkDJ[Ofc Code]=(TRIM(P$7)))*(CkDJ[Account Code]=(TRIM($D48))),CkDJ[Credit])))+(SUM(IF((CsDJ[Ofc Code]=(TRIM(P$7)))*(CsDJ[Account Code]=(TRIM($D48))),CsDJ[Credit])))+(SUM(IF((CRDJ[Ofc Code]=(TRIM(P$7)))*(CRDJ[Account Code]=(TRIM($D48))),CRDJ[Credit])))+(SUM(IF((GJ[Ofc Code]=(TRIM(P$7)))*(GJ[Account Code]=(TRIM($D48))),GJ[Credit]))))</f>
        <v>0</v>
      </c>
      <c r="Q48" s="211">
        <f t="array" ref="Q48">((SUM(IF((CkDJ[Ofc Code]=(TRIM(Q$7)))*(CkDJ[Account Code]=(TRIM($D48))),CkDJ[Debit])))+(SUM(IF((CsDJ[Ofc Code]=(TRIM(Q$7)))*(CsDJ[Account Code]=(TRIM($D48))),CsDJ[Debit])))+(SUM(IF((CRDJ[Ofc Code]=(TRIM(Q$7)))*(CRDJ[Account Code]=(TRIM($D48))),CRDJ[Debit])))+(SUM(IF((GJ[Ofc Code]=(TRIM(Q$7)))*(GJ[Account Code]=(TRIM($D48))),GJ[Debit]))))-((SUM(IF((CkDJ[Ofc Code]=(TRIM(Q$7)))*(CkDJ[Account Code]=(TRIM($D48))),CkDJ[Credit])))+(SUM(IF((CsDJ[Ofc Code]=(TRIM(Q$7)))*(CsDJ[Account Code]=(TRIM($D48))),CsDJ[Credit])))+(SUM(IF((CRDJ[Ofc Code]=(TRIM(Q$7)))*(CRDJ[Account Code]=(TRIM($D48))),CRDJ[Credit])))+(SUM(IF((GJ[Ofc Code]=(TRIM(Q$7)))*(GJ[Account Code]=(TRIM($D48))),GJ[Credit]))))</f>
        <v>0</v>
      </c>
      <c r="R48" s="211">
        <f t="array" ref="R48">((SUM(IF((CkDJ[Ofc Code]=(TRIM(R$7)))*(CkDJ[Account Code]=(TRIM($D48))),CkDJ[Debit])))+(SUM(IF((CsDJ[Ofc Code]=(TRIM(R$7)))*(CsDJ[Account Code]=(TRIM($D48))),CsDJ[Debit])))+(SUM(IF((CRDJ[Ofc Code]=(TRIM(R$7)))*(CRDJ[Account Code]=(TRIM($D48))),CRDJ[Debit])))+(SUM(IF((GJ[Ofc Code]=(TRIM(R$7)))*(GJ[Account Code]=(TRIM($D48))),GJ[Debit]))))-((SUM(IF((CkDJ[Ofc Code]=(TRIM(R$7)))*(CkDJ[Account Code]=(TRIM($D48))),CkDJ[Credit])))+(SUM(IF((CsDJ[Ofc Code]=(TRIM(R$7)))*(CsDJ[Account Code]=(TRIM($D48))),CsDJ[Credit])))+(SUM(IF((CRDJ[Ofc Code]=(TRIM(R$7)))*(CRDJ[Account Code]=(TRIM($D48))),CRDJ[Credit])))+(SUM(IF((GJ[Ofc Code]=(TRIM(R$7)))*(GJ[Account Code]=(TRIM($D48))),GJ[Credit]))))</f>
        <v>0</v>
      </c>
      <c r="S48" s="211">
        <f t="array" ref="S48">((SUM(IF((CkDJ[Ofc Code]=(TRIM(S$7)))*(CkDJ[Account Code]=(TRIM($D48))),CkDJ[Debit])))+(SUM(IF((CsDJ[Ofc Code]=(TRIM(S$7)))*(CsDJ[Account Code]=(TRIM($D48))),CsDJ[Debit])))+(SUM(IF((CRDJ[Ofc Code]=(TRIM(S$7)))*(CRDJ[Account Code]=(TRIM($D48))),CRDJ[Debit])))+(SUM(IF((GJ[Ofc Code]=(TRIM(S$7)))*(GJ[Account Code]=(TRIM($D48))),GJ[Debit]))))-((SUM(IF((CkDJ[Ofc Code]=(TRIM(S$7)))*(CkDJ[Account Code]=(TRIM($D48))),CkDJ[Credit])))+(SUM(IF((CsDJ[Ofc Code]=(TRIM(S$7)))*(CsDJ[Account Code]=(TRIM($D48))),CsDJ[Credit])))+(SUM(IF((CRDJ[Ofc Code]=(TRIM(S$7)))*(CRDJ[Account Code]=(TRIM($D48))),CRDJ[Credit])))+(SUM(IF((GJ[Ofc Code]=(TRIM(S$7)))*(GJ[Account Code]=(TRIM($D48))),GJ[Credit]))))</f>
        <v>0</v>
      </c>
      <c r="T48" s="211">
        <f t="array" ref="T48">((SUM(IF((CkDJ[Ofc Code]=(TRIM(T$7)))*(CkDJ[Account Code]=(TRIM($D48))),CkDJ[Debit])))+(SUM(IF((CsDJ[Ofc Code]=(TRIM(T$7)))*(CsDJ[Account Code]=(TRIM($D48))),CsDJ[Debit])))+(SUM(IF((CRDJ[Ofc Code]=(TRIM(T$7)))*(CRDJ[Account Code]=(TRIM($D48))),CRDJ[Debit])))+(SUM(IF((GJ[Ofc Code]=(TRIM(T$7)))*(GJ[Account Code]=(TRIM($D48))),GJ[Debit]))))-((SUM(IF((CkDJ[Ofc Code]=(TRIM(T$7)))*(CkDJ[Account Code]=(TRIM($D48))),CkDJ[Credit])))+(SUM(IF((CsDJ[Ofc Code]=(TRIM(T$7)))*(CsDJ[Account Code]=(TRIM($D48))),CsDJ[Credit])))+(SUM(IF((CRDJ[Ofc Code]=(TRIM(T$7)))*(CRDJ[Account Code]=(TRIM($D48))),CRDJ[Credit])))+(SUM(IF((GJ[Ofc Code]=(TRIM(T$7)))*(GJ[Account Code]=(TRIM($D48))),GJ[Credit]))))</f>
        <v>0</v>
      </c>
      <c r="U48" s="211">
        <f t="shared" si="10"/>
        <v>0</v>
      </c>
      <c r="V48" s="211">
        <f t="shared" si="11"/>
        <v>0</v>
      </c>
    </row>
    <row r="49" spans="1:22" ht="15" x14ac:dyDescent="0.25">
      <c r="A49" s="212">
        <f t="shared" si="12"/>
        <v>12</v>
      </c>
      <c r="B49" s="214" t="s">
        <v>756</v>
      </c>
      <c r="C49" s="194" t="str">
        <f t="shared" si="7"/>
        <v>Other Bonuses and Allowances - Productivity Enhancement Incentive-Civilian</v>
      </c>
      <c r="D49" s="215" t="s">
        <v>170</v>
      </c>
      <c r="E49" s="211">
        <f t="array" ref="E49">((SUM(IF((CkDJ[Ofc Code]=(TRIM(E$7)))*(CkDJ[Account Code]=(TRIM($D49))),CkDJ[Debit])))+(SUM(IF((CsDJ[Ofc Code]=(TRIM(E$7)))*(CsDJ[Account Code]=(TRIM($D49))),CsDJ[Debit])))+(SUM(IF((CRDJ[Ofc Code]=(TRIM(E$7)))*(CRDJ[Account Code]=(TRIM($D49))),CRDJ[Debit])))+(SUM(IF((GJ[Ofc Code]=(TRIM(E$7)))*(GJ[Account Code]=(TRIM($D49))),GJ[Debit]))))-((SUM(IF((CkDJ[Ofc Code]=(TRIM(E$7)))*(CkDJ[Account Code]=(TRIM($D49))),CkDJ[Credit])))+(SUM(IF((CsDJ[Ofc Code]=(TRIM(E$7)))*(CsDJ[Account Code]=(TRIM($D49))),CsDJ[Credit])))+(SUM(IF((CRDJ[Ofc Code]=(TRIM(E$7)))*(CRDJ[Account Code]=(TRIM($D49))),CRDJ[Credit])))+(SUM(IF((GJ[Ofc Code]=(TRIM(E$7)))*(GJ[Account Code]=(TRIM($D49))),GJ[Credit]))))</f>
        <v>0</v>
      </c>
      <c r="F49" s="211">
        <f t="array" ref="F49">((SUM(IF((CkDJ[Ofc Code]=(TRIM(F$7)))*(CkDJ[Account Code]=(TRIM($D49))),CkDJ[Debit])))+(SUM(IF((CsDJ[Ofc Code]=(TRIM(F$7)))*(CsDJ[Account Code]=(TRIM($D49))),CsDJ[Debit])))+(SUM(IF((CRDJ[Ofc Code]=(TRIM(F$7)))*(CRDJ[Account Code]=(TRIM($D49))),CRDJ[Debit])))+(SUM(IF((GJ[Ofc Code]=(TRIM(F$7)))*(GJ[Account Code]=(TRIM($D49))),GJ[Debit]))))-((SUM(IF((CkDJ[Ofc Code]=(TRIM(F$7)))*(CkDJ[Account Code]=(TRIM($D49))),CkDJ[Credit])))+(SUM(IF((CsDJ[Ofc Code]=(TRIM(F$7)))*(CsDJ[Account Code]=(TRIM($D49))),CsDJ[Credit])))+(SUM(IF((CRDJ[Ofc Code]=(TRIM(F$7)))*(CRDJ[Account Code]=(TRIM($D49))),CRDJ[Credit])))+(SUM(IF((GJ[Ofc Code]=(TRIM(F$7)))*(GJ[Account Code]=(TRIM($D49))),GJ[Credit]))))</f>
        <v>0</v>
      </c>
      <c r="G49" s="211">
        <f t="array" ref="G49">((SUM(IF((CkDJ[Ofc Code]=(TRIM(G$7)))*(CkDJ[Account Code]=(TRIM($D49))),CkDJ[Debit])))+(SUM(IF((CsDJ[Ofc Code]=(TRIM(G$7)))*(CsDJ[Account Code]=(TRIM($D49))),CsDJ[Debit])))+(SUM(IF((CRDJ[Ofc Code]=(TRIM(G$7)))*(CRDJ[Account Code]=(TRIM($D49))),CRDJ[Debit])))+(SUM(IF((GJ[Ofc Code]=(TRIM(G$7)))*(GJ[Account Code]=(TRIM($D49))),GJ[Debit]))))-((SUM(IF((CkDJ[Ofc Code]=(TRIM(G$7)))*(CkDJ[Account Code]=(TRIM($D49))),CkDJ[Credit])))+(SUM(IF((CsDJ[Ofc Code]=(TRIM(G$7)))*(CsDJ[Account Code]=(TRIM($D49))),CsDJ[Credit])))+(SUM(IF((CRDJ[Ofc Code]=(TRIM(G$7)))*(CRDJ[Account Code]=(TRIM($D49))),CRDJ[Credit])))+(SUM(IF((GJ[Ofc Code]=(TRIM(G$7)))*(GJ[Account Code]=(TRIM($D49))),GJ[Credit]))))</f>
        <v>0</v>
      </c>
      <c r="H49" s="211">
        <f t="array" ref="H49">((SUM(IF((CkDJ[Ofc Code]=(TRIM(H$7)))*(CkDJ[Account Code]=(TRIM($D49))),CkDJ[Debit])))+(SUM(IF((CsDJ[Ofc Code]=(TRIM(H$7)))*(CsDJ[Account Code]=(TRIM($D49))),CsDJ[Debit])))+(SUM(IF((CRDJ[Ofc Code]=(TRIM(H$7)))*(CRDJ[Account Code]=(TRIM($D49))),CRDJ[Debit])))+(SUM(IF((GJ[Ofc Code]=(TRIM(H$7)))*(GJ[Account Code]=(TRIM($D49))),GJ[Debit]))))-((SUM(IF((CkDJ[Ofc Code]=(TRIM(H$7)))*(CkDJ[Account Code]=(TRIM($D49))),CkDJ[Credit])))+(SUM(IF((CsDJ[Ofc Code]=(TRIM(H$7)))*(CsDJ[Account Code]=(TRIM($D49))),CsDJ[Credit])))+(SUM(IF((CRDJ[Ofc Code]=(TRIM(H$7)))*(CRDJ[Account Code]=(TRIM($D49))),CRDJ[Credit])))+(SUM(IF((GJ[Ofc Code]=(TRIM(H$7)))*(GJ[Account Code]=(TRIM($D49))),GJ[Credit]))))</f>
        <v>0</v>
      </c>
      <c r="I49" s="211">
        <f t="array" ref="I49">((SUM(IF((CkDJ[Ofc Code]=(TRIM(I$7)))*(CkDJ[Account Code]=(TRIM($D49))),CkDJ[Debit])))+(SUM(IF((CsDJ[Ofc Code]=(TRIM(I$7)))*(CsDJ[Account Code]=(TRIM($D49))),CsDJ[Debit])))+(SUM(IF((CRDJ[Ofc Code]=(TRIM(I$7)))*(CRDJ[Account Code]=(TRIM($D49))),CRDJ[Debit])))+(SUM(IF((GJ[Ofc Code]=(TRIM(I$7)))*(GJ[Account Code]=(TRIM($D49))),GJ[Debit]))))-((SUM(IF((CkDJ[Ofc Code]=(TRIM(I$7)))*(CkDJ[Account Code]=(TRIM($D49))),CkDJ[Credit])))+(SUM(IF((CsDJ[Ofc Code]=(TRIM(I$7)))*(CsDJ[Account Code]=(TRIM($D49))),CsDJ[Credit])))+(SUM(IF((CRDJ[Ofc Code]=(TRIM(I$7)))*(CRDJ[Account Code]=(TRIM($D49))),CRDJ[Credit])))+(SUM(IF((GJ[Ofc Code]=(TRIM(I$7)))*(GJ[Account Code]=(TRIM($D49))),GJ[Credit]))))</f>
        <v>0</v>
      </c>
      <c r="J49" s="211">
        <f t="shared" si="8"/>
        <v>0</v>
      </c>
      <c r="K49" s="211">
        <f t="array" ref="K49">((SUM(IF((CkDJ[Ofc Code]=(TRIM(K$7)))*(CkDJ[Account Code]=(TRIM($D49))),CkDJ[Debit])))+(SUM(IF((CsDJ[Ofc Code]=(TRIM(K$7)))*(CsDJ[Account Code]=(TRIM($D49))),CsDJ[Debit])))+(SUM(IF((CRDJ[Ofc Code]=(TRIM(K$7)))*(CRDJ[Account Code]=(TRIM($D49))),CRDJ[Debit])))+(SUM(IF((GJ[Ofc Code]=(TRIM(K$7)))*(GJ[Account Code]=(TRIM($D49))),GJ[Debit]))))-((SUM(IF((CkDJ[Ofc Code]=(TRIM(K$7)))*(CkDJ[Account Code]=(TRIM($D49))),CkDJ[Credit])))+(SUM(IF((CsDJ[Ofc Code]=(TRIM(K$7)))*(CsDJ[Account Code]=(TRIM($D49))),CsDJ[Credit])))+(SUM(IF((CRDJ[Ofc Code]=(TRIM(K$7)))*(CRDJ[Account Code]=(TRIM($D49))),CRDJ[Credit])))+(SUM(IF((GJ[Ofc Code]=(TRIM(K$7)))*(GJ[Account Code]=(TRIM($D49))),GJ[Credit]))))</f>
        <v>0</v>
      </c>
      <c r="L49" s="211">
        <f t="array" ref="L49">((SUM(IF((CkDJ[Ofc Code]=(TRIM(L$7)))*(CkDJ[Account Code]=(TRIM($D49))),CkDJ[Debit])))+(SUM(IF((CsDJ[Ofc Code]=(TRIM(L$7)))*(CsDJ[Account Code]=(TRIM($D49))),CsDJ[Debit])))+(SUM(IF((CRDJ[Ofc Code]=(TRIM(L$7)))*(CRDJ[Account Code]=(TRIM($D49))),CRDJ[Debit])))+(SUM(IF((GJ[Ofc Code]=(TRIM(L$7)))*(GJ[Account Code]=(TRIM($D49))),GJ[Debit]))))-((SUM(IF((CkDJ[Ofc Code]=(TRIM(L$7)))*(CkDJ[Account Code]=(TRIM($D49))),CkDJ[Credit])))+(SUM(IF((CsDJ[Ofc Code]=(TRIM(L$7)))*(CsDJ[Account Code]=(TRIM($D49))),CsDJ[Credit])))+(SUM(IF((CRDJ[Ofc Code]=(TRIM(L$7)))*(CRDJ[Account Code]=(TRIM($D49))),CRDJ[Credit])))+(SUM(IF((GJ[Ofc Code]=(TRIM(L$7)))*(GJ[Account Code]=(TRIM($D49))),GJ[Credit]))))</f>
        <v>0</v>
      </c>
      <c r="M49" s="211">
        <f t="array" ref="M49">((SUM(IF((CkDJ[Ofc Code]=(TRIM(M$7)))*(CkDJ[Account Code]=(TRIM($D49))),CkDJ[Debit])))+(SUM(IF((CsDJ[Ofc Code]=(TRIM(M$7)))*(CsDJ[Account Code]=(TRIM($D49))),CsDJ[Debit])))+(SUM(IF((CRDJ[Ofc Code]=(TRIM(M$7)))*(CRDJ[Account Code]=(TRIM($D49))),CRDJ[Debit])))+(SUM(IF((GJ[Ofc Code]=(TRIM(M$7)))*(GJ[Account Code]=(TRIM($D49))),GJ[Debit]))))-((SUM(IF((CkDJ[Ofc Code]=(TRIM(M$7)))*(CkDJ[Account Code]=(TRIM($D49))),CkDJ[Credit])))+(SUM(IF((CsDJ[Ofc Code]=(TRIM(M$7)))*(CsDJ[Account Code]=(TRIM($D49))),CsDJ[Credit])))+(SUM(IF((CRDJ[Ofc Code]=(TRIM(M$7)))*(CRDJ[Account Code]=(TRIM($D49))),CRDJ[Credit])))+(SUM(IF((GJ[Ofc Code]=(TRIM(M$7)))*(GJ[Account Code]=(TRIM($D49))),GJ[Credit]))))</f>
        <v>0</v>
      </c>
      <c r="N49" s="211">
        <f t="array" ref="N49">((SUM(IF((CkDJ[Ofc Code]=(TRIM(N$7)))*(CkDJ[Account Code]=(TRIM($D49))),CkDJ[Debit])))+(SUM(IF((CsDJ[Ofc Code]=(TRIM(N$7)))*(CsDJ[Account Code]=(TRIM($D49))),CsDJ[Debit])))+(SUM(IF((CRDJ[Ofc Code]=(TRIM(N$7)))*(CRDJ[Account Code]=(TRIM($D49))),CRDJ[Debit])))+(SUM(IF((GJ[Ofc Code]=(TRIM(N$7)))*(GJ[Account Code]=(TRIM($D49))),GJ[Debit]))))-((SUM(IF((CkDJ[Ofc Code]=(TRIM(N$7)))*(CkDJ[Account Code]=(TRIM($D49))),CkDJ[Credit])))+(SUM(IF((CsDJ[Ofc Code]=(TRIM(N$7)))*(CsDJ[Account Code]=(TRIM($D49))),CsDJ[Credit])))+(SUM(IF((CRDJ[Ofc Code]=(TRIM(N$7)))*(CRDJ[Account Code]=(TRIM($D49))),CRDJ[Credit])))+(SUM(IF((GJ[Ofc Code]=(TRIM(N$7)))*(GJ[Account Code]=(TRIM($D49))),GJ[Credit]))))</f>
        <v>0</v>
      </c>
      <c r="O49" s="211">
        <f t="shared" si="9"/>
        <v>0</v>
      </c>
      <c r="P49" s="211">
        <f t="array" ref="P49">((SUM(IF((CkDJ[Ofc Code]=(TRIM(P$7)))*(CkDJ[Account Code]=(TRIM($D49))),CkDJ[Debit])))+(SUM(IF((CsDJ[Ofc Code]=(TRIM(P$7)))*(CsDJ[Account Code]=(TRIM($D49))),CsDJ[Debit])))+(SUM(IF((CRDJ[Ofc Code]=(TRIM(P$7)))*(CRDJ[Account Code]=(TRIM($D49))),CRDJ[Debit])))+(SUM(IF((GJ[Ofc Code]=(TRIM(P$7)))*(GJ[Account Code]=(TRIM($D49))),GJ[Debit]))))-((SUM(IF((CkDJ[Ofc Code]=(TRIM(P$7)))*(CkDJ[Account Code]=(TRIM($D49))),CkDJ[Credit])))+(SUM(IF((CsDJ[Ofc Code]=(TRIM(P$7)))*(CsDJ[Account Code]=(TRIM($D49))),CsDJ[Credit])))+(SUM(IF((CRDJ[Ofc Code]=(TRIM(P$7)))*(CRDJ[Account Code]=(TRIM($D49))),CRDJ[Credit])))+(SUM(IF((GJ[Ofc Code]=(TRIM(P$7)))*(GJ[Account Code]=(TRIM($D49))),GJ[Credit]))))</f>
        <v>0</v>
      </c>
      <c r="Q49" s="211">
        <f t="array" ref="Q49">((SUM(IF((CkDJ[Ofc Code]=(TRIM(Q$7)))*(CkDJ[Account Code]=(TRIM($D49))),CkDJ[Debit])))+(SUM(IF((CsDJ[Ofc Code]=(TRIM(Q$7)))*(CsDJ[Account Code]=(TRIM($D49))),CsDJ[Debit])))+(SUM(IF((CRDJ[Ofc Code]=(TRIM(Q$7)))*(CRDJ[Account Code]=(TRIM($D49))),CRDJ[Debit])))+(SUM(IF((GJ[Ofc Code]=(TRIM(Q$7)))*(GJ[Account Code]=(TRIM($D49))),GJ[Debit]))))-((SUM(IF((CkDJ[Ofc Code]=(TRIM(Q$7)))*(CkDJ[Account Code]=(TRIM($D49))),CkDJ[Credit])))+(SUM(IF((CsDJ[Ofc Code]=(TRIM(Q$7)))*(CsDJ[Account Code]=(TRIM($D49))),CsDJ[Credit])))+(SUM(IF((CRDJ[Ofc Code]=(TRIM(Q$7)))*(CRDJ[Account Code]=(TRIM($D49))),CRDJ[Credit])))+(SUM(IF((GJ[Ofc Code]=(TRIM(Q$7)))*(GJ[Account Code]=(TRIM($D49))),GJ[Credit]))))</f>
        <v>0</v>
      </c>
      <c r="R49" s="211">
        <f t="array" ref="R49">((SUM(IF((CkDJ[Ofc Code]=(TRIM(R$7)))*(CkDJ[Account Code]=(TRIM($D49))),CkDJ[Debit])))+(SUM(IF((CsDJ[Ofc Code]=(TRIM(R$7)))*(CsDJ[Account Code]=(TRIM($D49))),CsDJ[Debit])))+(SUM(IF((CRDJ[Ofc Code]=(TRIM(R$7)))*(CRDJ[Account Code]=(TRIM($D49))),CRDJ[Debit])))+(SUM(IF((GJ[Ofc Code]=(TRIM(R$7)))*(GJ[Account Code]=(TRIM($D49))),GJ[Debit]))))-((SUM(IF((CkDJ[Ofc Code]=(TRIM(R$7)))*(CkDJ[Account Code]=(TRIM($D49))),CkDJ[Credit])))+(SUM(IF((CsDJ[Ofc Code]=(TRIM(R$7)))*(CsDJ[Account Code]=(TRIM($D49))),CsDJ[Credit])))+(SUM(IF((CRDJ[Ofc Code]=(TRIM(R$7)))*(CRDJ[Account Code]=(TRIM($D49))),CRDJ[Credit])))+(SUM(IF((GJ[Ofc Code]=(TRIM(R$7)))*(GJ[Account Code]=(TRIM($D49))),GJ[Credit]))))</f>
        <v>0</v>
      </c>
      <c r="S49" s="211">
        <f t="array" ref="S49">((SUM(IF((CkDJ[Ofc Code]=(TRIM(S$7)))*(CkDJ[Account Code]=(TRIM($D49))),CkDJ[Debit])))+(SUM(IF((CsDJ[Ofc Code]=(TRIM(S$7)))*(CsDJ[Account Code]=(TRIM($D49))),CsDJ[Debit])))+(SUM(IF((CRDJ[Ofc Code]=(TRIM(S$7)))*(CRDJ[Account Code]=(TRIM($D49))),CRDJ[Debit])))+(SUM(IF((GJ[Ofc Code]=(TRIM(S$7)))*(GJ[Account Code]=(TRIM($D49))),GJ[Debit]))))-((SUM(IF((CkDJ[Ofc Code]=(TRIM(S$7)))*(CkDJ[Account Code]=(TRIM($D49))),CkDJ[Credit])))+(SUM(IF((CsDJ[Ofc Code]=(TRIM(S$7)))*(CsDJ[Account Code]=(TRIM($D49))),CsDJ[Credit])))+(SUM(IF((CRDJ[Ofc Code]=(TRIM(S$7)))*(CRDJ[Account Code]=(TRIM($D49))),CRDJ[Credit])))+(SUM(IF((GJ[Ofc Code]=(TRIM(S$7)))*(GJ[Account Code]=(TRIM($D49))),GJ[Credit]))))</f>
        <v>0</v>
      </c>
      <c r="T49" s="211">
        <f t="array" ref="T49">((SUM(IF((CkDJ[Ofc Code]=(TRIM(T$7)))*(CkDJ[Account Code]=(TRIM($D49))),CkDJ[Debit])))+(SUM(IF((CsDJ[Ofc Code]=(TRIM(T$7)))*(CsDJ[Account Code]=(TRIM($D49))),CsDJ[Debit])))+(SUM(IF((CRDJ[Ofc Code]=(TRIM(T$7)))*(CRDJ[Account Code]=(TRIM($D49))),CRDJ[Debit])))+(SUM(IF((GJ[Ofc Code]=(TRIM(T$7)))*(GJ[Account Code]=(TRIM($D49))),GJ[Debit]))))-((SUM(IF((CkDJ[Ofc Code]=(TRIM(T$7)))*(CkDJ[Account Code]=(TRIM($D49))),CkDJ[Credit])))+(SUM(IF((CsDJ[Ofc Code]=(TRIM(T$7)))*(CsDJ[Account Code]=(TRIM($D49))),CsDJ[Credit])))+(SUM(IF((CRDJ[Ofc Code]=(TRIM(T$7)))*(CRDJ[Account Code]=(TRIM($D49))),CRDJ[Credit])))+(SUM(IF((GJ[Ofc Code]=(TRIM(T$7)))*(GJ[Account Code]=(TRIM($D49))),GJ[Credit]))))</f>
        <v>0</v>
      </c>
      <c r="U49" s="211">
        <f t="shared" si="10"/>
        <v>0</v>
      </c>
      <c r="V49" s="211">
        <f t="shared" si="11"/>
        <v>0</v>
      </c>
    </row>
    <row r="50" spans="1:22" ht="15" x14ac:dyDescent="0.25">
      <c r="A50" s="212">
        <f t="shared" si="12"/>
        <v>13</v>
      </c>
      <c r="B50" s="214" t="s">
        <v>756</v>
      </c>
      <c r="C50" s="194" t="str">
        <f t="shared" si="7"/>
        <v>Honoraria</v>
      </c>
      <c r="D50" s="215">
        <v>720</v>
      </c>
      <c r="E50" s="211">
        <f t="array" ref="E50">((SUM(IF((CkDJ[Ofc Code]=(TRIM(E$7)))*(CkDJ[Account Code]=(TRIM($D50))),CkDJ[Debit])))+(SUM(IF((CsDJ[Ofc Code]=(TRIM(E$7)))*(CsDJ[Account Code]=(TRIM($D50))),CsDJ[Debit])))+(SUM(IF((CRDJ[Ofc Code]=(TRIM(E$7)))*(CRDJ[Account Code]=(TRIM($D50))),CRDJ[Debit])))+(SUM(IF((GJ[Ofc Code]=(TRIM(E$7)))*(GJ[Account Code]=(TRIM($D50))),GJ[Debit]))))-((SUM(IF((CkDJ[Ofc Code]=(TRIM(E$7)))*(CkDJ[Account Code]=(TRIM($D50))),CkDJ[Credit])))+(SUM(IF((CsDJ[Ofc Code]=(TRIM(E$7)))*(CsDJ[Account Code]=(TRIM($D50))),CsDJ[Credit])))+(SUM(IF((CRDJ[Ofc Code]=(TRIM(E$7)))*(CRDJ[Account Code]=(TRIM($D50))),CRDJ[Credit])))+(SUM(IF((GJ[Ofc Code]=(TRIM(E$7)))*(GJ[Account Code]=(TRIM($D50))),GJ[Credit]))))</f>
        <v>0</v>
      </c>
      <c r="F50" s="211">
        <f t="array" ref="F50">((SUM(IF((CkDJ[Ofc Code]=(TRIM(F$7)))*(CkDJ[Account Code]=(TRIM($D50))),CkDJ[Debit])))+(SUM(IF((CsDJ[Ofc Code]=(TRIM(F$7)))*(CsDJ[Account Code]=(TRIM($D50))),CsDJ[Debit])))+(SUM(IF((CRDJ[Ofc Code]=(TRIM(F$7)))*(CRDJ[Account Code]=(TRIM($D50))),CRDJ[Debit])))+(SUM(IF((GJ[Ofc Code]=(TRIM(F$7)))*(GJ[Account Code]=(TRIM($D50))),GJ[Debit]))))-((SUM(IF((CkDJ[Ofc Code]=(TRIM(F$7)))*(CkDJ[Account Code]=(TRIM($D50))),CkDJ[Credit])))+(SUM(IF((CsDJ[Ofc Code]=(TRIM(F$7)))*(CsDJ[Account Code]=(TRIM($D50))),CsDJ[Credit])))+(SUM(IF((CRDJ[Ofc Code]=(TRIM(F$7)))*(CRDJ[Account Code]=(TRIM($D50))),CRDJ[Credit])))+(SUM(IF((GJ[Ofc Code]=(TRIM(F$7)))*(GJ[Account Code]=(TRIM($D50))),GJ[Credit]))))</f>
        <v>0</v>
      </c>
      <c r="G50" s="211">
        <f t="array" ref="G50">((SUM(IF((CkDJ[Ofc Code]=(TRIM(G$7)))*(CkDJ[Account Code]=(TRIM($D50))),CkDJ[Debit])))+(SUM(IF((CsDJ[Ofc Code]=(TRIM(G$7)))*(CsDJ[Account Code]=(TRIM($D50))),CsDJ[Debit])))+(SUM(IF((CRDJ[Ofc Code]=(TRIM(G$7)))*(CRDJ[Account Code]=(TRIM($D50))),CRDJ[Debit])))+(SUM(IF((GJ[Ofc Code]=(TRIM(G$7)))*(GJ[Account Code]=(TRIM($D50))),GJ[Debit]))))-((SUM(IF((CkDJ[Ofc Code]=(TRIM(G$7)))*(CkDJ[Account Code]=(TRIM($D50))),CkDJ[Credit])))+(SUM(IF((CsDJ[Ofc Code]=(TRIM(G$7)))*(CsDJ[Account Code]=(TRIM($D50))),CsDJ[Credit])))+(SUM(IF((CRDJ[Ofc Code]=(TRIM(G$7)))*(CRDJ[Account Code]=(TRIM($D50))),CRDJ[Credit])))+(SUM(IF((GJ[Ofc Code]=(TRIM(G$7)))*(GJ[Account Code]=(TRIM($D50))),GJ[Credit]))))</f>
        <v>0</v>
      </c>
      <c r="H50" s="211">
        <f t="array" ref="H50">((SUM(IF((CkDJ[Ofc Code]=(TRIM(H$7)))*(CkDJ[Account Code]=(TRIM($D50))),CkDJ[Debit])))+(SUM(IF((CsDJ[Ofc Code]=(TRIM(H$7)))*(CsDJ[Account Code]=(TRIM($D50))),CsDJ[Debit])))+(SUM(IF((CRDJ[Ofc Code]=(TRIM(H$7)))*(CRDJ[Account Code]=(TRIM($D50))),CRDJ[Debit])))+(SUM(IF((GJ[Ofc Code]=(TRIM(H$7)))*(GJ[Account Code]=(TRIM($D50))),GJ[Debit]))))-((SUM(IF((CkDJ[Ofc Code]=(TRIM(H$7)))*(CkDJ[Account Code]=(TRIM($D50))),CkDJ[Credit])))+(SUM(IF((CsDJ[Ofc Code]=(TRIM(H$7)))*(CsDJ[Account Code]=(TRIM($D50))),CsDJ[Credit])))+(SUM(IF((CRDJ[Ofc Code]=(TRIM(H$7)))*(CRDJ[Account Code]=(TRIM($D50))),CRDJ[Credit])))+(SUM(IF((GJ[Ofc Code]=(TRIM(H$7)))*(GJ[Account Code]=(TRIM($D50))),GJ[Credit]))))</f>
        <v>0</v>
      </c>
      <c r="I50" s="211">
        <f t="array" ref="I50">((SUM(IF((CkDJ[Ofc Code]=(TRIM(I$7)))*(CkDJ[Account Code]=(TRIM($D50))),CkDJ[Debit])))+(SUM(IF((CsDJ[Ofc Code]=(TRIM(I$7)))*(CsDJ[Account Code]=(TRIM($D50))),CsDJ[Debit])))+(SUM(IF((CRDJ[Ofc Code]=(TRIM(I$7)))*(CRDJ[Account Code]=(TRIM($D50))),CRDJ[Debit])))+(SUM(IF((GJ[Ofc Code]=(TRIM(I$7)))*(GJ[Account Code]=(TRIM($D50))),GJ[Debit]))))-((SUM(IF((CkDJ[Ofc Code]=(TRIM(I$7)))*(CkDJ[Account Code]=(TRIM($D50))),CkDJ[Credit])))+(SUM(IF((CsDJ[Ofc Code]=(TRIM(I$7)))*(CsDJ[Account Code]=(TRIM($D50))),CsDJ[Credit])))+(SUM(IF((CRDJ[Ofc Code]=(TRIM(I$7)))*(CRDJ[Account Code]=(TRIM($D50))),CRDJ[Credit])))+(SUM(IF((GJ[Ofc Code]=(TRIM(I$7)))*(GJ[Account Code]=(TRIM($D50))),GJ[Credit]))))</f>
        <v>0</v>
      </c>
      <c r="J50" s="211">
        <f t="shared" si="8"/>
        <v>0</v>
      </c>
      <c r="K50" s="211">
        <f t="array" ref="K50">((SUM(IF((CkDJ[Ofc Code]=(TRIM(K$7)))*(CkDJ[Account Code]=(TRIM($D50))),CkDJ[Debit])))+(SUM(IF((CsDJ[Ofc Code]=(TRIM(K$7)))*(CsDJ[Account Code]=(TRIM($D50))),CsDJ[Debit])))+(SUM(IF((CRDJ[Ofc Code]=(TRIM(K$7)))*(CRDJ[Account Code]=(TRIM($D50))),CRDJ[Debit])))+(SUM(IF((GJ[Ofc Code]=(TRIM(K$7)))*(GJ[Account Code]=(TRIM($D50))),GJ[Debit]))))-((SUM(IF((CkDJ[Ofc Code]=(TRIM(K$7)))*(CkDJ[Account Code]=(TRIM($D50))),CkDJ[Credit])))+(SUM(IF((CsDJ[Ofc Code]=(TRIM(K$7)))*(CsDJ[Account Code]=(TRIM($D50))),CsDJ[Credit])))+(SUM(IF((CRDJ[Ofc Code]=(TRIM(K$7)))*(CRDJ[Account Code]=(TRIM($D50))),CRDJ[Credit])))+(SUM(IF((GJ[Ofc Code]=(TRIM(K$7)))*(GJ[Account Code]=(TRIM($D50))),GJ[Credit]))))</f>
        <v>0</v>
      </c>
      <c r="L50" s="211">
        <f t="array" ref="L50">((SUM(IF((CkDJ[Ofc Code]=(TRIM(L$7)))*(CkDJ[Account Code]=(TRIM($D50))),CkDJ[Debit])))+(SUM(IF((CsDJ[Ofc Code]=(TRIM(L$7)))*(CsDJ[Account Code]=(TRIM($D50))),CsDJ[Debit])))+(SUM(IF((CRDJ[Ofc Code]=(TRIM(L$7)))*(CRDJ[Account Code]=(TRIM($D50))),CRDJ[Debit])))+(SUM(IF((GJ[Ofc Code]=(TRIM(L$7)))*(GJ[Account Code]=(TRIM($D50))),GJ[Debit]))))-((SUM(IF((CkDJ[Ofc Code]=(TRIM(L$7)))*(CkDJ[Account Code]=(TRIM($D50))),CkDJ[Credit])))+(SUM(IF((CsDJ[Ofc Code]=(TRIM(L$7)))*(CsDJ[Account Code]=(TRIM($D50))),CsDJ[Credit])))+(SUM(IF((CRDJ[Ofc Code]=(TRIM(L$7)))*(CRDJ[Account Code]=(TRIM($D50))),CRDJ[Credit])))+(SUM(IF((GJ[Ofc Code]=(TRIM(L$7)))*(GJ[Account Code]=(TRIM($D50))),GJ[Credit]))))</f>
        <v>0</v>
      </c>
      <c r="M50" s="211">
        <f t="array" ref="M50">((SUM(IF((CkDJ[Ofc Code]=(TRIM(M$7)))*(CkDJ[Account Code]=(TRIM($D50))),CkDJ[Debit])))+(SUM(IF((CsDJ[Ofc Code]=(TRIM(M$7)))*(CsDJ[Account Code]=(TRIM($D50))),CsDJ[Debit])))+(SUM(IF((CRDJ[Ofc Code]=(TRIM(M$7)))*(CRDJ[Account Code]=(TRIM($D50))),CRDJ[Debit])))+(SUM(IF((GJ[Ofc Code]=(TRIM(M$7)))*(GJ[Account Code]=(TRIM($D50))),GJ[Debit]))))-((SUM(IF((CkDJ[Ofc Code]=(TRIM(M$7)))*(CkDJ[Account Code]=(TRIM($D50))),CkDJ[Credit])))+(SUM(IF((CsDJ[Ofc Code]=(TRIM(M$7)))*(CsDJ[Account Code]=(TRIM($D50))),CsDJ[Credit])))+(SUM(IF((CRDJ[Ofc Code]=(TRIM(M$7)))*(CRDJ[Account Code]=(TRIM($D50))),CRDJ[Credit])))+(SUM(IF((GJ[Ofc Code]=(TRIM(M$7)))*(GJ[Account Code]=(TRIM($D50))),GJ[Credit]))))</f>
        <v>0</v>
      </c>
      <c r="N50" s="211">
        <f t="array" ref="N50">((SUM(IF((CkDJ[Ofc Code]=(TRIM(N$7)))*(CkDJ[Account Code]=(TRIM($D50))),CkDJ[Debit])))+(SUM(IF((CsDJ[Ofc Code]=(TRIM(N$7)))*(CsDJ[Account Code]=(TRIM($D50))),CsDJ[Debit])))+(SUM(IF((CRDJ[Ofc Code]=(TRIM(N$7)))*(CRDJ[Account Code]=(TRIM($D50))),CRDJ[Debit])))+(SUM(IF((GJ[Ofc Code]=(TRIM(N$7)))*(GJ[Account Code]=(TRIM($D50))),GJ[Debit]))))-((SUM(IF((CkDJ[Ofc Code]=(TRIM(N$7)))*(CkDJ[Account Code]=(TRIM($D50))),CkDJ[Credit])))+(SUM(IF((CsDJ[Ofc Code]=(TRIM(N$7)))*(CsDJ[Account Code]=(TRIM($D50))),CsDJ[Credit])))+(SUM(IF((CRDJ[Ofc Code]=(TRIM(N$7)))*(CRDJ[Account Code]=(TRIM($D50))),CRDJ[Credit])))+(SUM(IF((GJ[Ofc Code]=(TRIM(N$7)))*(GJ[Account Code]=(TRIM($D50))),GJ[Credit]))))</f>
        <v>0</v>
      </c>
      <c r="O50" s="211">
        <f t="shared" si="9"/>
        <v>0</v>
      </c>
      <c r="P50" s="211">
        <f t="array" ref="P50">((SUM(IF((CkDJ[Ofc Code]=(TRIM(P$7)))*(CkDJ[Account Code]=(TRIM($D50))),CkDJ[Debit])))+(SUM(IF((CsDJ[Ofc Code]=(TRIM(P$7)))*(CsDJ[Account Code]=(TRIM($D50))),CsDJ[Debit])))+(SUM(IF((CRDJ[Ofc Code]=(TRIM(P$7)))*(CRDJ[Account Code]=(TRIM($D50))),CRDJ[Debit])))+(SUM(IF((GJ[Ofc Code]=(TRIM(P$7)))*(GJ[Account Code]=(TRIM($D50))),GJ[Debit]))))-((SUM(IF((CkDJ[Ofc Code]=(TRIM(P$7)))*(CkDJ[Account Code]=(TRIM($D50))),CkDJ[Credit])))+(SUM(IF((CsDJ[Ofc Code]=(TRIM(P$7)))*(CsDJ[Account Code]=(TRIM($D50))),CsDJ[Credit])))+(SUM(IF((CRDJ[Ofc Code]=(TRIM(P$7)))*(CRDJ[Account Code]=(TRIM($D50))),CRDJ[Credit])))+(SUM(IF((GJ[Ofc Code]=(TRIM(P$7)))*(GJ[Account Code]=(TRIM($D50))),GJ[Credit]))))</f>
        <v>0</v>
      </c>
      <c r="Q50" s="211">
        <f t="array" ref="Q50">((SUM(IF((CkDJ[Ofc Code]=(TRIM(Q$7)))*(CkDJ[Account Code]=(TRIM($D50))),CkDJ[Debit])))+(SUM(IF((CsDJ[Ofc Code]=(TRIM(Q$7)))*(CsDJ[Account Code]=(TRIM($D50))),CsDJ[Debit])))+(SUM(IF((CRDJ[Ofc Code]=(TRIM(Q$7)))*(CRDJ[Account Code]=(TRIM($D50))),CRDJ[Debit])))+(SUM(IF((GJ[Ofc Code]=(TRIM(Q$7)))*(GJ[Account Code]=(TRIM($D50))),GJ[Debit]))))-((SUM(IF((CkDJ[Ofc Code]=(TRIM(Q$7)))*(CkDJ[Account Code]=(TRIM($D50))),CkDJ[Credit])))+(SUM(IF((CsDJ[Ofc Code]=(TRIM(Q$7)))*(CsDJ[Account Code]=(TRIM($D50))),CsDJ[Credit])))+(SUM(IF((CRDJ[Ofc Code]=(TRIM(Q$7)))*(CRDJ[Account Code]=(TRIM($D50))),CRDJ[Credit])))+(SUM(IF((GJ[Ofc Code]=(TRIM(Q$7)))*(GJ[Account Code]=(TRIM($D50))),GJ[Credit]))))</f>
        <v>0</v>
      </c>
      <c r="R50" s="211">
        <f t="array" ref="R50">((SUM(IF((CkDJ[Ofc Code]=(TRIM(R$7)))*(CkDJ[Account Code]=(TRIM($D50))),CkDJ[Debit])))+(SUM(IF((CsDJ[Ofc Code]=(TRIM(R$7)))*(CsDJ[Account Code]=(TRIM($D50))),CsDJ[Debit])))+(SUM(IF((CRDJ[Ofc Code]=(TRIM(R$7)))*(CRDJ[Account Code]=(TRIM($D50))),CRDJ[Debit])))+(SUM(IF((GJ[Ofc Code]=(TRIM(R$7)))*(GJ[Account Code]=(TRIM($D50))),GJ[Debit]))))-((SUM(IF((CkDJ[Ofc Code]=(TRIM(R$7)))*(CkDJ[Account Code]=(TRIM($D50))),CkDJ[Credit])))+(SUM(IF((CsDJ[Ofc Code]=(TRIM(R$7)))*(CsDJ[Account Code]=(TRIM($D50))),CsDJ[Credit])))+(SUM(IF((CRDJ[Ofc Code]=(TRIM(R$7)))*(CRDJ[Account Code]=(TRIM($D50))),CRDJ[Credit])))+(SUM(IF((GJ[Ofc Code]=(TRIM(R$7)))*(GJ[Account Code]=(TRIM($D50))),GJ[Credit]))))</f>
        <v>0</v>
      </c>
      <c r="S50" s="211">
        <f t="array" ref="S50">((SUM(IF((CkDJ[Ofc Code]=(TRIM(S$7)))*(CkDJ[Account Code]=(TRIM($D50))),CkDJ[Debit])))+(SUM(IF((CsDJ[Ofc Code]=(TRIM(S$7)))*(CsDJ[Account Code]=(TRIM($D50))),CsDJ[Debit])))+(SUM(IF((CRDJ[Ofc Code]=(TRIM(S$7)))*(CRDJ[Account Code]=(TRIM($D50))),CRDJ[Debit])))+(SUM(IF((GJ[Ofc Code]=(TRIM(S$7)))*(GJ[Account Code]=(TRIM($D50))),GJ[Debit]))))-((SUM(IF((CkDJ[Ofc Code]=(TRIM(S$7)))*(CkDJ[Account Code]=(TRIM($D50))),CkDJ[Credit])))+(SUM(IF((CsDJ[Ofc Code]=(TRIM(S$7)))*(CsDJ[Account Code]=(TRIM($D50))),CsDJ[Credit])))+(SUM(IF((CRDJ[Ofc Code]=(TRIM(S$7)))*(CRDJ[Account Code]=(TRIM($D50))),CRDJ[Credit])))+(SUM(IF((GJ[Ofc Code]=(TRIM(S$7)))*(GJ[Account Code]=(TRIM($D50))),GJ[Credit]))))</f>
        <v>0</v>
      </c>
      <c r="T50" s="211">
        <f t="array" ref="T50">((SUM(IF((CkDJ[Ofc Code]=(TRIM(T$7)))*(CkDJ[Account Code]=(TRIM($D50))),CkDJ[Debit])))+(SUM(IF((CsDJ[Ofc Code]=(TRIM(T$7)))*(CsDJ[Account Code]=(TRIM($D50))),CsDJ[Debit])))+(SUM(IF((CRDJ[Ofc Code]=(TRIM(T$7)))*(CRDJ[Account Code]=(TRIM($D50))),CRDJ[Debit])))+(SUM(IF((GJ[Ofc Code]=(TRIM(T$7)))*(GJ[Account Code]=(TRIM($D50))),GJ[Debit]))))-((SUM(IF((CkDJ[Ofc Code]=(TRIM(T$7)))*(CkDJ[Account Code]=(TRIM($D50))),CkDJ[Credit])))+(SUM(IF((CsDJ[Ofc Code]=(TRIM(T$7)))*(CsDJ[Account Code]=(TRIM($D50))),CsDJ[Credit])))+(SUM(IF((CRDJ[Ofc Code]=(TRIM(T$7)))*(CRDJ[Account Code]=(TRIM($D50))),CRDJ[Credit])))+(SUM(IF((GJ[Ofc Code]=(TRIM(T$7)))*(GJ[Account Code]=(TRIM($D50))),GJ[Credit]))))</f>
        <v>0</v>
      </c>
      <c r="U50" s="211">
        <f t="shared" si="10"/>
        <v>0</v>
      </c>
      <c r="V50" s="211">
        <f t="shared" si="11"/>
        <v>0</v>
      </c>
    </row>
    <row r="51" spans="1:22" ht="15" x14ac:dyDescent="0.25">
      <c r="A51" s="212">
        <f t="shared" si="12"/>
        <v>14</v>
      </c>
      <c r="B51" s="214" t="s">
        <v>756</v>
      </c>
      <c r="C51" s="194" t="str">
        <f t="shared" si="7"/>
        <v>Longevity Pay</v>
      </c>
      <c r="D51" s="215">
        <v>722</v>
      </c>
      <c r="E51" s="211">
        <f t="array" ref="E51">((SUM(IF((CkDJ[Ofc Code]=(TRIM(E$7)))*(CkDJ[Account Code]=(TRIM($D51))),CkDJ[Debit])))+(SUM(IF((CsDJ[Ofc Code]=(TRIM(E$7)))*(CsDJ[Account Code]=(TRIM($D51))),CsDJ[Debit])))+(SUM(IF((CRDJ[Ofc Code]=(TRIM(E$7)))*(CRDJ[Account Code]=(TRIM($D51))),CRDJ[Debit])))+(SUM(IF((GJ[Ofc Code]=(TRIM(E$7)))*(GJ[Account Code]=(TRIM($D51))),GJ[Debit]))))-((SUM(IF((CkDJ[Ofc Code]=(TRIM(E$7)))*(CkDJ[Account Code]=(TRIM($D51))),CkDJ[Credit])))+(SUM(IF((CsDJ[Ofc Code]=(TRIM(E$7)))*(CsDJ[Account Code]=(TRIM($D51))),CsDJ[Credit])))+(SUM(IF((CRDJ[Ofc Code]=(TRIM(E$7)))*(CRDJ[Account Code]=(TRIM($D51))),CRDJ[Credit])))+(SUM(IF((GJ[Ofc Code]=(TRIM(E$7)))*(GJ[Account Code]=(TRIM($D51))),GJ[Credit]))))</f>
        <v>0</v>
      </c>
      <c r="F51" s="211">
        <f t="array" ref="F51">((SUM(IF((CkDJ[Ofc Code]=(TRIM(F$7)))*(CkDJ[Account Code]=(TRIM($D51))),CkDJ[Debit])))+(SUM(IF((CsDJ[Ofc Code]=(TRIM(F$7)))*(CsDJ[Account Code]=(TRIM($D51))),CsDJ[Debit])))+(SUM(IF((CRDJ[Ofc Code]=(TRIM(F$7)))*(CRDJ[Account Code]=(TRIM($D51))),CRDJ[Debit])))+(SUM(IF((GJ[Ofc Code]=(TRIM(F$7)))*(GJ[Account Code]=(TRIM($D51))),GJ[Debit]))))-((SUM(IF((CkDJ[Ofc Code]=(TRIM(F$7)))*(CkDJ[Account Code]=(TRIM($D51))),CkDJ[Credit])))+(SUM(IF((CsDJ[Ofc Code]=(TRIM(F$7)))*(CsDJ[Account Code]=(TRIM($D51))),CsDJ[Credit])))+(SUM(IF((CRDJ[Ofc Code]=(TRIM(F$7)))*(CRDJ[Account Code]=(TRIM($D51))),CRDJ[Credit])))+(SUM(IF((GJ[Ofc Code]=(TRIM(F$7)))*(GJ[Account Code]=(TRIM($D51))),GJ[Credit]))))</f>
        <v>0</v>
      </c>
      <c r="G51" s="211">
        <f t="array" ref="G51">((SUM(IF((CkDJ[Ofc Code]=(TRIM(G$7)))*(CkDJ[Account Code]=(TRIM($D51))),CkDJ[Debit])))+(SUM(IF((CsDJ[Ofc Code]=(TRIM(G$7)))*(CsDJ[Account Code]=(TRIM($D51))),CsDJ[Debit])))+(SUM(IF((CRDJ[Ofc Code]=(TRIM(G$7)))*(CRDJ[Account Code]=(TRIM($D51))),CRDJ[Debit])))+(SUM(IF((GJ[Ofc Code]=(TRIM(G$7)))*(GJ[Account Code]=(TRIM($D51))),GJ[Debit]))))-((SUM(IF((CkDJ[Ofc Code]=(TRIM(G$7)))*(CkDJ[Account Code]=(TRIM($D51))),CkDJ[Credit])))+(SUM(IF((CsDJ[Ofc Code]=(TRIM(G$7)))*(CsDJ[Account Code]=(TRIM($D51))),CsDJ[Credit])))+(SUM(IF((CRDJ[Ofc Code]=(TRIM(G$7)))*(CRDJ[Account Code]=(TRIM($D51))),CRDJ[Credit])))+(SUM(IF((GJ[Ofc Code]=(TRIM(G$7)))*(GJ[Account Code]=(TRIM($D51))),GJ[Credit]))))</f>
        <v>0</v>
      </c>
      <c r="H51" s="211">
        <f t="array" ref="H51">((SUM(IF((CkDJ[Ofc Code]=(TRIM(H$7)))*(CkDJ[Account Code]=(TRIM($D51))),CkDJ[Debit])))+(SUM(IF((CsDJ[Ofc Code]=(TRIM(H$7)))*(CsDJ[Account Code]=(TRIM($D51))),CsDJ[Debit])))+(SUM(IF((CRDJ[Ofc Code]=(TRIM(H$7)))*(CRDJ[Account Code]=(TRIM($D51))),CRDJ[Debit])))+(SUM(IF((GJ[Ofc Code]=(TRIM(H$7)))*(GJ[Account Code]=(TRIM($D51))),GJ[Debit]))))-((SUM(IF((CkDJ[Ofc Code]=(TRIM(H$7)))*(CkDJ[Account Code]=(TRIM($D51))),CkDJ[Credit])))+(SUM(IF((CsDJ[Ofc Code]=(TRIM(H$7)))*(CsDJ[Account Code]=(TRIM($D51))),CsDJ[Credit])))+(SUM(IF((CRDJ[Ofc Code]=(TRIM(H$7)))*(CRDJ[Account Code]=(TRIM($D51))),CRDJ[Credit])))+(SUM(IF((GJ[Ofc Code]=(TRIM(H$7)))*(GJ[Account Code]=(TRIM($D51))),GJ[Credit]))))</f>
        <v>0</v>
      </c>
      <c r="I51" s="211">
        <f t="array" ref="I51">((SUM(IF((CkDJ[Ofc Code]=(TRIM(I$7)))*(CkDJ[Account Code]=(TRIM($D51))),CkDJ[Debit])))+(SUM(IF((CsDJ[Ofc Code]=(TRIM(I$7)))*(CsDJ[Account Code]=(TRIM($D51))),CsDJ[Debit])))+(SUM(IF((CRDJ[Ofc Code]=(TRIM(I$7)))*(CRDJ[Account Code]=(TRIM($D51))),CRDJ[Debit])))+(SUM(IF((GJ[Ofc Code]=(TRIM(I$7)))*(GJ[Account Code]=(TRIM($D51))),GJ[Debit]))))-((SUM(IF((CkDJ[Ofc Code]=(TRIM(I$7)))*(CkDJ[Account Code]=(TRIM($D51))),CkDJ[Credit])))+(SUM(IF((CsDJ[Ofc Code]=(TRIM(I$7)))*(CsDJ[Account Code]=(TRIM($D51))),CsDJ[Credit])))+(SUM(IF((CRDJ[Ofc Code]=(TRIM(I$7)))*(CRDJ[Account Code]=(TRIM($D51))),CRDJ[Credit])))+(SUM(IF((GJ[Ofc Code]=(TRIM(I$7)))*(GJ[Account Code]=(TRIM($D51))),GJ[Credit]))))</f>
        <v>0</v>
      </c>
      <c r="J51" s="211">
        <f t="shared" si="8"/>
        <v>0</v>
      </c>
      <c r="K51" s="211">
        <f t="array" ref="K51">((SUM(IF((CkDJ[Ofc Code]=(TRIM(K$7)))*(CkDJ[Account Code]=(TRIM($D51))),CkDJ[Debit])))+(SUM(IF((CsDJ[Ofc Code]=(TRIM(K$7)))*(CsDJ[Account Code]=(TRIM($D51))),CsDJ[Debit])))+(SUM(IF((CRDJ[Ofc Code]=(TRIM(K$7)))*(CRDJ[Account Code]=(TRIM($D51))),CRDJ[Debit])))+(SUM(IF((GJ[Ofc Code]=(TRIM(K$7)))*(GJ[Account Code]=(TRIM($D51))),GJ[Debit]))))-((SUM(IF((CkDJ[Ofc Code]=(TRIM(K$7)))*(CkDJ[Account Code]=(TRIM($D51))),CkDJ[Credit])))+(SUM(IF((CsDJ[Ofc Code]=(TRIM(K$7)))*(CsDJ[Account Code]=(TRIM($D51))),CsDJ[Credit])))+(SUM(IF((CRDJ[Ofc Code]=(TRIM(K$7)))*(CRDJ[Account Code]=(TRIM($D51))),CRDJ[Credit])))+(SUM(IF((GJ[Ofc Code]=(TRIM(K$7)))*(GJ[Account Code]=(TRIM($D51))),GJ[Credit]))))</f>
        <v>0</v>
      </c>
      <c r="L51" s="211">
        <f t="array" ref="L51">((SUM(IF((CkDJ[Ofc Code]=(TRIM(L$7)))*(CkDJ[Account Code]=(TRIM($D51))),CkDJ[Debit])))+(SUM(IF((CsDJ[Ofc Code]=(TRIM(L$7)))*(CsDJ[Account Code]=(TRIM($D51))),CsDJ[Debit])))+(SUM(IF((CRDJ[Ofc Code]=(TRIM(L$7)))*(CRDJ[Account Code]=(TRIM($D51))),CRDJ[Debit])))+(SUM(IF((GJ[Ofc Code]=(TRIM(L$7)))*(GJ[Account Code]=(TRIM($D51))),GJ[Debit]))))-((SUM(IF((CkDJ[Ofc Code]=(TRIM(L$7)))*(CkDJ[Account Code]=(TRIM($D51))),CkDJ[Credit])))+(SUM(IF((CsDJ[Ofc Code]=(TRIM(L$7)))*(CsDJ[Account Code]=(TRIM($D51))),CsDJ[Credit])))+(SUM(IF((CRDJ[Ofc Code]=(TRIM(L$7)))*(CRDJ[Account Code]=(TRIM($D51))),CRDJ[Credit])))+(SUM(IF((GJ[Ofc Code]=(TRIM(L$7)))*(GJ[Account Code]=(TRIM($D51))),GJ[Credit]))))</f>
        <v>0</v>
      </c>
      <c r="M51" s="211">
        <f t="array" ref="M51">((SUM(IF((CkDJ[Ofc Code]=(TRIM(M$7)))*(CkDJ[Account Code]=(TRIM($D51))),CkDJ[Debit])))+(SUM(IF((CsDJ[Ofc Code]=(TRIM(M$7)))*(CsDJ[Account Code]=(TRIM($D51))),CsDJ[Debit])))+(SUM(IF((CRDJ[Ofc Code]=(TRIM(M$7)))*(CRDJ[Account Code]=(TRIM($D51))),CRDJ[Debit])))+(SUM(IF((GJ[Ofc Code]=(TRIM(M$7)))*(GJ[Account Code]=(TRIM($D51))),GJ[Debit]))))-((SUM(IF((CkDJ[Ofc Code]=(TRIM(M$7)))*(CkDJ[Account Code]=(TRIM($D51))),CkDJ[Credit])))+(SUM(IF((CsDJ[Ofc Code]=(TRIM(M$7)))*(CsDJ[Account Code]=(TRIM($D51))),CsDJ[Credit])))+(SUM(IF((CRDJ[Ofc Code]=(TRIM(M$7)))*(CRDJ[Account Code]=(TRIM($D51))),CRDJ[Credit])))+(SUM(IF((GJ[Ofc Code]=(TRIM(M$7)))*(GJ[Account Code]=(TRIM($D51))),GJ[Credit]))))</f>
        <v>0</v>
      </c>
      <c r="N51" s="211">
        <f t="array" ref="N51">((SUM(IF((CkDJ[Ofc Code]=(TRIM(N$7)))*(CkDJ[Account Code]=(TRIM($D51))),CkDJ[Debit])))+(SUM(IF((CsDJ[Ofc Code]=(TRIM(N$7)))*(CsDJ[Account Code]=(TRIM($D51))),CsDJ[Debit])))+(SUM(IF((CRDJ[Ofc Code]=(TRIM(N$7)))*(CRDJ[Account Code]=(TRIM($D51))),CRDJ[Debit])))+(SUM(IF((GJ[Ofc Code]=(TRIM(N$7)))*(GJ[Account Code]=(TRIM($D51))),GJ[Debit]))))-((SUM(IF((CkDJ[Ofc Code]=(TRIM(N$7)))*(CkDJ[Account Code]=(TRIM($D51))),CkDJ[Credit])))+(SUM(IF((CsDJ[Ofc Code]=(TRIM(N$7)))*(CsDJ[Account Code]=(TRIM($D51))),CsDJ[Credit])))+(SUM(IF((CRDJ[Ofc Code]=(TRIM(N$7)))*(CRDJ[Account Code]=(TRIM($D51))),CRDJ[Credit])))+(SUM(IF((GJ[Ofc Code]=(TRIM(N$7)))*(GJ[Account Code]=(TRIM($D51))),GJ[Credit]))))</f>
        <v>0</v>
      </c>
      <c r="O51" s="211">
        <f t="shared" si="9"/>
        <v>0</v>
      </c>
      <c r="P51" s="211">
        <f t="array" ref="P51">((SUM(IF((CkDJ[Ofc Code]=(TRIM(P$7)))*(CkDJ[Account Code]=(TRIM($D51))),CkDJ[Debit])))+(SUM(IF((CsDJ[Ofc Code]=(TRIM(P$7)))*(CsDJ[Account Code]=(TRIM($D51))),CsDJ[Debit])))+(SUM(IF((CRDJ[Ofc Code]=(TRIM(P$7)))*(CRDJ[Account Code]=(TRIM($D51))),CRDJ[Debit])))+(SUM(IF((GJ[Ofc Code]=(TRIM(P$7)))*(GJ[Account Code]=(TRIM($D51))),GJ[Debit]))))-((SUM(IF((CkDJ[Ofc Code]=(TRIM(P$7)))*(CkDJ[Account Code]=(TRIM($D51))),CkDJ[Credit])))+(SUM(IF((CsDJ[Ofc Code]=(TRIM(P$7)))*(CsDJ[Account Code]=(TRIM($D51))),CsDJ[Credit])))+(SUM(IF((CRDJ[Ofc Code]=(TRIM(P$7)))*(CRDJ[Account Code]=(TRIM($D51))),CRDJ[Credit])))+(SUM(IF((GJ[Ofc Code]=(TRIM(P$7)))*(GJ[Account Code]=(TRIM($D51))),GJ[Credit]))))</f>
        <v>0</v>
      </c>
      <c r="Q51" s="211">
        <f t="array" ref="Q51">((SUM(IF((CkDJ[Ofc Code]=(TRIM(Q$7)))*(CkDJ[Account Code]=(TRIM($D51))),CkDJ[Debit])))+(SUM(IF((CsDJ[Ofc Code]=(TRIM(Q$7)))*(CsDJ[Account Code]=(TRIM($D51))),CsDJ[Debit])))+(SUM(IF((CRDJ[Ofc Code]=(TRIM(Q$7)))*(CRDJ[Account Code]=(TRIM($D51))),CRDJ[Debit])))+(SUM(IF((GJ[Ofc Code]=(TRIM(Q$7)))*(GJ[Account Code]=(TRIM($D51))),GJ[Debit]))))-((SUM(IF((CkDJ[Ofc Code]=(TRIM(Q$7)))*(CkDJ[Account Code]=(TRIM($D51))),CkDJ[Credit])))+(SUM(IF((CsDJ[Ofc Code]=(TRIM(Q$7)))*(CsDJ[Account Code]=(TRIM($D51))),CsDJ[Credit])))+(SUM(IF((CRDJ[Ofc Code]=(TRIM(Q$7)))*(CRDJ[Account Code]=(TRIM($D51))),CRDJ[Credit])))+(SUM(IF((GJ[Ofc Code]=(TRIM(Q$7)))*(GJ[Account Code]=(TRIM($D51))),GJ[Credit]))))</f>
        <v>0</v>
      </c>
      <c r="R51" s="211">
        <f t="array" ref="R51">((SUM(IF((CkDJ[Ofc Code]=(TRIM(R$7)))*(CkDJ[Account Code]=(TRIM($D51))),CkDJ[Debit])))+(SUM(IF((CsDJ[Ofc Code]=(TRIM(R$7)))*(CsDJ[Account Code]=(TRIM($D51))),CsDJ[Debit])))+(SUM(IF((CRDJ[Ofc Code]=(TRIM(R$7)))*(CRDJ[Account Code]=(TRIM($D51))),CRDJ[Debit])))+(SUM(IF((GJ[Ofc Code]=(TRIM(R$7)))*(GJ[Account Code]=(TRIM($D51))),GJ[Debit]))))-((SUM(IF((CkDJ[Ofc Code]=(TRIM(R$7)))*(CkDJ[Account Code]=(TRIM($D51))),CkDJ[Credit])))+(SUM(IF((CsDJ[Ofc Code]=(TRIM(R$7)))*(CsDJ[Account Code]=(TRIM($D51))),CsDJ[Credit])))+(SUM(IF((CRDJ[Ofc Code]=(TRIM(R$7)))*(CRDJ[Account Code]=(TRIM($D51))),CRDJ[Credit])))+(SUM(IF((GJ[Ofc Code]=(TRIM(R$7)))*(GJ[Account Code]=(TRIM($D51))),GJ[Credit]))))</f>
        <v>0</v>
      </c>
      <c r="S51" s="211">
        <f t="array" ref="S51">((SUM(IF((CkDJ[Ofc Code]=(TRIM(S$7)))*(CkDJ[Account Code]=(TRIM($D51))),CkDJ[Debit])))+(SUM(IF((CsDJ[Ofc Code]=(TRIM(S$7)))*(CsDJ[Account Code]=(TRIM($D51))),CsDJ[Debit])))+(SUM(IF((CRDJ[Ofc Code]=(TRIM(S$7)))*(CRDJ[Account Code]=(TRIM($D51))),CRDJ[Debit])))+(SUM(IF((GJ[Ofc Code]=(TRIM(S$7)))*(GJ[Account Code]=(TRIM($D51))),GJ[Debit]))))-((SUM(IF((CkDJ[Ofc Code]=(TRIM(S$7)))*(CkDJ[Account Code]=(TRIM($D51))),CkDJ[Credit])))+(SUM(IF((CsDJ[Ofc Code]=(TRIM(S$7)))*(CsDJ[Account Code]=(TRIM($D51))),CsDJ[Credit])))+(SUM(IF((CRDJ[Ofc Code]=(TRIM(S$7)))*(CRDJ[Account Code]=(TRIM($D51))),CRDJ[Credit])))+(SUM(IF((GJ[Ofc Code]=(TRIM(S$7)))*(GJ[Account Code]=(TRIM($D51))),GJ[Credit]))))</f>
        <v>0</v>
      </c>
      <c r="T51" s="211">
        <f t="array" ref="T51">((SUM(IF((CkDJ[Ofc Code]=(TRIM(T$7)))*(CkDJ[Account Code]=(TRIM($D51))),CkDJ[Debit])))+(SUM(IF((CsDJ[Ofc Code]=(TRIM(T$7)))*(CsDJ[Account Code]=(TRIM($D51))),CsDJ[Debit])))+(SUM(IF((CRDJ[Ofc Code]=(TRIM(T$7)))*(CRDJ[Account Code]=(TRIM($D51))),CRDJ[Debit])))+(SUM(IF((GJ[Ofc Code]=(TRIM(T$7)))*(GJ[Account Code]=(TRIM($D51))),GJ[Debit]))))-((SUM(IF((CkDJ[Ofc Code]=(TRIM(T$7)))*(CkDJ[Account Code]=(TRIM($D51))),CkDJ[Credit])))+(SUM(IF((CsDJ[Ofc Code]=(TRIM(T$7)))*(CsDJ[Account Code]=(TRIM($D51))),CsDJ[Credit])))+(SUM(IF((CRDJ[Ofc Code]=(TRIM(T$7)))*(CRDJ[Account Code]=(TRIM($D51))),CRDJ[Credit])))+(SUM(IF((GJ[Ofc Code]=(TRIM(T$7)))*(GJ[Account Code]=(TRIM($D51))),GJ[Credit]))))</f>
        <v>0</v>
      </c>
      <c r="U51" s="211">
        <f t="shared" si="10"/>
        <v>0</v>
      </c>
      <c r="V51" s="211">
        <f t="shared" si="11"/>
        <v>0</v>
      </c>
    </row>
    <row r="52" spans="1:22" ht="15" x14ac:dyDescent="0.25">
      <c r="A52" s="212">
        <f t="shared" si="12"/>
        <v>15</v>
      </c>
      <c r="B52" s="214" t="s">
        <v>756</v>
      </c>
      <c r="C52" s="194" t="str">
        <f t="shared" si="7"/>
        <v>Overtime and Night Pay</v>
      </c>
      <c r="D52" s="215">
        <v>723</v>
      </c>
      <c r="E52" s="211">
        <f t="array" ref="E52">((SUM(IF((CkDJ[Ofc Code]=(TRIM(E$7)))*(CkDJ[Account Code]=(TRIM($D52))),CkDJ[Debit])))+(SUM(IF((CsDJ[Ofc Code]=(TRIM(E$7)))*(CsDJ[Account Code]=(TRIM($D52))),CsDJ[Debit])))+(SUM(IF((CRDJ[Ofc Code]=(TRIM(E$7)))*(CRDJ[Account Code]=(TRIM($D52))),CRDJ[Debit])))+(SUM(IF((GJ[Ofc Code]=(TRIM(E$7)))*(GJ[Account Code]=(TRIM($D52))),GJ[Debit]))))-((SUM(IF((CkDJ[Ofc Code]=(TRIM(E$7)))*(CkDJ[Account Code]=(TRIM($D52))),CkDJ[Credit])))+(SUM(IF((CsDJ[Ofc Code]=(TRIM(E$7)))*(CsDJ[Account Code]=(TRIM($D52))),CsDJ[Credit])))+(SUM(IF((CRDJ[Ofc Code]=(TRIM(E$7)))*(CRDJ[Account Code]=(TRIM($D52))),CRDJ[Credit])))+(SUM(IF((GJ[Ofc Code]=(TRIM(E$7)))*(GJ[Account Code]=(TRIM($D52))),GJ[Credit]))))</f>
        <v>0</v>
      </c>
      <c r="F52" s="211">
        <f t="array" ref="F52">((SUM(IF((CkDJ[Ofc Code]=(TRIM(F$7)))*(CkDJ[Account Code]=(TRIM($D52))),CkDJ[Debit])))+(SUM(IF((CsDJ[Ofc Code]=(TRIM(F$7)))*(CsDJ[Account Code]=(TRIM($D52))),CsDJ[Debit])))+(SUM(IF((CRDJ[Ofc Code]=(TRIM(F$7)))*(CRDJ[Account Code]=(TRIM($D52))),CRDJ[Debit])))+(SUM(IF((GJ[Ofc Code]=(TRIM(F$7)))*(GJ[Account Code]=(TRIM($D52))),GJ[Debit]))))-((SUM(IF((CkDJ[Ofc Code]=(TRIM(F$7)))*(CkDJ[Account Code]=(TRIM($D52))),CkDJ[Credit])))+(SUM(IF((CsDJ[Ofc Code]=(TRIM(F$7)))*(CsDJ[Account Code]=(TRIM($D52))),CsDJ[Credit])))+(SUM(IF((CRDJ[Ofc Code]=(TRIM(F$7)))*(CRDJ[Account Code]=(TRIM($D52))),CRDJ[Credit])))+(SUM(IF((GJ[Ofc Code]=(TRIM(F$7)))*(GJ[Account Code]=(TRIM($D52))),GJ[Credit]))))</f>
        <v>0</v>
      </c>
      <c r="G52" s="211">
        <f t="array" ref="G52">((SUM(IF((CkDJ[Ofc Code]=(TRIM(G$7)))*(CkDJ[Account Code]=(TRIM($D52))),CkDJ[Debit])))+(SUM(IF((CsDJ[Ofc Code]=(TRIM(G$7)))*(CsDJ[Account Code]=(TRIM($D52))),CsDJ[Debit])))+(SUM(IF((CRDJ[Ofc Code]=(TRIM(G$7)))*(CRDJ[Account Code]=(TRIM($D52))),CRDJ[Debit])))+(SUM(IF((GJ[Ofc Code]=(TRIM(G$7)))*(GJ[Account Code]=(TRIM($D52))),GJ[Debit]))))-((SUM(IF((CkDJ[Ofc Code]=(TRIM(G$7)))*(CkDJ[Account Code]=(TRIM($D52))),CkDJ[Credit])))+(SUM(IF((CsDJ[Ofc Code]=(TRIM(G$7)))*(CsDJ[Account Code]=(TRIM($D52))),CsDJ[Credit])))+(SUM(IF((CRDJ[Ofc Code]=(TRIM(G$7)))*(CRDJ[Account Code]=(TRIM($D52))),CRDJ[Credit])))+(SUM(IF((GJ[Ofc Code]=(TRIM(G$7)))*(GJ[Account Code]=(TRIM($D52))),GJ[Credit]))))</f>
        <v>0</v>
      </c>
      <c r="H52" s="211">
        <f t="array" ref="H52">((SUM(IF((CkDJ[Ofc Code]=(TRIM(H$7)))*(CkDJ[Account Code]=(TRIM($D52))),CkDJ[Debit])))+(SUM(IF((CsDJ[Ofc Code]=(TRIM(H$7)))*(CsDJ[Account Code]=(TRIM($D52))),CsDJ[Debit])))+(SUM(IF((CRDJ[Ofc Code]=(TRIM(H$7)))*(CRDJ[Account Code]=(TRIM($D52))),CRDJ[Debit])))+(SUM(IF((GJ[Ofc Code]=(TRIM(H$7)))*(GJ[Account Code]=(TRIM($D52))),GJ[Debit]))))-((SUM(IF((CkDJ[Ofc Code]=(TRIM(H$7)))*(CkDJ[Account Code]=(TRIM($D52))),CkDJ[Credit])))+(SUM(IF((CsDJ[Ofc Code]=(TRIM(H$7)))*(CsDJ[Account Code]=(TRIM($D52))),CsDJ[Credit])))+(SUM(IF((CRDJ[Ofc Code]=(TRIM(H$7)))*(CRDJ[Account Code]=(TRIM($D52))),CRDJ[Credit])))+(SUM(IF((GJ[Ofc Code]=(TRIM(H$7)))*(GJ[Account Code]=(TRIM($D52))),GJ[Credit]))))</f>
        <v>0</v>
      </c>
      <c r="I52" s="211">
        <f t="array" ref="I52">((SUM(IF((CkDJ[Ofc Code]=(TRIM(I$7)))*(CkDJ[Account Code]=(TRIM($D52))),CkDJ[Debit])))+(SUM(IF((CsDJ[Ofc Code]=(TRIM(I$7)))*(CsDJ[Account Code]=(TRIM($D52))),CsDJ[Debit])))+(SUM(IF((CRDJ[Ofc Code]=(TRIM(I$7)))*(CRDJ[Account Code]=(TRIM($D52))),CRDJ[Debit])))+(SUM(IF((GJ[Ofc Code]=(TRIM(I$7)))*(GJ[Account Code]=(TRIM($D52))),GJ[Debit]))))-((SUM(IF((CkDJ[Ofc Code]=(TRIM(I$7)))*(CkDJ[Account Code]=(TRIM($D52))),CkDJ[Credit])))+(SUM(IF((CsDJ[Ofc Code]=(TRIM(I$7)))*(CsDJ[Account Code]=(TRIM($D52))),CsDJ[Credit])))+(SUM(IF((CRDJ[Ofc Code]=(TRIM(I$7)))*(CRDJ[Account Code]=(TRIM($D52))),CRDJ[Credit])))+(SUM(IF((GJ[Ofc Code]=(TRIM(I$7)))*(GJ[Account Code]=(TRIM($D52))),GJ[Credit]))))</f>
        <v>0</v>
      </c>
      <c r="J52" s="211">
        <f t="shared" si="8"/>
        <v>0</v>
      </c>
      <c r="K52" s="211">
        <f t="array" ref="K52">((SUM(IF((CkDJ[Ofc Code]=(TRIM(K$7)))*(CkDJ[Account Code]=(TRIM($D52))),CkDJ[Debit])))+(SUM(IF((CsDJ[Ofc Code]=(TRIM(K$7)))*(CsDJ[Account Code]=(TRIM($D52))),CsDJ[Debit])))+(SUM(IF((CRDJ[Ofc Code]=(TRIM(K$7)))*(CRDJ[Account Code]=(TRIM($D52))),CRDJ[Debit])))+(SUM(IF((GJ[Ofc Code]=(TRIM(K$7)))*(GJ[Account Code]=(TRIM($D52))),GJ[Debit]))))-((SUM(IF((CkDJ[Ofc Code]=(TRIM(K$7)))*(CkDJ[Account Code]=(TRIM($D52))),CkDJ[Credit])))+(SUM(IF((CsDJ[Ofc Code]=(TRIM(K$7)))*(CsDJ[Account Code]=(TRIM($D52))),CsDJ[Credit])))+(SUM(IF((CRDJ[Ofc Code]=(TRIM(K$7)))*(CRDJ[Account Code]=(TRIM($D52))),CRDJ[Credit])))+(SUM(IF((GJ[Ofc Code]=(TRIM(K$7)))*(GJ[Account Code]=(TRIM($D52))),GJ[Credit]))))</f>
        <v>0</v>
      </c>
      <c r="L52" s="211">
        <f t="array" ref="L52">((SUM(IF((CkDJ[Ofc Code]=(TRIM(L$7)))*(CkDJ[Account Code]=(TRIM($D52))),CkDJ[Debit])))+(SUM(IF((CsDJ[Ofc Code]=(TRIM(L$7)))*(CsDJ[Account Code]=(TRIM($D52))),CsDJ[Debit])))+(SUM(IF((CRDJ[Ofc Code]=(TRIM(L$7)))*(CRDJ[Account Code]=(TRIM($D52))),CRDJ[Debit])))+(SUM(IF((GJ[Ofc Code]=(TRIM(L$7)))*(GJ[Account Code]=(TRIM($D52))),GJ[Debit]))))-((SUM(IF((CkDJ[Ofc Code]=(TRIM(L$7)))*(CkDJ[Account Code]=(TRIM($D52))),CkDJ[Credit])))+(SUM(IF((CsDJ[Ofc Code]=(TRIM(L$7)))*(CsDJ[Account Code]=(TRIM($D52))),CsDJ[Credit])))+(SUM(IF((CRDJ[Ofc Code]=(TRIM(L$7)))*(CRDJ[Account Code]=(TRIM($D52))),CRDJ[Credit])))+(SUM(IF((GJ[Ofc Code]=(TRIM(L$7)))*(GJ[Account Code]=(TRIM($D52))),GJ[Credit]))))</f>
        <v>0</v>
      </c>
      <c r="M52" s="211">
        <f t="array" ref="M52">((SUM(IF((CkDJ[Ofc Code]=(TRIM(M$7)))*(CkDJ[Account Code]=(TRIM($D52))),CkDJ[Debit])))+(SUM(IF((CsDJ[Ofc Code]=(TRIM(M$7)))*(CsDJ[Account Code]=(TRIM($D52))),CsDJ[Debit])))+(SUM(IF((CRDJ[Ofc Code]=(TRIM(M$7)))*(CRDJ[Account Code]=(TRIM($D52))),CRDJ[Debit])))+(SUM(IF((GJ[Ofc Code]=(TRIM(M$7)))*(GJ[Account Code]=(TRIM($D52))),GJ[Debit]))))-((SUM(IF((CkDJ[Ofc Code]=(TRIM(M$7)))*(CkDJ[Account Code]=(TRIM($D52))),CkDJ[Credit])))+(SUM(IF((CsDJ[Ofc Code]=(TRIM(M$7)))*(CsDJ[Account Code]=(TRIM($D52))),CsDJ[Credit])))+(SUM(IF((CRDJ[Ofc Code]=(TRIM(M$7)))*(CRDJ[Account Code]=(TRIM($D52))),CRDJ[Credit])))+(SUM(IF((GJ[Ofc Code]=(TRIM(M$7)))*(GJ[Account Code]=(TRIM($D52))),GJ[Credit]))))</f>
        <v>0</v>
      </c>
      <c r="N52" s="211">
        <f t="array" ref="N52">((SUM(IF((CkDJ[Ofc Code]=(TRIM(N$7)))*(CkDJ[Account Code]=(TRIM($D52))),CkDJ[Debit])))+(SUM(IF((CsDJ[Ofc Code]=(TRIM(N$7)))*(CsDJ[Account Code]=(TRIM($D52))),CsDJ[Debit])))+(SUM(IF((CRDJ[Ofc Code]=(TRIM(N$7)))*(CRDJ[Account Code]=(TRIM($D52))),CRDJ[Debit])))+(SUM(IF((GJ[Ofc Code]=(TRIM(N$7)))*(GJ[Account Code]=(TRIM($D52))),GJ[Debit]))))-((SUM(IF((CkDJ[Ofc Code]=(TRIM(N$7)))*(CkDJ[Account Code]=(TRIM($D52))),CkDJ[Credit])))+(SUM(IF((CsDJ[Ofc Code]=(TRIM(N$7)))*(CsDJ[Account Code]=(TRIM($D52))),CsDJ[Credit])))+(SUM(IF((CRDJ[Ofc Code]=(TRIM(N$7)))*(CRDJ[Account Code]=(TRIM($D52))),CRDJ[Credit])))+(SUM(IF((GJ[Ofc Code]=(TRIM(N$7)))*(GJ[Account Code]=(TRIM($D52))),GJ[Credit]))))</f>
        <v>0</v>
      </c>
      <c r="O52" s="211">
        <f t="shared" si="9"/>
        <v>0</v>
      </c>
      <c r="P52" s="211">
        <f t="array" ref="P52">((SUM(IF((CkDJ[Ofc Code]=(TRIM(P$7)))*(CkDJ[Account Code]=(TRIM($D52))),CkDJ[Debit])))+(SUM(IF((CsDJ[Ofc Code]=(TRIM(P$7)))*(CsDJ[Account Code]=(TRIM($D52))),CsDJ[Debit])))+(SUM(IF((CRDJ[Ofc Code]=(TRIM(P$7)))*(CRDJ[Account Code]=(TRIM($D52))),CRDJ[Debit])))+(SUM(IF((GJ[Ofc Code]=(TRIM(P$7)))*(GJ[Account Code]=(TRIM($D52))),GJ[Debit]))))-((SUM(IF((CkDJ[Ofc Code]=(TRIM(P$7)))*(CkDJ[Account Code]=(TRIM($D52))),CkDJ[Credit])))+(SUM(IF((CsDJ[Ofc Code]=(TRIM(P$7)))*(CsDJ[Account Code]=(TRIM($D52))),CsDJ[Credit])))+(SUM(IF((CRDJ[Ofc Code]=(TRIM(P$7)))*(CRDJ[Account Code]=(TRIM($D52))),CRDJ[Credit])))+(SUM(IF((GJ[Ofc Code]=(TRIM(P$7)))*(GJ[Account Code]=(TRIM($D52))),GJ[Credit]))))</f>
        <v>0</v>
      </c>
      <c r="Q52" s="211">
        <f t="array" ref="Q52">((SUM(IF((CkDJ[Ofc Code]=(TRIM(Q$7)))*(CkDJ[Account Code]=(TRIM($D52))),CkDJ[Debit])))+(SUM(IF((CsDJ[Ofc Code]=(TRIM(Q$7)))*(CsDJ[Account Code]=(TRIM($D52))),CsDJ[Debit])))+(SUM(IF((CRDJ[Ofc Code]=(TRIM(Q$7)))*(CRDJ[Account Code]=(TRIM($D52))),CRDJ[Debit])))+(SUM(IF((GJ[Ofc Code]=(TRIM(Q$7)))*(GJ[Account Code]=(TRIM($D52))),GJ[Debit]))))-((SUM(IF((CkDJ[Ofc Code]=(TRIM(Q$7)))*(CkDJ[Account Code]=(TRIM($D52))),CkDJ[Credit])))+(SUM(IF((CsDJ[Ofc Code]=(TRIM(Q$7)))*(CsDJ[Account Code]=(TRIM($D52))),CsDJ[Credit])))+(SUM(IF((CRDJ[Ofc Code]=(TRIM(Q$7)))*(CRDJ[Account Code]=(TRIM($D52))),CRDJ[Credit])))+(SUM(IF((GJ[Ofc Code]=(TRIM(Q$7)))*(GJ[Account Code]=(TRIM($D52))),GJ[Credit]))))</f>
        <v>0</v>
      </c>
      <c r="R52" s="211">
        <f t="array" ref="R52">((SUM(IF((CkDJ[Ofc Code]=(TRIM(R$7)))*(CkDJ[Account Code]=(TRIM($D52))),CkDJ[Debit])))+(SUM(IF((CsDJ[Ofc Code]=(TRIM(R$7)))*(CsDJ[Account Code]=(TRIM($D52))),CsDJ[Debit])))+(SUM(IF((CRDJ[Ofc Code]=(TRIM(R$7)))*(CRDJ[Account Code]=(TRIM($D52))),CRDJ[Debit])))+(SUM(IF((GJ[Ofc Code]=(TRIM(R$7)))*(GJ[Account Code]=(TRIM($D52))),GJ[Debit]))))-((SUM(IF((CkDJ[Ofc Code]=(TRIM(R$7)))*(CkDJ[Account Code]=(TRIM($D52))),CkDJ[Credit])))+(SUM(IF((CsDJ[Ofc Code]=(TRIM(R$7)))*(CsDJ[Account Code]=(TRIM($D52))),CsDJ[Credit])))+(SUM(IF((CRDJ[Ofc Code]=(TRIM(R$7)))*(CRDJ[Account Code]=(TRIM($D52))),CRDJ[Credit])))+(SUM(IF((GJ[Ofc Code]=(TRIM(R$7)))*(GJ[Account Code]=(TRIM($D52))),GJ[Credit]))))</f>
        <v>0</v>
      </c>
      <c r="S52" s="211">
        <f t="array" ref="S52">((SUM(IF((CkDJ[Ofc Code]=(TRIM(S$7)))*(CkDJ[Account Code]=(TRIM($D52))),CkDJ[Debit])))+(SUM(IF((CsDJ[Ofc Code]=(TRIM(S$7)))*(CsDJ[Account Code]=(TRIM($D52))),CsDJ[Debit])))+(SUM(IF((CRDJ[Ofc Code]=(TRIM(S$7)))*(CRDJ[Account Code]=(TRIM($D52))),CRDJ[Debit])))+(SUM(IF((GJ[Ofc Code]=(TRIM(S$7)))*(GJ[Account Code]=(TRIM($D52))),GJ[Debit]))))-((SUM(IF((CkDJ[Ofc Code]=(TRIM(S$7)))*(CkDJ[Account Code]=(TRIM($D52))),CkDJ[Credit])))+(SUM(IF((CsDJ[Ofc Code]=(TRIM(S$7)))*(CsDJ[Account Code]=(TRIM($D52))),CsDJ[Credit])))+(SUM(IF((CRDJ[Ofc Code]=(TRIM(S$7)))*(CRDJ[Account Code]=(TRIM($D52))),CRDJ[Credit])))+(SUM(IF((GJ[Ofc Code]=(TRIM(S$7)))*(GJ[Account Code]=(TRIM($D52))),GJ[Credit]))))</f>
        <v>0</v>
      </c>
      <c r="T52" s="211">
        <f t="array" ref="T52">((SUM(IF((CkDJ[Ofc Code]=(TRIM(T$7)))*(CkDJ[Account Code]=(TRIM($D52))),CkDJ[Debit])))+(SUM(IF((CsDJ[Ofc Code]=(TRIM(T$7)))*(CsDJ[Account Code]=(TRIM($D52))),CsDJ[Debit])))+(SUM(IF((CRDJ[Ofc Code]=(TRIM(T$7)))*(CRDJ[Account Code]=(TRIM($D52))),CRDJ[Debit])))+(SUM(IF((GJ[Ofc Code]=(TRIM(T$7)))*(GJ[Account Code]=(TRIM($D52))),GJ[Debit]))))-((SUM(IF((CkDJ[Ofc Code]=(TRIM(T$7)))*(CkDJ[Account Code]=(TRIM($D52))),CkDJ[Credit])))+(SUM(IF((CsDJ[Ofc Code]=(TRIM(T$7)))*(CsDJ[Account Code]=(TRIM($D52))),CsDJ[Credit])))+(SUM(IF((CRDJ[Ofc Code]=(TRIM(T$7)))*(CRDJ[Account Code]=(TRIM($D52))),CRDJ[Credit])))+(SUM(IF((GJ[Ofc Code]=(TRIM(T$7)))*(GJ[Account Code]=(TRIM($D52))),GJ[Credit]))))</f>
        <v>0</v>
      </c>
      <c r="U52" s="211">
        <f t="shared" si="10"/>
        <v>0</v>
      </c>
      <c r="V52" s="211">
        <f t="shared" si="11"/>
        <v>0</v>
      </c>
    </row>
    <row r="53" spans="1:22" ht="15" x14ac:dyDescent="0.25">
      <c r="A53" s="212">
        <f t="shared" si="12"/>
        <v>16</v>
      </c>
      <c r="B53" s="214" t="s">
        <v>756</v>
      </c>
      <c r="C53" s="194" t="str">
        <f t="shared" si="7"/>
        <v>Cash Gift</v>
      </c>
      <c r="D53" s="215">
        <v>724</v>
      </c>
      <c r="E53" s="211">
        <f t="array" ref="E53">((SUM(IF((CkDJ[Ofc Code]=(TRIM(E$7)))*(CkDJ[Account Code]=(TRIM($D53))),CkDJ[Debit])))+(SUM(IF((CsDJ[Ofc Code]=(TRIM(E$7)))*(CsDJ[Account Code]=(TRIM($D53))),CsDJ[Debit])))+(SUM(IF((CRDJ[Ofc Code]=(TRIM(E$7)))*(CRDJ[Account Code]=(TRIM($D53))),CRDJ[Debit])))+(SUM(IF((GJ[Ofc Code]=(TRIM(E$7)))*(GJ[Account Code]=(TRIM($D53))),GJ[Debit]))))-((SUM(IF((CkDJ[Ofc Code]=(TRIM(E$7)))*(CkDJ[Account Code]=(TRIM($D53))),CkDJ[Credit])))+(SUM(IF((CsDJ[Ofc Code]=(TRIM(E$7)))*(CsDJ[Account Code]=(TRIM($D53))),CsDJ[Credit])))+(SUM(IF((CRDJ[Ofc Code]=(TRIM(E$7)))*(CRDJ[Account Code]=(TRIM($D53))),CRDJ[Credit])))+(SUM(IF((GJ[Ofc Code]=(TRIM(E$7)))*(GJ[Account Code]=(TRIM($D53))),GJ[Credit]))))</f>
        <v>0</v>
      </c>
      <c r="F53" s="211">
        <f t="array" ref="F53">((SUM(IF((CkDJ[Ofc Code]=(TRIM(F$7)))*(CkDJ[Account Code]=(TRIM($D53))),CkDJ[Debit])))+(SUM(IF((CsDJ[Ofc Code]=(TRIM(F$7)))*(CsDJ[Account Code]=(TRIM($D53))),CsDJ[Debit])))+(SUM(IF((CRDJ[Ofc Code]=(TRIM(F$7)))*(CRDJ[Account Code]=(TRIM($D53))),CRDJ[Debit])))+(SUM(IF((GJ[Ofc Code]=(TRIM(F$7)))*(GJ[Account Code]=(TRIM($D53))),GJ[Debit]))))-((SUM(IF((CkDJ[Ofc Code]=(TRIM(F$7)))*(CkDJ[Account Code]=(TRIM($D53))),CkDJ[Credit])))+(SUM(IF((CsDJ[Ofc Code]=(TRIM(F$7)))*(CsDJ[Account Code]=(TRIM($D53))),CsDJ[Credit])))+(SUM(IF((CRDJ[Ofc Code]=(TRIM(F$7)))*(CRDJ[Account Code]=(TRIM($D53))),CRDJ[Credit])))+(SUM(IF((GJ[Ofc Code]=(TRIM(F$7)))*(GJ[Account Code]=(TRIM($D53))),GJ[Credit]))))</f>
        <v>0</v>
      </c>
      <c r="G53" s="211">
        <f t="array" ref="G53">((SUM(IF((CkDJ[Ofc Code]=(TRIM(G$7)))*(CkDJ[Account Code]=(TRIM($D53))),CkDJ[Debit])))+(SUM(IF((CsDJ[Ofc Code]=(TRIM(G$7)))*(CsDJ[Account Code]=(TRIM($D53))),CsDJ[Debit])))+(SUM(IF((CRDJ[Ofc Code]=(TRIM(G$7)))*(CRDJ[Account Code]=(TRIM($D53))),CRDJ[Debit])))+(SUM(IF((GJ[Ofc Code]=(TRIM(G$7)))*(GJ[Account Code]=(TRIM($D53))),GJ[Debit]))))-((SUM(IF((CkDJ[Ofc Code]=(TRIM(G$7)))*(CkDJ[Account Code]=(TRIM($D53))),CkDJ[Credit])))+(SUM(IF((CsDJ[Ofc Code]=(TRIM(G$7)))*(CsDJ[Account Code]=(TRIM($D53))),CsDJ[Credit])))+(SUM(IF((CRDJ[Ofc Code]=(TRIM(G$7)))*(CRDJ[Account Code]=(TRIM($D53))),CRDJ[Credit])))+(SUM(IF((GJ[Ofc Code]=(TRIM(G$7)))*(GJ[Account Code]=(TRIM($D53))),GJ[Credit]))))</f>
        <v>0</v>
      </c>
      <c r="H53" s="211">
        <f t="array" ref="H53">((SUM(IF((CkDJ[Ofc Code]=(TRIM(H$7)))*(CkDJ[Account Code]=(TRIM($D53))),CkDJ[Debit])))+(SUM(IF((CsDJ[Ofc Code]=(TRIM(H$7)))*(CsDJ[Account Code]=(TRIM($D53))),CsDJ[Debit])))+(SUM(IF((CRDJ[Ofc Code]=(TRIM(H$7)))*(CRDJ[Account Code]=(TRIM($D53))),CRDJ[Debit])))+(SUM(IF((GJ[Ofc Code]=(TRIM(H$7)))*(GJ[Account Code]=(TRIM($D53))),GJ[Debit]))))-((SUM(IF((CkDJ[Ofc Code]=(TRIM(H$7)))*(CkDJ[Account Code]=(TRIM($D53))),CkDJ[Credit])))+(SUM(IF((CsDJ[Ofc Code]=(TRIM(H$7)))*(CsDJ[Account Code]=(TRIM($D53))),CsDJ[Credit])))+(SUM(IF((CRDJ[Ofc Code]=(TRIM(H$7)))*(CRDJ[Account Code]=(TRIM($D53))),CRDJ[Credit])))+(SUM(IF((GJ[Ofc Code]=(TRIM(H$7)))*(GJ[Account Code]=(TRIM($D53))),GJ[Credit]))))</f>
        <v>0</v>
      </c>
      <c r="I53" s="211">
        <f t="array" ref="I53">((SUM(IF((CkDJ[Ofc Code]=(TRIM(I$7)))*(CkDJ[Account Code]=(TRIM($D53))),CkDJ[Debit])))+(SUM(IF((CsDJ[Ofc Code]=(TRIM(I$7)))*(CsDJ[Account Code]=(TRIM($D53))),CsDJ[Debit])))+(SUM(IF((CRDJ[Ofc Code]=(TRIM(I$7)))*(CRDJ[Account Code]=(TRIM($D53))),CRDJ[Debit])))+(SUM(IF((GJ[Ofc Code]=(TRIM(I$7)))*(GJ[Account Code]=(TRIM($D53))),GJ[Debit]))))-((SUM(IF((CkDJ[Ofc Code]=(TRIM(I$7)))*(CkDJ[Account Code]=(TRIM($D53))),CkDJ[Credit])))+(SUM(IF((CsDJ[Ofc Code]=(TRIM(I$7)))*(CsDJ[Account Code]=(TRIM($D53))),CsDJ[Credit])))+(SUM(IF((CRDJ[Ofc Code]=(TRIM(I$7)))*(CRDJ[Account Code]=(TRIM($D53))),CRDJ[Credit])))+(SUM(IF((GJ[Ofc Code]=(TRIM(I$7)))*(GJ[Account Code]=(TRIM($D53))),GJ[Credit]))))</f>
        <v>0</v>
      </c>
      <c r="J53" s="211">
        <f t="shared" si="8"/>
        <v>0</v>
      </c>
      <c r="K53" s="211">
        <f t="array" ref="K53">((SUM(IF((CkDJ[Ofc Code]=(TRIM(K$7)))*(CkDJ[Account Code]=(TRIM($D53))),CkDJ[Debit])))+(SUM(IF((CsDJ[Ofc Code]=(TRIM(K$7)))*(CsDJ[Account Code]=(TRIM($D53))),CsDJ[Debit])))+(SUM(IF((CRDJ[Ofc Code]=(TRIM(K$7)))*(CRDJ[Account Code]=(TRIM($D53))),CRDJ[Debit])))+(SUM(IF((GJ[Ofc Code]=(TRIM(K$7)))*(GJ[Account Code]=(TRIM($D53))),GJ[Debit]))))-((SUM(IF((CkDJ[Ofc Code]=(TRIM(K$7)))*(CkDJ[Account Code]=(TRIM($D53))),CkDJ[Credit])))+(SUM(IF((CsDJ[Ofc Code]=(TRIM(K$7)))*(CsDJ[Account Code]=(TRIM($D53))),CsDJ[Credit])))+(SUM(IF((CRDJ[Ofc Code]=(TRIM(K$7)))*(CRDJ[Account Code]=(TRIM($D53))),CRDJ[Credit])))+(SUM(IF((GJ[Ofc Code]=(TRIM(K$7)))*(GJ[Account Code]=(TRIM($D53))),GJ[Credit]))))</f>
        <v>0</v>
      </c>
      <c r="L53" s="211">
        <f t="array" ref="L53">((SUM(IF((CkDJ[Ofc Code]=(TRIM(L$7)))*(CkDJ[Account Code]=(TRIM($D53))),CkDJ[Debit])))+(SUM(IF((CsDJ[Ofc Code]=(TRIM(L$7)))*(CsDJ[Account Code]=(TRIM($D53))),CsDJ[Debit])))+(SUM(IF((CRDJ[Ofc Code]=(TRIM(L$7)))*(CRDJ[Account Code]=(TRIM($D53))),CRDJ[Debit])))+(SUM(IF((GJ[Ofc Code]=(TRIM(L$7)))*(GJ[Account Code]=(TRIM($D53))),GJ[Debit]))))-((SUM(IF((CkDJ[Ofc Code]=(TRIM(L$7)))*(CkDJ[Account Code]=(TRIM($D53))),CkDJ[Credit])))+(SUM(IF((CsDJ[Ofc Code]=(TRIM(L$7)))*(CsDJ[Account Code]=(TRIM($D53))),CsDJ[Credit])))+(SUM(IF((CRDJ[Ofc Code]=(TRIM(L$7)))*(CRDJ[Account Code]=(TRIM($D53))),CRDJ[Credit])))+(SUM(IF((GJ[Ofc Code]=(TRIM(L$7)))*(GJ[Account Code]=(TRIM($D53))),GJ[Credit]))))</f>
        <v>0</v>
      </c>
      <c r="M53" s="211">
        <f t="array" ref="M53">((SUM(IF((CkDJ[Ofc Code]=(TRIM(M$7)))*(CkDJ[Account Code]=(TRIM($D53))),CkDJ[Debit])))+(SUM(IF((CsDJ[Ofc Code]=(TRIM(M$7)))*(CsDJ[Account Code]=(TRIM($D53))),CsDJ[Debit])))+(SUM(IF((CRDJ[Ofc Code]=(TRIM(M$7)))*(CRDJ[Account Code]=(TRIM($D53))),CRDJ[Debit])))+(SUM(IF((GJ[Ofc Code]=(TRIM(M$7)))*(GJ[Account Code]=(TRIM($D53))),GJ[Debit]))))-((SUM(IF((CkDJ[Ofc Code]=(TRIM(M$7)))*(CkDJ[Account Code]=(TRIM($D53))),CkDJ[Credit])))+(SUM(IF((CsDJ[Ofc Code]=(TRIM(M$7)))*(CsDJ[Account Code]=(TRIM($D53))),CsDJ[Credit])))+(SUM(IF((CRDJ[Ofc Code]=(TRIM(M$7)))*(CRDJ[Account Code]=(TRIM($D53))),CRDJ[Credit])))+(SUM(IF((GJ[Ofc Code]=(TRIM(M$7)))*(GJ[Account Code]=(TRIM($D53))),GJ[Credit]))))</f>
        <v>0</v>
      </c>
      <c r="N53" s="211">
        <f t="array" ref="N53">((SUM(IF((CkDJ[Ofc Code]=(TRIM(N$7)))*(CkDJ[Account Code]=(TRIM($D53))),CkDJ[Debit])))+(SUM(IF((CsDJ[Ofc Code]=(TRIM(N$7)))*(CsDJ[Account Code]=(TRIM($D53))),CsDJ[Debit])))+(SUM(IF((CRDJ[Ofc Code]=(TRIM(N$7)))*(CRDJ[Account Code]=(TRIM($D53))),CRDJ[Debit])))+(SUM(IF((GJ[Ofc Code]=(TRIM(N$7)))*(GJ[Account Code]=(TRIM($D53))),GJ[Debit]))))-((SUM(IF((CkDJ[Ofc Code]=(TRIM(N$7)))*(CkDJ[Account Code]=(TRIM($D53))),CkDJ[Credit])))+(SUM(IF((CsDJ[Ofc Code]=(TRIM(N$7)))*(CsDJ[Account Code]=(TRIM($D53))),CsDJ[Credit])))+(SUM(IF((CRDJ[Ofc Code]=(TRIM(N$7)))*(CRDJ[Account Code]=(TRIM($D53))),CRDJ[Credit])))+(SUM(IF((GJ[Ofc Code]=(TRIM(N$7)))*(GJ[Account Code]=(TRIM($D53))),GJ[Credit]))))</f>
        <v>0</v>
      </c>
      <c r="O53" s="211">
        <f t="shared" si="9"/>
        <v>0</v>
      </c>
      <c r="P53" s="211">
        <f t="array" ref="P53">((SUM(IF((CkDJ[Ofc Code]=(TRIM(P$7)))*(CkDJ[Account Code]=(TRIM($D53))),CkDJ[Debit])))+(SUM(IF((CsDJ[Ofc Code]=(TRIM(P$7)))*(CsDJ[Account Code]=(TRIM($D53))),CsDJ[Debit])))+(SUM(IF((CRDJ[Ofc Code]=(TRIM(P$7)))*(CRDJ[Account Code]=(TRIM($D53))),CRDJ[Debit])))+(SUM(IF((GJ[Ofc Code]=(TRIM(P$7)))*(GJ[Account Code]=(TRIM($D53))),GJ[Debit]))))-((SUM(IF((CkDJ[Ofc Code]=(TRIM(P$7)))*(CkDJ[Account Code]=(TRIM($D53))),CkDJ[Credit])))+(SUM(IF((CsDJ[Ofc Code]=(TRIM(P$7)))*(CsDJ[Account Code]=(TRIM($D53))),CsDJ[Credit])))+(SUM(IF((CRDJ[Ofc Code]=(TRIM(P$7)))*(CRDJ[Account Code]=(TRIM($D53))),CRDJ[Credit])))+(SUM(IF((GJ[Ofc Code]=(TRIM(P$7)))*(GJ[Account Code]=(TRIM($D53))),GJ[Credit]))))</f>
        <v>0</v>
      </c>
      <c r="Q53" s="211">
        <f t="array" ref="Q53">((SUM(IF((CkDJ[Ofc Code]=(TRIM(Q$7)))*(CkDJ[Account Code]=(TRIM($D53))),CkDJ[Debit])))+(SUM(IF((CsDJ[Ofc Code]=(TRIM(Q$7)))*(CsDJ[Account Code]=(TRIM($D53))),CsDJ[Debit])))+(SUM(IF((CRDJ[Ofc Code]=(TRIM(Q$7)))*(CRDJ[Account Code]=(TRIM($D53))),CRDJ[Debit])))+(SUM(IF((GJ[Ofc Code]=(TRIM(Q$7)))*(GJ[Account Code]=(TRIM($D53))),GJ[Debit]))))-((SUM(IF((CkDJ[Ofc Code]=(TRIM(Q$7)))*(CkDJ[Account Code]=(TRIM($D53))),CkDJ[Credit])))+(SUM(IF((CsDJ[Ofc Code]=(TRIM(Q$7)))*(CsDJ[Account Code]=(TRIM($D53))),CsDJ[Credit])))+(SUM(IF((CRDJ[Ofc Code]=(TRIM(Q$7)))*(CRDJ[Account Code]=(TRIM($D53))),CRDJ[Credit])))+(SUM(IF((GJ[Ofc Code]=(TRIM(Q$7)))*(GJ[Account Code]=(TRIM($D53))),GJ[Credit]))))</f>
        <v>0</v>
      </c>
      <c r="R53" s="211">
        <f t="array" ref="R53">((SUM(IF((CkDJ[Ofc Code]=(TRIM(R$7)))*(CkDJ[Account Code]=(TRIM($D53))),CkDJ[Debit])))+(SUM(IF((CsDJ[Ofc Code]=(TRIM(R$7)))*(CsDJ[Account Code]=(TRIM($D53))),CsDJ[Debit])))+(SUM(IF((CRDJ[Ofc Code]=(TRIM(R$7)))*(CRDJ[Account Code]=(TRIM($D53))),CRDJ[Debit])))+(SUM(IF((GJ[Ofc Code]=(TRIM(R$7)))*(GJ[Account Code]=(TRIM($D53))),GJ[Debit]))))-((SUM(IF((CkDJ[Ofc Code]=(TRIM(R$7)))*(CkDJ[Account Code]=(TRIM($D53))),CkDJ[Credit])))+(SUM(IF((CsDJ[Ofc Code]=(TRIM(R$7)))*(CsDJ[Account Code]=(TRIM($D53))),CsDJ[Credit])))+(SUM(IF((CRDJ[Ofc Code]=(TRIM(R$7)))*(CRDJ[Account Code]=(TRIM($D53))),CRDJ[Credit])))+(SUM(IF((GJ[Ofc Code]=(TRIM(R$7)))*(GJ[Account Code]=(TRIM($D53))),GJ[Credit]))))</f>
        <v>0</v>
      </c>
      <c r="S53" s="211">
        <f t="array" ref="S53">((SUM(IF((CkDJ[Ofc Code]=(TRIM(S$7)))*(CkDJ[Account Code]=(TRIM($D53))),CkDJ[Debit])))+(SUM(IF((CsDJ[Ofc Code]=(TRIM(S$7)))*(CsDJ[Account Code]=(TRIM($D53))),CsDJ[Debit])))+(SUM(IF((CRDJ[Ofc Code]=(TRIM(S$7)))*(CRDJ[Account Code]=(TRIM($D53))),CRDJ[Debit])))+(SUM(IF((GJ[Ofc Code]=(TRIM(S$7)))*(GJ[Account Code]=(TRIM($D53))),GJ[Debit]))))-((SUM(IF((CkDJ[Ofc Code]=(TRIM(S$7)))*(CkDJ[Account Code]=(TRIM($D53))),CkDJ[Credit])))+(SUM(IF((CsDJ[Ofc Code]=(TRIM(S$7)))*(CsDJ[Account Code]=(TRIM($D53))),CsDJ[Credit])))+(SUM(IF((CRDJ[Ofc Code]=(TRIM(S$7)))*(CRDJ[Account Code]=(TRIM($D53))),CRDJ[Credit])))+(SUM(IF((GJ[Ofc Code]=(TRIM(S$7)))*(GJ[Account Code]=(TRIM($D53))),GJ[Credit]))))</f>
        <v>0</v>
      </c>
      <c r="T53" s="211">
        <f t="array" ref="T53">((SUM(IF((CkDJ[Ofc Code]=(TRIM(T$7)))*(CkDJ[Account Code]=(TRIM($D53))),CkDJ[Debit])))+(SUM(IF((CsDJ[Ofc Code]=(TRIM(T$7)))*(CsDJ[Account Code]=(TRIM($D53))),CsDJ[Debit])))+(SUM(IF((CRDJ[Ofc Code]=(TRIM(T$7)))*(CRDJ[Account Code]=(TRIM($D53))),CRDJ[Debit])))+(SUM(IF((GJ[Ofc Code]=(TRIM(T$7)))*(GJ[Account Code]=(TRIM($D53))),GJ[Debit]))))-((SUM(IF((CkDJ[Ofc Code]=(TRIM(T$7)))*(CkDJ[Account Code]=(TRIM($D53))),CkDJ[Credit])))+(SUM(IF((CsDJ[Ofc Code]=(TRIM(T$7)))*(CsDJ[Account Code]=(TRIM($D53))),CsDJ[Credit])))+(SUM(IF((CRDJ[Ofc Code]=(TRIM(T$7)))*(CRDJ[Account Code]=(TRIM($D53))),CRDJ[Credit])))+(SUM(IF((GJ[Ofc Code]=(TRIM(T$7)))*(GJ[Account Code]=(TRIM($D53))),GJ[Credit]))))</f>
        <v>0</v>
      </c>
      <c r="U53" s="211">
        <f t="shared" si="10"/>
        <v>0</v>
      </c>
      <c r="V53" s="211">
        <f t="shared" si="11"/>
        <v>0</v>
      </c>
    </row>
    <row r="54" spans="1:22" ht="15" x14ac:dyDescent="0.25">
      <c r="A54" s="212">
        <f t="shared" si="12"/>
        <v>17</v>
      </c>
      <c r="B54" s="214" t="s">
        <v>756</v>
      </c>
      <c r="C54" s="194" t="str">
        <f t="shared" si="7"/>
        <v>Mid-Year/Year End Bonus</v>
      </c>
      <c r="D54" s="215">
        <v>725</v>
      </c>
      <c r="E54" s="211">
        <f t="array" ref="E54">((SUM(IF((CkDJ[Ofc Code]=(TRIM(E$7)))*(CkDJ[Account Code]=(TRIM($D54))),CkDJ[Debit])))+(SUM(IF((CsDJ[Ofc Code]=(TRIM(E$7)))*(CsDJ[Account Code]=(TRIM($D54))),CsDJ[Debit])))+(SUM(IF((CRDJ[Ofc Code]=(TRIM(E$7)))*(CRDJ[Account Code]=(TRIM($D54))),CRDJ[Debit])))+(SUM(IF((GJ[Ofc Code]=(TRIM(E$7)))*(GJ[Account Code]=(TRIM($D54))),GJ[Debit]))))-((SUM(IF((CkDJ[Ofc Code]=(TRIM(E$7)))*(CkDJ[Account Code]=(TRIM($D54))),CkDJ[Credit])))+(SUM(IF((CsDJ[Ofc Code]=(TRIM(E$7)))*(CsDJ[Account Code]=(TRIM($D54))),CsDJ[Credit])))+(SUM(IF((CRDJ[Ofc Code]=(TRIM(E$7)))*(CRDJ[Account Code]=(TRIM($D54))),CRDJ[Credit])))+(SUM(IF((GJ[Ofc Code]=(TRIM(E$7)))*(GJ[Account Code]=(TRIM($D54))),GJ[Credit]))))</f>
        <v>0</v>
      </c>
      <c r="F54" s="211">
        <f t="array" ref="F54">((SUM(IF((CkDJ[Ofc Code]=(TRIM(F$7)))*(CkDJ[Account Code]=(TRIM($D54))),CkDJ[Debit])))+(SUM(IF((CsDJ[Ofc Code]=(TRIM(F$7)))*(CsDJ[Account Code]=(TRIM($D54))),CsDJ[Debit])))+(SUM(IF((CRDJ[Ofc Code]=(TRIM(F$7)))*(CRDJ[Account Code]=(TRIM($D54))),CRDJ[Debit])))+(SUM(IF((GJ[Ofc Code]=(TRIM(F$7)))*(GJ[Account Code]=(TRIM($D54))),GJ[Debit]))))-((SUM(IF((CkDJ[Ofc Code]=(TRIM(F$7)))*(CkDJ[Account Code]=(TRIM($D54))),CkDJ[Credit])))+(SUM(IF((CsDJ[Ofc Code]=(TRIM(F$7)))*(CsDJ[Account Code]=(TRIM($D54))),CsDJ[Credit])))+(SUM(IF((CRDJ[Ofc Code]=(TRIM(F$7)))*(CRDJ[Account Code]=(TRIM($D54))),CRDJ[Credit])))+(SUM(IF((GJ[Ofc Code]=(TRIM(F$7)))*(GJ[Account Code]=(TRIM($D54))),GJ[Credit]))))</f>
        <v>0</v>
      </c>
      <c r="G54" s="211">
        <f t="array" ref="G54">((SUM(IF((CkDJ[Ofc Code]=(TRIM(G$7)))*(CkDJ[Account Code]=(TRIM($D54))),CkDJ[Debit])))+(SUM(IF((CsDJ[Ofc Code]=(TRIM(G$7)))*(CsDJ[Account Code]=(TRIM($D54))),CsDJ[Debit])))+(SUM(IF((CRDJ[Ofc Code]=(TRIM(G$7)))*(CRDJ[Account Code]=(TRIM($D54))),CRDJ[Debit])))+(SUM(IF((GJ[Ofc Code]=(TRIM(G$7)))*(GJ[Account Code]=(TRIM($D54))),GJ[Debit]))))-((SUM(IF((CkDJ[Ofc Code]=(TRIM(G$7)))*(CkDJ[Account Code]=(TRIM($D54))),CkDJ[Credit])))+(SUM(IF((CsDJ[Ofc Code]=(TRIM(G$7)))*(CsDJ[Account Code]=(TRIM($D54))),CsDJ[Credit])))+(SUM(IF((CRDJ[Ofc Code]=(TRIM(G$7)))*(CRDJ[Account Code]=(TRIM($D54))),CRDJ[Credit])))+(SUM(IF((GJ[Ofc Code]=(TRIM(G$7)))*(GJ[Account Code]=(TRIM($D54))),GJ[Credit]))))</f>
        <v>0</v>
      </c>
      <c r="H54" s="211">
        <f t="array" ref="H54">((SUM(IF((CkDJ[Ofc Code]=(TRIM(H$7)))*(CkDJ[Account Code]=(TRIM($D54))),CkDJ[Debit])))+(SUM(IF((CsDJ[Ofc Code]=(TRIM(H$7)))*(CsDJ[Account Code]=(TRIM($D54))),CsDJ[Debit])))+(SUM(IF((CRDJ[Ofc Code]=(TRIM(H$7)))*(CRDJ[Account Code]=(TRIM($D54))),CRDJ[Debit])))+(SUM(IF((GJ[Ofc Code]=(TRIM(H$7)))*(GJ[Account Code]=(TRIM($D54))),GJ[Debit]))))-((SUM(IF((CkDJ[Ofc Code]=(TRIM(H$7)))*(CkDJ[Account Code]=(TRIM($D54))),CkDJ[Credit])))+(SUM(IF((CsDJ[Ofc Code]=(TRIM(H$7)))*(CsDJ[Account Code]=(TRIM($D54))),CsDJ[Credit])))+(SUM(IF((CRDJ[Ofc Code]=(TRIM(H$7)))*(CRDJ[Account Code]=(TRIM($D54))),CRDJ[Credit])))+(SUM(IF((GJ[Ofc Code]=(TRIM(H$7)))*(GJ[Account Code]=(TRIM($D54))),GJ[Credit]))))</f>
        <v>0</v>
      </c>
      <c r="I54" s="211">
        <f t="array" ref="I54">((SUM(IF((CkDJ[Ofc Code]=(TRIM(I$7)))*(CkDJ[Account Code]=(TRIM($D54))),CkDJ[Debit])))+(SUM(IF((CsDJ[Ofc Code]=(TRIM(I$7)))*(CsDJ[Account Code]=(TRIM($D54))),CsDJ[Debit])))+(SUM(IF((CRDJ[Ofc Code]=(TRIM(I$7)))*(CRDJ[Account Code]=(TRIM($D54))),CRDJ[Debit])))+(SUM(IF((GJ[Ofc Code]=(TRIM(I$7)))*(GJ[Account Code]=(TRIM($D54))),GJ[Debit]))))-((SUM(IF((CkDJ[Ofc Code]=(TRIM(I$7)))*(CkDJ[Account Code]=(TRIM($D54))),CkDJ[Credit])))+(SUM(IF((CsDJ[Ofc Code]=(TRIM(I$7)))*(CsDJ[Account Code]=(TRIM($D54))),CsDJ[Credit])))+(SUM(IF((CRDJ[Ofc Code]=(TRIM(I$7)))*(CRDJ[Account Code]=(TRIM($D54))),CRDJ[Credit])))+(SUM(IF((GJ[Ofc Code]=(TRIM(I$7)))*(GJ[Account Code]=(TRIM($D54))),GJ[Credit]))))</f>
        <v>0</v>
      </c>
      <c r="J54" s="211">
        <f t="shared" si="8"/>
        <v>0</v>
      </c>
      <c r="K54" s="211">
        <f t="array" ref="K54">((SUM(IF((CkDJ[Ofc Code]=(TRIM(K$7)))*(CkDJ[Account Code]=(TRIM($D54))),CkDJ[Debit])))+(SUM(IF((CsDJ[Ofc Code]=(TRIM(K$7)))*(CsDJ[Account Code]=(TRIM($D54))),CsDJ[Debit])))+(SUM(IF((CRDJ[Ofc Code]=(TRIM(K$7)))*(CRDJ[Account Code]=(TRIM($D54))),CRDJ[Debit])))+(SUM(IF((GJ[Ofc Code]=(TRIM(K$7)))*(GJ[Account Code]=(TRIM($D54))),GJ[Debit]))))-((SUM(IF((CkDJ[Ofc Code]=(TRIM(K$7)))*(CkDJ[Account Code]=(TRIM($D54))),CkDJ[Credit])))+(SUM(IF((CsDJ[Ofc Code]=(TRIM(K$7)))*(CsDJ[Account Code]=(TRIM($D54))),CsDJ[Credit])))+(SUM(IF((CRDJ[Ofc Code]=(TRIM(K$7)))*(CRDJ[Account Code]=(TRIM($D54))),CRDJ[Credit])))+(SUM(IF((GJ[Ofc Code]=(TRIM(K$7)))*(GJ[Account Code]=(TRIM($D54))),GJ[Credit]))))</f>
        <v>0</v>
      </c>
      <c r="L54" s="211">
        <f t="array" ref="L54">((SUM(IF((CkDJ[Ofc Code]=(TRIM(L$7)))*(CkDJ[Account Code]=(TRIM($D54))),CkDJ[Debit])))+(SUM(IF((CsDJ[Ofc Code]=(TRIM(L$7)))*(CsDJ[Account Code]=(TRIM($D54))),CsDJ[Debit])))+(SUM(IF((CRDJ[Ofc Code]=(TRIM(L$7)))*(CRDJ[Account Code]=(TRIM($D54))),CRDJ[Debit])))+(SUM(IF((GJ[Ofc Code]=(TRIM(L$7)))*(GJ[Account Code]=(TRIM($D54))),GJ[Debit]))))-((SUM(IF((CkDJ[Ofc Code]=(TRIM(L$7)))*(CkDJ[Account Code]=(TRIM($D54))),CkDJ[Credit])))+(SUM(IF((CsDJ[Ofc Code]=(TRIM(L$7)))*(CsDJ[Account Code]=(TRIM($D54))),CsDJ[Credit])))+(SUM(IF((CRDJ[Ofc Code]=(TRIM(L$7)))*(CRDJ[Account Code]=(TRIM($D54))),CRDJ[Credit])))+(SUM(IF((GJ[Ofc Code]=(TRIM(L$7)))*(GJ[Account Code]=(TRIM($D54))),GJ[Credit]))))</f>
        <v>0</v>
      </c>
      <c r="M54" s="211">
        <f t="array" ref="M54">((SUM(IF((CkDJ[Ofc Code]=(TRIM(M$7)))*(CkDJ[Account Code]=(TRIM($D54))),CkDJ[Debit])))+(SUM(IF((CsDJ[Ofc Code]=(TRIM(M$7)))*(CsDJ[Account Code]=(TRIM($D54))),CsDJ[Debit])))+(SUM(IF((CRDJ[Ofc Code]=(TRIM(M$7)))*(CRDJ[Account Code]=(TRIM($D54))),CRDJ[Debit])))+(SUM(IF((GJ[Ofc Code]=(TRIM(M$7)))*(GJ[Account Code]=(TRIM($D54))),GJ[Debit]))))-((SUM(IF((CkDJ[Ofc Code]=(TRIM(M$7)))*(CkDJ[Account Code]=(TRIM($D54))),CkDJ[Credit])))+(SUM(IF((CsDJ[Ofc Code]=(TRIM(M$7)))*(CsDJ[Account Code]=(TRIM($D54))),CsDJ[Credit])))+(SUM(IF((CRDJ[Ofc Code]=(TRIM(M$7)))*(CRDJ[Account Code]=(TRIM($D54))),CRDJ[Credit])))+(SUM(IF((GJ[Ofc Code]=(TRIM(M$7)))*(GJ[Account Code]=(TRIM($D54))),GJ[Credit]))))</f>
        <v>0</v>
      </c>
      <c r="N54" s="211">
        <f t="array" ref="N54">((SUM(IF((CkDJ[Ofc Code]=(TRIM(N$7)))*(CkDJ[Account Code]=(TRIM($D54))),CkDJ[Debit])))+(SUM(IF((CsDJ[Ofc Code]=(TRIM(N$7)))*(CsDJ[Account Code]=(TRIM($D54))),CsDJ[Debit])))+(SUM(IF((CRDJ[Ofc Code]=(TRIM(N$7)))*(CRDJ[Account Code]=(TRIM($D54))),CRDJ[Debit])))+(SUM(IF((GJ[Ofc Code]=(TRIM(N$7)))*(GJ[Account Code]=(TRIM($D54))),GJ[Debit]))))-((SUM(IF((CkDJ[Ofc Code]=(TRIM(N$7)))*(CkDJ[Account Code]=(TRIM($D54))),CkDJ[Credit])))+(SUM(IF((CsDJ[Ofc Code]=(TRIM(N$7)))*(CsDJ[Account Code]=(TRIM($D54))),CsDJ[Credit])))+(SUM(IF((CRDJ[Ofc Code]=(TRIM(N$7)))*(CRDJ[Account Code]=(TRIM($D54))),CRDJ[Credit])))+(SUM(IF((GJ[Ofc Code]=(TRIM(N$7)))*(GJ[Account Code]=(TRIM($D54))),GJ[Credit]))))</f>
        <v>0</v>
      </c>
      <c r="O54" s="211">
        <f t="shared" si="9"/>
        <v>0</v>
      </c>
      <c r="P54" s="211">
        <f t="array" ref="P54">((SUM(IF((CkDJ[Ofc Code]=(TRIM(P$7)))*(CkDJ[Account Code]=(TRIM($D54))),CkDJ[Debit])))+(SUM(IF((CsDJ[Ofc Code]=(TRIM(P$7)))*(CsDJ[Account Code]=(TRIM($D54))),CsDJ[Debit])))+(SUM(IF((CRDJ[Ofc Code]=(TRIM(P$7)))*(CRDJ[Account Code]=(TRIM($D54))),CRDJ[Debit])))+(SUM(IF((GJ[Ofc Code]=(TRIM(P$7)))*(GJ[Account Code]=(TRIM($D54))),GJ[Debit]))))-((SUM(IF((CkDJ[Ofc Code]=(TRIM(P$7)))*(CkDJ[Account Code]=(TRIM($D54))),CkDJ[Credit])))+(SUM(IF((CsDJ[Ofc Code]=(TRIM(P$7)))*(CsDJ[Account Code]=(TRIM($D54))),CsDJ[Credit])))+(SUM(IF((CRDJ[Ofc Code]=(TRIM(P$7)))*(CRDJ[Account Code]=(TRIM($D54))),CRDJ[Credit])))+(SUM(IF((GJ[Ofc Code]=(TRIM(P$7)))*(GJ[Account Code]=(TRIM($D54))),GJ[Credit]))))</f>
        <v>0</v>
      </c>
      <c r="Q54" s="211">
        <f t="array" ref="Q54">((SUM(IF((CkDJ[Ofc Code]=(TRIM(Q$7)))*(CkDJ[Account Code]=(TRIM($D54))),CkDJ[Debit])))+(SUM(IF((CsDJ[Ofc Code]=(TRIM(Q$7)))*(CsDJ[Account Code]=(TRIM($D54))),CsDJ[Debit])))+(SUM(IF((CRDJ[Ofc Code]=(TRIM(Q$7)))*(CRDJ[Account Code]=(TRIM($D54))),CRDJ[Debit])))+(SUM(IF((GJ[Ofc Code]=(TRIM(Q$7)))*(GJ[Account Code]=(TRIM($D54))),GJ[Debit]))))-((SUM(IF((CkDJ[Ofc Code]=(TRIM(Q$7)))*(CkDJ[Account Code]=(TRIM($D54))),CkDJ[Credit])))+(SUM(IF((CsDJ[Ofc Code]=(TRIM(Q$7)))*(CsDJ[Account Code]=(TRIM($D54))),CsDJ[Credit])))+(SUM(IF((CRDJ[Ofc Code]=(TRIM(Q$7)))*(CRDJ[Account Code]=(TRIM($D54))),CRDJ[Credit])))+(SUM(IF((GJ[Ofc Code]=(TRIM(Q$7)))*(GJ[Account Code]=(TRIM($D54))),GJ[Credit]))))</f>
        <v>0</v>
      </c>
      <c r="R54" s="211">
        <f t="array" ref="R54">((SUM(IF((CkDJ[Ofc Code]=(TRIM(R$7)))*(CkDJ[Account Code]=(TRIM($D54))),CkDJ[Debit])))+(SUM(IF((CsDJ[Ofc Code]=(TRIM(R$7)))*(CsDJ[Account Code]=(TRIM($D54))),CsDJ[Debit])))+(SUM(IF((CRDJ[Ofc Code]=(TRIM(R$7)))*(CRDJ[Account Code]=(TRIM($D54))),CRDJ[Debit])))+(SUM(IF((GJ[Ofc Code]=(TRIM(R$7)))*(GJ[Account Code]=(TRIM($D54))),GJ[Debit]))))-((SUM(IF((CkDJ[Ofc Code]=(TRIM(R$7)))*(CkDJ[Account Code]=(TRIM($D54))),CkDJ[Credit])))+(SUM(IF((CsDJ[Ofc Code]=(TRIM(R$7)))*(CsDJ[Account Code]=(TRIM($D54))),CsDJ[Credit])))+(SUM(IF((CRDJ[Ofc Code]=(TRIM(R$7)))*(CRDJ[Account Code]=(TRIM($D54))),CRDJ[Credit])))+(SUM(IF((GJ[Ofc Code]=(TRIM(R$7)))*(GJ[Account Code]=(TRIM($D54))),GJ[Credit]))))</f>
        <v>0</v>
      </c>
      <c r="S54" s="211">
        <f t="array" ref="S54">((SUM(IF((CkDJ[Ofc Code]=(TRIM(S$7)))*(CkDJ[Account Code]=(TRIM($D54))),CkDJ[Debit])))+(SUM(IF((CsDJ[Ofc Code]=(TRIM(S$7)))*(CsDJ[Account Code]=(TRIM($D54))),CsDJ[Debit])))+(SUM(IF((CRDJ[Ofc Code]=(TRIM(S$7)))*(CRDJ[Account Code]=(TRIM($D54))),CRDJ[Debit])))+(SUM(IF((GJ[Ofc Code]=(TRIM(S$7)))*(GJ[Account Code]=(TRIM($D54))),GJ[Debit]))))-((SUM(IF((CkDJ[Ofc Code]=(TRIM(S$7)))*(CkDJ[Account Code]=(TRIM($D54))),CkDJ[Credit])))+(SUM(IF((CsDJ[Ofc Code]=(TRIM(S$7)))*(CsDJ[Account Code]=(TRIM($D54))),CsDJ[Credit])))+(SUM(IF((CRDJ[Ofc Code]=(TRIM(S$7)))*(CRDJ[Account Code]=(TRIM($D54))),CRDJ[Credit])))+(SUM(IF((GJ[Ofc Code]=(TRIM(S$7)))*(GJ[Account Code]=(TRIM($D54))),GJ[Credit]))))</f>
        <v>0</v>
      </c>
      <c r="T54" s="211">
        <f t="array" ref="T54">((SUM(IF((CkDJ[Ofc Code]=(TRIM(T$7)))*(CkDJ[Account Code]=(TRIM($D54))),CkDJ[Debit])))+(SUM(IF((CsDJ[Ofc Code]=(TRIM(T$7)))*(CsDJ[Account Code]=(TRIM($D54))),CsDJ[Debit])))+(SUM(IF((CRDJ[Ofc Code]=(TRIM(T$7)))*(CRDJ[Account Code]=(TRIM($D54))),CRDJ[Debit])))+(SUM(IF((GJ[Ofc Code]=(TRIM(T$7)))*(GJ[Account Code]=(TRIM($D54))),GJ[Debit]))))-((SUM(IF((CkDJ[Ofc Code]=(TRIM(T$7)))*(CkDJ[Account Code]=(TRIM($D54))),CkDJ[Credit])))+(SUM(IF((CsDJ[Ofc Code]=(TRIM(T$7)))*(CsDJ[Account Code]=(TRIM($D54))),CsDJ[Credit])))+(SUM(IF((CRDJ[Ofc Code]=(TRIM(T$7)))*(CRDJ[Account Code]=(TRIM($D54))),CRDJ[Credit])))+(SUM(IF((GJ[Ofc Code]=(TRIM(T$7)))*(GJ[Account Code]=(TRIM($D54))),GJ[Credit]))))</f>
        <v>0</v>
      </c>
      <c r="U54" s="211">
        <f t="shared" si="10"/>
        <v>0</v>
      </c>
      <c r="V54" s="211">
        <f t="shared" si="11"/>
        <v>0</v>
      </c>
    </row>
    <row r="55" spans="1:22" ht="15" x14ac:dyDescent="0.25">
      <c r="A55" s="212">
        <f t="shared" si="12"/>
        <v>18</v>
      </c>
      <c r="B55" s="214" t="s">
        <v>756</v>
      </c>
      <c r="C55" s="194" t="str">
        <f t="shared" si="7"/>
        <v>Retirement and Life Insurance Premiums</v>
      </c>
      <c r="D55" s="215">
        <v>731</v>
      </c>
      <c r="E55" s="211">
        <f t="array" ref="E55">((SUM(IF((CkDJ[Ofc Code]=(TRIM(E$7)))*(CkDJ[Account Code]=(TRIM($D55))),CkDJ[Debit])))+(SUM(IF((CsDJ[Ofc Code]=(TRIM(E$7)))*(CsDJ[Account Code]=(TRIM($D55))),CsDJ[Debit])))+(SUM(IF((CRDJ[Ofc Code]=(TRIM(E$7)))*(CRDJ[Account Code]=(TRIM($D55))),CRDJ[Debit])))+(SUM(IF((GJ[Ofc Code]=(TRIM(E$7)))*(GJ[Account Code]=(TRIM($D55))),GJ[Debit]))))-((SUM(IF((CkDJ[Ofc Code]=(TRIM(E$7)))*(CkDJ[Account Code]=(TRIM($D55))),CkDJ[Credit])))+(SUM(IF((CsDJ[Ofc Code]=(TRIM(E$7)))*(CsDJ[Account Code]=(TRIM($D55))),CsDJ[Credit])))+(SUM(IF((CRDJ[Ofc Code]=(TRIM(E$7)))*(CRDJ[Account Code]=(TRIM($D55))),CRDJ[Credit])))+(SUM(IF((GJ[Ofc Code]=(TRIM(E$7)))*(GJ[Account Code]=(TRIM($D55))),GJ[Credit]))))</f>
        <v>0</v>
      </c>
      <c r="F55" s="211">
        <f t="array" ref="F55">((SUM(IF((CkDJ[Ofc Code]=(TRIM(F$7)))*(CkDJ[Account Code]=(TRIM($D55))),CkDJ[Debit])))+(SUM(IF((CsDJ[Ofc Code]=(TRIM(F$7)))*(CsDJ[Account Code]=(TRIM($D55))),CsDJ[Debit])))+(SUM(IF((CRDJ[Ofc Code]=(TRIM(F$7)))*(CRDJ[Account Code]=(TRIM($D55))),CRDJ[Debit])))+(SUM(IF((GJ[Ofc Code]=(TRIM(F$7)))*(GJ[Account Code]=(TRIM($D55))),GJ[Debit]))))-((SUM(IF((CkDJ[Ofc Code]=(TRIM(F$7)))*(CkDJ[Account Code]=(TRIM($D55))),CkDJ[Credit])))+(SUM(IF((CsDJ[Ofc Code]=(TRIM(F$7)))*(CsDJ[Account Code]=(TRIM($D55))),CsDJ[Credit])))+(SUM(IF((CRDJ[Ofc Code]=(TRIM(F$7)))*(CRDJ[Account Code]=(TRIM($D55))),CRDJ[Credit])))+(SUM(IF((GJ[Ofc Code]=(TRIM(F$7)))*(GJ[Account Code]=(TRIM($D55))),GJ[Credit]))))</f>
        <v>0</v>
      </c>
      <c r="G55" s="211">
        <f t="array" ref="G55">((SUM(IF((CkDJ[Ofc Code]=(TRIM(G$7)))*(CkDJ[Account Code]=(TRIM($D55))),CkDJ[Debit])))+(SUM(IF((CsDJ[Ofc Code]=(TRIM(G$7)))*(CsDJ[Account Code]=(TRIM($D55))),CsDJ[Debit])))+(SUM(IF((CRDJ[Ofc Code]=(TRIM(G$7)))*(CRDJ[Account Code]=(TRIM($D55))),CRDJ[Debit])))+(SUM(IF((GJ[Ofc Code]=(TRIM(G$7)))*(GJ[Account Code]=(TRIM($D55))),GJ[Debit]))))-((SUM(IF((CkDJ[Ofc Code]=(TRIM(G$7)))*(CkDJ[Account Code]=(TRIM($D55))),CkDJ[Credit])))+(SUM(IF((CsDJ[Ofc Code]=(TRIM(G$7)))*(CsDJ[Account Code]=(TRIM($D55))),CsDJ[Credit])))+(SUM(IF((CRDJ[Ofc Code]=(TRIM(G$7)))*(CRDJ[Account Code]=(TRIM($D55))),CRDJ[Credit])))+(SUM(IF((GJ[Ofc Code]=(TRIM(G$7)))*(GJ[Account Code]=(TRIM($D55))),GJ[Credit]))))</f>
        <v>0</v>
      </c>
      <c r="H55" s="211">
        <f t="array" ref="H55">((SUM(IF((CkDJ[Ofc Code]=(TRIM(H$7)))*(CkDJ[Account Code]=(TRIM($D55))),CkDJ[Debit])))+(SUM(IF((CsDJ[Ofc Code]=(TRIM(H$7)))*(CsDJ[Account Code]=(TRIM($D55))),CsDJ[Debit])))+(SUM(IF((CRDJ[Ofc Code]=(TRIM(H$7)))*(CRDJ[Account Code]=(TRIM($D55))),CRDJ[Debit])))+(SUM(IF((GJ[Ofc Code]=(TRIM(H$7)))*(GJ[Account Code]=(TRIM($D55))),GJ[Debit]))))-((SUM(IF((CkDJ[Ofc Code]=(TRIM(H$7)))*(CkDJ[Account Code]=(TRIM($D55))),CkDJ[Credit])))+(SUM(IF((CsDJ[Ofc Code]=(TRIM(H$7)))*(CsDJ[Account Code]=(TRIM($D55))),CsDJ[Credit])))+(SUM(IF((CRDJ[Ofc Code]=(TRIM(H$7)))*(CRDJ[Account Code]=(TRIM($D55))),CRDJ[Credit])))+(SUM(IF((GJ[Ofc Code]=(TRIM(H$7)))*(GJ[Account Code]=(TRIM($D55))),GJ[Credit]))))</f>
        <v>0</v>
      </c>
      <c r="I55" s="211">
        <f t="array" ref="I55">((SUM(IF((CkDJ[Ofc Code]=(TRIM(I$7)))*(CkDJ[Account Code]=(TRIM($D55))),CkDJ[Debit])))+(SUM(IF((CsDJ[Ofc Code]=(TRIM(I$7)))*(CsDJ[Account Code]=(TRIM($D55))),CsDJ[Debit])))+(SUM(IF((CRDJ[Ofc Code]=(TRIM(I$7)))*(CRDJ[Account Code]=(TRIM($D55))),CRDJ[Debit])))+(SUM(IF((GJ[Ofc Code]=(TRIM(I$7)))*(GJ[Account Code]=(TRIM($D55))),GJ[Debit]))))-((SUM(IF((CkDJ[Ofc Code]=(TRIM(I$7)))*(CkDJ[Account Code]=(TRIM($D55))),CkDJ[Credit])))+(SUM(IF((CsDJ[Ofc Code]=(TRIM(I$7)))*(CsDJ[Account Code]=(TRIM($D55))),CsDJ[Credit])))+(SUM(IF((CRDJ[Ofc Code]=(TRIM(I$7)))*(CRDJ[Account Code]=(TRIM($D55))),CRDJ[Credit])))+(SUM(IF((GJ[Ofc Code]=(TRIM(I$7)))*(GJ[Account Code]=(TRIM($D55))),GJ[Credit]))))</f>
        <v>0</v>
      </c>
      <c r="J55" s="211">
        <f t="shared" si="8"/>
        <v>0</v>
      </c>
      <c r="K55" s="211">
        <f t="array" ref="K55">((SUM(IF((CkDJ[Ofc Code]=(TRIM(K$7)))*(CkDJ[Account Code]=(TRIM($D55))),CkDJ[Debit])))+(SUM(IF((CsDJ[Ofc Code]=(TRIM(K$7)))*(CsDJ[Account Code]=(TRIM($D55))),CsDJ[Debit])))+(SUM(IF((CRDJ[Ofc Code]=(TRIM(K$7)))*(CRDJ[Account Code]=(TRIM($D55))),CRDJ[Debit])))+(SUM(IF((GJ[Ofc Code]=(TRIM(K$7)))*(GJ[Account Code]=(TRIM($D55))),GJ[Debit]))))-((SUM(IF((CkDJ[Ofc Code]=(TRIM(K$7)))*(CkDJ[Account Code]=(TRIM($D55))),CkDJ[Credit])))+(SUM(IF((CsDJ[Ofc Code]=(TRIM(K$7)))*(CsDJ[Account Code]=(TRIM($D55))),CsDJ[Credit])))+(SUM(IF((CRDJ[Ofc Code]=(TRIM(K$7)))*(CRDJ[Account Code]=(TRIM($D55))),CRDJ[Credit])))+(SUM(IF((GJ[Ofc Code]=(TRIM(K$7)))*(GJ[Account Code]=(TRIM($D55))),GJ[Credit]))))</f>
        <v>0</v>
      </c>
      <c r="L55" s="211">
        <f t="array" ref="L55">((SUM(IF((CkDJ[Ofc Code]=(TRIM(L$7)))*(CkDJ[Account Code]=(TRIM($D55))),CkDJ[Debit])))+(SUM(IF((CsDJ[Ofc Code]=(TRIM(L$7)))*(CsDJ[Account Code]=(TRIM($D55))),CsDJ[Debit])))+(SUM(IF((CRDJ[Ofc Code]=(TRIM(L$7)))*(CRDJ[Account Code]=(TRIM($D55))),CRDJ[Debit])))+(SUM(IF((GJ[Ofc Code]=(TRIM(L$7)))*(GJ[Account Code]=(TRIM($D55))),GJ[Debit]))))-((SUM(IF((CkDJ[Ofc Code]=(TRIM(L$7)))*(CkDJ[Account Code]=(TRIM($D55))),CkDJ[Credit])))+(SUM(IF((CsDJ[Ofc Code]=(TRIM(L$7)))*(CsDJ[Account Code]=(TRIM($D55))),CsDJ[Credit])))+(SUM(IF((CRDJ[Ofc Code]=(TRIM(L$7)))*(CRDJ[Account Code]=(TRIM($D55))),CRDJ[Credit])))+(SUM(IF((GJ[Ofc Code]=(TRIM(L$7)))*(GJ[Account Code]=(TRIM($D55))),GJ[Credit]))))</f>
        <v>0</v>
      </c>
      <c r="M55" s="211">
        <f t="array" ref="M55">((SUM(IF((CkDJ[Ofc Code]=(TRIM(M$7)))*(CkDJ[Account Code]=(TRIM($D55))),CkDJ[Debit])))+(SUM(IF((CsDJ[Ofc Code]=(TRIM(M$7)))*(CsDJ[Account Code]=(TRIM($D55))),CsDJ[Debit])))+(SUM(IF((CRDJ[Ofc Code]=(TRIM(M$7)))*(CRDJ[Account Code]=(TRIM($D55))),CRDJ[Debit])))+(SUM(IF((GJ[Ofc Code]=(TRIM(M$7)))*(GJ[Account Code]=(TRIM($D55))),GJ[Debit]))))-((SUM(IF((CkDJ[Ofc Code]=(TRIM(M$7)))*(CkDJ[Account Code]=(TRIM($D55))),CkDJ[Credit])))+(SUM(IF((CsDJ[Ofc Code]=(TRIM(M$7)))*(CsDJ[Account Code]=(TRIM($D55))),CsDJ[Credit])))+(SUM(IF((CRDJ[Ofc Code]=(TRIM(M$7)))*(CRDJ[Account Code]=(TRIM($D55))),CRDJ[Credit])))+(SUM(IF((GJ[Ofc Code]=(TRIM(M$7)))*(GJ[Account Code]=(TRIM($D55))),GJ[Credit]))))</f>
        <v>0</v>
      </c>
      <c r="N55" s="211">
        <f t="array" ref="N55">((SUM(IF((CkDJ[Ofc Code]=(TRIM(N$7)))*(CkDJ[Account Code]=(TRIM($D55))),CkDJ[Debit])))+(SUM(IF((CsDJ[Ofc Code]=(TRIM(N$7)))*(CsDJ[Account Code]=(TRIM($D55))),CsDJ[Debit])))+(SUM(IF((CRDJ[Ofc Code]=(TRIM(N$7)))*(CRDJ[Account Code]=(TRIM($D55))),CRDJ[Debit])))+(SUM(IF((GJ[Ofc Code]=(TRIM(N$7)))*(GJ[Account Code]=(TRIM($D55))),GJ[Debit]))))-((SUM(IF((CkDJ[Ofc Code]=(TRIM(N$7)))*(CkDJ[Account Code]=(TRIM($D55))),CkDJ[Credit])))+(SUM(IF((CsDJ[Ofc Code]=(TRIM(N$7)))*(CsDJ[Account Code]=(TRIM($D55))),CsDJ[Credit])))+(SUM(IF((CRDJ[Ofc Code]=(TRIM(N$7)))*(CRDJ[Account Code]=(TRIM($D55))),CRDJ[Credit])))+(SUM(IF((GJ[Ofc Code]=(TRIM(N$7)))*(GJ[Account Code]=(TRIM($D55))),GJ[Credit]))))</f>
        <v>0</v>
      </c>
      <c r="O55" s="211">
        <f t="shared" si="9"/>
        <v>0</v>
      </c>
      <c r="P55" s="211">
        <f t="array" ref="P55">((SUM(IF((CkDJ[Ofc Code]=(TRIM(P$7)))*(CkDJ[Account Code]=(TRIM($D55))),CkDJ[Debit])))+(SUM(IF((CsDJ[Ofc Code]=(TRIM(P$7)))*(CsDJ[Account Code]=(TRIM($D55))),CsDJ[Debit])))+(SUM(IF((CRDJ[Ofc Code]=(TRIM(P$7)))*(CRDJ[Account Code]=(TRIM($D55))),CRDJ[Debit])))+(SUM(IF((GJ[Ofc Code]=(TRIM(P$7)))*(GJ[Account Code]=(TRIM($D55))),GJ[Debit]))))-((SUM(IF((CkDJ[Ofc Code]=(TRIM(P$7)))*(CkDJ[Account Code]=(TRIM($D55))),CkDJ[Credit])))+(SUM(IF((CsDJ[Ofc Code]=(TRIM(P$7)))*(CsDJ[Account Code]=(TRIM($D55))),CsDJ[Credit])))+(SUM(IF((CRDJ[Ofc Code]=(TRIM(P$7)))*(CRDJ[Account Code]=(TRIM($D55))),CRDJ[Credit])))+(SUM(IF((GJ[Ofc Code]=(TRIM(P$7)))*(GJ[Account Code]=(TRIM($D55))),GJ[Credit]))))</f>
        <v>0</v>
      </c>
      <c r="Q55" s="211">
        <f t="array" ref="Q55">((SUM(IF((CkDJ[Ofc Code]=(TRIM(Q$7)))*(CkDJ[Account Code]=(TRIM($D55))),CkDJ[Debit])))+(SUM(IF((CsDJ[Ofc Code]=(TRIM(Q$7)))*(CsDJ[Account Code]=(TRIM($D55))),CsDJ[Debit])))+(SUM(IF((CRDJ[Ofc Code]=(TRIM(Q$7)))*(CRDJ[Account Code]=(TRIM($D55))),CRDJ[Debit])))+(SUM(IF((GJ[Ofc Code]=(TRIM(Q$7)))*(GJ[Account Code]=(TRIM($D55))),GJ[Debit]))))-((SUM(IF((CkDJ[Ofc Code]=(TRIM(Q$7)))*(CkDJ[Account Code]=(TRIM($D55))),CkDJ[Credit])))+(SUM(IF((CsDJ[Ofc Code]=(TRIM(Q$7)))*(CsDJ[Account Code]=(TRIM($D55))),CsDJ[Credit])))+(SUM(IF((CRDJ[Ofc Code]=(TRIM(Q$7)))*(CRDJ[Account Code]=(TRIM($D55))),CRDJ[Credit])))+(SUM(IF((GJ[Ofc Code]=(TRIM(Q$7)))*(GJ[Account Code]=(TRIM($D55))),GJ[Credit]))))</f>
        <v>0</v>
      </c>
      <c r="R55" s="211">
        <f t="array" ref="R55">((SUM(IF((CkDJ[Ofc Code]=(TRIM(R$7)))*(CkDJ[Account Code]=(TRIM($D55))),CkDJ[Debit])))+(SUM(IF((CsDJ[Ofc Code]=(TRIM(R$7)))*(CsDJ[Account Code]=(TRIM($D55))),CsDJ[Debit])))+(SUM(IF((CRDJ[Ofc Code]=(TRIM(R$7)))*(CRDJ[Account Code]=(TRIM($D55))),CRDJ[Debit])))+(SUM(IF((GJ[Ofc Code]=(TRIM(R$7)))*(GJ[Account Code]=(TRIM($D55))),GJ[Debit]))))-((SUM(IF((CkDJ[Ofc Code]=(TRIM(R$7)))*(CkDJ[Account Code]=(TRIM($D55))),CkDJ[Credit])))+(SUM(IF((CsDJ[Ofc Code]=(TRIM(R$7)))*(CsDJ[Account Code]=(TRIM($D55))),CsDJ[Credit])))+(SUM(IF((CRDJ[Ofc Code]=(TRIM(R$7)))*(CRDJ[Account Code]=(TRIM($D55))),CRDJ[Credit])))+(SUM(IF((GJ[Ofc Code]=(TRIM(R$7)))*(GJ[Account Code]=(TRIM($D55))),GJ[Credit]))))</f>
        <v>0</v>
      </c>
      <c r="S55" s="211">
        <f t="array" ref="S55">((SUM(IF((CkDJ[Ofc Code]=(TRIM(S$7)))*(CkDJ[Account Code]=(TRIM($D55))),CkDJ[Debit])))+(SUM(IF((CsDJ[Ofc Code]=(TRIM(S$7)))*(CsDJ[Account Code]=(TRIM($D55))),CsDJ[Debit])))+(SUM(IF((CRDJ[Ofc Code]=(TRIM(S$7)))*(CRDJ[Account Code]=(TRIM($D55))),CRDJ[Debit])))+(SUM(IF((GJ[Ofc Code]=(TRIM(S$7)))*(GJ[Account Code]=(TRIM($D55))),GJ[Debit]))))-((SUM(IF((CkDJ[Ofc Code]=(TRIM(S$7)))*(CkDJ[Account Code]=(TRIM($D55))),CkDJ[Credit])))+(SUM(IF((CsDJ[Ofc Code]=(TRIM(S$7)))*(CsDJ[Account Code]=(TRIM($D55))),CsDJ[Credit])))+(SUM(IF((CRDJ[Ofc Code]=(TRIM(S$7)))*(CRDJ[Account Code]=(TRIM($D55))),CRDJ[Credit])))+(SUM(IF((GJ[Ofc Code]=(TRIM(S$7)))*(GJ[Account Code]=(TRIM($D55))),GJ[Credit]))))</f>
        <v>0</v>
      </c>
      <c r="T55" s="211">
        <f t="array" ref="T55">((SUM(IF((CkDJ[Ofc Code]=(TRIM(T$7)))*(CkDJ[Account Code]=(TRIM($D55))),CkDJ[Debit])))+(SUM(IF((CsDJ[Ofc Code]=(TRIM(T$7)))*(CsDJ[Account Code]=(TRIM($D55))),CsDJ[Debit])))+(SUM(IF((CRDJ[Ofc Code]=(TRIM(T$7)))*(CRDJ[Account Code]=(TRIM($D55))),CRDJ[Debit])))+(SUM(IF((GJ[Ofc Code]=(TRIM(T$7)))*(GJ[Account Code]=(TRIM($D55))),GJ[Debit]))))-((SUM(IF((CkDJ[Ofc Code]=(TRIM(T$7)))*(CkDJ[Account Code]=(TRIM($D55))),CkDJ[Credit])))+(SUM(IF((CsDJ[Ofc Code]=(TRIM(T$7)))*(CsDJ[Account Code]=(TRIM($D55))),CsDJ[Credit])))+(SUM(IF((CRDJ[Ofc Code]=(TRIM(T$7)))*(CRDJ[Account Code]=(TRIM($D55))),CRDJ[Credit])))+(SUM(IF((GJ[Ofc Code]=(TRIM(T$7)))*(GJ[Account Code]=(TRIM($D55))),GJ[Credit]))))</f>
        <v>0</v>
      </c>
      <c r="U55" s="211">
        <f t="shared" si="10"/>
        <v>0</v>
      </c>
      <c r="V55" s="211">
        <f t="shared" si="11"/>
        <v>0</v>
      </c>
    </row>
    <row r="56" spans="1:22" ht="15" x14ac:dyDescent="0.25">
      <c r="A56" s="212">
        <f t="shared" si="12"/>
        <v>19</v>
      </c>
      <c r="B56" s="214" t="s">
        <v>756</v>
      </c>
      <c r="C56" s="194" t="str">
        <f t="shared" si="7"/>
        <v>Pag-IBIG Contributions</v>
      </c>
      <c r="D56" s="215">
        <v>732</v>
      </c>
      <c r="E56" s="211">
        <f t="array" ref="E56">((SUM(IF((CkDJ[Ofc Code]=(TRIM(E$7)))*(CkDJ[Account Code]=(TRIM($D56))),CkDJ[Debit])))+(SUM(IF((CsDJ[Ofc Code]=(TRIM(E$7)))*(CsDJ[Account Code]=(TRIM($D56))),CsDJ[Debit])))+(SUM(IF((CRDJ[Ofc Code]=(TRIM(E$7)))*(CRDJ[Account Code]=(TRIM($D56))),CRDJ[Debit])))+(SUM(IF((GJ[Ofc Code]=(TRIM(E$7)))*(GJ[Account Code]=(TRIM($D56))),GJ[Debit]))))-((SUM(IF((CkDJ[Ofc Code]=(TRIM(E$7)))*(CkDJ[Account Code]=(TRIM($D56))),CkDJ[Credit])))+(SUM(IF((CsDJ[Ofc Code]=(TRIM(E$7)))*(CsDJ[Account Code]=(TRIM($D56))),CsDJ[Credit])))+(SUM(IF((CRDJ[Ofc Code]=(TRIM(E$7)))*(CRDJ[Account Code]=(TRIM($D56))),CRDJ[Credit])))+(SUM(IF((GJ[Ofc Code]=(TRIM(E$7)))*(GJ[Account Code]=(TRIM($D56))),GJ[Credit]))))</f>
        <v>0</v>
      </c>
      <c r="F56" s="211">
        <f t="array" ref="F56">((SUM(IF((CkDJ[Ofc Code]=(TRIM(F$7)))*(CkDJ[Account Code]=(TRIM($D56))),CkDJ[Debit])))+(SUM(IF((CsDJ[Ofc Code]=(TRIM(F$7)))*(CsDJ[Account Code]=(TRIM($D56))),CsDJ[Debit])))+(SUM(IF((CRDJ[Ofc Code]=(TRIM(F$7)))*(CRDJ[Account Code]=(TRIM($D56))),CRDJ[Debit])))+(SUM(IF((GJ[Ofc Code]=(TRIM(F$7)))*(GJ[Account Code]=(TRIM($D56))),GJ[Debit]))))-((SUM(IF((CkDJ[Ofc Code]=(TRIM(F$7)))*(CkDJ[Account Code]=(TRIM($D56))),CkDJ[Credit])))+(SUM(IF((CsDJ[Ofc Code]=(TRIM(F$7)))*(CsDJ[Account Code]=(TRIM($D56))),CsDJ[Credit])))+(SUM(IF((CRDJ[Ofc Code]=(TRIM(F$7)))*(CRDJ[Account Code]=(TRIM($D56))),CRDJ[Credit])))+(SUM(IF((GJ[Ofc Code]=(TRIM(F$7)))*(GJ[Account Code]=(TRIM($D56))),GJ[Credit]))))</f>
        <v>0</v>
      </c>
      <c r="G56" s="211">
        <f t="array" ref="G56">((SUM(IF((CkDJ[Ofc Code]=(TRIM(G$7)))*(CkDJ[Account Code]=(TRIM($D56))),CkDJ[Debit])))+(SUM(IF((CsDJ[Ofc Code]=(TRIM(G$7)))*(CsDJ[Account Code]=(TRIM($D56))),CsDJ[Debit])))+(SUM(IF((CRDJ[Ofc Code]=(TRIM(G$7)))*(CRDJ[Account Code]=(TRIM($D56))),CRDJ[Debit])))+(SUM(IF((GJ[Ofc Code]=(TRIM(G$7)))*(GJ[Account Code]=(TRIM($D56))),GJ[Debit]))))-((SUM(IF((CkDJ[Ofc Code]=(TRIM(G$7)))*(CkDJ[Account Code]=(TRIM($D56))),CkDJ[Credit])))+(SUM(IF((CsDJ[Ofc Code]=(TRIM(G$7)))*(CsDJ[Account Code]=(TRIM($D56))),CsDJ[Credit])))+(SUM(IF((CRDJ[Ofc Code]=(TRIM(G$7)))*(CRDJ[Account Code]=(TRIM($D56))),CRDJ[Credit])))+(SUM(IF((GJ[Ofc Code]=(TRIM(G$7)))*(GJ[Account Code]=(TRIM($D56))),GJ[Credit]))))</f>
        <v>0</v>
      </c>
      <c r="H56" s="211">
        <f t="array" ref="H56">((SUM(IF((CkDJ[Ofc Code]=(TRIM(H$7)))*(CkDJ[Account Code]=(TRIM($D56))),CkDJ[Debit])))+(SUM(IF((CsDJ[Ofc Code]=(TRIM(H$7)))*(CsDJ[Account Code]=(TRIM($D56))),CsDJ[Debit])))+(SUM(IF((CRDJ[Ofc Code]=(TRIM(H$7)))*(CRDJ[Account Code]=(TRIM($D56))),CRDJ[Debit])))+(SUM(IF((GJ[Ofc Code]=(TRIM(H$7)))*(GJ[Account Code]=(TRIM($D56))),GJ[Debit]))))-((SUM(IF((CkDJ[Ofc Code]=(TRIM(H$7)))*(CkDJ[Account Code]=(TRIM($D56))),CkDJ[Credit])))+(SUM(IF((CsDJ[Ofc Code]=(TRIM(H$7)))*(CsDJ[Account Code]=(TRIM($D56))),CsDJ[Credit])))+(SUM(IF((CRDJ[Ofc Code]=(TRIM(H$7)))*(CRDJ[Account Code]=(TRIM($D56))),CRDJ[Credit])))+(SUM(IF((GJ[Ofc Code]=(TRIM(H$7)))*(GJ[Account Code]=(TRIM($D56))),GJ[Credit]))))</f>
        <v>0</v>
      </c>
      <c r="I56" s="211">
        <f t="array" ref="I56">((SUM(IF((CkDJ[Ofc Code]=(TRIM(I$7)))*(CkDJ[Account Code]=(TRIM($D56))),CkDJ[Debit])))+(SUM(IF((CsDJ[Ofc Code]=(TRIM(I$7)))*(CsDJ[Account Code]=(TRIM($D56))),CsDJ[Debit])))+(SUM(IF((CRDJ[Ofc Code]=(TRIM(I$7)))*(CRDJ[Account Code]=(TRIM($D56))),CRDJ[Debit])))+(SUM(IF((GJ[Ofc Code]=(TRIM(I$7)))*(GJ[Account Code]=(TRIM($D56))),GJ[Debit]))))-((SUM(IF((CkDJ[Ofc Code]=(TRIM(I$7)))*(CkDJ[Account Code]=(TRIM($D56))),CkDJ[Credit])))+(SUM(IF((CsDJ[Ofc Code]=(TRIM(I$7)))*(CsDJ[Account Code]=(TRIM($D56))),CsDJ[Credit])))+(SUM(IF((CRDJ[Ofc Code]=(TRIM(I$7)))*(CRDJ[Account Code]=(TRIM($D56))),CRDJ[Credit])))+(SUM(IF((GJ[Ofc Code]=(TRIM(I$7)))*(GJ[Account Code]=(TRIM($D56))),GJ[Credit]))))</f>
        <v>0</v>
      </c>
      <c r="J56" s="211">
        <f t="shared" si="8"/>
        <v>0</v>
      </c>
      <c r="K56" s="211">
        <f t="array" ref="K56">((SUM(IF((CkDJ[Ofc Code]=(TRIM(K$7)))*(CkDJ[Account Code]=(TRIM($D56))),CkDJ[Debit])))+(SUM(IF((CsDJ[Ofc Code]=(TRIM(K$7)))*(CsDJ[Account Code]=(TRIM($D56))),CsDJ[Debit])))+(SUM(IF((CRDJ[Ofc Code]=(TRIM(K$7)))*(CRDJ[Account Code]=(TRIM($D56))),CRDJ[Debit])))+(SUM(IF((GJ[Ofc Code]=(TRIM(K$7)))*(GJ[Account Code]=(TRIM($D56))),GJ[Debit]))))-((SUM(IF((CkDJ[Ofc Code]=(TRIM(K$7)))*(CkDJ[Account Code]=(TRIM($D56))),CkDJ[Credit])))+(SUM(IF((CsDJ[Ofc Code]=(TRIM(K$7)))*(CsDJ[Account Code]=(TRIM($D56))),CsDJ[Credit])))+(SUM(IF((CRDJ[Ofc Code]=(TRIM(K$7)))*(CRDJ[Account Code]=(TRIM($D56))),CRDJ[Credit])))+(SUM(IF((GJ[Ofc Code]=(TRIM(K$7)))*(GJ[Account Code]=(TRIM($D56))),GJ[Credit]))))</f>
        <v>0</v>
      </c>
      <c r="L56" s="211">
        <f t="array" ref="L56">((SUM(IF((CkDJ[Ofc Code]=(TRIM(L$7)))*(CkDJ[Account Code]=(TRIM($D56))),CkDJ[Debit])))+(SUM(IF((CsDJ[Ofc Code]=(TRIM(L$7)))*(CsDJ[Account Code]=(TRIM($D56))),CsDJ[Debit])))+(SUM(IF((CRDJ[Ofc Code]=(TRIM(L$7)))*(CRDJ[Account Code]=(TRIM($D56))),CRDJ[Debit])))+(SUM(IF((GJ[Ofc Code]=(TRIM(L$7)))*(GJ[Account Code]=(TRIM($D56))),GJ[Debit]))))-((SUM(IF((CkDJ[Ofc Code]=(TRIM(L$7)))*(CkDJ[Account Code]=(TRIM($D56))),CkDJ[Credit])))+(SUM(IF((CsDJ[Ofc Code]=(TRIM(L$7)))*(CsDJ[Account Code]=(TRIM($D56))),CsDJ[Credit])))+(SUM(IF((CRDJ[Ofc Code]=(TRIM(L$7)))*(CRDJ[Account Code]=(TRIM($D56))),CRDJ[Credit])))+(SUM(IF((GJ[Ofc Code]=(TRIM(L$7)))*(GJ[Account Code]=(TRIM($D56))),GJ[Credit]))))</f>
        <v>0</v>
      </c>
      <c r="M56" s="211">
        <f t="array" ref="M56">((SUM(IF((CkDJ[Ofc Code]=(TRIM(M$7)))*(CkDJ[Account Code]=(TRIM($D56))),CkDJ[Debit])))+(SUM(IF((CsDJ[Ofc Code]=(TRIM(M$7)))*(CsDJ[Account Code]=(TRIM($D56))),CsDJ[Debit])))+(SUM(IF((CRDJ[Ofc Code]=(TRIM(M$7)))*(CRDJ[Account Code]=(TRIM($D56))),CRDJ[Debit])))+(SUM(IF((GJ[Ofc Code]=(TRIM(M$7)))*(GJ[Account Code]=(TRIM($D56))),GJ[Debit]))))-((SUM(IF((CkDJ[Ofc Code]=(TRIM(M$7)))*(CkDJ[Account Code]=(TRIM($D56))),CkDJ[Credit])))+(SUM(IF((CsDJ[Ofc Code]=(TRIM(M$7)))*(CsDJ[Account Code]=(TRIM($D56))),CsDJ[Credit])))+(SUM(IF((CRDJ[Ofc Code]=(TRIM(M$7)))*(CRDJ[Account Code]=(TRIM($D56))),CRDJ[Credit])))+(SUM(IF((GJ[Ofc Code]=(TRIM(M$7)))*(GJ[Account Code]=(TRIM($D56))),GJ[Credit]))))</f>
        <v>0</v>
      </c>
      <c r="N56" s="211">
        <f t="array" ref="N56">((SUM(IF((CkDJ[Ofc Code]=(TRIM(N$7)))*(CkDJ[Account Code]=(TRIM($D56))),CkDJ[Debit])))+(SUM(IF((CsDJ[Ofc Code]=(TRIM(N$7)))*(CsDJ[Account Code]=(TRIM($D56))),CsDJ[Debit])))+(SUM(IF((CRDJ[Ofc Code]=(TRIM(N$7)))*(CRDJ[Account Code]=(TRIM($D56))),CRDJ[Debit])))+(SUM(IF((GJ[Ofc Code]=(TRIM(N$7)))*(GJ[Account Code]=(TRIM($D56))),GJ[Debit]))))-((SUM(IF((CkDJ[Ofc Code]=(TRIM(N$7)))*(CkDJ[Account Code]=(TRIM($D56))),CkDJ[Credit])))+(SUM(IF((CsDJ[Ofc Code]=(TRIM(N$7)))*(CsDJ[Account Code]=(TRIM($D56))),CsDJ[Credit])))+(SUM(IF((CRDJ[Ofc Code]=(TRIM(N$7)))*(CRDJ[Account Code]=(TRIM($D56))),CRDJ[Credit])))+(SUM(IF((GJ[Ofc Code]=(TRIM(N$7)))*(GJ[Account Code]=(TRIM($D56))),GJ[Credit]))))</f>
        <v>0</v>
      </c>
      <c r="O56" s="211">
        <f t="shared" si="9"/>
        <v>0</v>
      </c>
      <c r="P56" s="211">
        <f t="array" ref="P56">((SUM(IF((CkDJ[Ofc Code]=(TRIM(P$7)))*(CkDJ[Account Code]=(TRIM($D56))),CkDJ[Debit])))+(SUM(IF((CsDJ[Ofc Code]=(TRIM(P$7)))*(CsDJ[Account Code]=(TRIM($D56))),CsDJ[Debit])))+(SUM(IF((CRDJ[Ofc Code]=(TRIM(P$7)))*(CRDJ[Account Code]=(TRIM($D56))),CRDJ[Debit])))+(SUM(IF((GJ[Ofc Code]=(TRIM(P$7)))*(GJ[Account Code]=(TRIM($D56))),GJ[Debit]))))-((SUM(IF((CkDJ[Ofc Code]=(TRIM(P$7)))*(CkDJ[Account Code]=(TRIM($D56))),CkDJ[Credit])))+(SUM(IF((CsDJ[Ofc Code]=(TRIM(P$7)))*(CsDJ[Account Code]=(TRIM($D56))),CsDJ[Credit])))+(SUM(IF((CRDJ[Ofc Code]=(TRIM(P$7)))*(CRDJ[Account Code]=(TRIM($D56))),CRDJ[Credit])))+(SUM(IF((GJ[Ofc Code]=(TRIM(P$7)))*(GJ[Account Code]=(TRIM($D56))),GJ[Credit]))))</f>
        <v>0</v>
      </c>
      <c r="Q56" s="211">
        <f t="array" ref="Q56">((SUM(IF((CkDJ[Ofc Code]=(TRIM(Q$7)))*(CkDJ[Account Code]=(TRIM($D56))),CkDJ[Debit])))+(SUM(IF((CsDJ[Ofc Code]=(TRIM(Q$7)))*(CsDJ[Account Code]=(TRIM($D56))),CsDJ[Debit])))+(SUM(IF((CRDJ[Ofc Code]=(TRIM(Q$7)))*(CRDJ[Account Code]=(TRIM($D56))),CRDJ[Debit])))+(SUM(IF((GJ[Ofc Code]=(TRIM(Q$7)))*(GJ[Account Code]=(TRIM($D56))),GJ[Debit]))))-((SUM(IF((CkDJ[Ofc Code]=(TRIM(Q$7)))*(CkDJ[Account Code]=(TRIM($D56))),CkDJ[Credit])))+(SUM(IF((CsDJ[Ofc Code]=(TRIM(Q$7)))*(CsDJ[Account Code]=(TRIM($D56))),CsDJ[Credit])))+(SUM(IF((CRDJ[Ofc Code]=(TRIM(Q$7)))*(CRDJ[Account Code]=(TRIM($D56))),CRDJ[Credit])))+(SUM(IF((GJ[Ofc Code]=(TRIM(Q$7)))*(GJ[Account Code]=(TRIM($D56))),GJ[Credit]))))</f>
        <v>0</v>
      </c>
      <c r="R56" s="211">
        <f t="array" ref="R56">((SUM(IF((CkDJ[Ofc Code]=(TRIM(R$7)))*(CkDJ[Account Code]=(TRIM($D56))),CkDJ[Debit])))+(SUM(IF((CsDJ[Ofc Code]=(TRIM(R$7)))*(CsDJ[Account Code]=(TRIM($D56))),CsDJ[Debit])))+(SUM(IF((CRDJ[Ofc Code]=(TRIM(R$7)))*(CRDJ[Account Code]=(TRIM($D56))),CRDJ[Debit])))+(SUM(IF((GJ[Ofc Code]=(TRIM(R$7)))*(GJ[Account Code]=(TRIM($D56))),GJ[Debit]))))-((SUM(IF((CkDJ[Ofc Code]=(TRIM(R$7)))*(CkDJ[Account Code]=(TRIM($D56))),CkDJ[Credit])))+(SUM(IF((CsDJ[Ofc Code]=(TRIM(R$7)))*(CsDJ[Account Code]=(TRIM($D56))),CsDJ[Credit])))+(SUM(IF((CRDJ[Ofc Code]=(TRIM(R$7)))*(CRDJ[Account Code]=(TRIM($D56))),CRDJ[Credit])))+(SUM(IF((GJ[Ofc Code]=(TRIM(R$7)))*(GJ[Account Code]=(TRIM($D56))),GJ[Credit]))))</f>
        <v>0</v>
      </c>
      <c r="S56" s="211">
        <f t="array" ref="S56">((SUM(IF((CkDJ[Ofc Code]=(TRIM(S$7)))*(CkDJ[Account Code]=(TRIM($D56))),CkDJ[Debit])))+(SUM(IF((CsDJ[Ofc Code]=(TRIM(S$7)))*(CsDJ[Account Code]=(TRIM($D56))),CsDJ[Debit])))+(SUM(IF((CRDJ[Ofc Code]=(TRIM(S$7)))*(CRDJ[Account Code]=(TRIM($D56))),CRDJ[Debit])))+(SUM(IF((GJ[Ofc Code]=(TRIM(S$7)))*(GJ[Account Code]=(TRIM($D56))),GJ[Debit]))))-((SUM(IF((CkDJ[Ofc Code]=(TRIM(S$7)))*(CkDJ[Account Code]=(TRIM($D56))),CkDJ[Credit])))+(SUM(IF((CsDJ[Ofc Code]=(TRIM(S$7)))*(CsDJ[Account Code]=(TRIM($D56))),CsDJ[Credit])))+(SUM(IF((CRDJ[Ofc Code]=(TRIM(S$7)))*(CRDJ[Account Code]=(TRIM($D56))),CRDJ[Credit])))+(SUM(IF((GJ[Ofc Code]=(TRIM(S$7)))*(GJ[Account Code]=(TRIM($D56))),GJ[Credit]))))</f>
        <v>0</v>
      </c>
      <c r="T56" s="211">
        <f t="array" ref="T56">((SUM(IF((CkDJ[Ofc Code]=(TRIM(T$7)))*(CkDJ[Account Code]=(TRIM($D56))),CkDJ[Debit])))+(SUM(IF((CsDJ[Ofc Code]=(TRIM(T$7)))*(CsDJ[Account Code]=(TRIM($D56))),CsDJ[Debit])))+(SUM(IF((CRDJ[Ofc Code]=(TRIM(T$7)))*(CRDJ[Account Code]=(TRIM($D56))),CRDJ[Debit])))+(SUM(IF((GJ[Ofc Code]=(TRIM(T$7)))*(GJ[Account Code]=(TRIM($D56))),GJ[Debit]))))-((SUM(IF((CkDJ[Ofc Code]=(TRIM(T$7)))*(CkDJ[Account Code]=(TRIM($D56))),CkDJ[Credit])))+(SUM(IF((CsDJ[Ofc Code]=(TRIM(T$7)))*(CsDJ[Account Code]=(TRIM($D56))),CsDJ[Credit])))+(SUM(IF((CRDJ[Ofc Code]=(TRIM(T$7)))*(CRDJ[Account Code]=(TRIM($D56))),CRDJ[Credit])))+(SUM(IF((GJ[Ofc Code]=(TRIM(T$7)))*(GJ[Account Code]=(TRIM($D56))),GJ[Credit]))))</f>
        <v>0</v>
      </c>
      <c r="U56" s="211">
        <f t="shared" si="10"/>
        <v>0</v>
      </c>
      <c r="V56" s="211">
        <f t="shared" si="11"/>
        <v>0</v>
      </c>
    </row>
    <row r="57" spans="1:22" ht="15" x14ac:dyDescent="0.25">
      <c r="A57" s="212">
        <f t="shared" si="12"/>
        <v>20</v>
      </c>
      <c r="B57" s="214" t="s">
        <v>756</v>
      </c>
      <c r="C57" s="194" t="str">
        <f t="shared" si="7"/>
        <v>PhilHealth Contributions</v>
      </c>
      <c r="D57" s="215">
        <v>733</v>
      </c>
      <c r="E57" s="211">
        <f t="array" ref="E57">((SUM(IF((CkDJ[Ofc Code]=(TRIM(E$7)))*(CkDJ[Account Code]=(TRIM($D57))),CkDJ[Debit])))+(SUM(IF((CsDJ[Ofc Code]=(TRIM(E$7)))*(CsDJ[Account Code]=(TRIM($D57))),CsDJ[Debit])))+(SUM(IF((CRDJ[Ofc Code]=(TRIM(E$7)))*(CRDJ[Account Code]=(TRIM($D57))),CRDJ[Debit])))+(SUM(IF((GJ[Ofc Code]=(TRIM(E$7)))*(GJ[Account Code]=(TRIM($D57))),GJ[Debit]))))-((SUM(IF((CkDJ[Ofc Code]=(TRIM(E$7)))*(CkDJ[Account Code]=(TRIM($D57))),CkDJ[Credit])))+(SUM(IF((CsDJ[Ofc Code]=(TRIM(E$7)))*(CsDJ[Account Code]=(TRIM($D57))),CsDJ[Credit])))+(SUM(IF((CRDJ[Ofc Code]=(TRIM(E$7)))*(CRDJ[Account Code]=(TRIM($D57))),CRDJ[Credit])))+(SUM(IF((GJ[Ofc Code]=(TRIM(E$7)))*(GJ[Account Code]=(TRIM($D57))),GJ[Credit]))))</f>
        <v>0</v>
      </c>
      <c r="F57" s="211">
        <f t="array" ref="F57">((SUM(IF((CkDJ[Ofc Code]=(TRIM(F$7)))*(CkDJ[Account Code]=(TRIM($D57))),CkDJ[Debit])))+(SUM(IF((CsDJ[Ofc Code]=(TRIM(F$7)))*(CsDJ[Account Code]=(TRIM($D57))),CsDJ[Debit])))+(SUM(IF((CRDJ[Ofc Code]=(TRIM(F$7)))*(CRDJ[Account Code]=(TRIM($D57))),CRDJ[Debit])))+(SUM(IF((GJ[Ofc Code]=(TRIM(F$7)))*(GJ[Account Code]=(TRIM($D57))),GJ[Debit]))))-((SUM(IF((CkDJ[Ofc Code]=(TRIM(F$7)))*(CkDJ[Account Code]=(TRIM($D57))),CkDJ[Credit])))+(SUM(IF((CsDJ[Ofc Code]=(TRIM(F$7)))*(CsDJ[Account Code]=(TRIM($D57))),CsDJ[Credit])))+(SUM(IF((CRDJ[Ofc Code]=(TRIM(F$7)))*(CRDJ[Account Code]=(TRIM($D57))),CRDJ[Credit])))+(SUM(IF((GJ[Ofc Code]=(TRIM(F$7)))*(GJ[Account Code]=(TRIM($D57))),GJ[Credit]))))</f>
        <v>0</v>
      </c>
      <c r="G57" s="211">
        <f t="array" ref="G57">((SUM(IF((CkDJ[Ofc Code]=(TRIM(G$7)))*(CkDJ[Account Code]=(TRIM($D57))),CkDJ[Debit])))+(SUM(IF((CsDJ[Ofc Code]=(TRIM(G$7)))*(CsDJ[Account Code]=(TRIM($D57))),CsDJ[Debit])))+(SUM(IF((CRDJ[Ofc Code]=(TRIM(G$7)))*(CRDJ[Account Code]=(TRIM($D57))),CRDJ[Debit])))+(SUM(IF((GJ[Ofc Code]=(TRIM(G$7)))*(GJ[Account Code]=(TRIM($D57))),GJ[Debit]))))-((SUM(IF((CkDJ[Ofc Code]=(TRIM(G$7)))*(CkDJ[Account Code]=(TRIM($D57))),CkDJ[Credit])))+(SUM(IF((CsDJ[Ofc Code]=(TRIM(G$7)))*(CsDJ[Account Code]=(TRIM($D57))),CsDJ[Credit])))+(SUM(IF((CRDJ[Ofc Code]=(TRIM(G$7)))*(CRDJ[Account Code]=(TRIM($D57))),CRDJ[Credit])))+(SUM(IF((GJ[Ofc Code]=(TRIM(G$7)))*(GJ[Account Code]=(TRIM($D57))),GJ[Credit]))))</f>
        <v>0</v>
      </c>
      <c r="H57" s="211">
        <f t="array" ref="H57">((SUM(IF((CkDJ[Ofc Code]=(TRIM(H$7)))*(CkDJ[Account Code]=(TRIM($D57))),CkDJ[Debit])))+(SUM(IF((CsDJ[Ofc Code]=(TRIM(H$7)))*(CsDJ[Account Code]=(TRIM($D57))),CsDJ[Debit])))+(SUM(IF((CRDJ[Ofc Code]=(TRIM(H$7)))*(CRDJ[Account Code]=(TRIM($D57))),CRDJ[Debit])))+(SUM(IF((GJ[Ofc Code]=(TRIM(H$7)))*(GJ[Account Code]=(TRIM($D57))),GJ[Debit]))))-((SUM(IF((CkDJ[Ofc Code]=(TRIM(H$7)))*(CkDJ[Account Code]=(TRIM($D57))),CkDJ[Credit])))+(SUM(IF((CsDJ[Ofc Code]=(TRIM(H$7)))*(CsDJ[Account Code]=(TRIM($D57))),CsDJ[Credit])))+(SUM(IF((CRDJ[Ofc Code]=(TRIM(H$7)))*(CRDJ[Account Code]=(TRIM($D57))),CRDJ[Credit])))+(SUM(IF((GJ[Ofc Code]=(TRIM(H$7)))*(GJ[Account Code]=(TRIM($D57))),GJ[Credit]))))</f>
        <v>0</v>
      </c>
      <c r="I57" s="211">
        <f t="array" ref="I57">((SUM(IF((CkDJ[Ofc Code]=(TRIM(I$7)))*(CkDJ[Account Code]=(TRIM($D57))),CkDJ[Debit])))+(SUM(IF((CsDJ[Ofc Code]=(TRIM(I$7)))*(CsDJ[Account Code]=(TRIM($D57))),CsDJ[Debit])))+(SUM(IF((CRDJ[Ofc Code]=(TRIM(I$7)))*(CRDJ[Account Code]=(TRIM($D57))),CRDJ[Debit])))+(SUM(IF((GJ[Ofc Code]=(TRIM(I$7)))*(GJ[Account Code]=(TRIM($D57))),GJ[Debit]))))-((SUM(IF((CkDJ[Ofc Code]=(TRIM(I$7)))*(CkDJ[Account Code]=(TRIM($D57))),CkDJ[Credit])))+(SUM(IF((CsDJ[Ofc Code]=(TRIM(I$7)))*(CsDJ[Account Code]=(TRIM($D57))),CsDJ[Credit])))+(SUM(IF((CRDJ[Ofc Code]=(TRIM(I$7)))*(CRDJ[Account Code]=(TRIM($D57))),CRDJ[Credit])))+(SUM(IF((GJ[Ofc Code]=(TRIM(I$7)))*(GJ[Account Code]=(TRIM($D57))),GJ[Credit]))))</f>
        <v>0</v>
      </c>
      <c r="J57" s="211">
        <f t="shared" si="8"/>
        <v>0</v>
      </c>
      <c r="K57" s="211">
        <f t="array" ref="K57">((SUM(IF((CkDJ[Ofc Code]=(TRIM(K$7)))*(CkDJ[Account Code]=(TRIM($D57))),CkDJ[Debit])))+(SUM(IF((CsDJ[Ofc Code]=(TRIM(K$7)))*(CsDJ[Account Code]=(TRIM($D57))),CsDJ[Debit])))+(SUM(IF((CRDJ[Ofc Code]=(TRIM(K$7)))*(CRDJ[Account Code]=(TRIM($D57))),CRDJ[Debit])))+(SUM(IF((GJ[Ofc Code]=(TRIM(K$7)))*(GJ[Account Code]=(TRIM($D57))),GJ[Debit]))))-((SUM(IF((CkDJ[Ofc Code]=(TRIM(K$7)))*(CkDJ[Account Code]=(TRIM($D57))),CkDJ[Credit])))+(SUM(IF((CsDJ[Ofc Code]=(TRIM(K$7)))*(CsDJ[Account Code]=(TRIM($D57))),CsDJ[Credit])))+(SUM(IF((CRDJ[Ofc Code]=(TRIM(K$7)))*(CRDJ[Account Code]=(TRIM($D57))),CRDJ[Credit])))+(SUM(IF((GJ[Ofc Code]=(TRIM(K$7)))*(GJ[Account Code]=(TRIM($D57))),GJ[Credit]))))</f>
        <v>0</v>
      </c>
      <c r="L57" s="211">
        <f t="array" ref="L57">((SUM(IF((CkDJ[Ofc Code]=(TRIM(L$7)))*(CkDJ[Account Code]=(TRIM($D57))),CkDJ[Debit])))+(SUM(IF((CsDJ[Ofc Code]=(TRIM(L$7)))*(CsDJ[Account Code]=(TRIM($D57))),CsDJ[Debit])))+(SUM(IF((CRDJ[Ofc Code]=(TRIM(L$7)))*(CRDJ[Account Code]=(TRIM($D57))),CRDJ[Debit])))+(SUM(IF((GJ[Ofc Code]=(TRIM(L$7)))*(GJ[Account Code]=(TRIM($D57))),GJ[Debit]))))-((SUM(IF((CkDJ[Ofc Code]=(TRIM(L$7)))*(CkDJ[Account Code]=(TRIM($D57))),CkDJ[Credit])))+(SUM(IF((CsDJ[Ofc Code]=(TRIM(L$7)))*(CsDJ[Account Code]=(TRIM($D57))),CsDJ[Credit])))+(SUM(IF((CRDJ[Ofc Code]=(TRIM(L$7)))*(CRDJ[Account Code]=(TRIM($D57))),CRDJ[Credit])))+(SUM(IF((GJ[Ofc Code]=(TRIM(L$7)))*(GJ[Account Code]=(TRIM($D57))),GJ[Credit]))))</f>
        <v>0</v>
      </c>
      <c r="M57" s="211">
        <f t="array" ref="M57">((SUM(IF((CkDJ[Ofc Code]=(TRIM(M$7)))*(CkDJ[Account Code]=(TRIM($D57))),CkDJ[Debit])))+(SUM(IF((CsDJ[Ofc Code]=(TRIM(M$7)))*(CsDJ[Account Code]=(TRIM($D57))),CsDJ[Debit])))+(SUM(IF((CRDJ[Ofc Code]=(TRIM(M$7)))*(CRDJ[Account Code]=(TRIM($D57))),CRDJ[Debit])))+(SUM(IF((GJ[Ofc Code]=(TRIM(M$7)))*(GJ[Account Code]=(TRIM($D57))),GJ[Debit]))))-((SUM(IF((CkDJ[Ofc Code]=(TRIM(M$7)))*(CkDJ[Account Code]=(TRIM($D57))),CkDJ[Credit])))+(SUM(IF((CsDJ[Ofc Code]=(TRIM(M$7)))*(CsDJ[Account Code]=(TRIM($D57))),CsDJ[Credit])))+(SUM(IF((CRDJ[Ofc Code]=(TRIM(M$7)))*(CRDJ[Account Code]=(TRIM($D57))),CRDJ[Credit])))+(SUM(IF((GJ[Ofc Code]=(TRIM(M$7)))*(GJ[Account Code]=(TRIM($D57))),GJ[Credit]))))</f>
        <v>0</v>
      </c>
      <c r="N57" s="211">
        <f t="array" ref="N57">((SUM(IF((CkDJ[Ofc Code]=(TRIM(N$7)))*(CkDJ[Account Code]=(TRIM($D57))),CkDJ[Debit])))+(SUM(IF((CsDJ[Ofc Code]=(TRIM(N$7)))*(CsDJ[Account Code]=(TRIM($D57))),CsDJ[Debit])))+(SUM(IF((CRDJ[Ofc Code]=(TRIM(N$7)))*(CRDJ[Account Code]=(TRIM($D57))),CRDJ[Debit])))+(SUM(IF((GJ[Ofc Code]=(TRIM(N$7)))*(GJ[Account Code]=(TRIM($D57))),GJ[Debit]))))-((SUM(IF((CkDJ[Ofc Code]=(TRIM(N$7)))*(CkDJ[Account Code]=(TRIM($D57))),CkDJ[Credit])))+(SUM(IF((CsDJ[Ofc Code]=(TRIM(N$7)))*(CsDJ[Account Code]=(TRIM($D57))),CsDJ[Credit])))+(SUM(IF((CRDJ[Ofc Code]=(TRIM(N$7)))*(CRDJ[Account Code]=(TRIM($D57))),CRDJ[Credit])))+(SUM(IF((GJ[Ofc Code]=(TRIM(N$7)))*(GJ[Account Code]=(TRIM($D57))),GJ[Credit]))))</f>
        <v>0</v>
      </c>
      <c r="O57" s="211">
        <f t="shared" si="9"/>
        <v>0</v>
      </c>
      <c r="P57" s="211">
        <f t="array" ref="P57">((SUM(IF((CkDJ[Ofc Code]=(TRIM(P$7)))*(CkDJ[Account Code]=(TRIM($D57))),CkDJ[Debit])))+(SUM(IF((CsDJ[Ofc Code]=(TRIM(P$7)))*(CsDJ[Account Code]=(TRIM($D57))),CsDJ[Debit])))+(SUM(IF((CRDJ[Ofc Code]=(TRIM(P$7)))*(CRDJ[Account Code]=(TRIM($D57))),CRDJ[Debit])))+(SUM(IF((GJ[Ofc Code]=(TRIM(P$7)))*(GJ[Account Code]=(TRIM($D57))),GJ[Debit]))))-((SUM(IF((CkDJ[Ofc Code]=(TRIM(P$7)))*(CkDJ[Account Code]=(TRIM($D57))),CkDJ[Credit])))+(SUM(IF((CsDJ[Ofc Code]=(TRIM(P$7)))*(CsDJ[Account Code]=(TRIM($D57))),CsDJ[Credit])))+(SUM(IF((CRDJ[Ofc Code]=(TRIM(P$7)))*(CRDJ[Account Code]=(TRIM($D57))),CRDJ[Credit])))+(SUM(IF((GJ[Ofc Code]=(TRIM(P$7)))*(GJ[Account Code]=(TRIM($D57))),GJ[Credit]))))</f>
        <v>0</v>
      </c>
      <c r="Q57" s="211">
        <f t="array" ref="Q57">((SUM(IF((CkDJ[Ofc Code]=(TRIM(Q$7)))*(CkDJ[Account Code]=(TRIM($D57))),CkDJ[Debit])))+(SUM(IF((CsDJ[Ofc Code]=(TRIM(Q$7)))*(CsDJ[Account Code]=(TRIM($D57))),CsDJ[Debit])))+(SUM(IF((CRDJ[Ofc Code]=(TRIM(Q$7)))*(CRDJ[Account Code]=(TRIM($D57))),CRDJ[Debit])))+(SUM(IF((GJ[Ofc Code]=(TRIM(Q$7)))*(GJ[Account Code]=(TRIM($D57))),GJ[Debit]))))-((SUM(IF((CkDJ[Ofc Code]=(TRIM(Q$7)))*(CkDJ[Account Code]=(TRIM($D57))),CkDJ[Credit])))+(SUM(IF((CsDJ[Ofc Code]=(TRIM(Q$7)))*(CsDJ[Account Code]=(TRIM($D57))),CsDJ[Credit])))+(SUM(IF((CRDJ[Ofc Code]=(TRIM(Q$7)))*(CRDJ[Account Code]=(TRIM($D57))),CRDJ[Credit])))+(SUM(IF((GJ[Ofc Code]=(TRIM(Q$7)))*(GJ[Account Code]=(TRIM($D57))),GJ[Credit]))))</f>
        <v>0</v>
      </c>
      <c r="R57" s="211">
        <f t="array" ref="R57">((SUM(IF((CkDJ[Ofc Code]=(TRIM(R$7)))*(CkDJ[Account Code]=(TRIM($D57))),CkDJ[Debit])))+(SUM(IF((CsDJ[Ofc Code]=(TRIM(R$7)))*(CsDJ[Account Code]=(TRIM($D57))),CsDJ[Debit])))+(SUM(IF((CRDJ[Ofc Code]=(TRIM(R$7)))*(CRDJ[Account Code]=(TRIM($D57))),CRDJ[Debit])))+(SUM(IF((GJ[Ofc Code]=(TRIM(R$7)))*(GJ[Account Code]=(TRIM($D57))),GJ[Debit]))))-((SUM(IF((CkDJ[Ofc Code]=(TRIM(R$7)))*(CkDJ[Account Code]=(TRIM($D57))),CkDJ[Credit])))+(SUM(IF((CsDJ[Ofc Code]=(TRIM(R$7)))*(CsDJ[Account Code]=(TRIM($D57))),CsDJ[Credit])))+(SUM(IF((CRDJ[Ofc Code]=(TRIM(R$7)))*(CRDJ[Account Code]=(TRIM($D57))),CRDJ[Credit])))+(SUM(IF((GJ[Ofc Code]=(TRIM(R$7)))*(GJ[Account Code]=(TRIM($D57))),GJ[Credit]))))</f>
        <v>0</v>
      </c>
      <c r="S57" s="211">
        <f t="array" ref="S57">((SUM(IF((CkDJ[Ofc Code]=(TRIM(S$7)))*(CkDJ[Account Code]=(TRIM($D57))),CkDJ[Debit])))+(SUM(IF((CsDJ[Ofc Code]=(TRIM(S$7)))*(CsDJ[Account Code]=(TRIM($D57))),CsDJ[Debit])))+(SUM(IF((CRDJ[Ofc Code]=(TRIM(S$7)))*(CRDJ[Account Code]=(TRIM($D57))),CRDJ[Debit])))+(SUM(IF((GJ[Ofc Code]=(TRIM(S$7)))*(GJ[Account Code]=(TRIM($D57))),GJ[Debit]))))-((SUM(IF((CkDJ[Ofc Code]=(TRIM(S$7)))*(CkDJ[Account Code]=(TRIM($D57))),CkDJ[Credit])))+(SUM(IF((CsDJ[Ofc Code]=(TRIM(S$7)))*(CsDJ[Account Code]=(TRIM($D57))),CsDJ[Credit])))+(SUM(IF((CRDJ[Ofc Code]=(TRIM(S$7)))*(CRDJ[Account Code]=(TRIM($D57))),CRDJ[Credit])))+(SUM(IF((GJ[Ofc Code]=(TRIM(S$7)))*(GJ[Account Code]=(TRIM($D57))),GJ[Credit]))))</f>
        <v>0</v>
      </c>
      <c r="T57" s="211">
        <f t="array" ref="T57">((SUM(IF((CkDJ[Ofc Code]=(TRIM(T$7)))*(CkDJ[Account Code]=(TRIM($D57))),CkDJ[Debit])))+(SUM(IF((CsDJ[Ofc Code]=(TRIM(T$7)))*(CsDJ[Account Code]=(TRIM($D57))),CsDJ[Debit])))+(SUM(IF((CRDJ[Ofc Code]=(TRIM(T$7)))*(CRDJ[Account Code]=(TRIM($D57))),CRDJ[Debit])))+(SUM(IF((GJ[Ofc Code]=(TRIM(T$7)))*(GJ[Account Code]=(TRIM($D57))),GJ[Debit]))))-((SUM(IF((CkDJ[Ofc Code]=(TRIM(T$7)))*(CkDJ[Account Code]=(TRIM($D57))),CkDJ[Credit])))+(SUM(IF((CsDJ[Ofc Code]=(TRIM(T$7)))*(CsDJ[Account Code]=(TRIM($D57))),CsDJ[Credit])))+(SUM(IF((CRDJ[Ofc Code]=(TRIM(T$7)))*(CRDJ[Account Code]=(TRIM($D57))),CRDJ[Credit])))+(SUM(IF((GJ[Ofc Code]=(TRIM(T$7)))*(GJ[Account Code]=(TRIM($D57))),GJ[Credit]))))</f>
        <v>0</v>
      </c>
      <c r="U57" s="211">
        <f t="shared" si="10"/>
        <v>0</v>
      </c>
      <c r="V57" s="211">
        <f t="shared" si="11"/>
        <v>0</v>
      </c>
    </row>
    <row r="58" spans="1:22" ht="15" x14ac:dyDescent="0.25">
      <c r="A58" s="212">
        <f t="shared" si="12"/>
        <v>21</v>
      </c>
      <c r="B58" s="214" t="s">
        <v>756</v>
      </c>
      <c r="C58" s="194" t="str">
        <f t="shared" si="7"/>
        <v>Employees Compensation Insurance Premiums</v>
      </c>
      <c r="D58" s="215">
        <v>734</v>
      </c>
      <c r="E58" s="211">
        <f t="array" ref="E58">((SUM(IF((CkDJ[Ofc Code]=(TRIM(E$7)))*(CkDJ[Account Code]=(TRIM($D58))),CkDJ[Debit])))+(SUM(IF((CsDJ[Ofc Code]=(TRIM(E$7)))*(CsDJ[Account Code]=(TRIM($D58))),CsDJ[Debit])))+(SUM(IF((CRDJ[Ofc Code]=(TRIM(E$7)))*(CRDJ[Account Code]=(TRIM($D58))),CRDJ[Debit])))+(SUM(IF((GJ[Ofc Code]=(TRIM(E$7)))*(GJ[Account Code]=(TRIM($D58))),GJ[Debit]))))-((SUM(IF((CkDJ[Ofc Code]=(TRIM(E$7)))*(CkDJ[Account Code]=(TRIM($D58))),CkDJ[Credit])))+(SUM(IF((CsDJ[Ofc Code]=(TRIM(E$7)))*(CsDJ[Account Code]=(TRIM($D58))),CsDJ[Credit])))+(SUM(IF((CRDJ[Ofc Code]=(TRIM(E$7)))*(CRDJ[Account Code]=(TRIM($D58))),CRDJ[Credit])))+(SUM(IF((GJ[Ofc Code]=(TRIM(E$7)))*(GJ[Account Code]=(TRIM($D58))),GJ[Credit]))))</f>
        <v>0</v>
      </c>
      <c r="F58" s="211">
        <f t="array" ref="F58">((SUM(IF((CkDJ[Ofc Code]=(TRIM(F$7)))*(CkDJ[Account Code]=(TRIM($D58))),CkDJ[Debit])))+(SUM(IF((CsDJ[Ofc Code]=(TRIM(F$7)))*(CsDJ[Account Code]=(TRIM($D58))),CsDJ[Debit])))+(SUM(IF((CRDJ[Ofc Code]=(TRIM(F$7)))*(CRDJ[Account Code]=(TRIM($D58))),CRDJ[Debit])))+(SUM(IF((GJ[Ofc Code]=(TRIM(F$7)))*(GJ[Account Code]=(TRIM($D58))),GJ[Debit]))))-((SUM(IF((CkDJ[Ofc Code]=(TRIM(F$7)))*(CkDJ[Account Code]=(TRIM($D58))),CkDJ[Credit])))+(SUM(IF((CsDJ[Ofc Code]=(TRIM(F$7)))*(CsDJ[Account Code]=(TRIM($D58))),CsDJ[Credit])))+(SUM(IF((CRDJ[Ofc Code]=(TRIM(F$7)))*(CRDJ[Account Code]=(TRIM($D58))),CRDJ[Credit])))+(SUM(IF((GJ[Ofc Code]=(TRIM(F$7)))*(GJ[Account Code]=(TRIM($D58))),GJ[Credit]))))</f>
        <v>0</v>
      </c>
      <c r="G58" s="211">
        <f t="array" ref="G58">((SUM(IF((CkDJ[Ofc Code]=(TRIM(G$7)))*(CkDJ[Account Code]=(TRIM($D58))),CkDJ[Debit])))+(SUM(IF((CsDJ[Ofc Code]=(TRIM(G$7)))*(CsDJ[Account Code]=(TRIM($D58))),CsDJ[Debit])))+(SUM(IF((CRDJ[Ofc Code]=(TRIM(G$7)))*(CRDJ[Account Code]=(TRIM($D58))),CRDJ[Debit])))+(SUM(IF((GJ[Ofc Code]=(TRIM(G$7)))*(GJ[Account Code]=(TRIM($D58))),GJ[Debit]))))-((SUM(IF((CkDJ[Ofc Code]=(TRIM(G$7)))*(CkDJ[Account Code]=(TRIM($D58))),CkDJ[Credit])))+(SUM(IF((CsDJ[Ofc Code]=(TRIM(G$7)))*(CsDJ[Account Code]=(TRIM($D58))),CsDJ[Credit])))+(SUM(IF((CRDJ[Ofc Code]=(TRIM(G$7)))*(CRDJ[Account Code]=(TRIM($D58))),CRDJ[Credit])))+(SUM(IF((GJ[Ofc Code]=(TRIM(G$7)))*(GJ[Account Code]=(TRIM($D58))),GJ[Credit]))))</f>
        <v>0</v>
      </c>
      <c r="H58" s="211">
        <f t="array" ref="H58">((SUM(IF((CkDJ[Ofc Code]=(TRIM(H$7)))*(CkDJ[Account Code]=(TRIM($D58))),CkDJ[Debit])))+(SUM(IF((CsDJ[Ofc Code]=(TRIM(H$7)))*(CsDJ[Account Code]=(TRIM($D58))),CsDJ[Debit])))+(SUM(IF((CRDJ[Ofc Code]=(TRIM(H$7)))*(CRDJ[Account Code]=(TRIM($D58))),CRDJ[Debit])))+(SUM(IF((GJ[Ofc Code]=(TRIM(H$7)))*(GJ[Account Code]=(TRIM($D58))),GJ[Debit]))))-((SUM(IF((CkDJ[Ofc Code]=(TRIM(H$7)))*(CkDJ[Account Code]=(TRIM($D58))),CkDJ[Credit])))+(SUM(IF((CsDJ[Ofc Code]=(TRIM(H$7)))*(CsDJ[Account Code]=(TRIM($D58))),CsDJ[Credit])))+(SUM(IF((CRDJ[Ofc Code]=(TRIM(H$7)))*(CRDJ[Account Code]=(TRIM($D58))),CRDJ[Credit])))+(SUM(IF((GJ[Ofc Code]=(TRIM(H$7)))*(GJ[Account Code]=(TRIM($D58))),GJ[Credit]))))</f>
        <v>0</v>
      </c>
      <c r="I58" s="211">
        <f t="array" ref="I58">((SUM(IF((CkDJ[Ofc Code]=(TRIM(I$7)))*(CkDJ[Account Code]=(TRIM($D58))),CkDJ[Debit])))+(SUM(IF((CsDJ[Ofc Code]=(TRIM(I$7)))*(CsDJ[Account Code]=(TRIM($D58))),CsDJ[Debit])))+(SUM(IF((CRDJ[Ofc Code]=(TRIM(I$7)))*(CRDJ[Account Code]=(TRIM($D58))),CRDJ[Debit])))+(SUM(IF((GJ[Ofc Code]=(TRIM(I$7)))*(GJ[Account Code]=(TRIM($D58))),GJ[Debit]))))-((SUM(IF((CkDJ[Ofc Code]=(TRIM(I$7)))*(CkDJ[Account Code]=(TRIM($D58))),CkDJ[Credit])))+(SUM(IF((CsDJ[Ofc Code]=(TRIM(I$7)))*(CsDJ[Account Code]=(TRIM($D58))),CsDJ[Credit])))+(SUM(IF((CRDJ[Ofc Code]=(TRIM(I$7)))*(CRDJ[Account Code]=(TRIM($D58))),CRDJ[Credit])))+(SUM(IF((GJ[Ofc Code]=(TRIM(I$7)))*(GJ[Account Code]=(TRIM($D58))),GJ[Credit]))))</f>
        <v>0</v>
      </c>
      <c r="J58" s="211">
        <f t="shared" si="8"/>
        <v>0</v>
      </c>
      <c r="K58" s="211">
        <f t="array" ref="K58">((SUM(IF((CkDJ[Ofc Code]=(TRIM(K$7)))*(CkDJ[Account Code]=(TRIM($D58))),CkDJ[Debit])))+(SUM(IF((CsDJ[Ofc Code]=(TRIM(K$7)))*(CsDJ[Account Code]=(TRIM($D58))),CsDJ[Debit])))+(SUM(IF((CRDJ[Ofc Code]=(TRIM(K$7)))*(CRDJ[Account Code]=(TRIM($D58))),CRDJ[Debit])))+(SUM(IF((GJ[Ofc Code]=(TRIM(K$7)))*(GJ[Account Code]=(TRIM($D58))),GJ[Debit]))))-((SUM(IF((CkDJ[Ofc Code]=(TRIM(K$7)))*(CkDJ[Account Code]=(TRIM($D58))),CkDJ[Credit])))+(SUM(IF((CsDJ[Ofc Code]=(TRIM(K$7)))*(CsDJ[Account Code]=(TRIM($D58))),CsDJ[Credit])))+(SUM(IF((CRDJ[Ofc Code]=(TRIM(K$7)))*(CRDJ[Account Code]=(TRIM($D58))),CRDJ[Credit])))+(SUM(IF((GJ[Ofc Code]=(TRIM(K$7)))*(GJ[Account Code]=(TRIM($D58))),GJ[Credit]))))</f>
        <v>0</v>
      </c>
      <c r="L58" s="211">
        <f t="array" ref="L58">((SUM(IF((CkDJ[Ofc Code]=(TRIM(L$7)))*(CkDJ[Account Code]=(TRIM($D58))),CkDJ[Debit])))+(SUM(IF((CsDJ[Ofc Code]=(TRIM(L$7)))*(CsDJ[Account Code]=(TRIM($D58))),CsDJ[Debit])))+(SUM(IF((CRDJ[Ofc Code]=(TRIM(L$7)))*(CRDJ[Account Code]=(TRIM($D58))),CRDJ[Debit])))+(SUM(IF((GJ[Ofc Code]=(TRIM(L$7)))*(GJ[Account Code]=(TRIM($D58))),GJ[Debit]))))-((SUM(IF((CkDJ[Ofc Code]=(TRIM(L$7)))*(CkDJ[Account Code]=(TRIM($D58))),CkDJ[Credit])))+(SUM(IF((CsDJ[Ofc Code]=(TRIM(L$7)))*(CsDJ[Account Code]=(TRIM($D58))),CsDJ[Credit])))+(SUM(IF((CRDJ[Ofc Code]=(TRIM(L$7)))*(CRDJ[Account Code]=(TRIM($D58))),CRDJ[Credit])))+(SUM(IF((GJ[Ofc Code]=(TRIM(L$7)))*(GJ[Account Code]=(TRIM($D58))),GJ[Credit]))))</f>
        <v>0</v>
      </c>
      <c r="M58" s="211">
        <f t="array" ref="M58">((SUM(IF((CkDJ[Ofc Code]=(TRIM(M$7)))*(CkDJ[Account Code]=(TRIM($D58))),CkDJ[Debit])))+(SUM(IF((CsDJ[Ofc Code]=(TRIM(M$7)))*(CsDJ[Account Code]=(TRIM($D58))),CsDJ[Debit])))+(SUM(IF((CRDJ[Ofc Code]=(TRIM(M$7)))*(CRDJ[Account Code]=(TRIM($D58))),CRDJ[Debit])))+(SUM(IF((GJ[Ofc Code]=(TRIM(M$7)))*(GJ[Account Code]=(TRIM($D58))),GJ[Debit]))))-((SUM(IF((CkDJ[Ofc Code]=(TRIM(M$7)))*(CkDJ[Account Code]=(TRIM($D58))),CkDJ[Credit])))+(SUM(IF((CsDJ[Ofc Code]=(TRIM(M$7)))*(CsDJ[Account Code]=(TRIM($D58))),CsDJ[Credit])))+(SUM(IF((CRDJ[Ofc Code]=(TRIM(M$7)))*(CRDJ[Account Code]=(TRIM($D58))),CRDJ[Credit])))+(SUM(IF((GJ[Ofc Code]=(TRIM(M$7)))*(GJ[Account Code]=(TRIM($D58))),GJ[Credit]))))</f>
        <v>0</v>
      </c>
      <c r="N58" s="211">
        <f t="array" ref="N58">((SUM(IF((CkDJ[Ofc Code]=(TRIM(N$7)))*(CkDJ[Account Code]=(TRIM($D58))),CkDJ[Debit])))+(SUM(IF((CsDJ[Ofc Code]=(TRIM(N$7)))*(CsDJ[Account Code]=(TRIM($D58))),CsDJ[Debit])))+(SUM(IF((CRDJ[Ofc Code]=(TRIM(N$7)))*(CRDJ[Account Code]=(TRIM($D58))),CRDJ[Debit])))+(SUM(IF((GJ[Ofc Code]=(TRIM(N$7)))*(GJ[Account Code]=(TRIM($D58))),GJ[Debit]))))-((SUM(IF((CkDJ[Ofc Code]=(TRIM(N$7)))*(CkDJ[Account Code]=(TRIM($D58))),CkDJ[Credit])))+(SUM(IF((CsDJ[Ofc Code]=(TRIM(N$7)))*(CsDJ[Account Code]=(TRIM($D58))),CsDJ[Credit])))+(SUM(IF((CRDJ[Ofc Code]=(TRIM(N$7)))*(CRDJ[Account Code]=(TRIM($D58))),CRDJ[Credit])))+(SUM(IF((GJ[Ofc Code]=(TRIM(N$7)))*(GJ[Account Code]=(TRIM($D58))),GJ[Credit]))))</f>
        <v>0</v>
      </c>
      <c r="O58" s="211">
        <f t="shared" si="9"/>
        <v>0</v>
      </c>
      <c r="P58" s="211">
        <f t="array" ref="P58">((SUM(IF((CkDJ[Ofc Code]=(TRIM(P$7)))*(CkDJ[Account Code]=(TRIM($D58))),CkDJ[Debit])))+(SUM(IF((CsDJ[Ofc Code]=(TRIM(P$7)))*(CsDJ[Account Code]=(TRIM($D58))),CsDJ[Debit])))+(SUM(IF((CRDJ[Ofc Code]=(TRIM(P$7)))*(CRDJ[Account Code]=(TRIM($D58))),CRDJ[Debit])))+(SUM(IF((GJ[Ofc Code]=(TRIM(P$7)))*(GJ[Account Code]=(TRIM($D58))),GJ[Debit]))))-((SUM(IF((CkDJ[Ofc Code]=(TRIM(P$7)))*(CkDJ[Account Code]=(TRIM($D58))),CkDJ[Credit])))+(SUM(IF((CsDJ[Ofc Code]=(TRIM(P$7)))*(CsDJ[Account Code]=(TRIM($D58))),CsDJ[Credit])))+(SUM(IF((CRDJ[Ofc Code]=(TRIM(P$7)))*(CRDJ[Account Code]=(TRIM($D58))),CRDJ[Credit])))+(SUM(IF((GJ[Ofc Code]=(TRIM(P$7)))*(GJ[Account Code]=(TRIM($D58))),GJ[Credit]))))</f>
        <v>0</v>
      </c>
      <c r="Q58" s="211">
        <f t="array" ref="Q58">((SUM(IF((CkDJ[Ofc Code]=(TRIM(Q$7)))*(CkDJ[Account Code]=(TRIM($D58))),CkDJ[Debit])))+(SUM(IF((CsDJ[Ofc Code]=(TRIM(Q$7)))*(CsDJ[Account Code]=(TRIM($D58))),CsDJ[Debit])))+(SUM(IF((CRDJ[Ofc Code]=(TRIM(Q$7)))*(CRDJ[Account Code]=(TRIM($D58))),CRDJ[Debit])))+(SUM(IF((GJ[Ofc Code]=(TRIM(Q$7)))*(GJ[Account Code]=(TRIM($D58))),GJ[Debit]))))-((SUM(IF((CkDJ[Ofc Code]=(TRIM(Q$7)))*(CkDJ[Account Code]=(TRIM($D58))),CkDJ[Credit])))+(SUM(IF((CsDJ[Ofc Code]=(TRIM(Q$7)))*(CsDJ[Account Code]=(TRIM($D58))),CsDJ[Credit])))+(SUM(IF((CRDJ[Ofc Code]=(TRIM(Q$7)))*(CRDJ[Account Code]=(TRIM($D58))),CRDJ[Credit])))+(SUM(IF((GJ[Ofc Code]=(TRIM(Q$7)))*(GJ[Account Code]=(TRIM($D58))),GJ[Credit]))))</f>
        <v>0</v>
      </c>
      <c r="R58" s="211">
        <f t="array" ref="R58">((SUM(IF((CkDJ[Ofc Code]=(TRIM(R$7)))*(CkDJ[Account Code]=(TRIM($D58))),CkDJ[Debit])))+(SUM(IF((CsDJ[Ofc Code]=(TRIM(R$7)))*(CsDJ[Account Code]=(TRIM($D58))),CsDJ[Debit])))+(SUM(IF((CRDJ[Ofc Code]=(TRIM(R$7)))*(CRDJ[Account Code]=(TRIM($D58))),CRDJ[Debit])))+(SUM(IF((GJ[Ofc Code]=(TRIM(R$7)))*(GJ[Account Code]=(TRIM($D58))),GJ[Debit]))))-((SUM(IF((CkDJ[Ofc Code]=(TRIM(R$7)))*(CkDJ[Account Code]=(TRIM($D58))),CkDJ[Credit])))+(SUM(IF((CsDJ[Ofc Code]=(TRIM(R$7)))*(CsDJ[Account Code]=(TRIM($D58))),CsDJ[Credit])))+(SUM(IF((CRDJ[Ofc Code]=(TRIM(R$7)))*(CRDJ[Account Code]=(TRIM($D58))),CRDJ[Credit])))+(SUM(IF((GJ[Ofc Code]=(TRIM(R$7)))*(GJ[Account Code]=(TRIM($D58))),GJ[Credit]))))</f>
        <v>0</v>
      </c>
      <c r="S58" s="211">
        <f t="array" ref="S58">((SUM(IF((CkDJ[Ofc Code]=(TRIM(S$7)))*(CkDJ[Account Code]=(TRIM($D58))),CkDJ[Debit])))+(SUM(IF((CsDJ[Ofc Code]=(TRIM(S$7)))*(CsDJ[Account Code]=(TRIM($D58))),CsDJ[Debit])))+(SUM(IF((CRDJ[Ofc Code]=(TRIM(S$7)))*(CRDJ[Account Code]=(TRIM($D58))),CRDJ[Debit])))+(SUM(IF((GJ[Ofc Code]=(TRIM(S$7)))*(GJ[Account Code]=(TRIM($D58))),GJ[Debit]))))-((SUM(IF((CkDJ[Ofc Code]=(TRIM(S$7)))*(CkDJ[Account Code]=(TRIM($D58))),CkDJ[Credit])))+(SUM(IF((CsDJ[Ofc Code]=(TRIM(S$7)))*(CsDJ[Account Code]=(TRIM($D58))),CsDJ[Credit])))+(SUM(IF((CRDJ[Ofc Code]=(TRIM(S$7)))*(CRDJ[Account Code]=(TRIM($D58))),CRDJ[Credit])))+(SUM(IF((GJ[Ofc Code]=(TRIM(S$7)))*(GJ[Account Code]=(TRIM($D58))),GJ[Credit]))))</f>
        <v>0</v>
      </c>
      <c r="T58" s="211">
        <f t="array" ref="T58">((SUM(IF((CkDJ[Ofc Code]=(TRIM(T$7)))*(CkDJ[Account Code]=(TRIM($D58))),CkDJ[Debit])))+(SUM(IF((CsDJ[Ofc Code]=(TRIM(T$7)))*(CsDJ[Account Code]=(TRIM($D58))),CsDJ[Debit])))+(SUM(IF((CRDJ[Ofc Code]=(TRIM(T$7)))*(CRDJ[Account Code]=(TRIM($D58))),CRDJ[Debit])))+(SUM(IF((GJ[Ofc Code]=(TRIM(T$7)))*(GJ[Account Code]=(TRIM($D58))),GJ[Debit]))))-((SUM(IF((CkDJ[Ofc Code]=(TRIM(T$7)))*(CkDJ[Account Code]=(TRIM($D58))),CkDJ[Credit])))+(SUM(IF((CsDJ[Ofc Code]=(TRIM(T$7)))*(CsDJ[Account Code]=(TRIM($D58))),CsDJ[Credit])))+(SUM(IF((CRDJ[Ofc Code]=(TRIM(T$7)))*(CRDJ[Account Code]=(TRIM($D58))),CRDJ[Credit])))+(SUM(IF((GJ[Ofc Code]=(TRIM(T$7)))*(GJ[Account Code]=(TRIM($D58))),GJ[Credit]))))</f>
        <v>0</v>
      </c>
      <c r="U58" s="211">
        <f t="shared" si="10"/>
        <v>0</v>
      </c>
      <c r="V58" s="211">
        <f t="shared" si="11"/>
        <v>0</v>
      </c>
    </row>
    <row r="59" spans="1:22" ht="15" x14ac:dyDescent="0.25">
      <c r="A59" s="212">
        <f t="shared" si="12"/>
        <v>22</v>
      </c>
      <c r="B59" s="214" t="s">
        <v>756</v>
      </c>
      <c r="C59" s="194" t="str">
        <f>IF(D59=0,"",(VLOOKUP((TRIM(D59)),Code,2,)))</f>
        <v>Terminal Leave Benefits</v>
      </c>
      <c r="D59" s="215">
        <v>742</v>
      </c>
      <c r="E59" s="211">
        <f t="array" ref="E59">((SUM(IF((CkDJ[Ofc Code]=(TRIM(E$7)))*(CkDJ[Account Code]=(TRIM($D59))),CkDJ[Debit])))+(SUM(IF((CsDJ[Ofc Code]=(TRIM(E$7)))*(CsDJ[Account Code]=(TRIM($D59))),CsDJ[Debit])))+(SUM(IF((CRDJ[Ofc Code]=(TRIM(E$7)))*(CRDJ[Account Code]=(TRIM($D59))),CRDJ[Debit])))+(SUM(IF((GJ[Ofc Code]=(TRIM(E$7)))*(GJ[Account Code]=(TRIM($D59))),GJ[Debit]))))-((SUM(IF((CkDJ[Ofc Code]=(TRIM(E$7)))*(CkDJ[Account Code]=(TRIM($D59))),CkDJ[Credit])))+(SUM(IF((CsDJ[Ofc Code]=(TRIM(E$7)))*(CsDJ[Account Code]=(TRIM($D59))),CsDJ[Credit])))+(SUM(IF((CRDJ[Ofc Code]=(TRIM(E$7)))*(CRDJ[Account Code]=(TRIM($D59))),CRDJ[Credit])))+(SUM(IF((GJ[Ofc Code]=(TRIM(E$7)))*(GJ[Account Code]=(TRIM($D59))),GJ[Credit]))))</f>
        <v>0</v>
      </c>
      <c r="F59" s="211">
        <f t="array" ref="F59">((SUM(IF((CkDJ[Ofc Code]=(TRIM(F$7)))*(CkDJ[Account Code]=(TRIM($D59))),CkDJ[Debit])))+(SUM(IF((CsDJ[Ofc Code]=(TRIM(F$7)))*(CsDJ[Account Code]=(TRIM($D59))),CsDJ[Debit])))+(SUM(IF((CRDJ[Ofc Code]=(TRIM(F$7)))*(CRDJ[Account Code]=(TRIM($D59))),CRDJ[Debit])))+(SUM(IF((GJ[Ofc Code]=(TRIM(F$7)))*(GJ[Account Code]=(TRIM($D59))),GJ[Debit]))))-((SUM(IF((CkDJ[Ofc Code]=(TRIM(F$7)))*(CkDJ[Account Code]=(TRIM($D59))),CkDJ[Credit])))+(SUM(IF((CsDJ[Ofc Code]=(TRIM(F$7)))*(CsDJ[Account Code]=(TRIM($D59))),CsDJ[Credit])))+(SUM(IF((CRDJ[Ofc Code]=(TRIM(F$7)))*(CRDJ[Account Code]=(TRIM($D59))),CRDJ[Credit])))+(SUM(IF((GJ[Ofc Code]=(TRIM(F$7)))*(GJ[Account Code]=(TRIM($D59))),GJ[Credit]))))</f>
        <v>0</v>
      </c>
      <c r="G59" s="211">
        <f t="array" ref="G59">((SUM(IF((CkDJ[Ofc Code]=(TRIM(G$7)))*(CkDJ[Account Code]=(TRIM($D59))),CkDJ[Debit])))+(SUM(IF((CsDJ[Ofc Code]=(TRIM(G$7)))*(CsDJ[Account Code]=(TRIM($D59))),CsDJ[Debit])))+(SUM(IF((CRDJ[Ofc Code]=(TRIM(G$7)))*(CRDJ[Account Code]=(TRIM($D59))),CRDJ[Debit])))+(SUM(IF((GJ[Ofc Code]=(TRIM(G$7)))*(GJ[Account Code]=(TRIM($D59))),GJ[Debit]))))-((SUM(IF((CkDJ[Ofc Code]=(TRIM(G$7)))*(CkDJ[Account Code]=(TRIM($D59))),CkDJ[Credit])))+(SUM(IF((CsDJ[Ofc Code]=(TRIM(G$7)))*(CsDJ[Account Code]=(TRIM($D59))),CsDJ[Credit])))+(SUM(IF((CRDJ[Ofc Code]=(TRIM(G$7)))*(CRDJ[Account Code]=(TRIM($D59))),CRDJ[Credit])))+(SUM(IF((GJ[Ofc Code]=(TRIM(G$7)))*(GJ[Account Code]=(TRIM($D59))),GJ[Credit]))))</f>
        <v>0</v>
      </c>
      <c r="H59" s="211">
        <f t="array" ref="H59">((SUM(IF((CkDJ[Ofc Code]=(TRIM(H$7)))*(CkDJ[Account Code]=(TRIM($D59))),CkDJ[Debit])))+(SUM(IF((CsDJ[Ofc Code]=(TRIM(H$7)))*(CsDJ[Account Code]=(TRIM($D59))),CsDJ[Debit])))+(SUM(IF((CRDJ[Ofc Code]=(TRIM(H$7)))*(CRDJ[Account Code]=(TRIM($D59))),CRDJ[Debit])))+(SUM(IF((GJ[Ofc Code]=(TRIM(H$7)))*(GJ[Account Code]=(TRIM($D59))),GJ[Debit]))))-((SUM(IF((CkDJ[Ofc Code]=(TRIM(H$7)))*(CkDJ[Account Code]=(TRIM($D59))),CkDJ[Credit])))+(SUM(IF((CsDJ[Ofc Code]=(TRIM(H$7)))*(CsDJ[Account Code]=(TRIM($D59))),CsDJ[Credit])))+(SUM(IF((CRDJ[Ofc Code]=(TRIM(H$7)))*(CRDJ[Account Code]=(TRIM($D59))),CRDJ[Credit])))+(SUM(IF((GJ[Ofc Code]=(TRIM(H$7)))*(GJ[Account Code]=(TRIM($D59))),GJ[Credit]))))</f>
        <v>0</v>
      </c>
      <c r="I59" s="211">
        <f t="array" ref="I59">((SUM(IF((CkDJ[Ofc Code]=(TRIM(I$7)))*(CkDJ[Account Code]=(TRIM($D59))),CkDJ[Debit])))+(SUM(IF((CsDJ[Ofc Code]=(TRIM(I$7)))*(CsDJ[Account Code]=(TRIM($D59))),CsDJ[Debit])))+(SUM(IF((CRDJ[Ofc Code]=(TRIM(I$7)))*(CRDJ[Account Code]=(TRIM($D59))),CRDJ[Debit])))+(SUM(IF((GJ[Ofc Code]=(TRIM(I$7)))*(GJ[Account Code]=(TRIM($D59))),GJ[Debit]))))-((SUM(IF((CkDJ[Ofc Code]=(TRIM(I$7)))*(CkDJ[Account Code]=(TRIM($D59))),CkDJ[Credit])))+(SUM(IF((CsDJ[Ofc Code]=(TRIM(I$7)))*(CsDJ[Account Code]=(TRIM($D59))),CsDJ[Credit])))+(SUM(IF((CRDJ[Ofc Code]=(TRIM(I$7)))*(CRDJ[Account Code]=(TRIM($D59))),CRDJ[Credit])))+(SUM(IF((GJ[Ofc Code]=(TRIM(I$7)))*(GJ[Account Code]=(TRIM($D59))),GJ[Credit]))))</f>
        <v>0</v>
      </c>
      <c r="J59" s="211">
        <f>SUM(F59:I59)</f>
        <v>0</v>
      </c>
      <c r="K59" s="211">
        <f t="array" ref="K59">((SUM(IF((CkDJ[Ofc Code]=(TRIM(K$7)))*(CkDJ[Account Code]=(TRIM($D59))),CkDJ[Debit])))+(SUM(IF((CsDJ[Ofc Code]=(TRIM(K$7)))*(CsDJ[Account Code]=(TRIM($D59))),CsDJ[Debit])))+(SUM(IF((CRDJ[Ofc Code]=(TRIM(K$7)))*(CRDJ[Account Code]=(TRIM($D59))),CRDJ[Debit])))+(SUM(IF((GJ[Ofc Code]=(TRIM(K$7)))*(GJ[Account Code]=(TRIM($D59))),GJ[Debit]))))-((SUM(IF((CkDJ[Ofc Code]=(TRIM(K$7)))*(CkDJ[Account Code]=(TRIM($D59))),CkDJ[Credit])))+(SUM(IF((CsDJ[Ofc Code]=(TRIM(K$7)))*(CsDJ[Account Code]=(TRIM($D59))),CsDJ[Credit])))+(SUM(IF((CRDJ[Ofc Code]=(TRIM(K$7)))*(CRDJ[Account Code]=(TRIM($D59))),CRDJ[Credit])))+(SUM(IF((GJ[Ofc Code]=(TRIM(K$7)))*(GJ[Account Code]=(TRIM($D59))),GJ[Credit]))))</f>
        <v>0</v>
      </c>
      <c r="L59" s="211">
        <f t="array" ref="L59">((SUM(IF((CkDJ[Ofc Code]=(TRIM(L$7)))*(CkDJ[Account Code]=(TRIM($D59))),CkDJ[Debit])))+(SUM(IF((CsDJ[Ofc Code]=(TRIM(L$7)))*(CsDJ[Account Code]=(TRIM($D59))),CsDJ[Debit])))+(SUM(IF((CRDJ[Ofc Code]=(TRIM(L$7)))*(CRDJ[Account Code]=(TRIM($D59))),CRDJ[Debit])))+(SUM(IF((GJ[Ofc Code]=(TRIM(L$7)))*(GJ[Account Code]=(TRIM($D59))),GJ[Debit]))))-((SUM(IF((CkDJ[Ofc Code]=(TRIM(L$7)))*(CkDJ[Account Code]=(TRIM($D59))),CkDJ[Credit])))+(SUM(IF((CsDJ[Ofc Code]=(TRIM(L$7)))*(CsDJ[Account Code]=(TRIM($D59))),CsDJ[Credit])))+(SUM(IF((CRDJ[Ofc Code]=(TRIM(L$7)))*(CRDJ[Account Code]=(TRIM($D59))),CRDJ[Credit])))+(SUM(IF((GJ[Ofc Code]=(TRIM(L$7)))*(GJ[Account Code]=(TRIM($D59))),GJ[Credit]))))</f>
        <v>0</v>
      </c>
      <c r="M59" s="211">
        <f t="array" ref="M59">((SUM(IF((CkDJ[Ofc Code]=(TRIM(M$7)))*(CkDJ[Account Code]=(TRIM($D59))),CkDJ[Debit])))+(SUM(IF((CsDJ[Ofc Code]=(TRIM(M$7)))*(CsDJ[Account Code]=(TRIM($D59))),CsDJ[Debit])))+(SUM(IF((CRDJ[Ofc Code]=(TRIM(M$7)))*(CRDJ[Account Code]=(TRIM($D59))),CRDJ[Debit])))+(SUM(IF((GJ[Ofc Code]=(TRIM(M$7)))*(GJ[Account Code]=(TRIM($D59))),GJ[Debit]))))-((SUM(IF((CkDJ[Ofc Code]=(TRIM(M$7)))*(CkDJ[Account Code]=(TRIM($D59))),CkDJ[Credit])))+(SUM(IF((CsDJ[Ofc Code]=(TRIM(M$7)))*(CsDJ[Account Code]=(TRIM($D59))),CsDJ[Credit])))+(SUM(IF((CRDJ[Ofc Code]=(TRIM(M$7)))*(CRDJ[Account Code]=(TRIM($D59))),CRDJ[Credit])))+(SUM(IF((GJ[Ofc Code]=(TRIM(M$7)))*(GJ[Account Code]=(TRIM($D59))),GJ[Credit]))))</f>
        <v>0</v>
      </c>
      <c r="N59" s="211">
        <f t="array" ref="N59">((SUM(IF((CkDJ[Ofc Code]=(TRIM(N$7)))*(CkDJ[Account Code]=(TRIM($D59))),CkDJ[Debit])))+(SUM(IF((CsDJ[Ofc Code]=(TRIM(N$7)))*(CsDJ[Account Code]=(TRIM($D59))),CsDJ[Debit])))+(SUM(IF((CRDJ[Ofc Code]=(TRIM(N$7)))*(CRDJ[Account Code]=(TRIM($D59))),CRDJ[Debit])))+(SUM(IF((GJ[Ofc Code]=(TRIM(N$7)))*(GJ[Account Code]=(TRIM($D59))),GJ[Debit]))))-((SUM(IF((CkDJ[Ofc Code]=(TRIM(N$7)))*(CkDJ[Account Code]=(TRIM($D59))),CkDJ[Credit])))+(SUM(IF((CsDJ[Ofc Code]=(TRIM(N$7)))*(CsDJ[Account Code]=(TRIM($D59))),CsDJ[Credit])))+(SUM(IF((CRDJ[Ofc Code]=(TRIM(N$7)))*(CRDJ[Account Code]=(TRIM($D59))),CRDJ[Credit])))+(SUM(IF((GJ[Ofc Code]=(TRIM(N$7)))*(GJ[Account Code]=(TRIM($D59))),GJ[Credit]))))</f>
        <v>0</v>
      </c>
      <c r="O59" s="211">
        <f>SUM(K59:N59)</f>
        <v>0</v>
      </c>
      <c r="P59" s="211">
        <f t="array" ref="P59">((SUM(IF((CkDJ[Ofc Code]=(TRIM(P$7)))*(CkDJ[Account Code]=(TRIM($D59))),CkDJ[Debit])))+(SUM(IF((CsDJ[Ofc Code]=(TRIM(P$7)))*(CsDJ[Account Code]=(TRIM($D59))),CsDJ[Debit])))+(SUM(IF((CRDJ[Ofc Code]=(TRIM(P$7)))*(CRDJ[Account Code]=(TRIM($D59))),CRDJ[Debit])))+(SUM(IF((GJ[Ofc Code]=(TRIM(P$7)))*(GJ[Account Code]=(TRIM($D59))),GJ[Debit]))))-((SUM(IF((CkDJ[Ofc Code]=(TRIM(P$7)))*(CkDJ[Account Code]=(TRIM($D59))),CkDJ[Credit])))+(SUM(IF((CsDJ[Ofc Code]=(TRIM(P$7)))*(CsDJ[Account Code]=(TRIM($D59))),CsDJ[Credit])))+(SUM(IF((CRDJ[Ofc Code]=(TRIM(P$7)))*(CRDJ[Account Code]=(TRIM($D59))),CRDJ[Credit])))+(SUM(IF((GJ[Ofc Code]=(TRIM(P$7)))*(GJ[Account Code]=(TRIM($D59))),GJ[Credit]))))</f>
        <v>0</v>
      </c>
      <c r="Q59" s="211">
        <f t="array" ref="Q59">((SUM(IF((CkDJ[Ofc Code]=(TRIM(Q$7)))*(CkDJ[Account Code]=(TRIM($D59))),CkDJ[Debit])))+(SUM(IF((CsDJ[Ofc Code]=(TRIM(Q$7)))*(CsDJ[Account Code]=(TRIM($D59))),CsDJ[Debit])))+(SUM(IF((CRDJ[Ofc Code]=(TRIM(Q$7)))*(CRDJ[Account Code]=(TRIM($D59))),CRDJ[Debit])))+(SUM(IF((GJ[Ofc Code]=(TRIM(Q$7)))*(GJ[Account Code]=(TRIM($D59))),GJ[Debit]))))-((SUM(IF((CkDJ[Ofc Code]=(TRIM(Q$7)))*(CkDJ[Account Code]=(TRIM($D59))),CkDJ[Credit])))+(SUM(IF((CsDJ[Ofc Code]=(TRIM(Q$7)))*(CsDJ[Account Code]=(TRIM($D59))),CsDJ[Credit])))+(SUM(IF((CRDJ[Ofc Code]=(TRIM(Q$7)))*(CRDJ[Account Code]=(TRIM($D59))),CRDJ[Credit])))+(SUM(IF((GJ[Ofc Code]=(TRIM(Q$7)))*(GJ[Account Code]=(TRIM($D59))),GJ[Credit]))))</f>
        <v>0</v>
      </c>
      <c r="R59" s="211">
        <f t="array" ref="R59">((SUM(IF((CkDJ[Ofc Code]=(TRIM(R$7)))*(CkDJ[Account Code]=(TRIM($D59))),CkDJ[Debit])))+(SUM(IF((CsDJ[Ofc Code]=(TRIM(R$7)))*(CsDJ[Account Code]=(TRIM($D59))),CsDJ[Debit])))+(SUM(IF((CRDJ[Ofc Code]=(TRIM(R$7)))*(CRDJ[Account Code]=(TRIM($D59))),CRDJ[Debit])))+(SUM(IF((GJ[Ofc Code]=(TRIM(R$7)))*(GJ[Account Code]=(TRIM($D59))),GJ[Debit]))))-((SUM(IF((CkDJ[Ofc Code]=(TRIM(R$7)))*(CkDJ[Account Code]=(TRIM($D59))),CkDJ[Credit])))+(SUM(IF((CsDJ[Ofc Code]=(TRIM(R$7)))*(CsDJ[Account Code]=(TRIM($D59))),CsDJ[Credit])))+(SUM(IF((CRDJ[Ofc Code]=(TRIM(R$7)))*(CRDJ[Account Code]=(TRIM($D59))),CRDJ[Credit])))+(SUM(IF((GJ[Ofc Code]=(TRIM(R$7)))*(GJ[Account Code]=(TRIM($D59))),GJ[Credit]))))</f>
        <v>0</v>
      </c>
      <c r="S59" s="211">
        <f t="array" ref="S59">((SUM(IF((CkDJ[Ofc Code]=(TRIM(S$7)))*(CkDJ[Account Code]=(TRIM($D59))),CkDJ[Debit])))+(SUM(IF((CsDJ[Ofc Code]=(TRIM(S$7)))*(CsDJ[Account Code]=(TRIM($D59))),CsDJ[Debit])))+(SUM(IF((CRDJ[Ofc Code]=(TRIM(S$7)))*(CRDJ[Account Code]=(TRIM($D59))),CRDJ[Debit])))+(SUM(IF((GJ[Ofc Code]=(TRIM(S$7)))*(GJ[Account Code]=(TRIM($D59))),GJ[Debit]))))-((SUM(IF((CkDJ[Ofc Code]=(TRIM(S$7)))*(CkDJ[Account Code]=(TRIM($D59))),CkDJ[Credit])))+(SUM(IF((CsDJ[Ofc Code]=(TRIM(S$7)))*(CsDJ[Account Code]=(TRIM($D59))),CsDJ[Credit])))+(SUM(IF((CRDJ[Ofc Code]=(TRIM(S$7)))*(CRDJ[Account Code]=(TRIM($D59))),CRDJ[Credit])))+(SUM(IF((GJ[Ofc Code]=(TRIM(S$7)))*(GJ[Account Code]=(TRIM($D59))),GJ[Credit]))))</f>
        <v>0</v>
      </c>
      <c r="T59" s="211">
        <f t="array" ref="T59">((SUM(IF((CkDJ[Ofc Code]=(TRIM(T$7)))*(CkDJ[Account Code]=(TRIM($D59))),CkDJ[Debit])))+(SUM(IF((CsDJ[Ofc Code]=(TRIM(T$7)))*(CsDJ[Account Code]=(TRIM($D59))),CsDJ[Debit])))+(SUM(IF((CRDJ[Ofc Code]=(TRIM(T$7)))*(CRDJ[Account Code]=(TRIM($D59))),CRDJ[Debit])))+(SUM(IF((GJ[Ofc Code]=(TRIM(T$7)))*(GJ[Account Code]=(TRIM($D59))),GJ[Debit]))))-((SUM(IF((CkDJ[Ofc Code]=(TRIM(T$7)))*(CkDJ[Account Code]=(TRIM($D59))),CkDJ[Credit])))+(SUM(IF((CsDJ[Ofc Code]=(TRIM(T$7)))*(CsDJ[Account Code]=(TRIM($D59))),CsDJ[Credit])))+(SUM(IF((CRDJ[Ofc Code]=(TRIM(T$7)))*(CRDJ[Account Code]=(TRIM($D59))),CRDJ[Credit])))+(SUM(IF((GJ[Ofc Code]=(TRIM(T$7)))*(GJ[Account Code]=(TRIM($D59))),GJ[Credit]))))</f>
        <v>0</v>
      </c>
      <c r="U59" s="211">
        <f>SUM(P59:T59)</f>
        <v>0</v>
      </c>
      <c r="V59" s="211">
        <f>E59+J59+O59+U59</f>
        <v>0</v>
      </c>
    </row>
    <row r="60" spans="1:22" ht="15" x14ac:dyDescent="0.25">
      <c r="A60" s="212">
        <v>24</v>
      </c>
      <c r="B60" s="214" t="s">
        <v>756</v>
      </c>
      <c r="C60" s="194" t="str">
        <f t="shared" si="7"/>
        <v>Other Personnel Benefits</v>
      </c>
      <c r="D60" s="215">
        <v>749</v>
      </c>
      <c r="E60" s="211">
        <f t="array" ref="E60">((SUM(IF((CkDJ[Ofc Code]=(TRIM(E$7)))*(CkDJ[Account Code]=(TRIM($D60))),CkDJ[Debit])))+(SUM(IF((CsDJ[Ofc Code]=(TRIM(E$7)))*(CsDJ[Account Code]=(TRIM($D60))),CsDJ[Debit])))+(SUM(IF((CRDJ[Ofc Code]=(TRIM(E$7)))*(CRDJ[Account Code]=(TRIM($D60))),CRDJ[Debit])))+(SUM(IF((GJ[Ofc Code]=(TRIM(E$7)))*(GJ[Account Code]=(TRIM($D60))),GJ[Debit]))))-((SUM(IF((CkDJ[Ofc Code]=(TRIM(E$7)))*(CkDJ[Account Code]=(TRIM($D60))),CkDJ[Credit])))+(SUM(IF((CsDJ[Ofc Code]=(TRIM(E$7)))*(CsDJ[Account Code]=(TRIM($D60))),CsDJ[Credit])))+(SUM(IF((CRDJ[Ofc Code]=(TRIM(E$7)))*(CRDJ[Account Code]=(TRIM($D60))),CRDJ[Credit])))+(SUM(IF((GJ[Ofc Code]=(TRIM(E$7)))*(GJ[Account Code]=(TRIM($D60))),GJ[Credit]))))</f>
        <v>0</v>
      </c>
      <c r="F60" s="211">
        <f t="array" ref="F60">((SUM(IF((CkDJ[Ofc Code]=(TRIM(F$7)))*(CkDJ[Account Code]=(TRIM($D60))),CkDJ[Debit])))+(SUM(IF((CsDJ[Ofc Code]=(TRIM(F$7)))*(CsDJ[Account Code]=(TRIM($D60))),CsDJ[Debit])))+(SUM(IF((CRDJ[Ofc Code]=(TRIM(F$7)))*(CRDJ[Account Code]=(TRIM($D60))),CRDJ[Debit])))+(SUM(IF((GJ[Ofc Code]=(TRIM(F$7)))*(GJ[Account Code]=(TRIM($D60))),GJ[Debit]))))-((SUM(IF((CkDJ[Ofc Code]=(TRIM(F$7)))*(CkDJ[Account Code]=(TRIM($D60))),CkDJ[Credit])))+(SUM(IF((CsDJ[Ofc Code]=(TRIM(F$7)))*(CsDJ[Account Code]=(TRIM($D60))),CsDJ[Credit])))+(SUM(IF((CRDJ[Ofc Code]=(TRIM(F$7)))*(CRDJ[Account Code]=(TRIM($D60))),CRDJ[Credit])))+(SUM(IF((GJ[Ofc Code]=(TRIM(F$7)))*(GJ[Account Code]=(TRIM($D60))),GJ[Credit]))))</f>
        <v>0</v>
      </c>
      <c r="G60" s="211">
        <f t="array" ref="G60">((SUM(IF((CkDJ[Ofc Code]=(TRIM(G$7)))*(CkDJ[Account Code]=(TRIM($D60))),CkDJ[Debit])))+(SUM(IF((CsDJ[Ofc Code]=(TRIM(G$7)))*(CsDJ[Account Code]=(TRIM($D60))),CsDJ[Debit])))+(SUM(IF((CRDJ[Ofc Code]=(TRIM(G$7)))*(CRDJ[Account Code]=(TRIM($D60))),CRDJ[Debit])))+(SUM(IF((GJ[Ofc Code]=(TRIM(G$7)))*(GJ[Account Code]=(TRIM($D60))),GJ[Debit]))))-((SUM(IF((CkDJ[Ofc Code]=(TRIM(G$7)))*(CkDJ[Account Code]=(TRIM($D60))),CkDJ[Credit])))+(SUM(IF((CsDJ[Ofc Code]=(TRIM(G$7)))*(CsDJ[Account Code]=(TRIM($D60))),CsDJ[Credit])))+(SUM(IF((CRDJ[Ofc Code]=(TRIM(G$7)))*(CRDJ[Account Code]=(TRIM($D60))),CRDJ[Credit])))+(SUM(IF((GJ[Ofc Code]=(TRIM(G$7)))*(GJ[Account Code]=(TRIM($D60))),GJ[Credit]))))</f>
        <v>0</v>
      </c>
      <c r="H60" s="211">
        <f t="array" ref="H60">((SUM(IF((CkDJ[Ofc Code]=(TRIM(H$7)))*(CkDJ[Account Code]=(TRIM($D60))),CkDJ[Debit])))+(SUM(IF((CsDJ[Ofc Code]=(TRIM(H$7)))*(CsDJ[Account Code]=(TRIM($D60))),CsDJ[Debit])))+(SUM(IF((CRDJ[Ofc Code]=(TRIM(H$7)))*(CRDJ[Account Code]=(TRIM($D60))),CRDJ[Debit])))+(SUM(IF((GJ[Ofc Code]=(TRIM(H$7)))*(GJ[Account Code]=(TRIM($D60))),GJ[Debit]))))-((SUM(IF((CkDJ[Ofc Code]=(TRIM(H$7)))*(CkDJ[Account Code]=(TRIM($D60))),CkDJ[Credit])))+(SUM(IF((CsDJ[Ofc Code]=(TRIM(H$7)))*(CsDJ[Account Code]=(TRIM($D60))),CsDJ[Credit])))+(SUM(IF((CRDJ[Ofc Code]=(TRIM(H$7)))*(CRDJ[Account Code]=(TRIM($D60))),CRDJ[Credit])))+(SUM(IF((GJ[Ofc Code]=(TRIM(H$7)))*(GJ[Account Code]=(TRIM($D60))),GJ[Credit]))))</f>
        <v>0</v>
      </c>
      <c r="I60" s="211">
        <f t="array" ref="I60">((SUM(IF((CkDJ[Ofc Code]=(TRIM(I$7)))*(CkDJ[Account Code]=(TRIM($D60))),CkDJ[Debit])))+(SUM(IF((CsDJ[Ofc Code]=(TRIM(I$7)))*(CsDJ[Account Code]=(TRIM($D60))),CsDJ[Debit])))+(SUM(IF((CRDJ[Ofc Code]=(TRIM(I$7)))*(CRDJ[Account Code]=(TRIM($D60))),CRDJ[Debit])))+(SUM(IF((GJ[Ofc Code]=(TRIM(I$7)))*(GJ[Account Code]=(TRIM($D60))),GJ[Debit]))))-((SUM(IF((CkDJ[Ofc Code]=(TRIM(I$7)))*(CkDJ[Account Code]=(TRIM($D60))),CkDJ[Credit])))+(SUM(IF((CsDJ[Ofc Code]=(TRIM(I$7)))*(CsDJ[Account Code]=(TRIM($D60))),CsDJ[Credit])))+(SUM(IF((CRDJ[Ofc Code]=(TRIM(I$7)))*(CRDJ[Account Code]=(TRIM($D60))),CRDJ[Credit])))+(SUM(IF((GJ[Ofc Code]=(TRIM(I$7)))*(GJ[Account Code]=(TRIM($D60))),GJ[Credit]))))</f>
        <v>0</v>
      </c>
      <c r="J60" s="211">
        <f t="shared" si="8"/>
        <v>0</v>
      </c>
      <c r="K60" s="211">
        <f t="array" ref="K60">((SUM(IF((CkDJ[Ofc Code]=(TRIM(K$7)))*(CkDJ[Account Code]=(TRIM($D60))),CkDJ[Debit])))+(SUM(IF((CsDJ[Ofc Code]=(TRIM(K$7)))*(CsDJ[Account Code]=(TRIM($D60))),CsDJ[Debit])))+(SUM(IF((CRDJ[Ofc Code]=(TRIM(K$7)))*(CRDJ[Account Code]=(TRIM($D60))),CRDJ[Debit])))+(SUM(IF((GJ[Ofc Code]=(TRIM(K$7)))*(GJ[Account Code]=(TRIM($D60))),GJ[Debit]))))-((SUM(IF((CkDJ[Ofc Code]=(TRIM(K$7)))*(CkDJ[Account Code]=(TRIM($D60))),CkDJ[Credit])))+(SUM(IF((CsDJ[Ofc Code]=(TRIM(K$7)))*(CsDJ[Account Code]=(TRIM($D60))),CsDJ[Credit])))+(SUM(IF((CRDJ[Ofc Code]=(TRIM(K$7)))*(CRDJ[Account Code]=(TRIM($D60))),CRDJ[Credit])))+(SUM(IF((GJ[Ofc Code]=(TRIM(K$7)))*(GJ[Account Code]=(TRIM($D60))),GJ[Credit]))))</f>
        <v>0</v>
      </c>
      <c r="L60" s="211">
        <f t="array" ref="L60">((SUM(IF((CkDJ[Ofc Code]=(TRIM(L$7)))*(CkDJ[Account Code]=(TRIM($D60))),CkDJ[Debit])))+(SUM(IF((CsDJ[Ofc Code]=(TRIM(L$7)))*(CsDJ[Account Code]=(TRIM($D60))),CsDJ[Debit])))+(SUM(IF((CRDJ[Ofc Code]=(TRIM(L$7)))*(CRDJ[Account Code]=(TRIM($D60))),CRDJ[Debit])))+(SUM(IF((GJ[Ofc Code]=(TRIM(L$7)))*(GJ[Account Code]=(TRIM($D60))),GJ[Debit]))))-((SUM(IF((CkDJ[Ofc Code]=(TRIM(L$7)))*(CkDJ[Account Code]=(TRIM($D60))),CkDJ[Credit])))+(SUM(IF((CsDJ[Ofc Code]=(TRIM(L$7)))*(CsDJ[Account Code]=(TRIM($D60))),CsDJ[Credit])))+(SUM(IF((CRDJ[Ofc Code]=(TRIM(L$7)))*(CRDJ[Account Code]=(TRIM($D60))),CRDJ[Credit])))+(SUM(IF((GJ[Ofc Code]=(TRIM(L$7)))*(GJ[Account Code]=(TRIM($D60))),GJ[Credit]))))</f>
        <v>0</v>
      </c>
      <c r="M60" s="211">
        <f t="array" ref="M60">((SUM(IF((CkDJ[Ofc Code]=(TRIM(M$7)))*(CkDJ[Account Code]=(TRIM($D60))),CkDJ[Debit])))+(SUM(IF((CsDJ[Ofc Code]=(TRIM(M$7)))*(CsDJ[Account Code]=(TRIM($D60))),CsDJ[Debit])))+(SUM(IF((CRDJ[Ofc Code]=(TRIM(M$7)))*(CRDJ[Account Code]=(TRIM($D60))),CRDJ[Debit])))+(SUM(IF((GJ[Ofc Code]=(TRIM(M$7)))*(GJ[Account Code]=(TRIM($D60))),GJ[Debit]))))-((SUM(IF((CkDJ[Ofc Code]=(TRIM(M$7)))*(CkDJ[Account Code]=(TRIM($D60))),CkDJ[Credit])))+(SUM(IF((CsDJ[Ofc Code]=(TRIM(M$7)))*(CsDJ[Account Code]=(TRIM($D60))),CsDJ[Credit])))+(SUM(IF((CRDJ[Ofc Code]=(TRIM(M$7)))*(CRDJ[Account Code]=(TRIM($D60))),CRDJ[Credit])))+(SUM(IF((GJ[Ofc Code]=(TRIM(M$7)))*(GJ[Account Code]=(TRIM($D60))),GJ[Credit]))))</f>
        <v>0</v>
      </c>
      <c r="N60" s="211">
        <f t="array" ref="N60">((SUM(IF((CkDJ[Ofc Code]=(TRIM(N$7)))*(CkDJ[Account Code]=(TRIM($D60))),CkDJ[Debit])))+(SUM(IF((CsDJ[Ofc Code]=(TRIM(N$7)))*(CsDJ[Account Code]=(TRIM($D60))),CsDJ[Debit])))+(SUM(IF((CRDJ[Ofc Code]=(TRIM(N$7)))*(CRDJ[Account Code]=(TRIM($D60))),CRDJ[Debit])))+(SUM(IF((GJ[Ofc Code]=(TRIM(N$7)))*(GJ[Account Code]=(TRIM($D60))),GJ[Debit]))))-((SUM(IF((CkDJ[Ofc Code]=(TRIM(N$7)))*(CkDJ[Account Code]=(TRIM($D60))),CkDJ[Credit])))+(SUM(IF((CsDJ[Ofc Code]=(TRIM(N$7)))*(CsDJ[Account Code]=(TRIM($D60))),CsDJ[Credit])))+(SUM(IF((CRDJ[Ofc Code]=(TRIM(N$7)))*(CRDJ[Account Code]=(TRIM($D60))),CRDJ[Credit])))+(SUM(IF((GJ[Ofc Code]=(TRIM(N$7)))*(GJ[Account Code]=(TRIM($D60))),GJ[Credit]))))</f>
        <v>0</v>
      </c>
      <c r="O60" s="211">
        <f t="shared" si="9"/>
        <v>0</v>
      </c>
      <c r="P60" s="211">
        <f t="array" ref="P60">((SUM(IF((CkDJ[Ofc Code]=(TRIM(P$7)))*(CkDJ[Account Code]=(TRIM($D60))),CkDJ[Debit])))+(SUM(IF((CsDJ[Ofc Code]=(TRIM(P$7)))*(CsDJ[Account Code]=(TRIM($D60))),CsDJ[Debit])))+(SUM(IF((CRDJ[Ofc Code]=(TRIM(P$7)))*(CRDJ[Account Code]=(TRIM($D60))),CRDJ[Debit])))+(SUM(IF((GJ[Ofc Code]=(TRIM(P$7)))*(GJ[Account Code]=(TRIM($D60))),GJ[Debit]))))-((SUM(IF((CkDJ[Ofc Code]=(TRIM(P$7)))*(CkDJ[Account Code]=(TRIM($D60))),CkDJ[Credit])))+(SUM(IF((CsDJ[Ofc Code]=(TRIM(P$7)))*(CsDJ[Account Code]=(TRIM($D60))),CsDJ[Credit])))+(SUM(IF((CRDJ[Ofc Code]=(TRIM(P$7)))*(CRDJ[Account Code]=(TRIM($D60))),CRDJ[Credit])))+(SUM(IF((GJ[Ofc Code]=(TRIM(P$7)))*(GJ[Account Code]=(TRIM($D60))),GJ[Credit]))))</f>
        <v>0</v>
      </c>
      <c r="Q60" s="211">
        <f t="array" ref="Q60">((SUM(IF((CkDJ[Ofc Code]=(TRIM(Q$7)))*(CkDJ[Account Code]=(TRIM($D60))),CkDJ[Debit])))+(SUM(IF((CsDJ[Ofc Code]=(TRIM(Q$7)))*(CsDJ[Account Code]=(TRIM($D60))),CsDJ[Debit])))+(SUM(IF((CRDJ[Ofc Code]=(TRIM(Q$7)))*(CRDJ[Account Code]=(TRIM($D60))),CRDJ[Debit])))+(SUM(IF((GJ[Ofc Code]=(TRIM(Q$7)))*(GJ[Account Code]=(TRIM($D60))),GJ[Debit]))))-((SUM(IF((CkDJ[Ofc Code]=(TRIM(Q$7)))*(CkDJ[Account Code]=(TRIM($D60))),CkDJ[Credit])))+(SUM(IF((CsDJ[Ofc Code]=(TRIM(Q$7)))*(CsDJ[Account Code]=(TRIM($D60))),CsDJ[Credit])))+(SUM(IF((CRDJ[Ofc Code]=(TRIM(Q$7)))*(CRDJ[Account Code]=(TRIM($D60))),CRDJ[Credit])))+(SUM(IF((GJ[Ofc Code]=(TRIM(Q$7)))*(GJ[Account Code]=(TRIM($D60))),GJ[Credit]))))</f>
        <v>0</v>
      </c>
      <c r="R60" s="211">
        <f t="array" ref="R60">((SUM(IF((CkDJ[Ofc Code]=(TRIM(R$7)))*(CkDJ[Account Code]=(TRIM($D60))),CkDJ[Debit])))+(SUM(IF((CsDJ[Ofc Code]=(TRIM(R$7)))*(CsDJ[Account Code]=(TRIM($D60))),CsDJ[Debit])))+(SUM(IF((CRDJ[Ofc Code]=(TRIM(R$7)))*(CRDJ[Account Code]=(TRIM($D60))),CRDJ[Debit])))+(SUM(IF((GJ[Ofc Code]=(TRIM(R$7)))*(GJ[Account Code]=(TRIM($D60))),GJ[Debit]))))-((SUM(IF((CkDJ[Ofc Code]=(TRIM(R$7)))*(CkDJ[Account Code]=(TRIM($D60))),CkDJ[Credit])))+(SUM(IF((CsDJ[Ofc Code]=(TRIM(R$7)))*(CsDJ[Account Code]=(TRIM($D60))),CsDJ[Credit])))+(SUM(IF((CRDJ[Ofc Code]=(TRIM(R$7)))*(CRDJ[Account Code]=(TRIM($D60))),CRDJ[Credit])))+(SUM(IF((GJ[Ofc Code]=(TRIM(R$7)))*(GJ[Account Code]=(TRIM($D60))),GJ[Credit]))))</f>
        <v>0</v>
      </c>
      <c r="S60" s="211">
        <f t="array" ref="S60">((SUM(IF((CkDJ[Ofc Code]=(TRIM(S$7)))*(CkDJ[Account Code]=(TRIM($D60))),CkDJ[Debit])))+(SUM(IF((CsDJ[Ofc Code]=(TRIM(S$7)))*(CsDJ[Account Code]=(TRIM($D60))),CsDJ[Debit])))+(SUM(IF((CRDJ[Ofc Code]=(TRIM(S$7)))*(CRDJ[Account Code]=(TRIM($D60))),CRDJ[Debit])))+(SUM(IF((GJ[Ofc Code]=(TRIM(S$7)))*(GJ[Account Code]=(TRIM($D60))),GJ[Debit]))))-((SUM(IF((CkDJ[Ofc Code]=(TRIM(S$7)))*(CkDJ[Account Code]=(TRIM($D60))),CkDJ[Credit])))+(SUM(IF((CsDJ[Ofc Code]=(TRIM(S$7)))*(CsDJ[Account Code]=(TRIM($D60))),CsDJ[Credit])))+(SUM(IF((CRDJ[Ofc Code]=(TRIM(S$7)))*(CRDJ[Account Code]=(TRIM($D60))),CRDJ[Credit])))+(SUM(IF((GJ[Ofc Code]=(TRIM(S$7)))*(GJ[Account Code]=(TRIM($D60))),GJ[Credit]))))</f>
        <v>0</v>
      </c>
      <c r="T60" s="211">
        <f t="array" ref="T60">((SUM(IF((CkDJ[Ofc Code]=(TRIM(T$7)))*(CkDJ[Account Code]=(TRIM($D60))),CkDJ[Debit])))+(SUM(IF((CsDJ[Ofc Code]=(TRIM(T$7)))*(CsDJ[Account Code]=(TRIM($D60))),CsDJ[Debit])))+(SUM(IF((CRDJ[Ofc Code]=(TRIM(T$7)))*(CRDJ[Account Code]=(TRIM($D60))),CRDJ[Debit])))+(SUM(IF((GJ[Ofc Code]=(TRIM(T$7)))*(GJ[Account Code]=(TRIM($D60))),GJ[Debit]))))-((SUM(IF((CkDJ[Ofc Code]=(TRIM(T$7)))*(CkDJ[Account Code]=(TRIM($D60))),CkDJ[Credit])))+(SUM(IF((CsDJ[Ofc Code]=(TRIM(T$7)))*(CsDJ[Account Code]=(TRIM($D60))),CsDJ[Credit])))+(SUM(IF((CRDJ[Ofc Code]=(TRIM(T$7)))*(CRDJ[Account Code]=(TRIM($D60))),CRDJ[Credit])))+(SUM(IF((GJ[Ofc Code]=(TRIM(T$7)))*(GJ[Account Code]=(TRIM($D60))),GJ[Credit]))))</f>
        <v>0</v>
      </c>
      <c r="U60" s="211">
        <f t="shared" si="10"/>
        <v>0</v>
      </c>
      <c r="V60" s="211">
        <f t="shared" si="11"/>
        <v>0</v>
      </c>
    </row>
    <row r="61" spans="1:22" ht="15" x14ac:dyDescent="0.25">
      <c r="A61" s="1167" t="s">
        <v>758</v>
      </c>
      <c r="B61" s="1168"/>
      <c r="C61" s="1168"/>
      <c r="D61" s="209"/>
      <c r="E61" s="208">
        <f t="shared" ref="E61:V61" si="13">SUM(E38:E60)</f>
        <v>0</v>
      </c>
      <c r="F61" s="208">
        <f t="shared" si="13"/>
        <v>0</v>
      </c>
      <c r="G61" s="208">
        <f>SUM(G38:G60)</f>
        <v>0</v>
      </c>
      <c r="H61" s="208">
        <f t="shared" si="13"/>
        <v>0</v>
      </c>
      <c r="I61" s="208">
        <f t="shared" si="13"/>
        <v>0</v>
      </c>
      <c r="J61" s="208">
        <f t="shared" si="13"/>
        <v>0</v>
      </c>
      <c r="K61" s="208">
        <f t="shared" si="13"/>
        <v>0</v>
      </c>
      <c r="L61" s="208">
        <f t="shared" si="13"/>
        <v>0</v>
      </c>
      <c r="M61" s="208">
        <f t="shared" si="13"/>
        <v>0</v>
      </c>
      <c r="N61" s="208">
        <f t="shared" si="13"/>
        <v>0</v>
      </c>
      <c r="O61" s="208">
        <f t="shared" si="13"/>
        <v>0</v>
      </c>
      <c r="P61" s="208">
        <f t="shared" si="13"/>
        <v>0</v>
      </c>
      <c r="Q61" s="208">
        <f t="shared" si="13"/>
        <v>0</v>
      </c>
      <c r="R61" s="208">
        <f t="shared" si="13"/>
        <v>0</v>
      </c>
      <c r="S61" s="208">
        <f t="shared" si="13"/>
        <v>0</v>
      </c>
      <c r="T61" s="208">
        <f t="shared" si="13"/>
        <v>0</v>
      </c>
      <c r="U61" s="208">
        <f t="shared" si="13"/>
        <v>0</v>
      </c>
      <c r="V61" s="208">
        <f t="shared" si="13"/>
        <v>0</v>
      </c>
    </row>
    <row r="62" spans="1:22" ht="15" x14ac:dyDescent="0.25">
      <c r="A62" s="1183" t="s">
        <v>757</v>
      </c>
      <c r="B62" s="1184"/>
      <c r="C62" s="1184"/>
      <c r="D62" s="207"/>
      <c r="E62" s="211"/>
      <c r="F62" s="211"/>
      <c r="G62" s="211"/>
      <c r="H62" s="211"/>
      <c r="I62" s="211"/>
      <c r="J62" s="211"/>
      <c r="K62" s="211"/>
      <c r="L62" s="211"/>
      <c r="M62" s="211"/>
      <c r="N62" s="211"/>
      <c r="O62" s="211"/>
      <c r="P62" s="211"/>
      <c r="Q62" s="211"/>
      <c r="R62" s="211"/>
      <c r="S62" s="211"/>
      <c r="T62" s="211"/>
      <c r="U62" s="211"/>
      <c r="V62" s="211"/>
    </row>
    <row r="63" spans="1:22" ht="15" x14ac:dyDescent="0.25">
      <c r="A63" s="212">
        <v>1</v>
      </c>
      <c r="B63" s="214"/>
      <c r="C63" s="194" t="str">
        <f t="shared" ref="C63:C109" si="14">IF(D63=0,"",(VLOOKUP((TRIM(D63)),Code,2,)))</f>
        <v>Traveling Expenses-Local</v>
      </c>
      <c r="D63" s="207">
        <v>751</v>
      </c>
      <c r="E63" s="211">
        <f t="array" ref="E63">((SUM(IF((CkDJ[Ofc Code]=(TRIM(E$7)))*(CkDJ[Account Code]=(TRIM($D63))),CkDJ[Debit])))+(SUM(IF((CsDJ[Ofc Code]=(TRIM(E$7)))*(CsDJ[Account Code]=(TRIM($D63))),CsDJ[Debit])))+(SUM(IF((CRDJ[Ofc Code]=(TRIM(E$7)))*(CRDJ[Account Code]=(TRIM($D63))),CRDJ[Debit])))+(SUM(IF((GJ[Ofc Code]=(TRIM(E$7)))*(GJ[Account Code]=(TRIM($D63))),GJ[Debit]))))-((SUM(IF((CkDJ[Ofc Code]=(TRIM(E$7)))*(CkDJ[Account Code]=(TRIM($D63))),CkDJ[Credit])))+(SUM(IF((CsDJ[Ofc Code]=(TRIM(E$7)))*(CsDJ[Account Code]=(TRIM($D63))),CsDJ[Credit])))+(SUM(IF((CRDJ[Ofc Code]=(TRIM(E$7)))*(CRDJ[Account Code]=(TRIM($D63))),CRDJ[Credit])))+(SUM(IF((GJ[Ofc Code]=(TRIM(E$7)))*(GJ[Account Code]=(TRIM($D63))),GJ[Credit]))))</f>
        <v>0</v>
      </c>
      <c r="F63" s="211">
        <f t="array" ref="F63">((SUM(IF((CkDJ[Ofc Code]=(TRIM(F$7)))*(CkDJ[Account Code]=(TRIM($D63))),CkDJ[Debit])))+(SUM(IF((CsDJ[Ofc Code]=(TRIM(F$7)))*(CsDJ[Account Code]=(TRIM($D63))),CsDJ[Debit])))+(SUM(IF((CRDJ[Ofc Code]=(TRIM(F$7)))*(CRDJ[Account Code]=(TRIM($D63))),CRDJ[Debit])))+(SUM(IF((GJ[Ofc Code]=(TRIM(F$7)))*(GJ[Account Code]=(TRIM($D63))),GJ[Debit]))))-((SUM(IF((CkDJ[Ofc Code]=(TRIM(F$7)))*(CkDJ[Account Code]=(TRIM($D63))),CkDJ[Credit])))+(SUM(IF((CsDJ[Ofc Code]=(TRIM(F$7)))*(CsDJ[Account Code]=(TRIM($D63))),CsDJ[Credit])))+(SUM(IF((CRDJ[Ofc Code]=(TRIM(F$7)))*(CRDJ[Account Code]=(TRIM($D63))),CRDJ[Credit])))+(SUM(IF((GJ[Ofc Code]=(TRIM(F$7)))*(GJ[Account Code]=(TRIM($D63))),GJ[Credit]))))</f>
        <v>0</v>
      </c>
      <c r="G63" s="211">
        <f t="array" ref="G63">((SUM(IF((CkDJ[Ofc Code]=(TRIM(G$7)))*(CkDJ[Account Code]=(TRIM($D63))),CkDJ[Debit])))+(SUM(IF((CsDJ[Ofc Code]=(TRIM(G$7)))*(CsDJ[Account Code]=(TRIM($D63))),CsDJ[Debit])))+(SUM(IF((CRDJ[Ofc Code]=(TRIM(G$7)))*(CRDJ[Account Code]=(TRIM($D63))),CRDJ[Debit])))+(SUM(IF((GJ[Ofc Code]=(TRIM(G$7)))*(GJ[Account Code]=(TRIM($D63))),GJ[Debit]))))-((SUM(IF((CkDJ[Ofc Code]=(TRIM(G$7)))*(CkDJ[Account Code]=(TRIM($D63))),CkDJ[Credit])))+(SUM(IF((CsDJ[Ofc Code]=(TRIM(G$7)))*(CsDJ[Account Code]=(TRIM($D63))),CsDJ[Credit])))+(SUM(IF((CRDJ[Ofc Code]=(TRIM(G$7)))*(CRDJ[Account Code]=(TRIM($D63))),CRDJ[Credit])))+(SUM(IF((GJ[Ofc Code]=(TRIM(G$7)))*(GJ[Account Code]=(TRIM($D63))),GJ[Credit]))))</f>
        <v>0</v>
      </c>
      <c r="H63" s="211">
        <f t="array" ref="H63">((SUM(IF((CkDJ[Ofc Code]=(TRIM(H$7)))*(CkDJ[Account Code]=(TRIM($D63))),CkDJ[Debit])))+(SUM(IF((CsDJ[Ofc Code]=(TRIM(H$7)))*(CsDJ[Account Code]=(TRIM($D63))),CsDJ[Debit])))+(SUM(IF((CRDJ[Ofc Code]=(TRIM(H$7)))*(CRDJ[Account Code]=(TRIM($D63))),CRDJ[Debit])))+(SUM(IF((GJ[Ofc Code]=(TRIM(H$7)))*(GJ[Account Code]=(TRIM($D63))),GJ[Debit]))))-((SUM(IF((CkDJ[Ofc Code]=(TRIM(H$7)))*(CkDJ[Account Code]=(TRIM($D63))),CkDJ[Credit])))+(SUM(IF((CsDJ[Ofc Code]=(TRIM(H$7)))*(CsDJ[Account Code]=(TRIM($D63))),CsDJ[Credit])))+(SUM(IF((CRDJ[Ofc Code]=(TRIM(H$7)))*(CRDJ[Account Code]=(TRIM($D63))),CRDJ[Credit])))+(SUM(IF((GJ[Ofc Code]=(TRIM(H$7)))*(GJ[Account Code]=(TRIM($D63))),GJ[Credit]))))</f>
        <v>0</v>
      </c>
      <c r="I63" s="211">
        <f t="array" ref="I63">((SUM(IF((CkDJ[Ofc Code]=(TRIM(I$7)))*(CkDJ[Account Code]=(TRIM($D63))),CkDJ[Debit])))+(SUM(IF((CsDJ[Ofc Code]=(TRIM(I$7)))*(CsDJ[Account Code]=(TRIM($D63))),CsDJ[Debit])))+(SUM(IF((CRDJ[Ofc Code]=(TRIM(I$7)))*(CRDJ[Account Code]=(TRIM($D63))),CRDJ[Debit])))+(SUM(IF((GJ[Ofc Code]=(TRIM(I$7)))*(GJ[Account Code]=(TRIM($D63))),GJ[Debit]))))-((SUM(IF((CkDJ[Ofc Code]=(TRIM(I$7)))*(CkDJ[Account Code]=(TRIM($D63))),CkDJ[Credit])))+(SUM(IF((CsDJ[Ofc Code]=(TRIM(I$7)))*(CsDJ[Account Code]=(TRIM($D63))),CsDJ[Credit])))+(SUM(IF((CRDJ[Ofc Code]=(TRIM(I$7)))*(CRDJ[Account Code]=(TRIM($D63))),CRDJ[Credit])))+(SUM(IF((GJ[Ofc Code]=(TRIM(I$7)))*(GJ[Account Code]=(TRIM($D63))),GJ[Credit]))))</f>
        <v>0</v>
      </c>
      <c r="J63" s="211">
        <f t="shared" ref="J63:J109" si="15">SUM(F63:I63)</f>
        <v>0</v>
      </c>
      <c r="K63" s="211">
        <f t="array" ref="K63">((SUM(IF((CkDJ[Ofc Code]=(TRIM(K$7)))*(CkDJ[Account Code]=(TRIM($D63))),CkDJ[Debit])))+(SUM(IF((CsDJ[Ofc Code]=(TRIM(K$7)))*(CsDJ[Account Code]=(TRIM($D63))),CsDJ[Debit])))+(SUM(IF((CRDJ[Ofc Code]=(TRIM(K$7)))*(CRDJ[Account Code]=(TRIM($D63))),CRDJ[Debit])))+(SUM(IF((GJ[Ofc Code]=(TRIM(K$7)))*(GJ[Account Code]=(TRIM($D63))),GJ[Debit]))))-((SUM(IF((CkDJ[Ofc Code]=(TRIM(K$7)))*(CkDJ[Account Code]=(TRIM($D63))),CkDJ[Credit])))+(SUM(IF((CsDJ[Ofc Code]=(TRIM(K$7)))*(CsDJ[Account Code]=(TRIM($D63))),CsDJ[Credit])))+(SUM(IF((CRDJ[Ofc Code]=(TRIM(K$7)))*(CRDJ[Account Code]=(TRIM($D63))),CRDJ[Credit])))+(SUM(IF((GJ[Ofc Code]=(TRIM(K$7)))*(GJ[Account Code]=(TRIM($D63))),GJ[Credit]))))</f>
        <v>0</v>
      </c>
      <c r="L63" s="211">
        <f t="array" ref="L63">((SUM(IF((CkDJ[Ofc Code]=(TRIM(L$7)))*(CkDJ[Account Code]=(TRIM($D63))),CkDJ[Debit])))+(SUM(IF((CsDJ[Ofc Code]=(TRIM(L$7)))*(CsDJ[Account Code]=(TRIM($D63))),CsDJ[Debit])))+(SUM(IF((CRDJ[Ofc Code]=(TRIM(L$7)))*(CRDJ[Account Code]=(TRIM($D63))),CRDJ[Debit])))+(SUM(IF((GJ[Ofc Code]=(TRIM(L$7)))*(GJ[Account Code]=(TRIM($D63))),GJ[Debit]))))-((SUM(IF((CkDJ[Ofc Code]=(TRIM(L$7)))*(CkDJ[Account Code]=(TRIM($D63))),CkDJ[Credit])))+(SUM(IF((CsDJ[Ofc Code]=(TRIM(L$7)))*(CsDJ[Account Code]=(TRIM($D63))),CsDJ[Credit])))+(SUM(IF((CRDJ[Ofc Code]=(TRIM(L$7)))*(CRDJ[Account Code]=(TRIM($D63))),CRDJ[Credit])))+(SUM(IF((GJ[Ofc Code]=(TRIM(L$7)))*(GJ[Account Code]=(TRIM($D63))),GJ[Credit]))))</f>
        <v>0</v>
      </c>
      <c r="M63" s="211">
        <f t="array" ref="M63">((SUM(IF((CkDJ[Ofc Code]=(TRIM(M$7)))*(CkDJ[Account Code]=(TRIM($D63))),CkDJ[Debit])))+(SUM(IF((CsDJ[Ofc Code]=(TRIM(M$7)))*(CsDJ[Account Code]=(TRIM($D63))),CsDJ[Debit])))+(SUM(IF((CRDJ[Ofc Code]=(TRIM(M$7)))*(CRDJ[Account Code]=(TRIM($D63))),CRDJ[Debit])))+(SUM(IF((GJ[Ofc Code]=(TRIM(M$7)))*(GJ[Account Code]=(TRIM($D63))),GJ[Debit]))))-((SUM(IF((CkDJ[Ofc Code]=(TRIM(M$7)))*(CkDJ[Account Code]=(TRIM($D63))),CkDJ[Credit])))+(SUM(IF((CsDJ[Ofc Code]=(TRIM(M$7)))*(CsDJ[Account Code]=(TRIM($D63))),CsDJ[Credit])))+(SUM(IF((CRDJ[Ofc Code]=(TRIM(M$7)))*(CRDJ[Account Code]=(TRIM($D63))),CRDJ[Credit])))+(SUM(IF((GJ[Ofc Code]=(TRIM(M$7)))*(GJ[Account Code]=(TRIM($D63))),GJ[Credit]))))</f>
        <v>0</v>
      </c>
      <c r="N63" s="211">
        <f t="array" ref="N63">((SUM(IF((CkDJ[Ofc Code]=(TRIM(N$7)))*(CkDJ[Account Code]=(TRIM($D63))),CkDJ[Debit])))+(SUM(IF((CsDJ[Ofc Code]=(TRIM(N$7)))*(CsDJ[Account Code]=(TRIM($D63))),CsDJ[Debit])))+(SUM(IF((CRDJ[Ofc Code]=(TRIM(N$7)))*(CRDJ[Account Code]=(TRIM($D63))),CRDJ[Debit])))+(SUM(IF((GJ[Ofc Code]=(TRIM(N$7)))*(GJ[Account Code]=(TRIM($D63))),GJ[Debit]))))-((SUM(IF((CkDJ[Ofc Code]=(TRIM(N$7)))*(CkDJ[Account Code]=(TRIM($D63))),CkDJ[Credit])))+(SUM(IF((CsDJ[Ofc Code]=(TRIM(N$7)))*(CsDJ[Account Code]=(TRIM($D63))),CsDJ[Credit])))+(SUM(IF((CRDJ[Ofc Code]=(TRIM(N$7)))*(CRDJ[Account Code]=(TRIM($D63))),CRDJ[Credit])))+(SUM(IF((GJ[Ofc Code]=(TRIM(N$7)))*(GJ[Account Code]=(TRIM($D63))),GJ[Credit]))))</f>
        <v>0</v>
      </c>
      <c r="O63" s="211">
        <f t="shared" ref="O63:O109" si="16">SUM(K63:N63)</f>
        <v>0</v>
      </c>
      <c r="P63" s="211">
        <f t="array" ref="P63">((SUM(IF((CkDJ[Ofc Code]=(TRIM(P$7)))*(CkDJ[Account Code]=(TRIM($D63))),CkDJ[Debit])))+(SUM(IF((CsDJ[Ofc Code]=(TRIM(P$7)))*(CsDJ[Account Code]=(TRIM($D63))),CsDJ[Debit])))+(SUM(IF((CRDJ[Ofc Code]=(TRIM(P$7)))*(CRDJ[Account Code]=(TRIM($D63))),CRDJ[Debit])))+(SUM(IF((GJ[Ofc Code]=(TRIM(P$7)))*(GJ[Account Code]=(TRIM($D63))),GJ[Debit]))))-((SUM(IF((CkDJ[Ofc Code]=(TRIM(P$7)))*(CkDJ[Account Code]=(TRIM($D63))),CkDJ[Credit])))+(SUM(IF((CsDJ[Ofc Code]=(TRIM(P$7)))*(CsDJ[Account Code]=(TRIM($D63))),CsDJ[Credit])))+(SUM(IF((CRDJ[Ofc Code]=(TRIM(P$7)))*(CRDJ[Account Code]=(TRIM($D63))),CRDJ[Credit])))+(SUM(IF((GJ[Ofc Code]=(TRIM(P$7)))*(GJ[Account Code]=(TRIM($D63))),GJ[Credit]))))</f>
        <v>0</v>
      </c>
      <c r="Q63" s="211">
        <f t="array" ref="Q63">((SUM(IF((CkDJ[Ofc Code]=(TRIM(Q$7)))*(CkDJ[Account Code]=(TRIM($D63))),CkDJ[Debit])))+(SUM(IF((CsDJ[Ofc Code]=(TRIM(Q$7)))*(CsDJ[Account Code]=(TRIM($D63))),CsDJ[Debit])))+(SUM(IF((CRDJ[Ofc Code]=(TRIM(Q$7)))*(CRDJ[Account Code]=(TRIM($D63))),CRDJ[Debit])))+(SUM(IF((GJ[Ofc Code]=(TRIM(Q$7)))*(GJ[Account Code]=(TRIM($D63))),GJ[Debit]))))-((SUM(IF((CkDJ[Ofc Code]=(TRIM(Q$7)))*(CkDJ[Account Code]=(TRIM($D63))),CkDJ[Credit])))+(SUM(IF((CsDJ[Ofc Code]=(TRIM(Q$7)))*(CsDJ[Account Code]=(TRIM($D63))),CsDJ[Credit])))+(SUM(IF((CRDJ[Ofc Code]=(TRIM(Q$7)))*(CRDJ[Account Code]=(TRIM($D63))),CRDJ[Credit])))+(SUM(IF((GJ[Ofc Code]=(TRIM(Q$7)))*(GJ[Account Code]=(TRIM($D63))),GJ[Credit]))))</f>
        <v>0</v>
      </c>
      <c r="R63" s="211">
        <f t="array" ref="R63">((SUM(IF((CkDJ[Ofc Code]=(TRIM(R$7)))*(CkDJ[Account Code]=(TRIM($D63))),CkDJ[Debit])))+(SUM(IF((CsDJ[Ofc Code]=(TRIM(R$7)))*(CsDJ[Account Code]=(TRIM($D63))),CsDJ[Debit])))+(SUM(IF((CRDJ[Ofc Code]=(TRIM(R$7)))*(CRDJ[Account Code]=(TRIM($D63))),CRDJ[Debit])))+(SUM(IF((GJ[Ofc Code]=(TRIM(R$7)))*(GJ[Account Code]=(TRIM($D63))),GJ[Debit]))))-((SUM(IF((CkDJ[Ofc Code]=(TRIM(R$7)))*(CkDJ[Account Code]=(TRIM($D63))),CkDJ[Credit])))+(SUM(IF((CsDJ[Ofc Code]=(TRIM(R$7)))*(CsDJ[Account Code]=(TRIM($D63))),CsDJ[Credit])))+(SUM(IF((CRDJ[Ofc Code]=(TRIM(R$7)))*(CRDJ[Account Code]=(TRIM($D63))),CRDJ[Credit])))+(SUM(IF((GJ[Ofc Code]=(TRIM(R$7)))*(GJ[Account Code]=(TRIM($D63))),GJ[Credit]))))</f>
        <v>0</v>
      </c>
      <c r="S63" s="211">
        <f t="array" ref="S63">((SUM(IF((CkDJ[Ofc Code]=(TRIM(S$7)))*(CkDJ[Account Code]=(TRIM($D63))),CkDJ[Debit])))+(SUM(IF((CsDJ[Ofc Code]=(TRIM(S$7)))*(CsDJ[Account Code]=(TRIM($D63))),CsDJ[Debit])))+(SUM(IF((CRDJ[Ofc Code]=(TRIM(S$7)))*(CRDJ[Account Code]=(TRIM($D63))),CRDJ[Debit])))+(SUM(IF((GJ[Ofc Code]=(TRIM(S$7)))*(GJ[Account Code]=(TRIM($D63))),GJ[Debit]))))-((SUM(IF((CkDJ[Ofc Code]=(TRIM(S$7)))*(CkDJ[Account Code]=(TRIM($D63))),CkDJ[Credit])))+(SUM(IF((CsDJ[Ofc Code]=(TRIM(S$7)))*(CsDJ[Account Code]=(TRIM($D63))),CsDJ[Credit])))+(SUM(IF((CRDJ[Ofc Code]=(TRIM(S$7)))*(CRDJ[Account Code]=(TRIM($D63))),CRDJ[Credit])))+(SUM(IF((GJ[Ofc Code]=(TRIM(S$7)))*(GJ[Account Code]=(TRIM($D63))),GJ[Credit]))))</f>
        <v>0</v>
      </c>
      <c r="T63" s="211">
        <f t="array" ref="T63">((SUM(IF((CkDJ[Ofc Code]=(TRIM(T$7)))*(CkDJ[Account Code]=(TRIM($D63))),CkDJ[Debit])))+(SUM(IF((CsDJ[Ofc Code]=(TRIM(T$7)))*(CsDJ[Account Code]=(TRIM($D63))),CsDJ[Debit])))+(SUM(IF((CRDJ[Ofc Code]=(TRIM(T$7)))*(CRDJ[Account Code]=(TRIM($D63))),CRDJ[Debit])))+(SUM(IF((GJ[Ofc Code]=(TRIM(T$7)))*(GJ[Account Code]=(TRIM($D63))),GJ[Debit]))))-((SUM(IF((CkDJ[Ofc Code]=(TRIM(T$7)))*(CkDJ[Account Code]=(TRIM($D63))),CkDJ[Credit])))+(SUM(IF((CsDJ[Ofc Code]=(TRIM(T$7)))*(CsDJ[Account Code]=(TRIM($D63))),CsDJ[Credit])))+(SUM(IF((CRDJ[Ofc Code]=(TRIM(T$7)))*(CRDJ[Account Code]=(TRIM($D63))),CRDJ[Credit])))+(SUM(IF((GJ[Ofc Code]=(TRIM(T$7)))*(GJ[Account Code]=(TRIM($D63))),GJ[Credit]))))</f>
        <v>0</v>
      </c>
      <c r="U63" s="211">
        <f t="shared" ref="U63:U109" si="17">SUM(P63:T63)</f>
        <v>0</v>
      </c>
      <c r="V63" s="211">
        <f t="shared" ref="V63:V109" si="18">E63+J63+O63+U63</f>
        <v>0</v>
      </c>
    </row>
    <row r="64" spans="1:22" ht="15" x14ac:dyDescent="0.25">
      <c r="A64" s="212">
        <f t="shared" ref="A64:A109" si="19">1+A63</f>
        <v>2</v>
      </c>
      <c r="B64" s="214"/>
      <c r="C64" s="194" t="str">
        <f t="shared" si="14"/>
        <v>Training Expenses</v>
      </c>
      <c r="D64" s="207">
        <v>753</v>
      </c>
      <c r="E64" s="211">
        <f t="array" ref="E64">((SUM(IF((CkDJ[Ofc Code]=(TRIM(E$7)))*(CkDJ[Account Code]=(TRIM($D64))),CkDJ[Debit])))+(SUM(IF((CsDJ[Ofc Code]=(TRIM(E$7)))*(CsDJ[Account Code]=(TRIM($D64))),CsDJ[Debit])))+(SUM(IF((CRDJ[Ofc Code]=(TRIM(E$7)))*(CRDJ[Account Code]=(TRIM($D64))),CRDJ[Debit])))+(SUM(IF((GJ[Ofc Code]=(TRIM(E$7)))*(GJ[Account Code]=(TRIM($D64))),GJ[Debit]))))-((SUM(IF((CkDJ[Ofc Code]=(TRIM(E$7)))*(CkDJ[Account Code]=(TRIM($D64))),CkDJ[Credit])))+(SUM(IF((CsDJ[Ofc Code]=(TRIM(E$7)))*(CsDJ[Account Code]=(TRIM($D64))),CsDJ[Credit])))+(SUM(IF((CRDJ[Ofc Code]=(TRIM(E$7)))*(CRDJ[Account Code]=(TRIM($D64))),CRDJ[Credit])))+(SUM(IF((GJ[Ofc Code]=(TRIM(E$7)))*(GJ[Account Code]=(TRIM($D64))),GJ[Credit]))))</f>
        <v>0</v>
      </c>
      <c r="F64" s="211">
        <f t="array" ref="F64">((SUM(IF((CkDJ[Ofc Code]=(TRIM(F$7)))*(CkDJ[Account Code]=(TRIM($D64))),CkDJ[Debit])))+(SUM(IF((CsDJ[Ofc Code]=(TRIM(F$7)))*(CsDJ[Account Code]=(TRIM($D64))),CsDJ[Debit])))+(SUM(IF((CRDJ[Ofc Code]=(TRIM(F$7)))*(CRDJ[Account Code]=(TRIM($D64))),CRDJ[Debit])))+(SUM(IF((GJ[Ofc Code]=(TRIM(F$7)))*(GJ[Account Code]=(TRIM($D64))),GJ[Debit]))))-((SUM(IF((CkDJ[Ofc Code]=(TRIM(F$7)))*(CkDJ[Account Code]=(TRIM($D64))),CkDJ[Credit])))+(SUM(IF((CsDJ[Ofc Code]=(TRIM(F$7)))*(CsDJ[Account Code]=(TRIM($D64))),CsDJ[Credit])))+(SUM(IF((CRDJ[Ofc Code]=(TRIM(F$7)))*(CRDJ[Account Code]=(TRIM($D64))),CRDJ[Credit])))+(SUM(IF((GJ[Ofc Code]=(TRIM(F$7)))*(GJ[Account Code]=(TRIM($D64))),GJ[Credit]))))</f>
        <v>0</v>
      </c>
      <c r="G64" s="211">
        <f t="array" ref="G64">((SUM(IF((CkDJ[Ofc Code]=(TRIM(G$7)))*(CkDJ[Account Code]=(TRIM($D64))),CkDJ[Debit])))+(SUM(IF((CsDJ[Ofc Code]=(TRIM(G$7)))*(CsDJ[Account Code]=(TRIM($D64))),CsDJ[Debit])))+(SUM(IF((CRDJ[Ofc Code]=(TRIM(G$7)))*(CRDJ[Account Code]=(TRIM($D64))),CRDJ[Debit])))+(SUM(IF((GJ[Ofc Code]=(TRIM(G$7)))*(GJ[Account Code]=(TRIM($D64))),GJ[Debit]))))-((SUM(IF((CkDJ[Ofc Code]=(TRIM(G$7)))*(CkDJ[Account Code]=(TRIM($D64))),CkDJ[Credit])))+(SUM(IF((CsDJ[Ofc Code]=(TRIM(G$7)))*(CsDJ[Account Code]=(TRIM($D64))),CsDJ[Credit])))+(SUM(IF((CRDJ[Ofc Code]=(TRIM(G$7)))*(CRDJ[Account Code]=(TRIM($D64))),CRDJ[Credit])))+(SUM(IF((GJ[Ofc Code]=(TRIM(G$7)))*(GJ[Account Code]=(TRIM($D64))),GJ[Credit]))))</f>
        <v>0</v>
      </c>
      <c r="H64" s="211">
        <f t="array" ref="H64">((SUM(IF((CkDJ[Ofc Code]=(TRIM(H$7)))*(CkDJ[Account Code]=(TRIM($D64))),CkDJ[Debit])))+(SUM(IF((CsDJ[Ofc Code]=(TRIM(H$7)))*(CsDJ[Account Code]=(TRIM($D64))),CsDJ[Debit])))+(SUM(IF((CRDJ[Ofc Code]=(TRIM(H$7)))*(CRDJ[Account Code]=(TRIM($D64))),CRDJ[Debit])))+(SUM(IF((GJ[Ofc Code]=(TRIM(H$7)))*(GJ[Account Code]=(TRIM($D64))),GJ[Debit]))))-((SUM(IF((CkDJ[Ofc Code]=(TRIM(H$7)))*(CkDJ[Account Code]=(TRIM($D64))),CkDJ[Credit])))+(SUM(IF((CsDJ[Ofc Code]=(TRIM(H$7)))*(CsDJ[Account Code]=(TRIM($D64))),CsDJ[Credit])))+(SUM(IF((CRDJ[Ofc Code]=(TRIM(H$7)))*(CRDJ[Account Code]=(TRIM($D64))),CRDJ[Credit])))+(SUM(IF((GJ[Ofc Code]=(TRIM(H$7)))*(GJ[Account Code]=(TRIM($D64))),GJ[Credit]))))</f>
        <v>0</v>
      </c>
      <c r="I64" s="211">
        <f t="array" ref="I64">((SUM(IF((CkDJ[Ofc Code]=(TRIM(I$7)))*(CkDJ[Account Code]=(TRIM($D64))),CkDJ[Debit])))+(SUM(IF((CsDJ[Ofc Code]=(TRIM(I$7)))*(CsDJ[Account Code]=(TRIM($D64))),CsDJ[Debit])))+(SUM(IF((CRDJ[Ofc Code]=(TRIM(I$7)))*(CRDJ[Account Code]=(TRIM($D64))),CRDJ[Debit])))+(SUM(IF((GJ[Ofc Code]=(TRIM(I$7)))*(GJ[Account Code]=(TRIM($D64))),GJ[Debit]))))-((SUM(IF((CkDJ[Ofc Code]=(TRIM(I$7)))*(CkDJ[Account Code]=(TRIM($D64))),CkDJ[Credit])))+(SUM(IF((CsDJ[Ofc Code]=(TRIM(I$7)))*(CsDJ[Account Code]=(TRIM($D64))),CsDJ[Credit])))+(SUM(IF((CRDJ[Ofc Code]=(TRIM(I$7)))*(CRDJ[Account Code]=(TRIM($D64))),CRDJ[Credit])))+(SUM(IF((GJ[Ofc Code]=(TRIM(I$7)))*(GJ[Account Code]=(TRIM($D64))),GJ[Credit]))))</f>
        <v>0</v>
      </c>
      <c r="J64" s="211">
        <f t="shared" si="15"/>
        <v>0</v>
      </c>
      <c r="K64" s="211">
        <f t="array" ref="K64">((SUM(IF((CkDJ[Ofc Code]=(TRIM(K$7)))*(CkDJ[Account Code]=(TRIM($D64))),CkDJ[Debit])))+(SUM(IF((CsDJ[Ofc Code]=(TRIM(K$7)))*(CsDJ[Account Code]=(TRIM($D64))),CsDJ[Debit])))+(SUM(IF((CRDJ[Ofc Code]=(TRIM(K$7)))*(CRDJ[Account Code]=(TRIM($D64))),CRDJ[Debit])))+(SUM(IF((GJ[Ofc Code]=(TRIM(K$7)))*(GJ[Account Code]=(TRIM($D64))),GJ[Debit]))))-((SUM(IF((CkDJ[Ofc Code]=(TRIM(K$7)))*(CkDJ[Account Code]=(TRIM($D64))),CkDJ[Credit])))+(SUM(IF((CsDJ[Ofc Code]=(TRIM(K$7)))*(CsDJ[Account Code]=(TRIM($D64))),CsDJ[Credit])))+(SUM(IF((CRDJ[Ofc Code]=(TRIM(K$7)))*(CRDJ[Account Code]=(TRIM($D64))),CRDJ[Credit])))+(SUM(IF((GJ[Ofc Code]=(TRIM(K$7)))*(GJ[Account Code]=(TRIM($D64))),GJ[Credit]))))</f>
        <v>0</v>
      </c>
      <c r="L64" s="211">
        <f t="array" ref="L64">((SUM(IF((CkDJ[Ofc Code]=(TRIM(L$7)))*(CkDJ[Account Code]=(TRIM($D64))),CkDJ[Debit])))+(SUM(IF((CsDJ[Ofc Code]=(TRIM(L$7)))*(CsDJ[Account Code]=(TRIM($D64))),CsDJ[Debit])))+(SUM(IF((CRDJ[Ofc Code]=(TRIM(L$7)))*(CRDJ[Account Code]=(TRIM($D64))),CRDJ[Debit])))+(SUM(IF((GJ[Ofc Code]=(TRIM(L$7)))*(GJ[Account Code]=(TRIM($D64))),GJ[Debit]))))-((SUM(IF((CkDJ[Ofc Code]=(TRIM(L$7)))*(CkDJ[Account Code]=(TRIM($D64))),CkDJ[Credit])))+(SUM(IF((CsDJ[Ofc Code]=(TRIM(L$7)))*(CsDJ[Account Code]=(TRIM($D64))),CsDJ[Credit])))+(SUM(IF((CRDJ[Ofc Code]=(TRIM(L$7)))*(CRDJ[Account Code]=(TRIM($D64))),CRDJ[Credit])))+(SUM(IF((GJ[Ofc Code]=(TRIM(L$7)))*(GJ[Account Code]=(TRIM($D64))),GJ[Credit]))))</f>
        <v>0</v>
      </c>
      <c r="M64" s="211">
        <f t="array" ref="M64">((SUM(IF((CkDJ[Ofc Code]=(TRIM(M$7)))*(CkDJ[Account Code]=(TRIM($D64))),CkDJ[Debit])))+(SUM(IF((CsDJ[Ofc Code]=(TRIM(M$7)))*(CsDJ[Account Code]=(TRIM($D64))),CsDJ[Debit])))+(SUM(IF((CRDJ[Ofc Code]=(TRIM(M$7)))*(CRDJ[Account Code]=(TRIM($D64))),CRDJ[Debit])))+(SUM(IF((GJ[Ofc Code]=(TRIM(M$7)))*(GJ[Account Code]=(TRIM($D64))),GJ[Debit]))))-((SUM(IF((CkDJ[Ofc Code]=(TRIM(M$7)))*(CkDJ[Account Code]=(TRIM($D64))),CkDJ[Credit])))+(SUM(IF((CsDJ[Ofc Code]=(TRIM(M$7)))*(CsDJ[Account Code]=(TRIM($D64))),CsDJ[Credit])))+(SUM(IF((CRDJ[Ofc Code]=(TRIM(M$7)))*(CRDJ[Account Code]=(TRIM($D64))),CRDJ[Credit])))+(SUM(IF((GJ[Ofc Code]=(TRIM(M$7)))*(GJ[Account Code]=(TRIM($D64))),GJ[Credit]))))</f>
        <v>0</v>
      </c>
      <c r="N64" s="211">
        <f t="array" ref="N64">((SUM(IF((CkDJ[Ofc Code]=(TRIM(N$7)))*(CkDJ[Account Code]=(TRIM($D64))),CkDJ[Debit])))+(SUM(IF((CsDJ[Ofc Code]=(TRIM(N$7)))*(CsDJ[Account Code]=(TRIM($D64))),CsDJ[Debit])))+(SUM(IF((CRDJ[Ofc Code]=(TRIM(N$7)))*(CRDJ[Account Code]=(TRIM($D64))),CRDJ[Debit])))+(SUM(IF((GJ[Ofc Code]=(TRIM(N$7)))*(GJ[Account Code]=(TRIM($D64))),GJ[Debit]))))-((SUM(IF((CkDJ[Ofc Code]=(TRIM(N$7)))*(CkDJ[Account Code]=(TRIM($D64))),CkDJ[Credit])))+(SUM(IF((CsDJ[Ofc Code]=(TRIM(N$7)))*(CsDJ[Account Code]=(TRIM($D64))),CsDJ[Credit])))+(SUM(IF((CRDJ[Ofc Code]=(TRIM(N$7)))*(CRDJ[Account Code]=(TRIM($D64))),CRDJ[Credit])))+(SUM(IF((GJ[Ofc Code]=(TRIM(N$7)))*(GJ[Account Code]=(TRIM($D64))),GJ[Credit]))))</f>
        <v>0</v>
      </c>
      <c r="O64" s="211">
        <f t="shared" si="16"/>
        <v>0</v>
      </c>
      <c r="P64" s="211">
        <f t="array" ref="P64">((SUM(IF((CkDJ[Ofc Code]=(TRIM(P$7)))*(CkDJ[Account Code]=(TRIM($D64))),CkDJ[Debit])))+(SUM(IF((CsDJ[Ofc Code]=(TRIM(P$7)))*(CsDJ[Account Code]=(TRIM($D64))),CsDJ[Debit])))+(SUM(IF((CRDJ[Ofc Code]=(TRIM(P$7)))*(CRDJ[Account Code]=(TRIM($D64))),CRDJ[Debit])))+(SUM(IF((GJ[Ofc Code]=(TRIM(P$7)))*(GJ[Account Code]=(TRIM($D64))),GJ[Debit]))))-((SUM(IF((CkDJ[Ofc Code]=(TRIM(P$7)))*(CkDJ[Account Code]=(TRIM($D64))),CkDJ[Credit])))+(SUM(IF((CsDJ[Ofc Code]=(TRIM(P$7)))*(CsDJ[Account Code]=(TRIM($D64))),CsDJ[Credit])))+(SUM(IF((CRDJ[Ofc Code]=(TRIM(P$7)))*(CRDJ[Account Code]=(TRIM($D64))),CRDJ[Credit])))+(SUM(IF((GJ[Ofc Code]=(TRIM(P$7)))*(GJ[Account Code]=(TRIM($D64))),GJ[Credit]))))</f>
        <v>0</v>
      </c>
      <c r="Q64" s="211">
        <f t="array" ref="Q64">((SUM(IF((CkDJ[Ofc Code]=(TRIM(Q$7)))*(CkDJ[Account Code]=(TRIM($D64))),CkDJ[Debit])))+(SUM(IF((CsDJ[Ofc Code]=(TRIM(Q$7)))*(CsDJ[Account Code]=(TRIM($D64))),CsDJ[Debit])))+(SUM(IF((CRDJ[Ofc Code]=(TRIM(Q$7)))*(CRDJ[Account Code]=(TRIM($D64))),CRDJ[Debit])))+(SUM(IF((GJ[Ofc Code]=(TRIM(Q$7)))*(GJ[Account Code]=(TRIM($D64))),GJ[Debit]))))-((SUM(IF((CkDJ[Ofc Code]=(TRIM(Q$7)))*(CkDJ[Account Code]=(TRIM($D64))),CkDJ[Credit])))+(SUM(IF((CsDJ[Ofc Code]=(TRIM(Q$7)))*(CsDJ[Account Code]=(TRIM($D64))),CsDJ[Credit])))+(SUM(IF((CRDJ[Ofc Code]=(TRIM(Q$7)))*(CRDJ[Account Code]=(TRIM($D64))),CRDJ[Credit])))+(SUM(IF((GJ[Ofc Code]=(TRIM(Q$7)))*(GJ[Account Code]=(TRIM($D64))),GJ[Credit]))))</f>
        <v>0</v>
      </c>
      <c r="R64" s="211">
        <f t="array" ref="R64">((SUM(IF((CkDJ[Ofc Code]=(TRIM(R$7)))*(CkDJ[Account Code]=(TRIM($D64))),CkDJ[Debit])))+(SUM(IF((CsDJ[Ofc Code]=(TRIM(R$7)))*(CsDJ[Account Code]=(TRIM($D64))),CsDJ[Debit])))+(SUM(IF((CRDJ[Ofc Code]=(TRIM(R$7)))*(CRDJ[Account Code]=(TRIM($D64))),CRDJ[Debit])))+(SUM(IF((GJ[Ofc Code]=(TRIM(R$7)))*(GJ[Account Code]=(TRIM($D64))),GJ[Debit]))))-((SUM(IF((CkDJ[Ofc Code]=(TRIM(R$7)))*(CkDJ[Account Code]=(TRIM($D64))),CkDJ[Credit])))+(SUM(IF((CsDJ[Ofc Code]=(TRIM(R$7)))*(CsDJ[Account Code]=(TRIM($D64))),CsDJ[Credit])))+(SUM(IF((CRDJ[Ofc Code]=(TRIM(R$7)))*(CRDJ[Account Code]=(TRIM($D64))),CRDJ[Credit])))+(SUM(IF((GJ[Ofc Code]=(TRIM(R$7)))*(GJ[Account Code]=(TRIM($D64))),GJ[Credit]))))</f>
        <v>0</v>
      </c>
      <c r="S64" s="211">
        <f t="array" ref="S64">((SUM(IF((CkDJ[Ofc Code]=(TRIM(S$7)))*(CkDJ[Account Code]=(TRIM($D64))),CkDJ[Debit])))+(SUM(IF((CsDJ[Ofc Code]=(TRIM(S$7)))*(CsDJ[Account Code]=(TRIM($D64))),CsDJ[Debit])))+(SUM(IF((CRDJ[Ofc Code]=(TRIM(S$7)))*(CRDJ[Account Code]=(TRIM($D64))),CRDJ[Debit])))+(SUM(IF((GJ[Ofc Code]=(TRIM(S$7)))*(GJ[Account Code]=(TRIM($D64))),GJ[Debit]))))-((SUM(IF((CkDJ[Ofc Code]=(TRIM(S$7)))*(CkDJ[Account Code]=(TRIM($D64))),CkDJ[Credit])))+(SUM(IF((CsDJ[Ofc Code]=(TRIM(S$7)))*(CsDJ[Account Code]=(TRIM($D64))),CsDJ[Credit])))+(SUM(IF((CRDJ[Ofc Code]=(TRIM(S$7)))*(CRDJ[Account Code]=(TRIM($D64))),CRDJ[Credit])))+(SUM(IF((GJ[Ofc Code]=(TRIM(S$7)))*(GJ[Account Code]=(TRIM($D64))),GJ[Credit]))))</f>
        <v>0</v>
      </c>
      <c r="T64" s="211">
        <f t="array" ref="T64">((SUM(IF((CkDJ[Ofc Code]=(TRIM(T$7)))*(CkDJ[Account Code]=(TRIM($D64))),CkDJ[Debit])))+(SUM(IF((CsDJ[Ofc Code]=(TRIM(T$7)))*(CsDJ[Account Code]=(TRIM($D64))),CsDJ[Debit])))+(SUM(IF((CRDJ[Ofc Code]=(TRIM(T$7)))*(CRDJ[Account Code]=(TRIM($D64))),CRDJ[Debit])))+(SUM(IF((GJ[Ofc Code]=(TRIM(T$7)))*(GJ[Account Code]=(TRIM($D64))),GJ[Debit]))))-((SUM(IF((CkDJ[Ofc Code]=(TRIM(T$7)))*(CkDJ[Account Code]=(TRIM($D64))),CkDJ[Credit])))+(SUM(IF((CsDJ[Ofc Code]=(TRIM(T$7)))*(CsDJ[Account Code]=(TRIM($D64))),CsDJ[Credit])))+(SUM(IF((CRDJ[Ofc Code]=(TRIM(T$7)))*(CRDJ[Account Code]=(TRIM($D64))),CRDJ[Credit])))+(SUM(IF((GJ[Ofc Code]=(TRIM(T$7)))*(GJ[Account Code]=(TRIM($D64))),GJ[Credit]))))</f>
        <v>0</v>
      </c>
      <c r="U64" s="211">
        <f t="shared" si="17"/>
        <v>0</v>
      </c>
      <c r="V64" s="211">
        <f t="shared" si="18"/>
        <v>0</v>
      </c>
    </row>
    <row r="65" spans="1:22" ht="15" x14ac:dyDescent="0.25">
      <c r="A65" s="212">
        <f t="shared" si="19"/>
        <v>3</v>
      </c>
      <c r="B65" s="214"/>
      <c r="C65" s="194" t="str">
        <f t="shared" si="14"/>
        <v>Office Supplies Expenses</v>
      </c>
      <c r="D65" s="207">
        <v>755</v>
      </c>
      <c r="E65" s="211">
        <f t="array" ref="E65">((SUM(IF((CkDJ[Ofc Code]=(TRIM(E$7)))*(CkDJ[Account Code]=(TRIM($D65))),CkDJ[Debit])))+(SUM(IF((CsDJ[Ofc Code]=(TRIM(E$7)))*(CsDJ[Account Code]=(TRIM($D65))),CsDJ[Debit])))+(SUM(IF((CRDJ[Ofc Code]=(TRIM(E$7)))*(CRDJ[Account Code]=(TRIM($D65))),CRDJ[Debit])))+(SUM(IF((GJ[Ofc Code]=(TRIM(E$7)))*(GJ[Account Code]=(TRIM($D65))),GJ[Debit]))))-((SUM(IF((CkDJ[Ofc Code]=(TRIM(E$7)))*(CkDJ[Account Code]=(TRIM($D65))),CkDJ[Credit])))+(SUM(IF((CsDJ[Ofc Code]=(TRIM(E$7)))*(CsDJ[Account Code]=(TRIM($D65))),CsDJ[Credit])))+(SUM(IF((CRDJ[Ofc Code]=(TRIM(E$7)))*(CRDJ[Account Code]=(TRIM($D65))),CRDJ[Credit])))+(SUM(IF((GJ[Ofc Code]=(TRIM(E$7)))*(GJ[Account Code]=(TRIM($D65))),GJ[Credit]))))</f>
        <v>0</v>
      </c>
      <c r="F65" s="211">
        <f t="array" ref="F65">((SUM(IF((CkDJ[Ofc Code]=(TRIM(F$7)))*(CkDJ[Account Code]=(TRIM($D65))),CkDJ[Debit])))+(SUM(IF((CsDJ[Ofc Code]=(TRIM(F$7)))*(CsDJ[Account Code]=(TRIM($D65))),CsDJ[Debit])))+(SUM(IF((CRDJ[Ofc Code]=(TRIM(F$7)))*(CRDJ[Account Code]=(TRIM($D65))),CRDJ[Debit])))+(SUM(IF((GJ[Ofc Code]=(TRIM(F$7)))*(GJ[Account Code]=(TRIM($D65))),GJ[Debit]))))-((SUM(IF((CkDJ[Ofc Code]=(TRIM(F$7)))*(CkDJ[Account Code]=(TRIM($D65))),CkDJ[Credit])))+(SUM(IF((CsDJ[Ofc Code]=(TRIM(F$7)))*(CsDJ[Account Code]=(TRIM($D65))),CsDJ[Credit])))+(SUM(IF((CRDJ[Ofc Code]=(TRIM(F$7)))*(CRDJ[Account Code]=(TRIM($D65))),CRDJ[Credit])))+(SUM(IF((GJ[Ofc Code]=(TRIM(F$7)))*(GJ[Account Code]=(TRIM($D65))),GJ[Credit]))))</f>
        <v>0</v>
      </c>
      <c r="G65" s="211">
        <f t="array" ref="G65">((SUM(IF((CkDJ[Ofc Code]=(TRIM(G$7)))*(CkDJ[Account Code]=(TRIM($D65))),CkDJ[Debit])))+(SUM(IF((CsDJ[Ofc Code]=(TRIM(G$7)))*(CsDJ[Account Code]=(TRIM($D65))),CsDJ[Debit])))+(SUM(IF((CRDJ[Ofc Code]=(TRIM(G$7)))*(CRDJ[Account Code]=(TRIM($D65))),CRDJ[Debit])))+(SUM(IF((GJ[Ofc Code]=(TRIM(G$7)))*(GJ[Account Code]=(TRIM($D65))),GJ[Debit]))))-((SUM(IF((CkDJ[Ofc Code]=(TRIM(G$7)))*(CkDJ[Account Code]=(TRIM($D65))),CkDJ[Credit])))+(SUM(IF((CsDJ[Ofc Code]=(TRIM(G$7)))*(CsDJ[Account Code]=(TRIM($D65))),CsDJ[Credit])))+(SUM(IF((CRDJ[Ofc Code]=(TRIM(G$7)))*(CRDJ[Account Code]=(TRIM($D65))),CRDJ[Credit])))+(SUM(IF((GJ[Ofc Code]=(TRIM(G$7)))*(GJ[Account Code]=(TRIM($D65))),GJ[Credit]))))</f>
        <v>0</v>
      </c>
      <c r="H65" s="211">
        <f t="array" ref="H65">((SUM(IF((CkDJ[Ofc Code]=(TRIM(H$7)))*(CkDJ[Account Code]=(TRIM($D65))),CkDJ[Debit])))+(SUM(IF((CsDJ[Ofc Code]=(TRIM(H$7)))*(CsDJ[Account Code]=(TRIM($D65))),CsDJ[Debit])))+(SUM(IF((CRDJ[Ofc Code]=(TRIM(H$7)))*(CRDJ[Account Code]=(TRIM($D65))),CRDJ[Debit])))+(SUM(IF((GJ[Ofc Code]=(TRIM(H$7)))*(GJ[Account Code]=(TRIM($D65))),GJ[Debit]))))-((SUM(IF((CkDJ[Ofc Code]=(TRIM(H$7)))*(CkDJ[Account Code]=(TRIM($D65))),CkDJ[Credit])))+(SUM(IF((CsDJ[Ofc Code]=(TRIM(H$7)))*(CsDJ[Account Code]=(TRIM($D65))),CsDJ[Credit])))+(SUM(IF((CRDJ[Ofc Code]=(TRIM(H$7)))*(CRDJ[Account Code]=(TRIM($D65))),CRDJ[Credit])))+(SUM(IF((GJ[Ofc Code]=(TRIM(H$7)))*(GJ[Account Code]=(TRIM($D65))),GJ[Credit]))))</f>
        <v>0</v>
      </c>
      <c r="I65" s="211">
        <f t="array" ref="I65">((SUM(IF((CkDJ[Ofc Code]=(TRIM(I$7)))*(CkDJ[Account Code]=(TRIM($D65))),CkDJ[Debit])))+(SUM(IF((CsDJ[Ofc Code]=(TRIM(I$7)))*(CsDJ[Account Code]=(TRIM($D65))),CsDJ[Debit])))+(SUM(IF((CRDJ[Ofc Code]=(TRIM(I$7)))*(CRDJ[Account Code]=(TRIM($D65))),CRDJ[Debit])))+(SUM(IF((GJ[Ofc Code]=(TRIM(I$7)))*(GJ[Account Code]=(TRIM($D65))),GJ[Debit]))))-((SUM(IF((CkDJ[Ofc Code]=(TRIM(I$7)))*(CkDJ[Account Code]=(TRIM($D65))),CkDJ[Credit])))+(SUM(IF((CsDJ[Ofc Code]=(TRIM(I$7)))*(CsDJ[Account Code]=(TRIM($D65))),CsDJ[Credit])))+(SUM(IF((CRDJ[Ofc Code]=(TRIM(I$7)))*(CRDJ[Account Code]=(TRIM($D65))),CRDJ[Credit])))+(SUM(IF((GJ[Ofc Code]=(TRIM(I$7)))*(GJ[Account Code]=(TRIM($D65))),GJ[Credit]))))</f>
        <v>0</v>
      </c>
      <c r="J65" s="211">
        <f t="shared" si="15"/>
        <v>0</v>
      </c>
      <c r="K65" s="211">
        <f t="array" ref="K65">((SUM(IF((CkDJ[Ofc Code]=(TRIM(K$7)))*(CkDJ[Account Code]=(TRIM($D65))),CkDJ[Debit])))+(SUM(IF((CsDJ[Ofc Code]=(TRIM(K$7)))*(CsDJ[Account Code]=(TRIM($D65))),CsDJ[Debit])))+(SUM(IF((CRDJ[Ofc Code]=(TRIM(K$7)))*(CRDJ[Account Code]=(TRIM($D65))),CRDJ[Debit])))+(SUM(IF((GJ[Ofc Code]=(TRIM(K$7)))*(GJ[Account Code]=(TRIM($D65))),GJ[Debit]))))-((SUM(IF((CkDJ[Ofc Code]=(TRIM(K$7)))*(CkDJ[Account Code]=(TRIM($D65))),CkDJ[Credit])))+(SUM(IF((CsDJ[Ofc Code]=(TRIM(K$7)))*(CsDJ[Account Code]=(TRIM($D65))),CsDJ[Credit])))+(SUM(IF((CRDJ[Ofc Code]=(TRIM(K$7)))*(CRDJ[Account Code]=(TRIM($D65))),CRDJ[Credit])))+(SUM(IF((GJ[Ofc Code]=(TRIM(K$7)))*(GJ[Account Code]=(TRIM($D65))),GJ[Credit]))))</f>
        <v>0</v>
      </c>
      <c r="L65" s="211">
        <f t="array" ref="L65">((SUM(IF((CkDJ[Ofc Code]=(TRIM(L$7)))*(CkDJ[Account Code]=(TRIM($D65))),CkDJ[Debit])))+(SUM(IF((CsDJ[Ofc Code]=(TRIM(L$7)))*(CsDJ[Account Code]=(TRIM($D65))),CsDJ[Debit])))+(SUM(IF((CRDJ[Ofc Code]=(TRIM(L$7)))*(CRDJ[Account Code]=(TRIM($D65))),CRDJ[Debit])))+(SUM(IF((GJ[Ofc Code]=(TRIM(L$7)))*(GJ[Account Code]=(TRIM($D65))),GJ[Debit]))))-((SUM(IF((CkDJ[Ofc Code]=(TRIM(L$7)))*(CkDJ[Account Code]=(TRIM($D65))),CkDJ[Credit])))+(SUM(IF((CsDJ[Ofc Code]=(TRIM(L$7)))*(CsDJ[Account Code]=(TRIM($D65))),CsDJ[Credit])))+(SUM(IF((CRDJ[Ofc Code]=(TRIM(L$7)))*(CRDJ[Account Code]=(TRIM($D65))),CRDJ[Credit])))+(SUM(IF((GJ[Ofc Code]=(TRIM(L$7)))*(GJ[Account Code]=(TRIM($D65))),GJ[Credit]))))</f>
        <v>0</v>
      </c>
      <c r="M65" s="211">
        <f t="array" ref="M65">((SUM(IF((CkDJ[Ofc Code]=(TRIM(M$7)))*(CkDJ[Account Code]=(TRIM($D65))),CkDJ[Debit])))+(SUM(IF((CsDJ[Ofc Code]=(TRIM(M$7)))*(CsDJ[Account Code]=(TRIM($D65))),CsDJ[Debit])))+(SUM(IF((CRDJ[Ofc Code]=(TRIM(M$7)))*(CRDJ[Account Code]=(TRIM($D65))),CRDJ[Debit])))+(SUM(IF((GJ[Ofc Code]=(TRIM(M$7)))*(GJ[Account Code]=(TRIM($D65))),GJ[Debit]))))-((SUM(IF((CkDJ[Ofc Code]=(TRIM(M$7)))*(CkDJ[Account Code]=(TRIM($D65))),CkDJ[Credit])))+(SUM(IF((CsDJ[Ofc Code]=(TRIM(M$7)))*(CsDJ[Account Code]=(TRIM($D65))),CsDJ[Credit])))+(SUM(IF((CRDJ[Ofc Code]=(TRIM(M$7)))*(CRDJ[Account Code]=(TRIM($D65))),CRDJ[Credit])))+(SUM(IF((GJ[Ofc Code]=(TRIM(M$7)))*(GJ[Account Code]=(TRIM($D65))),GJ[Credit]))))</f>
        <v>0</v>
      </c>
      <c r="N65" s="211">
        <f t="array" ref="N65">((SUM(IF((CkDJ[Ofc Code]=(TRIM(N$7)))*(CkDJ[Account Code]=(TRIM($D65))),CkDJ[Debit])))+(SUM(IF((CsDJ[Ofc Code]=(TRIM(N$7)))*(CsDJ[Account Code]=(TRIM($D65))),CsDJ[Debit])))+(SUM(IF((CRDJ[Ofc Code]=(TRIM(N$7)))*(CRDJ[Account Code]=(TRIM($D65))),CRDJ[Debit])))+(SUM(IF((GJ[Ofc Code]=(TRIM(N$7)))*(GJ[Account Code]=(TRIM($D65))),GJ[Debit]))))-((SUM(IF((CkDJ[Ofc Code]=(TRIM(N$7)))*(CkDJ[Account Code]=(TRIM($D65))),CkDJ[Credit])))+(SUM(IF((CsDJ[Ofc Code]=(TRIM(N$7)))*(CsDJ[Account Code]=(TRIM($D65))),CsDJ[Credit])))+(SUM(IF((CRDJ[Ofc Code]=(TRIM(N$7)))*(CRDJ[Account Code]=(TRIM($D65))),CRDJ[Credit])))+(SUM(IF((GJ[Ofc Code]=(TRIM(N$7)))*(GJ[Account Code]=(TRIM($D65))),GJ[Credit]))))</f>
        <v>0</v>
      </c>
      <c r="O65" s="211">
        <f t="shared" si="16"/>
        <v>0</v>
      </c>
      <c r="P65" s="211">
        <f t="array" ref="P65">((SUM(IF((CkDJ[Ofc Code]=(TRIM(P$7)))*(CkDJ[Account Code]=(TRIM($D65))),CkDJ[Debit])))+(SUM(IF((CsDJ[Ofc Code]=(TRIM(P$7)))*(CsDJ[Account Code]=(TRIM($D65))),CsDJ[Debit])))+(SUM(IF((CRDJ[Ofc Code]=(TRIM(P$7)))*(CRDJ[Account Code]=(TRIM($D65))),CRDJ[Debit])))+(SUM(IF((GJ[Ofc Code]=(TRIM(P$7)))*(GJ[Account Code]=(TRIM($D65))),GJ[Debit]))))-((SUM(IF((CkDJ[Ofc Code]=(TRIM(P$7)))*(CkDJ[Account Code]=(TRIM($D65))),CkDJ[Credit])))+(SUM(IF((CsDJ[Ofc Code]=(TRIM(P$7)))*(CsDJ[Account Code]=(TRIM($D65))),CsDJ[Credit])))+(SUM(IF((CRDJ[Ofc Code]=(TRIM(P$7)))*(CRDJ[Account Code]=(TRIM($D65))),CRDJ[Credit])))+(SUM(IF((GJ[Ofc Code]=(TRIM(P$7)))*(GJ[Account Code]=(TRIM($D65))),GJ[Credit]))))</f>
        <v>0</v>
      </c>
      <c r="Q65" s="211">
        <f t="array" ref="Q65">((SUM(IF((CkDJ[Ofc Code]=(TRIM(Q$7)))*(CkDJ[Account Code]=(TRIM($D65))),CkDJ[Debit])))+(SUM(IF((CsDJ[Ofc Code]=(TRIM(Q$7)))*(CsDJ[Account Code]=(TRIM($D65))),CsDJ[Debit])))+(SUM(IF((CRDJ[Ofc Code]=(TRIM(Q$7)))*(CRDJ[Account Code]=(TRIM($D65))),CRDJ[Debit])))+(SUM(IF((GJ[Ofc Code]=(TRIM(Q$7)))*(GJ[Account Code]=(TRIM($D65))),GJ[Debit]))))-((SUM(IF((CkDJ[Ofc Code]=(TRIM(Q$7)))*(CkDJ[Account Code]=(TRIM($D65))),CkDJ[Credit])))+(SUM(IF((CsDJ[Ofc Code]=(TRIM(Q$7)))*(CsDJ[Account Code]=(TRIM($D65))),CsDJ[Credit])))+(SUM(IF((CRDJ[Ofc Code]=(TRIM(Q$7)))*(CRDJ[Account Code]=(TRIM($D65))),CRDJ[Credit])))+(SUM(IF((GJ[Ofc Code]=(TRIM(Q$7)))*(GJ[Account Code]=(TRIM($D65))),GJ[Credit]))))</f>
        <v>0</v>
      </c>
      <c r="R65" s="211">
        <f t="array" ref="R65">((SUM(IF((CkDJ[Ofc Code]=(TRIM(R$7)))*(CkDJ[Account Code]=(TRIM($D65))),CkDJ[Debit])))+(SUM(IF((CsDJ[Ofc Code]=(TRIM(R$7)))*(CsDJ[Account Code]=(TRIM($D65))),CsDJ[Debit])))+(SUM(IF((CRDJ[Ofc Code]=(TRIM(R$7)))*(CRDJ[Account Code]=(TRIM($D65))),CRDJ[Debit])))+(SUM(IF((GJ[Ofc Code]=(TRIM(R$7)))*(GJ[Account Code]=(TRIM($D65))),GJ[Debit]))))-((SUM(IF((CkDJ[Ofc Code]=(TRIM(R$7)))*(CkDJ[Account Code]=(TRIM($D65))),CkDJ[Credit])))+(SUM(IF((CsDJ[Ofc Code]=(TRIM(R$7)))*(CsDJ[Account Code]=(TRIM($D65))),CsDJ[Credit])))+(SUM(IF((CRDJ[Ofc Code]=(TRIM(R$7)))*(CRDJ[Account Code]=(TRIM($D65))),CRDJ[Credit])))+(SUM(IF((GJ[Ofc Code]=(TRIM(R$7)))*(GJ[Account Code]=(TRIM($D65))),GJ[Credit]))))</f>
        <v>0</v>
      </c>
      <c r="S65" s="211">
        <f t="array" ref="S65">((SUM(IF((CkDJ[Ofc Code]=(TRIM(S$7)))*(CkDJ[Account Code]=(TRIM($D65))),CkDJ[Debit])))+(SUM(IF((CsDJ[Ofc Code]=(TRIM(S$7)))*(CsDJ[Account Code]=(TRIM($D65))),CsDJ[Debit])))+(SUM(IF((CRDJ[Ofc Code]=(TRIM(S$7)))*(CRDJ[Account Code]=(TRIM($D65))),CRDJ[Debit])))+(SUM(IF((GJ[Ofc Code]=(TRIM(S$7)))*(GJ[Account Code]=(TRIM($D65))),GJ[Debit]))))-((SUM(IF((CkDJ[Ofc Code]=(TRIM(S$7)))*(CkDJ[Account Code]=(TRIM($D65))),CkDJ[Credit])))+(SUM(IF((CsDJ[Ofc Code]=(TRIM(S$7)))*(CsDJ[Account Code]=(TRIM($D65))),CsDJ[Credit])))+(SUM(IF((CRDJ[Ofc Code]=(TRIM(S$7)))*(CRDJ[Account Code]=(TRIM($D65))),CRDJ[Credit])))+(SUM(IF((GJ[Ofc Code]=(TRIM(S$7)))*(GJ[Account Code]=(TRIM($D65))),GJ[Credit]))))</f>
        <v>0</v>
      </c>
      <c r="T65" s="211">
        <f t="array" ref="T65">((SUM(IF((CkDJ[Ofc Code]=(TRIM(T$7)))*(CkDJ[Account Code]=(TRIM($D65))),CkDJ[Debit])))+(SUM(IF((CsDJ[Ofc Code]=(TRIM(T$7)))*(CsDJ[Account Code]=(TRIM($D65))),CsDJ[Debit])))+(SUM(IF((CRDJ[Ofc Code]=(TRIM(T$7)))*(CRDJ[Account Code]=(TRIM($D65))),CRDJ[Debit])))+(SUM(IF((GJ[Ofc Code]=(TRIM(T$7)))*(GJ[Account Code]=(TRIM($D65))),GJ[Debit]))))-((SUM(IF((CkDJ[Ofc Code]=(TRIM(T$7)))*(CkDJ[Account Code]=(TRIM($D65))),CkDJ[Credit])))+(SUM(IF((CsDJ[Ofc Code]=(TRIM(T$7)))*(CsDJ[Account Code]=(TRIM($D65))),CsDJ[Credit])))+(SUM(IF((CRDJ[Ofc Code]=(TRIM(T$7)))*(CRDJ[Account Code]=(TRIM($D65))),CRDJ[Credit])))+(SUM(IF((GJ[Ofc Code]=(TRIM(T$7)))*(GJ[Account Code]=(TRIM($D65))),GJ[Credit]))))</f>
        <v>0</v>
      </c>
      <c r="U65" s="211">
        <f t="shared" si="17"/>
        <v>0</v>
      </c>
      <c r="V65" s="211">
        <f t="shared" si="18"/>
        <v>0</v>
      </c>
    </row>
    <row r="66" spans="1:22" ht="15" x14ac:dyDescent="0.25">
      <c r="A66" s="212">
        <f t="shared" si="19"/>
        <v>4</v>
      </c>
      <c r="B66" s="214"/>
      <c r="C66" s="194" t="str">
        <f t="shared" si="14"/>
        <v>Accountable Forms Expenses</v>
      </c>
      <c r="D66" s="207">
        <v>756</v>
      </c>
      <c r="E66" s="211">
        <f t="array" ref="E66">((SUM(IF((CkDJ[Ofc Code]=(TRIM(E$7)))*(CkDJ[Account Code]=(TRIM($D66))),CkDJ[Debit])))+(SUM(IF((CsDJ[Ofc Code]=(TRIM(E$7)))*(CsDJ[Account Code]=(TRIM($D66))),CsDJ[Debit])))+(SUM(IF((CRDJ[Ofc Code]=(TRIM(E$7)))*(CRDJ[Account Code]=(TRIM($D66))),CRDJ[Debit])))+(SUM(IF((GJ[Ofc Code]=(TRIM(E$7)))*(GJ[Account Code]=(TRIM($D66))),GJ[Debit]))))-((SUM(IF((CkDJ[Ofc Code]=(TRIM(E$7)))*(CkDJ[Account Code]=(TRIM($D66))),CkDJ[Credit])))+(SUM(IF((CsDJ[Ofc Code]=(TRIM(E$7)))*(CsDJ[Account Code]=(TRIM($D66))),CsDJ[Credit])))+(SUM(IF((CRDJ[Ofc Code]=(TRIM(E$7)))*(CRDJ[Account Code]=(TRIM($D66))),CRDJ[Credit])))+(SUM(IF((GJ[Ofc Code]=(TRIM(E$7)))*(GJ[Account Code]=(TRIM($D66))),GJ[Credit]))))</f>
        <v>0</v>
      </c>
      <c r="F66" s="211">
        <f t="array" ref="F66">((SUM(IF((CkDJ[Ofc Code]=(TRIM(F$7)))*(CkDJ[Account Code]=(TRIM($D66))),CkDJ[Debit])))+(SUM(IF((CsDJ[Ofc Code]=(TRIM(F$7)))*(CsDJ[Account Code]=(TRIM($D66))),CsDJ[Debit])))+(SUM(IF((CRDJ[Ofc Code]=(TRIM(F$7)))*(CRDJ[Account Code]=(TRIM($D66))),CRDJ[Debit])))+(SUM(IF((GJ[Ofc Code]=(TRIM(F$7)))*(GJ[Account Code]=(TRIM($D66))),GJ[Debit]))))-((SUM(IF((CkDJ[Ofc Code]=(TRIM(F$7)))*(CkDJ[Account Code]=(TRIM($D66))),CkDJ[Credit])))+(SUM(IF((CsDJ[Ofc Code]=(TRIM(F$7)))*(CsDJ[Account Code]=(TRIM($D66))),CsDJ[Credit])))+(SUM(IF((CRDJ[Ofc Code]=(TRIM(F$7)))*(CRDJ[Account Code]=(TRIM($D66))),CRDJ[Credit])))+(SUM(IF((GJ[Ofc Code]=(TRIM(F$7)))*(GJ[Account Code]=(TRIM($D66))),GJ[Credit]))))</f>
        <v>0</v>
      </c>
      <c r="G66" s="211">
        <f t="array" ref="G66">((SUM(IF((CkDJ[Ofc Code]=(TRIM(G$7)))*(CkDJ[Account Code]=(TRIM($D66))),CkDJ[Debit])))+(SUM(IF((CsDJ[Ofc Code]=(TRIM(G$7)))*(CsDJ[Account Code]=(TRIM($D66))),CsDJ[Debit])))+(SUM(IF((CRDJ[Ofc Code]=(TRIM(G$7)))*(CRDJ[Account Code]=(TRIM($D66))),CRDJ[Debit])))+(SUM(IF((GJ[Ofc Code]=(TRIM(G$7)))*(GJ[Account Code]=(TRIM($D66))),GJ[Debit]))))-((SUM(IF((CkDJ[Ofc Code]=(TRIM(G$7)))*(CkDJ[Account Code]=(TRIM($D66))),CkDJ[Credit])))+(SUM(IF((CsDJ[Ofc Code]=(TRIM(G$7)))*(CsDJ[Account Code]=(TRIM($D66))),CsDJ[Credit])))+(SUM(IF((CRDJ[Ofc Code]=(TRIM(G$7)))*(CRDJ[Account Code]=(TRIM($D66))),CRDJ[Credit])))+(SUM(IF((GJ[Ofc Code]=(TRIM(G$7)))*(GJ[Account Code]=(TRIM($D66))),GJ[Credit]))))</f>
        <v>0</v>
      </c>
      <c r="H66" s="211">
        <f t="array" ref="H66">((SUM(IF((CkDJ[Ofc Code]=(TRIM(H$7)))*(CkDJ[Account Code]=(TRIM($D66))),CkDJ[Debit])))+(SUM(IF((CsDJ[Ofc Code]=(TRIM(H$7)))*(CsDJ[Account Code]=(TRIM($D66))),CsDJ[Debit])))+(SUM(IF((CRDJ[Ofc Code]=(TRIM(H$7)))*(CRDJ[Account Code]=(TRIM($D66))),CRDJ[Debit])))+(SUM(IF((GJ[Ofc Code]=(TRIM(H$7)))*(GJ[Account Code]=(TRIM($D66))),GJ[Debit]))))-((SUM(IF((CkDJ[Ofc Code]=(TRIM(H$7)))*(CkDJ[Account Code]=(TRIM($D66))),CkDJ[Credit])))+(SUM(IF((CsDJ[Ofc Code]=(TRIM(H$7)))*(CsDJ[Account Code]=(TRIM($D66))),CsDJ[Credit])))+(SUM(IF((CRDJ[Ofc Code]=(TRIM(H$7)))*(CRDJ[Account Code]=(TRIM($D66))),CRDJ[Credit])))+(SUM(IF((GJ[Ofc Code]=(TRIM(H$7)))*(GJ[Account Code]=(TRIM($D66))),GJ[Credit]))))</f>
        <v>0</v>
      </c>
      <c r="I66" s="211">
        <f t="array" ref="I66">((SUM(IF((CkDJ[Ofc Code]=(TRIM(I$7)))*(CkDJ[Account Code]=(TRIM($D66))),CkDJ[Debit])))+(SUM(IF((CsDJ[Ofc Code]=(TRIM(I$7)))*(CsDJ[Account Code]=(TRIM($D66))),CsDJ[Debit])))+(SUM(IF((CRDJ[Ofc Code]=(TRIM(I$7)))*(CRDJ[Account Code]=(TRIM($D66))),CRDJ[Debit])))+(SUM(IF((GJ[Ofc Code]=(TRIM(I$7)))*(GJ[Account Code]=(TRIM($D66))),GJ[Debit]))))-((SUM(IF((CkDJ[Ofc Code]=(TRIM(I$7)))*(CkDJ[Account Code]=(TRIM($D66))),CkDJ[Credit])))+(SUM(IF((CsDJ[Ofc Code]=(TRIM(I$7)))*(CsDJ[Account Code]=(TRIM($D66))),CsDJ[Credit])))+(SUM(IF((CRDJ[Ofc Code]=(TRIM(I$7)))*(CRDJ[Account Code]=(TRIM($D66))),CRDJ[Credit])))+(SUM(IF((GJ[Ofc Code]=(TRIM(I$7)))*(GJ[Account Code]=(TRIM($D66))),GJ[Credit]))))</f>
        <v>0</v>
      </c>
      <c r="J66" s="211">
        <f t="shared" si="15"/>
        <v>0</v>
      </c>
      <c r="K66" s="211">
        <f t="array" ref="K66">((SUM(IF((CkDJ[Ofc Code]=(TRIM(K$7)))*(CkDJ[Account Code]=(TRIM($D66))),CkDJ[Debit])))+(SUM(IF((CsDJ[Ofc Code]=(TRIM(K$7)))*(CsDJ[Account Code]=(TRIM($D66))),CsDJ[Debit])))+(SUM(IF((CRDJ[Ofc Code]=(TRIM(K$7)))*(CRDJ[Account Code]=(TRIM($D66))),CRDJ[Debit])))+(SUM(IF((GJ[Ofc Code]=(TRIM(K$7)))*(GJ[Account Code]=(TRIM($D66))),GJ[Debit]))))-((SUM(IF((CkDJ[Ofc Code]=(TRIM(K$7)))*(CkDJ[Account Code]=(TRIM($D66))),CkDJ[Credit])))+(SUM(IF((CsDJ[Ofc Code]=(TRIM(K$7)))*(CsDJ[Account Code]=(TRIM($D66))),CsDJ[Credit])))+(SUM(IF((CRDJ[Ofc Code]=(TRIM(K$7)))*(CRDJ[Account Code]=(TRIM($D66))),CRDJ[Credit])))+(SUM(IF((GJ[Ofc Code]=(TRIM(K$7)))*(GJ[Account Code]=(TRIM($D66))),GJ[Credit]))))</f>
        <v>0</v>
      </c>
      <c r="L66" s="211">
        <f t="array" ref="L66">((SUM(IF((CkDJ[Ofc Code]=(TRIM(L$7)))*(CkDJ[Account Code]=(TRIM($D66))),CkDJ[Debit])))+(SUM(IF((CsDJ[Ofc Code]=(TRIM(L$7)))*(CsDJ[Account Code]=(TRIM($D66))),CsDJ[Debit])))+(SUM(IF((CRDJ[Ofc Code]=(TRIM(L$7)))*(CRDJ[Account Code]=(TRIM($D66))),CRDJ[Debit])))+(SUM(IF((GJ[Ofc Code]=(TRIM(L$7)))*(GJ[Account Code]=(TRIM($D66))),GJ[Debit]))))-((SUM(IF((CkDJ[Ofc Code]=(TRIM(L$7)))*(CkDJ[Account Code]=(TRIM($D66))),CkDJ[Credit])))+(SUM(IF((CsDJ[Ofc Code]=(TRIM(L$7)))*(CsDJ[Account Code]=(TRIM($D66))),CsDJ[Credit])))+(SUM(IF((CRDJ[Ofc Code]=(TRIM(L$7)))*(CRDJ[Account Code]=(TRIM($D66))),CRDJ[Credit])))+(SUM(IF((GJ[Ofc Code]=(TRIM(L$7)))*(GJ[Account Code]=(TRIM($D66))),GJ[Credit]))))</f>
        <v>0</v>
      </c>
      <c r="M66" s="211">
        <f t="array" ref="M66">((SUM(IF((CkDJ[Ofc Code]=(TRIM(M$7)))*(CkDJ[Account Code]=(TRIM($D66))),CkDJ[Debit])))+(SUM(IF((CsDJ[Ofc Code]=(TRIM(M$7)))*(CsDJ[Account Code]=(TRIM($D66))),CsDJ[Debit])))+(SUM(IF((CRDJ[Ofc Code]=(TRIM(M$7)))*(CRDJ[Account Code]=(TRIM($D66))),CRDJ[Debit])))+(SUM(IF((GJ[Ofc Code]=(TRIM(M$7)))*(GJ[Account Code]=(TRIM($D66))),GJ[Debit]))))-((SUM(IF((CkDJ[Ofc Code]=(TRIM(M$7)))*(CkDJ[Account Code]=(TRIM($D66))),CkDJ[Credit])))+(SUM(IF((CsDJ[Ofc Code]=(TRIM(M$7)))*(CsDJ[Account Code]=(TRIM($D66))),CsDJ[Credit])))+(SUM(IF((CRDJ[Ofc Code]=(TRIM(M$7)))*(CRDJ[Account Code]=(TRIM($D66))),CRDJ[Credit])))+(SUM(IF((GJ[Ofc Code]=(TRIM(M$7)))*(GJ[Account Code]=(TRIM($D66))),GJ[Credit]))))</f>
        <v>0</v>
      </c>
      <c r="N66" s="211">
        <f t="array" ref="N66">((SUM(IF((CkDJ[Ofc Code]=(TRIM(N$7)))*(CkDJ[Account Code]=(TRIM($D66))),CkDJ[Debit])))+(SUM(IF((CsDJ[Ofc Code]=(TRIM(N$7)))*(CsDJ[Account Code]=(TRIM($D66))),CsDJ[Debit])))+(SUM(IF((CRDJ[Ofc Code]=(TRIM(N$7)))*(CRDJ[Account Code]=(TRIM($D66))),CRDJ[Debit])))+(SUM(IF((GJ[Ofc Code]=(TRIM(N$7)))*(GJ[Account Code]=(TRIM($D66))),GJ[Debit]))))-((SUM(IF((CkDJ[Ofc Code]=(TRIM(N$7)))*(CkDJ[Account Code]=(TRIM($D66))),CkDJ[Credit])))+(SUM(IF((CsDJ[Ofc Code]=(TRIM(N$7)))*(CsDJ[Account Code]=(TRIM($D66))),CsDJ[Credit])))+(SUM(IF((CRDJ[Ofc Code]=(TRIM(N$7)))*(CRDJ[Account Code]=(TRIM($D66))),CRDJ[Credit])))+(SUM(IF((GJ[Ofc Code]=(TRIM(N$7)))*(GJ[Account Code]=(TRIM($D66))),GJ[Credit]))))</f>
        <v>0</v>
      </c>
      <c r="O66" s="211">
        <f t="shared" si="16"/>
        <v>0</v>
      </c>
      <c r="P66" s="211">
        <f t="array" ref="P66">((SUM(IF((CkDJ[Ofc Code]=(TRIM(P$7)))*(CkDJ[Account Code]=(TRIM($D66))),CkDJ[Debit])))+(SUM(IF((CsDJ[Ofc Code]=(TRIM(P$7)))*(CsDJ[Account Code]=(TRIM($D66))),CsDJ[Debit])))+(SUM(IF((CRDJ[Ofc Code]=(TRIM(P$7)))*(CRDJ[Account Code]=(TRIM($D66))),CRDJ[Debit])))+(SUM(IF((GJ[Ofc Code]=(TRIM(P$7)))*(GJ[Account Code]=(TRIM($D66))),GJ[Debit]))))-((SUM(IF((CkDJ[Ofc Code]=(TRIM(P$7)))*(CkDJ[Account Code]=(TRIM($D66))),CkDJ[Credit])))+(SUM(IF((CsDJ[Ofc Code]=(TRIM(P$7)))*(CsDJ[Account Code]=(TRIM($D66))),CsDJ[Credit])))+(SUM(IF((CRDJ[Ofc Code]=(TRIM(P$7)))*(CRDJ[Account Code]=(TRIM($D66))),CRDJ[Credit])))+(SUM(IF((GJ[Ofc Code]=(TRIM(P$7)))*(GJ[Account Code]=(TRIM($D66))),GJ[Credit]))))</f>
        <v>0</v>
      </c>
      <c r="Q66" s="211">
        <f t="array" ref="Q66">((SUM(IF((CkDJ[Ofc Code]=(TRIM(Q$7)))*(CkDJ[Account Code]=(TRIM($D66))),CkDJ[Debit])))+(SUM(IF((CsDJ[Ofc Code]=(TRIM(Q$7)))*(CsDJ[Account Code]=(TRIM($D66))),CsDJ[Debit])))+(SUM(IF((CRDJ[Ofc Code]=(TRIM(Q$7)))*(CRDJ[Account Code]=(TRIM($D66))),CRDJ[Debit])))+(SUM(IF((GJ[Ofc Code]=(TRIM(Q$7)))*(GJ[Account Code]=(TRIM($D66))),GJ[Debit]))))-((SUM(IF((CkDJ[Ofc Code]=(TRIM(Q$7)))*(CkDJ[Account Code]=(TRIM($D66))),CkDJ[Credit])))+(SUM(IF((CsDJ[Ofc Code]=(TRIM(Q$7)))*(CsDJ[Account Code]=(TRIM($D66))),CsDJ[Credit])))+(SUM(IF((CRDJ[Ofc Code]=(TRIM(Q$7)))*(CRDJ[Account Code]=(TRIM($D66))),CRDJ[Credit])))+(SUM(IF((GJ[Ofc Code]=(TRIM(Q$7)))*(GJ[Account Code]=(TRIM($D66))),GJ[Credit]))))</f>
        <v>0</v>
      </c>
      <c r="R66" s="211">
        <f t="array" ref="R66">((SUM(IF((CkDJ[Ofc Code]=(TRIM(R$7)))*(CkDJ[Account Code]=(TRIM($D66))),CkDJ[Debit])))+(SUM(IF((CsDJ[Ofc Code]=(TRIM(R$7)))*(CsDJ[Account Code]=(TRIM($D66))),CsDJ[Debit])))+(SUM(IF((CRDJ[Ofc Code]=(TRIM(R$7)))*(CRDJ[Account Code]=(TRIM($D66))),CRDJ[Debit])))+(SUM(IF((GJ[Ofc Code]=(TRIM(R$7)))*(GJ[Account Code]=(TRIM($D66))),GJ[Debit]))))-((SUM(IF((CkDJ[Ofc Code]=(TRIM(R$7)))*(CkDJ[Account Code]=(TRIM($D66))),CkDJ[Credit])))+(SUM(IF((CsDJ[Ofc Code]=(TRIM(R$7)))*(CsDJ[Account Code]=(TRIM($D66))),CsDJ[Credit])))+(SUM(IF((CRDJ[Ofc Code]=(TRIM(R$7)))*(CRDJ[Account Code]=(TRIM($D66))),CRDJ[Credit])))+(SUM(IF((GJ[Ofc Code]=(TRIM(R$7)))*(GJ[Account Code]=(TRIM($D66))),GJ[Credit]))))</f>
        <v>0</v>
      </c>
      <c r="S66" s="211">
        <f t="array" ref="S66">((SUM(IF((CkDJ[Ofc Code]=(TRIM(S$7)))*(CkDJ[Account Code]=(TRIM($D66))),CkDJ[Debit])))+(SUM(IF((CsDJ[Ofc Code]=(TRIM(S$7)))*(CsDJ[Account Code]=(TRIM($D66))),CsDJ[Debit])))+(SUM(IF((CRDJ[Ofc Code]=(TRIM(S$7)))*(CRDJ[Account Code]=(TRIM($D66))),CRDJ[Debit])))+(SUM(IF((GJ[Ofc Code]=(TRIM(S$7)))*(GJ[Account Code]=(TRIM($D66))),GJ[Debit]))))-((SUM(IF((CkDJ[Ofc Code]=(TRIM(S$7)))*(CkDJ[Account Code]=(TRIM($D66))),CkDJ[Credit])))+(SUM(IF((CsDJ[Ofc Code]=(TRIM(S$7)))*(CsDJ[Account Code]=(TRIM($D66))),CsDJ[Credit])))+(SUM(IF((CRDJ[Ofc Code]=(TRIM(S$7)))*(CRDJ[Account Code]=(TRIM($D66))),CRDJ[Credit])))+(SUM(IF((GJ[Ofc Code]=(TRIM(S$7)))*(GJ[Account Code]=(TRIM($D66))),GJ[Credit]))))</f>
        <v>0</v>
      </c>
      <c r="T66" s="211">
        <f t="array" ref="T66">((SUM(IF((CkDJ[Ofc Code]=(TRIM(T$7)))*(CkDJ[Account Code]=(TRIM($D66))),CkDJ[Debit])))+(SUM(IF((CsDJ[Ofc Code]=(TRIM(T$7)))*(CsDJ[Account Code]=(TRIM($D66))),CsDJ[Debit])))+(SUM(IF((CRDJ[Ofc Code]=(TRIM(T$7)))*(CRDJ[Account Code]=(TRIM($D66))),CRDJ[Debit])))+(SUM(IF((GJ[Ofc Code]=(TRIM(T$7)))*(GJ[Account Code]=(TRIM($D66))),GJ[Debit]))))-((SUM(IF((CkDJ[Ofc Code]=(TRIM(T$7)))*(CkDJ[Account Code]=(TRIM($D66))),CkDJ[Credit])))+(SUM(IF((CsDJ[Ofc Code]=(TRIM(T$7)))*(CsDJ[Account Code]=(TRIM($D66))),CsDJ[Credit])))+(SUM(IF((CRDJ[Ofc Code]=(TRIM(T$7)))*(CRDJ[Account Code]=(TRIM($D66))),CRDJ[Credit])))+(SUM(IF((GJ[Ofc Code]=(TRIM(T$7)))*(GJ[Account Code]=(TRIM($D66))),GJ[Credit]))))</f>
        <v>0</v>
      </c>
      <c r="U66" s="211">
        <f t="shared" si="17"/>
        <v>0</v>
      </c>
      <c r="V66" s="211">
        <f t="shared" si="18"/>
        <v>0</v>
      </c>
    </row>
    <row r="67" spans="1:22" ht="15" x14ac:dyDescent="0.25">
      <c r="A67" s="212">
        <f t="shared" si="19"/>
        <v>5</v>
      </c>
      <c r="B67" s="214"/>
      <c r="C67" s="194" t="str">
        <f t="shared" si="14"/>
        <v>Drugs and Medicines Expenses</v>
      </c>
      <c r="D67" s="207" t="s">
        <v>227</v>
      </c>
      <c r="E67" s="211">
        <f t="array" ref="E67">((SUM(IF((CkDJ[Ofc Code]=(TRIM(E$7)))*(CkDJ[Account Code]=(TRIM($D67))),CkDJ[Debit])))+(SUM(IF((CsDJ[Ofc Code]=(TRIM(E$7)))*(CsDJ[Account Code]=(TRIM($D67))),CsDJ[Debit])))+(SUM(IF((CRDJ[Ofc Code]=(TRIM(E$7)))*(CRDJ[Account Code]=(TRIM($D67))),CRDJ[Debit])))+(SUM(IF((GJ[Ofc Code]=(TRIM(E$7)))*(GJ[Account Code]=(TRIM($D67))),GJ[Debit]))))-((SUM(IF((CkDJ[Ofc Code]=(TRIM(E$7)))*(CkDJ[Account Code]=(TRIM($D67))),CkDJ[Credit])))+(SUM(IF((CsDJ[Ofc Code]=(TRIM(E$7)))*(CsDJ[Account Code]=(TRIM($D67))),CsDJ[Credit])))+(SUM(IF((CRDJ[Ofc Code]=(TRIM(E$7)))*(CRDJ[Account Code]=(TRIM($D67))),CRDJ[Credit])))+(SUM(IF((GJ[Ofc Code]=(TRIM(E$7)))*(GJ[Account Code]=(TRIM($D67))),GJ[Credit]))))</f>
        <v>0</v>
      </c>
      <c r="F67" s="211">
        <f t="array" ref="F67">((SUM(IF((CkDJ[Ofc Code]=(TRIM(F$7)))*(CkDJ[Account Code]=(TRIM($D67))),CkDJ[Debit])))+(SUM(IF((CsDJ[Ofc Code]=(TRIM(F$7)))*(CsDJ[Account Code]=(TRIM($D67))),CsDJ[Debit])))+(SUM(IF((CRDJ[Ofc Code]=(TRIM(F$7)))*(CRDJ[Account Code]=(TRIM($D67))),CRDJ[Debit])))+(SUM(IF((GJ[Ofc Code]=(TRIM(F$7)))*(GJ[Account Code]=(TRIM($D67))),GJ[Debit]))))-((SUM(IF((CkDJ[Ofc Code]=(TRIM(F$7)))*(CkDJ[Account Code]=(TRIM($D67))),CkDJ[Credit])))+(SUM(IF((CsDJ[Ofc Code]=(TRIM(F$7)))*(CsDJ[Account Code]=(TRIM($D67))),CsDJ[Credit])))+(SUM(IF((CRDJ[Ofc Code]=(TRIM(F$7)))*(CRDJ[Account Code]=(TRIM($D67))),CRDJ[Credit])))+(SUM(IF((GJ[Ofc Code]=(TRIM(F$7)))*(GJ[Account Code]=(TRIM($D67))),GJ[Credit]))))</f>
        <v>0</v>
      </c>
      <c r="G67" s="211">
        <f t="array" ref="G67">((SUM(IF((CkDJ[Ofc Code]=(TRIM(G$7)))*(CkDJ[Account Code]=(TRIM($D67))),CkDJ[Debit])))+(SUM(IF((CsDJ[Ofc Code]=(TRIM(G$7)))*(CsDJ[Account Code]=(TRIM($D67))),CsDJ[Debit])))+(SUM(IF((CRDJ[Ofc Code]=(TRIM(G$7)))*(CRDJ[Account Code]=(TRIM($D67))),CRDJ[Debit])))+(SUM(IF((GJ[Ofc Code]=(TRIM(G$7)))*(GJ[Account Code]=(TRIM($D67))),GJ[Debit]))))-((SUM(IF((CkDJ[Ofc Code]=(TRIM(G$7)))*(CkDJ[Account Code]=(TRIM($D67))),CkDJ[Credit])))+(SUM(IF((CsDJ[Ofc Code]=(TRIM(G$7)))*(CsDJ[Account Code]=(TRIM($D67))),CsDJ[Credit])))+(SUM(IF((CRDJ[Ofc Code]=(TRIM(G$7)))*(CRDJ[Account Code]=(TRIM($D67))),CRDJ[Credit])))+(SUM(IF((GJ[Ofc Code]=(TRIM(G$7)))*(GJ[Account Code]=(TRIM($D67))),GJ[Credit]))))</f>
        <v>0</v>
      </c>
      <c r="H67" s="211">
        <f t="array" ref="H67">((SUM(IF((CkDJ[Ofc Code]=(TRIM(H$7)))*(CkDJ[Account Code]=(TRIM($D67))),CkDJ[Debit])))+(SUM(IF((CsDJ[Ofc Code]=(TRIM(H$7)))*(CsDJ[Account Code]=(TRIM($D67))),CsDJ[Debit])))+(SUM(IF((CRDJ[Ofc Code]=(TRIM(H$7)))*(CRDJ[Account Code]=(TRIM($D67))),CRDJ[Debit])))+(SUM(IF((GJ[Ofc Code]=(TRIM(H$7)))*(GJ[Account Code]=(TRIM($D67))),GJ[Debit]))))-((SUM(IF((CkDJ[Ofc Code]=(TRIM(H$7)))*(CkDJ[Account Code]=(TRIM($D67))),CkDJ[Credit])))+(SUM(IF((CsDJ[Ofc Code]=(TRIM(H$7)))*(CsDJ[Account Code]=(TRIM($D67))),CsDJ[Credit])))+(SUM(IF((CRDJ[Ofc Code]=(TRIM(H$7)))*(CRDJ[Account Code]=(TRIM($D67))),CRDJ[Credit])))+(SUM(IF((GJ[Ofc Code]=(TRIM(H$7)))*(GJ[Account Code]=(TRIM($D67))),GJ[Credit]))))</f>
        <v>0</v>
      </c>
      <c r="I67" s="211">
        <f t="array" ref="I67">((SUM(IF((CkDJ[Ofc Code]=(TRIM(I$7)))*(CkDJ[Account Code]=(TRIM($D67))),CkDJ[Debit])))+(SUM(IF((CsDJ[Ofc Code]=(TRIM(I$7)))*(CsDJ[Account Code]=(TRIM($D67))),CsDJ[Debit])))+(SUM(IF((CRDJ[Ofc Code]=(TRIM(I$7)))*(CRDJ[Account Code]=(TRIM($D67))),CRDJ[Debit])))+(SUM(IF((GJ[Ofc Code]=(TRIM(I$7)))*(GJ[Account Code]=(TRIM($D67))),GJ[Debit]))))-((SUM(IF((CkDJ[Ofc Code]=(TRIM(I$7)))*(CkDJ[Account Code]=(TRIM($D67))),CkDJ[Credit])))+(SUM(IF((CsDJ[Ofc Code]=(TRIM(I$7)))*(CsDJ[Account Code]=(TRIM($D67))),CsDJ[Credit])))+(SUM(IF((CRDJ[Ofc Code]=(TRIM(I$7)))*(CRDJ[Account Code]=(TRIM($D67))),CRDJ[Credit])))+(SUM(IF((GJ[Ofc Code]=(TRIM(I$7)))*(GJ[Account Code]=(TRIM($D67))),GJ[Credit]))))</f>
        <v>0</v>
      </c>
      <c r="J67" s="211">
        <f t="shared" si="15"/>
        <v>0</v>
      </c>
      <c r="K67" s="211">
        <f t="array" ref="K67">((SUM(IF((CkDJ[Ofc Code]=(TRIM(K$7)))*(CkDJ[Account Code]=(TRIM($D67))),CkDJ[Debit])))+(SUM(IF((CsDJ[Ofc Code]=(TRIM(K$7)))*(CsDJ[Account Code]=(TRIM($D67))),CsDJ[Debit])))+(SUM(IF((CRDJ[Ofc Code]=(TRIM(K$7)))*(CRDJ[Account Code]=(TRIM($D67))),CRDJ[Debit])))+(SUM(IF((GJ[Ofc Code]=(TRIM(K$7)))*(GJ[Account Code]=(TRIM($D67))),GJ[Debit]))))-((SUM(IF((CkDJ[Ofc Code]=(TRIM(K$7)))*(CkDJ[Account Code]=(TRIM($D67))),CkDJ[Credit])))+(SUM(IF((CsDJ[Ofc Code]=(TRIM(K$7)))*(CsDJ[Account Code]=(TRIM($D67))),CsDJ[Credit])))+(SUM(IF((CRDJ[Ofc Code]=(TRIM(K$7)))*(CRDJ[Account Code]=(TRIM($D67))),CRDJ[Credit])))+(SUM(IF((GJ[Ofc Code]=(TRIM(K$7)))*(GJ[Account Code]=(TRIM($D67))),GJ[Credit]))))</f>
        <v>0</v>
      </c>
      <c r="L67" s="211">
        <f t="array" ref="L67">((SUM(IF((CkDJ[Ofc Code]=(TRIM(L$7)))*(CkDJ[Account Code]=(TRIM($D67))),CkDJ[Debit])))+(SUM(IF((CsDJ[Ofc Code]=(TRIM(L$7)))*(CsDJ[Account Code]=(TRIM($D67))),CsDJ[Debit])))+(SUM(IF((CRDJ[Ofc Code]=(TRIM(L$7)))*(CRDJ[Account Code]=(TRIM($D67))),CRDJ[Debit])))+(SUM(IF((GJ[Ofc Code]=(TRIM(L$7)))*(GJ[Account Code]=(TRIM($D67))),GJ[Debit]))))-((SUM(IF((CkDJ[Ofc Code]=(TRIM(L$7)))*(CkDJ[Account Code]=(TRIM($D67))),CkDJ[Credit])))+(SUM(IF((CsDJ[Ofc Code]=(TRIM(L$7)))*(CsDJ[Account Code]=(TRIM($D67))),CsDJ[Credit])))+(SUM(IF((CRDJ[Ofc Code]=(TRIM(L$7)))*(CRDJ[Account Code]=(TRIM($D67))),CRDJ[Credit])))+(SUM(IF((GJ[Ofc Code]=(TRIM(L$7)))*(GJ[Account Code]=(TRIM($D67))),GJ[Credit]))))</f>
        <v>0</v>
      </c>
      <c r="M67" s="211">
        <f t="array" ref="M67">((SUM(IF((CkDJ[Ofc Code]=(TRIM(M$7)))*(CkDJ[Account Code]=(TRIM($D67))),CkDJ[Debit])))+(SUM(IF((CsDJ[Ofc Code]=(TRIM(M$7)))*(CsDJ[Account Code]=(TRIM($D67))),CsDJ[Debit])))+(SUM(IF((CRDJ[Ofc Code]=(TRIM(M$7)))*(CRDJ[Account Code]=(TRIM($D67))),CRDJ[Debit])))+(SUM(IF((GJ[Ofc Code]=(TRIM(M$7)))*(GJ[Account Code]=(TRIM($D67))),GJ[Debit]))))-((SUM(IF((CkDJ[Ofc Code]=(TRIM(M$7)))*(CkDJ[Account Code]=(TRIM($D67))),CkDJ[Credit])))+(SUM(IF((CsDJ[Ofc Code]=(TRIM(M$7)))*(CsDJ[Account Code]=(TRIM($D67))),CsDJ[Credit])))+(SUM(IF((CRDJ[Ofc Code]=(TRIM(M$7)))*(CRDJ[Account Code]=(TRIM($D67))),CRDJ[Credit])))+(SUM(IF((GJ[Ofc Code]=(TRIM(M$7)))*(GJ[Account Code]=(TRIM($D67))),GJ[Credit]))))</f>
        <v>0</v>
      </c>
      <c r="N67" s="211">
        <f t="array" ref="N67">((SUM(IF((CkDJ[Ofc Code]=(TRIM(N$7)))*(CkDJ[Account Code]=(TRIM($D67))),CkDJ[Debit])))+(SUM(IF((CsDJ[Ofc Code]=(TRIM(N$7)))*(CsDJ[Account Code]=(TRIM($D67))),CsDJ[Debit])))+(SUM(IF((CRDJ[Ofc Code]=(TRIM(N$7)))*(CRDJ[Account Code]=(TRIM($D67))),CRDJ[Debit])))+(SUM(IF((GJ[Ofc Code]=(TRIM(N$7)))*(GJ[Account Code]=(TRIM($D67))),GJ[Debit]))))-((SUM(IF((CkDJ[Ofc Code]=(TRIM(N$7)))*(CkDJ[Account Code]=(TRIM($D67))),CkDJ[Credit])))+(SUM(IF((CsDJ[Ofc Code]=(TRIM(N$7)))*(CsDJ[Account Code]=(TRIM($D67))),CsDJ[Credit])))+(SUM(IF((CRDJ[Ofc Code]=(TRIM(N$7)))*(CRDJ[Account Code]=(TRIM($D67))),CRDJ[Credit])))+(SUM(IF((GJ[Ofc Code]=(TRIM(N$7)))*(GJ[Account Code]=(TRIM($D67))),GJ[Credit]))))</f>
        <v>0</v>
      </c>
      <c r="O67" s="211">
        <f t="shared" si="16"/>
        <v>0</v>
      </c>
      <c r="P67" s="211">
        <f t="array" ref="P67">((SUM(IF((CkDJ[Ofc Code]=(TRIM(P$7)))*(CkDJ[Account Code]=(TRIM($D67))),CkDJ[Debit])))+(SUM(IF((CsDJ[Ofc Code]=(TRIM(P$7)))*(CsDJ[Account Code]=(TRIM($D67))),CsDJ[Debit])))+(SUM(IF((CRDJ[Ofc Code]=(TRIM(P$7)))*(CRDJ[Account Code]=(TRIM($D67))),CRDJ[Debit])))+(SUM(IF((GJ[Ofc Code]=(TRIM(P$7)))*(GJ[Account Code]=(TRIM($D67))),GJ[Debit]))))-((SUM(IF((CkDJ[Ofc Code]=(TRIM(P$7)))*(CkDJ[Account Code]=(TRIM($D67))),CkDJ[Credit])))+(SUM(IF((CsDJ[Ofc Code]=(TRIM(P$7)))*(CsDJ[Account Code]=(TRIM($D67))),CsDJ[Credit])))+(SUM(IF((CRDJ[Ofc Code]=(TRIM(P$7)))*(CRDJ[Account Code]=(TRIM($D67))),CRDJ[Credit])))+(SUM(IF((GJ[Ofc Code]=(TRIM(P$7)))*(GJ[Account Code]=(TRIM($D67))),GJ[Credit]))))</f>
        <v>0</v>
      </c>
      <c r="Q67" s="211">
        <f t="array" ref="Q67">((SUM(IF((CkDJ[Ofc Code]=(TRIM(Q$7)))*(CkDJ[Account Code]=(TRIM($D67))),CkDJ[Debit])))+(SUM(IF((CsDJ[Ofc Code]=(TRIM(Q$7)))*(CsDJ[Account Code]=(TRIM($D67))),CsDJ[Debit])))+(SUM(IF((CRDJ[Ofc Code]=(TRIM(Q$7)))*(CRDJ[Account Code]=(TRIM($D67))),CRDJ[Debit])))+(SUM(IF((GJ[Ofc Code]=(TRIM(Q$7)))*(GJ[Account Code]=(TRIM($D67))),GJ[Debit]))))-((SUM(IF((CkDJ[Ofc Code]=(TRIM(Q$7)))*(CkDJ[Account Code]=(TRIM($D67))),CkDJ[Credit])))+(SUM(IF((CsDJ[Ofc Code]=(TRIM(Q$7)))*(CsDJ[Account Code]=(TRIM($D67))),CsDJ[Credit])))+(SUM(IF((CRDJ[Ofc Code]=(TRIM(Q$7)))*(CRDJ[Account Code]=(TRIM($D67))),CRDJ[Credit])))+(SUM(IF((GJ[Ofc Code]=(TRIM(Q$7)))*(GJ[Account Code]=(TRIM($D67))),GJ[Credit]))))</f>
        <v>0</v>
      </c>
      <c r="R67" s="211">
        <f t="array" ref="R67">((SUM(IF((CkDJ[Ofc Code]=(TRIM(R$7)))*(CkDJ[Account Code]=(TRIM($D67))),CkDJ[Debit])))+(SUM(IF((CsDJ[Ofc Code]=(TRIM(R$7)))*(CsDJ[Account Code]=(TRIM($D67))),CsDJ[Debit])))+(SUM(IF((CRDJ[Ofc Code]=(TRIM(R$7)))*(CRDJ[Account Code]=(TRIM($D67))),CRDJ[Debit])))+(SUM(IF((GJ[Ofc Code]=(TRIM(R$7)))*(GJ[Account Code]=(TRIM($D67))),GJ[Debit]))))-((SUM(IF((CkDJ[Ofc Code]=(TRIM(R$7)))*(CkDJ[Account Code]=(TRIM($D67))),CkDJ[Credit])))+(SUM(IF((CsDJ[Ofc Code]=(TRIM(R$7)))*(CsDJ[Account Code]=(TRIM($D67))),CsDJ[Credit])))+(SUM(IF((CRDJ[Ofc Code]=(TRIM(R$7)))*(CRDJ[Account Code]=(TRIM($D67))),CRDJ[Credit])))+(SUM(IF((GJ[Ofc Code]=(TRIM(R$7)))*(GJ[Account Code]=(TRIM($D67))),GJ[Credit]))))</f>
        <v>0</v>
      </c>
      <c r="S67" s="211">
        <f t="array" ref="S67">((SUM(IF((CkDJ[Ofc Code]=(TRIM(S$7)))*(CkDJ[Account Code]=(TRIM($D67))),CkDJ[Debit])))+(SUM(IF((CsDJ[Ofc Code]=(TRIM(S$7)))*(CsDJ[Account Code]=(TRIM($D67))),CsDJ[Debit])))+(SUM(IF((CRDJ[Ofc Code]=(TRIM(S$7)))*(CRDJ[Account Code]=(TRIM($D67))),CRDJ[Debit])))+(SUM(IF((GJ[Ofc Code]=(TRIM(S$7)))*(GJ[Account Code]=(TRIM($D67))),GJ[Debit]))))-((SUM(IF((CkDJ[Ofc Code]=(TRIM(S$7)))*(CkDJ[Account Code]=(TRIM($D67))),CkDJ[Credit])))+(SUM(IF((CsDJ[Ofc Code]=(TRIM(S$7)))*(CsDJ[Account Code]=(TRIM($D67))),CsDJ[Credit])))+(SUM(IF((CRDJ[Ofc Code]=(TRIM(S$7)))*(CRDJ[Account Code]=(TRIM($D67))),CRDJ[Credit])))+(SUM(IF((GJ[Ofc Code]=(TRIM(S$7)))*(GJ[Account Code]=(TRIM($D67))),GJ[Credit]))))</f>
        <v>0</v>
      </c>
      <c r="T67" s="211">
        <f t="array" ref="T67">((SUM(IF((CkDJ[Ofc Code]=(TRIM(T$7)))*(CkDJ[Account Code]=(TRIM($D67))),CkDJ[Debit])))+(SUM(IF((CsDJ[Ofc Code]=(TRIM(T$7)))*(CsDJ[Account Code]=(TRIM($D67))),CsDJ[Debit])))+(SUM(IF((CRDJ[Ofc Code]=(TRIM(T$7)))*(CRDJ[Account Code]=(TRIM($D67))),CRDJ[Debit])))+(SUM(IF((GJ[Ofc Code]=(TRIM(T$7)))*(GJ[Account Code]=(TRIM($D67))),GJ[Debit]))))-((SUM(IF((CkDJ[Ofc Code]=(TRIM(T$7)))*(CkDJ[Account Code]=(TRIM($D67))),CkDJ[Credit])))+(SUM(IF((CsDJ[Ofc Code]=(TRIM(T$7)))*(CsDJ[Account Code]=(TRIM($D67))),CsDJ[Credit])))+(SUM(IF((CRDJ[Ofc Code]=(TRIM(T$7)))*(CRDJ[Account Code]=(TRIM($D67))),CRDJ[Credit])))+(SUM(IF((GJ[Ofc Code]=(TRIM(T$7)))*(GJ[Account Code]=(TRIM($D67))),GJ[Credit]))))</f>
        <v>0</v>
      </c>
      <c r="U67" s="211">
        <f t="shared" si="17"/>
        <v>0</v>
      </c>
      <c r="V67" s="211">
        <f t="shared" si="18"/>
        <v>0</v>
      </c>
    </row>
    <row r="68" spans="1:22" ht="15" x14ac:dyDescent="0.25">
      <c r="A68" s="212">
        <f t="shared" si="19"/>
        <v>6</v>
      </c>
      <c r="B68" s="214"/>
      <c r="C68" s="194" t="str">
        <f>IF(D68=0,"",(VLOOKUP((TRIM(D68)),Code,2,)))</f>
        <v>Medical, Dental and Laboratory Supplies Expenses</v>
      </c>
      <c r="D68" s="207" t="s">
        <v>228</v>
      </c>
      <c r="E68" s="211">
        <f t="array" ref="E68">((SUM(IF((CkDJ[Ofc Code]=(TRIM(E$7)))*(CkDJ[Account Code]=(TRIM($D68))),CkDJ[Debit])))+(SUM(IF((CsDJ[Ofc Code]=(TRIM(E$7)))*(CsDJ[Account Code]=(TRIM($D68))),CsDJ[Debit])))+(SUM(IF((CRDJ[Ofc Code]=(TRIM(E$7)))*(CRDJ[Account Code]=(TRIM($D68))),CRDJ[Debit])))+(SUM(IF((GJ[Ofc Code]=(TRIM(E$7)))*(GJ[Account Code]=(TRIM($D68))),GJ[Debit]))))-((SUM(IF((CkDJ[Ofc Code]=(TRIM(E$7)))*(CkDJ[Account Code]=(TRIM($D68))),CkDJ[Credit])))+(SUM(IF((CsDJ[Ofc Code]=(TRIM(E$7)))*(CsDJ[Account Code]=(TRIM($D68))),CsDJ[Credit])))+(SUM(IF((CRDJ[Ofc Code]=(TRIM(E$7)))*(CRDJ[Account Code]=(TRIM($D68))),CRDJ[Credit])))+(SUM(IF((GJ[Ofc Code]=(TRIM(E$7)))*(GJ[Account Code]=(TRIM($D68))),GJ[Credit]))))</f>
        <v>0</v>
      </c>
      <c r="F68" s="211">
        <f t="array" ref="F68">((SUM(IF((CkDJ[Ofc Code]=(TRIM(F$7)))*(CkDJ[Account Code]=(TRIM($D68))),CkDJ[Debit])))+(SUM(IF((CsDJ[Ofc Code]=(TRIM(F$7)))*(CsDJ[Account Code]=(TRIM($D68))),CsDJ[Debit])))+(SUM(IF((CRDJ[Ofc Code]=(TRIM(F$7)))*(CRDJ[Account Code]=(TRIM($D68))),CRDJ[Debit])))+(SUM(IF((GJ[Ofc Code]=(TRIM(F$7)))*(GJ[Account Code]=(TRIM($D68))),GJ[Debit]))))-((SUM(IF((CkDJ[Ofc Code]=(TRIM(F$7)))*(CkDJ[Account Code]=(TRIM($D68))),CkDJ[Credit])))+(SUM(IF((CsDJ[Ofc Code]=(TRIM(F$7)))*(CsDJ[Account Code]=(TRIM($D68))),CsDJ[Credit])))+(SUM(IF((CRDJ[Ofc Code]=(TRIM(F$7)))*(CRDJ[Account Code]=(TRIM($D68))),CRDJ[Credit])))+(SUM(IF((GJ[Ofc Code]=(TRIM(F$7)))*(GJ[Account Code]=(TRIM($D68))),GJ[Credit]))))</f>
        <v>0</v>
      </c>
      <c r="G68" s="211">
        <f t="array" ref="G68">((SUM(IF((CkDJ[Ofc Code]=(TRIM(G$7)))*(CkDJ[Account Code]=(TRIM($D68))),CkDJ[Debit])))+(SUM(IF((CsDJ[Ofc Code]=(TRIM(G$7)))*(CsDJ[Account Code]=(TRIM($D68))),CsDJ[Debit])))+(SUM(IF((CRDJ[Ofc Code]=(TRIM(G$7)))*(CRDJ[Account Code]=(TRIM($D68))),CRDJ[Debit])))+(SUM(IF((GJ[Ofc Code]=(TRIM(G$7)))*(GJ[Account Code]=(TRIM($D68))),GJ[Debit]))))-((SUM(IF((CkDJ[Ofc Code]=(TRIM(G$7)))*(CkDJ[Account Code]=(TRIM($D68))),CkDJ[Credit])))+(SUM(IF((CsDJ[Ofc Code]=(TRIM(G$7)))*(CsDJ[Account Code]=(TRIM($D68))),CsDJ[Credit])))+(SUM(IF((CRDJ[Ofc Code]=(TRIM(G$7)))*(CRDJ[Account Code]=(TRIM($D68))),CRDJ[Credit])))+(SUM(IF((GJ[Ofc Code]=(TRIM(G$7)))*(GJ[Account Code]=(TRIM($D68))),GJ[Credit]))))</f>
        <v>0</v>
      </c>
      <c r="H68" s="211">
        <f t="array" ref="H68">((SUM(IF((CkDJ[Ofc Code]=(TRIM(H$7)))*(CkDJ[Account Code]=(TRIM($D68))),CkDJ[Debit])))+(SUM(IF((CsDJ[Ofc Code]=(TRIM(H$7)))*(CsDJ[Account Code]=(TRIM($D68))),CsDJ[Debit])))+(SUM(IF((CRDJ[Ofc Code]=(TRIM(H$7)))*(CRDJ[Account Code]=(TRIM($D68))),CRDJ[Debit])))+(SUM(IF((GJ[Ofc Code]=(TRIM(H$7)))*(GJ[Account Code]=(TRIM($D68))),GJ[Debit]))))-((SUM(IF((CkDJ[Ofc Code]=(TRIM(H$7)))*(CkDJ[Account Code]=(TRIM($D68))),CkDJ[Credit])))+(SUM(IF((CsDJ[Ofc Code]=(TRIM(H$7)))*(CsDJ[Account Code]=(TRIM($D68))),CsDJ[Credit])))+(SUM(IF((CRDJ[Ofc Code]=(TRIM(H$7)))*(CRDJ[Account Code]=(TRIM($D68))),CRDJ[Credit])))+(SUM(IF((GJ[Ofc Code]=(TRIM(H$7)))*(GJ[Account Code]=(TRIM($D68))),GJ[Credit]))))</f>
        <v>0</v>
      </c>
      <c r="I68" s="211">
        <f t="array" ref="I68">((SUM(IF((CkDJ[Ofc Code]=(TRIM(I$7)))*(CkDJ[Account Code]=(TRIM($D68))),CkDJ[Debit])))+(SUM(IF((CsDJ[Ofc Code]=(TRIM(I$7)))*(CsDJ[Account Code]=(TRIM($D68))),CsDJ[Debit])))+(SUM(IF((CRDJ[Ofc Code]=(TRIM(I$7)))*(CRDJ[Account Code]=(TRIM($D68))),CRDJ[Debit])))+(SUM(IF((GJ[Ofc Code]=(TRIM(I$7)))*(GJ[Account Code]=(TRIM($D68))),GJ[Debit]))))-((SUM(IF((CkDJ[Ofc Code]=(TRIM(I$7)))*(CkDJ[Account Code]=(TRIM($D68))),CkDJ[Credit])))+(SUM(IF((CsDJ[Ofc Code]=(TRIM(I$7)))*(CsDJ[Account Code]=(TRIM($D68))),CsDJ[Credit])))+(SUM(IF((CRDJ[Ofc Code]=(TRIM(I$7)))*(CRDJ[Account Code]=(TRIM($D68))),CRDJ[Credit])))+(SUM(IF((GJ[Ofc Code]=(TRIM(I$7)))*(GJ[Account Code]=(TRIM($D68))),GJ[Credit]))))</f>
        <v>0</v>
      </c>
      <c r="J68" s="211">
        <f>SUM(F68:I68)</f>
        <v>0</v>
      </c>
      <c r="K68" s="211">
        <f t="array" ref="K68">((SUM(IF((CkDJ[Ofc Code]=(TRIM(K$7)))*(CkDJ[Account Code]=(TRIM($D68))),CkDJ[Debit])))+(SUM(IF((CsDJ[Ofc Code]=(TRIM(K$7)))*(CsDJ[Account Code]=(TRIM($D68))),CsDJ[Debit])))+(SUM(IF((CRDJ[Ofc Code]=(TRIM(K$7)))*(CRDJ[Account Code]=(TRIM($D68))),CRDJ[Debit])))+(SUM(IF((GJ[Ofc Code]=(TRIM(K$7)))*(GJ[Account Code]=(TRIM($D68))),GJ[Debit]))))-((SUM(IF((CkDJ[Ofc Code]=(TRIM(K$7)))*(CkDJ[Account Code]=(TRIM($D68))),CkDJ[Credit])))+(SUM(IF((CsDJ[Ofc Code]=(TRIM(K$7)))*(CsDJ[Account Code]=(TRIM($D68))),CsDJ[Credit])))+(SUM(IF((CRDJ[Ofc Code]=(TRIM(K$7)))*(CRDJ[Account Code]=(TRIM($D68))),CRDJ[Credit])))+(SUM(IF((GJ[Ofc Code]=(TRIM(K$7)))*(GJ[Account Code]=(TRIM($D68))),GJ[Credit]))))</f>
        <v>0</v>
      </c>
      <c r="L68" s="211">
        <f t="array" ref="L68">((SUM(IF((CkDJ[Ofc Code]=(TRIM(L$7)))*(CkDJ[Account Code]=(TRIM($D68))),CkDJ[Debit])))+(SUM(IF((CsDJ[Ofc Code]=(TRIM(L$7)))*(CsDJ[Account Code]=(TRIM($D68))),CsDJ[Debit])))+(SUM(IF((CRDJ[Ofc Code]=(TRIM(L$7)))*(CRDJ[Account Code]=(TRIM($D68))),CRDJ[Debit])))+(SUM(IF((GJ[Ofc Code]=(TRIM(L$7)))*(GJ[Account Code]=(TRIM($D68))),GJ[Debit]))))-((SUM(IF((CkDJ[Ofc Code]=(TRIM(L$7)))*(CkDJ[Account Code]=(TRIM($D68))),CkDJ[Credit])))+(SUM(IF((CsDJ[Ofc Code]=(TRIM(L$7)))*(CsDJ[Account Code]=(TRIM($D68))),CsDJ[Credit])))+(SUM(IF((CRDJ[Ofc Code]=(TRIM(L$7)))*(CRDJ[Account Code]=(TRIM($D68))),CRDJ[Credit])))+(SUM(IF((GJ[Ofc Code]=(TRIM(L$7)))*(GJ[Account Code]=(TRIM($D68))),GJ[Credit]))))</f>
        <v>0</v>
      </c>
      <c r="M68" s="211">
        <f t="array" ref="M68">((SUM(IF((CkDJ[Ofc Code]=(TRIM(M$7)))*(CkDJ[Account Code]=(TRIM($D68))),CkDJ[Debit])))+(SUM(IF((CsDJ[Ofc Code]=(TRIM(M$7)))*(CsDJ[Account Code]=(TRIM($D68))),CsDJ[Debit])))+(SUM(IF((CRDJ[Ofc Code]=(TRIM(M$7)))*(CRDJ[Account Code]=(TRIM($D68))),CRDJ[Debit])))+(SUM(IF((GJ[Ofc Code]=(TRIM(M$7)))*(GJ[Account Code]=(TRIM($D68))),GJ[Debit]))))-((SUM(IF((CkDJ[Ofc Code]=(TRIM(M$7)))*(CkDJ[Account Code]=(TRIM($D68))),CkDJ[Credit])))+(SUM(IF((CsDJ[Ofc Code]=(TRIM(M$7)))*(CsDJ[Account Code]=(TRIM($D68))),CsDJ[Credit])))+(SUM(IF((CRDJ[Ofc Code]=(TRIM(M$7)))*(CRDJ[Account Code]=(TRIM($D68))),CRDJ[Credit])))+(SUM(IF((GJ[Ofc Code]=(TRIM(M$7)))*(GJ[Account Code]=(TRIM($D68))),GJ[Credit]))))</f>
        <v>0</v>
      </c>
      <c r="N68" s="211">
        <f t="array" ref="N68">((SUM(IF((CkDJ[Ofc Code]=(TRIM(N$7)))*(CkDJ[Account Code]=(TRIM($D68))),CkDJ[Debit])))+(SUM(IF((CsDJ[Ofc Code]=(TRIM(N$7)))*(CsDJ[Account Code]=(TRIM($D68))),CsDJ[Debit])))+(SUM(IF((CRDJ[Ofc Code]=(TRIM(N$7)))*(CRDJ[Account Code]=(TRIM($D68))),CRDJ[Debit])))+(SUM(IF((GJ[Ofc Code]=(TRIM(N$7)))*(GJ[Account Code]=(TRIM($D68))),GJ[Debit]))))-((SUM(IF((CkDJ[Ofc Code]=(TRIM(N$7)))*(CkDJ[Account Code]=(TRIM($D68))),CkDJ[Credit])))+(SUM(IF((CsDJ[Ofc Code]=(TRIM(N$7)))*(CsDJ[Account Code]=(TRIM($D68))),CsDJ[Credit])))+(SUM(IF((CRDJ[Ofc Code]=(TRIM(N$7)))*(CRDJ[Account Code]=(TRIM($D68))),CRDJ[Credit])))+(SUM(IF((GJ[Ofc Code]=(TRIM(N$7)))*(GJ[Account Code]=(TRIM($D68))),GJ[Credit]))))</f>
        <v>0</v>
      </c>
      <c r="O68" s="211">
        <f>SUM(K68:N68)</f>
        <v>0</v>
      </c>
      <c r="P68" s="211">
        <f t="array" ref="P68">((SUM(IF((CkDJ[Ofc Code]=(TRIM(P$7)))*(CkDJ[Account Code]=(TRIM($D68))),CkDJ[Debit])))+(SUM(IF((CsDJ[Ofc Code]=(TRIM(P$7)))*(CsDJ[Account Code]=(TRIM($D68))),CsDJ[Debit])))+(SUM(IF((CRDJ[Ofc Code]=(TRIM(P$7)))*(CRDJ[Account Code]=(TRIM($D68))),CRDJ[Debit])))+(SUM(IF((GJ[Ofc Code]=(TRIM(P$7)))*(GJ[Account Code]=(TRIM($D68))),GJ[Debit]))))-((SUM(IF((CkDJ[Ofc Code]=(TRIM(P$7)))*(CkDJ[Account Code]=(TRIM($D68))),CkDJ[Credit])))+(SUM(IF((CsDJ[Ofc Code]=(TRIM(P$7)))*(CsDJ[Account Code]=(TRIM($D68))),CsDJ[Credit])))+(SUM(IF((CRDJ[Ofc Code]=(TRIM(P$7)))*(CRDJ[Account Code]=(TRIM($D68))),CRDJ[Credit])))+(SUM(IF((GJ[Ofc Code]=(TRIM(P$7)))*(GJ[Account Code]=(TRIM($D68))),GJ[Credit]))))</f>
        <v>0</v>
      </c>
      <c r="Q68" s="211">
        <f t="array" ref="Q68">((SUM(IF((CkDJ[Ofc Code]=(TRIM(Q$7)))*(CkDJ[Account Code]=(TRIM($D68))),CkDJ[Debit])))+(SUM(IF((CsDJ[Ofc Code]=(TRIM(Q$7)))*(CsDJ[Account Code]=(TRIM($D68))),CsDJ[Debit])))+(SUM(IF((CRDJ[Ofc Code]=(TRIM(Q$7)))*(CRDJ[Account Code]=(TRIM($D68))),CRDJ[Debit])))+(SUM(IF((GJ[Ofc Code]=(TRIM(Q$7)))*(GJ[Account Code]=(TRIM($D68))),GJ[Debit]))))-((SUM(IF((CkDJ[Ofc Code]=(TRIM(Q$7)))*(CkDJ[Account Code]=(TRIM($D68))),CkDJ[Credit])))+(SUM(IF((CsDJ[Ofc Code]=(TRIM(Q$7)))*(CsDJ[Account Code]=(TRIM($D68))),CsDJ[Credit])))+(SUM(IF((CRDJ[Ofc Code]=(TRIM(Q$7)))*(CRDJ[Account Code]=(TRIM($D68))),CRDJ[Credit])))+(SUM(IF((GJ[Ofc Code]=(TRIM(Q$7)))*(GJ[Account Code]=(TRIM($D68))),GJ[Credit]))))</f>
        <v>0</v>
      </c>
      <c r="R68" s="211">
        <f t="array" ref="R68">((SUM(IF((CkDJ[Ofc Code]=(TRIM(R$7)))*(CkDJ[Account Code]=(TRIM($D68))),CkDJ[Debit])))+(SUM(IF((CsDJ[Ofc Code]=(TRIM(R$7)))*(CsDJ[Account Code]=(TRIM($D68))),CsDJ[Debit])))+(SUM(IF((CRDJ[Ofc Code]=(TRIM(R$7)))*(CRDJ[Account Code]=(TRIM($D68))),CRDJ[Debit])))+(SUM(IF((GJ[Ofc Code]=(TRIM(R$7)))*(GJ[Account Code]=(TRIM($D68))),GJ[Debit]))))-((SUM(IF((CkDJ[Ofc Code]=(TRIM(R$7)))*(CkDJ[Account Code]=(TRIM($D68))),CkDJ[Credit])))+(SUM(IF((CsDJ[Ofc Code]=(TRIM(R$7)))*(CsDJ[Account Code]=(TRIM($D68))),CsDJ[Credit])))+(SUM(IF((CRDJ[Ofc Code]=(TRIM(R$7)))*(CRDJ[Account Code]=(TRIM($D68))),CRDJ[Credit])))+(SUM(IF((GJ[Ofc Code]=(TRIM(R$7)))*(GJ[Account Code]=(TRIM($D68))),GJ[Credit]))))</f>
        <v>0</v>
      </c>
      <c r="S68" s="211">
        <f t="array" ref="S68">((SUM(IF((CkDJ[Ofc Code]=(TRIM(S$7)))*(CkDJ[Account Code]=(TRIM($D68))),CkDJ[Debit])))+(SUM(IF((CsDJ[Ofc Code]=(TRIM(S$7)))*(CsDJ[Account Code]=(TRIM($D68))),CsDJ[Debit])))+(SUM(IF((CRDJ[Ofc Code]=(TRIM(S$7)))*(CRDJ[Account Code]=(TRIM($D68))),CRDJ[Debit])))+(SUM(IF((GJ[Ofc Code]=(TRIM(S$7)))*(GJ[Account Code]=(TRIM($D68))),GJ[Debit]))))-((SUM(IF((CkDJ[Ofc Code]=(TRIM(S$7)))*(CkDJ[Account Code]=(TRIM($D68))),CkDJ[Credit])))+(SUM(IF((CsDJ[Ofc Code]=(TRIM(S$7)))*(CsDJ[Account Code]=(TRIM($D68))),CsDJ[Credit])))+(SUM(IF((CRDJ[Ofc Code]=(TRIM(S$7)))*(CRDJ[Account Code]=(TRIM($D68))),CRDJ[Credit])))+(SUM(IF((GJ[Ofc Code]=(TRIM(S$7)))*(GJ[Account Code]=(TRIM($D68))),GJ[Credit]))))</f>
        <v>0</v>
      </c>
      <c r="T68" s="211">
        <f t="array" ref="T68">((SUM(IF((CkDJ[Ofc Code]=(TRIM(T$7)))*(CkDJ[Account Code]=(TRIM($D68))),CkDJ[Debit])))+(SUM(IF((CsDJ[Ofc Code]=(TRIM(T$7)))*(CsDJ[Account Code]=(TRIM($D68))),CsDJ[Debit])))+(SUM(IF((CRDJ[Ofc Code]=(TRIM(T$7)))*(CRDJ[Account Code]=(TRIM($D68))),CRDJ[Debit])))+(SUM(IF((GJ[Ofc Code]=(TRIM(T$7)))*(GJ[Account Code]=(TRIM($D68))),GJ[Debit]))))-((SUM(IF((CkDJ[Ofc Code]=(TRIM(T$7)))*(CkDJ[Account Code]=(TRIM($D68))),CkDJ[Credit])))+(SUM(IF((CsDJ[Ofc Code]=(TRIM(T$7)))*(CsDJ[Account Code]=(TRIM($D68))),CsDJ[Credit])))+(SUM(IF((CRDJ[Ofc Code]=(TRIM(T$7)))*(CRDJ[Account Code]=(TRIM($D68))),CRDJ[Credit])))+(SUM(IF((GJ[Ofc Code]=(TRIM(T$7)))*(GJ[Account Code]=(TRIM($D68))),GJ[Credit]))))</f>
        <v>0</v>
      </c>
      <c r="U68" s="211">
        <f>SUM(P68:T68)</f>
        <v>0</v>
      </c>
      <c r="V68" s="211">
        <f>E68+J68+O68+U68</f>
        <v>0</v>
      </c>
    </row>
    <row r="69" spans="1:22" ht="15" x14ac:dyDescent="0.25">
      <c r="A69" s="212">
        <f t="shared" si="19"/>
        <v>7</v>
      </c>
      <c r="B69" s="214"/>
      <c r="C69" s="194" t="str">
        <f t="shared" si="14"/>
        <v>Fuel, Oil and Lubricants Expenses</v>
      </c>
      <c r="D69" s="207">
        <v>761</v>
      </c>
      <c r="E69" s="211">
        <f t="array" ref="E69">((SUM(IF((CkDJ[Ofc Code]=(TRIM(E$7)))*(CkDJ[Account Code]=(TRIM($D69))),CkDJ[Debit])))+(SUM(IF((CsDJ[Ofc Code]=(TRIM(E$7)))*(CsDJ[Account Code]=(TRIM($D69))),CsDJ[Debit])))+(SUM(IF((CRDJ[Ofc Code]=(TRIM(E$7)))*(CRDJ[Account Code]=(TRIM($D69))),CRDJ[Debit])))+(SUM(IF((GJ[Ofc Code]=(TRIM(E$7)))*(GJ[Account Code]=(TRIM($D69))),GJ[Debit]))))-((SUM(IF((CkDJ[Ofc Code]=(TRIM(E$7)))*(CkDJ[Account Code]=(TRIM($D69))),CkDJ[Credit])))+(SUM(IF((CsDJ[Ofc Code]=(TRIM(E$7)))*(CsDJ[Account Code]=(TRIM($D69))),CsDJ[Credit])))+(SUM(IF((CRDJ[Ofc Code]=(TRIM(E$7)))*(CRDJ[Account Code]=(TRIM($D69))),CRDJ[Credit])))+(SUM(IF((GJ[Ofc Code]=(TRIM(E$7)))*(GJ[Account Code]=(TRIM($D69))),GJ[Credit]))))</f>
        <v>0</v>
      </c>
      <c r="F69" s="211">
        <f t="array" ref="F69">((SUM(IF((CkDJ[Ofc Code]=(TRIM(F$7)))*(CkDJ[Account Code]=(TRIM($D69))),CkDJ[Debit])))+(SUM(IF((CsDJ[Ofc Code]=(TRIM(F$7)))*(CsDJ[Account Code]=(TRIM($D69))),CsDJ[Debit])))+(SUM(IF((CRDJ[Ofc Code]=(TRIM(F$7)))*(CRDJ[Account Code]=(TRIM($D69))),CRDJ[Debit])))+(SUM(IF((GJ[Ofc Code]=(TRIM(F$7)))*(GJ[Account Code]=(TRIM($D69))),GJ[Debit]))))-((SUM(IF((CkDJ[Ofc Code]=(TRIM(F$7)))*(CkDJ[Account Code]=(TRIM($D69))),CkDJ[Credit])))+(SUM(IF((CsDJ[Ofc Code]=(TRIM(F$7)))*(CsDJ[Account Code]=(TRIM($D69))),CsDJ[Credit])))+(SUM(IF((CRDJ[Ofc Code]=(TRIM(F$7)))*(CRDJ[Account Code]=(TRIM($D69))),CRDJ[Credit])))+(SUM(IF((GJ[Ofc Code]=(TRIM(F$7)))*(GJ[Account Code]=(TRIM($D69))),GJ[Credit]))))</f>
        <v>0</v>
      </c>
      <c r="G69" s="211">
        <f t="array" ref="G69">((SUM(IF((CkDJ[Ofc Code]=(TRIM(G$7)))*(CkDJ[Account Code]=(TRIM($D69))),CkDJ[Debit])))+(SUM(IF((CsDJ[Ofc Code]=(TRIM(G$7)))*(CsDJ[Account Code]=(TRIM($D69))),CsDJ[Debit])))+(SUM(IF((CRDJ[Ofc Code]=(TRIM(G$7)))*(CRDJ[Account Code]=(TRIM($D69))),CRDJ[Debit])))+(SUM(IF((GJ[Ofc Code]=(TRIM(G$7)))*(GJ[Account Code]=(TRIM($D69))),GJ[Debit]))))-((SUM(IF((CkDJ[Ofc Code]=(TRIM(G$7)))*(CkDJ[Account Code]=(TRIM($D69))),CkDJ[Credit])))+(SUM(IF((CsDJ[Ofc Code]=(TRIM(G$7)))*(CsDJ[Account Code]=(TRIM($D69))),CsDJ[Credit])))+(SUM(IF((CRDJ[Ofc Code]=(TRIM(G$7)))*(CRDJ[Account Code]=(TRIM($D69))),CRDJ[Credit])))+(SUM(IF((GJ[Ofc Code]=(TRIM(G$7)))*(GJ[Account Code]=(TRIM($D69))),GJ[Credit]))))</f>
        <v>0</v>
      </c>
      <c r="H69" s="211">
        <f t="array" ref="H69">((SUM(IF((CkDJ[Ofc Code]=(TRIM(H$7)))*(CkDJ[Account Code]=(TRIM($D69))),CkDJ[Debit])))+(SUM(IF((CsDJ[Ofc Code]=(TRIM(H$7)))*(CsDJ[Account Code]=(TRIM($D69))),CsDJ[Debit])))+(SUM(IF((CRDJ[Ofc Code]=(TRIM(H$7)))*(CRDJ[Account Code]=(TRIM($D69))),CRDJ[Debit])))+(SUM(IF((GJ[Ofc Code]=(TRIM(H$7)))*(GJ[Account Code]=(TRIM($D69))),GJ[Debit]))))-((SUM(IF((CkDJ[Ofc Code]=(TRIM(H$7)))*(CkDJ[Account Code]=(TRIM($D69))),CkDJ[Credit])))+(SUM(IF((CsDJ[Ofc Code]=(TRIM(H$7)))*(CsDJ[Account Code]=(TRIM($D69))),CsDJ[Credit])))+(SUM(IF((CRDJ[Ofc Code]=(TRIM(H$7)))*(CRDJ[Account Code]=(TRIM($D69))),CRDJ[Credit])))+(SUM(IF((GJ[Ofc Code]=(TRIM(H$7)))*(GJ[Account Code]=(TRIM($D69))),GJ[Credit]))))</f>
        <v>0</v>
      </c>
      <c r="I69" s="211">
        <f t="array" ref="I69">((SUM(IF((CkDJ[Ofc Code]=(TRIM(I$7)))*(CkDJ[Account Code]=(TRIM($D69))),CkDJ[Debit])))+(SUM(IF((CsDJ[Ofc Code]=(TRIM(I$7)))*(CsDJ[Account Code]=(TRIM($D69))),CsDJ[Debit])))+(SUM(IF((CRDJ[Ofc Code]=(TRIM(I$7)))*(CRDJ[Account Code]=(TRIM($D69))),CRDJ[Debit])))+(SUM(IF((GJ[Ofc Code]=(TRIM(I$7)))*(GJ[Account Code]=(TRIM($D69))),GJ[Debit]))))-((SUM(IF((CkDJ[Ofc Code]=(TRIM(I$7)))*(CkDJ[Account Code]=(TRIM($D69))),CkDJ[Credit])))+(SUM(IF((CsDJ[Ofc Code]=(TRIM(I$7)))*(CsDJ[Account Code]=(TRIM($D69))),CsDJ[Credit])))+(SUM(IF((CRDJ[Ofc Code]=(TRIM(I$7)))*(CRDJ[Account Code]=(TRIM($D69))),CRDJ[Credit])))+(SUM(IF((GJ[Ofc Code]=(TRIM(I$7)))*(GJ[Account Code]=(TRIM($D69))),GJ[Credit]))))</f>
        <v>0</v>
      </c>
      <c r="J69" s="211">
        <f t="shared" si="15"/>
        <v>0</v>
      </c>
      <c r="K69" s="211">
        <f t="array" ref="K69">((SUM(IF((CkDJ[Ofc Code]=(TRIM(K$7)))*(CkDJ[Account Code]=(TRIM($D69))),CkDJ[Debit])))+(SUM(IF((CsDJ[Ofc Code]=(TRIM(K$7)))*(CsDJ[Account Code]=(TRIM($D69))),CsDJ[Debit])))+(SUM(IF((CRDJ[Ofc Code]=(TRIM(K$7)))*(CRDJ[Account Code]=(TRIM($D69))),CRDJ[Debit])))+(SUM(IF((GJ[Ofc Code]=(TRIM(K$7)))*(GJ[Account Code]=(TRIM($D69))),GJ[Debit]))))-((SUM(IF((CkDJ[Ofc Code]=(TRIM(K$7)))*(CkDJ[Account Code]=(TRIM($D69))),CkDJ[Credit])))+(SUM(IF((CsDJ[Ofc Code]=(TRIM(K$7)))*(CsDJ[Account Code]=(TRIM($D69))),CsDJ[Credit])))+(SUM(IF((CRDJ[Ofc Code]=(TRIM(K$7)))*(CRDJ[Account Code]=(TRIM($D69))),CRDJ[Credit])))+(SUM(IF((GJ[Ofc Code]=(TRIM(K$7)))*(GJ[Account Code]=(TRIM($D69))),GJ[Credit]))))</f>
        <v>0</v>
      </c>
      <c r="L69" s="211">
        <f t="array" ref="L69">((SUM(IF((CkDJ[Ofc Code]=(TRIM(L$7)))*(CkDJ[Account Code]=(TRIM($D69))),CkDJ[Debit])))+(SUM(IF((CsDJ[Ofc Code]=(TRIM(L$7)))*(CsDJ[Account Code]=(TRIM($D69))),CsDJ[Debit])))+(SUM(IF((CRDJ[Ofc Code]=(TRIM(L$7)))*(CRDJ[Account Code]=(TRIM($D69))),CRDJ[Debit])))+(SUM(IF((GJ[Ofc Code]=(TRIM(L$7)))*(GJ[Account Code]=(TRIM($D69))),GJ[Debit]))))-((SUM(IF((CkDJ[Ofc Code]=(TRIM(L$7)))*(CkDJ[Account Code]=(TRIM($D69))),CkDJ[Credit])))+(SUM(IF((CsDJ[Ofc Code]=(TRIM(L$7)))*(CsDJ[Account Code]=(TRIM($D69))),CsDJ[Credit])))+(SUM(IF((CRDJ[Ofc Code]=(TRIM(L$7)))*(CRDJ[Account Code]=(TRIM($D69))),CRDJ[Credit])))+(SUM(IF((GJ[Ofc Code]=(TRIM(L$7)))*(GJ[Account Code]=(TRIM($D69))),GJ[Credit]))))</f>
        <v>0</v>
      </c>
      <c r="M69" s="211">
        <f t="array" ref="M69">((SUM(IF((CkDJ[Ofc Code]=(TRIM(M$7)))*(CkDJ[Account Code]=(TRIM($D69))),CkDJ[Debit])))+(SUM(IF((CsDJ[Ofc Code]=(TRIM(M$7)))*(CsDJ[Account Code]=(TRIM($D69))),CsDJ[Debit])))+(SUM(IF((CRDJ[Ofc Code]=(TRIM(M$7)))*(CRDJ[Account Code]=(TRIM($D69))),CRDJ[Debit])))+(SUM(IF((GJ[Ofc Code]=(TRIM(M$7)))*(GJ[Account Code]=(TRIM($D69))),GJ[Debit]))))-((SUM(IF((CkDJ[Ofc Code]=(TRIM(M$7)))*(CkDJ[Account Code]=(TRIM($D69))),CkDJ[Credit])))+(SUM(IF((CsDJ[Ofc Code]=(TRIM(M$7)))*(CsDJ[Account Code]=(TRIM($D69))),CsDJ[Credit])))+(SUM(IF((CRDJ[Ofc Code]=(TRIM(M$7)))*(CRDJ[Account Code]=(TRIM($D69))),CRDJ[Credit])))+(SUM(IF((GJ[Ofc Code]=(TRIM(M$7)))*(GJ[Account Code]=(TRIM($D69))),GJ[Credit]))))</f>
        <v>0</v>
      </c>
      <c r="N69" s="211">
        <f t="array" ref="N69">((SUM(IF((CkDJ[Ofc Code]=(TRIM(N$7)))*(CkDJ[Account Code]=(TRIM($D69))),CkDJ[Debit])))+(SUM(IF((CsDJ[Ofc Code]=(TRIM(N$7)))*(CsDJ[Account Code]=(TRIM($D69))),CsDJ[Debit])))+(SUM(IF((CRDJ[Ofc Code]=(TRIM(N$7)))*(CRDJ[Account Code]=(TRIM($D69))),CRDJ[Debit])))+(SUM(IF((GJ[Ofc Code]=(TRIM(N$7)))*(GJ[Account Code]=(TRIM($D69))),GJ[Debit]))))-((SUM(IF((CkDJ[Ofc Code]=(TRIM(N$7)))*(CkDJ[Account Code]=(TRIM($D69))),CkDJ[Credit])))+(SUM(IF((CsDJ[Ofc Code]=(TRIM(N$7)))*(CsDJ[Account Code]=(TRIM($D69))),CsDJ[Credit])))+(SUM(IF((CRDJ[Ofc Code]=(TRIM(N$7)))*(CRDJ[Account Code]=(TRIM($D69))),CRDJ[Credit])))+(SUM(IF((GJ[Ofc Code]=(TRIM(N$7)))*(GJ[Account Code]=(TRIM($D69))),GJ[Credit]))))</f>
        <v>0</v>
      </c>
      <c r="O69" s="211">
        <f t="shared" si="16"/>
        <v>0</v>
      </c>
      <c r="P69" s="211">
        <f t="array" ref="P69">((SUM(IF((CkDJ[Ofc Code]=(TRIM(P$7)))*(CkDJ[Account Code]=(TRIM($D69))),CkDJ[Debit])))+(SUM(IF((CsDJ[Ofc Code]=(TRIM(P$7)))*(CsDJ[Account Code]=(TRIM($D69))),CsDJ[Debit])))+(SUM(IF((CRDJ[Ofc Code]=(TRIM(P$7)))*(CRDJ[Account Code]=(TRIM($D69))),CRDJ[Debit])))+(SUM(IF((GJ[Ofc Code]=(TRIM(P$7)))*(GJ[Account Code]=(TRIM($D69))),GJ[Debit]))))-((SUM(IF((CkDJ[Ofc Code]=(TRIM(P$7)))*(CkDJ[Account Code]=(TRIM($D69))),CkDJ[Credit])))+(SUM(IF((CsDJ[Ofc Code]=(TRIM(P$7)))*(CsDJ[Account Code]=(TRIM($D69))),CsDJ[Credit])))+(SUM(IF((CRDJ[Ofc Code]=(TRIM(P$7)))*(CRDJ[Account Code]=(TRIM($D69))),CRDJ[Credit])))+(SUM(IF((GJ[Ofc Code]=(TRIM(P$7)))*(GJ[Account Code]=(TRIM($D69))),GJ[Credit]))))</f>
        <v>0</v>
      </c>
      <c r="Q69" s="211">
        <f t="array" ref="Q69">((SUM(IF((CkDJ[Ofc Code]=(TRIM(Q$7)))*(CkDJ[Account Code]=(TRIM($D69))),CkDJ[Debit])))+(SUM(IF((CsDJ[Ofc Code]=(TRIM(Q$7)))*(CsDJ[Account Code]=(TRIM($D69))),CsDJ[Debit])))+(SUM(IF((CRDJ[Ofc Code]=(TRIM(Q$7)))*(CRDJ[Account Code]=(TRIM($D69))),CRDJ[Debit])))+(SUM(IF((GJ[Ofc Code]=(TRIM(Q$7)))*(GJ[Account Code]=(TRIM($D69))),GJ[Debit]))))-((SUM(IF((CkDJ[Ofc Code]=(TRIM(Q$7)))*(CkDJ[Account Code]=(TRIM($D69))),CkDJ[Credit])))+(SUM(IF((CsDJ[Ofc Code]=(TRIM(Q$7)))*(CsDJ[Account Code]=(TRIM($D69))),CsDJ[Credit])))+(SUM(IF((CRDJ[Ofc Code]=(TRIM(Q$7)))*(CRDJ[Account Code]=(TRIM($D69))),CRDJ[Credit])))+(SUM(IF((GJ[Ofc Code]=(TRIM(Q$7)))*(GJ[Account Code]=(TRIM($D69))),GJ[Credit]))))</f>
        <v>0</v>
      </c>
      <c r="R69" s="211">
        <f t="array" ref="R69">((SUM(IF((CkDJ[Ofc Code]=(TRIM(R$7)))*(CkDJ[Account Code]=(TRIM($D69))),CkDJ[Debit])))+(SUM(IF((CsDJ[Ofc Code]=(TRIM(R$7)))*(CsDJ[Account Code]=(TRIM($D69))),CsDJ[Debit])))+(SUM(IF((CRDJ[Ofc Code]=(TRIM(R$7)))*(CRDJ[Account Code]=(TRIM($D69))),CRDJ[Debit])))+(SUM(IF((GJ[Ofc Code]=(TRIM(R$7)))*(GJ[Account Code]=(TRIM($D69))),GJ[Debit]))))-((SUM(IF((CkDJ[Ofc Code]=(TRIM(R$7)))*(CkDJ[Account Code]=(TRIM($D69))),CkDJ[Credit])))+(SUM(IF((CsDJ[Ofc Code]=(TRIM(R$7)))*(CsDJ[Account Code]=(TRIM($D69))),CsDJ[Credit])))+(SUM(IF((CRDJ[Ofc Code]=(TRIM(R$7)))*(CRDJ[Account Code]=(TRIM($D69))),CRDJ[Credit])))+(SUM(IF((GJ[Ofc Code]=(TRIM(R$7)))*(GJ[Account Code]=(TRIM($D69))),GJ[Credit]))))</f>
        <v>0</v>
      </c>
      <c r="S69" s="211">
        <f t="array" ref="S69">((SUM(IF((CkDJ[Ofc Code]=(TRIM(S$7)))*(CkDJ[Account Code]=(TRIM($D69))),CkDJ[Debit])))+(SUM(IF((CsDJ[Ofc Code]=(TRIM(S$7)))*(CsDJ[Account Code]=(TRIM($D69))),CsDJ[Debit])))+(SUM(IF((CRDJ[Ofc Code]=(TRIM(S$7)))*(CRDJ[Account Code]=(TRIM($D69))),CRDJ[Debit])))+(SUM(IF((GJ[Ofc Code]=(TRIM(S$7)))*(GJ[Account Code]=(TRIM($D69))),GJ[Debit]))))-((SUM(IF((CkDJ[Ofc Code]=(TRIM(S$7)))*(CkDJ[Account Code]=(TRIM($D69))),CkDJ[Credit])))+(SUM(IF((CsDJ[Ofc Code]=(TRIM(S$7)))*(CsDJ[Account Code]=(TRIM($D69))),CsDJ[Credit])))+(SUM(IF((CRDJ[Ofc Code]=(TRIM(S$7)))*(CRDJ[Account Code]=(TRIM($D69))),CRDJ[Credit])))+(SUM(IF((GJ[Ofc Code]=(TRIM(S$7)))*(GJ[Account Code]=(TRIM($D69))),GJ[Credit]))))</f>
        <v>0</v>
      </c>
      <c r="T69" s="211">
        <f t="array" ref="T69">((SUM(IF((CkDJ[Ofc Code]=(TRIM(T$7)))*(CkDJ[Account Code]=(TRIM($D69))),CkDJ[Debit])))+(SUM(IF((CsDJ[Ofc Code]=(TRIM(T$7)))*(CsDJ[Account Code]=(TRIM($D69))),CsDJ[Debit])))+(SUM(IF((CRDJ[Ofc Code]=(TRIM(T$7)))*(CRDJ[Account Code]=(TRIM($D69))),CRDJ[Debit])))+(SUM(IF((GJ[Ofc Code]=(TRIM(T$7)))*(GJ[Account Code]=(TRIM($D69))),GJ[Debit]))))-((SUM(IF((CkDJ[Ofc Code]=(TRIM(T$7)))*(CkDJ[Account Code]=(TRIM($D69))),CkDJ[Credit])))+(SUM(IF((CsDJ[Ofc Code]=(TRIM(T$7)))*(CsDJ[Account Code]=(TRIM($D69))),CsDJ[Credit])))+(SUM(IF((CRDJ[Ofc Code]=(TRIM(T$7)))*(CRDJ[Account Code]=(TRIM($D69))),CRDJ[Credit])))+(SUM(IF((GJ[Ofc Code]=(TRIM(T$7)))*(GJ[Account Code]=(TRIM($D69))),GJ[Credit]))))</f>
        <v>0</v>
      </c>
      <c r="U69" s="211">
        <f t="shared" si="17"/>
        <v>0</v>
      </c>
      <c r="V69" s="211">
        <f t="shared" si="18"/>
        <v>0</v>
      </c>
    </row>
    <row r="70" spans="1:22" ht="15" x14ac:dyDescent="0.25">
      <c r="A70" s="212">
        <f t="shared" si="19"/>
        <v>8</v>
      </c>
      <c r="B70" s="214"/>
      <c r="C70" s="194" t="str">
        <f t="shared" si="14"/>
        <v>Textbooks and Instructional Materials Expenses</v>
      </c>
      <c r="D70" s="207">
        <v>763</v>
      </c>
      <c r="E70" s="211">
        <f t="array" ref="E70">((SUM(IF((CkDJ[Ofc Code]=(TRIM(E$7)))*(CkDJ[Account Code]=(TRIM($D70))),CkDJ[Debit])))+(SUM(IF((CsDJ[Ofc Code]=(TRIM(E$7)))*(CsDJ[Account Code]=(TRIM($D70))),CsDJ[Debit])))+(SUM(IF((CRDJ[Ofc Code]=(TRIM(E$7)))*(CRDJ[Account Code]=(TRIM($D70))),CRDJ[Debit])))+(SUM(IF((GJ[Ofc Code]=(TRIM(E$7)))*(GJ[Account Code]=(TRIM($D70))),GJ[Debit]))))-((SUM(IF((CkDJ[Ofc Code]=(TRIM(E$7)))*(CkDJ[Account Code]=(TRIM($D70))),CkDJ[Credit])))+(SUM(IF((CsDJ[Ofc Code]=(TRIM(E$7)))*(CsDJ[Account Code]=(TRIM($D70))),CsDJ[Credit])))+(SUM(IF((CRDJ[Ofc Code]=(TRIM(E$7)))*(CRDJ[Account Code]=(TRIM($D70))),CRDJ[Credit])))+(SUM(IF((GJ[Ofc Code]=(TRIM(E$7)))*(GJ[Account Code]=(TRIM($D70))),GJ[Credit]))))</f>
        <v>0</v>
      </c>
      <c r="F70" s="211">
        <f t="array" ref="F70">((SUM(IF((CkDJ[Ofc Code]=(TRIM(F$7)))*(CkDJ[Account Code]=(TRIM($D70))),CkDJ[Debit])))+(SUM(IF((CsDJ[Ofc Code]=(TRIM(F$7)))*(CsDJ[Account Code]=(TRIM($D70))),CsDJ[Debit])))+(SUM(IF((CRDJ[Ofc Code]=(TRIM(F$7)))*(CRDJ[Account Code]=(TRIM($D70))),CRDJ[Debit])))+(SUM(IF((GJ[Ofc Code]=(TRIM(F$7)))*(GJ[Account Code]=(TRIM($D70))),GJ[Debit]))))-((SUM(IF((CkDJ[Ofc Code]=(TRIM(F$7)))*(CkDJ[Account Code]=(TRIM($D70))),CkDJ[Credit])))+(SUM(IF((CsDJ[Ofc Code]=(TRIM(F$7)))*(CsDJ[Account Code]=(TRIM($D70))),CsDJ[Credit])))+(SUM(IF((CRDJ[Ofc Code]=(TRIM(F$7)))*(CRDJ[Account Code]=(TRIM($D70))),CRDJ[Credit])))+(SUM(IF((GJ[Ofc Code]=(TRIM(F$7)))*(GJ[Account Code]=(TRIM($D70))),GJ[Credit]))))</f>
        <v>0</v>
      </c>
      <c r="G70" s="211">
        <f t="array" ref="G70">((SUM(IF((CkDJ[Ofc Code]=(TRIM(G$7)))*(CkDJ[Account Code]=(TRIM($D70))),CkDJ[Debit])))+(SUM(IF((CsDJ[Ofc Code]=(TRIM(G$7)))*(CsDJ[Account Code]=(TRIM($D70))),CsDJ[Debit])))+(SUM(IF((CRDJ[Ofc Code]=(TRIM(G$7)))*(CRDJ[Account Code]=(TRIM($D70))),CRDJ[Debit])))+(SUM(IF((GJ[Ofc Code]=(TRIM(G$7)))*(GJ[Account Code]=(TRIM($D70))),GJ[Debit]))))-((SUM(IF((CkDJ[Ofc Code]=(TRIM(G$7)))*(CkDJ[Account Code]=(TRIM($D70))),CkDJ[Credit])))+(SUM(IF((CsDJ[Ofc Code]=(TRIM(G$7)))*(CsDJ[Account Code]=(TRIM($D70))),CsDJ[Credit])))+(SUM(IF((CRDJ[Ofc Code]=(TRIM(G$7)))*(CRDJ[Account Code]=(TRIM($D70))),CRDJ[Credit])))+(SUM(IF((GJ[Ofc Code]=(TRIM(G$7)))*(GJ[Account Code]=(TRIM($D70))),GJ[Credit]))))</f>
        <v>0</v>
      </c>
      <c r="H70" s="211">
        <f t="array" ref="H70">((SUM(IF((CkDJ[Ofc Code]=(TRIM(H$7)))*(CkDJ[Account Code]=(TRIM($D70))),CkDJ[Debit])))+(SUM(IF((CsDJ[Ofc Code]=(TRIM(H$7)))*(CsDJ[Account Code]=(TRIM($D70))),CsDJ[Debit])))+(SUM(IF((CRDJ[Ofc Code]=(TRIM(H$7)))*(CRDJ[Account Code]=(TRIM($D70))),CRDJ[Debit])))+(SUM(IF((GJ[Ofc Code]=(TRIM(H$7)))*(GJ[Account Code]=(TRIM($D70))),GJ[Debit]))))-((SUM(IF((CkDJ[Ofc Code]=(TRIM(H$7)))*(CkDJ[Account Code]=(TRIM($D70))),CkDJ[Credit])))+(SUM(IF((CsDJ[Ofc Code]=(TRIM(H$7)))*(CsDJ[Account Code]=(TRIM($D70))),CsDJ[Credit])))+(SUM(IF((CRDJ[Ofc Code]=(TRIM(H$7)))*(CRDJ[Account Code]=(TRIM($D70))),CRDJ[Credit])))+(SUM(IF((GJ[Ofc Code]=(TRIM(H$7)))*(GJ[Account Code]=(TRIM($D70))),GJ[Credit]))))</f>
        <v>0</v>
      </c>
      <c r="I70" s="211">
        <f t="array" ref="I70">((SUM(IF((CkDJ[Ofc Code]=(TRIM(I$7)))*(CkDJ[Account Code]=(TRIM($D70))),CkDJ[Debit])))+(SUM(IF((CsDJ[Ofc Code]=(TRIM(I$7)))*(CsDJ[Account Code]=(TRIM($D70))),CsDJ[Debit])))+(SUM(IF((CRDJ[Ofc Code]=(TRIM(I$7)))*(CRDJ[Account Code]=(TRIM($D70))),CRDJ[Debit])))+(SUM(IF((GJ[Ofc Code]=(TRIM(I$7)))*(GJ[Account Code]=(TRIM($D70))),GJ[Debit]))))-((SUM(IF((CkDJ[Ofc Code]=(TRIM(I$7)))*(CkDJ[Account Code]=(TRIM($D70))),CkDJ[Credit])))+(SUM(IF((CsDJ[Ofc Code]=(TRIM(I$7)))*(CsDJ[Account Code]=(TRIM($D70))),CsDJ[Credit])))+(SUM(IF((CRDJ[Ofc Code]=(TRIM(I$7)))*(CRDJ[Account Code]=(TRIM($D70))),CRDJ[Credit])))+(SUM(IF((GJ[Ofc Code]=(TRIM(I$7)))*(GJ[Account Code]=(TRIM($D70))),GJ[Credit]))))</f>
        <v>0</v>
      </c>
      <c r="J70" s="211">
        <f t="shared" si="15"/>
        <v>0</v>
      </c>
      <c r="K70" s="211">
        <f t="array" ref="K70">((SUM(IF((CkDJ[Ofc Code]=(TRIM(K$7)))*(CkDJ[Account Code]=(TRIM($D70))),CkDJ[Debit])))+(SUM(IF((CsDJ[Ofc Code]=(TRIM(K$7)))*(CsDJ[Account Code]=(TRIM($D70))),CsDJ[Debit])))+(SUM(IF((CRDJ[Ofc Code]=(TRIM(K$7)))*(CRDJ[Account Code]=(TRIM($D70))),CRDJ[Debit])))+(SUM(IF((GJ[Ofc Code]=(TRIM(K$7)))*(GJ[Account Code]=(TRIM($D70))),GJ[Debit]))))-((SUM(IF((CkDJ[Ofc Code]=(TRIM(K$7)))*(CkDJ[Account Code]=(TRIM($D70))),CkDJ[Credit])))+(SUM(IF((CsDJ[Ofc Code]=(TRIM(K$7)))*(CsDJ[Account Code]=(TRIM($D70))),CsDJ[Credit])))+(SUM(IF((CRDJ[Ofc Code]=(TRIM(K$7)))*(CRDJ[Account Code]=(TRIM($D70))),CRDJ[Credit])))+(SUM(IF((GJ[Ofc Code]=(TRIM(K$7)))*(GJ[Account Code]=(TRIM($D70))),GJ[Credit]))))</f>
        <v>0</v>
      </c>
      <c r="L70" s="211">
        <f t="array" ref="L70">((SUM(IF((CkDJ[Ofc Code]=(TRIM(L$7)))*(CkDJ[Account Code]=(TRIM($D70))),CkDJ[Debit])))+(SUM(IF((CsDJ[Ofc Code]=(TRIM(L$7)))*(CsDJ[Account Code]=(TRIM($D70))),CsDJ[Debit])))+(SUM(IF((CRDJ[Ofc Code]=(TRIM(L$7)))*(CRDJ[Account Code]=(TRIM($D70))),CRDJ[Debit])))+(SUM(IF((GJ[Ofc Code]=(TRIM(L$7)))*(GJ[Account Code]=(TRIM($D70))),GJ[Debit]))))-((SUM(IF((CkDJ[Ofc Code]=(TRIM(L$7)))*(CkDJ[Account Code]=(TRIM($D70))),CkDJ[Credit])))+(SUM(IF((CsDJ[Ofc Code]=(TRIM(L$7)))*(CsDJ[Account Code]=(TRIM($D70))),CsDJ[Credit])))+(SUM(IF((CRDJ[Ofc Code]=(TRIM(L$7)))*(CRDJ[Account Code]=(TRIM($D70))),CRDJ[Credit])))+(SUM(IF((GJ[Ofc Code]=(TRIM(L$7)))*(GJ[Account Code]=(TRIM($D70))),GJ[Credit]))))</f>
        <v>0</v>
      </c>
      <c r="M70" s="211">
        <f t="array" ref="M70">((SUM(IF((CkDJ[Ofc Code]=(TRIM(M$7)))*(CkDJ[Account Code]=(TRIM($D70))),CkDJ[Debit])))+(SUM(IF((CsDJ[Ofc Code]=(TRIM(M$7)))*(CsDJ[Account Code]=(TRIM($D70))),CsDJ[Debit])))+(SUM(IF((CRDJ[Ofc Code]=(TRIM(M$7)))*(CRDJ[Account Code]=(TRIM($D70))),CRDJ[Debit])))+(SUM(IF((GJ[Ofc Code]=(TRIM(M$7)))*(GJ[Account Code]=(TRIM($D70))),GJ[Debit]))))-((SUM(IF((CkDJ[Ofc Code]=(TRIM(M$7)))*(CkDJ[Account Code]=(TRIM($D70))),CkDJ[Credit])))+(SUM(IF((CsDJ[Ofc Code]=(TRIM(M$7)))*(CsDJ[Account Code]=(TRIM($D70))),CsDJ[Credit])))+(SUM(IF((CRDJ[Ofc Code]=(TRIM(M$7)))*(CRDJ[Account Code]=(TRIM($D70))),CRDJ[Credit])))+(SUM(IF((GJ[Ofc Code]=(TRIM(M$7)))*(GJ[Account Code]=(TRIM($D70))),GJ[Credit]))))</f>
        <v>0</v>
      </c>
      <c r="N70" s="211">
        <f t="array" ref="N70">((SUM(IF((CkDJ[Ofc Code]=(TRIM(N$7)))*(CkDJ[Account Code]=(TRIM($D70))),CkDJ[Debit])))+(SUM(IF((CsDJ[Ofc Code]=(TRIM(N$7)))*(CsDJ[Account Code]=(TRIM($D70))),CsDJ[Debit])))+(SUM(IF((CRDJ[Ofc Code]=(TRIM(N$7)))*(CRDJ[Account Code]=(TRIM($D70))),CRDJ[Debit])))+(SUM(IF((GJ[Ofc Code]=(TRIM(N$7)))*(GJ[Account Code]=(TRIM($D70))),GJ[Debit]))))-((SUM(IF((CkDJ[Ofc Code]=(TRIM(N$7)))*(CkDJ[Account Code]=(TRIM($D70))),CkDJ[Credit])))+(SUM(IF((CsDJ[Ofc Code]=(TRIM(N$7)))*(CsDJ[Account Code]=(TRIM($D70))),CsDJ[Credit])))+(SUM(IF((CRDJ[Ofc Code]=(TRIM(N$7)))*(CRDJ[Account Code]=(TRIM($D70))),CRDJ[Credit])))+(SUM(IF((GJ[Ofc Code]=(TRIM(N$7)))*(GJ[Account Code]=(TRIM($D70))),GJ[Credit]))))</f>
        <v>0</v>
      </c>
      <c r="O70" s="211">
        <f t="shared" si="16"/>
        <v>0</v>
      </c>
      <c r="P70" s="211">
        <f t="array" ref="P70">((SUM(IF((CkDJ[Ofc Code]=(TRIM(P$7)))*(CkDJ[Account Code]=(TRIM($D70))),CkDJ[Debit])))+(SUM(IF((CsDJ[Ofc Code]=(TRIM(P$7)))*(CsDJ[Account Code]=(TRIM($D70))),CsDJ[Debit])))+(SUM(IF((CRDJ[Ofc Code]=(TRIM(P$7)))*(CRDJ[Account Code]=(TRIM($D70))),CRDJ[Debit])))+(SUM(IF((GJ[Ofc Code]=(TRIM(P$7)))*(GJ[Account Code]=(TRIM($D70))),GJ[Debit]))))-((SUM(IF((CkDJ[Ofc Code]=(TRIM(P$7)))*(CkDJ[Account Code]=(TRIM($D70))),CkDJ[Credit])))+(SUM(IF((CsDJ[Ofc Code]=(TRIM(P$7)))*(CsDJ[Account Code]=(TRIM($D70))),CsDJ[Credit])))+(SUM(IF((CRDJ[Ofc Code]=(TRIM(P$7)))*(CRDJ[Account Code]=(TRIM($D70))),CRDJ[Credit])))+(SUM(IF((GJ[Ofc Code]=(TRIM(P$7)))*(GJ[Account Code]=(TRIM($D70))),GJ[Credit]))))</f>
        <v>0</v>
      </c>
      <c r="Q70" s="211">
        <f t="array" ref="Q70">((SUM(IF((CkDJ[Ofc Code]=(TRIM(Q$7)))*(CkDJ[Account Code]=(TRIM($D70))),CkDJ[Debit])))+(SUM(IF((CsDJ[Ofc Code]=(TRIM(Q$7)))*(CsDJ[Account Code]=(TRIM($D70))),CsDJ[Debit])))+(SUM(IF((CRDJ[Ofc Code]=(TRIM(Q$7)))*(CRDJ[Account Code]=(TRIM($D70))),CRDJ[Debit])))+(SUM(IF((GJ[Ofc Code]=(TRIM(Q$7)))*(GJ[Account Code]=(TRIM($D70))),GJ[Debit]))))-((SUM(IF((CkDJ[Ofc Code]=(TRIM(Q$7)))*(CkDJ[Account Code]=(TRIM($D70))),CkDJ[Credit])))+(SUM(IF((CsDJ[Ofc Code]=(TRIM(Q$7)))*(CsDJ[Account Code]=(TRIM($D70))),CsDJ[Credit])))+(SUM(IF((CRDJ[Ofc Code]=(TRIM(Q$7)))*(CRDJ[Account Code]=(TRIM($D70))),CRDJ[Credit])))+(SUM(IF((GJ[Ofc Code]=(TRIM(Q$7)))*(GJ[Account Code]=(TRIM($D70))),GJ[Credit]))))</f>
        <v>0</v>
      </c>
      <c r="R70" s="211">
        <f t="array" ref="R70">((SUM(IF((CkDJ[Ofc Code]=(TRIM(R$7)))*(CkDJ[Account Code]=(TRIM($D70))),CkDJ[Debit])))+(SUM(IF((CsDJ[Ofc Code]=(TRIM(R$7)))*(CsDJ[Account Code]=(TRIM($D70))),CsDJ[Debit])))+(SUM(IF((CRDJ[Ofc Code]=(TRIM(R$7)))*(CRDJ[Account Code]=(TRIM($D70))),CRDJ[Debit])))+(SUM(IF((GJ[Ofc Code]=(TRIM(R$7)))*(GJ[Account Code]=(TRIM($D70))),GJ[Debit]))))-((SUM(IF((CkDJ[Ofc Code]=(TRIM(R$7)))*(CkDJ[Account Code]=(TRIM($D70))),CkDJ[Credit])))+(SUM(IF((CsDJ[Ofc Code]=(TRIM(R$7)))*(CsDJ[Account Code]=(TRIM($D70))),CsDJ[Credit])))+(SUM(IF((CRDJ[Ofc Code]=(TRIM(R$7)))*(CRDJ[Account Code]=(TRIM($D70))),CRDJ[Credit])))+(SUM(IF((GJ[Ofc Code]=(TRIM(R$7)))*(GJ[Account Code]=(TRIM($D70))),GJ[Credit]))))</f>
        <v>0</v>
      </c>
      <c r="S70" s="211">
        <f t="array" ref="S70">((SUM(IF((CkDJ[Ofc Code]=(TRIM(S$7)))*(CkDJ[Account Code]=(TRIM($D70))),CkDJ[Debit])))+(SUM(IF((CsDJ[Ofc Code]=(TRIM(S$7)))*(CsDJ[Account Code]=(TRIM($D70))),CsDJ[Debit])))+(SUM(IF((CRDJ[Ofc Code]=(TRIM(S$7)))*(CRDJ[Account Code]=(TRIM($D70))),CRDJ[Debit])))+(SUM(IF((GJ[Ofc Code]=(TRIM(S$7)))*(GJ[Account Code]=(TRIM($D70))),GJ[Debit]))))-((SUM(IF((CkDJ[Ofc Code]=(TRIM(S$7)))*(CkDJ[Account Code]=(TRIM($D70))),CkDJ[Credit])))+(SUM(IF((CsDJ[Ofc Code]=(TRIM(S$7)))*(CsDJ[Account Code]=(TRIM($D70))),CsDJ[Credit])))+(SUM(IF((CRDJ[Ofc Code]=(TRIM(S$7)))*(CRDJ[Account Code]=(TRIM($D70))),CRDJ[Credit])))+(SUM(IF((GJ[Ofc Code]=(TRIM(S$7)))*(GJ[Account Code]=(TRIM($D70))),GJ[Credit]))))</f>
        <v>0</v>
      </c>
      <c r="T70" s="211">
        <f t="array" ref="T70">((SUM(IF((CkDJ[Ofc Code]=(TRIM(T$7)))*(CkDJ[Account Code]=(TRIM($D70))),CkDJ[Debit])))+(SUM(IF((CsDJ[Ofc Code]=(TRIM(T$7)))*(CsDJ[Account Code]=(TRIM($D70))),CsDJ[Debit])))+(SUM(IF((CRDJ[Ofc Code]=(TRIM(T$7)))*(CRDJ[Account Code]=(TRIM($D70))),CRDJ[Debit])))+(SUM(IF((GJ[Ofc Code]=(TRIM(T$7)))*(GJ[Account Code]=(TRIM($D70))),GJ[Debit]))))-((SUM(IF((CkDJ[Ofc Code]=(TRIM(T$7)))*(CkDJ[Account Code]=(TRIM($D70))),CkDJ[Credit])))+(SUM(IF((CsDJ[Ofc Code]=(TRIM(T$7)))*(CsDJ[Account Code]=(TRIM($D70))),CsDJ[Credit])))+(SUM(IF((CRDJ[Ofc Code]=(TRIM(T$7)))*(CRDJ[Account Code]=(TRIM($D70))),CRDJ[Credit])))+(SUM(IF((GJ[Ofc Code]=(TRIM(T$7)))*(GJ[Account Code]=(TRIM($D70))),GJ[Credit]))))</f>
        <v>0</v>
      </c>
      <c r="U70" s="211">
        <f t="shared" si="17"/>
        <v>0</v>
      </c>
      <c r="V70" s="211">
        <f t="shared" si="18"/>
        <v>0</v>
      </c>
    </row>
    <row r="71" spans="1:22" ht="15" x14ac:dyDescent="0.25">
      <c r="A71" s="212">
        <f t="shared" si="19"/>
        <v>9</v>
      </c>
      <c r="B71" s="214"/>
      <c r="C71" s="194" t="str">
        <f t="shared" si="14"/>
        <v>Other Supplies and Materials Expenses</v>
      </c>
      <c r="D71" s="207">
        <v>765</v>
      </c>
      <c r="E71" s="211">
        <f t="array" ref="E71">((SUM(IF((CkDJ[Ofc Code]=(TRIM(E$7)))*(CkDJ[Account Code]=(TRIM($D71))),CkDJ[Debit])))+(SUM(IF((CsDJ[Ofc Code]=(TRIM(E$7)))*(CsDJ[Account Code]=(TRIM($D71))),CsDJ[Debit])))+(SUM(IF((CRDJ[Ofc Code]=(TRIM(E$7)))*(CRDJ[Account Code]=(TRIM($D71))),CRDJ[Debit])))+(SUM(IF((GJ[Ofc Code]=(TRIM(E$7)))*(GJ[Account Code]=(TRIM($D71))),GJ[Debit]))))-((SUM(IF((CkDJ[Ofc Code]=(TRIM(E$7)))*(CkDJ[Account Code]=(TRIM($D71))),CkDJ[Credit])))+(SUM(IF((CsDJ[Ofc Code]=(TRIM(E$7)))*(CsDJ[Account Code]=(TRIM($D71))),CsDJ[Credit])))+(SUM(IF((CRDJ[Ofc Code]=(TRIM(E$7)))*(CRDJ[Account Code]=(TRIM($D71))),CRDJ[Credit])))+(SUM(IF((GJ[Ofc Code]=(TRIM(E$7)))*(GJ[Account Code]=(TRIM($D71))),GJ[Credit]))))</f>
        <v>0</v>
      </c>
      <c r="F71" s="211">
        <f t="array" ref="F71">((SUM(IF((CkDJ[Ofc Code]=(TRIM(F$7)))*(CkDJ[Account Code]=(TRIM($D71))),CkDJ[Debit])))+(SUM(IF((CsDJ[Ofc Code]=(TRIM(F$7)))*(CsDJ[Account Code]=(TRIM($D71))),CsDJ[Debit])))+(SUM(IF((CRDJ[Ofc Code]=(TRIM(F$7)))*(CRDJ[Account Code]=(TRIM($D71))),CRDJ[Debit])))+(SUM(IF((GJ[Ofc Code]=(TRIM(F$7)))*(GJ[Account Code]=(TRIM($D71))),GJ[Debit]))))-((SUM(IF((CkDJ[Ofc Code]=(TRIM(F$7)))*(CkDJ[Account Code]=(TRIM($D71))),CkDJ[Credit])))+(SUM(IF((CsDJ[Ofc Code]=(TRIM(F$7)))*(CsDJ[Account Code]=(TRIM($D71))),CsDJ[Credit])))+(SUM(IF((CRDJ[Ofc Code]=(TRIM(F$7)))*(CRDJ[Account Code]=(TRIM($D71))),CRDJ[Credit])))+(SUM(IF((GJ[Ofc Code]=(TRIM(F$7)))*(GJ[Account Code]=(TRIM($D71))),GJ[Credit]))))</f>
        <v>0</v>
      </c>
      <c r="G71" s="211">
        <f t="array" ref="G71">((SUM(IF((CkDJ[Ofc Code]=(TRIM(G$7)))*(CkDJ[Account Code]=(TRIM($D71))),CkDJ[Debit])))+(SUM(IF((CsDJ[Ofc Code]=(TRIM(G$7)))*(CsDJ[Account Code]=(TRIM($D71))),CsDJ[Debit])))+(SUM(IF((CRDJ[Ofc Code]=(TRIM(G$7)))*(CRDJ[Account Code]=(TRIM($D71))),CRDJ[Debit])))+(SUM(IF((GJ[Ofc Code]=(TRIM(G$7)))*(GJ[Account Code]=(TRIM($D71))),GJ[Debit]))))-((SUM(IF((CkDJ[Ofc Code]=(TRIM(G$7)))*(CkDJ[Account Code]=(TRIM($D71))),CkDJ[Credit])))+(SUM(IF((CsDJ[Ofc Code]=(TRIM(G$7)))*(CsDJ[Account Code]=(TRIM($D71))),CsDJ[Credit])))+(SUM(IF((CRDJ[Ofc Code]=(TRIM(G$7)))*(CRDJ[Account Code]=(TRIM($D71))),CRDJ[Credit])))+(SUM(IF((GJ[Ofc Code]=(TRIM(G$7)))*(GJ[Account Code]=(TRIM($D71))),GJ[Credit]))))</f>
        <v>0</v>
      </c>
      <c r="H71" s="211">
        <f t="array" ref="H71">((SUM(IF((CkDJ[Ofc Code]=(TRIM(H$7)))*(CkDJ[Account Code]=(TRIM($D71))),CkDJ[Debit])))+(SUM(IF((CsDJ[Ofc Code]=(TRIM(H$7)))*(CsDJ[Account Code]=(TRIM($D71))),CsDJ[Debit])))+(SUM(IF((CRDJ[Ofc Code]=(TRIM(H$7)))*(CRDJ[Account Code]=(TRIM($D71))),CRDJ[Debit])))+(SUM(IF((GJ[Ofc Code]=(TRIM(H$7)))*(GJ[Account Code]=(TRIM($D71))),GJ[Debit]))))-((SUM(IF((CkDJ[Ofc Code]=(TRIM(H$7)))*(CkDJ[Account Code]=(TRIM($D71))),CkDJ[Credit])))+(SUM(IF((CsDJ[Ofc Code]=(TRIM(H$7)))*(CsDJ[Account Code]=(TRIM($D71))),CsDJ[Credit])))+(SUM(IF((CRDJ[Ofc Code]=(TRIM(H$7)))*(CRDJ[Account Code]=(TRIM($D71))),CRDJ[Credit])))+(SUM(IF((GJ[Ofc Code]=(TRIM(H$7)))*(GJ[Account Code]=(TRIM($D71))),GJ[Credit]))))</f>
        <v>0</v>
      </c>
      <c r="I71" s="211">
        <f t="array" ref="I71">((SUM(IF((CkDJ[Ofc Code]=(TRIM(I$7)))*(CkDJ[Account Code]=(TRIM($D71))),CkDJ[Debit])))+(SUM(IF((CsDJ[Ofc Code]=(TRIM(I$7)))*(CsDJ[Account Code]=(TRIM($D71))),CsDJ[Debit])))+(SUM(IF((CRDJ[Ofc Code]=(TRIM(I$7)))*(CRDJ[Account Code]=(TRIM($D71))),CRDJ[Debit])))+(SUM(IF((GJ[Ofc Code]=(TRIM(I$7)))*(GJ[Account Code]=(TRIM($D71))),GJ[Debit]))))-((SUM(IF((CkDJ[Ofc Code]=(TRIM(I$7)))*(CkDJ[Account Code]=(TRIM($D71))),CkDJ[Credit])))+(SUM(IF((CsDJ[Ofc Code]=(TRIM(I$7)))*(CsDJ[Account Code]=(TRIM($D71))),CsDJ[Credit])))+(SUM(IF((CRDJ[Ofc Code]=(TRIM(I$7)))*(CRDJ[Account Code]=(TRIM($D71))),CRDJ[Credit])))+(SUM(IF((GJ[Ofc Code]=(TRIM(I$7)))*(GJ[Account Code]=(TRIM($D71))),GJ[Credit]))))</f>
        <v>0</v>
      </c>
      <c r="J71" s="211">
        <f t="shared" si="15"/>
        <v>0</v>
      </c>
      <c r="K71" s="211">
        <f t="array" ref="K71">((SUM(IF((CkDJ[Ofc Code]=(TRIM(K$7)))*(CkDJ[Account Code]=(TRIM($D71))),CkDJ[Debit])))+(SUM(IF((CsDJ[Ofc Code]=(TRIM(K$7)))*(CsDJ[Account Code]=(TRIM($D71))),CsDJ[Debit])))+(SUM(IF((CRDJ[Ofc Code]=(TRIM(K$7)))*(CRDJ[Account Code]=(TRIM($D71))),CRDJ[Debit])))+(SUM(IF((GJ[Ofc Code]=(TRIM(K$7)))*(GJ[Account Code]=(TRIM($D71))),GJ[Debit]))))-((SUM(IF((CkDJ[Ofc Code]=(TRIM(K$7)))*(CkDJ[Account Code]=(TRIM($D71))),CkDJ[Credit])))+(SUM(IF((CsDJ[Ofc Code]=(TRIM(K$7)))*(CsDJ[Account Code]=(TRIM($D71))),CsDJ[Credit])))+(SUM(IF((CRDJ[Ofc Code]=(TRIM(K$7)))*(CRDJ[Account Code]=(TRIM($D71))),CRDJ[Credit])))+(SUM(IF((GJ[Ofc Code]=(TRIM(K$7)))*(GJ[Account Code]=(TRIM($D71))),GJ[Credit]))))</f>
        <v>0</v>
      </c>
      <c r="L71" s="211">
        <f t="array" ref="L71">((SUM(IF((CkDJ[Ofc Code]=(TRIM(L$7)))*(CkDJ[Account Code]=(TRIM($D71))),CkDJ[Debit])))+(SUM(IF((CsDJ[Ofc Code]=(TRIM(L$7)))*(CsDJ[Account Code]=(TRIM($D71))),CsDJ[Debit])))+(SUM(IF((CRDJ[Ofc Code]=(TRIM(L$7)))*(CRDJ[Account Code]=(TRIM($D71))),CRDJ[Debit])))+(SUM(IF((GJ[Ofc Code]=(TRIM(L$7)))*(GJ[Account Code]=(TRIM($D71))),GJ[Debit]))))-((SUM(IF((CkDJ[Ofc Code]=(TRIM(L$7)))*(CkDJ[Account Code]=(TRIM($D71))),CkDJ[Credit])))+(SUM(IF((CsDJ[Ofc Code]=(TRIM(L$7)))*(CsDJ[Account Code]=(TRIM($D71))),CsDJ[Credit])))+(SUM(IF((CRDJ[Ofc Code]=(TRIM(L$7)))*(CRDJ[Account Code]=(TRIM($D71))),CRDJ[Credit])))+(SUM(IF((GJ[Ofc Code]=(TRIM(L$7)))*(GJ[Account Code]=(TRIM($D71))),GJ[Credit]))))</f>
        <v>0</v>
      </c>
      <c r="M71" s="211">
        <f t="array" ref="M71">((SUM(IF((CkDJ[Ofc Code]=(TRIM(M$7)))*(CkDJ[Account Code]=(TRIM($D71))),CkDJ[Debit])))+(SUM(IF((CsDJ[Ofc Code]=(TRIM(M$7)))*(CsDJ[Account Code]=(TRIM($D71))),CsDJ[Debit])))+(SUM(IF((CRDJ[Ofc Code]=(TRIM(M$7)))*(CRDJ[Account Code]=(TRIM($D71))),CRDJ[Debit])))+(SUM(IF((GJ[Ofc Code]=(TRIM(M$7)))*(GJ[Account Code]=(TRIM($D71))),GJ[Debit]))))-((SUM(IF((CkDJ[Ofc Code]=(TRIM(M$7)))*(CkDJ[Account Code]=(TRIM($D71))),CkDJ[Credit])))+(SUM(IF((CsDJ[Ofc Code]=(TRIM(M$7)))*(CsDJ[Account Code]=(TRIM($D71))),CsDJ[Credit])))+(SUM(IF((CRDJ[Ofc Code]=(TRIM(M$7)))*(CRDJ[Account Code]=(TRIM($D71))),CRDJ[Credit])))+(SUM(IF((GJ[Ofc Code]=(TRIM(M$7)))*(GJ[Account Code]=(TRIM($D71))),GJ[Credit]))))</f>
        <v>0</v>
      </c>
      <c r="N71" s="211">
        <f t="array" ref="N71">((SUM(IF((CkDJ[Ofc Code]=(TRIM(N$7)))*(CkDJ[Account Code]=(TRIM($D71))),CkDJ[Debit])))+(SUM(IF((CsDJ[Ofc Code]=(TRIM(N$7)))*(CsDJ[Account Code]=(TRIM($D71))),CsDJ[Debit])))+(SUM(IF((CRDJ[Ofc Code]=(TRIM(N$7)))*(CRDJ[Account Code]=(TRIM($D71))),CRDJ[Debit])))+(SUM(IF((GJ[Ofc Code]=(TRIM(N$7)))*(GJ[Account Code]=(TRIM($D71))),GJ[Debit]))))-((SUM(IF((CkDJ[Ofc Code]=(TRIM(N$7)))*(CkDJ[Account Code]=(TRIM($D71))),CkDJ[Credit])))+(SUM(IF((CsDJ[Ofc Code]=(TRIM(N$7)))*(CsDJ[Account Code]=(TRIM($D71))),CsDJ[Credit])))+(SUM(IF((CRDJ[Ofc Code]=(TRIM(N$7)))*(CRDJ[Account Code]=(TRIM($D71))),CRDJ[Credit])))+(SUM(IF((GJ[Ofc Code]=(TRIM(N$7)))*(GJ[Account Code]=(TRIM($D71))),GJ[Credit]))))</f>
        <v>0</v>
      </c>
      <c r="O71" s="211">
        <f t="shared" si="16"/>
        <v>0</v>
      </c>
      <c r="P71" s="211">
        <f t="array" ref="P71">((SUM(IF((CkDJ[Ofc Code]=(TRIM(P$7)))*(CkDJ[Account Code]=(TRIM($D71))),CkDJ[Debit])))+(SUM(IF((CsDJ[Ofc Code]=(TRIM(P$7)))*(CsDJ[Account Code]=(TRIM($D71))),CsDJ[Debit])))+(SUM(IF((CRDJ[Ofc Code]=(TRIM(P$7)))*(CRDJ[Account Code]=(TRIM($D71))),CRDJ[Debit])))+(SUM(IF((GJ[Ofc Code]=(TRIM(P$7)))*(GJ[Account Code]=(TRIM($D71))),GJ[Debit]))))-((SUM(IF((CkDJ[Ofc Code]=(TRIM(P$7)))*(CkDJ[Account Code]=(TRIM($D71))),CkDJ[Credit])))+(SUM(IF((CsDJ[Ofc Code]=(TRIM(P$7)))*(CsDJ[Account Code]=(TRIM($D71))),CsDJ[Credit])))+(SUM(IF((CRDJ[Ofc Code]=(TRIM(P$7)))*(CRDJ[Account Code]=(TRIM($D71))),CRDJ[Credit])))+(SUM(IF((GJ[Ofc Code]=(TRIM(P$7)))*(GJ[Account Code]=(TRIM($D71))),GJ[Credit]))))</f>
        <v>0</v>
      </c>
      <c r="Q71" s="211">
        <f t="array" ref="Q71">((SUM(IF((CkDJ[Ofc Code]=(TRIM(Q$7)))*(CkDJ[Account Code]=(TRIM($D71))),CkDJ[Debit])))+(SUM(IF((CsDJ[Ofc Code]=(TRIM(Q$7)))*(CsDJ[Account Code]=(TRIM($D71))),CsDJ[Debit])))+(SUM(IF((CRDJ[Ofc Code]=(TRIM(Q$7)))*(CRDJ[Account Code]=(TRIM($D71))),CRDJ[Debit])))+(SUM(IF((GJ[Ofc Code]=(TRIM(Q$7)))*(GJ[Account Code]=(TRIM($D71))),GJ[Debit]))))-((SUM(IF((CkDJ[Ofc Code]=(TRIM(Q$7)))*(CkDJ[Account Code]=(TRIM($D71))),CkDJ[Credit])))+(SUM(IF((CsDJ[Ofc Code]=(TRIM(Q$7)))*(CsDJ[Account Code]=(TRIM($D71))),CsDJ[Credit])))+(SUM(IF((CRDJ[Ofc Code]=(TRIM(Q$7)))*(CRDJ[Account Code]=(TRIM($D71))),CRDJ[Credit])))+(SUM(IF((GJ[Ofc Code]=(TRIM(Q$7)))*(GJ[Account Code]=(TRIM($D71))),GJ[Credit]))))</f>
        <v>0</v>
      </c>
      <c r="R71" s="211">
        <f t="array" ref="R71">((SUM(IF((CkDJ[Ofc Code]=(TRIM(R$7)))*(CkDJ[Account Code]=(TRIM($D71))),CkDJ[Debit])))+(SUM(IF((CsDJ[Ofc Code]=(TRIM(R$7)))*(CsDJ[Account Code]=(TRIM($D71))),CsDJ[Debit])))+(SUM(IF((CRDJ[Ofc Code]=(TRIM(R$7)))*(CRDJ[Account Code]=(TRIM($D71))),CRDJ[Debit])))+(SUM(IF((GJ[Ofc Code]=(TRIM(R$7)))*(GJ[Account Code]=(TRIM($D71))),GJ[Debit]))))-((SUM(IF((CkDJ[Ofc Code]=(TRIM(R$7)))*(CkDJ[Account Code]=(TRIM($D71))),CkDJ[Credit])))+(SUM(IF((CsDJ[Ofc Code]=(TRIM(R$7)))*(CsDJ[Account Code]=(TRIM($D71))),CsDJ[Credit])))+(SUM(IF((CRDJ[Ofc Code]=(TRIM(R$7)))*(CRDJ[Account Code]=(TRIM($D71))),CRDJ[Credit])))+(SUM(IF((GJ[Ofc Code]=(TRIM(R$7)))*(GJ[Account Code]=(TRIM($D71))),GJ[Credit]))))</f>
        <v>0</v>
      </c>
      <c r="S71" s="211">
        <f t="array" ref="S71">((SUM(IF((CkDJ[Ofc Code]=(TRIM(S$7)))*(CkDJ[Account Code]=(TRIM($D71))),CkDJ[Debit])))+(SUM(IF((CsDJ[Ofc Code]=(TRIM(S$7)))*(CsDJ[Account Code]=(TRIM($D71))),CsDJ[Debit])))+(SUM(IF((CRDJ[Ofc Code]=(TRIM(S$7)))*(CRDJ[Account Code]=(TRIM($D71))),CRDJ[Debit])))+(SUM(IF((GJ[Ofc Code]=(TRIM(S$7)))*(GJ[Account Code]=(TRIM($D71))),GJ[Debit]))))-((SUM(IF((CkDJ[Ofc Code]=(TRIM(S$7)))*(CkDJ[Account Code]=(TRIM($D71))),CkDJ[Credit])))+(SUM(IF((CsDJ[Ofc Code]=(TRIM(S$7)))*(CsDJ[Account Code]=(TRIM($D71))),CsDJ[Credit])))+(SUM(IF((CRDJ[Ofc Code]=(TRIM(S$7)))*(CRDJ[Account Code]=(TRIM($D71))),CRDJ[Credit])))+(SUM(IF((GJ[Ofc Code]=(TRIM(S$7)))*(GJ[Account Code]=(TRIM($D71))),GJ[Credit]))))</f>
        <v>0</v>
      </c>
      <c r="T71" s="211">
        <f t="array" ref="T71">((SUM(IF((CkDJ[Ofc Code]=(TRIM(T$7)))*(CkDJ[Account Code]=(TRIM($D71))),CkDJ[Debit])))+(SUM(IF((CsDJ[Ofc Code]=(TRIM(T$7)))*(CsDJ[Account Code]=(TRIM($D71))),CsDJ[Debit])))+(SUM(IF((CRDJ[Ofc Code]=(TRIM(T$7)))*(CRDJ[Account Code]=(TRIM($D71))),CRDJ[Debit])))+(SUM(IF((GJ[Ofc Code]=(TRIM(T$7)))*(GJ[Account Code]=(TRIM($D71))),GJ[Debit]))))-((SUM(IF((CkDJ[Ofc Code]=(TRIM(T$7)))*(CkDJ[Account Code]=(TRIM($D71))),CkDJ[Credit])))+(SUM(IF((CsDJ[Ofc Code]=(TRIM(T$7)))*(CsDJ[Account Code]=(TRIM($D71))),CsDJ[Credit])))+(SUM(IF((CRDJ[Ofc Code]=(TRIM(T$7)))*(CRDJ[Account Code]=(TRIM($D71))),CRDJ[Credit])))+(SUM(IF((GJ[Ofc Code]=(TRIM(T$7)))*(GJ[Account Code]=(TRIM($D71))),GJ[Credit]))))</f>
        <v>0</v>
      </c>
      <c r="U71" s="211">
        <f t="shared" si="17"/>
        <v>0</v>
      </c>
      <c r="V71" s="211">
        <f t="shared" si="18"/>
        <v>0</v>
      </c>
    </row>
    <row r="72" spans="1:22" ht="15" x14ac:dyDescent="0.25">
      <c r="A72" s="212">
        <f t="shared" si="19"/>
        <v>10</v>
      </c>
      <c r="B72" s="214"/>
      <c r="C72" s="194" t="str">
        <f t="shared" si="14"/>
        <v>Water Expenses</v>
      </c>
      <c r="D72" s="207">
        <v>766</v>
      </c>
      <c r="E72" s="211">
        <f t="array" ref="E72">((SUM(IF((CkDJ[Ofc Code]=(TRIM(E$7)))*(CkDJ[Account Code]=(TRIM($D72))),CkDJ[Debit])))+(SUM(IF((CsDJ[Ofc Code]=(TRIM(E$7)))*(CsDJ[Account Code]=(TRIM($D72))),CsDJ[Debit])))+(SUM(IF((CRDJ[Ofc Code]=(TRIM(E$7)))*(CRDJ[Account Code]=(TRIM($D72))),CRDJ[Debit])))+(SUM(IF((GJ[Ofc Code]=(TRIM(E$7)))*(GJ[Account Code]=(TRIM($D72))),GJ[Debit]))))-((SUM(IF((CkDJ[Ofc Code]=(TRIM(E$7)))*(CkDJ[Account Code]=(TRIM($D72))),CkDJ[Credit])))+(SUM(IF((CsDJ[Ofc Code]=(TRIM(E$7)))*(CsDJ[Account Code]=(TRIM($D72))),CsDJ[Credit])))+(SUM(IF((CRDJ[Ofc Code]=(TRIM(E$7)))*(CRDJ[Account Code]=(TRIM($D72))),CRDJ[Credit])))+(SUM(IF((GJ[Ofc Code]=(TRIM(E$7)))*(GJ[Account Code]=(TRIM($D72))),GJ[Credit]))))</f>
        <v>0</v>
      </c>
      <c r="F72" s="211">
        <f t="array" ref="F72">((SUM(IF((CkDJ[Ofc Code]=(TRIM(F$7)))*(CkDJ[Account Code]=(TRIM($D72))),CkDJ[Debit])))+(SUM(IF((CsDJ[Ofc Code]=(TRIM(F$7)))*(CsDJ[Account Code]=(TRIM($D72))),CsDJ[Debit])))+(SUM(IF((CRDJ[Ofc Code]=(TRIM(F$7)))*(CRDJ[Account Code]=(TRIM($D72))),CRDJ[Debit])))+(SUM(IF((GJ[Ofc Code]=(TRIM(F$7)))*(GJ[Account Code]=(TRIM($D72))),GJ[Debit]))))-((SUM(IF((CkDJ[Ofc Code]=(TRIM(F$7)))*(CkDJ[Account Code]=(TRIM($D72))),CkDJ[Credit])))+(SUM(IF((CsDJ[Ofc Code]=(TRIM(F$7)))*(CsDJ[Account Code]=(TRIM($D72))),CsDJ[Credit])))+(SUM(IF((CRDJ[Ofc Code]=(TRIM(F$7)))*(CRDJ[Account Code]=(TRIM($D72))),CRDJ[Credit])))+(SUM(IF((GJ[Ofc Code]=(TRIM(F$7)))*(GJ[Account Code]=(TRIM($D72))),GJ[Credit]))))</f>
        <v>0</v>
      </c>
      <c r="G72" s="211">
        <f t="array" ref="G72">((SUM(IF((CkDJ[Ofc Code]=(TRIM(G$7)))*(CkDJ[Account Code]=(TRIM($D72))),CkDJ[Debit])))+(SUM(IF((CsDJ[Ofc Code]=(TRIM(G$7)))*(CsDJ[Account Code]=(TRIM($D72))),CsDJ[Debit])))+(SUM(IF((CRDJ[Ofc Code]=(TRIM(G$7)))*(CRDJ[Account Code]=(TRIM($D72))),CRDJ[Debit])))+(SUM(IF((GJ[Ofc Code]=(TRIM(G$7)))*(GJ[Account Code]=(TRIM($D72))),GJ[Debit]))))-((SUM(IF((CkDJ[Ofc Code]=(TRIM(G$7)))*(CkDJ[Account Code]=(TRIM($D72))),CkDJ[Credit])))+(SUM(IF((CsDJ[Ofc Code]=(TRIM(G$7)))*(CsDJ[Account Code]=(TRIM($D72))),CsDJ[Credit])))+(SUM(IF((CRDJ[Ofc Code]=(TRIM(G$7)))*(CRDJ[Account Code]=(TRIM($D72))),CRDJ[Credit])))+(SUM(IF((GJ[Ofc Code]=(TRIM(G$7)))*(GJ[Account Code]=(TRIM($D72))),GJ[Credit]))))</f>
        <v>0</v>
      </c>
      <c r="H72" s="211">
        <f t="array" ref="H72">((SUM(IF((CkDJ[Ofc Code]=(TRIM(H$7)))*(CkDJ[Account Code]=(TRIM($D72))),CkDJ[Debit])))+(SUM(IF((CsDJ[Ofc Code]=(TRIM(H$7)))*(CsDJ[Account Code]=(TRIM($D72))),CsDJ[Debit])))+(SUM(IF((CRDJ[Ofc Code]=(TRIM(H$7)))*(CRDJ[Account Code]=(TRIM($D72))),CRDJ[Debit])))+(SUM(IF((GJ[Ofc Code]=(TRIM(H$7)))*(GJ[Account Code]=(TRIM($D72))),GJ[Debit]))))-((SUM(IF((CkDJ[Ofc Code]=(TRIM(H$7)))*(CkDJ[Account Code]=(TRIM($D72))),CkDJ[Credit])))+(SUM(IF((CsDJ[Ofc Code]=(TRIM(H$7)))*(CsDJ[Account Code]=(TRIM($D72))),CsDJ[Credit])))+(SUM(IF((CRDJ[Ofc Code]=(TRIM(H$7)))*(CRDJ[Account Code]=(TRIM($D72))),CRDJ[Credit])))+(SUM(IF((GJ[Ofc Code]=(TRIM(H$7)))*(GJ[Account Code]=(TRIM($D72))),GJ[Credit]))))</f>
        <v>0</v>
      </c>
      <c r="I72" s="211">
        <f t="array" ref="I72">((SUM(IF((CkDJ[Ofc Code]=(TRIM(I$7)))*(CkDJ[Account Code]=(TRIM($D72))),CkDJ[Debit])))+(SUM(IF((CsDJ[Ofc Code]=(TRIM(I$7)))*(CsDJ[Account Code]=(TRIM($D72))),CsDJ[Debit])))+(SUM(IF((CRDJ[Ofc Code]=(TRIM(I$7)))*(CRDJ[Account Code]=(TRIM($D72))),CRDJ[Debit])))+(SUM(IF((GJ[Ofc Code]=(TRIM(I$7)))*(GJ[Account Code]=(TRIM($D72))),GJ[Debit]))))-((SUM(IF((CkDJ[Ofc Code]=(TRIM(I$7)))*(CkDJ[Account Code]=(TRIM($D72))),CkDJ[Credit])))+(SUM(IF((CsDJ[Ofc Code]=(TRIM(I$7)))*(CsDJ[Account Code]=(TRIM($D72))),CsDJ[Credit])))+(SUM(IF((CRDJ[Ofc Code]=(TRIM(I$7)))*(CRDJ[Account Code]=(TRIM($D72))),CRDJ[Credit])))+(SUM(IF((GJ[Ofc Code]=(TRIM(I$7)))*(GJ[Account Code]=(TRIM($D72))),GJ[Credit]))))</f>
        <v>0</v>
      </c>
      <c r="J72" s="211">
        <f t="shared" si="15"/>
        <v>0</v>
      </c>
      <c r="K72" s="211">
        <f t="array" ref="K72">((SUM(IF((CkDJ[Ofc Code]=(TRIM(K$7)))*(CkDJ[Account Code]=(TRIM($D72))),CkDJ[Debit])))+(SUM(IF((CsDJ[Ofc Code]=(TRIM(K$7)))*(CsDJ[Account Code]=(TRIM($D72))),CsDJ[Debit])))+(SUM(IF((CRDJ[Ofc Code]=(TRIM(K$7)))*(CRDJ[Account Code]=(TRIM($D72))),CRDJ[Debit])))+(SUM(IF((GJ[Ofc Code]=(TRIM(K$7)))*(GJ[Account Code]=(TRIM($D72))),GJ[Debit]))))-((SUM(IF((CkDJ[Ofc Code]=(TRIM(K$7)))*(CkDJ[Account Code]=(TRIM($D72))),CkDJ[Credit])))+(SUM(IF((CsDJ[Ofc Code]=(TRIM(K$7)))*(CsDJ[Account Code]=(TRIM($D72))),CsDJ[Credit])))+(SUM(IF((CRDJ[Ofc Code]=(TRIM(K$7)))*(CRDJ[Account Code]=(TRIM($D72))),CRDJ[Credit])))+(SUM(IF((GJ[Ofc Code]=(TRIM(K$7)))*(GJ[Account Code]=(TRIM($D72))),GJ[Credit]))))</f>
        <v>0</v>
      </c>
      <c r="L72" s="211">
        <f t="array" ref="L72">((SUM(IF((CkDJ[Ofc Code]=(TRIM(L$7)))*(CkDJ[Account Code]=(TRIM($D72))),CkDJ[Debit])))+(SUM(IF((CsDJ[Ofc Code]=(TRIM(L$7)))*(CsDJ[Account Code]=(TRIM($D72))),CsDJ[Debit])))+(SUM(IF((CRDJ[Ofc Code]=(TRIM(L$7)))*(CRDJ[Account Code]=(TRIM($D72))),CRDJ[Debit])))+(SUM(IF((GJ[Ofc Code]=(TRIM(L$7)))*(GJ[Account Code]=(TRIM($D72))),GJ[Debit]))))-((SUM(IF((CkDJ[Ofc Code]=(TRIM(L$7)))*(CkDJ[Account Code]=(TRIM($D72))),CkDJ[Credit])))+(SUM(IF((CsDJ[Ofc Code]=(TRIM(L$7)))*(CsDJ[Account Code]=(TRIM($D72))),CsDJ[Credit])))+(SUM(IF((CRDJ[Ofc Code]=(TRIM(L$7)))*(CRDJ[Account Code]=(TRIM($D72))),CRDJ[Credit])))+(SUM(IF((GJ[Ofc Code]=(TRIM(L$7)))*(GJ[Account Code]=(TRIM($D72))),GJ[Credit]))))</f>
        <v>0</v>
      </c>
      <c r="M72" s="211">
        <f t="array" ref="M72">((SUM(IF((CkDJ[Ofc Code]=(TRIM(M$7)))*(CkDJ[Account Code]=(TRIM($D72))),CkDJ[Debit])))+(SUM(IF((CsDJ[Ofc Code]=(TRIM(M$7)))*(CsDJ[Account Code]=(TRIM($D72))),CsDJ[Debit])))+(SUM(IF((CRDJ[Ofc Code]=(TRIM(M$7)))*(CRDJ[Account Code]=(TRIM($D72))),CRDJ[Debit])))+(SUM(IF((GJ[Ofc Code]=(TRIM(M$7)))*(GJ[Account Code]=(TRIM($D72))),GJ[Debit]))))-((SUM(IF((CkDJ[Ofc Code]=(TRIM(M$7)))*(CkDJ[Account Code]=(TRIM($D72))),CkDJ[Credit])))+(SUM(IF((CsDJ[Ofc Code]=(TRIM(M$7)))*(CsDJ[Account Code]=(TRIM($D72))),CsDJ[Credit])))+(SUM(IF((CRDJ[Ofc Code]=(TRIM(M$7)))*(CRDJ[Account Code]=(TRIM($D72))),CRDJ[Credit])))+(SUM(IF((GJ[Ofc Code]=(TRIM(M$7)))*(GJ[Account Code]=(TRIM($D72))),GJ[Credit]))))</f>
        <v>0</v>
      </c>
      <c r="N72" s="211">
        <f t="array" ref="N72">((SUM(IF((CkDJ[Ofc Code]=(TRIM(N$7)))*(CkDJ[Account Code]=(TRIM($D72))),CkDJ[Debit])))+(SUM(IF((CsDJ[Ofc Code]=(TRIM(N$7)))*(CsDJ[Account Code]=(TRIM($D72))),CsDJ[Debit])))+(SUM(IF((CRDJ[Ofc Code]=(TRIM(N$7)))*(CRDJ[Account Code]=(TRIM($D72))),CRDJ[Debit])))+(SUM(IF((GJ[Ofc Code]=(TRIM(N$7)))*(GJ[Account Code]=(TRIM($D72))),GJ[Debit]))))-((SUM(IF((CkDJ[Ofc Code]=(TRIM(N$7)))*(CkDJ[Account Code]=(TRIM($D72))),CkDJ[Credit])))+(SUM(IF((CsDJ[Ofc Code]=(TRIM(N$7)))*(CsDJ[Account Code]=(TRIM($D72))),CsDJ[Credit])))+(SUM(IF((CRDJ[Ofc Code]=(TRIM(N$7)))*(CRDJ[Account Code]=(TRIM($D72))),CRDJ[Credit])))+(SUM(IF((GJ[Ofc Code]=(TRIM(N$7)))*(GJ[Account Code]=(TRIM($D72))),GJ[Credit]))))</f>
        <v>0</v>
      </c>
      <c r="O72" s="211">
        <f t="shared" si="16"/>
        <v>0</v>
      </c>
      <c r="P72" s="211">
        <f t="array" ref="P72">((SUM(IF((CkDJ[Ofc Code]=(TRIM(P$7)))*(CkDJ[Account Code]=(TRIM($D72))),CkDJ[Debit])))+(SUM(IF((CsDJ[Ofc Code]=(TRIM(P$7)))*(CsDJ[Account Code]=(TRIM($D72))),CsDJ[Debit])))+(SUM(IF((CRDJ[Ofc Code]=(TRIM(P$7)))*(CRDJ[Account Code]=(TRIM($D72))),CRDJ[Debit])))+(SUM(IF((GJ[Ofc Code]=(TRIM(P$7)))*(GJ[Account Code]=(TRIM($D72))),GJ[Debit]))))-((SUM(IF((CkDJ[Ofc Code]=(TRIM(P$7)))*(CkDJ[Account Code]=(TRIM($D72))),CkDJ[Credit])))+(SUM(IF((CsDJ[Ofc Code]=(TRIM(P$7)))*(CsDJ[Account Code]=(TRIM($D72))),CsDJ[Credit])))+(SUM(IF((CRDJ[Ofc Code]=(TRIM(P$7)))*(CRDJ[Account Code]=(TRIM($D72))),CRDJ[Credit])))+(SUM(IF((GJ[Ofc Code]=(TRIM(P$7)))*(GJ[Account Code]=(TRIM($D72))),GJ[Credit]))))</f>
        <v>0</v>
      </c>
      <c r="Q72" s="211">
        <f t="array" ref="Q72">((SUM(IF((CkDJ[Ofc Code]=(TRIM(Q$7)))*(CkDJ[Account Code]=(TRIM($D72))),CkDJ[Debit])))+(SUM(IF((CsDJ[Ofc Code]=(TRIM(Q$7)))*(CsDJ[Account Code]=(TRIM($D72))),CsDJ[Debit])))+(SUM(IF((CRDJ[Ofc Code]=(TRIM(Q$7)))*(CRDJ[Account Code]=(TRIM($D72))),CRDJ[Debit])))+(SUM(IF((GJ[Ofc Code]=(TRIM(Q$7)))*(GJ[Account Code]=(TRIM($D72))),GJ[Debit]))))-((SUM(IF((CkDJ[Ofc Code]=(TRIM(Q$7)))*(CkDJ[Account Code]=(TRIM($D72))),CkDJ[Credit])))+(SUM(IF((CsDJ[Ofc Code]=(TRIM(Q$7)))*(CsDJ[Account Code]=(TRIM($D72))),CsDJ[Credit])))+(SUM(IF((CRDJ[Ofc Code]=(TRIM(Q$7)))*(CRDJ[Account Code]=(TRIM($D72))),CRDJ[Credit])))+(SUM(IF((GJ[Ofc Code]=(TRIM(Q$7)))*(GJ[Account Code]=(TRIM($D72))),GJ[Credit]))))</f>
        <v>0</v>
      </c>
      <c r="R72" s="211">
        <f t="array" ref="R72">((SUM(IF((CkDJ[Ofc Code]=(TRIM(R$7)))*(CkDJ[Account Code]=(TRIM($D72))),CkDJ[Debit])))+(SUM(IF((CsDJ[Ofc Code]=(TRIM(R$7)))*(CsDJ[Account Code]=(TRIM($D72))),CsDJ[Debit])))+(SUM(IF((CRDJ[Ofc Code]=(TRIM(R$7)))*(CRDJ[Account Code]=(TRIM($D72))),CRDJ[Debit])))+(SUM(IF((GJ[Ofc Code]=(TRIM(R$7)))*(GJ[Account Code]=(TRIM($D72))),GJ[Debit]))))-((SUM(IF((CkDJ[Ofc Code]=(TRIM(R$7)))*(CkDJ[Account Code]=(TRIM($D72))),CkDJ[Credit])))+(SUM(IF((CsDJ[Ofc Code]=(TRIM(R$7)))*(CsDJ[Account Code]=(TRIM($D72))),CsDJ[Credit])))+(SUM(IF((CRDJ[Ofc Code]=(TRIM(R$7)))*(CRDJ[Account Code]=(TRIM($D72))),CRDJ[Credit])))+(SUM(IF((GJ[Ofc Code]=(TRIM(R$7)))*(GJ[Account Code]=(TRIM($D72))),GJ[Credit]))))</f>
        <v>0</v>
      </c>
      <c r="S72" s="211">
        <f t="array" ref="S72">((SUM(IF((CkDJ[Ofc Code]=(TRIM(S$7)))*(CkDJ[Account Code]=(TRIM($D72))),CkDJ[Debit])))+(SUM(IF((CsDJ[Ofc Code]=(TRIM(S$7)))*(CsDJ[Account Code]=(TRIM($D72))),CsDJ[Debit])))+(SUM(IF((CRDJ[Ofc Code]=(TRIM(S$7)))*(CRDJ[Account Code]=(TRIM($D72))),CRDJ[Debit])))+(SUM(IF((GJ[Ofc Code]=(TRIM(S$7)))*(GJ[Account Code]=(TRIM($D72))),GJ[Debit]))))-((SUM(IF((CkDJ[Ofc Code]=(TRIM(S$7)))*(CkDJ[Account Code]=(TRIM($D72))),CkDJ[Credit])))+(SUM(IF((CsDJ[Ofc Code]=(TRIM(S$7)))*(CsDJ[Account Code]=(TRIM($D72))),CsDJ[Credit])))+(SUM(IF((CRDJ[Ofc Code]=(TRIM(S$7)))*(CRDJ[Account Code]=(TRIM($D72))),CRDJ[Credit])))+(SUM(IF((GJ[Ofc Code]=(TRIM(S$7)))*(GJ[Account Code]=(TRIM($D72))),GJ[Credit]))))</f>
        <v>0</v>
      </c>
      <c r="T72" s="211">
        <f t="array" ref="T72">((SUM(IF((CkDJ[Ofc Code]=(TRIM(T$7)))*(CkDJ[Account Code]=(TRIM($D72))),CkDJ[Debit])))+(SUM(IF((CsDJ[Ofc Code]=(TRIM(T$7)))*(CsDJ[Account Code]=(TRIM($D72))),CsDJ[Debit])))+(SUM(IF((CRDJ[Ofc Code]=(TRIM(T$7)))*(CRDJ[Account Code]=(TRIM($D72))),CRDJ[Debit])))+(SUM(IF((GJ[Ofc Code]=(TRIM(T$7)))*(GJ[Account Code]=(TRIM($D72))),GJ[Debit]))))-((SUM(IF((CkDJ[Ofc Code]=(TRIM(T$7)))*(CkDJ[Account Code]=(TRIM($D72))),CkDJ[Credit])))+(SUM(IF((CsDJ[Ofc Code]=(TRIM(T$7)))*(CsDJ[Account Code]=(TRIM($D72))),CsDJ[Credit])))+(SUM(IF((CRDJ[Ofc Code]=(TRIM(T$7)))*(CRDJ[Account Code]=(TRIM($D72))),CRDJ[Credit])))+(SUM(IF((GJ[Ofc Code]=(TRIM(T$7)))*(GJ[Account Code]=(TRIM($D72))),GJ[Credit]))))</f>
        <v>0</v>
      </c>
      <c r="U72" s="211">
        <f t="shared" si="17"/>
        <v>0</v>
      </c>
      <c r="V72" s="211">
        <f t="shared" si="18"/>
        <v>0</v>
      </c>
    </row>
    <row r="73" spans="1:22" ht="15" x14ac:dyDescent="0.25">
      <c r="A73" s="212">
        <f t="shared" si="19"/>
        <v>11</v>
      </c>
      <c r="B73" s="214"/>
      <c r="C73" s="194" t="str">
        <f t="shared" si="14"/>
        <v>Electricity Expenses</v>
      </c>
      <c r="D73" s="207">
        <v>767</v>
      </c>
      <c r="E73" s="211">
        <f t="array" ref="E73">((SUM(IF((CkDJ[Ofc Code]=(TRIM(E$7)))*(CkDJ[Account Code]=(TRIM($D73))),CkDJ[Debit])))+(SUM(IF((CsDJ[Ofc Code]=(TRIM(E$7)))*(CsDJ[Account Code]=(TRIM($D73))),CsDJ[Debit])))+(SUM(IF((CRDJ[Ofc Code]=(TRIM(E$7)))*(CRDJ[Account Code]=(TRIM($D73))),CRDJ[Debit])))+(SUM(IF((GJ[Ofc Code]=(TRIM(E$7)))*(GJ[Account Code]=(TRIM($D73))),GJ[Debit]))))-((SUM(IF((CkDJ[Ofc Code]=(TRIM(E$7)))*(CkDJ[Account Code]=(TRIM($D73))),CkDJ[Credit])))+(SUM(IF((CsDJ[Ofc Code]=(TRIM(E$7)))*(CsDJ[Account Code]=(TRIM($D73))),CsDJ[Credit])))+(SUM(IF((CRDJ[Ofc Code]=(TRIM(E$7)))*(CRDJ[Account Code]=(TRIM($D73))),CRDJ[Credit])))+(SUM(IF((GJ[Ofc Code]=(TRIM(E$7)))*(GJ[Account Code]=(TRIM($D73))),GJ[Credit]))))</f>
        <v>0</v>
      </c>
      <c r="F73" s="211">
        <f t="array" ref="F73">((SUM(IF((CkDJ[Ofc Code]=(TRIM(F$7)))*(CkDJ[Account Code]=(TRIM($D73))),CkDJ[Debit])))+(SUM(IF((CsDJ[Ofc Code]=(TRIM(F$7)))*(CsDJ[Account Code]=(TRIM($D73))),CsDJ[Debit])))+(SUM(IF((CRDJ[Ofc Code]=(TRIM(F$7)))*(CRDJ[Account Code]=(TRIM($D73))),CRDJ[Debit])))+(SUM(IF((GJ[Ofc Code]=(TRIM(F$7)))*(GJ[Account Code]=(TRIM($D73))),GJ[Debit]))))-((SUM(IF((CkDJ[Ofc Code]=(TRIM(F$7)))*(CkDJ[Account Code]=(TRIM($D73))),CkDJ[Credit])))+(SUM(IF((CsDJ[Ofc Code]=(TRIM(F$7)))*(CsDJ[Account Code]=(TRIM($D73))),CsDJ[Credit])))+(SUM(IF((CRDJ[Ofc Code]=(TRIM(F$7)))*(CRDJ[Account Code]=(TRIM($D73))),CRDJ[Credit])))+(SUM(IF((GJ[Ofc Code]=(TRIM(F$7)))*(GJ[Account Code]=(TRIM($D73))),GJ[Credit]))))</f>
        <v>0</v>
      </c>
      <c r="G73" s="211">
        <f t="array" ref="G73">((SUM(IF((CkDJ[Ofc Code]=(TRIM(G$7)))*(CkDJ[Account Code]=(TRIM($D73))),CkDJ[Debit])))+(SUM(IF((CsDJ[Ofc Code]=(TRIM(G$7)))*(CsDJ[Account Code]=(TRIM($D73))),CsDJ[Debit])))+(SUM(IF((CRDJ[Ofc Code]=(TRIM(G$7)))*(CRDJ[Account Code]=(TRIM($D73))),CRDJ[Debit])))+(SUM(IF((GJ[Ofc Code]=(TRIM(G$7)))*(GJ[Account Code]=(TRIM($D73))),GJ[Debit]))))-((SUM(IF((CkDJ[Ofc Code]=(TRIM(G$7)))*(CkDJ[Account Code]=(TRIM($D73))),CkDJ[Credit])))+(SUM(IF((CsDJ[Ofc Code]=(TRIM(G$7)))*(CsDJ[Account Code]=(TRIM($D73))),CsDJ[Credit])))+(SUM(IF((CRDJ[Ofc Code]=(TRIM(G$7)))*(CRDJ[Account Code]=(TRIM($D73))),CRDJ[Credit])))+(SUM(IF((GJ[Ofc Code]=(TRIM(G$7)))*(GJ[Account Code]=(TRIM($D73))),GJ[Credit]))))</f>
        <v>0</v>
      </c>
      <c r="H73" s="211">
        <f t="array" ref="H73">((SUM(IF((CkDJ[Ofc Code]=(TRIM(H$7)))*(CkDJ[Account Code]=(TRIM($D73))),CkDJ[Debit])))+(SUM(IF((CsDJ[Ofc Code]=(TRIM(H$7)))*(CsDJ[Account Code]=(TRIM($D73))),CsDJ[Debit])))+(SUM(IF((CRDJ[Ofc Code]=(TRIM(H$7)))*(CRDJ[Account Code]=(TRIM($D73))),CRDJ[Debit])))+(SUM(IF((GJ[Ofc Code]=(TRIM(H$7)))*(GJ[Account Code]=(TRIM($D73))),GJ[Debit]))))-((SUM(IF((CkDJ[Ofc Code]=(TRIM(H$7)))*(CkDJ[Account Code]=(TRIM($D73))),CkDJ[Credit])))+(SUM(IF((CsDJ[Ofc Code]=(TRIM(H$7)))*(CsDJ[Account Code]=(TRIM($D73))),CsDJ[Credit])))+(SUM(IF((CRDJ[Ofc Code]=(TRIM(H$7)))*(CRDJ[Account Code]=(TRIM($D73))),CRDJ[Credit])))+(SUM(IF((GJ[Ofc Code]=(TRIM(H$7)))*(GJ[Account Code]=(TRIM($D73))),GJ[Credit]))))</f>
        <v>0</v>
      </c>
      <c r="I73" s="211">
        <f t="array" ref="I73">((SUM(IF((CkDJ[Ofc Code]=(TRIM(I$7)))*(CkDJ[Account Code]=(TRIM($D73))),CkDJ[Debit])))+(SUM(IF((CsDJ[Ofc Code]=(TRIM(I$7)))*(CsDJ[Account Code]=(TRIM($D73))),CsDJ[Debit])))+(SUM(IF((CRDJ[Ofc Code]=(TRIM(I$7)))*(CRDJ[Account Code]=(TRIM($D73))),CRDJ[Debit])))+(SUM(IF((GJ[Ofc Code]=(TRIM(I$7)))*(GJ[Account Code]=(TRIM($D73))),GJ[Debit]))))-((SUM(IF((CkDJ[Ofc Code]=(TRIM(I$7)))*(CkDJ[Account Code]=(TRIM($D73))),CkDJ[Credit])))+(SUM(IF((CsDJ[Ofc Code]=(TRIM(I$7)))*(CsDJ[Account Code]=(TRIM($D73))),CsDJ[Credit])))+(SUM(IF((CRDJ[Ofc Code]=(TRIM(I$7)))*(CRDJ[Account Code]=(TRIM($D73))),CRDJ[Credit])))+(SUM(IF((GJ[Ofc Code]=(TRIM(I$7)))*(GJ[Account Code]=(TRIM($D73))),GJ[Credit]))))</f>
        <v>0</v>
      </c>
      <c r="J73" s="211">
        <f t="shared" si="15"/>
        <v>0</v>
      </c>
      <c r="K73" s="211">
        <f t="array" ref="K73">((SUM(IF((CkDJ[Ofc Code]=(TRIM(K$7)))*(CkDJ[Account Code]=(TRIM($D73))),CkDJ[Debit])))+(SUM(IF((CsDJ[Ofc Code]=(TRIM(K$7)))*(CsDJ[Account Code]=(TRIM($D73))),CsDJ[Debit])))+(SUM(IF((CRDJ[Ofc Code]=(TRIM(K$7)))*(CRDJ[Account Code]=(TRIM($D73))),CRDJ[Debit])))+(SUM(IF((GJ[Ofc Code]=(TRIM(K$7)))*(GJ[Account Code]=(TRIM($D73))),GJ[Debit]))))-((SUM(IF((CkDJ[Ofc Code]=(TRIM(K$7)))*(CkDJ[Account Code]=(TRIM($D73))),CkDJ[Credit])))+(SUM(IF((CsDJ[Ofc Code]=(TRIM(K$7)))*(CsDJ[Account Code]=(TRIM($D73))),CsDJ[Credit])))+(SUM(IF((CRDJ[Ofc Code]=(TRIM(K$7)))*(CRDJ[Account Code]=(TRIM($D73))),CRDJ[Credit])))+(SUM(IF((GJ[Ofc Code]=(TRIM(K$7)))*(GJ[Account Code]=(TRIM($D73))),GJ[Credit]))))</f>
        <v>0</v>
      </c>
      <c r="L73" s="211">
        <f t="array" ref="L73">((SUM(IF((CkDJ[Ofc Code]=(TRIM(L$7)))*(CkDJ[Account Code]=(TRIM($D73))),CkDJ[Debit])))+(SUM(IF((CsDJ[Ofc Code]=(TRIM(L$7)))*(CsDJ[Account Code]=(TRIM($D73))),CsDJ[Debit])))+(SUM(IF((CRDJ[Ofc Code]=(TRIM(L$7)))*(CRDJ[Account Code]=(TRIM($D73))),CRDJ[Debit])))+(SUM(IF((GJ[Ofc Code]=(TRIM(L$7)))*(GJ[Account Code]=(TRIM($D73))),GJ[Debit]))))-((SUM(IF((CkDJ[Ofc Code]=(TRIM(L$7)))*(CkDJ[Account Code]=(TRIM($D73))),CkDJ[Credit])))+(SUM(IF((CsDJ[Ofc Code]=(TRIM(L$7)))*(CsDJ[Account Code]=(TRIM($D73))),CsDJ[Credit])))+(SUM(IF((CRDJ[Ofc Code]=(TRIM(L$7)))*(CRDJ[Account Code]=(TRIM($D73))),CRDJ[Credit])))+(SUM(IF((GJ[Ofc Code]=(TRIM(L$7)))*(GJ[Account Code]=(TRIM($D73))),GJ[Credit]))))</f>
        <v>0</v>
      </c>
      <c r="M73" s="211">
        <f t="array" ref="M73">((SUM(IF((CkDJ[Ofc Code]=(TRIM(M$7)))*(CkDJ[Account Code]=(TRIM($D73))),CkDJ[Debit])))+(SUM(IF((CsDJ[Ofc Code]=(TRIM(M$7)))*(CsDJ[Account Code]=(TRIM($D73))),CsDJ[Debit])))+(SUM(IF((CRDJ[Ofc Code]=(TRIM(M$7)))*(CRDJ[Account Code]=(TRIM($D73))),CRDJ[Debit])))+(SUM(IF((GJ[Ofc Code]=(TRIM(M$7)))*(GJ[Account Code]=(TRIM($D73))),GJ[Debit]))))-((SUM(IF((CkDJ[Ofc Code]=(TRIM(M$7)))*(CkDJ[Account Code]=(TRIM($D73))),CkDJ[Credit])))+(SUM(IF((CsDJ[Ofc Code]=(TRIM(M$7)))*(CsDJ[Account Code]=(TRIM($D73))),CsDJ[Credit])))+(SUM(IF((CRDJ[Ofc Code]=(TRIM(M$7)))*(CRDJ[Account Code]=(TRIM($D73))),CRDJ[Credit])))+(SUM(IF((GJ[Ofc Code]=(TRIM(M$7)))*(GJ[Account Code]=(TRIM($D73))),GJ[Credit]))))</f>
        <v>0</v>
      </c>
      <c r="N73" s="211">
        <f t="array" ref="N73">((SUM(IF((CkDJ[Ofc Code]=(TRIM(N$7)))*(CkDJ[Account Code]=(TRIM($D73))),CkDJ[Debit])))+(SUM(IF((CsDJ[Ofc Code]=(TRIM(N$7)))*(CsDJ[Account Code]=(TRIM($D73))),CsDJ[Debit])))+(SUM(IF((CRDJ[Ofc Code]=(TRIM(N$7)))*(CRDJ[Account Code]=(TRIM($D73))),CRDJ[Debit])))+(SUM(IF((GJ[Ofc Code]=(TRIM(N$7)))*(GJ[Account Code]=(TRIM($D73))),GJ[Debit]))))-((SUM(IF((CkDJ[Ofc Code]=(TRIM(N$7)))*(CkDJ[Account Code]=(TRIM($D73))),CkDJ[Credit])))+(SUM(IF((CsDJ[Ofc Code]=(TRIM(N$7)))*(CsDJ[Account Code]=(TRIM($D73))),CsDJ[Credit])))+(SUM(IF((CRDJ[Ofc Code]=(TRIM(N$7)))*(CRDJ[Account Code]=(TRIM($D73))),CRDJ[Credit])))+(SUM(IF((GJ[Ofc Code]=(TRIM(N$7)))*(GJ[Account Code]=(TRIM($D73))),GJ[Credit]))))</f>
        <v>0</v>
      </c>
      <c r="O73" s="211">
        <f t="shared" si="16"/>
        <v>0</v>
      </c>
      <c r="P73" s="211">
        <f t="array" ref="P73">((SUM(IF((CkDJ[Ofc Code]=(TRIM(P$7)))*(CkDJ[Account Code]=(TRIM($D73))),CkDJ[Debit])))+(SUM(IF((CsDJ[Ofc Code]=(TRIM(P$7)))*(CsDJ[Account Code]=(TRIM($D73))),CsDJ[Debit])))+(SUM(IF((CRDJ[Ofc Code]=(TRIM(P$7)))*(CRDJ[Account Code]=(TRIM($D73))),CRDJ[Debit])))+(SUM(IF((GJ[Ofc Code]=(TRIM(P$7)))*(GJ[Account Code]=(TRIM($D73))),GJ[Debit]))))-((SUM(IF((CkDJ[Ofc Code]=(TRIM(P$7)))*(CkDJ[Account Code]=(TRIM($D73))),CkDJ[Credit])))+(SUM(IF((CsDJ[Ofc Code]=(TRIM(P$7)))*(CsDJ[Account Code]=(TRIM($D73))),CsDJ[Credit])))+(SUM(IF((CRDJ[Ofc Code]=(TRIM(P$7)))*(CRDJ[Account Code]=(TRIM($D73))),CRDJ[Credit])))+(SUM(IF((GJ[Ofc Code]=(TRIM(P$7)))*(GJ[Account Code]=(TRIM($D73))),GJ[Credit]))))</f>
        <v>0</v>
      </c>
      <c r="Q73" s="211">
        <f t="array" ref="Q73">((SUM(IF((CkDJ[Ofc Code]=(TRIM(Q$7)))*(CkDJ[Account Code]=(TRIM($D73))),CkDJ[Debit])))+(SUM(IF((CsDJ[Ofc Code]=(TRIM(Q$7)))*(CsDJ[Account Code]=(TRIM($D73))),CsDJ[Debit])))+(SUM(IF((CRDJ[Ofc Code]=(TRIM(Q$7)))*(CRDJ[Account Code]=(TRIM($D73))),CRDJ[Debit])))+(SUM(IF((GJ[Ofc Code]=(TRIM(Q$7)))*(GJ[Account Code]=(TRIM($D73))),GJ[Debit]))))-((SUM(IF((CkDJ[Ofc Code]=(TRIM(Q$7)))*(CkDJ[Account Code]=(TRIM($D73))),CkDJ[Credit])))+(SUM(IF((CsDJ[Ofc Code]=(TRIM(Q$7)))*(CsDJ[Account Code]=(TRIM($D73))),CsDJ[Credit])))+(SUM(IF((CRDJ[Ofc Code]=(TRIM(Q$7)))*(CRDJ[Account Code]=(TRIM($D73))),CRDJ[Credit])))+(SUM(IF((GJ[Ofc Code]=(TRIM(Q$7)))*(GJ[Account Code]=(TRIM($D73))),GJ[Credit]))))</f>
        <v>0</v>
      </c>
      <c r="R73" s="211">
        <f t="array" ref="R73">((SUM(IF((CkDJ[Ofc Code]=(TRIM(R$7)))*(CkDJ[Account Code]=(TRIM($D73))),CkDJ[Debit])))+(SUM(IF((CsDJ[Ofc Code]=(TRIM(R$7)))*(CsDJ[Account Code]=(TRIM($D73))),CsDJ[Debit])))+(SUM(IF((CRDJ[Ofc Code]=(TRIM(R$7)))*(CRDJ[Account Code]=(TRIM($D73))),CRDJ[Debit])))+(SUM(IF((GJ[Ofc Code]=(TRIM(R$7)))*(GJ[Account Code]=(TRIM($D73))),GJ[Debit]))))-((SUM(IF((CkDJ[Ofc Code]=(TRIM(R$7)))*(CkDJ[Account Code]=(TRIM($D73))),CkDJ[Credit])))+(SUM(IF((CsDJ[Ofc Code]=(TRIM(R$7)))*(CsDJ[Account Code]=(TRIM($D73))),CsDJ[Credit])))+(SUM(IF((CRDJ[Ofc Code]=(TRIM(R$7)))*(CRDJ[Account Code]=(TRIM($D73))),CRDJ[Credit])))+(SUM(IF((GJ[Ofc Code]=(TRIM(R$7)))*(GJ[Account Code]=(TRIM($D73))),GJ[Credit]))))</f>
        <v>0</v>
      </c>
      <c r="S73" s="211">
        <f t="array" ref="S73">((SUM(IF((CkDJ[Ofc Code]=(TRIM(S$7)))*(CkDJ[Account Code]=(TRIM($D73))),CkDJ[Debit])))+(SUM(IF((CsDJ[Ofc Code]=(TRIM(S$7)))*(CsDJ[Account Code]=(TRIM($D73))),CsDJ[Debit])))+(SUM(IF((CRDJ[Ofc Code]=(TRIM(S$7)))*(CRDJ[Account Code]=(TRIM($D73))),CRDJ[Debit])))+(SUM(IF((GJ[Ofc Code]=(TRIM(S$7)))*(GJ[Account Code]=(TRIM($D73))),GJ[Debit]))))-((SUM(IF((CkDJ[Ofc Code]=(TRIM(S$7)))*(CkDJ[Account Code]=(TRIM($D73))),CkDJ[Credit])))+(SUM(IF((CsDJ[Ofc Code]=(TRIM(S$7)))*(CsDJ[Account Code]=(TRIM($D73))),CsDJ[Credit])))+(SUM(IF((CRDJ[Ofc Code]=(TRIM(S$7)))*(CRDJ[Account Code]=(TRIM($D73))),CRDJ[Credit])))+(SUM(IF((GJ[Ofc Code]=(TRIM(S$7)))*(GJ[Account Code]=(TRIM($D73))),GJ[Credit]))))</f>
        <v>0</v>
      </c>
      <c r="T73" s="211">
        <f t="array" ref="T73">((SUM(IF((CkDJ[Ofc Code]=(TRIM(T$7)))*(CkDJ[Account Code]=(TRIM($D73))),CkDJ[Debit])))+(SUM(IF((CsDJ[Ofc Code]=(TRIM(T$7)))*(CsDJ[Account Code]=(TRIM($D73))),CsDJ[Debit])))+(SUM(IF((CRDJ[Ofc Code]=(TRIM(T$7)))*(CRDJ[Account Code]=(TRIM($D73))),CRDJ[Debit])))+(SUM(IF((GJ[Ofc Code]=(TRIM(T$7)))*(GJ[Account Code]=(TRIM($D73))),GJ[Debit]))))-((SUM(IF((CkDJ[Ofc Code]=(TRIM(T$7)))*(CkDJ[Account Code]=(TRIM($D73))),CkDJ[Credit])))+(SUM(IF((CsDJ[Ofc Code]=(TRIM(T$7)))*(CsDJ[Account Code]=(TRIM($D73))),CsDJ[Credit])))+(SUM(IF((CRDJ[Ofc Code]=(TRIM(T$7)))*(CRDJ[Account Code]=(TRIM($D73))),CRDJ[Credit])))+(SUM(IF((GJ[Ofc Code]=(TRIM(T$7)))*(GJ[Account Code]=(TRIM($D73))),GJ[Credit]))))</f>
        <v>0</v>
      </c>
      <c r="U73" s="211">
        <f t="shared" si="17"/>
        <v>0</v>
      </c>
      <c r="V73" s="211">
        <f t="shared" si="18"/>
        <v>0</v>
      </c>
    </row>
    <row r="74" spans="1:22" ht="15" x14ac:dyDescent="0.25">
      <c r="A74" s="212">
        <f t="shared" si="19"/>
        <v>12</v>
      </c>
      <c r="B74" s="214"/>
      <c r="C74" s="194" t="str">
        <f t="shared" si="14"/>
        <v>Postage and Courier Expenses</v>
      </c>
      <c r="D74" s="207" t="s">
        <v>234</v>
      </c>
      <c r="E74" s="211">
        <f t="array" ref="E74">((SUM(IF((CkDJ[Ofc Code]=(TRIM(E$7)))*(CkDJ[Account Code]=(TRIM($D74))),CkDJ[Debit])))+(SUM(IF((CsDJ[Ofc Code]=(TRIM(E$7)))*(CsDJ[Account Code]=(TRIM($D74))),CsDJ[Debit])))+(SUM(IF((CRDJ[Ofc Code]=(TRIM(E$7)))*(CRDJ[Account Code]=(TRIM($D74))),CRDJ[Debit])))+(SUM(IF((GJ[Ofc Code]=(TRIM(E$7)))*(GJ[Account Code]=(TRIM($D74))),GJ[Debit]))))-((SUM(IF((CkDJ[Ofc Code]=(TRIM(E$7)))*(CkDJ[Account Code]=(TRIM($D74))),CkDJ[Credit])))+(SUM(IF((CsDJ[Ofc Code]=(TRIM(E$7)))*(CsDJ[Account Code]=(TRIM($D74))),CsDJ[Credit])))+(SUM(IF((CRDJ[Ofc Code]=(TRIM(E$7)))*(CRDJ[Account Code]=(TRIM($D74))),CRDJ[Credit])))+(SUM(IF((GJ[Ofc Code]=(TRIM(E$7)))*(GJ[Account Code]=(TRIM($D74))),GJ[Credit]))))</f>
        <v>0</v>
      </c>
      <c r="F74" s="211">
        <f t="array" ref="F74">((SUM(IF((CkDJ[Ofc Code]=(TRIM(F$7)))*(CkDJ[Account Code]=(TRIM($D74))),CkDJ[Debit])))+(SUM(IF((CsDJ[Ofc Code]=(TRIM(F$7)))*(CsDJ[Account Code]=(TRIM($D74))),CsDJ[Debit])))+(SUM(IF((CRDJ[Ofc Code]=(TRIM(F$7)))*(CRDJ[Account Code]=(TRIM($D74))),CRDJ[Debit])))+(SUM(IF((GJ[Ofc Code]=(TRIM(F$7)))*(GJ[Account Code]=(TRIM($D74))),GJ[Debit]))))-((SUM(IF((CkDJ[Ofc Code]=(TRIM(F$7)))*(CkDJ[Account Code]=(TRIM($D74))),CkDJ[Credit])))+(SUM(IF((CsDJ[Ofc Code]=(TRIM(F$7)))*(CsDJ[Account Code]=(TRIM($D74))),CsDJ[Credit])))+(SUM(IF((CRDJ[Ofc Code]=(TRIM(F$7)))*(CRDJ[Account Code]=(TRIM($D74))),CRDJ[Credit])))+(SUM(IF((GJ[Ofc Code]=(TRIM(F$7)))*(GJ[Account Code]=(TRIM($D74))),GJ[Credit]))))</f>
        <v>0</v>
      </c>
      <c r="G74" s="211">
        <f t="array" ref="G74">((SUM(IF((CkDJ[Ofc Code]=(TRIM(G$7)))*(CkDJ[Account Code]=(TRIM($D74))),CkDJ[Debit])))+(SUM(IF((CsDJ[Ofc Code]=(TRIM(G$7)))*(CsDJ[Account Code]=(TRIM($D74))),CsDJ[Debit])))+(SUM(IF((CRDJ[Ofc Code]=(TRIM(G$7)))*(CRDJ[Account Code]=(TRIM($D74))),CRDJ[Debit])))+(SUM(IF((GJ[Ofc Code]=(TRIM(G$7)))*(GJ[Account Code]=(TRIM($D74))),GJ[Debit]))))-((SUM(IF((CkDJ[Ofc Code]=(TRIM(G$7)))*(CkDJ[Account Code]=(TRIM($D74))),CkDJ[Credit])))+(SUM(IF((CsDJ[Ofc Code]=(TRIM(G$7)))*(CsDJ[Account Code]=(TRIM($D74))),CsDJ[Credit])))+(SUM(IF((CRDJ[Ofc Code]=(TRIM(G$7)))*(CRDJ[Account Code]=(TRIM($D74))),CRDJ[Credit])))+(SUM(IF((GJ[Ofc Code]=(TRIM(G$7)))*(GJ[Account Code]=(TRIM($D74))),GJ[Credit]))))</f>
        <v>0</v>
      </c>
      <c r="H74" s="211">
        <f t="array" ref="H74">((SUM(IF((CkDJ[Ofc Code]=(TRIM(H$7)))*(CkDJ[Account Code]=(TRIM($D74))),CkDJ[Debit])))+(SUM(IF((CsDJ[Ofc Code]=(TRIM(H$7)))*(CsDJ[Account Code]=(TRIM($D74))),CsDJ[Debit])))+(SUM(IF((CRDJ[Ofc Code]=(TRIM(H$7)))*(CRDJ[Account Code]=(TRIM($D74))),CRDJ[Debit])))+(SUM(IF((GJ[Ofc Code]=(TRIM(H$7)))*(GJ[Account Code]=(TRIM($D74))),GJ[Debit]))))-((SUM(IF((CkDJ[Ofc Code]=(TRIM(H$7)))*(CkDJ[Account Code]=(TRIM($D74))),CkDJ[Credit])))+(SUM(IF((CsDJ[Ofc Code]=(TRIM(H$7)))*(CsDJ[Account Code]=(TRIM($D74))),CsDJ[Credit])))+(SUM(IF((CRDJ[Ofc Code]=(TRIM(H$7)))*(CRDJ[Account Code]=(TRIM($D74))),CRDJ[Credit])))+(SUM(IF((GJ[Ofc Code]=(TRIM(H$7)))*(GJ[Account Code]=(TRIM($D74))),GJ[Credit]))))</f>
        <v>0</v>
      </c>
      <c r="I74" s="211">
        <f t="array" ref="I74">((SUM(IF((CkDJ[Ofc Code]=(TRIM(I$7)))*(CkDJ[Account Code]=(TRIM($D74))),CkDJ[Debit])))+(SUM(IF((CsDJ[Ofc Code]=(TRIM(I$7)))*(CsDJ[Account Code]=(TRIM($D74))),CsDJ[Debit])))+(SUM(IF((CRDJ[Ofc Code]=(TRIM(I$7)))*(CRDJ[Account Code]=(TRIM($D74))),CRDJ[Debit])))+(SUM(IF((GJ[Ofc Code]=(TRIM(I$7)))*(GJ[Account Code]=(TRIM($D74))),GJ[Debit]))))-((SUM(IF((CkDJ[Ofc Code]=(TRIM(I$7)))*(CkDJ[Account Code]=(TRIM($D74))),CkDJ[Credit])))+(SUM(IF((CsDJ[Ofc Code]=(TRIM(I$7)))*(CsDJ[Account Code]=(TRIM($D74))),CsDJ[Credit])))+(SUM(IF((CRDJ[Ofc Code]=(TRIM(I$7)))*(CRDJ[Account Code]=(TRIM($D74))),CRDJ[Credit])))+(SUM(IF((GJ[Ofc Code]=(TRIM(I$7)))*(GJ[Account Code]=(TRIM($D74))),GJ[Credit]))))</f>
        <v>0</v>
      </c>
      <c r="J74" s="211">
        <f>SUM(F74:I74)</f>
        <v>0</v>
      </c>
      <c r="K74" s="211">
        <f t="array" ref="K74">((SUM(IF((CkDJ[Ofc Code]=(TRIM(K$7)))*(CkDJ[Account Code]=(TRIM($D74))),CkDJ[Debit])))+(SUM(IF((CsDJ[Ofc Code]=(TRIM(K$7)))*(CsDJ[Account Code]=(TRIM($D74))),CsDJ[Debit])))+(SUM(IF((CRDJ[Ofc Code]=(TRIM(K$7)))*(CRDJ[Account Code]=(TRIM($D74))),CRDJ[Debit])))+(SUM(IF((GJ[Ofc Code]=(TRIM(K$7)))*(GJ[Account Code]=(TRIM($D74))),GJ[Debit]))))-((SUM(IF((CkDJ[Ofc Code]=(TRIM(K$7)))*(CkDJ[Account Code]=(TRIM($D74))),CkDJ[Credit])))+(SUM(IF((CsDJ[Ofc Code]=(TRIM(K$7)))*(CsDJ[Account Code]=(TRIM($D74))),CsDJ[Credit])))+(SUM(IF((CRDJ[Ofc Code]=(TRIM(K$7)))*(CRDJ[Account Code]=(TRIM($D74))),CRDJ[Credit])))+(SUM(IF((GJ[Ofc Code]=(TRIM(K$7)))*(GJ[Account Code]=(TRIM($D74))),GJ[Credit]))))</f>
        <v>0</v>
      </c>
      <c r="L74" s="211">
        <f t="array" ref="L74">((SUM(IF((CkDJ[Ofc Code]=(TRIM(L$7)))*(CkDJ[Account Code]=(TRIM($D74))),CkDJ[Debit])))+(SUM(IF((CsDJ[Ofc Code]=(TRIM(L$7)))*(CsDJ[Account Code]=(TRIM($D74))),CsDJ[Debit])))+(SUM(IF((CRDJ[Ofc Code]=(TRIM(L$7)))*(CRDJ[Account Code]=(TRIM($D74))),CRDJ[Debit])))+(SUM(IF((GJ[Ofc Code]=(TRIM(L$7)))*(GJ[Account Code]=(TRIM($D74))),GJ[Debit]))))-((SUM(IF((CkDJ[Ofc Code]=(TRIM(L$7)))*(CkDJ[Account Code]=(TRIM($D74))),CkDJ[Credit])))+(SUM(IF((CsDJ[Ofc Code]=(TRIM(L$7)))*(CsDJ[Account Code]=(TRIM($D74))),CsDJ[Credit])))+(SUM(IF((CRDJ[Ofc Code]=(TRIM(L$7)))*(CRDJ[Account Code]=(TRIM($D74))),CRDJ[Credit])))+(SUM(IF((GJ[Ofc Code]=(TRIM(L$7)))*(GJ[Account Code]=(TRIM($D74))),GJ[Credit]))))</f>
        <v>0</v>
      </c>
      <c r="M74" s="211">
        <f t="array" ref="M74">((SUM(IF((CkDJ[Ofc Code]=(TRIM(M$7)))*(CkDJ[Account Code]=(TRIM($D74))),CkDJ[Debit])))+(SUM(IF((CsDJ[Ofc Code]=(TRIM(M$7)))*(CsDJ[Account Code]=(TRIM($D74))),CsDJ[Debit])))+(SUM(IF((CRDJ[Ofc Code]=(TRIM(M$7)))*(CRDJ[Account Code]=(TRIM($D74))),CRDJ[Debit])))+(SUM(IF((GJ[Ofc Code]=(TRIM(M$7)))*(GJ[Account Code]=(TRIM($D74))),GJ[Debit]))))-((SUM(IF((CkDJ[Ofc Code]=(TRIM(M$7)))*(CkDJ[Account Code]=(TRIM($D74))),CkDJ[Credit])))+(SUM(IF((CsDJ[Ofc Code]=(TRIM(M$7)))*(CsDJ[Account Code]=(TRIM($D74))),CsDJ[Credit])))+(SUM(IF((CRDJ[Ofc Code]=(TRIM(M$7)))*(CRDJ[Account Code]=(TRIM($D74))),CRDJ[Credit])))+(SUM(IF((GJ[Ofc Code]=(TRIM(M$7)))*(GJ[Account Code]=(TRIM($D74))),GJ[Credit]))))</f>
        <v>0</v>
      </c>
      <c r="N74" s="211">
        <f t="array" ref="N74">((SUM(IF((CkDJ[Ofc Code]=(TRIM(N$7)))*(CkDJ[Account Code]=(TRIM($D74))),CkDJ[Debit])))+(SUM(IF((CsDJ[Ofc Code]=(TRIM(N$7)))*(CsDJ[Account Code]=(TRIM($D74))),CsDJ[Debit])))+(SUM(IF((CRDJ[Ofc Code]=(TRIM(N$7)))*(CRDJ[Account Code]=(TRIM($D74))),CRDJ[Debit])))+(SUM(IF((GJ[Ofc Code]=(TRIM(N$7)))*(GJ[Account Code]=(TRIM($D74))),GJ[Debit]))))-((SUM(IF((CkDJ[Ofc Code]=(TRIM(N$7)))*(CkDJ[Account Code]=(TRIM($D74))),CkDJ[Credit])))+(SUM(IF((CsDJ[Ofc Code]=(TRIM(N$7)))*(CsDJ[Account Code]=(TRIM($D74))),CsDJ[Credit])))+(SUM(IF((CRDJ[Ofc Code]=(TRIM(N$7)))*(CRDJ[Account Code]=(TRIM($D74))),CRDJ[Credit])))+(SUM(IF((GJ[Ofc Code]=(TRIM(N$7)))*(GJ[Account Code]=(TRIM($D74))),GJ[Credit]))))</f>
        <v>0</v>
      </c>
      <c r="O74" s="211">
        <f>SUM(K74:N74)</f>
        <v>0</v>
      </c>
      <c r="P74" s="211">
        <f t="array" ref="P74">((SUM(IF((CkDJ[Ofc Code]=(TRIM(P$7)))*(CkDJ[Account Code]=(TRIM($D74))),CkDJ[Debit])))+(SUM(IF((CsDJ[Ofc Code]=(TRIM(P$7)))*(CsDJ[Account Code]=(TRIM($D74))),CsDJ[Debit])))+(SUM(IF((CRDJ[Ofc Code]=(TRIM(P$7)))*(CRDJ[Account Code]=(TRIM($D74))),CRDJ[Debit])))+(SUM(IF((GJ[Ofc Code]=(TRIM(P$7)))*(GJ[Account Code]=(TRIM($D74))),GJ[Debit]))))-((SUM(IF((CkDJ[Ofc Code]=(TRIM(P$7)))*(CkDJ[Account Code]=(TRIM($D74))),CkDJ[Credit])))+(SUM(IF((CsDJ[Ofc Code]=(TRIM(P$7)))*(CsDJ[Account Code]=(TRIM($D74))),CsDJ[Credit])))+(SUM(IF((CRDJ[Ofc Code]=(TRIM(P$7)))*(CRDJ[Account Code]=(TRIM($D74))),CRDJ[Credit])))+(SUM(IF((GJ[Ofc Code]=(TRIM(P$7)))*(GJ[Account Code]=(TRIM($D74))),GJ[Credit]))))</f>
        <v>0</v>
      </c>
      <c r="Q74" s="211">
        <f t="array" ref="Q74">((SUM(IF((CkDJ[Ofc Code]=(TRIM(Q$7)))*(CkDJ[Account Code]=(TRIM($D74))),CkDJ[Debit])))+(SUM(IF((CsDJ[Ofc Code]=(TRIM(Q$7)))*(CsDJ[Account Code]=(TRIM($D74))),CsDJ[Debit])))+(SUM(IF((CRDJ[Ofc Code]=(TRIM(Q$7)))*(CRDJ[Account Code]=(TRIM($D74))),CRDJ[Debit])))+(SUM(IF((GJ[Ofc Code]=(TRIM(Q$7)))*(GJ[Account Code]=(TRIM($D74))),GJ[Debit]))))-((SUM(IF((CkDJ[Ofc Code]=(TRIM(Q$7)))*(CkDJ[Account Code]=(TRIM($D74))),CkDJ[Credit])))+(SUM(IF((CsDJ[Ofc Code]=(TRIM(Q$7)))*(CsDJ[Account Code]=(TRIM($D74))),CsDJ[Credit])))+(SUM(IF((CRDJ[Ofc Code]=(TRIM(Q$7)))*(CRDJ[Account Code]=(TRIM($D74))),CRDJ[Credit])))+(SUM(IF((GJ[Ofc Code]=(TRIM(Q$7)))*(GJ[Account Code]=(TRIM($D74))),GJ[Credit]))))</f>
        <v>0</v>
      </c>
      <c r="R74" s="211">
        <f t="array" ref="R74">((SUM(IF((CkDJ[Ofc Code]=(TRIM(R$7)))*(CkDJ[Account Code]=(TRIM($D74))),CkDJ[Debit])))+(SUM(IF((CsDJ[Ofc Code]=(TRIM(R$7)))*(CsDJ[Account Code]=(TRIM($D74))),CsDJ[Debit])))+(SUM(IF((CRDJ[Ofc Code]=(TRIM(R$7)))*(CRDJ[Account Code]=(TRIM($D74))),CRDJ[Debit])))+(SUM(IF((GJ[Ofc Code]=(TRIM(R$7)))*(GJ[Account Code]=(TRIM($D74))),GJ[Debit]))))-((SUM(IF((CkDJ[Ofc Code]=(TRIM(R$7)))*(CkDJ[Account Code]=(TRIM($D74))),CkDJ[Credit])))+(SUM(IF((CsDJ[Ofc Code]=(TRIM(R$7)))*(CsDJ[Account Code]=(TRIM($D74))),CsDJ[Credit])))+(SUM(IF((CRDJ[Ofc Code]=(TRIM(R$7)))*(CRDJ[Account Code]=(TRIM($D74))),CRDJ[Credit])))+(SUM(IF((GJ[Ofc Code]=(TRIM(R$7)))*(GJ[Account Code]=(TRIM($D74))),GJ[Credit]))))</f>
        <v>0</v>
      </c>
      <c r="S74" s="211">
        <f t="array" ref="S74">((SUM(IF((CkDJ[Ofc Code]=(TRIM(S$7)))*(CkDJ[Account Code]=(TRIM($D74))),CkDJ[Debit])))+(SUM(IF((CsDJ[Ofc Code]=(TRIM(S$7)))*(CsDJ[Account Code]=(TRIM($D74))),CsDJ[Debit])))+(SUM(IF((CRDJ[Ofc Code]=(TRIM(S$7)))*(CRDJ[Account Code]=(TRIM($D74))),CRDJ[Debit])))+(SUM(IF((GJ[Ofc Code]=(TRIM(S$7)))*(GJ[Account Code]=(TRIM($D74))),GJ[Debit]))))-((SUM(IF((CkDJ[Ofc Code]=(TRIM(S$7)))*(CkDJ[Account Code]=(TRIM($D74))),CkDJ[Credit])))+(SUM(IF((CsDJ[Ofc Code]=(TRIM(S$7)))*(CsDJ[Account Code]=(TRIM($D74))),CsDJ[Credit])))+(SUM(IF((CRDJ[Ofc Code]=(TRIM(S$7)))*(CRDJ[Account Code]=(TRIM($D74))),CRDJ[Credit])))+(SUM(IF((GJ[Ofc Code]=(TRIM(S$7)))*(GJ[Account Code]=(TRIM($D74))),GJ[Credit]))))</f>
        <v>0</v>
      </c>
      <c r="T74" s="211">
        <f t="array" ref="T74">((SUM(IF((CkDJ[Ofc Code]=(TRIM(T$7)))*(CkDJ[Account Code]=(TRIM($D74))),CkDJ[Debit])))+(SUM(IF((CsDJ[Ofc Code]=(TRIM(T$7)))*(CsDJ[Account Code]=(TRIM($D74))),CsDJ[Debit])))+(SUM(IF((CRDJ[Ofc Code]=(TRIM(T$7)))*(CRDJ[Account Code]=(TRIM($D74))),CRDJ[Debit])))+(SUM(IF((GJ[Ofc Code]=(TRIM(T$7)))*(GJ[Account Code]=(TRIM($D74))),GJ[Debit]))))-((SUM(IF((CkDJ[Ofc Code]=(TRIM(T$7)))*(CkDJ[Account Code]=(TRIM($D74))),CkDJ[Credit])))+(SUM(IF((CsDJ[Ofc Code]=(TRIM(T$7)))*(CsDJ[Account Code]=(TRIM($D74))),CsDJ[Credit])))+(SUM(IF((CRDJ[Ofc Code]=(TRIM(T$7)))*(CRDJ[Account Code]=(TRIM($D74))),CRDJ[Credit])))+(SUM(IF((GJ[Ofc Code]=(TRIM(T$7)))*(GJ[Account Code]=(TRIM($D74))),GJ[Credit]))))</f>
        <v>0</v>
      </c>
      <c r="U74" s="211">
        <f>SUM(P74:T74)</f>
        <v>0</v>
      </c>
      <c r="V74" s="211">
        <f>E74+J74+O74+U74</f>
        <v>0</v>
      </c>
    </row>
    <row r="75" spans="1:22" ht="15" x14ac:dyDescent="0.25">
      <c r="A75" s="212">
        <f t="shared" si="19"/>
        <v>13</v>
      </c>
      <c r="B75" s="214"/>
      <c r="C75" s="194" t="str">
        <f t="shared" si="14"/>
        <v>Telephone Expenses - Landline</v>
      </c>
      <c r="D75" s="207">
        <v>772</v>
      </c>
      <c r="E75" s="211">
        <f t="array" ref="E75">((SUM(IF((CkDJ[Ofc Code]=(TRIM(E$7)))*(CkDJ[Account Code]=(TRIM($D75))),CkDJ[Debit])))+(SUM(IF((CsDJ[Ofc Code]=(TRIM(E$7)))*(CsDJ[Account Code]=(TRIM($D75))),CsDJ[Debit])))+(SUM(IF((CRDJ[Ofc Code]=(TRIM(E$7)))*(CRDJ[Account Code]=(TRIM($D75))),CRDJ[Debit])))+(SUM(IF((GJ[Ofc Code]=(TRIM(E$7)))*(GJ[Account Code]=(TRIM($D75))),GJ[Debit]))))-((SUM(IF((CkDJ[Ofc Code]=(TRIM(E$7)))*(CkDJ[Account Code]=(TRIM($D75))),CkDJ[Credit])))+(SUM(IF((CsDJ[Ofc Code]=(TRIM(E$7)))*(CsDJ[Account Code]=(TRIM($D75))),CsDJ[Credit])))+(SUM(IF((CRDJ[Ofc Code]=(TRIM(E$7)))*(CRDJ[Account Code]=(TRIM($D75))),CRDJ[Credit])))+(SUM(IF((GJ[Ofc Code]=(TRIM(E$7)))*(GJ[Account Code]=(TRIM($D75))),GJ[Credit]))))</f>
        <v>0</v>
      </c>
      <c r="F75" s="211">
        <f t="array" ref="F75">((SUM(IF((CkDJ[Ofc Code]=(TRIM(F$7)))*(CkDJ[Account Code]=(TRIM($D75))),CkDJ[Debit])))+(SUM(IF((CsDJ[Ofc Code]=(TRIM(F$7)))*(CsDJ[Account Code]=(TRIM($D75))),CsDJ[Debit])))+(SUM(IF((CRDJ[Ofc Code]=(TRIM(F$7)))*(CRDJ[Account Code]=(TRIM($D75))),CRDJ[Debit])))+(SUM(IF((GJ[Ofc Code]=(TRIM(F$7)))*(GJ[Account Code]=(TRIM($D75))),GJ[Debit]))))-((SUM(IF((CkDJ[Ofc Code]=(TRIM(F$7)))*(CkDJ[Account Code]=(TRIM($D75))),CkDJ[Credit])))+(SUM(IF((CsDJ[Ofc Code]=(TRIM(F$7)))*(CsDJ[Account Code]=(TRIM($D75))),CsDJ[Credit])))+(SUM(IF((CRDJ[Ofc Code]=(TRIM(F$7)))*(CRDJ[Account Code]=(TRIM($D75))),CRDJ[Credit])))+(SUM(IF((GJ[Ofc Code]=(TRIM(F$7)))*(GJ[Account Code]=(TRIM($D75))),GJ[Credit]))))</f>
        <v>0</v>
      </c>
      <c r="G75" s="211">
        <f t="array" ref="G75">((SUM(IF((CkDJ[Ofc Code]=(TRIM(G$7)))*(CkDJ[Account Code]=(TRIM($D75))),CkDJ[Debit])))+(SUM(IF((CsDJ[Ofc Code]=(TRIM(G$7)))*(CsDJ[Account Code]=(TRIM($D75))),CsDJ[Debit])))+(SUM(IF((CRDJ[Ofc Code]=(TRIM(G$7)))*(CRDJ[Account Code]=(TRIM($D75))),CRDJ[Debit])))+(SUM(IF((GJ[Ofc Code]=(TRIM(G$7)))*(GJ[Account Code]=(TRIM($D75))),GJ[Debit]))))-((SUM(IF((CkDJ[Ofc Code]=(TRIM(G$7)))*(CkDJ[Account Code]=(TRIM($D75))),CkDJ[Credit])))+(SUM(IF((CsDJ[Ofc Code]=(TRIM(G$7)))*(CsDJ[Account Code]=(TRIM($D75))),CsDJ[Credit])))+(SUM(IF((CRDJ[Ofc Code]=(TRIM(G$7)))*(CRDJ[Account Code]=(TRIM($D75))),CRDJ[Credit])))+(SUM(IF((GJ[Ofc Code]=(TRIM(G$7)))*(GJ[Account Code]=(TRIM($D75))),GJ[Credit]))))</f>
        <v>0</v>
      </c>
      <c r="H75" s="211">
        <f t="array" ref="H75">((SUM(IF((CkDJ[Ofc Code]=(TRIM(H$7)))*(CkDJ[Account Code]=(TRIM($D75))),CkDJ[Debit])))+(SUM(IF((CsDJ[Ofc Code]=(TRIM(H$7)))*(CsDJ[Account Code]=(TRIM($D75))),CsDJ[Debit])))+(SUM(IF((CRDJ[Ofc Code]=(TRIM(H$7)))*(CRDJ[Account Code]=(TRIM($D75))),CRDJ[Debit])))+(SUM(IF((GJ[Ofc Code]=(TRIM(H$7)))*(GJ[Account Code]=(TRIM($D75))),GJ[Debit]))))-((SUM(IF((CkDJ[Ofc Code]=(TRIM(H$7)))*(CkDJ[Account Code]=(TRIM($D75))),CkDJ[Credit])))+(SUM(IF((CsDJ[Ofc Code]=(TRIM(H$7)))*(CsDJ[Account Code]=(TRIM($D75))),CsDJ[Credit])))+(SUM(IF((CRDJ[Ofc Code]=(TRIM(H$7)))*(CRDJ[Account Code]=(TRIM($D75))),CRDJ[Credit])))+(SUM(IF((GJ[Ofc Code]=(TRIM(H$7)))*(GJ[Account Code]=(TRIM($D75))),GJ[Credit]))))</f>
        <v>0</v>
      </c>
      <c r="I75" s="211">
        <f t="array" ref="I75">((SUM(IF((CkDJ[Ofc Code]=(TRIM(I$7)))*(CkDJ[Account Code]=(TRIM($D75))),CkDJ[Debit])))+(SUM(IF((CsDJ[Ofc Code]=(TRIM(I$7)))*(CsDJ[Account Code]=(TRIM($D75))),CsDJ[Debit])))+(SUM(IF((CRDJ[Ofc Code]=(TRIM(I$7)))*(CRDJ[Account Code]=(TRIM($D75))),CRDJ[Debit])))+(SUM(IF((GJ[Ofc Code]=(TRIM(I$7)))*(GJ[Account Code]=(TRIM($D75))),GJ[Debit]))))-((SUM(IF((CkDJ[Ofc Code]=(TRIM(I$7)))*(CkDJ[Account Code]=(TRIM($D75))),CkDJ[Credit])))+(SUM(IF((CsDJ[Ofc Code]=(TRIM(I$7)))*(CsDJ[Account Code]=(TRIM($D75))),CsDJ[Credit])))+(SUM(IF((CRDJ[Ofc Code]=(TRIM(I$7)))*(CRDJ[Account Code]=(TRIM($D75))),CRDJ[Credit])))+(SUM(IF((GJ[Ofc Code]=(TRIM(I$7)))*(GJ[Account Code]=(TRIM($D75))),GJ[Credit]))))</f>
        <v>0</v>
      </c>
      <c r="J75" s="211">
        <f t="shared" si="15"/>
        <v>0</v>
      </c>
      <c r="K75" s="211">
        <f t="array" ref="K75">((SUM(IF((CkDJ[Ofc Code]=(TRIM(K$7)))*(CkDJ[Account Code]=(TRIM($D75))),CkDJ[Debit])))+(SUM(IF((CsDJ[Ofc Code]=(TRIM(K$7)))*(CsDJ[Account Code]=(TRIM($D75))),CsDJ[Debit])))+(SUM(IF((CRDJ[Ofc Code]=(TRIM(K$7)))*(CRDJ[Account Code]=(TRIM($D75))),CRDJ[Debit])))+(SUM(IF((GJ[Ofc Code]=(TRIM(K$7)))*(GJ[Account Code]=(TRIM($D75))),GJ[Debit]))))-((SUM(IF((CkDJ[Ofc Code]=(TRIM(K$7)))*(CkDJ[Account Code]=(TRIM($D75))),CkDJ[Credit])))+(SUM(IF((CsDJ[Ofc Code]=(TRIM(K$7)))*(CsDJ[Account Code]=(TRIM($D75))),CsDJ[Credit])))+(SUM(IF((CRDJ[Ofc Code]=(TRIM(K$7)))*(CRDJ[Account Code]=(TRIM($D75))),CRDJ[Credit])))+(SUM(IF((GJ[Ofc Code]=(TRIM(K$7)))*(GJ[Account Code]=(TRIM($D75))),GJ[Credit]))))</f>
        <v>0</v>
      </c>
      <c r="L75" s="211">
        <f t="array" ref="L75">((SUM(IF((CkDJ[Ofc Code]=(TRIM(L$7)))*(CkDJ[Account Code]=(TRIM($D75))),CkDJ[Debit])))+(SUM(IF((CsDJ[Ofc Code]=(TRIM(L$7)))*(CsDJ[Account Code]=(TRIM($D75))),CsDJ[Debit])))+(SUM(IF((CRDJ[Ofc Code]=(TRIM(L$7)))*(CRDJ[Account Code]=(TRIM($D75))),CRDJ[Debit])))+(SUM(IF((GJ[Ofc Code]=(TRIM(L$7)))*(GJ[Account Code]=(TRIM($D75))),GJ[Debit]))))-((SUM(IF((CkDJ[Ofc Code]=(TRIM(L$7)))*(CkDJ[Account Code]=(TRIM($D75))),CkDJ[Credit])))+(SUM(IF((CsDJ[Ofc Code]=(TRIM(L$7)))*(CsDJ[Account Code]=(TRIM($D75))),CsDJ[Credit])))+(SUM(IF((CRDJ[Ofc Code]=(TRIM(L$7)))*(CRDJ[Account Code]=(TRIM($D75))),CRDJ[Credit])))+(SUM(IF((GJ[Ofc Code]=(TRIM(L$7)))*(GJ[Account Code]=(TRIM($D75))),GJ[Credit]))))</f>
        <v>0</v>
      </c>
      <c r="M75" s="211">
        <f t="array" ref="M75">((SUM(IF((CkDJ[Ofc Code]=(TRIM(M$7)))*(CkDJ[Account Code]=(TRIM($D75))),CkDJ[Debit])))+(SUM(IF((CsDJ[Ofc Code]=(TRIM(M$7)))*(CsDJ[Account Code]=(TRIM($D75))),CsDJ[Debit])))+(SUM(IF((CRDJ[Ofc Code]=(TRIM(M$7)))*(CRDJ[Account Code]=(TRIM($D75))),CRDJ[Debit])))+(SUM(IF((GJ[Ofc Code]=(TRIM(M$7)))*(GJ[Account Code]=(TRIM($D75))),GJ[Debit]))))-((SUM(IF((CkDJ[Ofc Code]=(TRIM(M$7)))*(CkDJ[Account Code]=(TRIM($D75))),CkDJ[Credit])))+(SUM(IF((CsDJ[Ofc Code]=(TRIM(M$7)))*(CsDJ[Account Code]=(TRIM($D75))),CsDJ[Credit])))+(SUM(IF((CRDJ[Ofc Code]=(TRIM(M$7)))*(CRDJ[Account Code]=(TRIM($D75))),CRDJ[Credit])))+(SUM(IF((GJ[Ofc Code]=(TRIM(M$7)))*(GJ[Account Code]=(TRIM($D75))),GJ[Credit]))))</f>
        <v>0</v>
      </c>
      <c r="N75" s="211">
        <f t="array" ref="N75">((SUM(IF((CkDJ[Ofc Code]=(TRIM(N$7)))*(CkDJ[Account Code]=(TRIM($D75))),CkDJ[Debit])))+(SUM(IF((CsDJ[Ofc Code]=(TRIM(N$7)))*(CsDJ[Account Code]=(TRIM($D75))),CsDJ[Debit])))+(SUM(IF((CRDJ[Ofc Code]=(TRIM(N$7)))*(CRDJ[Account Code]=(TRIM($D75))),CRDJ[Debit])))+(SUM(IF((GJ[Ofc Code]=(TRIM(N$7)))*(GJ[Account Code]=(TRIM($D75))),GJ[Debit]))))-((SUM(IF((CkDJ[Ofc Code]=(TRIM(N$7)))*(CkDJ[Account Code]=(TRIM($D75))),CkDJ[Credit])))+(SUM(IF((CsDJ[Ofc Code]=(TRIM(N$7)))*(CsDJ[Account Code]=(TRIM($D75))),CsDJ[Credit])))+(SUM(IF((CRDJ[Ofc Code]=(TRIM(N$7)))*(CRDJ[Account Code]=(TRIM($D75))),CRDJ[Credit])))+(SUM(IF((GJ[Ofc Code]=(TRIM(N$7)))*(GJ[Account Code]=(TRIM($D75))),GJ[Credit]))))</f>
        <v>0</v>
      </c>
      <c r="O75" s="211">
        <f t="shared" si="16"/>
        <v>0</v>
      </c>
      <c r="P75" s="211">
        <f t="array" ref="P75">((SUM(IF((CkDJ[Ofc Code]=(TRIM(P$7)))*(CkDJ[Account Code]=(TRIM($D75))),CkDJ[Debit])))+(SUM(IF((CsDJ[Ofc Code]=(TRIM(P$7)))*(CsDJ[Account Code]=(TRIM($D75))),CsDJ[Debit])))+(SUM(IF((CRDJ[Ofc Code]=(TRIM(P$7)))*(CRDJ[Account Code]=(TRIM($D75))),CRDJ[Debit])))+(SUM(IF((GJ[Ofc Code]=(TRIM(P$7)))*(GJ[Account Code]=(TRIM($D75))),GJ[Debit]))))-((SUM(IF((CkDJ[Ofc Code]=(TRIM(P$7)))*(CkDJ[Account Code]=(TRIM($D75))),CkDJ[Credit])))+(SUM(IF((CsDJ[Ofc Code]=(TRIM(P$7)))*(CsDJ[Account Code]=(TRIM($D75))),CsDJ[Credit])))+(SUM(IF((CRDJ[Ofc Code]=(TRIM(P$7)))*(CRDJ[Account Code]=(TRIM($D75))),CRDJ[Credit])))+(SUM(IF((GJ[Ofc Code]=(TRIM(P$7)))*(GJ[Account Code]=(TRIM($D75))),GJ[Credit]))))</f>
        <v>0</v>
      </c>
      <c r="Q75" s="211">
        <f t="array" ref="Q75">((SUM(IF((CkDJ[Ofc Code]=(TRIM(Q$7)))*(CkDJ[Account Code]=(TRIM($D75))),CkDJ[Debit])))+(SUM(IF((CsDJ[Ofc Code]=(TRIM(Q$7)))*(CsDJ[Account Code]=(TRIM($D75))),CsDJ[Debit])))+(SUM(IF((CRDJ[Ofc Code]=(TRIM(Q$7)))*(CRDJ[Account Code]=(TRIM($D75))),CRDJ[Debit])))+(SUM(IF((GJ[Ofc Code]=(TRIM(Q$7)))*(GJ[Account Code]=(TRIM($D75))),GJ[Debit]))))-((SUM(IF((CkDJ[Ofc Code]=(TRIM(Q$7)))*(CkDJ[Account Code]=(TRIM($D75))),CkDJ[Credit])))+(SUM(IF((CsDJ[Ofc Code]=(TRIM(Q$7)))*(CsDJ[Account Code]=(TRIM($D75))),CsDJ[Credit])))+(SUM(IF((CRDJ[Ofc Code]=(TRIM(Q$7)))*(CRDJ[Account Code]=(TRIM($D75))),CRDJ[Credit])))+(SUM(IF((GJ[Ofc Code]=(TRIM(Q$7)))*(GJ[Account Code]=(TRIM($D75))),GJ[Credit]))))</f>
        <v>0</v>
      </c>
      <c r="R75" s="211">
        <f t="array" ref="R75">((SUM(IF((CkDJ[Ofc Code]=(TRIM(R$7)))*(CkDJ[Account Code]=(TRIM($D75))),CkDJ[Debit])))+(SUM(IF((CsDJ[Ofc Code]=(TRIM(R$7)))*(CsDJ[Account Code]=(TRIM($D75))),CsDJ[Debit])))+(SUM(IF((CRDJ[Ofc Code]=(TRIM(R$7)))*(CRDJ[Account Code]=(TRIM($D75))),CRDJ[Debit])))+(SUM(IF((GJ[Ofc Code]=(TRIM(R$7)))*(GJ[Account Code]=(TRIM($D75))),GJ[Debit]))))-((SUM(IF((CkDJ[Ofc Code]=(TRIM(R$7)))*(CkDJ[Account Code]=(TRIM($D75))),CkDJ[Credit])))+(SUM(IF((CsDJ[Ofc Code]=(TRIM(R$7)))*(CsDJ[Account Code]=(TRIM($D75))),CsDJ[Credit])))+(SUM(IF((CRDJ[Ofc Code]=(TRIM(R$7)))*(CRDJ[Account Code]=(TRIM($D75))),CRDJ[Credit])))+(SUM(IF((GJ[Ofc Code]=(TRIM(R$7)))*(GJ[Account Code]=(TRIM($D75))),GJ[Credit]))))</f>
        <v>0</v>
      </c>
      <c r="S75" s="211">
        <f t="array" ref="S75">((SUM(IF((CkDJ[Ofc Code]=(TRIM(S$7)))*(CkDJ[Account Code]=(TRIM($D75))),CkDJ[Debit])))+(SUM(IF((CsDJ[Ofc Code]=(TRIM(S$7)))*(CsDJ[Account Code]=(TRIM($D75))),CsDJ[Debit])))+(SUM(IF((CRDJ[Ofc Code]=(TRIM(S$7)))*(CRDJ[Account Code]=(TRIM($D75))),CRDJ[Debit])))+(SUM(IF((GJ[Ofc Code]=(TRIM(S$7)))*(GJ[Account Code]=(TRIM($D75))),GJ[Debit]))))-((SUM(IF((CkDJ[Ofc Code]=(TRIM(S$7)))*(CkDJ[Account Code]=(TRIM($D75))),CkDJ[Credit])))+(SUM(IF((CsDJ[Ofc Code]=(TRIM(S$7)))*(CsDJ[Account Code]=(TRIM($D75))),CsDJ[Credit])))+(SUM(IF((CRDJ[Ofc Code]=(TRIM(S$7)))*(CRDJ[Account Code]=(TRIM($D75))),CRDJ[Credit])))+(SUM(IF((GJ[Ofc Code]=(TRIM(S$7)))*(GJ[Account Code]=(TRIM($D75))),GJ[Credit]))))</f>
        <v>0</v>
      </c>
      <c r="T75" s="211">
        <f t="array" ref="T75">((SUM(IF((CkDJ[Ofc Code]=(TRIM(T$7)))*(CkDJ[Account Code]=(TRIM($D75))),CkDJ[Debit])))+(SUM(IF((CsDJ[Ofc Code]=(TRIM(T$7)))*(CsDJ[Account Code]=(TRIM($D75))),CsDJ[Debit])))+(SUM(IF((CRDJ[Ofc Code]=(TRIM(T$7)))*(CRDJ[Account Code]=(TRIM($D75))),CRDJ[Debit])))+(SUM(IF((GJ[Ofc Code]=(TRIM(T$7)))*(GJ[Account Code]=(TRIM($D75))),GJ[Debit]))))-((SUM(IF((CkDJ[Ofc Code]=(TRIM(T$7)))*(CkDJ[Account Code]=(TRIM($D75))),CkDJ[Credit])))+(SUM(IF((CsDJ[Ofc Code]=(TRIM(T$7)))*(CsDJ[Account Code]=(TRIM($D75))),CsDJ[Credit])))+(SUM(IF((CRDJ[Ofc Code]=(TRIM(T$7)))*(CRDJ[Account Code]=(TRIM($D75))),CRDJ[Credit])))+(SUM(IF((GJ[Ofc Code]=(TRIM(T$7)))*(GJ[Account Code]=(TRIM($D75))),GJ[Credit]))))</f>
        <v>0</v>
      </c>
      <c r="U75" s="211">
        <f t="shared" si="17"/>
        <v>0</v>
      </c>
      <c r="V75" s="211">
        <f t="shared" si="18"/>
        <v>0</v>
      </c>
    </row>
    <row r="76" spans="1:22" ht="15" x14ac:dyDescent="0.25">
      <c r="A76" s="212">
        <f t="shared" si="19"/>
        <v>14</v>
      </c>
      <c r="B76" s="214"/>
      <c r="C76" s="194" t="str">
        <f t="shared" si="14"/>
        <v>Telephone Expenses - Mobile</v>
      </c>
      <c r="D76" s="207">
        <v>773</v>
      </c>
      <c r="E76" s="211">
        <f t="array" ref="E76">((SUM(IF((CkDJ[Ofc Code]=(TRIM(E$7)))*(CkDJ[Account Code]=(TRIM($D76))),CkDJ[Debit])))+(SUM(IF((CsDJ[Ofc Code]=(TRIM(E$7)))*(CsDJ[Account Code]=(TRIM($D76))),CsDJ[Debit])))+(SUM(IF((CRDJ[Ofc Code]=(TRIM(E$7)))*(CRDJ[Account Code]=(TRIM($D76))),CRDJ[Debit])))+(SUM(IF((GJ[Ofc Code]=(TRIM(E$7)))*(GJ[Account Code]=(TRIM($D76))),GJ[Debit]))))-((SUM(IF((CkDJ[Ofc Code]=(TRIM(E$7)))*(CkDJ[Account Code]=(TRIM($D76))),CkDJ[Credit])))+(SUM(IF((CsDJ[Ofc Code]=(TRIM(E$7)))*(CsDJ[Account Code]=(TRIM($D76))),CsDJ[Credit])))+(SUM(IF((CRDJ[Ofc Code]=(TRIM(E$7)))*(CRDJ[Account Code]=(TRIM($D76))),CRDJ[Credit])))+(SUM(IF((GJ[Ofc Code]=(TRIM(E$7)))*(GJ[Account Code]=(TRIM($D76))),GJ[Credit]))))</f>
        <v>0</v>
      </c>
      <c r="F76" s="211">
        <f t="array" ref="F76">((SUM(IF((CkDJ[Ofc Code]=(TRIM(F$7)))*(CkDJ[Account Code]=(TRIM($D76))),CkDJ[Debit])))+(SUM(IF((CsDJ[Ofc Code]=(TRIM(F$7)))*(CsDJ[Account Code]=(TRIM($D76))),CsDJ[Debit])))+(SUM(IF((CRDJ[Ofc Code]=(TRIM(F$7)))*(CRDJ[Account Code]=(TRIM($D76))),CRDJ[Debit])))+(SUM(IF((GJ[Ofc Code]=(TRIM(F$7)))*(GJ[Account Code]=(TRIM($D76))),GJ[Debit]))))-((SUM(IF((CkDJ[Ofc Code]=(TRIM(F$7)))*(CkDJ[Account Code]=(TRIM($D76))),CkDJ[Credit])))+(SUM(IF((CsDJ[Ofc Code]=(TRIM(F$7)))*(CsDJ[Account Code]=(TRIM($D76))),CsDJ[Credit])))+(SUM(IF((CRDJ[Ofc Code]=(TRIM(F$7)))*(CRDJ[Account Code]=(TRIM($D76))),CRDJ[Credit])))+(SUM(IF((GJ[Ofc Code]=(TRIM(F$7)))*(GJ[Account Code]=(TRIM($D76))),GJ[Credit]))))</f>
        <v>0</v>
      </c>
      <c r="G76" s="211">
        <f t="array" ref="G76">((SUM(IF((CkDJ[Ofc Code]=(TRIM(G$7)))*(CkDJ[Account Code]=(TRIM($D76))),CkDJ[Debit])))+(SUM(IF((CsDJ[Ofc Code]=(TRIM(G$7)))*(CsDJ[Account Code]=(TRIM($D76))),CsDJ[Debit])))+(SUM(IF((CRDJ[Ofc Code]=(TRIM(G$7)))*(CRDJ[Account Code]=(TRIM($D76))),CRDJ[Debit])))+(SUM(IF((GJ[Ofc Code]=(TRIM(G$7)))*(GJ[Account Code]=(TRIM($D76))),GJ[Debit]))))-((SUM(IF((CkDJ[Ofc Code]=(TRIM(G$7)))*(CkDJ[Account Code]=(TRIM($D76))),CkDJ[Credit])))+(SUM(IF((CsDJ[Ofc Code]=(TRIM(G$7)))*(CsDJ[Account Code]=(TRIM($D76))),CsDJ[Credit])))+(SUM(IF((CRDJ[Ofc Code]=(TRIM(G$7)))*(CRDJ[Account Code]=(TRIM($D76))),CRDJ[Credit])))+(SUM(IF((GJ[Ofc Code]=(TRIM(G$7)))*(GJ[Account Code]=(TRIM($D76))),GJ[Credit]))))</f>
        <v>0</v>
      </c>
      <c r="H76" s="211">
        <f t="array" ref="H76">((SUM(IF((CkDJ[Ofc Code]=(TRIM(H$7)))*(CkDJ[Account Code]=(TRIM($D76))),CkDJ[Debit])))+(SUM(IF((CsDJ[Ofc Code]=(TRIM(H$7)))*(CsDJ[Account Code]=(TRIM($D76))),CsDJ[Debit])))+(SUM(IF((CRDJ[Ofc Code]=(TRIM(H$7)))*(CRDJ[Account Code]=(TRIM($D76))),CRDJ[Debit])))+(SUM(IF((GJ[Ofc Code]=(TRIM(H$7)))*(GJ[Account Code]=(TRIM($D76))),GJ[Debit]))))-((SUM(IF((CkDJ[Ofc Code]=(TRIM(H$7)))*(CkDJ[Account Code]=(TRIM($D76))),CkDJ[Credit])))+(SUM(IF((CsDJ[Ofc Code]=(TRIM(H$7)))*(CsDJ[Account Code]=(TRIM($D76))),CsDJ[Credit])))+(SUM(IF((CRDJ[Ofc Code]=(TRIM(H$7)))*(CRDJ[Account Code]=(TRIM($D76))),CRDJ[Credit])))+(SUM(IF((GJ[Ofc Code]=(TRIM(H$7)))*(GJ[Account Code]=(TRIM($D76))),GJ[Credit]))))</f>
        <v>0</v>
      </c>
      <c r="I76" s="211">
        <f t="array" ref="I76">((SUM(IF((CkDJ[Ofc Code]=(TRIM(I$7)))*(CkDJ[Account Code]=(TRIM($D76))),CkDJ[Debit])))+(SUM(IF((CsDJ[Ofc Code]=(TRIM(I$7)))*(CsDJ[Account Code]=(TRIM($D76))),CsDJ[Debit])))+(SUM(IF((CRDJ[Ofc Code]=(TRIM(I$7)))*(CRDJ[Account Code]=(TRIM($D76))),CRDJ[Debit])))+(SUM(IF((GJ[Ofc Code]=(TRIM(I$7)))*(GJ[Account Code]=(TRIM($D76))),GJ[Debit]))))-((SUM(IF((CkDJ[Ofc Code]=(TRIM(I$7)))*(CkDJ[Account Code]=(TRIM($D76))),CkDJ[Credit])))+(SUM(IF((CsDJ[Ofc Code]=(TRIM(I$7)))*(CsDJ[Account Code]=(TRIM($D76))),CsDJ[Credit])))+(SUM(IF((CRDJ[Ofc Code]=(TRIM(I$7)))*(CRDJ[Account Code]=(TRIM($D76))),CRDJ[Credit])))+(SUM(IF((GJ[Ofc Code]=(TRIM(I$7)))*(GJ[Account Code]=(TRIM($D76))),GJ[Credit]))))</f>
        <v>0</v>
      </c>
      <c r="J76" s="211">
        <f t="shared" si="15"/>
        <v>0</v>
      </c>
      <c r="K76" s="211">
        <f t="array" ref="K76">((SUM(IF((CkDJ[Ofc Code]=(TRIM(K$7)))*(CkDJ[Account Code]=(TRIM($D76))),CkDJ[Debit])))+(SUM(IF((CsDJ[Ofc Code]=(TRIM(K$7)))*(CsDJ[Account Code]=(TRIM($D76))),CsDJ[Debit])))+(SUM(IF((CRDJ[Ofc Code]=(TRIM(K$7)))*(CRDJ[Account Code]=(TRIM($D76))),CRDJ[Debit])))+(SUM(IF((GJ[Ofc Code]=(TRIM(K$7)))*(GJ[Account Code]=(TRIM($D76))),GJ[Debit]))))-((SUM(IF((CkDJ[Ofc Code]=(TRIM(K$7)))*(CkDJ[Account Code]=(TRIM($D76))),CkDJ[Credit])))+(SUM(IF((CsDJ[Ofc Code]=(TRIM(K$7)))*(CsDJ[Account Code]=(TRIM($D76))),CsDJ[Credit])))+(SUM(IF((CRDJ[Ofc Code]=(TRIM(K$7)))*(CRDJ[Account Code]=(TRIM($D76))),CRDJ[Credit])))+(SUM(IF((GJ[Ofc Code]=(TRIM(K$7)))*(GJ[Account Code]=(TRIM($D76))),GJ[Credit]))))</f>
        <v>0</v>
      </c>
      <c r="L76" s="211">
        <f t="array" ref="L76">((SUM(IF((CkDJ[Ofc Code]=(TRIM(L$7)))*(CkDJ[Account Code]=(TRIM($D76))),CkDJ[Debit])))+(SUM(IF((CsDJ[Ofc Code]=(TRIM(L$7)))*(CsDJ[Account Code]=(TRIM($D76))),CsDJ[Debit])))+(SUM(IF((CRDJ[Ofc Code]=(TRIM(L$7)))*(CRDJ[Account Code]=(TRIM($D76))),CRDJ[Debit])))+(SUM(IF((GJ[Ofc Code]=(TRIM(L$7)))*(GJ[Account Code]=(TRIM($D76))),GJ[Debit]))))-((SUM(IF((CkDJ[Ofc Code]=(TRIM(L$7)))*(CkDJ[Account Code]=(TRIM($D76))),CkDJ[Credit])))+(SUM(IF((CsDJ[Ofc Code]=(TRIM(L$7)))*(CsDJ[Account Code]=(TRIM($D76))),CsDJ[Credit])))+(SUM(IF((CRDJ[Ofc Code]=(TRIM(L$7)))*(CRDJ[Account Code]=(TRIM($D76))),CRDJ[Credit])))+(SUM(IF((GJ[Ofc Code]=(TRIM(L$7)))*(GJ[Account Code]=(TRIM($D76))),GJ[Credit]))))</f>
        <v>0</v>
      </c>
      <c r="M76" s="211">
        <f t="array" ref="M76">((SUM(IF((CkDJ[Ofc Code]=(TRIM(M$7)))*(CkDJ[Account Code]=(TRIM($D76))),CkDJ[Debit])))+(SUM(IF((CsDJ[Ofc Code]=(TRIM(M$7)))*(CsDJ[Account Code]=(TRIM($D76))),CsDJ[Debit])))+(SUM(IF((CRDJ[Ofc Code]=(TRIM(M$7)))*(CRDJ[Account Code]=(TRIM($D76))),CRDJ[Debit])))+(SUM(IF((GJ[Ofc Code]=(TRIM(M$7)))*(GJ[Account Code]=(TRIM($D76))),GJ[Debit]))))-((SUM(IF((CkDJ[Ofc Code]=(TRIM(M$7)))*(CkDJ[Account Code]=(TRIM($D76))),CkDJ[Credit])))+(SUM(IF((CsDJ[Ofc Code]=(TRIM(M$7)))*(CsDJ[Account Code]=(TRIM($D76))),CsDJ[Credit])))+(SUM(IF((CRDJ[Ofc Code]=(TRIM(M$7)))*(CRDJ[Account Code]=(TRIM($D76))),CRDJ[Credit])))+(SUM(IF((GJ[Ofc Code]=(TRIM(M$7)))*(GJ[Account Code]=(TRIM($D76))),GJ[Credit]))))</f>
        <v>0</v>
      </c>
      <c r="N76" s="211">
        <f t="array" ref="N76">((SUM(IF((CkDJ[Ofc Code]=(TRIM(N$7)))*(CkDJ[Account Code]=(TRIM($D76))),CkDJ[Debit])))+(SUM(IF((CsDJ[Ofc Code]=(TRIM(N$7)))*(CsDJ[Account Code]=(TRIM($D76))),CsDJ[Debit])))+(SUM(IF((CRDJ[Ofc Code]=(TRIM(N$7)))*(CRDJ[Account Code]=(TRIM($D76))),CRDJ[Debit])))+(SUM(IF((GJ[Ofc Code]=(TRIM(N$7)))*(GJ[Account Code]=(TRIM($D76))),GJ[Debit]))))-((SUM(IF((CkDJ[Ofc Code]=(TRIM(N$7)))*(CkDJ[Account Code]=(TRIM($D76))),CkDJ[Credit])))+(SUM(IF((CsDJ[Ofc Code]=(TRIM(N$7)))*(CsDJ[Account Code]=(TRIM($D76))),CsDJ[Credit])))+(SUM(IF((CRDJ[Ofc Code]=(TRIM(N$7)))*(CRDJ[Account Code]=(TRIM($D76))),CRDJ[Credit])))+(SUM(IF((GJ[Ofc Code]=(TRIM(N$7)))*(GJ[Account Code]=(TRIM($D76))),GJ[Credit]))))</f>
        <v>0</v>
      </c>
      <c r="O76" s="211">
        <f t="shared" si="16"/>
        <v>0</v>
      </c>
      <c r="P76" s="211">
        <f t="array" ref="P76">((SUM(IF((CkDJ[Ofc Code]=(TRIM(P$7)))*(CkDJ[Account Code]=(TRIM($D76))),CkDJ[Debit])))+(SUM(IF((CsDJ[Ofc Code]=(TRIM(P$7)))*(CsDJ[Account Code]=(TRIM($D76))),CsDJ[Debit])))+(SUM(IF((CRDJ[Ofc Code]=(TRIM(P$7)))*(CRDJ[Account Code]=(TRIM($D76))),CRDJ[Debit])))+(SUM(IF((GJ[Ofc Code]=(TRIM(P$7)))*(GJ[Account Code]=(TRIM($D76))),GJ[Debit]))))-((SUM(IF((CkDJ[Ofc Code]=(TRIM(P$7)))*(CkDJ[Account Code]=(TRIM($D76))),CkDJ[Credit])))+(SUM(IF((CsDJ[Ofc Code]=(TRIM(P$7)))*(CsDJ[Account Code]=(TRIM($D76))),CsDJ[Credit])))+(SUM(IF((CRDJ[Ofc Code]=(TRIM(P$7)))*(CRDJ[Account Code]=(TRIM($D76))),CRDJ[Credit])))+(SUM(IF((GJ[Ofc Code]=(TRIM(P$7)))*(GJ[Account Code]=(TRIM($D76))),GJ[Credit]))))</f>
        <v>0</v>
      </c>
      <c r="Q76" s="211">
        <f t="array" ref="Q76">((SUM(IF((CkDJ[Ofc Code]=(TRIM(Q$7)))*(CkDJ[Account Code]=(TRIM($D76))),CkDJ[Debit])))+(SUM(IF((CsDJ[Ofc Code]=(TRIM(Q$7)))*(CsDJ[Account Code]=(TRIM($D76))),CsDJ[Debit])))+(SUM(IF((CRDJ[Ofc Code]=(TRIM(Q$7)))*(CRDJ[Account Code]=(TRIM($D76))),CRDJ[Debit])))+(SUM(IF((GJ[Ofc Code]=(TRIM(Q$7)))*(GJ[Account Code]=(TRIM($D76))),GJ[Debit]))))-((SUM(IF((CkDJ[Ofc Code]=(TRIM(Q$7)))*(CkDJ[Account Code]=(TRIM($D76))),CkDJ[Credit])))+(SUM(IF((CsDJ[Ofc Code]=(TRIM(Q$7)))*(CsDJ[Account Code]=(TRIM($D76))),CsDJ[Credit])))+(SUM(IF((CRDJ[Ofc Code]=(TRIM(Q$7)))*(CRDJ[Account Code]=(TRIM($D76))),CRDJ[Credit])))+(SUM(IF((GJ[Ofc Code]=(TRIM(Q$7)))*(GJ[Account Code]=(TRIM($D76))),GJ[Credit]))))</f>
        <v>0</v>
      </c>
      <c r="R76" s="211">
        <f t="array" ref="R76">((SUM(IF((CkDJ[Ofc Code]=(TRIM(R$7)))*(CkDJ[Account Code]=(TRIM($D76))),CkDJ[Debit])))+(SUM(IF((CsDJ[Ofc Code]=(TRIM(R$7)))*(CsDJ[Account Code]=(TRIM($D76))),CsDJ[Debit])))+(SUM(IF((CRDJ[Ofc Code]=(TRIM(R$7)))*(CRDJ[Account Code]=(TRIM($D76))),CRDJ[Debit])))+(SUM(IF((GJ[Ofc Code]=(TRIM(R$7)))*(GJ[Account Code]=(TRIM($D76))),GJ[Debit]))))-((SUM(IF((CkDJ[Ofc Code]=(TRIM(R$7)))*(CkDJ[Account Code]=(TRIM($D76))),CkDJ[Credit])))+(SUM(IF((CsDJ[Ofc Code]=(TRIM(R$7)))*(CsDJ[Account Code]=(TRIM($D76))),CsDJ[Credit])))+(SUM(IF((CRDJ[Ofc Code]=(TRIM(R$7)))*(CRDJ[Account Code]=(TRIM($D76))),CRDJ[Credit])))+(SUM(IF((GJ[Ofc Code]=(TRIM(R$7)))*(GJ[Account Code]=(TRIM($D76))),GJ[Credit]))))</f>
        <v>0</v>
      </c>
      <c r="S76" s="211">
        <f t="array" ref="S76">((SUM(IF((CkDJ[Ofc Code]=(TRIM(S$7)))*(CkDJ[Account Code]=(TRIM($D76))),CkDJ[Debit])))+(SUM(IF((CsDJ[Ofc Code]=(TRIM(S$7)))*(CsDJ[Account Code]=(TRIM($D76))),CsDJ[Debit])))+(SUM(IF((CRDJ[Ofc Code]=(TRIM(S$7)))*(CRDJ[Account Code]=(TRIM($D76))),CRDJ[Debit])))+(SUM(IF((GJ[Ofc Code]=(TRIM(S$7)))*(GJ[Account Code]=(TRIM($D76))),GJ[Debit]))))-((SUM(IF((CkDJ[Ofc Code]=(TRIM(S$7)))*(CkDJ[Account Code]=(TRIM($D76))),CkDJ[Credit])))+(SUM(IF((CsDJ[Ofc Code]=(TRIM(S$7)))*(CsDJ[Account Code]=(TRIM($D76))),CsDJ[Credit])))+(SUM(IF((CRDJ[Ofc Code]=(TRIM(S$7)))*(CRDJ[Account Code]=(TRIM($D76))),CRDJ[Credit])))+(SUM(IF((GJ[Ofc Code]=(TRIM(S$7)))*(GJ[Account Code]=(TRIM($D76))),GJ[Credit]))))</f>
        <v>0</v>
      </c>
      <c r="T76" s="211">
        <f t="array" ref="T76">((SUM(IF((CkDJ[Ofc Code]=(TRIM(T$7)))*(CkDJ[Account Code]=(TRIM($D76))),CkDJ[Debit])))+(SUM(IF((CsDJ[Ofc Code]=(TRIM(T$7)))*(CsDJ[Account Code]=(TRIM($D76))),CsDJ[Debit])))+(SUM(IF((CRDJ[Ofc Code]=(TRIM(T$7)))*(CRDJ[Account Code]=(TRIM($D76))),CRDJ[Debit])))+(SUM(IF((GJ[Ofc Code]=(TRIM(T$7)))*(GJ[Account Code]=(TRIM($D76))),GJ[Debit]))))-((SUM(IF((CkDJ[Ofc Code]=(TRIM(T$7)))*(CkDJ[Account Code]=(TRIM($D76))),CkDJ[Credit])))+(SUM(IF((CsDJ[Ofc Code]=(TRIM(T$7)))*(CsDJ[Account Code]=(TRIM($D76))),CsDJ[Credit])))+(SUM(IF((CRDJ[Ofc Code]=(TRIM(T$7)))*(CRDJ[Account Code]=(TRIM($D76))),CRDJ[Credit])))+(SUM(IF((GJ[Ofc Code]=(TRIM(T$7)))*(GJ[Account Code]=(TRIM($D76))),GJ[Credit]))))</f>
        <v>0</v>
      </c>
      <c r="U76" s="211">
        <f t="shared" si="17"/>
        <v>0</v>
      </c>
      <c r="V76" s="211">
        <f t="shared" si="18"/>
        <v>0</v>
      </c>
    </row>
    <row r="77" spans="1:22" ht="15" x14ac:dyDescent="0.25">
      <c r="A77" s="212">
        <f t="shared" si="19"/>
        <v>15</v>
      </c>
      <c r="B77" s="214"/>
      <c r="C77" s="194" t="str">
        <f t="shared" si="14"/>
        <v>Internet Subscription Expenses</v>
      </c>
      <c r="D77" s="207">
        <v>774</v>
      </c>
      <c r="E77" s="211">
        <f t="array" ref="E77">((SUM(IF((CkDJ[Ofc Code]=(TRIM(E$7)))*(CkDJ[Account Code]=(TRIM($D77))),CkDJ[Debit])))+(SUM(IF((CsDJ[Ofc Code]=(TRIM(E$7)))*(CsDJ[Account Code]=(TRIM($D77))),CsDJ[Debit])))+(SUM(IF((CRDJ[Ofc Code]=(TRIM(E$7)))*(CRDJ[Account Code]=(TRIM($D77))),CRDJ[Debit])))+(SUM(IF((GJ[Ofc Code]=(TRIM(E$7)))*(GJ[Account Code]=(TRIM($D77))),GJ[Debit]))))-((SUM(IF((CkDJ[Ofc Code]=(TRIM(E$7)))*(CkDJ[Account Code]=(TRIM($D77))),CkDJ[Credit])))+(SUM(IF((CsDJ[Ofc Code]=(TRIM(E$7)))*(CsDJ[Account Code]=(TRIM($D77))),CsDJ[Credit])))+(SUM(IF((CRDJ[Ofc Code]=(TRIM(E$7)))*(CRDJ[Account Code]=(TRIM($D77))),CRDJ[Credit])))+(SUM(IF((GJ[Ofc Code]=(TRIM(E$7)))*(GJ[Account Code]=(TRIM($D77))),GJ[Credit]))))</f>
        <v>0</v>
      </c>
      <c r="F77" s="211">
        <f t="array" ref="F77">((SUM(IF((CkDJ[Ofc Code]=(TRIM(F$7)))*(CkDJ[Account Code]=(TRIM($D77))),CkDJ[Debit])))+(SUM(IF((CsDJ[Ofc Code]=(TRIM(F$7)))*(CsDJ[Account Code]=(TRIM($D77))),CsDJ[Debit])))+(SUM(IF((CRDJ[Ofc Code]=(TRIM(F$7)))*(CRDJ[Account Code]=(TRIM($D77))),CRDJ[Debit])))+(SUM(IF((GJ[Ofc Code]=(TRIM(F$7)))*(GJ[Account Code]=(TRIM($D77))),GJ[Debit]))))-((SUM(IF((CkDJ[Ofc Code]=(TRIM(F$7)))*(CkDJ[Account Code]=(TRIM($D77))),CkDJ[Credit])))+(SUM(IF((CsDJ[Ofc Code]=(TRIM(F$7)))*(CsDJ[Account Code]=(TRIM($D77))),CsDJ[Credit])))+(SUM(IF((CRDJ[Ofc Code]=(TRIM(F$7)))*(CRDJ[Account Code]=(TRIM($D77))),CRDJ[Credit])))+(SUM(IF((GJ[Ofc Code]=(TRIM(F$7)))*(GJ[Account Code]=(TRIM($D77))),GJ[Credit]))))</f>
        <v>0</v>
      </c>
      <c r="G77" s="211">
        <f t="array" ref="G77">((SUM(IF((CkDJ[Ofc Code]=(TRIM(G$7)))*(CkDJ[Account Code]=(TRIM($D77))),CkDJ[Debit])))+(SUM(IF((CsDJ[Ofc Code]=(TRIM(G$7)))*(CsDJ[Account Code]=(TRIM($D77))),CsDJ[Debit])))+(SUM(IF((CRDJ[Ofc Code]=(TRIM(G$7)))*(CRDJ[Account Code]=(TRIM($D77))),CRDJ[Debit])))+(SUM(IF((GJ[Ofc Code]=(TRIM(G$7)))*(GJ[Account Code]=(TRIM($D77))),GJ[Debit]))))-((SUM(IF((CkDJ[Ofc Code]=(TRIM(G$7)))*(CkDJ[Account Code]=(TRIM($D77))),CkDJ[Credit])))+(SUM(IF((CsDJ[Ofc Code]=(TRIM(G$7)))*(CsDJ[Account Code]=(TRIM($D77))),CsDJ[Credit])))+(SUM(IF((CRDJ[Ofc Code]=(TRIM(G$7)))*(CRDJ[Account Code]=(TRIM($D77))),CRDJ[Credit])))+(SUM(IF((GJ[Ofc Code]=(TRIM(G$7)))*(GJ[Account Code]=(TRIM($D77))),GJ[Credit]))))</f>
        <v>0</v>
      </c>
      <c r="H77" s="211">
        <f t="array" ref="H77">((SUM(IF((CkDJ[Ofc Code]=(TRIM(H$7)))*(CkDJ[Account Code]=(TRIM($D77))),CkDJ[Debit])))+(SUM(IF((CsDJ[Ofc Code]=(TRIM(H$7)))*(CsDJ[Account Code]=(TRIM($D77))),CsDJ[Debit])))+(SUM(IF((CRDJ[Ofc Code]=(TRIM(H$7)))*(CRDJ[Account Code]=(TRIM($D77))),CRDJ[Debit])))+(SUM(IF((GJ[Ofc Code]=(TRIM(H$7)))*(GJ[Account Code]=(TRIM($D77))),GJ[Debit]))))-((SUM(IF((CkDJ[Ofc Code]=(TRIM(H$7)))*(CkDJ[Account Code]=(TRIM($D77))),CkDJ[Credit])))+(SUM(IF((CsDJ[Ofc Code]=(TRIM(H$7)))*(CsDJ[Account Code]=(TRIM($D77))),CsDJ[Credit])))+(SUM(IF((CRDJ[Ofc Code]=(TRIM(H$7)))*(CRDJ[Account Code]=(TRIM($D77))),CRDJ[Credit])))+(SUM(IF((GJ[Ofc Code]=(TRIM(H$7)))*(GJ[Account Code]=(TRIM($D77))),GJ[Credit]))))</f>
        <v>0</v>
      </c>
      <c r="I77" s="211">
        <f t="array" ref="I77">((SUM(IF((CkDJ[Ofc Code]=(TRIM(I$7)))*(CkDJ[Account Code]=(TRIM($D77))),CkDJ[Debit])))+(SUM(IF((CsDJ[Ofc Code]=(TRIM(I$7)))*(CsDJ[Account Code]=(TRIM($D77))),CsDJ[Debit])))+(SUM(IF((CRDJ[Ofc Code]=(TRIM(I$7)))*(CRDJ[Account Code]=(TRIM($D77))),CRDJ[Debit])))+(SUM(IF((GJ[Ofc Code]=(TRIM(I$7)))*(GJ[Account Code]=(TRIM($D77))),GJ[Debit]))))-((SUM(IF((CkDJ[Ofc Code]=(TRIM(I$7)))*(CkDJ[Account Code]=(TRIM($D77))),CkDJ[Credit])))+(SUM(IF((CsDJ[Ofc Code]=(TRIM(I$7)))*(CsDJ[Account Code]=(TRIM($D77))),CsDJ[Credit])))+(SUM(IF((CRDJ[Ofc Code]=(TRIM(I$7)))*(CRDJ[Account Code]=(TRIM($D77))),CRDJ[Credit])))+(SUM(IF((GJ[Ofc Code]=(TRIM(I$7)))*(GJ[Account Code]=(TRIM($D77))),GJ[Credit]))))</f>
        <v>0</v>
      </c>
      <c r="J77" s="211">
        <f t="shared" si="15"/>
        <v>0</v>
      </c>
      <c r="K77" s="211">
        <f t="array" ref="K77">((SUM(IF((CkDJ[Ofc Code]=(TRIM(K$7)))*(CkDJ[Account Code]=(TRIM($D77))),CkDJ[Debit])))+(SUM(IF((CsDJ[Ofc Code]=(TRIM(K$7)))*(CsDJ[Account Code]=(TRIM($D77))),CsDJ[Debit])))+(SUM(IF((CRDJ[Ofc Code]=(TRIM(K$7)))*(CRDJ[Account Code]=(TRIM($D77))),CRDJ[Debit])))+(SUM(IF((GJ[Ofc Code]=(TRIM(K$7)))*(GJ[Account Code]=(TRIM($D77))),GJ[Debit]))))-((SUM(IF((CkDJ[Ofc Code]=(TRIM(K$7)))*(CkDJ[Account Code]=(TRIM($D77))),CkDJ[Credit])))+(SUM(IF((CsDJ[Ofc Code]=(TRIM(K$7)))*(CsDJ[Account Code]=(TRIM($D77))),CsDJ[Credit])))+(SUM(IF((CRDJ[Ofc Code]=(TRIM(K$7)))*(CRDJ[Account Code]=(TRIM($D77))),CRDJ[Credit])))+(SUM(IF((GJ[Ofc Code]=(TRIM(K$7)))*(GJ[Account Code]=(TRIM($D77))),GJ[Credit]))))</f>
        <v>0</v>
      </c>
      <c r="L77" s="211">
        <f t="array" ref="L77">((SUM(IF((CkDJ[Ofc Code]=(TRIM(L$7)))*(CkDJ[Account Code]=(TRIM($D77))),CkDJ[Debit])))+(SUM(IF((CsDJ[Ofc Code]=(TRIM(L$7)))*(CsDJ[Account Code]=(TRIM($D77))),CsDJ[Debit])))+(SUM(IF((CRDJ[Ofc Code]=(TRIM(L$7)))*(CRDJ[Account Code]=(TRIM($D77))),CRDJ[Debit])))+(SUM(IF((GJ[Ofc Code]=(TRIM(L$7)))*(GJ[Account Code]=(TRIM($D77))),GJ[Debit]))))-((SUM(IF((CkDJ[Ofc Code]=(TRIM(L$7)))*(CkDJ[Account Code]=(TRIM($D77))),CkDJ[Credit])))+(SUM(IF((CsDJ[Ofc Code]=(TRIM(L$7)))*(CsDJ[Account Code]=(TRIM($D77))),CsDJ[Credit])))+(SUM(IF((CRDJ[Ofc Code]=(TRIM(L$7)))*(CRDJ[Account Code]=(TRIM($D77))),CRDJ[Credit])))+(SUM(IF((GJ[Ofc Code]=(TRIM(L$7)))*(GJ[Account Code]=(TRIM($D77))),GJ[Credit]))))</f>
        <v>0</v>
      </c>
      <c r="M77" s="211">
        <f t="array" ref="M77">((SUM(IF((CkDJ[Ofc Code]=(TRIM(M$7)))*(CkDJ[Account Code]=(TRIM($D77))),CkDJ[Debit])))+(SUM(IF((CsDJ[Ofc Code]=(TRIM(M$7)))*(CsDJ[Account Code]=(TRIM($D77))),CsDJ[Debit])))+(SUM(IF((CRDJ[Ofc Code]=(TRIM(M$7)))*(CRDJ[Account Code]=(TRIM($D77))),CRDJ[Debit])))+(SUM(IF((GJ[Ofc Code]=(TRIM(M$7)))*(GJ[Account Code]=(TRIM($D77))),GJ[Debit]))))-((SUM(IF((CkDJ[Ofc Code]=(TRIM(M$7)))*(CkDJ[Account Code]=(TRIM($D77))),CkDJ[Credit])))+(SUM(IF((CsDJ[Ofc Code]=(TRIM(M$7)))*(CsDJ[Account Code]=(TRIM($D77))),CsDJ[Credit])))+(SUM(IF((CRDJ[Ofc Code]=(TRIM(M$7)))*(CRDJ[Account Code]=(TRIM($D77))),CRDJ[Credit])))+(SUM(IF((GJ[Ofc Code]=(TRIM(M$7)))*(GJ[Account Code]=(TRIM($D77))),GJ[Credit]))))</f>
        <v>0</v>
      </c>
      <c r="N77" s="211">
        <f t="array" ref="N77">((SUM(IF((CkDJ[Ofc Code]=(TRIM(N$7)))*(CkDJ[Account Code]=(TRIM($D77))),CkDJ[Debit])))+(SUM(IF((CsDJ[Ofc Code]=(TRIM(N$7)))*(CsDJ[Account Code]=(TRIM($D77))),CsDJ[Debit])))+(SUM(IF((CRDJ[Ofc Code]=(TRIM(N$7)))*(CRDJ[Account Code]=(TRIM($D77))),CRDJ[Debit])))+(SUM(IF((GJ[Ofc Code]=(TRIM(N$7)))*(GJ[Account Code]=(TRIM($D77))),GJ[Debit]))))-((SUM(IF((CkDJ[Ofc Code]=(TRIM(N$7)))*(CkDJ[Account Code]=(TRIM($D77))),CkDJ[Credit])))+(SUM(IF((CsDJ[Ofc Code]=(TRIM(N$7)))*(CsDJ[Account Code]=(TRIM($D77))),CsDJ[Credit])))+(SUM(IF((CRDJ[Ofc Code]=(TRIM(N$7)))*(CRDJ[Account Code]=(TRIM($D77))),CRDJ[Credit])))+(SUM(IF((GJ[Ofc Code]=(TRIM(N$7)))*(GJ[Account Code]=(TRIM($D77))),GJ[Credit]))))</f>
        <v>0</v>
      </c>
      <c r="O77" s="211">
        <f t="shared" si="16"/>
        <v>0</v>
      </c>
      <c r="P77" s="211">
        <f t="array" ref="P77">((SUM(IF((CkDJ[Ofc Code]=(TRIM(P$7)))*(CkDJ[Account Code]=(TRIM($D77))),CkDJ[Debit])))+(SUM(IF((CsDJ[Ofc Code]=(TRIM(P$7)))*(CsDJ[Account Code]=(TRIM($D77))),CsDJ[Debit])))+(SUM(IF((CRDJ[Ofc Code]=(TRIM(P$7)))*(CRDJ[Account Code]=(TRIM($D77))),CRDJ[Debit])))+(SUM(IF((GJ[Ofc Code]=(TRIM(P$7)))*(GJ[Account Code]=(TRIM($D77))),GJ[Debit]))))-((SUM(IF((CkDJ[Ofc Code]=(TRIM(P$7)))*(CkDJ[Account Code]=(TRIM($D77))),CkDJ[Credit])))+(SUM(IF((CsDJ[Ofc Code]=(TRIM(P$7)))*(CsDJ[Account Code]=(TRIM($D77))),CsDJ[Credit])))+(SUM(IF((CRDJ[Ofc Code]=(TRIM(P$7)))*(CRDJ[Account Code]=(TRIM($D77))),CRDJ[Credit])))+(SUM(IF((GJ[Ofc Code]=(TRIM(P$7)))*(GJ[Account Code]=(TRIM($D77))),GJ[Credit]))))</f>
        <v>0</v>
      </c>
      <c r="Q77" s="211">
        <f t="array" ref="Q77">((SUM(IF((CkDJ[Ofc Code]=(TRIM(Q$7)))*(CkDJ[Account Code]=(TRIM($D77))),CkDJ[Debit])))+(SUM(IF((CsDJ[Ofc Code]=(TRIM(Q$7)))*(CsDJ[Account Code]=(TRIM($D77))),CsDJ[Debit])))+(SUM(IF((CRDJ[Ofc Code]=(TRIM(Q$7)))*(CRDJ[Account Code]=(TRIM($D77))),CRDJ[Debit])))+(SUM(IF((GJ[Ofc Code]=(TRIM(Q$7)))*(GJ[Account Code]=(TRIM($D77))),GJ[Debit]))))-((SUM(IF((CkDJ[Ofc Code]=(TRIM(Q$7)))*(CkDJ[Account Code]=(TRIM($D77))),CkDJ[Credit])))+(SUM(IF((CsDJ[Ofc Code]=(TRIM(Q$7)))*(CsDJ[Account Code]=(TRIM($D77))),CsDJ[Credit])))+(SUM(IF((CRDJ[Ofc Code]=(TRIM(Q$7)))*(CRDJ[Account Code]=(TRIM($D77))),CRDJ[Credit])))+(SUM(IF((GJ[Ofc Code]=(TRIM(Q$7)))*(GJ[Account Code]=(TRIM($D77))),GJ[Credit]))))</f>
        <v>0</v>
      </c>
      <c r="R77" s="211">
        <f t="array" ref="R77">((SUM(IF((CkDJ[Ofc Code]=(TRIM(R$7)))*(CkDJ[Account Code]=(TRIM($D77))),CkDJ[Debit])))+(SUM(IF((CsDJ[Ofc Code]=(TRIM(R$7)))*(CsDJ[Account Code]=(TRIM($D77))),CsDJ[Debit])))+(SUM(IF((CRDJ[Ofc Code]=(TRIM(R$7)))*(CRDJ[Account Code]=(TRIM($D77))),CRDJ[Debit])))+(SUM(IF((GJ[Ofc Code]=(TRIM(R$7)))*(GJ[Account Code]=(TRIM($D77))),GJ[Debit]))))-((SUM(IF((CkDJ[Ofc Code]=(TRIM(R$7)))*(CkDJ[Account Code]=(TRIM($D77))),CkDJ[Credit])))+(SUM(IF((CsDJ[Ofc Code]=(TRIM(R$7)))*(CsDJ[Account Code]=(TRIM($D77))),CsDJ[Credit])))+(SUM(IF((CRDJ[Ofc Code]=(TRIM(R$7)))*(CRDJ[Account Code]=(TRIM($D77))),CRDJ[Credit])))+(SUM(IF((GJ[Ofc Code]=(TRIM(R$7)))*(GJ[Account Code]=(TRIM($D77))),GJ[Credit]))))</f>
        <v>0</v>
      </c>
      <c r="S77" s="211">
        <f t="array" ref="S77">((SUM(IF((CkDJ[Ofc Code]=(TRIM(S$7)))*(CkDJ[Account Code]=(TRIM($D77))),CkDJ[Debit])))+(SUM(IF((CsDJ[Ofc Code]=(TRIM(S$7)))*(CsDJ[Account Code]=(TRIM($D77))),CsDJ[Debit])))+(SUM(IF((CRDJ[Ofc Code]=(TRIM(S$7)))*(CRDJ[Account Code]=(TRIM($D77))),CRDJ[Debit])))+(SUM(IF((GJ[Ofc Code]=(TRIM(S$7)))*(GJ[Account Code]=(TRIM($D77))),GJ[Debit]))))-((SUM(IF((CkDJ[Ofc Code]=(TRIM(S$7)))*(CkDJ[Account Code]=(TRIM($D77))),CkDJ[Credit])))+(SUM(IF((CsDJ[Ofc Code]=(TRIM(S$7)))*(CsDJ[Account Code]=(TRIM($D77))),CsDJ[Credit])))+(SUM(IF((CRDJ[Ofc Code]=(TRIM(S$7)))*(CRDJ[Account Code]=(TRIM($D77))),CRDJ[Credit])))+(SUM(IF((GJ[Ofc Code]=(TRIM(S$7)))*(GJ[Account Code]=(TRIM($D77))),GJ[Credit]))))</f>
        <v>0</v>
      </c>
      <c r="T77" s="211">
        <f t="array" ref="T77">((SUM(IF((CkDJ[Ofc Code]=(TRIM(T$7)))*(CkDJ[Account Code]=(TRIM($D77))),CkDJ[Debit])))+(SUM(IF((CsDJ[Ofc Code]=(TRIM(T$7)))*(CsDJ[Account Code]=(TRIM($D77))),CsDJ[Debit])))+(SUM(IF((CRDJ[Ofc Code]=(TRIM(T$7)))*(CRDJ[Account Code]=(TRIM($D77))),CRDJ[Debit])))+(SUM(IF((GJ[Ofc Code]=(TRIM(T$7)))*(GJ[Account Code]=(TRIM($D77))),GJ[Debit]))))-((SUM(IF((CkDJ[Ofc Code]=(TRIM(T$7)))*(CkDJ[Account Code]=(TRIM($D77))),CkDJ[Credit])))+(SUM(IF((CsDJ[Ofc Code]=(TRIM(T$7)))*(CsDJ[Account Code]=(TRIM($D77))),CsDJ[Credit])))+(SUM(IF((CRDJ[Ofc Code]=(TRIM(T$7)))*(CRDJ[Account Code]=(TRIM($D77))),CRDJ[Credit])))+(SUM(IF((GJ[Ofc Code]=(TRIM(T$7)))*(GJ[Account Code]=(TRIM($D77))),GJ[Credit]))))</f>
        <v>0</v>
      </c>
      <c r="U77" s="211">
        <f t="shared" si="17"/>
        <v>0</v>
      </c>
      <c r="V77" s="211">
        <f t="shared" si="18"/>
        <v>0</v>
      </c>
    </row>
    <row r="78" spans="1:22" ht="15" x14ac:dyDescent="0.25">
      <c r="A78" s="212">
        <f t="shared" si="19"/>
        <v>16</v>
      </c>
      <c r="B78" s="214"/>
      <c r="C78" s="194" t="str">
        <f t="shared" si="14"/>
        <v>Membership Dues and Contributions to Organizations</v>
      </c>
      <c r="D78" s="207" t="s">
        <v>239</v>
      </c>
      <c r="E78" s="211">
        <f t="array" ref="E78">((SUM(IF((CkDJ[Ofc Code]=(TRIM(E$7)))*(CkDJ[Account Code]=(TRIM($D78))),CkDJ[Debit])))+(SUM(IF((CsDJ[Ofc Code]=(TRIM(E$7)))*(CsDJ[Account Code]=(TRIM($D78))),CsDJ[Debit])))+(SUM(IF((CRDJ[Ofc Code]=(TRIM(E$7)))*(CRDJ[Account Code]=(TRIM($D78))),CRDJ[Debit])))+(SUM(IF((GJ[Ofc Code]=(TRIM(E$7)))*(GJ[Account Code]=(TRIM($D78))),GJ[Debit]))))-((SUM(IF((CkDJ[Ofc Code]=(TRIM(E$7)))*(CkDJ[Account Code]=(TRIM($D78))),CkDJ[Credit])))+(SUM(IF((CsDJ[Ofc Code]=(TRIM(E$7)))*(CsDJ[Account Code]=(TRIM($D78))),CsDJ[Credit])))+(SUM(IF((CRDJ[Ofc Code]=(TRIM(E$7)))*(CRDJ[Account Code]=(TRIM($D78))),CRDJ[Credit])))+(SUM(IF((GJ[Ofc Code]=(TRIM(E$7)))*(GJ[Account Code]=(TRIM($D78))),GJ[Credit]))))</f>
        <v>0</v>
      </c>
      <c r="F78" s="211">
        <f t="array" ref="F78">((SUM(IF((CkDJ[Ofc Code]=(TRIM(F$7)))*(CkDJ[Account Code]=(TRIM($D78))),CkDJ[Debit])))+(SUM(IF((CsDJ[Ofc Code]=(TRIM(F$7)))*(CsDJ[Account Code]=(TRIM($D78))),CsDJ[Debit])))+(SUM(IF((CRDJ[Ofc Code]=(TRIM(F$7)))*(CRDJ[Account Code]=(TRIM($D78))),CRDJ[Debit])))+(SUM(IF((GJ[Ofc Code]=(TRIM(F$7)))*(GJ[Account Code]=(TRIM($D78))),GJ[Debit]))))-((SUM(IF((CkDJ[Ofc Code]=(TRIM(F$7)))*(CkDJ[Account Code]=(TRIM($D78))),CkDJ[Credit])))+(SUM(IF((CsDJ[Ofc Code]=(TRIM(F$7)))*(CsDJ[Account Code]=(TRIM($D78))),CsDJ[Credit])))+(SUM(IF((CRDJ[Ofc Code]=(TRIM(F$7)))*(CRDJ[Account Code]=(TRIM($D78))),CRDJ[Credit])))+(SUM(IF((GJ[Ofc Code]=(TRIM(F$7)))*(GJ[Account Code]=(TRIM($D78))),GJ[Credit]))))</f>
        <v>0</v>
      </c>
      <c r="G78" s="211">
        <f t="array" ref="G78">((SUM(IF((CkDJ[Ofc Code]=(TRIM(G$7)))*(CkDJ[Account Code]=(TRIM($D78))),CkDJ[Debit])))+(SUM(IF((CsDJ[Ofc Code]=(TRIM(G$7)))*(CsDJ[Account Code]=(TRIM($D78))),CsDJ[Debit])))+(SUM(IF((CRDJ[Ofc Code]=(TRIM(G$7)))*(CRDJ[Account Code]=(TRIM($D78))),CRDJ[Debit])))+(SUM(IF((GJ[Ofc Code]=(TRIM(G$7)))*(GJ[Account Code]=(TRIM($D78))),GJ[Debit]))))-((SUM(IF((CkDJ[Ofc Code]=(TRIM(G$7)))*(CkDJ[Account Code]=(TRIM($D78))),CkDJ[Credit])))+(SUM(IF((CsDJ[Ofc Code]=(TRIM(G$7)))*(CsDJ[Account Code]=(TRIM($D78))),CsDJ[Credit])))+(SUM(IF((CRDJ[Ofc Code]=(TRIM(G$7)))*(CRDJ[Account Code]=(TRIM($D78))),CRDJ[Credit])))+(SUM(IF((GJ[Ofc Code]=(TRIM(G$7)))*(GJ[Account Code]=(TRIM($D78))),GJ[Credit]))))</f>
        <v>0</v>
      </c>
      <c r="H78" s="211">
        <f t="array" ref="H78">((SUM(IF((CkDJ[Ofc Code]=(TRIM(H$7)))*(CkDJ[Account Code]=(TRIM($D78))),CkDJ[Debit])))+(SUM(IF((CsDJ[Ofc Code]=(TRIM(H$7)))*(CsDJ[Account Code]=(TRIM($D78))),CsDJ[Debit])))+(SUM(IF((CRDJ[Ofc Code]=(TRIM(H$7)))*(CRDJ[Account Code]=(TRIM($D78))),CRDJ[Debit])))+(SUM(IF((GJ[Ofc Code]=(TRIM(H$7)))*(GJ[Account Code]=(TRIM($D78))),GJ[Debit]))))-((SUM(IF((CkDJ[Ofc Code]=(TRIM(H$7)))*(CkDJ[Account Code]=(TRIM($D78))),CkDJ[Credit])))+(SUM(IF((CsDJ[Ofc Code]=(TRIM(H$7)))*(CsDJ[Account Code]=(TRIM($D78))),CsDJ[Credit])))+(SUM(IF((CRDJ[Ofc Code]=(TRIM(H$7)))*(CRDJ[Account Code]=(TRIM($D78))),CRDJ[Credit])))+(SUM(IF((GJ[Ofc Code]=(TRIM(H$7)))*(GJ[Account Code]=(TRIM($D78))),GJ[Credit]))))</f>
        <v>0</v>
      </c>
      <c r="I78" s="211">
        <f t="array" ref="I78">((SUM(IF((CkDJ[Ofc Code]=(TRIM(I$7)))*(CkDJ[Account Code]=(TRIM($D78))),CkDJ[Debit])))+(SUM(IF((CsDJ[Ofc Code]=(TRIM(I$7)))*(CsDJ[Account Code]=(TRIM($D78))),CsDJ[Debit])))+(SUM(IF((CRDJ[Ofc Code]=(TRIM(I$7)))*(CRDJ[Account Code]=(TRIM($D78))),CRDJ[Debit])))+(SUM(IF((GJ[Ofc Code]=(TRIM(I$7)))*(GJ[Account Code]=(TRIM($D78))),GJ[Debit]))))-((SUM(IF((CkDJ[Ofc Code]=(TRIM(I$7)))*(CkDJ[Account Code]=(TRIM($D78))),CkDJ[Credit])))+(SUM(IF((CsDJ[Ofc Code]=(TRIM(I$7)))*(CsDJ[Account Code]=(TRIM($D78))),CsDJ[Credit])))+(SUM(IF((CRDJ[Ofc Code]=(TRIM(I$7)))*(CRDJ[Account Code]=(TRIM($D78))),CRDJ[Credit])))+(SUM(IF((GJ[Ofc Code]=(TRIM(I$7)))*(GJ[Account Code]=(TRIM($D78))),GJ[Credit]))))</f>
        <v>0</v>
      </c>
      <c r="J78" s="211">
        <f>SUM(F78:I78)</f>
        <v>0</v>
      </c>
      <c r="K78" s="211">
        <f t="array" ref="K78">((SUM(IF((CkDJ[Ofc Code]=(TRIM(K$7)))*(CkDJ[Account Code]=(TRIM($D78))),CkDJ[Debit])))+(SUM(IF((CsDJ[Ofc Code]=(TRIM(K$7)))*(CsDJ[Account Code]=(TRIM($D78))),CsDJ[Debit])))+(SUM(IF((CRDJ[Ofc Code]=(TRIM(K$7)))*(CRDJ[Account Code]=(TRIM($D78))),CRDJ[Debit])))+(SUM(IF((GJ[Ofc Code]=(TRIM(K$7)))*(GJ[Account Code]=(TRIM($D78))),GJ[Debit]))))-((SUM(IF((CkDJ[Ofc Code]=(TRIM(K$7)))*(CkDJ[Account Code]=(TRIM($D78))),CkDJ[Credit])))+(SUM(IF((CsDJ[Ofc Code]=(TRIM(K$7)))*(CsDJ[Account Code]=(TRIM($D78))),CsDJ[Credit])))+(SUM(IF((CRDJ[Ofc Code]=(TRIM(K$7)))*(CRDJ[Account Code]=(TRIM($D78))),CRDJ[Credit])))+(SUM(IF((GJ[Ofc Code]=(TRIM(K$7)))*(GJ[Account Code]=(TRIM($D78))),GJ[Credit]))))</f>
        <v>0</v>
      </c>
      <c r="L78" s="211">
        <f t="array" ref="L78">((SUM(IF((CkDJ[Ofc Code]=(TRIM(L$7)))*(CkDJ[Account Code]=(TRIM($D78))),CkDJ[Debit])))+(SUM(IF((CsDJ[Ofc Code]=(TRIM(L$7)))*(CsDJ[Account Code]=(TRIM($D78))),CsDJ[Debit])))+(SUM(IF((CRDJ[Ofc Code]=(TRIM(L$7)))*(CRDJ[Account Code]=(TRIM($D78))),CRDJ[Debit])))+(SUM(IF((GJ[Ofc Code]=(TRIM(L$7)))*(GJ[Account Code]=(TRIM($D78))),GJ[Debit]))))-((SUM(IF((CkDJ[Ofc Code]=(TRIM(L$7)))*(CkDJ[Account Code]=(TRIM($D78))),CkDJ[Credit])))+(SUM(IF((CsDJ[Ofc Code]=(TRIM(L$7)))*(CsDJ[Account Code]=(TRIM($D78))),CsDJ[Credit])))+(SUM(IF((CRDJ[Ofc Code]=(TRIM(L$7)))*(CRDJ[Account Code]=(TRIM($D78))),CRDJ[Credit])))+(SUM(IF((GJ[Ofc Code]=(TRIM(L$7)))*(GJ[Account Code]=(TRIM($D78))),GJ[Credit]))))</f>
        <v>0</v>
      </c>
      <c r="M78" s="211">
        <f t="array" ref="M78">((SUM(IF((CkDJ[Ofc Code]=(TRIM(M$7)))*(CkDJ[Account Code]=(TRIM($D78))),CkDJ[Debit])))+(SUM(IF((CsDJ[Ofc Code]=(TRIM(M$7)))*(CsDJ[Account Code]=(TRIM($D78))),CsDJ[Debit])))+(SUM(IF((CRDJ[Ofc Code]=(TRIM(M$7)))*(CRDJ[Account Code]=(TRIM($D78))),CRDJ[Debit])))+(SUM(IF((GJ[Ofc Code]=(TRIM(M$7)))*(GJ[Account Code]=(TRIM($D78))),GJ[Debit]))))-((SUM(IF((CkDJ[Ofc Code]=(TRIM(M$7)))*(CkDJ[Account Code]=(TRIM($D78))),CkDJ[Credit])))+(SUM(IF((CsDJ[Ofc Code]=(TRIM(M$7)))*(CsDJ[Account Code]=(TRIM($D78))),CsDJ[Credit])))+(SUM(IF((CRDJ[Ofc Code]=(TRIM(M$7)))*(CRDJ[Account Code]=(TRIM($D78))),CRDJ[Credit])))+(SUM(IF((GJ[Ofc Code]=(TRIM(M$7)))*(GJ[Account Code]=(TRIM($D78))),GJ[Credit]))))</f>
        <v>0</v>
      </c>
      <c r="N78" s="211">
        <f t="array" ref="N78">((SUM(IF((CkDJ[Ofc Code]=(TRIM(N$7)))*(CkDJ[Account Code]=(TRIM($D78))),CkDJ[Debit])))+(SUM(IF((CsDJ[Ofc Code]=(TRIM(N$7)))*(CsDJ[Account Code]=(TRIM($D78))),CsDJ[Debit])))+(SUM(IF((CRDJ[Ofc Code]=(TRIM(N$7)))*(CRDJ[Account Code]=(TRIM($D78))),CRDJ[Debit])))+(SUM(IF((GJ[Ofc Code]=(TRIM(N$7)))*(GJ[Account Code]=(TRIM($D78))),GJ[Debit]))))-((SUM(IF((CkDJ[Ofc Code]=(TRIM(N$7)))*(CkDJ[Account Code]=(TRIM($D78))),CkDJ[Credit])))+(SUM(IF((CsDJ[Ofc Code]=(TRIM(N$7)))*(CsDJ[Account Code]=(TRIM($D78))),CsDJ[Credit])))+(SUM(IF((CRDJ[Ofc Code]=(TRIM(N$7)))*(CRDJ[Account Code]=(TRIM($D78))),CRDJ[Credit])))+(SUM(IF((GJ[Ofc Code]=(TRIM(N$7)))*(GJ[Account Code]=(TRIM($D78))),GJ[Credit]))))</f>
        <v>0</v>
      </c>
      <c r="O78" s="211">
        <f>SUM(K78:N78)</f>
        <v>0</v>
      </c>
      <c r="P78" s="211">
        <f t="array" ref="P78">((SUM(IF((CkDJ[Ofc Code]=(TRIM(P$7)))*(CkDJ[Account Code]=(TRIM($D78))),CkDJ[Debit])))+(SUM(IF((CsDJ[Ofc Code]=(TRIM(P$7)))*(CsDJ[Account Code]=(TRIM($D78))),CsDJ[Debit])))+(SUM(IF((CRDJ[Ofc Code]=(TRIM(P$7)))*(CRDJ[Account Code]=(TRIM($D78))),CRDJ[Debit])))+(SUM(IF((GJ[Ofc Code]=(TRIM(P$7)))*(GJ[Account Code]=(TRIM($D78))),GJ[Debit]))))-((SUM(IF((CkDJ[Ofc Code]=(TRIM(P$7)))*(CkDJ[Account Code]=(TRIM($D78))),CkDJ[Credit])))+(SUM(IF((CsDJ[Ofc Code]=(TRIM(P$7)))*(CsDJ[Account Code]=(TRIM($D78))),CsDJ[Credit])))+(SUM(IF((CRDJ[Ofc Code]=(TRIM(P$7)))*(CRDJ[Account Code]=(TRIM($D78))),CRDJ[Credit])))+(SUM(IF((GJ[Ofc Code]=(TRIM(P$7)))*(GJ[Account Code]=(TRIM($D78))),GJ[Credit]))))</f>
        <v>0</v>
      </c>
      <c r="Q78" s="211">
        <f t="array" ref="Q78">((SUM(IF((CkDJ[Ofc Code]=(TRIM(Q$7)))*(CkDJ[Account Code]=(TRIM($D78))),CkDJ[Debit])))+(SUM(IF((CsDJ[Ofc Code]=(TRIM(Q$7)))*(CsDJ[Account Code]=(TRIM($D78))),CsDJ[Debit])))+(SUM(IF((CRDJ[Ofc Code]=(TRIM(Q$7)))*(CRDJ[Account Code]=(TRIM($D78))),CRDJ[Debit])))+(SUM(IF((GJ[Ofc Code]=(TRIM(Q$7)))*(GJ[Account Code]=(TRIM($D78))),GJ[Debit]))))-((SUM(IF((CkDJ[Ofc Code]=(TRIM(Q$7)))*(CkDJ[Account Code]=(TRIM($D78))),CkDJ[Credit])))+(SUM(IF((CsDJ[Ofc Code]=(TRIM(Q$7)))*(CsDJ[Account Code]=(TRIM($D78))),CsDJ[Credit])))+(SUM(IF((CRDJ[Ofc Code]=(TRIM(Q$7)))*(CRDJ[Account Code]=(TRIM($D78))),CRDJ[Credit])))+(SUM(IF((GJ[Ofc Code]=(TRIM(Q$7)))*(GJ[Account Code]=(TRIM($D78))),GJ[Credit]))))</f>
        <v>0</v>
      </c>
      <c r="R78" s="211">
        <f t="array" ref="R78">((SUM(IF((CkDJ[Ofc Code]=(TRIM(R$7)))*(CkDJ[Account Code]=(TRIM($D78))),CkDJ[Debit])))+(SUM(IF((CsDJ[Ofc Code]=(TRIM(R$7)))*(CsDJ[Account Code]=(TRIM($D78))),CsDJ[Debit])))+(SUM(IF((CRDJ[Ofc Code]=(TRIM(R$7)))*(CRDJ[Account Code]=(TRIM($D78))),CRDJ[Debit])))+(SUM(IF((GJ[Ofc Code]=(TRIM(R$7)))*(GJ[Account Code]=(TRIM($D78))),GJ[Debit]))))-((SUM(IF((CkDJ[Ofc Code]=(TRIM(R$7)))*(CkDJ[Account Code]=(TRIM($D78))),CkDJ[Credit])))+(SUM(IF((CsDJ[Ofc Code]=(TRIM(R$7)))*(CsDJ[Account Code]=(TRIM($D78))),CsDJ[Credit])))+(SUM(IF((CRDJ[Ofc Code]=(TRIM(R$7)))*(CRDJ[Account Code]=(TRIM($D78))),CRDJ[Credit])))+(SUM(IF((GJ[Ofc Code]=(TRIM(R$7)))*(GJ[Account Code]=(TRIM($D78))),GJ[Credit]))))</f>
        <v>0</v>
      </c>
      <c r="S78" s="211">
        <f t="array" ref="S78">((SUM(IF((CkDJ[Ofc Code]=(TRIM(S$7)))*(CkDJ[Account Code]=(TRIM($D78))),CkDJ[Debit])))+(SUM(IF((CsDJ[Ofc Code]=(TRIM(S$7)))*(CsDJ[Account Code]=(TRIM($D78))),CsDJ[Debit])))+(SUM(IF((CRDJ[Ofc Code]=(TRIM(S$7)))*(CRDJ[Account Code]=(TRIM($D78))),CRDJ[Debit])))+(SUM(IF((GJ[Ofc Code]=(TRIM(S$7)))*(GJ[Account Code]=(TRIM($D78))),GJ[Debit]))))-((SUM(IF((CkDJ[Ofc Code]=(TRIM(S$7)))*(CkDJ[Account Code]=(TRIM($D78))),CkDJ[Credit])))+(SUM(IF((CsDJ[Ofc Code]=(TRIM(S$7)))*(CsDJ[Account Code]=(TRIM($D78))),CsDJ[Credit])))+(SUM(IF((CRDJ[Ofc Code]=(TRIM(S$7)))*(CRDJ[Account Code]=(TRIM($D78))),CRDJ[Credit])))+(SUM(IF((GJ[Ofc Code]=(TRIM(S$7)))*(GJ[Account Code]=(TRIM($D78))),GJ[Credit]))))</f>
        <v>0</v>
      </c>
      <c r="T78" s="211">
        <f t="array" ref="T78">((SUM(IF((CkDJ[Ofc Code]=(TRIM(T$7)))*(CkDJ[Account Code]=(TRIM($D78))),CkDJ[Debit])))+(SUM(IF((CsDJ[Ofc Code]=(TRIM(T$7)))*(CsDJ[Account Code]=(TRIM($D78))),CsDJ[Debit])))+(SUM(IF((CRDJ[Ofc Code]=(TRIM(T$7)))*(CRDJ[Account Code]=(TRIM($D78))),CRDJ[Debit])))+(SUM(IF((GJ[Ofc Code]=(TRIM(T$7)))*(GJ[Account Code]=(TRIM($D78))),GJ[Debit]))))-((SUM(IF((CkDJ[Ofc Code]=(TRIM(T$7)))*(CkDJ[Account Code]=(TRIM($D78))),CkDJ[Credit])))+(SUM(IF((CsDJ[Ofc Code]=(TRIM(T$7)))*(CsDJ[Account Code]=(TRIM($D78))),CsDJ[Credit])))+(SUM(IF((CRDJ[Ofc Code]=(TRIM(T$7)))*(CRDJ[Account Code]=(TRIM($D78))),CRDJ[Credit])))+(SUM(IF((GJ[Ofc Code]=(TRIM(T$7)))*(GJ[Account Code]=(TRIM($D78))),GJ[Credit]))))</f>
        <v>0</v>
      </c>
      <c r="U78" s="211">
        <f>SUM(P78:T78)</f>
        <v>0</v>
      </c>
      <c r="V78" s="211">
        <f>E78+J78+O78+U78</f>
        <v>0</v>
      </c>
    </row>
    <row r="79" spans="1:22" ht="15" x14ac:dyDescent="0.25">
      <c r="A79" s="212">
        <f t="shared" si="19"/>
        <v>17</v>
      </c>
      <c r="B79" s="214"/>
      <c r="C79" s="194" t="str">
        <f t="shared" si="14"/>
        <v>Printing and Publication Expenses</v>
      </c>
      <c r="D79" s="207" t="s">
        <v>241</v>
      </c>
      <c r="E79" s="211">
        <f t="array" ref="E79">((SUM(IF((CkDJ[Ofc Code]=(TRIM(E$7)))*(CkDJ[Account Code]=(TRIM($D79))),CkDJ[Debit])))+(SUM(IF((CsDJ[Ofc Code]=(TRIM(E$7)))*(CsDJ[Account Code]=(TRIM($D79))),CsDJ[Debit])))+(SUM(IF((CRDJ[Ofc Code]=(TRIM(E$7)))*(CRDJ[Account Code]=(TRIM($D79))),CRDJ[Debit])))+(SUM(IF((GJ[Ofc Code]=(TRIM(E$7)))*(GJ[Account Code]=(TRIM($D79))),GJ[Debit]))))-((SUM(IF((CkDJ[Ofc Code]=(TRIM(E$7)))*(CkDJ[Account Code]=(TRIM($D79))),CkDJ[Credit])))+(SUM(IF((CsDJ[Ofc Code]=(TRIM(E$7)))*(CsDJ[Account Code]=(TRIM($D79))),CsDJ[Credit])))+(SUM(IF((CRDJ[Ofc Code]=(TRIM(E$7)))*(CRDJ[Account Code]=(TRIM($D79))),CRDJ[Credit])))+(SUM(IF((GJ[Ofc Code]=(TRIM(E$7)))*(GJ[Account Code]=(TRIM($D79))),GJ[Credit]))))</f>
        <v>0</v>
      </c>
      <c r="F79" s="211">
        <f t="array" ref="F79">((SUM(IF((CkDJ[Ofc Code]=(TRIM(F$7)))*(CkDJ[Account Code]=(TRIM($D79))),CkDJ[Debit])))+(SUM(IF((CsDJ[Ofc Code]=(TRIM(F$7)))*(CsDJ[Account Code]=(TRIM($D79))),CsDJ[Debit])))+(SUM(IF((CRDJ[Ofc Code]=(TRIM(F$7)))*(CRDJ[Account Code]=(TRIM($D79))),CRDJ[Debit])))+(SUM(IF((GJ[Ofc Code]=(TRIM(F$7)))*(GJ[Account Code]=(TRIM($D79))),GJ[Debit]))))-((SUM(IF((CkDJ[Ofc Code]=(TRIM(F$7)))*(CkDJ[Account Code]=(TRIM($D79))),CkDJ[Credit])))+(SUM(IF((CsDJ[Ofc Code]=(TRIM(F$7)))*(CsDJ[Account Code]=(TRIM($D79))),CsDJ[Credit])))+(SUM(IF((CRDJ[Ofc Code]=(TRIM(F$7)))*(CRDJ[Account Code]=(TRIM($D79))),CRDJ[Credit])))+(SUM(IF((GJ[Ofc Code]=(TRIM(F$7)))*(GJ[Account Code]=(TRIM($D79))),GJ[Credit]))))</f>
        <v>0</v>
      </c>
      <c r="G79" s="211">
        <f t="array" ref="G79">((SUM(IF((CkDJ[Ofc Code]=(TRIM(G$7)))*(CkDJ[Account Code]=(TRIM($D79))),CkDJ[Debit])))+(SUM(IF((CsDJ[Ofc Code]=(TRIM(G$7)))*(CsDJ[Account Code]=(TRIM($D79))),CsDJ[Debit])))+(SUM(IF((CRDJ[Ofc Code]=(TRIM(G$7)))*(CRDJ[Account Code]=(TRIM($D79))),CRDJ[Debit])))+(SUM(IF((GJ[Ofc Code]=(TRIM(G$7)))*(GJ[Account Code]=(TRIM($D79))),GJ[Debit]))))-((SUM(IF((CkDJ[Ofc Code]=(TRIM(G$7)))*(CkDJ[Account Code]=(TRIM($D79))),CkDJ[Credit])))+(SUM(IF((CsDJ[Ofc Code]=(TRIM(G$7)))*(CsDJ[Account Code]=(TRIM($D79))),CsDJ[Credit])))+(SUM(IF((CRDJ[Ofc Code]=(TRIM(G$7)))*(CRDJ[Account Code]=(TRIM($D79))),CRDJ[Credit])))+(SUM(IF((GJ[Ofc Code]=(TRIM(G$7)))*(GJ[Account Code]=(TRIM($D79))),GJ[Credit]))))</f>
        <v>0</v>
      </c>
      <c r="H79" s="211">
        <f t="array" ref="H79">((SUM(IF((CkDJ[Ofc Code]=(TRIM(H$7)))*(CkDJ[Account Code]=(TRIM($D79))),CkDJ[Debit])))+(SUM(IF((CsDJ[Ofc Code]=(TRIM(H$7)))*(CsDJ[Account Code]=(TRIM($D79))),CsDJ[Debit])))+(SUM(IF((CRDJ[Ofc Code]=(TRIM(H$7)))*(CRDJ[Account Code]=(TRIM($D79))),CRDJ[Debit])))+(SUM(IF((GJ[Ofc Code]=(TRIM(H$7)))*(GJ[Account Code]=(TRIM($D79))),GJ[Debit]))))-((SUM(IF((CkDJ[Ofc Code]=(TRIM(H$7)))*(CkDJ[Account Code]=(TRIM($D79))),CkDJ[Credit])))+(SUM(IF((CsDJ[Ofc Code]=(TRIM(H$7)))*(CsDJ[Account Code]=(TRIM($D79))),CsDJ[Credit])))+(SUM(IF((CRDJ[Ofc Code]=(TRIM(H$7)))*(CRDJ[Account Code]=(TRIM($D79))),CRDJ[Credit])))+(SUM(IF((GJ[Ofc Code]=(TRIM(H$7)))*(GJ[Account Code]=(TRIM($D79))),GJ[Credit]))))</f>
        <v>0</v>
      </c>
      <c r="I79" s="211">
        <f t="array" ref="I79">((SUM(IF((CkDJ[Ofc Code]=(TRIM(I$7)))*(CkDJ[Account Code]=(TRIM($D79))),CkDJ[Debit])))+(SUM(IF((CsDJ[Ofc Code]=(TRIM(I$7)))*(CsDJ[Account Code]=(TRIM($D79))),CsDJ[Debit])))+(SUM(IF((CRDJ[Ofc Code]=(TRIM(I$7)))*(CRDJ[Account Code]=(TRIM($D79))),CRDJ[Debit])))+(SUM(IF((GJ[Ofc Code]=(TRIM(I$7)))*(GJ[Account Code]=(TRIM($D79))),GJ[Debit]))))-((SUM(IF((CkDJ[Ofc Code]=(TRIM(I$7)))*(CkDJ[Account Code]=(TRIM($D79))),CkDJ[Credit])))+(SUM(IF((CsDJ[Ofc Code]=(TRIM(I$7)))*(CsDJ[Account Code]=(TRIM($D79))),CsDJ[Credit])))+(SUM(IF((CRDJ[Ofc Code]=(TRIM(I$7)))*(CRDJ[Account Code]=(TRIM($D79))),CRDJ[Credit])))+(SUM(IF((GJ[Ofc Code]=(TRIM(I$7)))*(GJ[Account Code]=(TRIM($D79))),GJ[Credit]))))</f>
        <v>0</v>
      </c>
      <c r="J79" s="211">
        <f t="shared" si="15"/>
        <v>0</v>
      </c>
      <c r="K79" s="211">
        <f t="array" ref="K79">((SUM(IF((CkDJ[Ofc Code]=(TRIM(K$7)))*(CkDJ[Account Code]=(TRIM($D79))),CkDJ[Debit])))+(SUM(IF((CsDJ[Ofc Code]=(TRIM(K$7)))*(CsDJ[Account Code]=(TRIM($D79))),CsDJ[Debit])))+(SUM(IF((CRDJ[Ofc Code]=(TRIM(K$7)))*(CRDJ[Account Code]=(TRIM($D79))),CRDJ[Debit])))+(SUM(IF((GJ[Ofc Code]=(TRIM(K$7)))*(GJ[Account Code]=(TRIM($D79))),GJ[Debit]))))-((SUM(IF((CkDJ[Ofc Code]=(TRIM(K$7)))*(CkDJ[Account Code]=(TRIM($D79))),CkDJ[Credit])))+(SUM(IF((CsDJ[Ofc Code]=(TRIM(K$7)))*(CsDJ[Account Code]=(TRIM($D79))),CsDJ[Credit])))+(SUM(IF((CRDJ[Ofc Code]=(TRIM(K$7)))*(CRDJ[Account Code]=(TRIM($D79))),CRDJ[Credit])))+(SUM(IF((GJ[Ofc Code]=(TRIM(K$7)))*(GJ[Account Code]=(TRIM($D79))),GJ[Credit]))))</f>
        <v>0</v>
      </c>
      <c r="L79" s="211">
        <f t="array" ref="L79">((SUM(IF((CkDJ[Ofc Code]=(TRIM(L$7)))*(CkDJ[Account Code]=(TRIM($D79))),CkDJ[Debit])))+(SUM(IF((CsDJ[Ofc Code]=(TRIM(L$7)))*(CsDJ[Account Code]=(TRIM($D79))),CsDJ[Debit])))+(SUM(IF((CRDJ[Ofc Code]=(TRIM(L$7)))*(CRDJ[Account Code]=(TRIM($D79))),CRDJ[Debit])))+(SUM(IF((GJ[Ofc Code]=(TRIM(L$7)))*(GJ[Account Code]=(TRIM($D79))),GJ[Debit]))))-((SUM(IF((CkDJ[Ofc Code]=(TRIM(L$7)))*(CkDJ[Account Code]=(TRIM($D79))),CkDJ[Credit])))+(SUM(IF((CsDJ[Ofc Code]=(TRIM(L$7)))*(CsDJ[Account Code]=(TRIM($D79))),CsDJ[Credit])))+(SUM(IF((CRDJ[Ofc Code]=(TRIM(L$7)))*(CRDJ[Account Code]=(TRIM($D79))),CRDJ[Credit])))+(SUM(IF((GJ[Ofc Code]=(TRIM(L$7)))*(GJ[Account Code]=(TRIM($D79))),GJ[Credit]))))</f>
        <v>0</v>
      </c>
      <c r="M79" s="211">
        <f t="array" ref="M79">((SUM(IF((CkDJ[Ofc Code]=(TRIM(M$7)))*(CkDJ[Account Code]=(TRIM($D79))),CkDJ[Debit])))+(SUM(IF((CsDJ[Ofc Code]=(TRIM(M$7)))*(CsDJ[Account Code]=(TRIM($D79))),CsDJ[Debit])))+(SUM(IF((CRDJ[Ofc Code]=(TRIM(M$7)))*(CRDJ[Account Code]=(TRIM($D79))),CRDJ[Debit])))+(SUM(IF((GJ[Ofc Code]=(TRIM(M$7)))*(GJ[Account Code]=(TRIM($D79))),GJ[Debit]))))-((SUM(IF((CkDJ[Ofc Code]=(TRIM(M$7)))*(CkDJ[Account Code]=(TRIM($D79))),CkDJ[Credit])))+(SUM(IF((CsDJ[Ofc Code]=(TRIM(M$7)))*(CsDJ[Account Code]=(TRIM($D79))),CsDJ[Credit])))+(SUM(IF((CRDJ[Ofc Code]=(TRIM(M$7)))*(CRDJ[Account Code]=(TRIM($D79))),CRDJ[Credit])))+(SUM(IF((GJ[Ofc Code]=(TRIM(M$7)))*(GJ[Account Code]=(TRIM($D79))),GJ[Credit]))))</f>
        <v>0</v>
      </c>
      <c r="N79" s="211">
        <f t="array" ref="N79">((SUM(IF((CkDJ[Ofc Code]=(TRIM(N$7)))*(CkDJ[Account Code]=(TRIM($D79))),CkDJ[Debit])))+(SUM(IF((CsDJ[Ofc Code]=(TRIM(N$7)))*(CsDJ[Account Code]=(TRIM($D79))),CsDJ[Debit])))+(SUM(IF((CRDJ[Ofc Code]=(TRIM(N$7)))*(CRDJ[Account Code]=(TRIM($D79))),CRDJ[Debit])))+(SUM(IF((GJ[Ofc Code]=(TRIM(N$7)))*(GJ[Account Code]=(TRIM($D79))),GJ[Debit]))))-((SUM(IF((CkDJ[Ofc Code]=(TRIM(N$7)))*(CkDJ[Account Code]=(TRIM($D79))),CkDJ[Credit])))+(SUM(IF((CsDJ[Ofc Code]=(TRIM(N$7)))*(CsDJ[Account Code]=(TRIM($D79))),CsDJ[Credit])))+(SUM(IF((CRDJ[Ofc Code]=(TRIM(N$7)))*(CRDJ[Account Code]=(TRIM($D79))),CRDJ[Credit])))+(SUM(IF((GJ[Ofc Code]=(TRIM(N$7)))*(GJ[Account Code]=(TRIM($D79))),GJ[Credit]))))</f>
        <v>0</v>
      </c>
      <c r="O79" s="211">
        <f t="shared" si="16"/>
        <v>0</v>
      </c>
      <c r="P79" s="211">
        <f t="array" ref="P79">((SUM(IF((CkDJ[Ofc Code]=(TRIM(P$7)))*(CkDJ[Account Code]=(TRIM($D79))),CkDJ[Debit])))+(SUM(IF((CsDJ[Ofc Code]=(TRIM(P$7)))*(CsDJ[Account Code]=(TRIM($D79))),CsDJ[Debit])))+(SUM(IF((CRDJ[Ofc Code]=(TRIM(P$7)))*(CRDJ[Account Code]=(TRIM($D79))),CRDJ[Debit])))+(SUM(IF((GJ[Ofc Code]=(TRIM(P$7)))*(GJ[Account Code]=(TRIM($D79))),GJ[Debit]))))-((SUM(IF((CkDJ[Ofc Code]=(TRIM(P$7)))*(CkDJ[Account Code]=(TRIM($D79))),CkDJ[Credit])))+(SUM(IF((CsDJ[Ofc Code]=(TRIM(P$7)))*(CsDJ[Account Code]=(TRIM($D79))),CsDJ[Credit])))+(SUM(IF((CRDJ[Ofc Code]=(TRIM(P$7)))*(CRDJ[Account Code]=(TRIM($D79))),CRDJ[Credit])))+(SUM(IF((GJ[Ofc Code]=(TRIM(P$7)))*(GJ[Account Code]=(TRIM($D79))),GJ[Credit]))))</f>
        <v>0</v>
      </c>
      <c r="Q79" s="211">
        <f t="array" ref="Q79">((SUM(IF((CkDJ[Ofc Code]=(TRIM(Q$7)))*(CkDJ[Account Code]=(TRIM($D79))),CkDJ[Debit])))+(SUM(IF((CsDJ[Ofc Code]=(TRIM(Q$7)))*(CsDJ[Account Code]=(TRIM($D79))),CsDJ[Debit])))+(SUM(IF((CRDJ[Ofc Code]=(TRIM(Q$7)))*(CRDJ[Account Code]=(TRIM($D79))),CRDJ[Debit])))+(SUM(IF((GJ[Ofc Code]=(TRIM(Q$7)))*(GJ[Account Code]=(TRIM($D79))),GJ[Debit]))))-((SUM(IF((CkDJ[Ofc Code]=(TRIM(Q$7)))*(CkDJ[Account Code]=(TRIM($D79))),CkDJ[Credit])))+(SUM(IF((CsDJ[Ofc Code]=(TRIM(Q$7)))*(CsDJ[Account Code]=(TRIM($D79))),CsDJ[Credit])))+(SUM(IF((CRDJ[Ofc Code]=(TRIM(Q$7)))*(CRDJ[Account Code]=(TRIM($D79))),CRDJ[Credit])))+(SUM(IF((GJ[Ofc Code]=(TRIM(Q$7)))*(GJ[Account Code]=(TRIM($D79))),GJ[Credit]))))</f>
        <v>0</v>
      </c>
      <c r="R79" s="211">
        <f t="array" ref="R79">((SUM(IF((CkDJ[Ofc Code]=(TRIM(R$7)))*(CkDJ[Account Code]=(TRIM($D79))),CkDJ[Debit])))+(SUM(IF((CsDJ[Ofc Code]=(TRIM(R$7)))*(CsDJ[Account Code]=(TRIM($D79))),CsDJ[Debit])))+(SUM(IF((CRDJ[Ofc Code]=(TRIM(R$7)))*(CRDJ[Account Code]=(TRIM($D79))),CRDJ[Debit])))+(SUM(IF((GJ[Ofc Code]=(TRIM(R$7)))*(GJ[Account Code]=(TRIM($D79))),GJ[Debit]))))-((SUM(IF((CkDJ[Ofc Code]=(TRIM(R$7)))*(CkDJ[Account Code]=(TRIM($D79))),CkDJ[Credit])))+(SUM(IF((CsDJ[Ofc Code]=(TRIM(R$7)))*(CsDJ[Account Code]=(TRIM($D79))),CsDJ[Credit])))+(SUM(IF((CRDJ[Ofc Code]=(TRIM(R$7)))*(CRDJ[Account Code]=(TRIM($D79))),CRDJ[Credit])))+(SUM(IF((GJ[Ofc Code]=(TRIM(R$7)))*(GJ[Account Code]=(TRIM($D79))),GJ[Credit]))))</f>
        <v>0</v>
      </c>
      <c r="S79" s="211">
        <f t="array" ref="S79">((SUM(IF((CkDJ[Ofc Code]=(TRIM(S$7)))*(CkDJ[Account Code]=(TRIM($D79))),CkDJ[Debit])))+(SUM(IF((CsDJ[Ofc Code]=(TRIM(S$7)))*(CsDJ[Account Code]=(TRIM($D79))),CsDJ[Debit])))+(SUM(IF((CRDJ[Ofc Code]=(TRIM(S$7)))*(CRDJ[Account Code]=(TRIM($D79))),CRDJ[Debit])))+(SUM(IF((GJ[Ofc Code]=(TRIM(S$7)))*(GJ[Account Code]=(TRIM($D79))),GJ[Debit]))))-((SUM(IF((CkDJ[Ofc Code]=(TRIM(S$7)))*(CkDJ[Account Code]=(TRIM($D79))),CkDJ[Credit])))+(SUM(IF((CsDJ[Ofc Code]=(TRIM(S$7)))*(CsDJ[Account Code]=(TRIM($D79))),CsDJ[Credit])))+(SUM(IF((CRDJ[Ofc Code]=(TRIM(S$7)))*(CRDJ[Account Code]=(TRIM($D79))),CRDJ[Credit])))+(SUM(IF((GJ[Ofc Code]=(TRIM(S$7)))*(GJ[Account Code]=(TRIM($D79))),GJ[Credit]))))</f>
        <v>0</v>
      </c>
      <c r="T79" s="211">
        <f t="array" ref="T79">((SUM(IF((CkDJ[Ofc Code]=(TRIM(T$7)))*(CkDJ[Account Code]=(TRIM($D79))),CkDJ[Debit])))+(SUM(IF((CsDJ[Ofc Code]=(TRIM(T$7)))*(CsDJ[Account Code]=(TRIM($D79))),CsDJ[Debit])))+(SUM(IF((CRDJ[Ofc Code]=(TRIM(T$7)))*(CRDJ[Account Code]=(TRIM($D79))),CRDJ[Debit])))+(SUM(IF((GJ[Ofc Code]=(TRIM(T$7)))*(GJ[Account Code]=(TRIM($D79))),GJ[Debit]))))-((SUM(IF((CkDJ[Ofc Code]=(TRIM(T$7)))*(CkDJ[Account Code]=(TRIM($D79))),CkDJ[Credit])))+(SUM(IF((CsDJ[Ofc Code]=(TRIM(T$7)))*(CsDJ[Account Code]=(TRIM($D79))),CsDJ[Credit])))+(SUM(IF((CRDJ[Ofc Code]=(TRIM(T$7)))*(CRDJ[Account Code]=(TRIM($D79))),CRDJ[Credit])))+(SUM(IF((GJ[Ofc Code]=(TRIM(T$7)))*(GJ[Account Code]=(TRIM($D79))),GJ[Credit]))))</f>
        <v>0</v>
      </c>
      <c r="U79" s="211">
        <f t="shared" si="17"/>
        <v>0</v>
      </c>
      <c r="V79" s="211">
        <f t="shared" si="18"/>
        <v>0</v>
      </c>
    </row>
    <row r="80" spans="1:22" ht="15" x14ac:dyDescent="0.25">
      <c r="A80" s="212">
        <f t="shared" si="19"/>
        <v>18</v>
      </c>
      <c r="B80" s="214"/>
      <c r="C80" s="194" t="str">
        <f t="shared" si="14"/>
        <v>Rent/Lease Expenses</v>
      </c>
      <c r="D80" s="207" t="s">
        <v>242</v>
      </c>
      <c r="E80" s="211">
        <f t="array" ref="E80">((SUM(IF((CkDJ[Ofc Code]=(TRIM(E$7)))*(CkDJ[Account Code]=(TRIM($D80))),CkDJ[Debit])))+(SUM(IF((CsDJ[Ofc Code]=(TRIM(E$7)))*(CsDJ[Account Code]=(TRIM($D80))),CsDJ[Debit])))+(SUM(IF((CRDJ[Ofc Code]=(TRIM(E$7)))*(CRDJ[Account Code]=(TRIM($D80))),CRDJ[Debit])))+(SUM(IF((GJ[Ofc Code]=(TRIM(E$7)))*(GJ[Account Code]=(TRIM($D80))),GJ[Debit]))))-((SUM(IF((CkDJ[Ofc Code]=(TRIM(E$7)))*(CkDJ[Account Code]=(TRIM($D80))),CkDJ[Credit])))+(SUM(IF((CsDJ[Ofc Code]=(TRIM(E$7)))*(CsDJ[Account Code]=(TRIM($D80))),CsDJ[Credit])))+(SUM(IF((CRDJ[Ofc Code]=(TRIM(E$7)))*(CRDJ[Account Code]=(TRIM($D80))),CRDJ[Credit])))+(SUM(IF((GJ[Ofc Code]=(TRIM(E$7)))*(GJ[Account Code]=(TRIM($D80))),GJ[Credit]))))</f>
        <v>0</v>
      </c>
      <c r="F80" s="211">
        <f t="array" ref="F80">((SUM(IF((CkDJ[Ofc Code]=(TRIM(F$7)))*(CkDJ[Account Code]=(TRIM($D80))),CkDJ[Debit])))+(SUM(IF((CsDJ[Ofc Code]=(TRIM(F$7)))*(CsDJ[Account Code]=(TRIM($D80))),CsDJ[Debit])))+(SUM(IF((CRDJ[Ofc Code]=(TRIM(F$7)))*(CRDJ[Account Code]=(TRIM($D80))),CRDJ[Debit])))+(SUM(IF((GJ[Ofc Code]=(TRIM(F$7)))*(GJ[Account Code]=(TRIM($D80))),GJ[Debit]))))-((SUM(IF((CkDJ[Ofc Code]=(TRIM(F$7)))*(CkDJ[Account Code]=(TRIM($D80))),CkDJ[Credit])))+(SUM(IF((CsDJ[Ofc Code]=(TRIM(F$7)))*(CsDJ[Account Code]=(TRIM($D80))),CsDJ[Credit])))+(SUM(IF((CRDJ[Ofc Code]=(TRIM(F$7)))*(CRDJ[Account Code]=(TRIM($D80))),CRDJ[Credit])))+(SUM(IF((GJ[Ofc Code]=(TRIM(F$7)))*(GJ[Account Code]=(TRIM($D80))),GJ[Credit]))))</f>
        <v>0</v>
      </c>
      <c r="G80" s="211">
        <f t="array" ref="G80">((SUM(IF((CkDJ[Ofc Code]=(TRIM(G$7)))*(CkDJ[Account Code]=(TRIM($D80))),CkDJ[Debit])))+(SUM(IF((CsDJ[Ofc Code]=(TRIM(G$7)))*(CsDJ[Account Code]=(TRIM($D80))),CsDJ[Debit])))+(SUM(IF((CRDJ[Ofc Code]=(TRIM(G$7)))*(CRDJ[Account Code]=(TRIM($D80))),CRDJ[Debit])))+(SUM(IF((GJ[Ofc Code]=(TRIM(G$7)))*(GJ[Account Code]=(TRIM($D80))),GJ[Debit]))))-((SUM(IF((CkDJ[Ofc Code]=(TRIM(G$7)))*(CkDJ[Account Code]=(TRIM($D80))),CkDJ[Credit])))+(SUM(IF((CsDJ[Ofc Code]=(TRIM(G$7)))*(CsDJ[Account Code]=(TRIM($D80))),CsDJ[Credit])))+(SUM(IF((CRDJ[Ofc Code]=(TRIM(G$7)))*(CRDJ[Account Code]=(TRIM($D80))),CRDJ[Credit])))+(SUM(IF((GJ[Ofc Code]=(TRIM(G$7)))*(GJ[Account Code]=(TRIM($D80))),GJ[Credit]))))</f>
        <v>0</v>
      </c>
      <c r="H80" s="211">
        <f t="array" ref="H80">((SUM(IF((CkDJ[Ofc Code]=(TRIM(H$7)))*(CkDJ[Account Code]=(TRIM($D80))),CkDJ[Debit])))+(SUM(IF((CsDJ[Ofc Code]=(TRIM(H$7)))*(CsDJ[Account Code]=(TRIM($D80))),CsDJ[Debit])))+(SUM(IF((CRDJ[Ofc Code]=(TRIM(H$7)))*(CRDJ[Account Code]=(TRIM($D80))),CRDJ[Debit])))+(SUM(IF((GJ[Ofc Code]=(TRIM(H$7)))*(GJ[Account Code]=(TRIM($D80))),GJ[Debit]))))-((SUM(IF((CkDJ[Ofc Code]=(TRIM(H$7)))*(CkDJ[Account Code]=(TRIM($D80))),CkDJ[Credit])))+(SUM(IF((CsDJ[Ofc Code]=(TRIM(H$7)))*(CsDJ[Account Code]=(TRIM($D80))),CsDJ[Credit])))+(SUM(IF((CRDJ[Ofc Code]=(TRIM(H$7)))*(CRDJ[Account Code]=(TRIM($D80))),CRDJ[Credit])))+(SUM(IF((GJ[Ofc Code]=(TRIM(H$7)))*(GJ[Account Code]=(TRIM($D80))),GJ[Credit]))))</f>
        <v>0</v>
      </c>
      <c r="I80" s="211">
        <f t="array" ref="I80">((SUM(IF((CkDJ[Ofc Code]=(TRIM(I$7)))*(CkDJ[Account Code]=(TRIM($D80))),CkDJ[Debit])))+(SUM(IF((CsDJ[Ofc Code]=(TRIM(I$7)))*(CsDJ[Account Code]=(TRIM($D80))),CsDJ[Debit])))+(SUM(IF((CRDJ[Ofc Code]=(TRIM(I$7)))*(CRDJ[Account Code]=(TRIM($D80))),CRDJ[Debit])))+(SUM(IF((GJ[Ofc Code]=(TRIM(I$7)))*(GJ[Account Code]=(TRIM($D80))),GJ[Debit]))))-((SUM(IF((CkDJ[Ofc Code]=(TRIM(I$7)))*(CkDJ[Account Code]=(TRIM($D80))),CkDJ[Credit])))+(SUM(IF((CsDJ[Ofc Code]=(TRIM(I$7)))*(CsDJ[Account Code]=(TRIM($D80))),CsDJ[Credit])))+(SUM(IF((CRDJ[Ofc Code]=(TRIM(I$7)))*(CRDJ[Account Code]=(TRIM($D80))),CRDJ[Credit])))+(SUM(IF((GJ[Ofc Code]=(TRIM(I$7)))*(GJ[Account Code]=(TRIM($D80))),GJ[Credit]))))</f>
        <v>0</v>
      </c>
      <c r="J80" s="211">
        <f t="shared" si="15"/>
        <v>0</v>
      </c>
      <c r="K80" s="211">
        <f t="array" ref="K80">((SUM(IF((CkDJ[Ofc Code]=(TRIM(K$7)))*(CkDJ[Account Code]=(TRIM($D80))),CkDJ[Debit])))+(SUM(IF((CsDJ[Ofc Code]=(TRIM(K$7)))*(CsDJ[Account Code]=(TRIM($D80))),CsDJ[Debit])))+(SUM(IF((CRDJ[Ofc Code]=(TRIM(K$7)))*(CRDJ[Account Code]=(TRIM($D80))),CRDJ[Debit])))+(SUM(IF((GJ[Ofc Code]=(TRIM(K$7)))*(GJ[Account Code]=(TRIM($D80))),GJ[Debit]))))-((SUM(IF((CkDJ[Ofc Code]=(TRIM(K$7)))*(CkDJ[Account Code]=(TRIM($D80))),CkDJ[Credit])))+(SUM(IF((CsDJ[Ofc Code]=(TRIM(K$7)))*(CsDJ[Account Code]=(TRIM($D80))),CsDJ[Credit])))+(SUM(IF((CRDJ[Ofc Code]=(TRIM(K$7)))*(CRDJ[Account Code]=(TRIM($D80))),CRDJ[Credit])))+(SUM(IF((GJ[Ofc Code]=(TRIM(K$7)))*(GJ[Account Code]=(TRIM($D80))),GJ[Credit]))))</f>
        <v>0</v>
      </c>
      <c r="L80" s="211">
        <f t="array" ref="L80">((SUM(IF((CkDJ[Ofc Code]=(TRIM(L$7)))*(CkDJ[Account Code]=(TRIM($D80))),CkDJ[Debit])))+(SUM(IF((CsDJ[Ofc Code]=(TRIM(L$7)))*(CsDJ[Account Code]=(TRIM($D80))),CsDJ[Debit])))+(SUM(IF((CRDJ[Ofc Code]=(TRIM(L$7)))*(CRDJ[Account Code]=(TRIM($D80))),CRDJ[Debit])))+(SUM(IF((GJ[Ofc Code]=(TRIM(L$7)))*(GJ[Account Code]=(TRIM($D80))),GJ[Debit]))))-((SUM(IF((CkDJ[Ofc Code]=(TRIM(L$7)))*(CkDJ[Account Code]=(TRIM($D80))),CkDJ[Credit])))+(SUM(IF((CsDJ[Ofc Code]=(TRIM(L$7)))*(CsDJ[Account Code]=(TRIM($D80))),CsDJ[Credit])))+(SUM(IF((CRDJ[Ofc Code]=(TRIM(L$7)))*(CRDJ[Account Code]=(TRIM($D80))),CRDJ[Credit])))+(SUM(IF((GJ[Ofc Code]=(TRIM(L$7)))*(GJ[Account Code]=(TRIM($D80))),GJ[Credit]))))</f>
        <v>0</v>
      </c>
      <c r="M80" s="211">
        <f t="array" ref="M80">((SUM(IF((CkDJ[Ofc Code]=(TRIM(M$7)))*(CkDJ[Account Code]=(TRIM($D80))),CkDJ[Debit])))+(SUM(IF((CsDJ[Ofc Code]=(TRIM(M$7)))*(CsDJ[Account Code]=(TRIM($D80))),CsDJ[Debit])))+(SUM(IF((CRDJ[Ofc Code]=(TRIM(M$7)))*(CRDJ[Account Code]=(TRIM($D80))),CRDJ[Debit])))+(SUM(IF((GJ[Ofc Code]=(TRIM(M$7)))*(GJ[Account Code]=(TRIM($D80))),GJ[Debit]))))-((SUM(IF((CkDJ[Ofc Code]=(TRIM(M$7)))*(CkDJ[Account Code]=(TRIM($D80))),CkDJ[Credit])))+(SUM(IF((CsDJ[Ofc Code]=(TRIM(M$7)))*(CsDJ[Account Code]=(TRIM($D80))),CsDJ[Credit])))+(SUM(IF((CRDJ[Ofc Code]=(TRIM(M$7)))*(CRDJ[Account Code]=(TRIM($D80))),CRDJ[Credit])))+(SUM(IF((GJ[Ofc Code]=(TRIM(M$7)))*(GJ[Account Code]=(TRIM($D80))),GJ[Credit]))))</f>
        <v>0</v>
      </c>
      <c r="N80" s="211">
        <f t="array" ref="N80">((SUM(IF((CkDJ[Ofc Code]=(TRIM(N$7)))*(CkDJ[Account Code]=(TRIM($D80))),CkDJ[Debit])))+(SUM(IF((CsDJ[Ofc Code]=(TRIM(N$7)))*(CsDJ[Account Code]=(TRIM($D80))),CsDJ[Debit])))+(SUM(IF((CRDJ[Ofc Code]=(TRIM(N$7)))*(CRDJ[Account Code]=(TRIM($D80))),CRDJ[Debit])))+(SUM(IF((GJ[Ofc Code]=(TRIM(N$7)))*(GJ[Account Code]=(TRIM($D80))),GJ[Debit]))))-((SUM(IF((CkDJ[Ofc Code]=(TRIM(N$7)))*(CkDJ[Account Code]=(TRIM($D80))),CkDJ[Credit])))+(SUM(IF((CsDJ[Ofc Code]=(TRIM(N$7)))*(CsDJ[Account Code]=(TRIM($D80))),CsDJ[Credit])))+(SUM(IF((CRDJ[Ofc Code]=(TRIM(N$7)))*(CRDJ[Account Code]=(TRIM($D80))),CRDJ[Credit])))+(SUM(IF((GJ[Ofc Code]=(TRIM(N$7)))*(GJ[Account Code]=(TRIM($D80))),GJ[Credit]))))</f>
        <v>0</v>
      </c>
      <c r="O80" s="211">
        <f t="shared" si="16"/>
        <v>0</v>
      </c>
      <c r="P80" s="211">
        <f t="array" ref="P80">((SUM(IF((CkDJ[Ofc Code]=(TRIM(P$7)))*(CkDJ[Account Code]=(TRIM($D80))),CkDJ[Debit])))+(SUM(IF((CsDJ[Ofc Code]=(TRIM(P$7)))*(CsDJ[Account Code]=(TRIM($D80))),CsDJ[Debit])))+(SUM(IF((CRDJ[Ofc Code]=(TRIM(P$7)))*(CRDJ[Account Code]=(TRIM($D80))),CRDJ[Debit])))+(SUM(IF((GJ[Ofc Code]=(TRIM(P$7)))*(GJ[Account Code]=(TRIM($D80))),GJ[Debit]))))-((SUM(IF((CkDJ[Ofc Code]=(TRIM(P$7)))*(CkDJ[Account Code]=(TRIM($D80))),CkDJ[Credit])))+(SUM(IF((CsDJ[Ofc Code]=(TRIM(P$7)))*(CsDJ[Account Code]=(TRIM($D80))),CsDJ[Credit])))+(SUM(IF((CRDJ[Ofc Code]=(TRIM(P$7)))*(CRDJ[Account Code]=(TRIM($D80))),CRDJ[Credit])))+(SUM(IF((GJ[Ofc Code]=(TRIM(P$7)))*(GJ[Account Code]=(TRIM($D80))),GJ[Credit]))))</f>
        <v>0</v>
      </c>
      <c r="Q80" s="211">
        <f t="array" ref="Q80">((SUM(IF((CkDJ[Ofc Code]=(TRIM(Q$7)))*(CkDJ[Account Code]=(TRIM($D80))),CkDJ[Debit])))+(SUM(IF((CsDJ[Ofc Code]=(TRIM(Q$7)))*(CsDJ[Account Code]=(TRIM($D80))),CsDJ[Debit])))+(SUM(IF((CRDJ[Ofc Code]=(TRIM(Q$7)))*(CRDJ[Account Code]=(TRIM($D80))),CRDJ[Debit])))+(SUM(IF((GJ[Ofc Code]=(TRIM(Q$7)))*(GJ[Account Code]=(TRIM($D80))),GJ[Debit]))))-((SUM(IF((CkDJ[Ofc Code]=(TRIM(Q$7)))*(CkDJ[Account Code]=(TRIM($D80))),CkDJ[Credit])))+(SUM(IF((CsDJ[Ofc Code]=(TRIM(Q$7)))*(CsDJ[Account Code]=(TRIM($D80))),CsDJ[Credit])))+(SUM(IF((CRDJ[Ofc Code]=(TRIM(Q$7)))*(CRDJ[Account Code]=(TRIM($D80))),CRDJ[Credit])))+(SUM(IF((GJ[Ofc Code]=(TRIM(Q$7)))*(GJ[Account Code]=(TRIM($D80))),GJ[Credit]))))</f>
        <v>0</v>
      </c>
      <c r="R80" s="211">
        <f t="array" ref="R80">((SUM(IF((CkDJ[Ofc Code]=(TRIM(R$7)))*(CkDJ[Account Code]=(TRIM($D80))),CkDJ[Debit])))+(SUM(IF((CsDJ[Ofc Code]=(TRIM(R$7)))*(CsDJ[Account Code]=(TRIM($D80))),CsDJ[Debit])))+(SUM(IF((CRDJ[Ofc Code]=(TRIM(R$7)))*(CRDJ[Account Code]=(TRIM($D80))),CRDJ[Debit])))+(SUM(IF((GJ[Ofc Code]=(TRIM(R$7)))*(GJ[Account Code]=(TRIM($D80))),GJ[Debit]))))-((SUM(IF((CkDJ[Ofc Code]=(TRIM(R$7)))*(CkDJ[Account Code]=(TRIM($D80))),CkDJ[Credit])))+(SUM(IF((CsDJ[Ofc Code]=(TRIM(R$7)))*(CsDJ[Account Code]=(TRIM($D80))),CsDJ[Credit])))+(SUM(IF((CRDJ[Ofc Code]=(TRIM(R$7)))*(CRDJ[Account Code]=(TRIM($D80))),CRDJ[Credit])))+(SUM(IF((GJ[Ofc Code]=(TRIM(R$7)))*(GJ[Account Code]=(TRIM($D80))),GJ[Credit]))))</f>
        <v>0</v>
      </c>
      <c r="S80" s="211">
        <f t="array" ref="S80">((SUM(IF((CkDJ[Ofc Code]=(TRIM(S$7)))*(CkDJ[Account Code]=(TRIM($D80))),CkDJ[Debit])))+(SUM(IF((CsDJ[Ofc Code]=(TRIM(S$7)))*(CsDJ[Account Code]=(TRIM($D80))),CsDJ[Debit])))+(SUM(IF((CRDJ[Ofc Code]=(TRIM(S$7)))*(CRDJ[Account Code]=(TRIM($D80))),CRDJ[Debit])))+(SUM(IF((GJ[Ofc Code]=(TRIM(S$7)))*(GJ[Account Code]=(TRIM($D80))),GJ[Debit]))))-((SUM(IF((CkDJ[Ofc Code]=(TRIM(S$7)))*(CkDJ[Account Code]=(TRIM($D80))),CkDJ[Credit])))+(SUM(IF((CsDJ[Ofc Code]=(TRIM(S$7)))*(CsDJ[Account Code]=(TRIM($D80))),CsDJ[Credit])))+(SUM(IF((CRDJ[Ofc Code]=(TRIM(S$7)))*(CRDJ[Account Code]=(TRIM($D80))),CRDJ[Credit])))+(SUM(IF((GJ[Ofc Code]=(TRIM(S$7)))*(GJ[Account Code]=(TRIM($D80))),GJ[Credit]))))</f>
        <v>0</v>
      </c>
      <c r="T80" s="211">
        <f t="array" ref="T80">((SUM(IF((CkDJ[Ofc Code]=(TRIM(T$7)))*(CkDJ[Account Code]=(TRIM($D80))),CkDJ[Debit])))+(SUM(IF((CsDJ[Ofc Code]=(TRIM(T$7)))*(CsDJ[Account Code]=(TRIM($D80))),CsDJ[Debit])))+(SUM(IF((CRDJ[Ofc Code]=(TRIM(T$7)))*(CRDJ[Account Code]=(TRIM($D80))),CRDJ[Debit])))+(SUM(IF((GJ[Ofc Code]=(TRIM(T$7)))*(GJ[Account Code]=(TRIM($D80))),GJ[Debit]))))-((SUM(IF((CkDJ[Ofc Code]=(TRIM(T$7)))*(CkDJ[Account Code]=(TRIM($D80))),CkDJ[Credit])))+(SUM(IF((CsDJ[Ofc Code]=(TRIM(T$7)))*(CsDJ[Account Code]=(TRIM($D80))),CsDJ[Credit])))+(SUM(IF((CRDJ[Ofc Code]=(TRIM(T$7)))*(CRDJ[Account Code]=(TRIM($D80))),CRDJ[Credit])))+(SUM(IF((GJ[Ofc Code]=(TRIM(T$7)))*(GJ[Account Code]=(TRIM($D80))),GJ[Credit]))))</f>
        <v>0</v>
      </c>
      <c r="U80" s="211">
        <f t="shared" si="17"/>
        <v>0</v>
      </c>
      <c r="V80" s="211">
        <f t="shared" si="18"/>
        <v>0</v>
      </c>
    </row>
    <row r="81" spans="1:22" ht="15" x14ac:dyDescent="0.25">
      <c r="A81" s="212">
        <f t="shared" si="19"/>
        <v>19</v>
      </c>
      <c r="B81" s="214"/>
      <c r="C81" s="194" t="str">
        <f t="shared" si="14"/>
        <v>Representation Expenses</v>
      </c>
      <c r="D81" s="207">
        <v>783</v>
      </c>
      <c r="E81" s="211">
        <f t="array" ref="E81">((SUM(IF((CkDJ[Ofc Code]=(TRIM(E$7)))*(CkDJ[Account Code]=(TRIM($D81))),CkDJ[Debit])))+(SUM(IF((CsDJ[Ofc Code]=(TRIM(E$7)))*(CsDJ[Account Code]=(TRIM($D81))),CsDJ[Debit])))+(SUM(IF((CRDJ[Ofc Code]=(TRIM(E$7)))*(CRDJ[Account Code]=(TRIM($D81))),CRDJ[Debit])))+(SUM(IF((GJ[Ofc Code]=(TRIM(E$7)))*(GJ[Account Code]=(TRIM($D81))),GJ[Debit]))))-((SUM(IF((CkDJ[Ofc Code]=(TRIM(E$7)))*(CkDJ[Account Code]=(TRIM($D81))),CkDJ[Credit])))+(SUM(IF((CsDJ[Ofc Code]=(TRIM(E$7)))*(CsDJ[Account Code]=(TRIM($D81))),CsDJ[Credit])))+(SUM(IF((CRDJ[Ofc Code]=(TRIM(E$7)))*(CRDJ[Account Code]=(TRIM($D81))),CRDJ[Credit])))+(SUM(IF((GJ[Ofc Code]=(TRIM(E$7)))*(GJ[Account Code]=(TRIM($D81))),GJ[Credit]))))</f>
        <v>0</v>
      </c>
      <c r="F81" s="211">
        <f t="array" ref="F81">((SUM(IF((CkDJ[Ofc Code]=(TRIM(F$7)))*(CkDJ[Account Code]=(TRIM($D81))),CkDJ[Debit])))+(SUM(IF((CsDJ[Ofc Code]=(TRIM(F$7)))*(CsDJ[Account Code]=(TRIM($D81))),CsDJ[Debit])))+(SUM(IF((CRDJ[Ofc Code]=(TRIM(F$7)))*(CRDJ[Account Code]=(TRIM($D81))),CRDJ[Debit])))+(SUM(IF((GJ[Ofc Code]=(TRIM(F$7)))*(GJ[Account Code]=(TRIM($D81))),GJ[Debit]))))-((SUM(IF((CkDJ[Ofc Code]=(TRIM(F$7)))*(CkDJ[Account Code]=(TRIM($D81))),CkDJ[Credit])))+(SUM(IF((CsDJ[Ofc Code]=(TRIM(F$7)))*(CsDJ[Account Code]=(TRIM($D81))),CsDJ[Credit])))+(SUM(IF((CRDJ[Ofc Code]=(TRIM(F$7)))*(CRDJ[Account Code]=(TRIM($D81))),CRDJ[Credit])))+(SUM(IF((GJ[Ofc Code]=(TRIM(F$7)))*(GJ[Account Code]=(TRIM($D81))),GJ[Credit]))))</f>
        <v>0</v>
      </c>
      <c r="G81" s="211">
        <f t="array" ref="G81">((SUM(IF((CkDJ[Ofc Code]=(TRIM(G$7)))*(CkDJ[Account Code]=(TRIM($D81))),CkDJ[Debit])))+(SUM(IF((CsDJ[Ofc Code]=(TRIM(G$7)))*(CsDJ[Account Code]=(TRIM($D81))),CsDJ[Debit])))+(SUM(IF((CRDJ[Ofc Code]=(TRIM(G$7)))*(CRDJ[Account Code]=(TRIM($D81))),CRDJ[Debit])))+(SUM(IF((GJ[Ofc Code]=(TRIM(G$7)))*(GJ[Account Code]=(TRIM($D81))),GJ[Debit]))))-((SUM(IF((CkDJ[Ofc Code]=(TRIM(G$7)))*(CkDJ[Account Code]=(TRIM($D81))),CkDJ[Credit])))+(SUM(IF((CsDJ[Ofc Code]=(TRIM(G$7)))*(CsDJ[Account Code]=(TRIM($D81))),CsDJ[Credit])))+(SUM(IF((CRDJ[Ofc Code]=(TRIM(G$7)))*(CRDJ[Account Code]=(TRIM($D81))),CRDJ[Credit])))+(SUM(IF((GJ[Ofc Code]=(TRIM(G$7)))*(GJ[Account Code]=(TRIM($D81))),GJ[Credit]))))</f>
        <v>0</v>
      </c>
      <c r="H81" s="211">
        <f t="array" ref="H81">((SUM(IF((CkDJ[Ofc Code]=(TRIM(H$7)))*(CkDJ[Account Code]=(TRIM($D81))),CkDJ[Debit])))+(SUM(IF((CsDJ[Ofc Code]=(TRIM(H$7)))*(CsDJ[Account Code]=(TRIM($D81))),CsDJ[Debit])))+(SUM(IF((CRDJ[Ofc Code]=(TRIM(H$7)))*(CRDJ[Account Code]=(TRIM($D81))),CRDJ[Debit])))+(SUM(IF((GJ[Ofc Code]=(TRIM(H$7)))*(GJ[Account Code]=(TRIM($D81))),GJ[Debit]))))-((SUM(IF((CkDJ[Ofc Code]=(TRIM(H$7)))*(CkDJ[Account Code]=(TRIM($D81))),CkDJ[Credit])))+(SUM(IF((CsDJ[Ofc Code]=(TRIM(H$7)))*(CsDJ[Account Code]=(TRIM($D81))),CsDJ[Credit])))+(SUM(IF((CRDJ[Ofc Code]=(TRIM(H$7)))*(CRDJ[Account Code]=(TRIM($D81))),CRDJ[Credit])))+(SUM(IF((GJ[Ofc Code]=(TRIM(H$7)))*(GJ[Account Code]=(TRIM($D81))),GJ[Credit]))))</f>
        <v>0</v>
      </c>
      <c r="I81" s="211">
        <f t="array" ref="I81">((SUM(IF((CkDJ[Ofc Code]=(TRIM(I$7)))*(CkDJ[Account Code]=(TRIM($D81))),CkDJ[Debit])))+(SUM(IF((CsDJ[Ofc Code]=(TRIM(I$7)))*(CsDJ[Account Code]=(TRIM($D81))),CsDJ[Debit])))+(SUM(IF((CRDJ[Ofc Code]=(TRIM(I$7)))*(CRDJ[Account Code]=(TRIM($D81))),CRDJ[Debit])))+(SUM(IF((GJ[Ofc Code]=(TRIM(I$7)))*(GJ[Account Code]=(TRIM($D81))),GJ[Debit]))))-((SUM(IF((CkDJ[Ofc Code]=(TRIM(I$7)))*(CkDJ[Account Code]=(TRIM($D81))),CkDJ[Credit])))+(SUM(IF((CsDJ[Ofc Code]=(TRIM(I$7)))*(CsDJ[Account Code]=(TRIM($D81))),CsDJ[Credit])))+(SUM(IF((CRDJ[Ofc Code]=(TRIM(I$7)))*(CRDJ[Account Code]=(TRIM($D81))),CRDJ[Credit])))+(SUM(IF((GJ[Ofc Code]=(TRIM(I$7)))*(GJ[Account Code]=(TRIM($D81))),GJ[Credit]))))</f>
        <v>0</v>
      </c>
      <c r="J81" s="211">
        <f t="shared" si="15"/>
        <v>0</v>
      </c>
      <c r="K81" s="211">
        <f t="array" ref="K81">((SUM(IF((CkDJ[Ofc Code]=(TRIM(K$7)))*(CkDJ[Account Code]=(TRIM($D81))),CkDJ[Debit])))+(SUM(IF((CsDJ[Ofc Code]=(TRIM(K$7)))*(CsDJ[Account Code]=(TRIM($D81))),CsDJ[Debit])))+(SUM(IF((CRDJ[Ofc Code]=(TRIM(K$7)))*(CRDJ[Account Code]=(TRIM($D81))),CRDJ[Debit])))+(SUM(IF((GJ[Ofc Code]=(TRIM(K$7)))*(GJ[Account Code]=(TRIM($D81))),GJ[Debit]))))-((SUM(IF((CkDJ[Ofc Code]=(TRIM(K$7)))*(CkDJ[Account Code]=(TRIM($D81))),CkDJ[Credit])))+(SUM(IF((CsDJ[Ofc Code]=(TRIM(K$7)))*(CsDJ[Account Code]=(TRIM($D81))),CsDJ[Credit])))+(SUM(IF((CRDJ[Ofc Code]=(TRIM(K$7)))*(CRDJ[Account Code]=(TRIM($D81))),CRDJ[Credit])))+(SUM(IF((GJ[Ofc Code]=(TRIM(K$7)))*(GJ[Account Code]=(TRIM($D81))),GJ[Credit]))))</f>
        <v>0</v>
      </c>
      <c r="L81" s="211">
        <f t="array" ref="L81">((SUM(IF((CkDJ[Ofc Code]=(TRIM(L$7)))*(CkDJ[Account Code]=(TRIM($D81))),CkDJ[Debit])))+(SUM(IF((CsDJ[Ofc Code]=(TRIM(L$7)))*(CsDJ[Account Code]=(TRIM($D81))),CsDJ[Debit])))+(SUM(IF((CRDJ[Ofc Code]=(TRIM(L$7)))*(CRDJ[Account Code]=(TRIM($D81))),CRDJ[Debit])))+(SUM(IF((GJ[Ofc Code]=(TRIM(L$7)))*(GJ[Account Code]=(TRIM($D81))),GJ[Debit]))))-((SUM(IF((CkDJ[Ofc Code]=(TRIM(L$7)))*(CkDJ[Account Code]=(TRIM($D81))),CkDJ[Credit])))+(SUM(IF((CsDJ[Ofc Code]=(TRIM(L$7)))*(CsDJ[Account Code]=(TRIM($D81))),CsDJ[Credit])))+(SUM(IF((CRDJ[Ofc Code]=(TRIM(L$7)))*(CRDJ[Account Code]=(TRIM($D81))),CRDJ[Credit])))+(SUM(IF((GJ[Ofc Code]=(TRIM(L$7)))*(GJ[Account Code]=(TRIM($D81))),GJ[Credit]))))</f>
        <v>0</v>
      </c>
      <c r="M81" s="211">
        <f t="array" ref="M81">((SUM(IF((CkDJ[Ofc Code]=(TRIM(M$7)))*(CkDJ[Account Code]=(TRIM($D81))),CkDJ[Debit])))+(SUM(IF((CsDJ[Ofc Code]=(TRIM(M$7)))*(CsDJ[Account Code]=(TRIM($D81))),CsDJ[Debit])))+(SUM(IF((CRDJ[Ofc Code]=(TRIM(M$7)))*(CRDJ[Account Code]=(TRIM($D81))),CRDJ[Debit])))+(SUM(IF((GJ[Ofc Code]=(TRIM(M$7)))*(GJ[Account Code]=(TRIM($D81))),GJ[Debit]))))-((SUM(IF((CkDJ[Ofc Code]=(TRIM(M$7)))*(CkDJ[Account Code]=(TRIM($D81))),CkDJ[Credit])))+(SUM(IF((CsDJ[Ofc Code]=(TRIM(M$7)))*(CsDJ[Account Code]=(TRIM($D81))),CsDJ[Credit])))+(SUM(IF((CRDJ[Ofc Code]=(TRIM(M$7)))*(CRDJ[Account Code]=(TRIM($D81))),CRDJ[Credit])))+(SUM(IF((GJ[Ofc Code]=(TRIM(M$7)))*(GJ[Account Code]=(TRIM($D81))),GJ[Credit]))))</f>
        <v>0</v>
      </c>
      <c r="N81" s="211">
        <f t="array" ref="N81">((SUM(IF((CkDJ[Ofc Code]=(TRIM(N$7)))*(CkDJ[Account Code]=(TRIM($D81))),CkDJ[Debit])))+(SUM(IF((CsDJ[Ofc Code]=(TRIM(N$7)))*(CsDJ[Account Code]=(TRIM($D81))),CsDJ[Debit])))+(SUM(IF((CRDJ[Ofc Code]=(TRIM(N$7)))*(CRDJ[Account Code]=(TRIM($D81))),CRDJ[Debit])))+(SUM(IF((GJ[Ofc Code]=(TRIM(N$7)))*(GJ[Account Code]=(TRIM($D81))),GJ[Debit]))))-((SUM(IF((CkDJ[Ofc Code]=(TRIM(N$7)))*(CkDJ[Account Code]=(TRIM($D81))),CkDJ[Credit])))+(SUM(IF((CsDJ[Ofc Code]=(TRIM(N$7)))*(CsDJ[Account Code]=(TRIM($D81))),CsDJ[Credit])))+(SUM(IF((CRDJ[Ofc Code]=(TRIM(N$7)))*(CRDJ[Account Code]=(TRIM($D81))),CRDJ[Credit])))+(SUM(IF((GJ[Ofc Code]=(TRIM(N$7)))*(GJ[Account Code]=(TRIM($D81))),GJ[Credit]))))</f>
        <v>0</v>
      </c>
      <c r="O81" s="211">
        <f t="shared" si="16"/>
        <v>0</v>
      </c>
      <c r="P81" s="211">
        <f t="array" ref="P81">((SUM(IF((CkDJ[Ofc Code]=(TRIM(P$7)))*(CkDJ[Account Code]=(TRIM($D81))),CkDJ[Debit])))+(SUM(IF((CsDJ[Ofc Code]=(TRIM(P$7)))*(CsDJ[Account Code]=(TRIM($D81))),CsDJ[Debit])))+(SUM(IF((CRDJ[Ofc Code]=(TRIM(P$7)))*(CRDJ[Account Code]=(TRIM($D81))),CRDJ[Debit])))+(SUM(IF((GJ[Ofc Code]=(TRIM(P$7)))*(GJ[Account Code]=(TRIM($D81))),GJ[Debit]))))-((SUM(IF((CkDJ[Ofc Code]=(TRIM(P$7)))*(CkDJ[Account Code]=(TRIM($D81))),CkDJ[Credit])))+(SUM(IF((CsDJ[Ofc Code]=(TRIM(P$7)))*(CsDJ[Account Code]=(TRIM($D81))),CsDJ[Credit])))+(SUM(IF((CRDJ[Ofc Code]=(TRIM(P$7)))*(CRDJ[Account Code]=(TRIM($D81))),CRDJ[Credit])))+(SUM(IF((GJ[Ofc Code]=(TRIM(P$7)))*(GJ[Account Code]=(TRIM($D81))),GJ[Credit]))))</f>
        <v>0</v>
      </c>
      <c r="Q81" s="211">
        <f t="array" ref="Q81">((SUM(IF((CkDJ[Ofc Code]=(TRIM(Q$7)))*(CkDJ[Account Code]=(TRIM($D81))),CkDJ[Debit])))+(SUM(IF((CsDJ[Ofc Code]=(TRIM(Q$7)))*(CsDJ[Account Code]=(TRIM($D81))),CsDJ[Debit])))+(SUM(IF((CRDJ[Ofc Code]=(TRIM(Q$7)))*(CRDJ[Account Code]=(TRIM($D81))),CRDJ[Debit])))+(SUM(IF((GJ[Ofc Code]=(TRIM(Q$7)))*(GJ[Account Code]=(TRIM($D81))),GJ[Debit]))))-((SUM(IF((CkDJ[Ofc Code]=(TRIM(Q$7)))*(CkDJ[Account Code]=(TRIM($D81))),CkDJ[Credit])))+(SUM(IF((CsDJ[Ofc Code]=(TRIM(Q$7)))*(CsDJ[Account Code]=(TRIM($D81))),CsDJ[Credit])))+(SUM(IF((CRDJ[Ofc Code]=(TRIM(Q$7)))*(CRDJ[Account Code]=(TRIM($D81))),CRDJ[Credit])))+(SUM(IF((GJ[Ofc Code]=(TRIM(Q$7)))*(GJ[Account Code]=(TRIM($D81))),GJ[Credit]))))</f>
        <v>0</v>
      </c>
      <c r="R81" s="211">
        <f t="array" ref="R81">((SUM(IF((CkDJ[Ofc Code]=(TRIM(R$7)))*(CkDJ[Account Code]=(TRIM($D81))),CkDJ[Debit])))+(SUM(IF((CsDJ[Ofc Code]=(TRIM(R$7)))*(CsDJ[Account Code]=(TRIM($D81))),CsDJ[Debit])))+(SUM(IF((CRDJ[Ofc Code]=(TRIM(R$7)))*(CRDJ[Account Code]=(TRIM($D81))),CRDJ[Debit])))+(SUM(IF((GJ[Ofc Code]=(TRIM(R$7)))*(GJ[Account Code]=(TRIM($D81))),GJ[Debit]))))-((SUM(IF((CkDJ[Ofc Code]=(TRIM(R$7)))*(CkDJ[Account Code]=(TRIM($D81))),CkDJ[Credit])))+(SUM(IF((CsDJ[Ofc Code]=(TRIM(R$7)))*(CsDJ[Account Code]=(TRIM($D81))),CsDJ[Credit])))+(SUM(IF((CRDJ[Ofc Code]=(TRIM(R$7)))*(CRDJ[Account Code]=(TRIM($D81))),CRDJ[Credit])))+(SUM(IF((GJ[Ofc Code]=(TRIM(R$7)))*(GJ[Account Code]=(TRIM($D81))),GJ[Credit]))))</f>
        <v>0</v>
      </c>
      <c r="S81" s="211">
        <f t="array" ref="S81">((SUM(IF((CkDJ[Ofc Code]=(TRIM(S$7)))*(CkDJ[Account Code]=(TRIM($D81))),CkDJ[Debit])))+(SUM(IF((CsDJ[Ofc Code]=(TRIM(S$7)))*(CsDJ[Account Code]=(TRIM($D81))),CsDJ[Debit])))+(SUM(IF((CRDJ[Ofc Code]=(TRIM(S$7)))*(CRDJ[Account Code]=(TRIM($D81))),CRDJ[Debit])))+(SUM(IF((GJ[Ofc Code]=(TRIM(S$7)))*(GJ[Account Code]=(TRIM($D81))),GJ[Debit]))))-((SUM(IF((CkDJ[Ofc Code]=(TRIM(S$7)))*(CkDJ[Account Code]=(TRIM($D81))),CkDJ[Credit])))+(SUM(IF((CsDJ[Ofc Code]=(TRIM(S$7)))*(CsDJ[Account Code]=(TRIM($D81))),CsDJ[Credit])))+(SUM(IF((CRDJ[Ofc Code]=(TRIM(S$7)))*(CRDJ[Account Code]=(TRIM($D81))),CRDJ[Credit])))+(SUM(IF((GJ[Ofc Code]=(TRIM(S$7)))*(GJ[Account Code]=(TRIM($D81))),GJ[Credit]))))</f>
        <v>0</v>
      </c>
      <c r="T81" s="211">
        <f t="array" ref="T81">((SUM(IF((CkDJ[Ofc Code]=(TRIM(T$7)))*(CkDJ[Account Code]=(TRIM($D81))),CkDJ[Debit])))+(SUM(IF((CsDJ[Ofc Code]=(TRIM(T$7)))*(CsDJ[Account Code]=(TRIM($D81))),CsDJ[Debit])))+(SUM(IF((CRDJ[Ofc Code]=(TRIM(T$7)))*(CRDJ[Account Code]=(TRIM($D81))),CRDJ[Debit])))+(SUM(IF((GJ[Ofc Code]=(TRIM(T$7)))*(GJ[Account Code]=(TRIM($D81))),GJ[Debit]))))-((SUM(IF((CkDJ[Ofc Code]=(TRIM(T$7)))*(CkDJ[Account Code]=(TRIM($D81))),CkDJ[Credit])))+(SUM(IF((CsDJ[Ofc Code]=(TRIM(T$7)))*(CsDJ[Account Code]=(TRIM($D81))),CsDJ[Credit])))+(SUM(IF((CRDJ[Ofc Code]=(TRIM(T$7)))*(CRDJ[Account Code]=(TRIM($D81))),CRDJ[Credit])))+(SUM(IF((GJ[Ofc Code]=(TRIM(T$7)))*(GJ[Account Code]=(TRIM($D81))),GJ[Credit]))))</f>
        <v>0</v>
      </c>
      <c r="U81" s="211">
        <f t="shared" si="17"/>
        <v>0</v>
      </c>
      <c r="V81" s="211">
        <f t="shared" si="18"/>
        <v>0</v>
      </c>
    </row>
    <row r="82" spans="1:22" ht="15" x14ac:dyDescent="0.25">
      <c r="A82" s="212">
        <f t="shared" si="19"/>
        <v>20</v>
      </c>
      <c r="B82" s="214"/>
      <c r="C82" s="194" t="str">
        <f t="shared" si="14"/>
        <v>Transportation and Delivery Expenses</v>
      </c>
      <c r="D82" s="207">
        <v>784</v>
      </c>
      <c r="E82" s="211">
        <f t="array" ref="E82">((SUM(IF((CkDJ[Ofc Code]=(TRIM(E$7)))*(CkDJ[Account Code]=(TRIM($D82))),CkDJ[Debit])))+(SUM(IF((CsDJ[Ofc Code]=(TRIM(E$7)))*(CsDJ[Account Code]=(TRIM($D82))),CsDJ[Debit])))+(SUM(IF((CRDJ[Ofc Code]=(TRIM(E$7)))*(CRDJ[Account Code]=(TRIM($D82))),CRDJ[Debit])))+(SUM(IF((GJ[Ofc Code]=(TRIM(E$7)))*(GJ[Account Code]=(TRIM($D82))),GJ[Debit]))))-((SUM(IF((CkDJ[Ofc Code]=(TRIM(E$7)))*(CkDJ[Account Code]=(TRIM($D82))),CkDJ[Credit])))+(SUM(IF((CsDJ[Ofc Code]=(TRIM(E$7)))*(CsDJ[Account Code]=(TRIM($D82))),CsDJ[Credit])))+(SUM(IF((CRDJ[Ofc Code]=(TRIM(E$7)))*(CRDJ[Account Code]=(TRIM($D82))),CRDJ[Credit])))+(SUM(IF((GJ[Ofc Code]=(TRIM(E$7)))*(GJ[Account Code]=(TRIM($D82))),GJ[Credit]))))</f>
        <v>0</v>
      </c>
      <c r="F82" s="211">
        <f t="array" ref="F82">((SUM(IF((CkDJ[Ofc Code]=(TRIM(F$7)))*(CkDJ[Account Code]=(TRIM($D82))),CkDJ[Debit])))+(SUM(IF((CsDJ[Ofc Code]=(TRIM(F$7)))*(CsDJ[Account Code]=(TRIM($D82))),CsDJ[Debit])))+(SUM(IF((CRDJ[Ofc Code]=(TRIM(F$7)))*(CRDJ[Account Code]=(TRIM($D82))),CRDJ[Debit])))+(SUM(IF((GJ[Ofc Code]=(TRIM(F$7)))*(GJ[Account Code]=(TRIM($D82))),GJ[Debit]))))-((SUM(IF((CkDJ[Ofc Code]=(TRIM(F$7)))*(CkDJ[Account Code]=(TRIM($D82))),CkDJ[Credit])))+(SUM(IF((CsDJ[Ofc Code]=(TRIM(F$7)))*(CsDJ[Account Code]=(TRIM($D82))),CsDJ[Credit])))+(SUM(IF((CRDJ[Ofc Code]=(TRIM(F$7)))*(CRDJ[Account Code]=(TRIM($D82))),CRDJ[Credit])))+(SUM(IF((GJ[Ofc Code]=(TRIM(F$7)))*(GJ[Account Code]=(TRIM($D82))),GJ[Credit]))))</f>
        <v>0</v>
      </c>
      <c r="G82" s="211">
        <f t="array" ref="G82">((SUM(IF((CkDJ[Ofc Code]=(TRIM(G$7)))*(CkDJ[Account Code]=(TRIM($D82))),CkDJ[Debit])))+(SUM(IF((CsDJ[Ofc Code]=(TRIM(G$7)))*(CsDJ[Account Code]=(TRIM($D82))),CsDJ[Debit])))+(SUM(IF((CRDJ[Ofc Code]=(TRIM(G$7)))*(CRDJ[Account Code]=(TRIM($D82))),CRDJ[Debit])))+(SUM(IF((GJ[Ofc Code]=(TRIM(G$7)))*(GJ[Account Code]=(TRIM($D82))),GJ[Debit]))))-((SUM(IF((CkDJ[Ofc Code]=(TRIM(G$7)))*(CkDJ[Account Code]=(TRIM($D82))),CkDJ[Credit])))+(SUM(IF((CsDJ[Ofc Code]=(TRIM(G$7)))*(CsDJ[Account Code]=(TRIM($D82))),CsDJ[Credit])))+(SUM(IF((CRDJ[Ofc Code]=(TRIM(G$7)))*(CRDJ[Account Code]=(TRIM($D82))),CRDJ[Credit])))+(SUM(IF((GJ[Ofc Code]=(TRIM(G$7)))*(GJ[Account Code]=(TRIM($D82))),GJ[Credit]))))</f>
        <v>0</v>
      </c>
      <c r="H82" s="211">
        <f t="array" ref="H82">((SUM(IF((CkDJ[Ofc Code]=(TRIM(H$7)))*(CkDJ[Account Code]=(TRIM($D82))),CkDJ[Debit])))+(SUM(IF((CsDJ[Ofc Code]=(TRIM(H$7)))*(CsDJ[Account Code]=(TRIM($D82))),CsDJ[Debit])))+(SUM(IF((CRDJ[Ofc Code]=(TRIM(H$7)))*(CRDJ[Account Code]=(TRIM($D82))),CRDJ[Debit])))+(SUM(IF((GJ[Ofc Code]=(TRIM(H$7)))*(GJ[Account Code]=(TRIM($D82))),GJ[Debit]))))-((SUM(IF((CkDJ[Ofc Code]=(TRIM(H$7)))*(CkDJ[Account Code]=(TRIM($D82))),CkDJ[Credit])))+(SUM(IF((CsDJ[Ofc Code]=(TRIM(H$7)))*(CsDJ[Account Code]=(TRIM($D82))),CsDJ[Credit])))+(SUM(IF((CRDJ[Ofc Code]=(TRIM(H$7)))*(CRDJ[Account Code]=(TRIM($D82))),CRDJ[Credit])))+(SUM(IF((GJ[Ofc Code]=(TRIM(H$7)))*(GJ[Account Code]=(TRIM($D82))),GJ[Credit]))))</f>
        <v>0</v>
      </c>
      <c r="I82" s="211">
        <f t="array" ref="I82">((SUM(IF((CkDJ[Ofc Code]=(TRIM(I$7)))*(CkDJ[Account Code]=(TRIM($D82))),CkDJ[Debit])))+(SUM(IF((CsDJ[Ofc Code]=(TRIM(I$7)))*(CsDJ[Account Code]=(TRIM($D82))),CsDJ[Debit])))+(SUM(IF((CRDJ[Ofc Code]=(TRIM(I$7)))*(CRDJ[Account Code]=(TRIM($D82))),CRDJ[Debit])))+(SUM(IF((GJ[Ofc Code]=(TRIM(I$7)))*(GJ[Account Code]=(TRIM($D82))),GJ[Debit]))))-((SUM(IF((CkDJ[Ofc Code]=(TRIM(I$7)))*(CkDJ[Account Code]=(TRIM($D82))),CkDJ[Credit])))+(SUM(IF((CsDJ[Ofc Code]=(TRIM(I$7)))*(CsDJ[Account Code]=(TRIM($D82))),CsDJ[Credit])))+(SUM(IF((CRDJ[Ofc Code]=(TRIM(I$7)))*(CRDJ[Account Code]=(TRIM($D82))),CRDJ[Credit])))+(SUM(IF((GJ[Ofc Code]=(TRIM(I$7)))*(GJ[Account Code]=(TRIM($D82))),GJ[Credit]))))</f>
        <v>0</v>
      </c>
      <c r="J82" s="211">
        <f t="shared" si="15"/>
        <v>0</v>
      </c>
      <c r="K82" s="211">
        <f t="array" ref="K82">((SUM(IF((CkDJ[Ofc Code]=(TRIM(K$7)))*(CkDJ[Account Code]=(TRIM($D82))),CkDJ[Debit])))+(SUM(IF((CsDJ[Ofc Code]=(TRIM(K$7)))*(CsDJ[Account Code]=(TRIM($D82))),CsDJ[Debit])))+(SUM(IF((CRDJ[Ofc Code]=(TRIM(K$7)))*(CRDJ[Account Code]=(TRIM($D82))),CRDJ[Debit])))+(SUM(IF((GJ[Ofc Code]=(TRIM(K$7)))*(GJ[Account Code]=(TRIM($D82))),GJ[Debit]))))-((SUM(IF((CkDJ[Ofc Code]=(TRIM(K$7)))*(CkDJ[Account Code]=(TRIM($D82))),CkDJ[Credit])))+(SUM(IF((CsDJ[Ofc Code]=(TRIM(K$7)))*(CsDJ[Account Code]=(TRIM($D82))),CsDJ[Credit])))+(SUM(IF((CRDJ[Ofc Code]=(TRIM(K$7)))*(CRDJ[Account Code]=(TRIM($D82))),CRDJ[Credit])))+(SUM(IF((GJ[Ofc Code]=(TRIM(K$7)))*(GJ[Account Code]=(TRIM($D82))),GJ[Credit]))))</f>
        <v>0</v>
      </c>
      <c r="L82" s="211">
        <f t="array" ref="L82">((SUM(IF((CkDJ[Ofc Code]=(TRIM(L$7)))*(CkDJ[Account Code]=(TRIM($D82))),CkDJ[Debit])))+(SUM(IF((CsDJ[Ofc Code]=(TRIM(L$7)))*(CsDJ[Account Code]=(TRIM($D82))),CsDJ[Debit])))+(SUM(IF((CRDJ[Ofc Code]=(TRIM(L$7)))*(CRDJ[Account Code]=(TRIM($D82))),CRDJ[Debit])))+(SUM(IF((GJ[Ofc Code]=(TRIM(L$7)))*(GJ[Account Code]=(TRIM($D82))),GJ[Debit]))))-((SUM(IF((CkDJ[Ofc Code]=(TRIM(L$7)))*(CkDJ[Account Code]=(TRIM($D82))),CkDJ[Credit])))+(SUM(IF((CsDJ[Ofc Code]=(TRIM(L$7)))*(CsDJ[Account Code]=(TRIM($D82))),CsDJ[Credit])))+(SUM(IF((CRDJ[Ofc Code]=(TRIM(L$7)))*(CRDJ[Account Code]=(TRIM($D82))),CRDJ[Credit])))+(SUM(IF((GJ[Ofc Code]=(TRIM(L$7)))*(GJ[Account Code]=(TRIM($D82))),GJ[Credit]))))</f>
        <v>0</v>
      </c>
      <c r="M82" s="211">
        <f t="array" ref="M82">((SUM(IF((CkDJ[Ofc Code]=(TRIM(M$7)))*(CkDJ[Account Code]=(TRIM($D82))),CkDJ[Debit])))+(SUM(IF((CsDJ[Ofc Code]=(TRIM(M$7)))*(CsDJ[Account Code]=(TRIM($D82))),CsDJ[Debit])))+(SUM(IF((CRDJ[Ofc Code]=(TRIM(M$7)))*(CRDJ[Account Code]=(TRIM($D82))),CRDJ[Debit])))+(SUM(IF((GJ[Ofc Code]=(TRIM(M$7)))*(GJ[Account Code]=(TRIM($D82))),GJ[Debit]))))-((SUM(IF((CkDJ[Ofc Code]=(TRIM(M$7)))*(CkDJ[Account Code]=(TRIM($D82))),CkDJ[Credit])))+(SUM(IF((CsDJ[Ofc Code]=(TRIM(M$7)))*(CsDJ[Account Code]=(TRIM($D82))),CsDJ[Credit])))+(SUM(IF((CRDJ[Ofc Code]=(TRIM(M$7)))*(CRDJ[Account Code]=(TRIM($D82))),CRDJ[Credit])))+(SUM(IF((GJ[Ofc Code]=(TRIM(M$7)))*(GJ[Account Code]=(TRIM($D82))),GJ[Credit]))))</f>
        <v>0</v>
      </c>
      <c r="N82" s="211">
        <f t="array" ref="N82">((SUM(IF((CkDJ[Ofc Code]=(TRIM(N$7)))*(CkDJ[Account Code]=(TRIM($D82))),CkDJ[Debit])))+(SUM(IF((CsDJ[Ofc Code]=(TRIM(N$7)))*(CsDJ[Account Code]=(TRIM($D82))),CsDJ[Debit])))+(SUM(IF((CRDJ[Ofc Code]=(TRIM(N$7)))*(CRDJ[Account Code]=(TRIM($D82))),CRDJ[Debit])))+(SUM(IF((GJ[Ofc Code]=(TRIM(N$7)))*(GJ[Account Code]=(TRIM($D82))),GJ[Debit]))))-((SUM(IF((CkDJ[Ofc Code]=(TRIM(N$7)))*(CkDJ[Account Code]=(TRIM($D82))),CkDJ[Credit])))+(SUM(IF((CsDJ[Ofc Code]=(TRIM(N$7)))*(CsDJ[Account Code]=(TRIM($D82))),CsDJ[Credit])))+(SUM(IF((CRDJ[Ofc Code]=(TRIM(N$7)))*(CRDJ[Account Code]=(TRIM($D82))),CRDJ[Credit])))+(SUM(IF((GJ[Ofc Code]=(TRIM(N$7)))*(GJ[Account Code]=(TRIM($D82))),GJ[Credit]))))</f>
        <v>0</v>
      </c>
      <c r="O82" s="211">
        <f t="shared" si="16"/>
        <v>0</v>
      </c>
      <c r="P82" s="211">
        <f t="array" ref="P82">((SUM(IF((CkDJ[Ofc Code]=(TRIM(P$7)))*(CkDJ[Account Code]=(TRIM($D82))),CkDJ[Debit])))+(SUM(IF((CsDJ[Ofc Code]=(TRIM(P$7)))*(CsDJ[Account Code]=(TRIM($D82))),CsDJ[Debit])))+(SUM(IF((CRDJ[Ofc Code]=(TRIM(P$7)))*(CRDJ[Account Code]=(TRIM($D82))),CRDJ[Debit])))+(SUM(IF((GJ[Ofc Code]=(TRIM(P$7)))*(GJ[Account Code]=(TRIM($D82))),GJ[Debit]))))-((SUM(IF((CkDJ[Ofc Code]=(TRIM(P$7)))*(CkDJ[Account Code]=(TRIM($D82))),CkDJ[Credit])))+(SUM(IF((CsDJ[Ofc Code]=(TRIM(P$7)))*(CsDJ[Account Code]=(TRIM($D82))),CsDJ[Credit])))+(SUM(IF((CRDJ[Ofc Code]=(TRIM(P$7)))*(CRDJ[Account Code]=(TRIM($D82))),CRDJ[Credit])))+(SUM(IF((GJ[Ofc Code]=(TRIM(P$7)))*(GJ[Account Code]=(TRIM($D82))),GJ[Credit]))))</f>
        <v>0</v>
      </c>
      <c r="Q82" s="211">
        <f t="array" ref="Q82">((SUM(IF((CkDJ[Ofc Code]=(TRIM(Q$7)))*(CkDJ[Account Code]=(TRIM($D82))),CkDJ[Debit])))+(SUM(IF((CsDJ[Ofc Code]=(TRIM(Q$7)))*(CsDJ[Account Code]=(TRIM($D82))),CsDJ[Debit])))+(SUM(IF((CRDJ[Ofc Code]=(TRIM(Q$7)))*(CRDJ[Account Code]=(TRIM($D82))),CRDJ[Debit])))+(SUM(IF((GJ[Ofc Code]=(TRIM(Q$7)))*(GJ[Account Code]=(TRIM($D82))),GJ[Debit]))))-((SUM(IF((CkDJ[Ofc Code]=(TRIM(Q$7)))*(CkDJ[Account Code]=(TRIM($D82))),CkDJ[Credit])))+(SUM(IF((CsDJ[Ofc Code]=(TRIM(Q$7)))*(CsDJ[Account Code]=(TRIM($D82))),CsDJ[Credit])))+(SUM(IF((CRDJ[Ofc Code]=(TRIM(Q$7)))*(CRDJ[Account Code]=(TRIM($D82))),CRDJ[Credit])))+(SUM(IF((GJ[Ofc Code]=(TRIM(Q$7)))*(GJ[Account Code]=(TRIM($D82))),GJ[Credit]))))</f>
        <v>0</v>
      </c>
      <c r="R82" s="211">
        <f t="array" ref="R82">((SUM(IF((CkDJ[Ofc Code]=(TRIM(R$7)))*(CkDJ[Account Code]=(TRIM($D82))),CkDJ[Debit])))+(SUM(IF((CsDJ[Ofc Code]=(TRIM(R$7)))*(CsDJ[Account Code]=(TRIM($D82))),CsDJ[Debit])))+(SUM(IF((CRDJ[Ofc Code]=(TRIM(R$7)))*(CRDJ[Account Code]=(TRIM($D82))),CRDJ[Debit])))+(SUM(IF((GJ[Ofc Code]=(TRIM(R$7)))*(GJ[Account Code]=(TRIM($D82))),GJ[Debit]))))-((SUM(IF((CkDJ[Ofc Code]=(TRIM(R$7)))*(CkDJ[Account Code]=(TRIM($D82))),CkDJ[Credit])))+(SUM(IF((CsDJ[Ofc Code]=(TRIM(R$7)))*(CsDJ[Account Code]=(TRIM($D82))),CsDJ[Credit])))+(SUM(IF((CRDJ[Ofc Code]=(TRIM(R$7)))*(CRDJ[Account Code]=(TRIM($D82))),CRDJ[Credit])))+(SUM(IF((GJ[Ofc Code]=(TRIM(R$7)))*(GJ[Account Code]=(TRIM($D82))),GJ[Credit]))))</f>
        <v>0</v>
      </c>
      <c r="S82" s="211">
        <f t="array" ref="S82">((SUM(IF((CkDJ[Ofc Code]=(TRIM(S$7)))*(CkDJ[Account Code]=(TRIM($D82))),CkDJ[Debit])))+(SUM(IF((CsDJ[Ofc Code]=(TRIM(S$7)))*(CsDJ[Account Code]=(TRIM($D82))),CsDJ[Debit])))+(SUM(IF((CRDJ[Ofc Code]=(TRIM(S$7)))*(CRDJ[Account Code]=(TRIM($D82))),CRDJ[Debit])))+(SUM(IF((GJ[Ofc Code]=(TRIM(S$7)))*(GJ[Account Code]=(TRIM($D82))),GJ[Debit]))))-((SUM(IF((CkDJ[Ofc Code]=(TRIM(S$7)))*(CkDJ[Account Code]=(TRIM($D82))),CkDJ[Credit])))+(SUM(IF((CsDJ[Ofc Code]=(TRIM(S$7)))*(CsDJ[Account Code]=(TRIM($D82))),CsDJ[Credit])))+(SUM(IF((CRDJ[Ofc Code]=(TRIM(S$7)))*(CRDJ[Account Code]=(TRIM($D82))),CRDJ[Credit])))+(SUM(IF((GJ[Ofc Code]=(TRIM(S$7)))*(GJ[Account Code]=(TRIM($D82))),GJ[Credit]))))</f>
        <v>0</v>
      </c>
      <c r="T82" s="211">
        <f t="array" ref="T82">((SUM(IF((CkDJ[Ofc Code]=(TRIM(T$7)))*(CkDJ[Account Code]=(TRIM($D82))),CkDJ[Debit])))+(SUM(IF((CsDJ[Ofc Code]=(TRIM(T$7)))*(CsDJ[Account Code]=(TRIM($D82))),CsDJ[Debit])))+(SUM(IF((CRDJ[Ofc Code]=(TRIM(T$7)))*(CRDJ[Account Code]=(TRIM($D82))),CRDJ[Debit])))+(SUM(IF((GJ[Ofc Code]=(TRIM(T$7)))*(GJ[Account Code]=(TRIM($D82))),GJ[Debit]))))-((SUM(IF((CkDJ[Ofc Code]=(TRIM(T$7)))*(CkDJ[Account Code]=(TRIM($D82))),CkDJ[Credit])))+(SUM(IF((CsDJ[Ofc Code]=(TRIM(T$7)))*(CsDJ[Account Code]=(TRIM($D82))),CsDJ[Credit])))+(SUM(IF((CRDJ[Ofc Code]=(TRIM(T$7)))*(CRDJ[Account Code]=(TRIM($D82))),CRDJ[Credit])))+(SUM(IF((GJ[Ofc Code]=(TRIM(T$7)))*(GJ[Account Code]=(TRIM($D82))),GJ[Credit]))))</f>
        <v>0</v>
      </c>
      <c r="U82" s="211">
        <f t="shared" si="17"/>
        <v>0</v>
      </c>
      <c r="V82" s="211">
        <f t="shared" si="18"/>
        <v>0</v>
      </c>
    </row>
    <row r="83" spans="1:22" ht="15" x14ac:dyDescent="0.25">
      <c r="A83" s="212">
        <f t="shared" si="19"/>
        <v>21</v>
      </c>
      <c r="B83" s="214"/>
      <c r="C83" s="194" t="str">
        <f t="shared" si="14"/>
        <v>Auditing Services</v>
      </c>
      <c r="D83" s="207">
        <v>792</v>
      </c>
      <c r="E83" s="211">
        <f t="array" ref="E83">((SUM(IF((CkDJ[Ofc Code]=(TRIM(E$7)))*(CkDJ[Account Code]=(TRIM($D83))),CkDJ[Debit])))+(SUM(IF((CsDJ[Ofc Code]=(TRIM(E$7)))*(CsDJ[Account Code]=(TRIM($D83))),CsDJ[Debit])))+(SUM(IF((CRDJ[Ofc Code]=(TRIM(E$7)))*(CRDJ[Account Code]=(TRIM($D83))),CRDJ[Debit])))+(SUM(IF((GJ[Ofc Code]=(TRIM(E$7)))*(GJ[Account Code]=(TRIM($D83))),GJ[Debit]))))-((SUM(IF((CkDJ[Ofc Code]=(TRIM(E$7)))*(CkDJ[Account Code]=(TRIM($D83))),CkDJ[Credit])))+(SUM(IF((CsDJ[Ofc Code]=(TRIM(E$7)))*(CsDJ[Account Code]=(TRIM($D83))),CsDJ[Credit])))+(SUM(IF((CRDJ[Ofc Code]=(TRIM(E$7)))*(CRDJ[Account Code]=(TRIM($D83))),CRDJ[Credit])))+(SUM(IF((GJ[Ofc Code]=(TRIM(E$7)))*(GJ[Account Code]=(TRIM($D83))),GJ[Credit]))))</f>
        <v>0</v>
      </c>
      <c r="F83" s="211">
        <f t="array" ref="F83">((SUM(IF((CkDJ[Ofc Code]=(TRIM(F$7)))*(CkDJ[Account Code]=(TRIM($D83))),CkDJ[Debit])))+(SUM(IF((CsDJ[Ofc Code]=(TRIM(F$7)))*(CsDJ[Account Code]=(TRIM($D83))),CsDJ[Debit])))+(SUM(IF((CRDJ[Ofc Code]=(TRIM(F$7)))*(CRDJ[Account Code]=(TRIM($D83))),CRDJ[Debit])))+(SUM(IF((GJ[Ofc Code]=(TRIM(F$7)))*(GJ[Account Code]=(TRIM($D83))),GJ[Debit]))))-((SUM(IF((CkDJ[Ofc Code]=(TRIM(F$7)))*(CkDJ[Account Code]=(TRIM($D83))),CkDJ[Credit])))+(SUM(IF((CsDJ[Ofc Code]=(TRIM(F$7)))*(CsDJ[Account Code]=(TRIM($D83))),CsDJ[Credit])))+(SUM(IF((CRDJ[Ofc Code]=(TRIM(F$7)))*(CRDJ[Account Code]=(TRIM($D83))),CRDJ[Credit])))+(SUM(IF((GJ[Ofc Code]=(TRIM(F$7)))*(GJ[Account Code]=(TRIM($D83))),GJ[Credit]))))</f>
        <v>0</v>
      </c>
      <c r="G83" s="211">
        <f t="array" ref="G83">((SUM(IF((CkDJ[Ofc Code]=(TRIM(G$7)))*(CkDJ[Account Code]=(TRIM($D83))),CkDJ[Debit])))+(SUM(IF((CsDJ[Ofc Code]=(TRIM(G$7)))*(CsDJ[Account Code]=(TRIM($D83))),CsDJ[Debit])))+(SUM(IF((CRDJ[Ofc Code]=(TRIM(G$7)))*(CRDJ[Account Code]=(TRIM($D83))),CRDJ[Debit])))+(SUM(IF((GJ[Ofc Code]=(TRIM(G$7)))*(GJ[Account Code]=(TRIM($D83))),GJ[Debit]))))-((SUM(IF((CkDJ[Ofc Code]=(TRIM(G$7)))*(CkDJ[Account Code]=(TRIM($D83))),CkDJ[Credit])))+(SUM(IF((CsDJ[Ofc Code]=(TRIM(G$7)))*(CsDJ[Account Code]=(TRIM($D83))),CsDJ[Credit])))+(SUM(IF((CRDJ[Ofc Code]=(TRIM(G$7)))*(CRDJ[Account Code]=(TRIM($D83))),CRDJ[Credit])))+(SUM(IF((GJ[Ofc Code]=(TRIM(G$7)))*(GJ[Account Code]=(TRIM($D83))),GJ[Credit]))))</f>
        <v>0</v>
      </c>
      <c r="H83" s="211">
        <f t="array" ref="H83">((SUM(IF((CkDJ[Ofc Code]=(TRIM(H$7)))*(CkDJ[Account Code]=(TRIM($D83))),CkDJ[Debit])))+(SUM(IF((CsDJ[Ofc Code]=(TRIM(H$7)))*(CsDJ[Account Code]=(TRIM($D83))),CsDJ[Debit])))+(SUM(IF((CRDJ[Ofc Code]=(TRIM(H$7)))*(CRDJ[Account Code]=(TRIM($D83))),CRDJ[Debit])))+(SUM(IF((GJ[Ofc Code]=(TRIM(H$7)))*(GJ[Account Code]=(TRIM($D83))),GJ[Debit]))))-((SUM(IF((CkDJ[Ofc Code]=(TRIM(H$7)))*(CkDJ[Account Code]=(TRIM($D83))),CkDJ[Credit])))+(SUM(IF((CsDJ[Ofc Code]=(TRIM(H$7)))*(CsDJ[Account Code]=(TRIM($D83))),CsDJ[Credit])))+(SUM(IF((CRDJ[Ofc Code]=(TRIM(H$7)))*(CRDJ[Account Code]=(TRIM($D83))),CRDJ[Credit])))+(SUM(IF((GJ[Ofc Code]=(TRIM(H$7)))*(GJ[Account Code]=(TRIM($D83))),GJ[Credit]))))</f>
        <v>0</v>
      </c>
      <c r="I83" s="211">
        <f t="array" ref="I83">((SUM(IF((CkDJ[Ofc Code]=(TRIM(I$7)))*(CkDJ[Account Code]=(TRIM($D83))),CkDJ[Debit])))+(SUM(IF((CsDJ[Ofc Code]=(TRIM(I$7)))*(CsDJ[Account Code]=(TRIM($D83))),CsDJ[Debit])))+(SUM(IF((CRDJ[Ofc Code]=(TRIM(I$7)))*(CRDJ[Account Code]=(TRIM($D83))),CRDJ[Debit])))+(SUM(IF((GJ[Ofc Code]=(TRIM(I$7)))*(GJ[Account Code]=(TRIM($D83))),GJ[Debit]))))-((SUM(IF((CkDJ[Ofc Code]=(TRIM(I$7)))*(CkDJ[Account Code]=(TRIM($D83))),CkDJ[Credit])))+(SUM(IF((CsDJ[Ofc Code]=(TRIM(I$7)))*(CsDJ[Account Code]=(TRIM($D83))),CsDJ[Credit])))+(SUM(IF((CRDJ[Ofc Code]=(TRIM(I$7)))*(CRDJ[Account Code]=(TRIM($D83))),CRDJ[Credit])))+(SUM(IF((GJ[Ofc Code]=(TRIM(I$7)))*(GJ[Account Code]=(TRIM($D83))),GJ[Credit]))))</f>
        <v>0</v>
      </c>
      <c r="J83" s="211">
        <f t="shared" si="15"/>
        <v>0</v>
      </c>
      <c r="K83" s="211">
        <f t="array" ref="K83">((SUM(IF((CkDJ[Ofc Code]=(TRIM(K$7)))*(CkDJ[Account Code]=(TRIM($D83))),CkDJ[Debit])))+(SUM(IF((CsDJ[Ofc Code]=(TRIM(K$7)))*(CsDJ[Account Code]=(TRIM($D83))),CsDJ[Debit])))+(SUM(IF((CRDJ[Ofc Code]=(TRIM(K$7)))*(CRDJ[Account Code]=(TRIM($D83))),CRDJ[Debit])))+(SUM(IF((GJ[Ofc Code]=(TRIM(K$7)))*(GJ[Account Code]=(TRIM($D83))),GJ[Debit]))))-((SUM(IF((CkDJ[Ofc Code]=(TRIM(K$7)))*(CkDJ[Account Code]=(TRIM($D83))),CkDJ[Credit])))+(SUM(IF((CsDJ[Ofc Code]=(TRIM(K$7)))*(CsDJ[Account Code]=(TRIM($D83))),CsDJ[Credit])))+(SUM(IF((CRDJ[Ofc Code]=(TRIM(K$7)))*(CRDJ[Account Code]=(TRIM($D83))),CRDJ[Credit])))+(SUM(IF((GJ[Ofc Code]=(TRIM(K$7)))*(GJ[Account Code]=(TRIM($D83))),GJ[Credit]))))</f>
        <v>0</v>
      </c>
      <c r="L83" s="211">
        <f t="array" ref="L83">((SUM(IF((CkDJ[Ofc Code]=(TRIM(L$7)))*(CkDJ[Account Code]=(TRIM($D83))),CkDJ[Debit])))+(SUM(IF((CsDJ[Ofc Code]=(TRIM(L$7)))*(CsDJ[Account Code]=(TRIM($D83))),CsDJ[Debit])))+(SUM(IF((CRDJ[Ofc Code]=(TRIM(L$7)))*(CRDJ[Account Code]=(TRIM($D83))),CRDJ[Debit])))+(SUM(IF((GJ[Ofc Code]=(TRIM(L$7)))*(GJ[Account Code]=(TRIM($D83))),GJ[Debit]))))-((SUM(IF((CkDJ[Ofc Code]=(TRIM(L$7)))*(CkDJ[Account Code]=(TRIM($D83))),CkDJ[Credit])))+(SUM(IF((CsDJ[Ofc Code]=(TRIM(L$7)))*(CsDJ[Account Code]=(TRIM($D83))),CsDJ[Credit])))+(SUM(IF((CRDJ[Ofc Code]=(TRIM(L$7)))*(CRDJ[Account Code]=(TRIM($D83))),CRDJ[Credit])))+(SUM(IF((GJ[Ofc Code]=(TRIM(L$7)))*(GJ[Account Code]=(TRIM($D83))),GJ[Credit]))))</f>
        <v>0</v>
      </c>
      <c r="M83" s="211">
        <f t="array" ref="M83">((SUM(IF((CkDJ[Ofc Code]=(TRIM(M$7)))*(CkDJ[Account Code]=(TRIM($D83))),CkDJ[Debit])))+(SUM(IF((CsDJ[Ofc Code]=(TRIM(M$7)))*(CsDJ[Account Code]=(TRIM($D83))),CsDJ[Debit])))+(SUM(IF((CRDJ[Ofc Code]=(TRIM(M$7)))*(CRDJ[Account Code]=(TRIM($D83))),CRDJ[Debit])))+(SUM(IF((GJ[Ofc Code]=(TRIM(M$7)))*(GJ[Account Code]=(TRIM($D83))),GJ[Debit]))))-((SUM(IF((CkDJ[Ofc Code]=(TRIM(M$7)))*(CkDJ[Account Code]=(TRIM($D83))),CkDJ[Credit])))+(SUM(IF((CsDJ[Ofc Code]=(TRIM(M$7)))*(CsDJ[Account Code]=(TRIM($D83))),CsDJ[Credit])))+(SUM(IF((CRDJ[Ofc Code]=(TRIM(M$7)))*(CRDJ[Account Code]=(TRIM($D83))),CRDJ[Credit])))+(SUM(IF((GJ[Ofc Code]=(TRIM(M$7)))*(GJ[Account Code]=(TRIM($D83))),GJ[Credit]))))</f>
        <v>0</v>
      </c>
      <c r="N83" s="211">
        <f t="array" ref="N83">((SUM(IF((CkDJ[Ofc Code]=(TRIM(N$7)))*(CkDJ[Account Code]=(TRIM($D83))),CkDJ[Debit])))+(SUM(IF((CsDJ[Ofc Code]=(TRIM(N$7)))*(CsDJ[Account Code]=(TRIM($D83))),CsDJ[Debit])))+(SUM(IF((CRDJ[Ofc Code]=(TRIM(N$7)))*(CRDJ[Account Code]=(TRIM($D83))),CRDJ[Debit])))+(SUM(IF((GJ[Ofc Code]=(TRIM(N$7)))*(GJ[Account Code]=(TRIM($D83))),GJ[Debit]))))-((SUM(IF((CkDJ[Ofc Code]=(TRIM(N$7)))*(CkDJ[Account Code]=(TRIM($D83))),CkDJ[Credit])))+(SUM(IF((CsDJ[Ofc Code]=(TRIM(N$7)))*(CsDJ[Account Code]=(TRIM($D83))),CsDJ[Credit])))+(SUM(IF((CRDJ[Ofc Code]=(TRIM(N$7)))*(CRDJ[Account Code]=(TRIM($D83))),CRDJ[Credit])))+(SUM(IF((GJ[Ofc Code]=(TRIM(N$7)))*(GJ[Account Code]=(TRIM($D83))),GJ[Credit]))))</f>
        <v>0</v>
      </c>
      <c r="O83" s="211">
        <f t="shared" si="16"/>
        <v>0</v>
      </c>
      <c r="P83" s="211">
        <f t="array" ref="P83">((SUM(IF((CkDJ[Ofc Code]=(TRIM(P$7)))*(CkDJ[Account Code]=(TRIM($D83))),CkDJ[Debit])))+(SUM(IF((CsDJ[Ofc Code]=(TRIM(P$7)))*(CsDJ[Account Code]=(TRIM($D83))),CsDJ[Debit])))+(SUM(IF((CRDJ[Ofc Code]=(TRIM(P$7)))*(CRDJ[Account Code]=(TRIM($D83))),CRDJ[Debit])))+(SUM(IF((GJ[Ofc Code]=(TRIM(P$7)))*(GJ[Account Code]=(TRIM($D83))),GJ[Debit]))))-((SUM(IF((CkDJ[Ofc Code]=(TRIM(P$7)))*(CkDJ[Account Code]=(TRIM($D83))),CkDJ[Credit])))+(SUM(IF((CsDJ[Ofc Code]=(TRIM(P$7)))*(CsDJ[Account Code]=(TRIM($D83))),CsDJ[Credit])))+(SUM(IF((CRDJ[Ofc Code]=(TRIM(P$7)))*(CRDJ[Account Code]=(TRIM($D83))),CRDJ[Credit])))+(SUM(IF((GJ[Ofc Code]=(TRIM(P$7)))*(GJ[Account Code]=(TRIM($D83))),GJ[Credit]))))</f>
        <v>0</v>
      </c>
      <c r="Q83" s="211">
        <f t="array" ref="Q83">((SUM(IF((CkDJ[Ofc Code]=(TRIM(Q$7)))*(CkDJ[Account Code]=(TRIM($D83))),CkDJ[Debit])))+(SUM(IF((CsDJ[Ofc Code]=(TRIM(Q$7)))*(CsDJ[Account Code]=(TRIM($D83))),CsDJ[Debit])))+(SUM(IF((CRDJ[Ofc Code]=(TRIM(Q$7)))*(CRDJ[Account Code]=(TRIM($D83))),CRDJ[Debit])))+(SUM(IF((GJ[Ofc Code]=(TRIM(Q$7)))*(GJ[Account Code]=(TRIM($D83))),GJ[Debit]))))-((SUM(IF((CkDJ[Ofc Code]=(TRIM(Q$7)))*(CkDJ[Account Code]=(TRIM($D83))),CkDJ[Credit])))+(SUM(IF((CsDJ[Ofc Code]=(TRIM(Q$7)))*(CsDJ[Account Code]=(TRIM($D83))),CsDJ[Credit])))+(SUM(IF((CRDJ[Ofc Code]=(TRIM(Q$7)))*(CRDJ[Account Code]=(TRIM($D83))),CRDJ[Credit])))+(SUM(IF((GJ[Ofc Code]=(TRIM(Q$7)))*(GJ[Account Code]=(TRIM($D83))),GJ[Credit]))))</f>
        <v>0</v>
      </c>
      <c r="R83" s="211">
        <f t="array" ref="R83">((SUM(IF((CkDJ[Ofc Code]=(TRIM(R$7)))*(CkDJ[Account Code]=(TRIM($D83))),CkDJ[Debit])))+(SUM(IF((CsDJ[Ofc Code]=(TRIM(R$7)))*(CsDJ[Account Code]=(TRIM($D83))),CsDJ[Debit])))+(SUM(IF((CRDJ[Ofc Code]=(TRIM(R$7)))*(CRDJ[Account Code]=(TRIM($D83))),CRDJ[Debit])))+(SUM(IF((GJ[Ofc Code]=(TRIM(R$7)))*(GJ[Account Code]=(TRIM($D83))),GJ[Debit]))))-((SUM(IF((CkDJ[Ofc Code]=(TRIM(R$7)))*(CkDJ[Account Code]=(TRIM($D83))),CkDJ[Credit])))+(SUM(IF((CsDJ[Ofc Code]=(TRIM(R$7)))*(CsDJ[Account Code]=(TRIM($D83))),CsDJ[Credit])))+(SUM(IF((CRDJ[Ofc Code]=(TRIM(R$7)))*(CRDJ[Account Code]=(TRIM($D83))),CRDJ[Credit])))+(SUM(IF((GJ[Ofc Code]=(TRIM(R$7)))*(GJ[Account Code]=(TRIM($D83))),GJ[Credit]))))</f>
        <v>0</v>
      </c>
      <c r="S83" s="211">
        <f t="array" ref="S83">((SUM(IF((CkDJ[Ofc Code]=(TRIM(S$7)))*(CkDJ[Account Code]=(TRIM($D83))),CkDJ[Debit])))+(SUM(IF((CsDJ[Ofc Code]=(TRIM(S$7)))*(CsDJ[Account Code]=(TRIM($D83))),CsDJ[Debit])))+(SUM(IF((CRDJ[Ofc Code]=(TRIM(S$7)))*(CRDJ[Account Code]=(TRIM($D83))),CRDJ[Debit])))+(SUM(IF((GJ[Ofc Code]=(TRIM(S$7)))*(GJ[Account Code]=(TRIM($D83))),GJ[Debit]))))-((SUM(IF((CkDJ[Ofc Code]=(TRIM(S$7)))*(CkDJ[Account Code]=(TRIM($D83))),CkDJ[Credit])))+(SUM(IF((CsDJ[Ofc Code]=(TRIM(S$7)))*(CsDJ[Account Code]=(TRIM($D83))),CsDJ[Credit])))+(SUM(IF((CRDJ[Ofc Code]=(TRIM(S$7)))*(CRDJ[Account Code]=(TRIM($D83))),CRDJ[Credit])))+(SUM(IF((GJ[Ofc Code]=(TRIM(S$7)))*(GJ[Account Code]=(TRIM($D83))),GJ[Credit]))))</f>
        <v>0</v>
      </c>
      <c r="T83" s="211">
        <f t="array" ref="T83">((SUM(IF((CkDJ[Ofc Code]=(TRIM(T$7)))*(CkDJ[Account Code]=(TRIM($D83))),CkDJ[Debit])))+(SUM(IF((CsDJ[Ofc Code]=(TRIM(T$7)))*(CsDJ[Account Code]=(TRIM($D83))),CsDJ[Debit])))+(SUM(IF((CRDJ[Ofc Code]=(TRIM(T$7)))*(CRDJ[Account Code]=(TRIM($D83))),CRDJ[Debit])))+(SUM(IF((GJ[Ofc Code]=(TRIM(T$7)))*(GJ[Account Code]=(TRIM($D83))),GJ[Debit]))))-((SUM(IF((CkDJ[Ofc Code]=(TRIM(T$7)))*(CkDJ[Account Code]=(TRIM($D83))),CkDJ[Credit])))+(SUM(IF((CsDJ[Ofc Code]=(TRIM(T$7)))*(CsDJ[Account Code]=(TRIM($D83))),CsDJ[Credit])))+(SUM(IF((CRDJ[Ofc Code]=(TRIM(T$7)))*(CRDJ[Account Code]=(TRIM($D83))),CRDJ[Credit])))+(SUM(IF((GJ[Ofc Code]=(TRIM(T$7)))*(GJ[Account Code]=(TRIM($D83))),GJ[Credit]))))</f>
        <v>0</v>
      </c>
      <c r="U83" s="211">
        <f t="shared" si="17"/>
        <v>0</v>
      </c>
      <c r="V83" s="211">
        <f t="shared" si="18"/>
        <v>0</v>
      </c>
    </row>
    <row r="84" spans="1:22" ht="15" x14ac:dyDescent="0.25">
      <c r="A84" s="212">
        <f t="shared" si="19"/>
        <v>22</v>
      </c>
      <c r="B84" s="214"/>
      <c r="C84" s="194" t="str">
        <f>IF(D84=0,"",(VLOOKUP((TRIM(D84)),Code,2,)))</f>
        <v>Janitorial Services</v>
      </c>
      <c r="D84" s="207" t="s">
        <v>249</v>
      </c>
      <c r="E84" s="211">
        <f t="array" ref="E84">((SUM(IF((CkDJ[Ofc Code]=(TRIM(E$7)))*(CkDJ[Account Code]=(TRIM($D84))),CkDJ[Debit])))+(SUM(IF((CsDJ[Ofc Code]=(TRIM(E$7)))*(CsDJ[Account Code]=(TRIM($D84))),CsDJ[Debit])))+(SUM(IF((CRDJ[Ofc Code]=(TRIM(E$7)))*(CRDJ[Account Code]=(TRIM($D84))),CRDJ[Debit])))+(SUM(IF((GJ[Ofc Code]=(TRIM(E$7)))*(GJ[Account Code]=(TRIM($D84))),GJ[Debit]))))-((SUM(IF((CkDJ[Ofc Code]=(TRIM(E$7)))*(CkDJ[Account Code]=(TRIM($D84))),CkDJ[Credit])))+(SUM(IF((CsDJ[Ofc Code]=(TRIM(E$7)))*(CsDJ[Account Code]=(TRIM($D84))),CsDJ[Credit])))+(SUM(IF((CRDJ[Ofc Code]=(TRIM(E$7)))*(CRDJ[Account Code]=(TRIM($D84))),CRDJ[Credit])))+(SUM(IF((GJ[Ofc Code]=(TRIM(E$7)))*(GJ[Account Code]=(TRIM($D84))),GJ[Credit]))))</f>
        <v>0</v>
      </c>
      <c r="F84" s="211">
        <f t="array" ref="F84">((SUM(IF((CkDJ[Ofc Code]=(TRIM(F$7)))*(CkDJ[Account Code]=(TRIM($D84))),CkDJ[Debit])))+(SUM(IF((CsDJ[Ofc Code]=(TRIM(F$7)))*(CsDJ[Account Code]=(TRIM($D84))),CsDJ[Debit])))+(SUM(IF((CRDJ[Ofc Code]=(TRIM(F$7)))*(CRDJ[Account Code]=(TRIM($D84))),CRDJ[Debit])))+(SUM(IF((GJ[Ofc Code]=(TRIM(F$7)))*(GJ[Account Code]=(TRIM($D84))),GJ[Debit]))))-((SUM(IF((CkDJ[Ofc Code]=(TRIM(F$7)))*(CkDJ[Account Code]=(TRIM($D84))),CkDJ[Credit])))+(SUM(IF((CsDJ[Ofc Code]=(TRIM(F$7)))*(CsDJ[Account Code]=(TRIM($D84))),CsDJ[Credit])))+(SUM(IF((CRDJ[Ofc Code]=(TRIM(F$7)))*(CRDJ[Account Code]=(TRIM($D84))),CRDJ[Credit])))+(SUM(IF((GJ[Ofc Code]=(TRIM(F$7)))*(GJ[Account Code]=(TRIM($D84))),GJ[Credit]))))</f>
        <v>0</v>
      </c>
      <c r="G84" s="211">
        <f t="array" ref="G84">((SUM(IF((CkDJ[Ofc Code]=(TRIM(G$7)))*(CkDJ[Account Code]=(TRIM($D84))),CkDJ[Debit])))+(SUM(IF((CsDJ[Ofc Code]=(TRIM(G$7)))*(CsDJ[Account Code]=(TRIM($D84))),CsDJ[Debit])))+(SUM(IF((CRDJ[Ofc Code]=(TRIM(G$7)))*(CRDJ[Account Code]=(TRIM($D84))),CRDJ[Debit])))+(SUM(IF((GJ[Ofc Code]=(TRIM(G$7)))*(GJ[Account Code]=(TRIM($D84))),GJ[Debit]))))-((SUM(IF((CkDJ[Ofc Code]=(TRIM(G$7)))*(CkDJ[Account Code]=(TRIM($D84))),CkDJ[Credit])))+(SUM(IF((CsDJ[Ofc Code]=(TRIM(G$7)))*(CsDJ[Account Code]=(TRIM($D84))),CsDJ[Credit])))+(SUM(IF((CRDJ[Ofc Code]=(TRIM(G$7)))*(CRDJ[Account Code]=(TRIM($D84))),CRDJ[Credit])))+(SUM(IF((GJ[Ofc Code]=(TRIM(G$7)))*(GJ[Account Code]=(TRIM($D84))),GJ[Credit]))))</f>
        <v>0</v>
      </c>
      <c r="H84" s="211">
        <f t="array" ref="H84">((SUM(IF((CkDJ[Ofc Code]=(TRIM(H$7)))*(CkDJ[Account Code]=(TRIM($D84))),CkDJ[Debit])))+(SUM(IF((CsDJ[Ofc Code]=(TRIM(H$7)))*(CsDJ[Account Code]=(TRIM($D84))),CsDJ[Debit])))+(SUM(IF((CRDJ[Ofc Code]=(TRIM(H$7)))*(CRDJ[Account Code]=(TRIM($D84))),CRDJ[Debit])))+(SUM(IF((GJ[Ofc Code]=(TRIM(H$7)))*(GJ[Account Code]=(TRIM($D84))),GJ[Debit]))))-((SUM(IF((CkDJ[Ofc Code]=(TRIM(H$7)))*(CkDJ[Account Code]=(TRIM($D84))),CkDJ[Credit])))+(SUM(IF((CsDJ[Ofc Code]=(TRIM(H$7)))*(CsDJ[Account Code]=(TRIM($D84))),CsDJ[Credit])))+(SUM(IF((CRDJ[Ofc Code]=(TRIM(H$7)))*(CRDJ[Account Code]=(TRIM($D84))),CRDJ[Credit])))+(SUM(IF((GJ[Ofc Code]=(TRIM(H$7)))*(GJ[Account Code]=(TRIM($D84))),GJ[Credit]))))</f>
        <v>0</v>
      </c>
      <c r="I84" s="211">
        <f t="array" ref="I84">((SUM(IF((CkDJ[Ofc Code]=(TRIM(I$7)))*(CkDJ[Account Code]=(TRIM($D84))),CkDJ[Debit])))+(SUM(IF((CsDJ[Ofc Code]=(TRIM(I$7)))*(CsDJ[Account Code]=(TRIM($D84))),CsDJ[Debit])))+(SUM(IF((CRDJ[Ofc Code]=(TRIM(I$7)))*(CRDJ[Account Code]=(TRIM($D84))),CRDJ[Debit])))+(SUM(IF((GJ[Ofc Code]=(TRIM(I$7)))*(GJ[Account Code]=(TRIM($D84))),GJ[Debit]))))-((SUM(IF((CkDJ[Ofc Code]=(TRIM(I$7)))*(CkDJ[Account Code]=(TRIM($D84))),CkDJ[Credit])))+(SUM(IF((CsDJ[Ofc Code]=(TRIM(I$7)))*(CsDJ[Account Code]=(TRIM($D84))),CsDJ[Credit])))+(SUM(IF((CRDJ[Ofc Code]=(TRIM(I$7)))*(CRDJ[Account Code]=(TRIM($D84))),CRDJ[Credit])))+(SUM(IF((GJ[Ofc Code]=(TRIM(I$7)))*(GJ[Account Code]=(TRIM($D84))),GJ[Credit]))))</f>
        <v>0</v>
      </c>
      <c r="J84" s="211">
        <f>SUM(F84:I84)</f>
        <v>0</v>
      </c>
      <c r="K84" s="211">
        <f t="array" ref="K84">((SUM(IF((CkDJ[Ofc Code]=(TRIM(K$7)))*(CkDJ[Account Code]=(TRIM($D84))),CkDJ[Debit])))+(SUM(IF((CsDJ[Ofc Code]=(TRIM(K$7)))*(CsDJ[Account Code]=(TRIM($D84))),CsDJ[Debit])))+(SUM(IF((CRDJ[Ofc Code]=(TRIM(K$7)))*(CRDJ[Account Code]=(TRIM($D84))),CRDJ[Debit])))+(SUM(IF((GJ[Ofc Code]=(TRIM(K$7)))*(GJ[Account Code]=(TRIM($D84))),GJ[Debit]))))-((SUM(IF((CkDJ[Ofc Code]=(TRIM(K$7)))*(CkDJ[Account Code]=(TRIM($D84))),CkDJ[Credit])))+(SUM(IF((CsDJ[Ofc Code]=(TRIM(K$7)))*(CsDJ[Account Code]=(TRIM($D84))),CsDJ[Credit])))+(SUM(IF((CRDJ[Ofc Code]=(TRIM(K$7)))*(CRDJ[Account Code]=(TRIM($D84))),CRDJ[Credit])))+(SUM(IF((GJ[Ofc Code]=(TRIM(K$7)))*(GJ[Account Code]=(TRIM($D84))),GJ[Credit]))))</f>
        <v>0</v>
      </c>
      <c r="L84" s="211">
        <f t="array" ref="L84">((SUM(IF((CkDJ[Ofc Code]=(TRIM(L$7)))*(CkDJ[Account Code]=(TRIM($D84))),CkDJ[Debit])))+(SUM(IF((CsDJ[Ofc Code]=(TRIM(L$7)))*(CsDJ[Account Code]=(TRIM($D84))),CsDJ[Debit])))+(SUM(IF((CRDJ[Ofc Code]=(TRIM(L$7)))*(CRDJ[Account Code]=(TRIM($D84))),CRDJ[Debit])))+(SUM(IF((GJ[Ofc Code]=(TRIM(L$7)))*(GJ[Account Code]=(TRIM($D84))),GJ[Debit]))))-((SUM(IF((CkDJ[Ofc Code]=(TRIM(L$7)))*(CkDJ[Account Code]=(TRIM($D84))),CkDJ[Credit])))+(SUM(IF((CsDJ[Ofc Code]=(TRIM(L$7)))*(CsDJ[Account Code]=(TRIM($D84))),CsDJ[Credit])))+(SUM(IF((CRDJ[Ofc Code]=(TRIM(L$7)))*(CRDJ[Account Code]=(TRIM($D84))),CRDJ[Credit])))+(SUM(IF((GJ[Ofc Code]=(TRIM(L$7)))*(GJ[Account Code]=(TRIM($D84))),GJ[Credit]))))</f>
        <v>0</v>
      </c>
      <c r="M84" s="211">
        <f t="array" ref="M84">((SUM(IF((CkDJ[Ofc Code]=(TRIM(M$7)))*(CkDJ[Account Code]=(TRIM($D84))),CkDJ[Debit])))+(SUM(IF((CsDJ[Ofc Code]=(TRIM(M$7)))*(CsDJ[Account Code]=(TRIM($D84))),CsDJ[Debit])))+(SUM(IF((CRDJ[Ofc Code]=(TRIM(M$7)))*(CRDJ[Account Code]=(TRIM($D84))),CRDJ[Debit])))+(SUM(IF((GJ[Ofc Code]=(TRIM(M$7)))*(GJ[Account Code]=(TRIM($D84))),GJ[Debit]))))-((SUM(IF((CkDJ[Ofc Code]=(TRIM(M$7)))*(CkDJ[Account Code]=(TRIM($D84))),CkDJ[Credit])))+(SUM(IF((CsDJ[Ofc Code]=(TRIM(M$7)))*(CsDJ[Account Code]=(TRIM($D84))),CsDJ[Credit])))+(SUM(IF((CRDJ[Ofc Code]=(TRIM(M$7)))*(CRDJ[Account Code]=(TRIM($D84))),CRDJ[Credit])))+(SUM(IF((GJ[Ofc Code]=(TRIM(M$7)))*(GJ[Account Code]=(TRIM($D84))),GJ[Credit]))))</f>
        <v>0</v>
      </c>
      <c r="N84" s="211">
        <f t="array" ref="N84">((SUM(IF((CkDJ[Ofc Code]=(TRIM(N$7)))*(CkDJ[Account Code]=(TRIM($D84))),CkDJ[Debit])))+(SUM(IF((CsDJ[Ofc Code]=(TRIM(N$7)))*(CsDJ[Account Code]=(TRIM($D84))),CsDJ[Debit])))+(SUM(IF((CRDJ[Ofc Code]=(TRIM(N$7)))*(CRDJ[Account Code]=(TRIM($D84))),CRDJ[Debit])))+(SUM(IF((GJ[Ofc Code]=(TRIM(N$7)))*(GJ[Account Code]=(TRIM($D84))),GJ[Debit]))))-((SUM(IF((CkDJ[Ofc Code]=(TRIM(N$7)))*(CkDJ[Account Code]=(TRIM($D84))),CkDJ[Credit])))+(SUM(IF((CsDJ[Ofc Code]=(TRIM(N$7)))*(CsDJ[Account Code]=(TRIM($D84))),CsDJ[Credit])))+(SUM(IF((CRDJ[Ofc Code]=(TRIM(N$7)))*(CRDJ[Account Code]=(TRIM($D84))),CRDJ[Credit])))+(SUM(IF((GJ[Ofc Code]=(TRIM(N$7)))*(GJ[Account Code]=(TRIM($D84))),GJ[Credit]))))</f>
        <v>0</v>
      </c>
      <c r="O84" s="211">
        <f>SUM(K84:N84)</f>
        <v>0</v>
      </c>
      <c r="P84" s="211">
        <f t="array" ref="P84">((SUM(IF((CkDJ[Ofc Code]=(TRIM(P$7)))*(CkDJ[Account Code]=(TRIM($D84))),CkDJ[Debit])))+(SUM(IF((CsDJ[Ofc Code]=(TRIM(P$7)))*(CsDJ[Account Code]=(TRIM($D84))),CsDJ[Debit])))+(SUM(IF((CRDJ[Ofc Code]=(TRIM(P$7)))*(CRDJ[Account Code]=(TRIM($D84))),CRDJ[Debit])))+(SUM(IF((GJ[Ofc Code]=(TRIM(P$7)))*(GJ[Account Code]=(TRIM($D84))),GJ[Debit]))))-((SUM(IF((CkDJ[Ofc Code]=(TRIM(P$7)))*(CkDJ[Account Code]=(TRIM($D84))),CkDJ[Credit])))+(SUM(IF((CsDJ[Ofc Code]=(TRIM(P$7)))*(CsDJ[Account Code]=(TRIM($D84))),CsDJ[Credit])))+(SUM(IF((CRDJ[Ofc Code]=(TRIM(P$7)))*(CRDJ[Account Code]=(TRIM($D84))),CRDJ[Credit])))+(SUM(IF((GJ[Ofc Code]=(TRIM(P$7)))*(GJ[Account Code]=(TRIM($D84))),GJ[Credit]))))</f>
        <v>0</v>
      </c>
      <c r="Q84" s="211">
        <f t="array" ref="Q84">((SUM(IF((CkDJ[Ofc Code]=(TRIM(Q$7)))*(CkDJ[Account Code]=(TRIM($D84))),CkDJ[Debit])))+(SUM(IF((CsDJ[Ofc Code]=(TRIM(Q$7)))*(CsDJ[Account Code]=(TRIM($D84))),CsDJ[Debit])))+(SUM(IF((CRDJ[Ofc Code]=(TRIM(Q$7)))*(CRDJ[Account Code]=(TRIM($D84))),CRDJ[Debit])))+(SUM(IF((GJ[Ofc Code]=(TRIM(Q$7)))*(GJ[Account Code]=(TRIM($D84))),GJ[Debit]))))-((SUM(IF((CkDJ[Ofc Code]=(TRIM(Q$7)))*(CkDJ[Account Code]=(TRIM($D84))),CkDJ[Credit])))+(SUM(IF((CsDJ[Ofc Code]=(TRIM(Q$7)))*(CsDJ[Account Code]=(TRIM($D84))),CsDJ[Credit])))+(SUM(IF((CRDJ[Ofc Code]=(TRIM(Q$7)))*(CRDJ[Account Code]=(TRIM($D84))),CRDJ[Credit])))+(SUM(IF((GJ[Ofc Code]=(TRIM(Q$7)))*(GJ[Account Code]=(TRIM($D84))),GJ[Credit]))))</f>
        <v>0</v>
      </c>
      <c r="R84" s="211">
        <f t="array" ref="R84">((SUM(IF((CkDJ[Ofc Code]=(TRIM(R$7)))*(CkDJ[Account Code]=(TRIM($D84))),CkDJ[Debit])))+(SUM(IF((CsDJ[Ofc Code]=(TRIM(R$7)))*(CsDJ[Account Code]=(TRIM($D84))),CsDJ[Debit])))+(SUM(IF((CRDJ[Ofc Code]=(TRIM(R$7)))*(CRDJ[Account Code]=(TRIM($D84))),CRDJ[Debit])))+(SUM(IF((GJ[Ofc Code]=(TRIM(R$7)))*(GJ[Account Code]=(TRIM($D84))),GJ[Debit]))))-((SUM(IF((CkDJ[Ofc Code]=(TRIM(R$7)))*(CkDJ[Account Code]=(TRIM($D84))),CkDJ[Credit])))+(SUM(IF((CsDJ[Ofc Code]=(TRIM(R$7)))*(CsDJ[Account Code]=(TRIM($D84))),CsDJ[Credit])))+(SUM(IF((CRDJ[Ofc Code]=(TRIM(R$7)))*(CRDJ[Account Code]=(TRIM($D84))),CRDJ[Credit])))+(SUM(IF((GJ[Ofc Code]=(TRIM(R$7)))*(GJ[Account Code]=(TRIM($D84))),GJ[Credit]))))</f>
        <v>0</v>
      </c>
      <c r="S84" s="211">
        <f t="array" ref="S84">((SUM(IF((CkDJ[Ofc Code]=(TRIM(S$7)))*(CkDJ[Account Code]=(TRIM($D84))),CkDJ[Debit])))+(SUM(IF((CsDJ[Ofc Code]=(TRIM(S$7)))*(CsDJ[Account Code]=(TRIM($D84))),CsDJ[Debit])))+(SUM(IF((CRDJ[Ofc Code]=(TRIM(S$7)))*(CRDJ[Account Code]=(TRIM($D84))),CRDJ[Debit])))+(SUM(IF((GJ[Ofc Code]=(TRIM(S$7)))*(GJ[Account Code]=(TRIM($D84))),GJ[Debit]))))-((SUM(IF((CkDJ[Ofc Code]=(TRIM(S$7)))*(CkDJ[Account Code]=(TRIM($D84))),CkDJ[Credit])))+(SUM(IF((CsDJ[Ofc Code]=(TRIM(S$7)))*(CsDJ[Account Code]=(TRIM($D84))),CsDJ[Credit])))+(SUM(IF((CRDJ[Ofc Code]=(TRIM(S$7)))*(CRDJ[Account Code]=(TRIM($D84))),CRDJ[Credit])))+(SUM(IF((GJ[Ofc Code]=(TRIM(S$7)))*(GJ[Account Code]=(TRIM($D84))),GJ[Credit]))))</f>
        <v>0</v>
      </c>
      <c r="T84" s="211">
        <f t="array" ref="T84">((SUM(IF((CkDJ[Ofc Code]=(TRIM(T$7)))*(CkDJ[Account Code]=(TRIM($D84))),CkDJ[Debit])))+(SUM(IF((CsDJ[Ofc Code]=(TRIM(T$7)))*(CsDJ[Account Code]=(TRIM($D84))),CsDJ[Debit])))+(SUM(IF((CRDJ[Ofc Code]=(TRIM(T$7)))*(CRDJ[Account Code]=(TRIM($D84))),CRDJ[Debit])))+(SUM(IF((GJ[Ofc Code]=(TRIM(T$7)))*(GJ[Account Code]=(TRIM($D84))),GJ[Debit]))))-((SUM(IF((CkDJ[Ofc Code]=(TRIM(T$7)))*(CkDJ[Account Code]=(TRIM($D84))),CkDJ[Credit])))+(SUM(IF((CsDJ[Ofc Code]=(TRIM(T$7)))*(CsDJ[Account Code]=(TRIM($D84))),CsDJ[Credit])))+(SUM(IF((CRDJ[Ofc Code]=(TRIM(T$7)))*(CRDJ[Account Code]=(TRIM($D84))),CRDJ[Credit])))+(SUM(IF((GJ[Ofc Code]=(TRIM(T$7)))*(GJ[Account Code]=(TRIM($D84))),GJ[Credit]))))</f>
        <v>0</v>
      </c>
      <c r="U84" s="211">
        <f>SUM(P84:T84)</f>
        <v>0</v>
      </c>
      <c r="V84" s="211">
        <f>E84+J84+O84+U84</f>
        <v>0</v>
      </c>
    </row>
    <row r="85" spans="1:22" ht="15" x14ac:dyDescent="0.25">
      <c r="A85" s="212">
        <f t="shared" si="19"/>
        <v>23</v>
      </c>
      <c r="B85" s="214"/>
      <c r="C85" s="194" t="str">
        <f>IF(D85=0,"",(VLOOKUP((TRIM(D85)),Code,2,)))</f>
        <v>Other Professional Services</v>
      </c>
      <c r="D85" s="207" t="s">
        <v>250</v>
      </c>
      <c r="E85" s="211">
        <f t="array" ref="E85">((SUM(IF((CkDJ[Ofc Code]=(TRIM(E$7)))*(CkDJ[Account Code]=(TRIM($D85))),CkDJ[Debit])))+(SUM(IF((CsDJ[Ofc Code]=(TRIM(E$7)))*(CsDJ[Account Code]=(TRIM($D85))),CsDJ[Debit])))+(SUM(IF((CRDJ[Ofc Code]=(TRIM(E$7)))*(CRDJ[Account Code]=(TRIM($D85))),CRDJ[Debit])))+(SUM(IF((GJ[Ofc Code]=(TRIM(E$7)))*(GJ[Account Code]=(TRIM($D85))),GJ[Debit]))))-((SUM(IF((CkDJ[Ofc Code]=(TRIM(E$7)))*(CkDJ[Account Code]=(TRIM($D85))),CkDJ[Credit])))+(SUM(IF((CsDJ[Ofc Code]=(TRIM(E$7)))*(CsDJ[Account Code]=(TRIM($D85))),CsDJ[Credit])))+(SUM(IF((CRDJ[Ofc Code]=(TRIM(E$7)))*(CRDJ[Account Code]=(TRIM($D85))),CRDJ[Credit])))+(SUM(IF((GJ[Ofc Code]=(TRIM(E$7)))*(GJ[Account Code]=(TRIM($D85))),GJ[Credit]))))</f>
        <v>0</v>
      </c>
      <c r="F85" s="211">
        <f t="array" ref="F85">((SUM(IF((CkDJ[Ofc Code]=(TRIM(F$7)))*(CkDJ[Account Code]=(TRIM($D85))),CkDJ[Debit])))+(SUM(IF((CsDJ[Ofc Code]=(TRIM(F$7)))*(CsDJ[Account Code]=(TRIM($D85))),CsDJ[Debit])))+(SUM(IF((CRDJ[Ofc Code]=(TRIM(F$7)))*(CRDJ[Account Code]=(TRIM($D85))),CRDJ[Debit])))+(SUM(IF((GJ[Ofc Code]=(TRIM(F$7)))*(GJ[Account Code]=(TRIM($D85))),GJ[Debit]))))-((SUM(IF((CkDJ[Ofc Code]=(TRIM(F$7)))*(CkDJ[Account Code]=(TRIM($D85))),CkDJ[Credit])))+(SUM(IF((CsDJ[Ofc Code]=(TRIM(F$7)))*(CsDJ[Account Code]=(TRIM($D85))),CsDJ[Credit])))+(SUM(IF((CRDJ[Ofc Code]=(TRIM(F$7)))*(CRDJ[Account Code]=(TRIM($D85))),CRDJ[Credit])))+(SUM(IF((GJ[Ofc Code]=(TRIM(F$7)))*(GJ[Account Code]=(TRIM($D85))),GJ[Credit]))))</f>
        <v>0</v>
      </c>
      <c r="G85" s="211">
        <f t="array" ref="G85">((SUM(IF((CkDJ[Ofc Code]=(TRIM(G$7)))*(CkDJ[Account Code]=(TRIM($D85))),CkDJ[Debit])))+(SUM(IF((CsDJ[Ofc Code]=(TRIM(G$7)))*(CsDJ[Account Code]=(TRIM($D85))),CsDJ[Debit])))+(SUM(IF((CRDJ[Ofc Code]=(TRIM(G$7)))*(CRDJ[Account Code]=(TRIM($D85))),CRDJ[Debit])))+(SUM(IF((GJ[Ofc Code]=(TRIM(G$7)))*(GJ[Account Code]=(TRIM($D85))),GJ[Debit]))))-((SUM(IF((CkDJ[Ofc Code]=(TRIM(G$7)))*(CkDJ[Account Code]=(TRIM($D85))),CkDJ[Credit])))+(SUM(IF((CsDJ[Ofc Code]=(TRIM(G$7)))*(CsDJ[Account Code]=(TRIM($D85))),CsDJ[Credit])))+(SUM(IF((CRDJ[Ofc Code]=(TRIM(G$7)))*(CRDJ[Account Code]=(TRIM($D85))),CRDJ[Credit])))+(SUM(IF((GJ[Ofc Code]=(TRIM(G$7)))*(GJ[Account Code]=(TRIM($D85))),GJ[Credit]))))</f>
        <v>0</v>
      </c>
      <c r="H85" s="211">
        <f t="array" ref="H85">((SUM(IF((CkDJ[Ofc Code]=(TRIM(H$7)))*(CkDJ[Account Code]=(TRIM($D85))),CkDJ[Debit])))+(SUM(IF((CsDJ[Ofc Code]=(TRIM(H$7)))*(CsDJ[Account Code]=(TRIM($D85))),CsDJ[Debit])))+(SUM(IF((CRDJ[Ofc Code]=(TRIM(H$7)))*(CRDJ[Account Code]=(TRIM($D85))),CRDJ[Debit])))+(SUM(IF((GJ[Ofc Code]=(TRIM(H$7)))*(GJ[Account Code]=(TRIM($D85))),GJ[Debit]))))-((SUM(IF((CkDJ[Ofc Code]=(TRIM(H$7)))*(CkDJ[Account Code]=(TRIM($D85))),CkDJ[Credit])))+(SUM(IF((CsDJ[Ofc Code]=(TRIM(H$7)))*(CsDJ[Account Code]=(TRIM($D85))),CsDJ[Credit])))+(SUM(IF((CRDJ[Ofc Code]=(TRIM(H$7)))*(CRDJ[Account Code]=(TRIM($D85))),CRDJ[Credit])))+(SUM(IF((GJ[Ofc Code]=(TRIM(H$7)))*(GJ[Account Code]=(TRIM($D85))),GJ[Credit]))))</f>
        <v>0</v>
      </c>
      <c r="I85" s="211">
        <f t="array" ref="I85">((SUM(IF((CkDJ[Ofc Code]=(TRIM(I$7)))*(CkDJ[Account Code]=(TRIM($D85))),CkDJ[Debit])))+(SUM(IF((CsDJ[Ofc Code]=(TRIM(I$7)))*(CsDJ[Account Code]=(TRIM($D85))),CsDJ[Debit])))+(SUM(IF((CRDJ[Ofc Code]=(TRIM(I$7)))*(CRDJ[Account Code]=(TRIM($D85))),CRDJ[Debit])))+(SUM(IF((GJ[Ofc Code]=(TRIM(I$7)))*(GJ[Account Code]=(TRIM($D85))),GJ[Debit]))))-((SUM(IF((CkDJ[Ofc Code]=(TRIM(I$7)))*(CkDJ[Account Code]=(TRIM($D85))),CkDJ[Credit])))+(SUM(IF((CsDJ[Ofc Code]=(TRIM(I$7)))*(CsDJ[Account Code]=(TRIM($D85))),CsDJ[Credit])))+(SUM(IF((CRDJ[Ofc Code]=(TRIM(I$7)))*(CRDJ[Account Code]=(TRIM($D85))),CRDJ[Credit])))+(SUM(IF((GJ[Ofc Code]=(TRIM(I$7)))*(GJ[Account Code]=(TRIM($D85))),GJ[Credit]))))</f>
        <v>0</v>
      </c>
      <c r="J85" s="211">
        <f>SUM(F85:I85)</f>
        <v>0</v>
      </c>
      <c r="K85" s="211">
        <f t="array" ref="K85">((SUM(IF((CkDJ[Ofc Code]=(TRIM(K$7)))*(CkDJ[Account Code]=(TRIM($D85))),CkDJ[Debit])))+(SUM(IF((CsDJ[Ofc Code]=(TRIM(K$7)))*(CsDJ[Account Code]=(TRIM($D85))),CsDJ[Debit])))+(SUM(IF((CRDJ[Ofc Code]=(TRIM(K$7)))*(CRDJ[Account Code]=(TRIM($D85))),CRDJ[Debit])))+(SUM(IF((GJ[Ofc Code]=(TRIM(K$7)))*(GJ[Account Code]=(TRIM($D85))),GJ[Debit]))))-((SUM(IF((CkDJ[Ofc Code]=(TRIM(K$7)))*(CkDJ[Account Code]=(TRIM($D85))),CkDJ[Credit])))+(SUM(IF((CsDJ[Ofc Code]=(TRIM(K$7)))*(CsDJ[Account Code]=(TRIM($D85))),CsDJ[Credit])))+(SUM(IF((CRDJ[Ofc Code]=(TRIM(K$7)))*(CRDJ[Account Code]=(TRIM($D85))),CRDJ[Credit])))+(SUM(IF((GJ[Ofc Code]=(TRIM(K$7)))*(GJ[Account Code]=(TRIM($D85))),GJ[Credit]))))</f>
        <v>0</v>
      </c>
      <c r="L85" s="211">
        <f t="array" ref="L85">((SUM(IF((CkDJ[Ofc Code]=(TRIM(L$7)))*(CkDJ[Account Code]=(TRIM($D85))),CkDJ[Debit])))+(SUM(IF((CsDJ[Ofc Code]=(TRIM(L$7)))*(CsDJ[Account Code]=(TRIM($D85))),CsDJ[Debit])))+(SUM(IF((CRDJ[Ofc Code]=(TRIM(L$7)))*(CRDJ[Account Code]=(TRIM($D85))),CRDJ[Debit])))+(SUM(IF((GJ[Ofc Code]=(TRIM(L$7)))*(GJ[Account Code]=(TRIM($D85))),GJ[Debit]))))-((SUM(IF((CkDJ[Ofc Code]=(TRIM(L$7)))*(CkDJ[Account Code]=(TRIM($D85))),CkDJ[Credit])))+(SUM(IF((CsDJ[Ofc Code]=(TRIM(L$7)))*(CsDJ[Account Code]=(TRIM($D85))),CsDJ[Credit])))+(SUM(IF((CRDJ[Ofc Code]=(TRIM(L$7)))*(CRDJ[Account Code]=(TRIM($D85))),CRDJ[Credit])))+(SUM(IF((GJ[Ofc Code]=(TRIM(L$7)))*(GJ[Account Code]=(TRIM($D85))),GJ[Credit]))))</f>
        <v>0</v>
      </c>
      <c r="M85" s="211">
        <f t="array" ref="M85">((SUM(IF((CkDJ[Ofc Code]=(TRIM(M$7)))*(CkDJ[Account Code]=(TRIM($D85))),CkDJ[Debit])))+(SUM(IF((CsDJ[Ofc Code]=(TRIM(M$7)))*(CsDJ[Account Code]=(TRIM($D85))),CsDJ[Debit])))+(SUM(IF((CRDJ[Ofc Code]=(TRIM(M$7)))*(CRDJ[Account Code]=(TRIM($D85))),CRDJ[Debit])))+(SUM(IF((GJ[Ofc Code]=(TRIM(M$7)))*(GJ[Account Code]=(TRIM($D85))),GJ[Debit]))))-((SUM(IF((CkDJ[Ofc Code]=(TRIM(M$7)))*(CkDJ[Account Code]=(TRIM($D85))),CkDJ[Credit])))+(SUM(IF((CsDJ[Ofc Code]=(TRIM(M$7)))*(CsDJ[Account Code]=(TRIM($D85))),CsDJ[Credit])))+(SUM(IF((CRDJ[Ofc Code]=(TRIM(M$7)))*(CRDJ[Account Code]=(TRIM($D85))),CRDJ[Credit])))+(SUM(IF((GJ[Ofc Code]=(TRIM(M$7)))*(GJ[Account Code]=(TRIM($D85))),GJ[Credit]))))</f>
        <v>0</v>
      </c>
      <c r="N85" s="211">
        <f t="array" ref="N85">((SUM(IF((CkDJ[Ofc Code]=(TRIM(N$7)))*(CkDJ[Account Code]=(TRIM($D85))),CkDJ[Debit])))+(SUM(IF((CsDJ[Ofc Code]=(TRIM(N$7)))*(CsDJ[Account Code]=(TRIM($D85))),CsDJ[Debit])))+(SUM(IF((CRDJ[Ofc Code]=(TRIM(N$7)))*(CRDJ[Account Code]=(TRIM($D85))),CRDJ[Debit])))+(SUM(IF((GJ[Ofc Code]=(TRIM(N$7)))*(GJ[Account Code]=(TRIM($D85))),GJ[Debit]))))-((SUM(IF((CkDJ[Ofc Code]=(TRIM(N$7)))*(CkDJ[Account Code]=(TRIM($D85))),CkDJ[Credit])))+(SUM(IF((CsDJ[Ofc Code]=(TRIM(N$7)))*(CsDJ[Account Code]=(TRIM($D85))),CsDJ[Credit])))+(SUM(IF((CRDJ[Ofc Code]=(TRIM(N$7)))*(CRDJ[Account Code]=(TRIM($D85))),CRDJ[Credit])))+(SUM(IF((GJ[Ofc Code]=(TRIM(N$7)))*(GJ[Account Code]=(TRIM($D85))),GJ[Credit]))))</f>
        <v>0</v>
      </c>
      <c r="O85" s="211">
        <f>SUM(K85:N85)</f>
        <v>0</v>
      </c>
      <c r="P85" s="211">
        <f t="array" ref="P85">((SUM(IF((CkDJ[Ofc Code]=(TRIM(P$7)))*(CkDJ[Account Code]=(TRIM($D85))),CkDJ[Debit])))+(SUM(IF((CsDJ[Ofc Code]=(TRIM(P$7)))*(CsDJ[Account Code]=(TRIM($D85))),CsDJ[Debit])))+(SUM(IF((CRDJ[Ofc Code]=(TRIM(P$7)))*(CRDJ[Account Code]=(TRIM($D85))),CRDJ[Debit])))+(SUM(IF((GJ[Ofc Code]=(TRIM(P$7)))*(GJ[Account Code]=(TRIM($D85))),GJ[Debit]))))-((SUM(IF((CkDJ[Ofc Code]=(TRIM(P$7)))*(CkDJ[Account Code]=(TRIM($D85))),CkDJ[Credit])))+(SUM(IF((CsDJ[Ofc Code]=(TRIM(P$7)))*(CsDJ[Account Code]=(TRIM($D85))),CsDJ[Credit])))+(SUM(IF((CRDJ[Ofc Code]=(TRIM(P$7)))*(CRDJ[Account Code]=(TRIM($D85))),CRDJ[Credit])))+(SUM(IF((GJ[Ofc Code]=(TRIM(P$7)))*(GJ[Account Code]=(TRIM($D85))),GJ[Credit]))))</f>
        <v>0</v>
      </c>
      <c r="Q85" s="211">
        <f t="array" ref="Q85">((SUM(IF((CkDJ[Ofc Code]=(TRIM(Q$7)))*(CkDJ[Account Code]=(TRIM($D85))),CkDJ[Debit])))+(SUM(IF((CsDJ[Ofc Code]=(TRIM(Q$7)))*(CsDJ[Account Code]=(TRIM($D85))),CsDJ[Debit])))+(SUM(IF((CRDJ[Ofc Code]=(TRIM(Q$7)))*(CRDJ[Account Code]=(TRIM($D85))),CRDJ[Debit])))+(SUM(IF((GJ[Ofc Code]=(TRIM(Q$7)))*(GJ[Account Code]=(TRIM($D85))),GJ[Debit]))))-((SUM(IF((CkDJ[Ofc Code]=(TRIM(Q$7)))*(CkDJ[Account Code]=(TRIM($D85))),CkDJ[Credit])))+(SUM(IF((CsDJ[Ofc Code]=(TRIM(Q$7)))*(CsDJ[Account Code]=(TRIM($D85))),CsDJ[Credit])))+(SUM(IF((CRDJ[Ofc Code]=(TRIM(Q$7)))*(CRDJ[Account Code]=(TRIM($D85))),CRDJ[Credit])))+(SUM(IF((GJ[Ofc Code]=(TRIM(Q$7)))*(GJ[Account Code]=(TRIM($D85))),GJ[Credit]))))</f>
        <v>0</v>
      </c>
      <c r="R85" s="211">
        <f t="array" ref="R85">((SUM(IF((CkDJ[Ofc Code]=(TRIM(R$7)))*(CkDJ[Account Code]=(TRIM($D85))),CkDJ[Debit])))+(SUM(IF((CsDJ[Ofc Code]=(TRIM(R$7)))*(CsDJ[Account Code]=(TRIM($D85))),CsDJ[Debit])))+(SUM(IF((CRDJ[Ofc Code]=(TRIM(R$7)))*(CRDJ[Account Code]=(TRIM($D85))),CRDJ[Debit])))+(SUM(IF((GJ[Ofc Code]=(TRIM(R$7)))*(GJ[Account Code]=(TRIM($D85))),GJ[Debit]))))-((SUM(IF((CkDJ[Ofc Code]=(TRIM(R$7)))*(CkDJ[Account Code]=(TRIM($D85))),CkDJ[Credit])))+(SUM(IF((CsDJ[Ofc Code]=(TRIM(R$7)))*(CsDJ[Account Code]=(TRIM($D85))),CsDJ[Credit])))+(SUM(IF((CRDJ[Ofc Code]=(TRIM(R$7)))*(CRDJ[Account Code]=(TRIM($D85))),CRDJ[Credit])))+(SUM(IF((GJ[Ofc Code]=(TRIM(R$7)))*(GJ[Account Code]=(TRIM($D85))),GJ[Credit]))))</f>
        <v>0</v>
      </c>
      <c r="S85" s="211">
        <f t="array" ref="S85">((SUM(IF((CkDJ[Ofc Code]=(TRIM(S$7)))*(CkDJ[Account Code]=(TRIM($D85))),CkDJ[Debit])))+(SUM(IF((CsDJ[Ofc Code]=(TRIM(S$7)))*(CsDJ[Account Code]=(TRIM($D85))),CsDJ[Debit])))+(SUM(IF((CRDJ[Ofc Code]=(TRIM(S$7)))*(CRDJ[Account Code]=(TRIM($D85))),CRDJ[Debit])))+(SUM(IF((GJ[Ofc Code]=(TRIM(S$7)))*(GJ[Account Code]=(TRIM($D85))),GJ[Debit]))))-((SUM(IF((CkDJ[Ofc Code]=(TRIM(S$7)))*(CkDJ[Account Code]=(TRIM($D85))),CkDJ[Credit])))+(SUM(IF((CsDJ[Ofc Code]=(TRIM(S$7)))*(CsDJ[Account Code]=(TRIM($D85))),CsDJ[Credit])))+(SUM(IF((CRDJ[Ofc Code]=(TRIM(S$7)))*(CRDJ[Account Code]=(TRIM($D85))),CRDJ[Credit])))+(SUM(IF((GJ[Ofc Code]=(TRIM(S$7)))*(GJ[Account Code]=(TRIM($D85))),GJ[Credit]))))</f>
        <v>0</v>
      </c>
      <c r="T85" s="211">
        <f t="array" ref="T85">((SUM(IF((CkDJ[Ofc Code]=(TRIM(T$7)))*(CkDJ[Account Code]=(TRIM($D85))),CkDJ[Debit])))+(SUM(IF((CsDJ[Ofc Code]=(TRIM(T$7)))*(CsDJ[Account Code]=(TRIM($D85))),CsDJ[Debit])))+(SUM(IF((CRDJ[Ofc Code]=(TRIM(T$7)))*(CRDJ[Account Code]=(TRIM($D85))),CRDJ[Debit])))+(SUM(IF((GJ[Ofc Code]=(TRIM(T$7)))*(GJ[Account Code]=(TRIM($D85))),GJ[Debit]))))-((SUM(IF((CkDJ[Ofc Code]=(TRIM(T$7)))*(CkDJ[Account Code]=(TRIM($D85))),CkDJ[Credit])))+(SUM(IF((CsDJ[Ofc Code]=(TRIM(T$7)))*(CsDJ[Account Code]=(TRIM($D85))),CsDJ[Credit])))+(SUM(IF((CRDJ[Ofc Code]=(TRIM(T$7)))*(CRDJ[Account Code]=(TRIM($D85))),CRDJ[Credit])))+(SUM(IF((GJ[Ofc Code]=(TRIM(T$7)))*(GJ[Account Code]=(TRIM($D85))),GJ[Credit]))))</f>
        <v>0</v>
      </c>
      <c r="U85" s="211">
        <f>SUM(P85:T85)</f>
        <v>0</v>
      </c>
      <c r="V85" s="211">
        <f>E85+J85+O85+U85</f>
        <v>0</v>
      </c>
    </row>
    <row r="86" spans="1:22" ht="15" x14ac:dyDescent="0.25">
      <c r="A86" s="212">
        <f t="shared" si="19"/>
        <v>24</v>
      </c>
      <c r="B86" s="214"/>
      <c r="C86" s="194" t="str">
        <f>IF(D86=0,"",(VLOOKUP((TRIM(D86)),Code,2,)))</f>
        <v>Repairs and Maintenance-Buildings and Other Structures - Buildings</v>
      </c>
      <c r="D86" s="207" t="s">
        <v>251</v>
      </c>
      <c r="E86" s="211">
        <f t="array" ref="E86">((SUM(IF((CkDJ[Ofc Code]=(TRIM(E$7)))*(CkDJ[Account Code]=(TRIM($D86))),CkDJ[Debit])))+(SUM(IF((CsDJ[Ofc Code]=(TRIM(E$7)))*(CsDJ[Account Code]=(TRIM($D86))),CsDJ[Debit])))+(SUM(IF((CRDJ[Ofc Code]=(TRIM(E$7)))*(CRDJ[Account Code]=(TRIM($D86))),CRDJ[Debit])))+(SUM(IF((GJ[Ofc Code]=(TRIM(E$7)))*(GJ[Account Code]=(TRIM($D86))),GJ[Debit]))))-((SUM(IF((CkDJ[Ofc Code]=(TRIM(E$7)))*(CkDJ[Account Code]=(TRIM($D86))),CkDJ[Credit])))+(SUM(IF((CsDJ[Ofc Code]=(TRIM(E$7)))*(CsDJ[Account Code]=(TRIM($D86))),CsDJ[Credit])))+(SUM(IF((CRDJ[Ofc Code]=(TRIM(E$7)))*(CRDJ[Account Code]=(TRIM($D86))),CRDJ[Credit])))+(SUM(IF((GJ[Ofc Code]=(TRIM(E$7)))*(GJ[Account Code]=(TRIM($D86))),GJ[Credit]))))</f>
        <v>0</v>
      </c>
      <c r="F86" s="211">
        <f t="array" ref="F86">((SUM(IF((CkDJ[Ofc Code]=(TRIM(F$7)))*(CkDJ[Account Code]=(TRIM($D86))),CkDJ[Debit])))+(SUM(IF((CsDJ[Ofc Code]=(TRIM(F$7)))*(CsDJ[Account Code]=(TRIM($D86))),CsDJ[Debit])))+(SUM(IF((CRDJ[Ofc Code]=(TRIM(F$7)))*(CRDJ[Account Code]=(TRIM($D86))),CRDJ[Debit])))+(SUM(IF((GJ[Ofc Code]=(TRIM(F$7)))*(GJ[Account Code]=(TRIM($D86))),GJ[Debit]))))-((SUM(IF((CkDJ[Ofc Code]=(TRIM(F$7)))*(CkDJ[Account Code]=(TRIM($D86))),CkDJ[Credit])))+(SUM(IF((CsDJ[Ofc Code]=(TRIM(F$7)))*(CsDJ[Account Code]=(TRIM($D86))),CsDJ[Credit])))+(SUM(IF((CRDJ[Ofc Code]=(TRIM(F$7)))*(CRDJ[Account Code]=(TRIM($D86))),CRDJ[Credit])))+(SUM(IF((GJ[Ofc Code]=(TRIM(F$7)))*(GJ[Account Code]=(TRIM($D86))),GJ[Credit]))))</f>
        <v>0</v>
      </c>
      <c r="G86" s="211">
        <f t="array" ref="G86">((SUM(IF((CkDJ[Ofc Code]=(TRIM(G$7)))*(CkDJ[Account Code]=(TRIM($D86))),CkDJ[Debit])))+(SUM(IF((CsDJ[Ofc Code]=(TRIM(G$7)))*(CsDJ[Account Code]=(TRIM($D86))),CsDJ[Debit])))+(SUM(IF((CRDJ[Ofc Code]=(TRIM(G$7)))*(CRDJ[Account Code]=(TRIM($D86))),CRDJ[Debit])))+(SUM(IF((GJ[Ofc Code]=(TRIM(G$7)))*(GJ[Account Code]=(TRIM($D86))),GJ[Debit]))))-((SUM(IF((CkDJ[Ofc Code]=(TRIM(G$7)))*(CkDJ[Account Code]=(TRIM($D86))),CkDJ[Credit])))+(SUM(IF((CsDJ[Ofc Code]=(TRIM(G$7)))*(CsDJ[Account Code]=(TRIM($D86))),CsDJ[Credit])))+(SUM(IF((CRDJ[Ofc Code]=(TRIM(G$7)))*(CRDJ[Account Code]=(TRIM($D86))),CRDJ[Credit])))+(SUM(IF((GJ[Ofc Code]=(TRIM(G$7)))*(GJ[Account Code]=(TRIM($D86))),GJ[Credit]))))</f>
        <v>0</v>
      </c>
      <c r="H86" s="211">
        <f t="array" ref="H86">((SUM(IF((CkDJ[Ofc Code]=(TRIM(H$7)))*(CkDJ[Account Code]=(TRIM($D86))),CkDJ[Debit])))+(SUM(IF((CsDJ[Ofc Code]=(TRIM(H$7)))*(CsDJ[Account Code]=(TRIM($D86))),CsDJ[Debit])))+(SUM(IF((CRDJ[Ofc Code]=(TRIM(H$7)))*(CRDJ[Account Code]=(TRIM($D86))),CRDJ[Debit])))+(SUM(IF((GJ[Ofc Code]=(TRIM(H$7)))*(GJ[Account Code]=(TRIM($D86))),GJ[Debit]))))-((SUM(IF((CkDJ[Ofc Code]=(TRIM(H$7)))*(CkDJ[Account Code]=(TRIM($D86))),CkDJ[Credit])))+(SUM(IF((CsDJ[Ofc Code]=(TRIM(H$7)))*(CsDJ[Account Code]=(TRIM($D86))),CsDJ[Credit])))+(SUM(IF((CRDJ[Ofc Code]=(TRIM(H$7)))*(CRDJ[Account Code]=(TRIM($D86))),CRDJ[Credit])))+(SUM(IF((GJ[Ofc Code]=(TRIM(H$7)))*(GJ[Account Code]=(TRIM($D86))),GJ[Credit]))))</f>
        <v>0</v>
      </c>
      <c r="I86" s="211">
        <f t="array" ref="I86">((SUM(IF((CkDJ[Ofc Code]=(TRIM(I$7)))*(CkDJ[Account Code]=(TRIM($D86))),CkDJ[Debit])))+(SUM(IF((CsDJ[Ofc Code]=(TRIM(I$7)))*(CsDJ[Account Code]=(TRIM($D86))),CsDJ[Debit])))+(SUM(IF((CRDJ[Ofc Code]=(TRIM(I$7)))*(CRDJ[Account Code]=(TRIM($D86))),CRDJ[Debit])))+(SUM(IF((GJ[Ofc Code]=(TRIM(I$7)))*(GJ[Account Code]=(TRIM($D86))),GJ[Debit]))))-((SUM(IF((CkDJ[Ofc Code]=(TRIM(I$7)))*(CkDJ[Account Code]=(TRIM($D86))),CkDJ[Credit])))+(SUM(IF((CsDJ[Ofc Code]=(TRIM(I$7)))*(CsDJ[Account Code]=(TRIM($D86))),CsDJ[Credit])))+(SUM(IF((CRDJ[Ofc Code]=(TRIM(I$7)))*(CRDJ[Account Code]=(TRIM($D86))),CRDJ[Credit])))+(SUM(IF((GJ[Ofc Code]=(TRIM(I$7)))*(GJ[Account Code]=(TRIM($D86))),GJ[Credit]))))</f>
        <v>0</v>
      </c>
      <c r="J86" s="211">
        <f>SUM(F86:I86)</f>
        <v>0</v>
      </c>
      <c r="K86" s="211">
        <f t="array" ref="K86">((SUM(IF((CkDJ[Ofc Code]=(TRIM(K$7)))*(CkDJ[Account Code]=(TRIM($D86))),CkDJ[Debit])))+(SUM(IF((CsDJ[Ofc Code]=(TRIM(K$7)))*(CsDJ[Account Code]=(TRIM($D86))),CsDJ[Debit])))+(SUM(IF((CRDJ[Ofc Code]=(TRIM(K$7)))*(CRDJ[Account Code]=(TRIM($D86))),CRDJ[Debit])))+(SUM(IF((GJ[Ofc Code]=(TRIM(K$7)))*(GJ[Account Code]=(TRIM($D86))),GJ[Debit]))))-((SUM(IF((CkDJ[Ofc Code]=(TRIM(K$7)))*(CkDJ[Account Code]=(TRIM($D86))),CkDJ[Credit])))+(SUM(IF((CsDJ[Ofc Code]=(TRIM(K$7)))*(CsDJ[Account Code]=(TRIM($D86))),CsDJ[Credit])))+(SUM(IF((CRDJ[Ofc Code]=(TRIM(K$7)))*(CRDJ[Account Code]=(TRIM($D86))),CRDJ[Credit])))+(SUM(IF((GJ[Ofc Code]=(TRIM(K$7)))*(GJ[Account Code]=(TRIM($D86))),GJ[Credit]))))</f>
        <v>0</v>
      </c>
      <c r="L86" s="211">
        <f t="array" ref="L86">((SUM(IF((CkDJ[Ofc Code]=(TRIM(L$7)))*(CkDJ[Account Code]=(TRIM($D86))),CkDJ[Debit])))+(SUM(IF((CsDJ[Ofc Code]=(TRIM(L$7)))*(CsDJ[Account Code]=(TRIM($D86))),CsDJ[Debit])))+(SUM(IF((CRDJ[Ofc Code]=(TRIM(L$7)))*(CRDJ[Account Code]=(TRIM($D86))),CRDJ[Debit])))+(SUM(IF((GJ[Ofc Code]=(TRIM(L$7)))*(GJ[Account Code]=(TRIM($D86))),GJ[Debit]))))-((SUM(IF((CkDJ[Ofc Code]=(TRIM(L$7)))*(CkDJ[Account Code]=(TRIM($D86))),CkDJ[Credit])))+(SUM(IF((CsDJ[Ofc Code]=(TRIM(L$7)))*(CsDJ[Account Code]=(TRIM($D86))),CsDJ[Credit])))+(SUM(IF((CRDJ[Ofc Code]=(TRIM(L$7)))*(CRDJ[Account Code]=(TRIM($D86))),CRDJ[Credit])))+(SUM(IF((GJ[Ofc Code]=(TRIM(L$7)))*(GJ[Account Code]=(TRIM($D86))),GJ[Credit]))))</f>
        <v>0</v>
      </c>
      <c r="M86" s="211">
        <f t="array" ref="M86">((SUM(IF((CkDJ[Ofc Code]=(TRIM(M$7)))*(CkDJ[Account Code]=(TRIM($D86))),CkDJ[Debit])))+(SUM(IF((CsDJ[Ofc Code]=(TRIM(M$7)))*(CsDJ[Account Code]=(TRIM($D86))),CsDJ[Debit])))+(SUM(IF((CRDJ[Ofc Code]=(TRIM(M$7)))*(CRDJ[Account Code]=(TRIM($D86))),CRDJ[Debit])))+(SUM(IF((GJ[Ofc Code]=(TRIM(M$7)))*(GJ[Account Code]=(TRIM($D86))),GJ[Debit]))))-((SUM(IF((CkDJ[Ofc Code]=(TRIM(M$7)))*(CkDJ[Account Code]=(TRIM($D86))),CkDJ[Credit])))+(SUM(IF((CsDJ[Ofc Code]=(TRIM(M$7)))*(CsDJ[Account Code]=(TRIM($D86))),CsDJ[Credit])))+(SUM(IF((CRDJ[Ofc Code]=(TRIM(M$7)))*(CRDJ[Account Code]=(TRIM($D86))),CRDJ[Credit])))+(SUM(IF((GJ[Ofc Code]=(TRIM(M$7)))*(GJ[Account Code]=(TRIM($D86))),GJ[Credit]))))</f>
        <v>0</v>
      </c>
      <c r="N86" s="211">
        <f t="array" ref="N86">((SUM(IF((CkDJ[Ofc Code]=(TRIM(N$7)))*(CkDJ[Account Code]=(TRIM($D86))),CkDJ[Debit])))+(SUM(IF((CsDJ[Ofc Code]=(TRIM(N$7)))*(CsDJ[Account Code]=(TRIM($D86))),CsDJ[Debit])))+(SUM(IF((CRDJ[Ofc Code]=(TRIM(N$7)))*(CRDJ[Account Code]=(TRIM($D86))),CRDJ[Debit])))+(SUM(IF((GJ[Ofc Code]=(TRIM(N$7)))*(GJ[Account Code]=(TRIM($D86))),GJ[Debit]))))-((SUM(IF((CkDJ[Ofc Code]=(TRIM(N$7)))*(CkDJ[Account Code]=(TRIM($D86))),CkDJ[Credit])))+(SUM(IF((CsDJ[Ofc Code]=(TRIM(N$7)))*(CsDJ[Account Code]=(TRIM($D86))),CsDJ[Credit])))+(SUM(IF((CRDJ[Ofc Code]=(TRIM(N$7)))*(CRDJ[Account Code]=(TRIM($D86))),CRDJ[Credit])))+(SUM(IF((GJ[Ofc Code]=(TRIM(N$7)))*(GJ[Account Code]=(TRIM($D86))),GJ[Credit]))))</f>
        <v>0</v>
      </c>
      <c r="O86" s="211">
        <f>SUM(K86:N86)</f>
        <v>0</v>
      </c>
      <c r="P86" s="211">
        <f t="array" ref="P86">((SUM(IF((CkDJ[Ofc Code]=(TRIM(P$7)))*(CkDJ[Account Code]=(TRIM($D86))),CkDJ[Debit])))+(SUM(IF((CsDJ[Ofc Code]=(TRIM(P$7)))*(CsDJ[Account Code]=(TRIM($D86))),CsDJ[Debit])))+(SUM(IF((CRDJ[Ofc Code]=(TRIM(P$7)))*(CRDJ[Account Code]=(TRIM($D86))),CRDJ[Debit])))+(SUM(IF((GJ[Ofc Code]=(TRIM(P$7)))*(GJ[Account Code]=(TRIM($D86))),GJ[Debit]))))-((SUM(IF((CkDJ[Ofc Code]=(TRIM(P$7)))*(CkDJ[Account Code]=(TRIM($D86))),CkDJ[Credit])))+(SUM(IF((CsDJ[Ofc Code]=(TRIM(P$7)))*(CsDJ[Account Code]=(TRIM($D86))),CsDJ[Credit])))+(SUM(IF((CRDJ[Ofc Code]=(TRIM(P$7)))*(CRDJ[Account Code]=(TRIM($D86))),CRDJ[Credit])))+(SUM(IF((GJ[Ofc Code]=(TRIM(P$7)))*(GJ[Account Code]=(TRIM($D86))),GJ[Credit]))))</f>
        <v>0</v>
      </c>
      <c r="Q86" s="211">
        <f t="array" ref="Q86">((SUM(IF((CkDJ[Ofc Code]=(TRIM(Q$7)))*(CkDJ[Account Code]=(TRIM($D86))),CkDJ[Debit])))+(SUM(IF((CsDJ[Ofc Code]=(TRIM(Q$7)))*(CsDJ[Account Code]=(TRIM($D86))),CsDJ[Debit])))+(SUM(IF((CRDJ[Ofc Code]=(TRIM(Q$7)))*(CRDJ[Account Code]=(TRIM($D86))),CRDJ[Debit])))+(SUM(IF((GJ[Ofc Code]=(TRIM(Q$7)))*(GJ[Account Code]=(TRIM($D86))),GJ[Debit]))))-((SUM(IF((CkDJ[Ofc Code]=(TRIM(Q$7)))*(CkDJ[Account Code]=(TRIM($D86))),CkDJ[Credit])))+(SUM(IF((CsDJ[Ofc Code]=(TRIM(Q$7)))*(CsDJ[Account Code]=(TRIM($D86))),CsDJ[Credit])))+(SUM(IF((CRDJ[Ofc Code]=(TRIM(Q$7)))*(CRDJ[Account Code]=(TRIM($D86))),CRDJ[Credit])))+(SUM(IF((GJ[Ofc Code]=(TRIM(Q$7)))*(GJ[Account Code]=(TRIM($D86))),GJ[Credit]))))</f>
        <v>0</v>
      </c>
      <c r="R86" s="211">
        <f t="array" ref="R86">((SUM(IF((CkDJ[Ofc Code]=(TRIM(R$7)))*(CkDJ[Account Code]=(TRIM($D86))),CkDJ[Debit])))+(SUM(IF((CsDJ[Ofc Code]=(TRIM(R$7)))*(CsDJ[Account Code]=(TRIM($D86))),CsDJ[Debit])))+(SUM(IF((CRDJ[Ofc Code]=(TRIM(R$7)))*(CRDJ[Account Code]=(TRIM($D86))),CRDJ[Debit])))+(SUM(IF((GJ[Ofc Code]=(TRIM(R$7)))*(GJ[Account Code]=(TRIM($D86))),GJ[Debit]))))-((SUM(IF((CkDJ[Ofc Code]=(TRIM(R$7)))*(CkDJ[Account Code]=(TRIM($D86))),CkDJ[Credit])))+(SUM(IF((CsDJ[Ofc Code]=(TRIM(R$7)))*(CsDJ[Account Code]=(TRIM($D86))),CsDJ[Credit])))+(SUM(IF((CRDJ[Ofc Code]=(TRIM(R$7)))*(CRDJ[Account Code]=(TRIM($D86))),CRDJ[Credit])))+(SUM(IF((GJ[Ofc Code]=(TRIM(R$7)))*(GJ[Account Code]=(TRIM($D86))),GJ[Credit]))))</f>
        <v>0</v>
      </c>
      <c r="S86" s="211">
        <f t="array" ref="S86">((SUM(IF((CkDJ[Ofc Code]=(TRIM(S$7)))*(CkDJ[Account Code]=(TRIM($D86))),CkDJ[Debit])))+(SUM(IF((CsDJ[Ofc Code]=(TRIM(S$7)))*(CsDJ[Account Code]=(TRIM($D86))),CsDJ[Debit])))+(SUM(IF((CRDJ[Ofc Code]=(TRIM(S$7)))*(CRDJ[Account Code]=(TRIM($D86))),CRDJ[Debit])))+(SUM(IF((GJ[Ofc Code]=(TRIM(S$7)))*(GJ[Account Code]=(TRIM($D86))),GJ[Debit]))))-((SUM(IF((CkDJ[Ofc Code]=(TRIM(S$7)))*(CkDJ[Account Code]=(TRIM($D86))),CkDJ[Credit])))+(SUM(IF((CsDJ[Ofc Code]=(TRIM(S$7)))*(CsDJ[Account Code]=(TRIM($D86))),CsDJ[Credit])))+(SUM(IF((CRDJ[Ofc Code]=(TRIM(S$7)))*(CRDJ[Account Code]=(TRIM($D86))),CRDJ[Credit])))+(SUM(IF((GJ[Ofc Code]=(TRIM(S$7)))*(GJ[Account Code]=(TRIM($D86))),GJ[Credit]))))</f>
        <v>0</v>
      </c>
      <c r="T86" s="211">
        <f t="array" ref="T86">((SUM(IF((CkDJ[Ofc Code]=(TRIM(T$7)))*(CkDJ[Account Code]=(TRIM($D86))),CkDJ[Debit])))+(SUM(IF((CsDJ[Ofc Code]=(TRIM(T$7)))*(CsDJ[Account Code]=(TRIM($D86))),CsDJ[Debit])))+(SUM(IF((CRDJ[Ofc Code]=(TRIM(T$7)))*(CRDJ[Account Code]=(TRIM($D86))),CRDJ[Debit])))+(SUM(IF((GJ[Ofc Code]=(TRIM(T$7)))*(GJ[Account Code]=(TRIM($D86))),GJ[Debit]))))-((SUM(IF((CkDJ[Ofc Code]=(TRIM(T$7)))*(CkDJ[Account Code]=(TRIM($D86))),CkDJ[Credit])))+(SUM(IF((CsDJ[Ofc Code]=(TRIM(T$7)))*(CsDJ[Account Code]=(TRIM($D86))),CsDJ[Credit])))+(SUM(IF((CRDJ[Ofc Code]=(TRIM(T$7)))*(CRDJ[Account Code]=(TRIM($D86))),CRDJ[Credit])))+(SUM(IF((GJ[Ofc Code]=(TRIM(T$7)))*(GJ[Account Code]=(TRIM($D86))),GJ[Credit]))))</f>
        <v>0</v>
      </c>
      <c r="U86" s="211">
        <f>SUM(P86:T86)</f>
        <v>0</v>
      </c>
      <c r="V86" s="211">
        <f>E86+J86+O86+U86</f>
        <v>0</v>
      </c>
    </row>
    <row r="87" spans="1:22" ht="15" x14ac:dyDescent="0.25">
      <c r="A87" s="212">
        <f t="shared" si="19"/>
        <v>25</v>
      </c>
      <c r="B87" s="214"/>
      <c r="C87" s="194" t="str">
        <f>IF(D87=0,"",(VLOOKUP((TRIM(D87)),Code,2,)))</f>
        <v>Repairs and Maintenance-Buildings and Other Structures - Other Structures</v>
      </c>
      <c r="D87" s="207" t="s">
        <v>252</v>
      </c>
      <c r="E87" s="211">
        <f t="array" ref="E87">((SUM(IF((CkDJ[Ofc Code]=(TRIM(E$7)))*(CkDJ[Account Code]=(TRIM($D87))),CkDJ[Debit])))+(SUM(IF((CsDJ[Ofc Code]=(TRIM(E$7)))*(CsDJ[Account Code]=(TRIM($D87))),CsDJ[Debit])))+(SUM(IF((CRDJ[Ofc Code]=(TRIM(E$7)))*(CRDJ[Account Code]=(TRIM($D87))),CRDJ[Debit])))+(SUM(IF((GJ[Ofc Code]=(TRIM(E$7)))*(GJ[Account Code]=(TRIM($D87))),GJ[Debit]))))-((SUM(IF((CkDJ[Ofc Code]=(TRIM(E$7)))*(CkDJ[Account Code]=(TRIM($D87))),CkDJ[Credit])))+(SUM(IF((CsDJ[Ofc Code]=(TRIM(E$7)))*(CsDJ[Account Code]=(TRIM($D87))),CsDJ[Credit])))+(SUM(IF((CRDJ[Ofc Code]=(TRIM(E$7)))*(CRDJ[Account Code]=(TRIM($D87))),CRDJ[Credit])))+(SUM(IF((GJ[Ofc Code]=(TRIM(E$7)))*(GJ[Account Code]=(TRIM($D87))),GJ[Credit]))))</f>
        <v>0</v>
      </c>
      <c r="F87" s="211">
        <f t="array" ref="F87">((SUM(IF((CkDJ[Ofc Code]=(TRIM(F$7)))*(CkDJ[Account Code]=(TRIM($D87))),CkDJ[Debit])))+(SUM(IF((CsDJ[Ofc Code]=(TRIM(F$7)))*(CsDJ[Account Code]=(TRIM($D87))),CsDJ[Debit])))+(SUM(IF((CRDJ[Ofc Code]=(TRIM(F$7)))*(CRDJ[Account Code]=(TRIM($D87))),CRDJ[Debit])))+(SUM(IF((GJ[Ofc Code]=(TRIM(F$7)))*(GJ[Account Code]=(TRIM($D87))),GJ[Debit]))))-((SUM(IF((CkDJ[Ofc Code]=(TRIM(F$7)))*(CkDJ[Account Code]=(TRIM($D87))),CkDJ[Credit])))+(SUM(IF((CsDJ[Ofc Code]=(TRIM(F$7)))*(CsDJ[Account Code]=(TRIM($D87))),CsDJ[Credit])))+(SUM(IF((CRDJ[Ofc Code]=(TRIM(F$7)))*(CRDJ[Account Code]=(TRIM($D87))),CRDJ[Credit])))+(SUM(IF((GJ[Ofc Code]=(TRIM(F$7)))*(GJ[Account Code]=(TRIM($D87))),GJ[Credit]))))</f>
        <v>0</v>
      </c>
      <c r="G87" s="211">
        <f t="array" ref="G87">((SUM(IF((CkDJ[Ofc Code]=(TRIM(G$7)))*(CkDJ[Account Code]=(TRIM($D87))),CkDJ[Debit])))+(SUM(IF((CsDJ[Ofc Code]=(TRIM(G$7)))*(CsDJ[Account Code]=(TRIM($D87))),CsDJ[Debit])))+(SUM(IF((CRDJ[Ofc Code]=(TRIM(G$7)))*(CRDJ[Account Code]=(TRIM($D87))),CRDJ[Debit])))+(SUM(IF((GJ[Ofc Code]=(TRIM(G$7)))*(GJ[Account Code]=(TRIM($D87))),GJ[Debit]))))-((SUM(IF((CkDJ[Ofc Code]=(TRIM(G$7)))*(CkDJ[Account Code]=(TRIM($D87))),CkDJ[Credit])))+(SUM(IF((CsDJ[Ofc Code]=(TRIM(G$7)))*(CsDJ[Account Code]=(TRIM($D87))),CsDJ[Credit])))+(SUM(IF((CRDJ[Ofc Code]=(TRIM(G$7)))*(CRDJ[Account Code]=(TRIM($D87))),CRDJ[Credit])))+(SUM(IF((GJ[Ofc Code]=(TRIM(G$7)))*(GJ[Account Code]=(TRIM($D87))),GJ[Credit]))))</f>
        <v>0</v>
      </c>
      <c r="H87" s="211">
        <f t="array" ref="H87">((SUM(IF((CkDJ[Ofc Code]=(TRIM(H$7)))*(CkDJ[Account Code]=(TRIM($D87))),CkDJ[Debit])))+(SUM(IF((CsDJ[Ofc Code]=(TRIM(H$7)))*(CsDJ[Account Code]=(TRIM($D87))),CsDJ[Debit])))+(SUM(IF((CRDJ[Ofc Code]=(TRIM(H$7)))*(CRDJ[Account Code]=(TRIM($D87))),CRDJ[Debit])))+(SUM(IF((GJ[Ofc Code]=(TRIM(H$7)))*(GJ[Account Code]=(TRIM($D87))),GJ[Debit]))))-((SUM(IF((CkDJ[Ofc Code]=(TRIM(H$7)))*(CkDJ[Account Code]=(TRIM($D87))),CkDJ[Credit])))+(SUM(IF((CsDJ[Ofc Code]=(TRIM(H$7)))*(CsDJ[Account Code]=(TRIM($D87))),CsDJ[Credit])))+(SUM(IF((CRDJ[Ofc Code]=(TRIM(H$7)))*(CRDJ[Account Code]=(TRIM($D87))),CRDJ[Credit])))+(SUM(IF((GJ[Ofc Code]=(TRIM(H$7)))*(GJ[Account Code]=(TRIM($D87))),GJ[Credit]))))</f>
        <v>0</v>
      </c>
      <c r="I87" s="211">
        <f t="array" ref="I87">((SUM(IF((CkDJ[Ofc Code]=(TRIM(I$7)))*(CkDJ[Account Code]=(TRIM($D87))),CkDJ[Debit])))+(SUM(IF((CsDJ[Ofc Code]=(TRIM(I$7)))*(CsDJ[Account Code]=(TRIM($D87))),CsDJ[Debit])))+(SUM(IF((CRDJ[Ofc Code]=(TRIM(I$7)))*(CRDJ[Account Code]=(TRIM($D87))),CRDJ[Debit])))+(SUM(IF((GJ[Ofc Code]=(TRIM(I$7)))*(GJ[Account Code]=(TRIM($D87))),GJ[Debit]))))-((SUM(IF((CkDJ[Ofc Code]=(TRIM(I$7)))*(CkDJ[Account Code]=(TRIM($D87))),CkDJ[Credit])))+(SUM(IF((CsDJ[Ofc Code]=(TRIM(I$7)))*(CsDJ[Account Code]=(TRIM($D87))),CsDJ[Credit])))+(SUM(IF((CRDJ[Ofc Code]=(TRIM(I$7)))*(CRDJ[Account Code]=(TRIM($D87))),CRDJ[Credit])))+(SUM(IF((GJ[Ofc Code]=(TRIM(I$7)))*(GJ[Account Code]=(TRIM($D87))),GJ[Credit]))))</f>
        <v>0</v>
      </c>
      <c r="J87" s="211">
        <f>SUM(F87:I87)</f>
        <v>0</v>
      </c>
      <c r="K87" s="211">
        <f t="array" ref="K87">((SUM(IF((CkDJ[Ofc Code]=(TRIM(K$7)))*(CkDJ[Account Code]=(TRIM($D87))),CkDJ[Debit])))+(SUM(IF((CsDJ[Ofc Code]=(TRIM(K$7)))*(CsDJ[Account Code]=(TRIM($D87))),CsDJ[Debit])))+(SUM(IF((CRDJ[Ofc Code]=(TRIM(K$7)))*(CRDJ[Account Code]=(TRIM($D87))),CRDJ[Debit])))+(SUM(IF((GJ[Ofc Code]=(TRIM(K$7)))*(GJ[Account Code]=(TRIM($D87))),GJ[Debit]))))-((SUM(IF((CkDJ[Ofc Code]=(TRIM(K$7)))*(CkDJ[Account Code]=(TRIM($D87))),CkDJ[Credit])))+(SUM(IF((CsDJ[Ofc Code]=(TRIM(K$7)))*(CsDJ[Account Code]=(TRIM($D87))),CsDJ[Credit])))+(SUM(IF((CRDJ[Ofc Code]=(TRIM(K$7)))*(CRDJ[Account Code]=(TRIM($D87))),CRDJ[Credit])))+(SUM(IF((GJ[Ofc Code]=(TRIM(K$7)))*(GJ[Account Code]=(TRIM($D87))),GJ[Credit]))))</f>
        <v>0</v>
      </c>
      <c r="L87" s="211">
        <f t="array" ref="L87">((SUM(IF((CkDJ[Ofc Code]=(TRIM(L$7)))*(CkDJ[Account Code]=(TRIM($D87))),CkDJ[Debit])))+(SUM(IF((CsDJ[Ofc Code]=(TRIM(L$7)))*(CsDJ[Account Code]=(TRIM($D87))),CsDJ[Debit])))+(SUM(IF((CRDJ[Ofc Code]=(TRIM(L$7)))*(CRDJ[Account Code]=(TRIM($D87))),CRDJ[Debit])))+(SUM(IF((GJ[Ofc Code]=(TRIM(L$7)))*(GJ[Account Code]=(TRIM($D87))),GJ[Debit]))))-((SUM(IF((CkDJ[Ofc Code]=(TRIM(L$7)))*(CkDJ[Account Code]=(TRIM($D87))),CkDJ[Credit])))+(SUM(IF((CsDJ[Ofc Code]=(TRIM(L$7)))*(CsDJ[Account Code]=(TRIM($D87))),CsDJ[Credit])))+(SUM(IF((CRDJ[Ofc Code]=(TRIM(L$7)))*(CRDJ[Account Code]=(TRIM($D87))),CRDJ[Credit])))+(SUM(IF((GJ[Ofc Code]=(TRIM(L$7)))*(GJ[Account Code]=(TRIM($D87))),GJ[Credit]))))</f>
        <v>0</v>
      </c>
      <c r="M87" s="211">
        <f t="array" ref="M87">((SUM(IF((CkDJ[Ofc Code]=(TRIM(M$7)))*(CkDJ[Account Code]=(TRIM($D87))),CkDJ[Debit])))+(SUM(IF((CsDJ[Ofc Code]=(TRIM(M$7)))*(CsDJ[Account Code]=(TRIM($D87))),CsDJ[Debit])))+(SUM(IF((CRDJ[Ofc Code]=(TRIM(M$7)))*(CRDJ[Account Code]=(TRIM($D87))),CRDJ[Debit])))+(SUM(IF((GJ[Ofc Code]=(TRIM(M$7)))*(GJ[Account Code]=(TRIM($D87))),GJ[Debit]))))-((SUM(IF((CkDJ[Ofc Code]=(TRIM(M$7)))*(CkDJ[Account Code]=(TRIM($D87))),CkDJ[Credit])))+(SUM(IF((CsDJ[Ofc Code]=(TRIM(M$7)))*(CsDJ[Account Code]=(TRIM($D87))),CsDJ[Credit])))+(SUM(IF((CRDJ[Ofc Code]=(TRIM(M$7)))*(CRDJ[Account Code]=(TRIM($D87))),CRDJ[Credit])))+(SUM(IF((GJ[Ofc Code]=(TRIM(M$7)))*(GJ[Account Code]=(TRIM($D87))),GJ[Credit]))))</f>
        <v>0</v>
      </c>
      <c r="N87" s="211">
        <f t="array" ref="N87">((SUM(IF((CkDJ[Ofc Code]=(TRIM(N$7)))*(CkDJ[Account Code]=(TRIM($D87))),CkDJ[Debit])))+(SUM(IF((CsDJ[Ofc Code]=(TRIM(N$7)))*(CsDJ[Account Code]=(TRIM($D87))),CsDJ[Debit])))+(SUM(IF((CRDJ[Ofc Code]=(TRIM(N$7)))*(CRDJ[Account Code]=(TRIM($D87))),CRDJ[Debit])))+(SUM(IF((GJ[Ofc Code]=(TRIM(N$7)))*(GJ[Account Code]=(TRIM($D87))),GJ[Debit]))))-((SUM(IF((CkDJ[Ofc Code]=(TRIM(N$7)))*(CkDJ[Account Code]=(TRIM($D87))),CkDJ[Credit])))+(SUM(IF((CsDJ[Ofc Code]=(TRIM(N$7)))*(CsDJ[Account Code]=(TRIM($D87))),CsDJ[Credit])))+(SUM(IF((CRDJ[Ofc Code]=(TRIM(N$7)))*(CRDJ[Account Code]=(TRIM($D87))),CRDJ[Credit])))+(SUM(IF((GJ[Ofc Code]=(TRIM(N$7)))*(GJ[Account Code]=(TRIM($D87))),GJ[Credit]))))</f>
        <v>0</v>
      </c>
      <c r="O87" s="211">
        <f>SUM(K87:N87)</f>
        <v>0</v>
      </c>
      <c r="P87" s="211">
        <f t="array" ref="P87">((SUM(IF((CkDJ[Ofc Code]=(TRIM(P$7)))*(CkDJ[Account Code]=(TRIM($D87))),CkDJ[Debit])))+(SUM(IF((CsDJ[Ofc Code]=(TRIM(P$7)))*(CsDJ[Account Code]=(TRIM($D87))),CsDJ[Debit])))+(SUM(IF((CRDJ[Ofc Code]=(TRIM(P$7)))*(CRDJ[Account Code]=(TRIM($D87))),CRDJ[Debit])))+(SUM(IF((GJ[Ofc Code]=(TRIM(P$7)))*(GJ[Account Code]=(TRIM($D87))),GJ[Debit]))))-((SUM(IF((CkDJ[Ofc Code]=(TRIM(P$7)))*(CkDJ[Account Code]=(TRIM($D87))),CkDJ[Credit])))+(SUM(IF((CsDJ[Ofc Code]=(TRIM(P$7)))*(CsDJ[Account Code]=(TRIM($D87))),CsDJ[Credit])))+(SUM(IF((CRDJ[Ofc Code]=(TRIM(P$7)))*(CRDJ[Account Code]=(TRIM($D87))),CRDJ[Credit])))+(SUM(IF((GJ[Ofc Code]=(TRIM(P$7)))*(GJ[Account Code]=(TRIM($D87))),GJ[Credit]))))</f>
        <v>0</v>
      </c>
      <c r="Q87" s="211">
        <f t="array" ref="Q87">((SUM(IF((CkDJ[Ofc Code]=(TRIM(Q$7)))*(CkDJ[Account Code]=(TRIM($D87))),CkDJ[Debit])))+(SUM(IF((CsDJ[Ofc Code]=(TRIM(Q$7)))*(CsDJ[Account Code]=(TRIM($D87))),CsDJ[Debit])))+(SUM(IF((CRDJ[Ofc Code]=(TRIM(Q$7)))*(CRDJ[Account Code]=(TRIM($D87))),CRDJ[Debit])))+(SUM(IF((GJ[Ofc Code]=(TRIM(Q$7)))*(GJ[Account Code]=(TRIM($D87))),GJ[Debit]))))-((SUM(IF((CkDJ[Ofc Code]=(TRIM(Q$7)))*(CkDJ[Account Code]=(TRIM($D87))),CkDJ[Credit])))+(SUM(IF((CsDJ[Ofc Code]=(TRIM(Q$7)))*(CsDJ[Account Code]=(TRIM($D87))),CsDJ[Credit])))+(SUM(IF((CRDJ[Ofc Code]=(TRIM(Q$7)))*(CRDJ[Account Code]=(TRIM($D87))),CRDJ[Credit])))+(SUM(IF((GJ[Ofc Code]=(TRIM(Q$7)))*(GJ[Account Code]=(TRIM($D87))),GJ[Credit]))))</f>
        <v>0</v>
      </c>
      <c r="R87" s="211">
        <f t="array" ref="R87">((SUM(IF((CkDJ[Ofc Code]=(TRIM(R$7)))*(CkDJ[Account Code]=(TRIM($D87))),CkDJ[Debit])))+(SUM(IF((CsDJ[Ofc Code]=(TRIM(R$7)))*(CsDJ[Account Code]=(TRIM($D87))),CsDJ[Debit])))+(SUM(IF((CRDJ[Ofc Code]=(TRIM(R$7)))*(CRDJ[Account Code]=(TRIM($D87))),CRDJ[Debit])))+(SUM(IF((GJ[Ofc Code]=(TRIM(R$7)))*(GJ[Account Code]=(TRIM($D87))),GJ[Debit]))))-((SUM(IF((CkDJ[Ofc Code]=(TRIM(R$7)))*(CkDJ[Account Code]=(TRIM($D87))),CkDJ[Credit])))+(SUM(IF((CsDJ[Ofc Code]=(TRIM(R$7)))*(CsDJ[Account Code]=(TRIM($D87))),CsDJ[Credit])))+(SUM(IF((CRDJ[Ofc Code]=(TRIM(R$7)))*(CRDJ[Account Code]=(TRIM($D87))),CRDJ[Credit])))+(SUM(IF((GJ[Ofc Code]=(TRIM(R$7)))*(GJ[Account Code]=(TRIM($D87))),GJ[Credit]))))</f>
        <v>0</v>
      </c>
      <c r="S87" s="211">
        <f t="array" ref="S87">((SUM(IF((CkDJ[Ofc Code]=(TRIM(S$7)))*(CkDJ[Account Code]=(TRIM($D87))),CkDJ[Debit])))+(SUM(IF((CsDJ[Ofc Code]=(TRIM(S$7)))*(CsDJ[Account Code]=(TRIM($D87))),CsDJ[Debit])))+(SUM(IF((CRDJ[Ofc Code]=(TRIM(S$7)))*(CRDJ[Account Code]=(TRIM($D87))),CRDJ[Debit])))+(SUM(IF((GJ[Ofc Code]=(TRIM(S$7)))*(GJ[Account Code]=(TRIM($D87))),GJ[Debit]))))-((SUM(IF((CkDJ[Ofc Code]=(TRIM(S$7)))*(CkDJ[Account Code]=(TRIM($D87))),CkDJ[Credit])))+(SUM(IF((CsDJ[Ofc Code]=(TRIM(S$7)))*(CsDJ[Account Code]=(TRIM($D87))),CsDJ[Credit])))+(SUM(IF((CRDJ[Ofc Code]=(TRIM(S$7)))*(CRDJ[Account Code]=(TRIM($D87))),CRDJ[Credit])))+(SUM(IF((GJ[Ofc Code]=(TRIM(S$7)))*(GJ[Account Code]=(TRIM($D87))),GJ[Credit]))))</f>
        <v>0</v>
      </c>
      <c r="T87" s="211">
        <f t="array" ref="T87">((SUM(IF((CkDJ[Ofc Code]=(TRIM(T$7)))*(CkDJ[Account Code]=(TRIM($D87))),CkDJ[Debit])))+(SUM(IF((CsDJ[Ofc Code]=(TRIM(T$7)))*(CsDJ[Account Code]=(TRIM($D87))),CsDJ[Debit])))+(SUM(IF((CRDJ[Ofc Code]=(TRIM(T$7)))*(CRDJ[Account Code]=(TRIM($D87))),CRDJ[Debit])))+(SUM(IF((GJ[Ofc Code]=(TRIM(T$7)))*(GJ[Account Code]=(TRIM($D87))),GJ[Debit]))))-((SUM(IF((CkDJ[Ofc Code]=(TRIM(T$7)))*(CkDJ[Account Code]=(TRIM($D87))),CkDJ[Credit])))+(SUM(IF((CsDJ[Ofc Code]=(TRIM(T$7)))*(CsDJ[Account Code]=(TRIM($D87))),CsDJ[Credit])))+(SUM(IF((CRDJ[Ofc Code]=(TRIM(T$7)))*(CRDJ[Account Code]=(TRIM($D87))),CRDJ[Credit])))+(SUM(IF((GJ[Ofc Code]=(TRIM(T$7)))*(GJ[Account Code]=(TRIM($D87))),GJ[Credit]))))</f>
        <v>0</v>
      </c>
      <c r="U87" s="211">
        <f>SUM(P87:T87)</f>
        <v>0</v>
      </c>
      <c r="V87" s="211">
        <f>E87+J87+O87+U87</f>
        <v>0</v>
      </c>
    </row>
    <row r="88" spans="1:22" ht="15" x14ac:dyDescent="0.25">
      <c r="A88" s="212">
        <f t="shared" si="19"/>
        <v>26</v>
      </c>
      <c r="B88" s="214"/>
      <c r="C88" s="194" t="str">
        <f t="shared" si="14"/>
        <v>Repairs and Maintenance-Machinery and Equipment - Office Equipment</v>
      </c>
      <c r="D88" s="207" t="s">
        <v>253</v>
      </c>
      <c r="E88" s="211">
        <f t="array" ref="E88">((SUM(IF((CkDJ[Ofc Code]=(TRIM(E$7)))*(CkDJ[Account Code]=(TRIM($D88))),CkDJ[Debit])))+(SUM(IF((CsDJ[Ofc Code]=(TRIM(E$7)))*(CsDJ[Account Code]=(TRIM($D88))),CsDJ[Debit])))+(SUM(IF((CRDJ[Ofc Code]=(TRIM(E$7)))*(CRDJ[Account Code]=(TRIM($D88))),CRDJ[Debit])))+(SUM(IF((GJ[Ofc Code]=(TRIM(E$7)))*(GJ[Account Code]=(TRIM($D88))),GJ[Debit]))))-((SUM(IF((CkDJ[Ofc Code]=(TRIM(E$7)))*(CkDJ[Account Code]=(TRIM($D88))),CkDJ[Credit])))+(SUM(IF((CsDJ[Ofc Code]=(TRIM(E$7)))*(CsDJ[Account Code]=(TRIM($D88))),CsDJ[Credit])))+(SUM(IF((CRDJ[Ofc Code]=(TRIM(E$7)))*(CRDJ[Account Code]=(TRIM($D88))),CRDJ[Credit])))+(SUM(IF((GJ[Ofc Code]=(TRIM(E$7)))*(GJ[Account Code]=(TRIM($D88))),GJ[Credit]))))</f>
        <v>0</v>
      </c>
      <c r="F88" s="211">
        <f t="array" ref="F88">((SUM(IF((CkDJ[Ofc Code]=(TRIM(F$7)))*(CkDJ[Account Code]=(TRIM($D88))),CkDJ[Debit])))+(SUM(IF((CsDJ[Ofc Code]=(TRIM(F$7)))*(CsDJ[Account Code]=(TRIM($D88))),CsDJ[Debit])))+(SUM(IF((CRDJ[Ofc Code]=(TRIM(F$7)))*(CRDJ[Account Code]=(TRIM($D88))),CRDJ[Debit])))+(SUM(IF((GJ[Ofc Code]=(TRIM(F$7)))*(GJ[Account Code]=(TRIM($D88))),GJ[Debit]))))-((SUM(IF((CkDJ[Ofc Code]=(TRIM(F$7)))*(CkDJ[Account Code]=(TRIM($D88))),CkDJ[Credit])))+(SUM(IF((CsDJ[Ofc Code]=(TRIM(F$7)))*(CsDJ[Account Code]=(TRIM($D88))),CsDJ[Credit])))+(SUM(IF((CRDJ[Ofc Code]=(TRIM(F$7)))*(CRDJ[Account Code]=(TRIM($D88))),CRDJ[Credit])))+(SUM(IF((GJ[Ofc Code]=(TRIM(F$7)))*(GJ[Account Code]=(TRIM($D88))),GJ[Credit]))))</f>
        <v>0</v>
      </c>
      <c r="G88" s="211">
        <f t="array" ref="G88">((SUM(IF((CkDJ[Ofc Code]=(TRIM(G$7)))*(CkDJ[Account Code]=(TRIM($D88))),CkDJ[Debit])))+(SUM(IF((CsDJ[Ofc Code]=(TRIM(G$7)))*(CsDJ[Account Code]=(TRIM($D88))),CsDJ[Debit])))+(SUM(IF((CRDJ[Ofc Code]=(TRIM(G$7)))*(CRDJ[Account Code]=(TRIM($D88))),CRDJ[Debit])))+(SUM(IF((GJ[Ofc Code]=(TRIM(G$7)))*(GJ[Account Code]=(TRIM($D88))),GJ[Debit]))))-((SUM(IF((CkDJ[Ofc Code]=(TRIM(G$7)))*(CkDJ[Account Code]=(TRIM($D88))),CkDJ[Credit])))+(SUM(IF((CsDJ[Ofc Code]=(TRIM(G$7)))*(CsDJ[Account Code]=(TRIM($D88))),CsDJ[Credit])))+(SUM(IF((CRDJ[Ofc Code]=(TRIM(G$7)))*(CRDJ[Account Code]=(TRIM($D88))),CRDJ[Credit])))+(SUM(IF((GJ[Ofc Code]=(TRIM(G$7)))*(GJ[Account Code]=(TRIM($D88))),GJ[Credit]))))</f>
        <v>0</v>
      </c>
      <c r="H88" s="211">
        <f t="array" ref="H88">((SUM(IF((CkDJ[Ofc Code]=(TRIM(H$7)))*(CkDJ[Account Code]=(TRIM($D88))),CkDJ[Debit])))+(SUM(IF((CsDJ[Ofc Code]=(TRIM(H$7)))*(CsDJ[Account Code]=(TRIM($D88))),CsDJ[Debit])))+(SUM(IF((CRDJ[Ofc Code]=(TRIM(H$7)))*(CRDJ[Account Code]=(TRIM($D88))),CRDJ[Debit])))+(SUM(IF((GJ[Ofc Code]=(TRIM(H$7)))*(GJ[Account Code]=(TRIM($D88))),GJ[Debit]))))-((SUM(IF((CkDJ[Ofc Code]=(TRIM(H$7)))*(CkDJ[Account Code]=(TRIM($D88))),CkDJ[Credit])))+(SUM(IF((CsDJ[Ofc Code]=(TRIM(H$7)))*(CsDJ[Account Code]=(TRIM($D88))),CsDJ[Credit])))+(SUM(IF((CRDJ[Ofc Code]=(TRIM(H$7)))*(CRDJ[Account Code]=(TRIM($D88))),CRDJ[Credit])))+(SUM(IF((GJ[Ofc Code]=(TRIM(H$7)))*(GJ[Account Code]=(TRIM($D88))),GJ[Credit]))))</f>
        <v>0</v>
      </c>
      <c r="I88" s="211">
        <f t="array" ref="I88">((SUM(IF((CkDJ[Ofc Code]=(TRIM(I$7)))*(CkDJ[Account Code]=(TRIM($D88))),CkDJ[Debit])))+(SUM(IF((CsDJ[Ofc Code]=(TRIM(I$7)))*(CsDJ[Account Code]=(TRIM($D88))),CsDJ[Debit])))+(SUM(IF((CRDJ[Ofc Code]=(TRIM(I$7)))*(CRDJ[Account Code]=(TRIM($D88))),CRDJ[Debit])))+(SUM(IF((GJ[Ofc Code]=(TRIM(I$7)))*(GJ[Account Code]=(TRIM($D88))),GJ[Debit]))))-((SUM(IF((CkDJ[Ofc Code]=(TRIM(I$7)))*(CkDJ[Account Code]=(TRIM($D88))),CkDJ[Credit])))+(SUM(IF((CsDJ[Ofc Code]=(TRIM(I$7)))*(CsDJ[Account Code]=(TRIM($D88))),CsDJ[Credit])))+(SUM(IF((CRDJ[Ofc Code]=(TRIM(I$7)))*(CRDJ[Account Code]=(TRIM($D88))),CRDJ[Credit])))+(SUM(IF((GJ[Ofc Code]=(TRIM(I$7)))*(GJ[Account Code]=(TRIM($D88))),GJ[Credit]))))</f>
        <v>0</v>
      </c>
      <c r="J88" s="211">
        <f t="shared" si="15"/>
        <v>0</v>
      </c>
      <c r="K88" s="211">
        <f t="array" ref="K88">((SUM(IF((CkDJ[Ofc Code]=(TRIM(K$7)))*(CkDJ[Account Code]=(TRIM($D88))),CkDJ[Debit])))+(SUM(IF((CsDJ[Ofc Code]=(TRIM(K$7)))*(CsDJ[Account Code]=(TRIM($D88))),CsDJ[Debit])))+(SUM(IF((CRDJ[Ofc Code]=(TRIM(K$7)))*(CRDJ[Account Code]=(TRIM($D88))),CRDJ[Debit])))+(SUM(IF((GJ[Ofc Code]=(TRIM(K$7)))*(GJ[Account Code]=(TRIM($D88))),GJ[Debit]))))-((SUM(IF((CkDJ[Ofc Code]=(TRIM(K$7)))*(CkDJ[Account Code]=(TRIM($D88))),CkDJ[Credit])))+(SUM(IF((CsDJ[Ofc Code]=(TRIM(K$7)))*(CsDJ[Account Code]=(TRIM($D88))),CsDJ[Credit])))+(SUM(IF((CRDJ[Ofc Code]=(TRIM(K$7)))*(CRDJ[Account Code]=(TRIM($D88))),CRDJ[Credit])))+(SUM(IF((GJ[Ofc Code]=(TRIM(K$7)))*(GJ[Account Code]=(TRIM($D88))),GJ[Credit]))))</f>
        <v>0</v>
      </c>
      <c r="L88" s="211">
        <f t="array" ref="L88">((SUM(IF((CkDJ[Ofc Code]=(TRIM(L$7)))*(CkDJ[Account Code]=(TRIM($D88))),CkDJ[Debit])))+(SUM(IF((CsDJ[Ofc Code]=(TRIM(L$7)))*(CsDJ[Account Code]=(TRIM($D88))),CsDJ[Debit])))+(SUM(IF((CRDJ[Ofc Code]=(TRIM(L$7)))*(CRDJ[Account Code]=(TRIM($D88))),CRDJ[Debit])))+(SUM(IF((GJ[Ofc Code]=(TRIM(L$7)))*(GJ[Account Code]=(TRIM($D88))),GJ[Debit]))))-((SUM(IF((CkDJ[Ofc Code]=(TRIM(L$7)))*(CkDJ[Account Code]=(TRIM($D88))),CkDJ[Credit])))+(SUM(IF((CsDJ[Ofc Code]=(TRIM(L$7)))*(CsDJ[Account Code]=(TRIM($D88))),CsDJ[Credit])))+(SUM(IF((CRDJ[Ofc Code]=(TRIM(L$7)))*(CRDJ[Account Code]=(TRIM($D88))),CRDJ[Credit])))+(SUM(IF((GJ[Ofc Code]=(TRIM(L$7)))*(GJ[Account Code]=(TRIM($D88))),GJ[Credit]))))</f>
        <v>0</v>
      </c>
      <c r="M88" s="211">
        <f t="array" ref="M88">((SUM(IF((CkDJ[Ofc Code]=(TRIM(M$7)))*(CkDJ[Account Code]=(TRIM($D88))),CkDJ[Debit])))+(SUM(IF((CsDJ[Ofc Code]=(TRIM(M$7)))*(CsDJ[Account Code]=(TRIM($D88))),CsDJ[Debit])))+(SUM(IF((CRDJ[Ofc Code]=(TRIM(M$7)))*(CRDJ[Account Code]=(TRIM($D88))),CRDJ[Debit])))+(SUM(IF((GJ[Ofc Code]=(TRIM(M$7)))*(GJ[Account Code]=(TRIM($D88))),GJ[Debit]))))-((SUM(IF((CkDJ[Ofc Code]=(TRIM(M$7)))*(CkDJ[Account Code]=(TRIM($D88))),CkDJ[Credit])))+(SUM(IF((CsDJ[Ofc Code]=(TRIM(M$7)))*(CsDJ[Account Code]=(TRIM($D88))),CsDJ[Credit])))+(SUM(IF((CRDJ[Ofc Code]=(TRIM(M$7)))*(CRDJ[Account Code]=(TRIM($D88))),CRDJ[Credit])))+(SUM(IF((GJ[Ofc Code]=(TRIM(M$7)))*(GJ[Account Code]=(TRIM($D88))),GJ[Credit]))))</f>
        <v>0</v>
      </c>
      <c r="N88" s="211">
        <f t="array" ref="N88">((SUM(IF((CkDJ[Ofc Code]=(TRIM(N$7)))*(CkDJ[Account Code]=(TRIM($D88))),CkDJ[Debit])))+(SUM(IF((CsDJ[Ofc Code]=(TRIM(N$7)))*(CsDJ[Account Code]=(TRIM($D88))),CsDJ[Debit])))+(SUM(IF((CRDJ[Ofc Code]=(TRIM(N$7)))*(CRDJ[Account Code]=(TRIM($D88))),CRDJ[Debit])))+(SUM(IF((GJ[Ofc Code]=(TRIM(N$7)))*(GJ[Account Code]=(TRIM($D88))),GJ[Debit]))))-((SUM(IF((CkDJ[Ofc Code]=(TRIM(N$7)))*(CkDJ[Account Code]=(TRIM($D88))),CkDJ[Credit])))+(SUM(IF((CsDJ[Ofc Code]=(TRIM(N$7)))*(CsDJ[Account Code]=(TRIM($D88))),CsDJ[Credit])))+(SUM(IF((CRDJ[Ofc Code]=(TRIM(N$7)))*(CRDJ[Account Code]=(TRIM($D88))),CRDJ[Credit])))+(SUM(IF((GJ[Ofc Code]=(TRIM(N$7)))*(GJ[Account Code]=(TRIM($D88))),GJ[Credit]))))</f>
        <v>0</v>
      </c>
      <c r="O88" s="211">
        <f t="shared" si="16"/>
        <v>0</v>
      </c>
      <c r="P88" s="211">
        <f t="array" ref="P88">((SUM(IF((CkDJ[Ofc Code]=(TRIM(P$7)))*(CkDJ[Account Code]=(TRIM($D88))),CkDJ[Debit])))+(SUM(IF((CsDJ[Ofc Code]=(TRIM(P$7)))*(CsDJ[Account Code]=(TRIM($D88))),CsDJ[Debit])))+(SUM(IF((CRDJ[Ofc Code]=(TRIM(P$7)))*(CRDJ[Account Code]=(TRIM($D88))),CRDJ[Debit])))+(SUM(IF((GJ[Ofc Code]=(TRIM(P$7)))*(GJ[Account Code]=(TRIM($D88))),GJ[Debit]))))-((SUM(IF((CkDJ[Ofc Code]=(TRIM(P$7)))*(CkDJ[Account Code]=(TRIM($D88))),CkDJ[Credit])))+(SUM(IF((CsDJ[Ofc Code]=(TRIM(P$7)))*(CsDJ[Account Code]=(TRIM($D88))),CsDJ[Credit])))+(SUM(IF((CRDJ[Ofc Code]=(TRIM(P$7)))*(CRDJ[Account Code]=(TRIM($D88))),CRDJ[Credit])))+(SUM(IF((GJ[Ofc Code]=(TRIM(P$7)))*(GJ[Account Code]=(TRIM($D88))),GJ[Credit]))))</f>
        <v>0</v>
      </c>
      <c r="Q88" s="211">
        <f t="array" ref="Q88">((SUM(IF((CkDJ[Ofc Code]=(TRIM(Q$7)))*(CkDJ[Account Code]=(TRIM($D88))),CkDJ[Debit])))+(SUM(IF((CsDJ[Ofc Code]=(TRIM(Q$7)))*(CsDJ[Account Code]=(TRIM($D88))),CsDJ[Debit])))+(SUM(IF((CRDJ[Ofc Code]=(TRIM(Q$7)))*(CRDJ[Account Code]=(TRIM($D88))),CRDJ[Debit])))+(SUM(IF((GJ[Ofc Code]=(TRIM(Q$7)))*(GJ[Account Code]=(TRIM($D88))),GJ[Debit]))))-((SUM(IF((CkDJ[Ofc Code]=(TRIM(Q$7)))*(CkDJ[Account Code]=(TRIM($D88))),CkDJ[Credit])))+(SUM(IF((CsDJ[Ofc Code]=(TRIM(Q$7)))*(CsDJ[Account Code]=(TRIM($D88))),CsDJ[Credit])))+(SUM(IF((CRDJ[Ofc Code]=(TRIM(Q$7)))*(CRDJ[Account Code]=(TRIM($D88))),CRDJ[Credit])))+(SUM(IF((GJ[Ofc Code]=(TRIM(Q$7)))*(GJ[Account Code]=(TRIM($D88))),GJ[Credit]))))</f>
        <v>0</v>
      </c>
      <c r="R88" s="211">
        <f t="array" ref="R88">((SUM(IF((CkDJ[Ofc Code]=(TRIM(R$7)))*(CkDJ[Account Code]=(TRIM($D88))),CkDJ[Debit])))+(SUM(IF((CsDJ[Ofc Code]=(TRIM(R$7)))*(CsDJ[Account Code]=(TRIM($D88))),CsDJ[Debit])))+(SUM(IF((CRDJ[Ofc Code]=(TRIM(R$7)))*(CRDJ[Account Code]=(TRIM($D88))),CRDJ[Debit])))+(SUM(IF((GJ[Ofc Code]=(TRIM(R$7)))*(GJ[Account Code]=(TRIM($D88))),GJ[Debit]))))-((SUM(IF((CkDJ[Ofc Code]=(TRIM(R$7)))*(CkDJ[Account Code]=(TRIM($D88))),CkDJ[Credit])))+(SUM(IF((CsDJ[Ofc Code]=(TRIM(R$7)))*(CsDJ[Account Code]=(TRIM($D88))),CsDJ[Credit])))+(SUM(IF((CRDJ[Ofc Code]=(TRIM(R$7)))*(CRDJ[Account Code]=(TRIM($D88))),CRDJ[Credit])))+(SUM(IF((GJ[Ofc Code]=(TRIM(R$7)))*(GJ[Account Code]=(TRIM($D88))),GJ[Credit]))))</f>
        <v>0</v>
      </c>
      <c r="S88" s="211">
        <f t="array" ref="S88">((SUM(IF((CkDJ[Ofc Code]=(TRIM(S$7)))*(CkDJ[Account Code]=(TRIM($D88))),CkDJ[Debit])))+(SUM(IF((CsDJ[Ofc Code]=(TRIM(S$7)))*(CsDJ[Account Code]=(TRIM($D88))),CsDJ[Debit])))+(SUM(IF((CRDJ[Ofc Code]=(TRIM(S$7)))*(CRDJ[Account Code]=(TRIM($D88))),CRDJ[Debit])))+(SUM(IF((GJ[Ofc Code]=(TRIM(S$7)))*(GJ[Account Code]=(TRIM($D88))),GJ[Debit]))))-((SUM(IF((CkDJ[Ofc Code]=(TRIM(S$7)))*(CkDJ[Account Code]=(TRIM($D88))),CkDJ[Credit])))+(SUM(IF((CsDJ[Ofc Code]=(TRIM(S$7)))*(CsDJ[Account Code]=(TRIM($D88))),CsDJ[Credit])))+(SUM(IF((CRDJ[Ofc Code]=(TRIM(S$7)))*(CRDJ[Account Code]=(TRIM($D88))),CRDJ[Credit])))+(SUM(IF((GJ[Ofc Code]=(TRIM(S$7)))*(GJ[Account Code]=(TRIM($D88))),GJ[Credit]))))</f>
        <v>0</v>
      </c>
      <c r="T88" s="211">
        <f t="array" ref="T88">((SUM(IF((CkDJ[Ofc Code]=(TRIM(T$7)))*(CkDJ[Account Code]=(TRIM($D88))),CkDJ[Debit])))+(SUM(IF((CsDJ[Ofc Code]=(TRIM(T$7)))*(CsDJ[Account Code]=(TRIM($D88))),CsDJ[Debit])))+(SUM(IF((CRDJ[Ofc Code]=(TRIM(T$7)))*(CRDJ[Account Code]=(TRIM($D88))),CRDJ[Debit])))+(SUM(IF((GJ[Ofc Code]=(TRIM(T$7)))*(GJ[Account Code]=(TRIM($D88))),GJ[Debit]))))-((SUM(IF((CkDJ[Ofc Code]=(TRIM(T$7)))*(CkDJ[Account Code]=(TRIM($D88))),CkDJ[Credit])))+(SUM(IF((CsDJ[Ofc Code]=(TRIM(T$7)))*(CsDJ[Account Code]=(TRIM($D88))),CsDJ[Credit])))+(SUM(IF((CRDJ[Ofc Code]=(TRIM(T$7)))*(CRDJ[Account Code]=(TRIM($D88))),CRDJ[Credit])))+(SUM(IF((GJ[Ofc Code]=(TRIM(T$7)))*(GJ[Account Code]=(TRIM($D88))),GJ[Credit]))))</f>
        <v>0</v>
      </c>
      <c r="U88" s="211">
        <f t="shared" si="17"/>
        <v>0</v>
      </c>
      <c r="V88" s="211">
        <f t="shared" si="18"/>
        <v>0</v>
      </c>
    </row>
    <row r="89" spans="1:22" ht="15" x14ac:dyDescent="0.25">
      <c r="A89" s="212">
        <f t="shared" si="19"/>
        <v>27</v>
      </c>
      <c r="B89" s="214"/>
      <c r="C89" s="194" t="str">
        <f t="shared" si="14"/>
        <v>Repairs and Maintenance-Machinery and Equipment - Machinery</v>
      </c>
      <c r="D89" s="207">
        <v>826</v>
      </c>
      <c r="E89" s="211">
        <f t="array" ref="E89">((SUM(IF((CkDJ[Ofc Code]=(TRIM(E$7)))*(CkDJ[Account Code]=(TRIM($D89))),CkDJ[Debit])))+(SUM(IF((CsDJ[Ofc Code]=(TRIM(E$7)))*(CsDJ[Account Code]=(TRIM($D89))),CsDJ[Debit])))+(SUM(IF((CRDJ[Ofc Code]=(TRIM(E$7)))*(CRDJ[Account Code]=(TRIM($D89))),CRDJ[Debit])))+(SUM(IF((GJ[Ofc Code]=(TRIM(E$7)))*(GJ[Account Code]=(TRIM($D89))),GJ[Debit]))))-((SUM(IF((CkDJ[Ofc Code]=(TRIM(E$7)))*(CkDJ[Account Code]=(TRIM($D89))),CkDJ[Credit])))+(SUM(IF((CsDJ[Ofc Code]=(TRIM(E$7)))*(CsDJ[Account Code]=(TRIM($D89))),CsDJ[Credit])))+(SUM(IF((CRDJ[Ofc Code]=(TRIM(E$7)))*(CRDJ[Account Code]=(TRIM($D89))),CRDJ[Credit])))+(SUM(IF((GJ[Ofc Code]=(TRIM(E$7)))*(GJ[Account Code]=(TRIM($D89))),GJ[Credit]))))</f>
        <v>0</v>
      </c>
      <c r="F89" s="211">
        <f t="array" ref="F89">((SUM(IF((CkDJ[Ofc Code]=(TRIM(F$7)))*(CkDJ[Account Code]=(TRIM($D89))),CkDJ[Debit])))+(SUM(IF((CsDJ[Ofc Code]=(TRIM(F$7)))*(CsDJ[Account Code]=(TRIM($D89))),CsDJ[Debit])))+(SUM(IF((CRDJ[Ofc Code]=(TRIM(F$7)))*(CRDJ[Account Code]=(TRIM($D89))),CRDJ[Debit])))+(SUM(IF((GJ[Ofc Code]=(TRIM(F$7)))*(GJ[Account Code]=(TRIM($D89))),GJ[Debit]))))-((SUM(IF((CkDJ[Ofc Code]=(TRIM(F$7)))*(CkDJ[Account Code]=(TRIM($D89))),CkDJ[Credit])))+(SUM(IF((CsDJ[Ofc Code]=(TRIM(F$7)))*(CsDJ[Account Code]=(TRIM($D89))),CsDJ[Credit])))+(SUM(IF((CRDJ[Ofc Code]=(TRIM(F$7)))*(CRDJ[Account Code]=(TRIM($D89))),CRDJ[Credit])))+(SUM(IF((GJ[Ofc Code]=(TRIM(F$7)))*(GJ[Account Code]=(TRIM($D89))),GJ[Credit]))))</f>
        <v>0</v>
      </c>
      <c r="G89" s="211">
        <f t="array" ref="G89">((SUM(IF((CkDJ[Ofc Code]=(TRIM(G$7)))*(CkDJ[Account Code]=(TRIM($D89))),CkDJ[Debit])))+(SUM(IF((CsDJ[Ofc Code]=(TRIM(G$7)))*(CsDJ[Account Code]=(TRIM($D89))),CsDJ[Debit])))+(SUM(IF((CRDJ[Ofc Code]=(TRIM(G$7)))*(CRDJ[Account Code]=(TRIM($D89))),CRDJ[Debit])))+(SUM(IF((GJ[Ofc Code]=(TRIM(G$7)))*(GJ[Account Code]=(TRIM($D89))),GJ[Debit]))))-((SUM(IF((CkDJ[Ofc Code]=(TRIM(G$7)))*(CkDJ[Account Code]=(TRIM($D89))),CkDJ[Credit])))+(SUM(IF((CsDJ[Ofc Code]=(TRIM(G$7)))*(CsDJ[Account Code]=(TRIM($D89))),CsDJ[Credit])))+(SUM(IF((CRDJ[Ofc Code]=(TRIM(G$7)))*(CRDJ[Account Code]=(TRIM($D89))),CRDJ[Credit])))+(SUM(IF((GJ[Ofc Code]=(TRIM(G$7)))*(GJ[Account Code]=(TRIM($D89))),GJ[Credit]))))</f>
        <v>0</v>
      </c>
      <c r="H89" s="211">
        <f t="array" ref="H89">((SUM(IF((CkDJ[Ofc Code]=(TRIM(H$7)))*(CkDJ[Account Code]=(TRIM($D89))),CkDJ[Debit])))+(SUM(IF((CsDJ[Ofc Code]=(TRIM(H$7)))*(CsDJ[Account Code]=(TRIM($D89))),CsDJ[Debit])))+(SUM(IF((CRDJ[Ofc Code]=(TRIM(H$7)))*(CRDJ[Account Code]=(TRIM($D89))),CRDJ[Debit])))+(SUM(IF((GJ[Ofc Code]=(TRIM(H$7)))*(GJ[Account Code]=(TRIM($D89))),GJ[Debit]))))-((SUM(IF((CkDJ[Ofc Code]=(TRIM(H$7)))*(CkDJ[Account Code]=(TRIM($D89))),CkDJ[Credit])))+(SUM(IF((CsDJ[Ofc Code]=(TRIM(H$7)))*(CsDJ[Account Code]=(TRIM($D89))),CsDJ[Credit])))+(SUM(IF((CRDJ[Ofc Code]=(TRIM(H$7)))*(CRDJ[Account Code]=(TRIM($D89))),CRDJ[Credit])))+(SUM(IF((GJ[Ofc Code]=(TRIM(H$7)))*(GJ[Account Code]=(TRIM($D89))),GJ[Credit]))))</f>
        <v>0</v>
      </c>
      <c r="I89" s="211">
        <f t="array" ref="I89">((SUM(IF((CkDJ[Ofc Code]=(TRIM(I$7)))*(CkDJ[Account Code]=(TRIM($D89))),CkDJ[Debit])))+(SUM(IF((CsDJ[Ofc Code]=(TRIM(I$7)))*(CsDJ[Account Code]=(TRIM($D89))),CsDJ[Debit])))+(SUM(IF((CRDJ[Ofc Code]=(TRIM(I$7)))*(CRDJ[Account Code]=(TRIM($D89))),CRDJ[Debit])))+(SUM(IF((GJ[Ofc Code]=(TRIM(I$7)))*(GJ[Account Code]=(TRIM($D89))),GJ[Debit]))))-((SUM(IF((CkDJ[Ofc Code]=(TRIM(I$7)))*(CkDJ[Account Code]=(TRIM($D89))),CkDJ[Credit])))+(SUM(IF((CsDJ[Ofc Code]=(TRIM(I$7)))*(CsDJ[Account Code]=(TRIM($D89))),CsDJ[Credit])))+(SUM(IF((CRDJ[Ofc Code]=(TRIM(I$7)))*(CRDJ[Account Code]=(TRIM($D89))),CRDJ[Credit])))+(SUM(IF((GJ[Ofc Code]=(TRIM(I$7)))*(GJ[Account Code]=(TRIM($D89))),GJ[Credit]))))</f>
        <v>0</v>
      </c>
      <c r="J89" s="211">
        <f t="shared" si="15"/>
        <v>0</v>
      </c>
      <c r="K89" s="211">
        <f t="array" ref="K89">((SUM(IF((CkDJ[Ofc Code]=(TRIM(K$7)))*(CkDJ[Account Code]=(TRIM($D89))),CkDJ[Debit])))+(SUM(IF((CsDJ[Ofc Code]=(TRIM(K$7)))*(CsDJ[Account Code]=(TRIM($D89))),CsDJ[Debit])))+(SUM(IF((CRDJ[Ofc Code]=(TRIM(K$7)))*(CRDJ[Account Code]=(TRIM($D89))),CRDJ[Debit])))+(SUM(IF((GJ[Ofc Code]=(TRIM(K$7)))*(GJ[Account Code]=(TRIM($D89))),GJ[Debit]))))-((SUM(IF((CkDJ[Ofc Code]=(TRIM(K$7)))*(CkDJ[Account Code]=(TRIM($D89))),CkDJ[Credit])))+(SUM(IF((CsDJ[Ofc Code]=(TRIM(K$7)))*(CsDJ[Account Code]=(TRIM($D89))),CsDJ[Credit])))+(SUM(IF((CRDJ[Ofc Code]=(TRIM(K$7)))*(CRDJ[Account Code]=(TRIM($D89))),CRDJ[Credit])))+(SUM(IF((GJ[Ofc Code]=(TRIM(K$7)))*(GJ[Account Code]=(TRIM($D89))),GJ[Credit]))))</f>
        <v>0</v>
      </c>
      <c r="L89" s="211">
        <f t="array" ref="L89">((SUM(IF((CkDJ[Ofc Code]=(TRIM(L$7)))*(CkDJ[Account Code]=(TRIM($D89))),CkDJ[Debit])))+(SUM(IF((CsDJ[Ofc Code]=(TRIM(L$7)))*(CsDJ[Account Code]=(TRIM($D89))),CsDJ[Debit])))+(SUM(IF((CRDJ[Ofc Code]=(TRIM(L$7)))*(CRDJ[Account Code]=(TRIM($D89))),CRDJ[Debit])))+(SUM(IF((GJ[Ofc Code]=(TRIM(L$7)))*(GJ[Account Code]=(TRIM($D89))),GJ[Debit]))))-((SUM(IF((CkDJ[Ofc Code]=(TRIM(L$7)))*(CkDJ[Account Code]=(TRIM($D89))),CkDJ[Credit])))+(SUM(IF((CsDJ[Ofc Code]=(TRIM(L$7)))*(CsDJ[Account Code]=(TRIM($D89))),CsDJ[Credit])))+(SUM(IF((CRDJ[Ofc Code]=(TRIM(L$7)))*(CRDJ[Account Code]=(TRIM($D89))),CRDJ[Credit])))+(SUM(IF((GJ[Ofc Code]=(TRIM(L$7)))*(GJ[Account Code]=(TRIM($D89))),GJ[Credit]))))</f>
        <v>0</v>
      </c>
      <c r="M89" s="211">
        <f t="array" ref="M89">((SUM(IF((CkDJ[Ofc Code]=(TRIM(M$7)))*(CkDJ[Account Code]=(TRIM($D89))),CkDJ[Debit])))+(SUM(IF((CsDJ[Ofc Code]=(TRIM(M$7)))*(CsDJ[Account Code]=(TRIM($D89))),CsDJ[Debit])))+(SUM(IF((CRDJ[Ofc Code]=(TRIM(M$7)))*(CRDJ[Account Code]=(TRIM($D89))),CRDJ[Debit])))+(SUM(IF((GJ[Ofc Code]=(TRIM(M$7)))*(GJ[Account Code]=(TRIM($D89))),GJ[Debit]))))-((SUM(IF((CkDJ[Ofc Code]=(TRIM(M$7)))*(CkDJ[Account Code]=(TRIM($D89))),CkDJ[Credit])))+(SUM(IF((CsDJ[Ofc Code]=(TRIM(M$7)))*(CsDJ[Account Code]=(TRIM($D89))),CsDJ[Credit])))+(SUM(IF((CRDJ[Ofc Code]=(TRIM(M$7)))*(CRDJ[Account Code]=(TRIM($D89))),CRDJ[Credit])))+(SUM(IF((GJ[Ofc Code]=(TRIM(M$7)))*(GJ[Account Code]=(TRIM($D89))),GJ[Credit]))))</f>
        <v>0</v>
      </c>
      <c r="N89" s="211">
        <f t="array" ref="N89">((SUM(IF((CkDJ[Ofc Code]=(TRIM(N$7)))*(CkDJ[Account Code]=(TRIM($D89))),CkDJ[Debit])))+(SUM(IF((CsDJ[Ofc Code]=(TRIM(N$7)))*(CsDJ[Account Code]=(TRIM($D89))),CsDJ[Debit])))+(SUM(IF((CRDJ[Ofc Code]=(TRIM(N$7)))*(CRDJ[Account Code]=(TRIM($D89))),CRDJ[Debit])))+(SUM(IF((GJ[Ofc Code]=(TRIM(N$7)))*(GJ[Account Code]=(TRIM($D89))),GJ[Debit]))))-((SUM(IF((CkDJ[Ofc Code]=(TRIM(N$7)))*(CkDJ[Account Code]=(TRIM($D89))),CkDJ[Credit])))+(SUM(IF((CsDJ[Ofc Code]=(TRIM(N$7)))*(CsDJ[Account Code]=(TRIM($D89))),CsDJ[Credit])))+(SUM(IF((CRDJ[Ofc Code]=(TRIM(N$7)))*(CRDJ[Account Code]=(TRIM($D89))),CRDJ[Credit])))+(SUM(IF((GJ[Ofc Code]=(TRIM(N$7)))*(GJ[Account Code]=(TRIM($D89))),GJ[Credit]))))</f>
        <v>0</v>
      </c>
      <c r="O89" s="211">
        <f t="shared" si="16"/>
        <v>0</v>
      </c>
      <c r="P89" s="211">
        <f t="array" ref="P89">((SUM(IF((CkDJ[Ofc Code]=(TRIM(P$7)))*(CkDJ[Account Code]=(TRIM($D89))),CkDJ[Debit])))+(SUM(IF((CsDJ[Ofc Code]=(TRIM(P$7)))*(CsDJ[Account Code]=(TRIM($D89))),CsDJ[Debit])))+(SUM(IF((CRDJ[Ofc Code]=(TRIM(P$7)))*(CRDJ[Account Code]=(TRIM($D89))),CRDJ[Debit])))+(SUM(IF((GJ[Ofc Code]=(TRIM(P$7)))*(GJ[Account Code]=(TRIM($D89))),GJ[Debit]))))-((SUM(IF((CkDJ[Ofc Code]=(TRIM(P$7)))*(CkDJ[Account Code]=(TRIM($D89))),CkDJ[Credit])))+(SUM(IF((CsDJ[Ofc Code]=(TRIM(P$7)))*(CsDJ[Account Code]=(TRIM($D89))),CsDJ[Credit])))+(SUM(IF((CRDJ[Ofc Code]=(TRIM(P$7)))*(CRDJ[Account Code]=(TRIM($D89))),CRDJ[Credit])))+(SUM(IF((GJ[Ofc Code]=(TRIM(P$7)))*(GJ[Account Code]=(TRIM($D89))),GJ[Credit]))))</f>
        <v>0</v>
      </c>
      <c r="Q89" s="211">
        <f t="array" ref="Q89">((SUM(IF((CkDJ[Ofc Code]=(TRIM(Q$7)))*(CkDJ[Account Code]=(TRIM($D89))),CkDJ[Debit])))+(SUM(IF((CsDJ[Ofc Code]=(TRIM(Q$7)))*(CsDJ[Account Code]=(TRIM($D89))),CsDJ[Debit])))+(SUM(IF((CRDJ[Ofc Code]=(TRIM(Q$7)))*(CRDJ[Account Code]=(TRIM($D89))),CRDJ[Debit])))+(SUM(IF((GJ[Ofc Code]=(TRIM(Q$7)))*(GJ[Account Code]=(TRIM($D89))),GJ[Debit]))))-((SUM(IF((CkDJ[Ofc Code]=(TRIM(Q$7)))*(CkDJ[Account Code]=(TRIM($D89))),CkDJ[Credit])))+(SUM(IF((CsDJ[Ofc Code]=(TRIM(Q$7)))*(CsDJ[Account Code]=(TRIM($D89))),CsDJ[Credit])))+(SUM(IF((CRDJ[Ofc Code]=(TRIM(Q$7)))*(CRDJ[Account Code]=(TRIM($D89))),CRDJ[Credit])))+(SUM(IF((GJ[Ofc Code]=(TRIM(Q$7)))*(GJ[Account Code]=(TRIM($D89))),GJ[Credit]))))</f>
        <v>0</v>
      </c>
      <c r="R89" s="211">
        <f t="array" ref="R89">((SUM(IF((CkDJ[Ofc Code]=(TRIM(R$7)))*(CkDJ[Account Code]=(TRIM($D89))),CkDJ[Debit])))+(SUM(IF((CsDJ[Ofc Code]=(TRIM(R$7)))*(CsDJ[Account Code]=(TRIM($D89))),CsDJ[Debit])))+(SUM(IF((CRDJ[Ofc Code]=(TRIM(R$7)))*(CRDJ[Account Code]=(TRIM($D89))),CRDJ[Debit])))+(SUM(IF((GJ[Ofc Code]=(TRIM(R$7)))*(GJ[Account Code]=(TRIM($D89))),GJ[Debit]))))-((SUM(IF((CkDJ[Ofc Code]=(TRIM(R$7)))*(CkDJ[Account Code]=(TRIM($D89))),CkDJ[Credit])))+(SUM(IF((CsDJ[Ofc Code]=(TRIM(R$7)))*(CsDJ[Account Code]=(TRIM($D89))),CsDJ[Credit])))+(SUM(IF((CRDJ[Ofc Code]=(TRIM(R$7)))*(CRDJ[Account Code]=(TRIM($D89))),CRDJ[Credit])))+(SUM(IF((GJ[Ofc Code]=(TRIM(R$7)))*(GJ[Account Code]=(TRIM($D89))),GJ[Credit]))))</f>
        <v>0</v>
      </c>
      <c r="S89" s="211">
        <f t="array" ref="S89">((SUM(IF((CkDJ[Ofc Code]=(TRIM(S$7)))*(CkDJ[Account Code]=(TRIM($D89))),CkDJ[Debit])))+(SUM(IF((CsDJ[Ofc Code]=(TRIM(S$7)))*(CsDJ[Account Code]=(TRIM($D89))),CsDJ[Debit])))+(SUM(IF((CRDJ[Ofc Code]=(TRIM(S$7)))*(CRDJ[Account Code]=(TRIM($D89))),CRDJ[Debit])))+(SUM(IF((GJ[Ofc Code]=(TRIM(S$7)))*(GJ[Account Code]=(TRIM($D89))),GJ[Debit]))))-((SUM(IF((CkDJ[Ofc Code]=(TRIM(S$7)))*(CkDJ[Account Code]=(TRIM($D89))),CkDJ[Credit])))+(SUM(IF((CsDJ[Ofc Code]=(TRIM(S$7)))*(CsDJ[Account Code]=(TRIM($D89))),CsDJ[Credit])))+(SUM(IF((CRDJ[Ofc Code]=(TRIM(S$7)))*(CRDJ[Account Code]=(TRIM($D89))),CRDJ[Credit])))+(SUM(IF((GJ[Ofc Code]=(TRIM(S$7)))*(GJ[Account Code]=(TRIM($D89))),GJ[Credit]))))</f>
        <v>0</v>
      </c>
      <c r="T89" s="211">
        <f t="array" ref="T89">((SUM(IF((CkDJ[Ofc Code]=(TRIM(T$7)))*(CkDJ[Account Code]=(TRIM($D89))),CkDJ[Debit])))+(SUM(IF((CsDJ[Ofc Code]=(TRIM(T$7)))*(CsDJ[Account Code]=(TRIM($D89))),CsDJ[Debit])))+(SUM(IF((CRDJ[Ofc Code]=(TRIM(T$7)))*(CRDJ[Account Code]=(TRIM($D89))),CRDJ[Debit])))+(SUM(IF((GJ[Ofc Code]=(TRIM(T$7)))*(GJ[Account Code]=(TRIM($D89))),GJ[Debit]))))-((SUM(IF((CkDJ[Ofc Code]=(TRIM(T$7)))*(CkDJ[Account Code]=(TRIM($D89))),CkDJ[Credit])))+(SUM(IF((CsDJ[Ofc Code]=(TRIM(T$7)))*(CsDJ[Account Code]=(TRIM($D89))),CsDJ[Credit])))+(SUM(IF((CRDJ[Ofc Code]=(TRIM(T$7)))*(CRDJ[Account Code]=(TRIM($D89))),CRDJ[Credit])))+(SUM(IF((GJ[Ofc Code]=(TRIM(T$7)))*(GJ[Account Code]=(TRIM($D89))),GJ[Credit]))))</f>
        <v>0</v>
      </c>
      <c r="U89" s="211">
        <f t="shared" si="17"/>
        <v>0</v>
      </c>
      <c r="V89" s="211">
        <f t="shared" si="18"/>
        <v>0</v>
      </c>
    </row>
    <row r="90" spans="1:22" ht="15" x14ac:dyDescent="0.25">
      <c r="A90" s="212">
        <f t="shared" si="19"/>
        <v>28</v>
      </c>
      <c r="B90" s="214"/>
      <c r="C90" s="194" t="str">
        <f>IF(D90=0,"",(VLOOKUP((TRIM(D90)),Code,2,)))</f>
        <v>Repairs and Maintenance-Machinery and Equipment - Construction and Heavy Equipment</v>
      </c>
      <c r="D90" s="207" t="s">
        <v>258</v>
      </c>
      <c r="E90" s="211">
        <f t="array" ref="E90">((SUM(IF((CkDJ[Ofc Code]=(TRIM(E$7)))*(CkDJ[Account Code]=(TRIM($D90))),CkDJ[Debit])))+(SUM(IF((CsDJ[Ofc Code]=(TRIM(E$7)))*(CsDJ[Account Code]=(TRIM($D90))),CsDJ[Debit])))+(SUM(IF((CRDJ[Ofc Code]=(TRIM(E$7)))*(CRDJ[Account Code]=(TRIM($D90))),CRDJ[Debit])))+(SUM(IF((GJ[Ofc Code]=(TRIM(E$7)))*(GJ[Account Code]=(TRIM($D90))),GJ[Debit]))))-((SUM(IF((CkDJ[Ofc Code]=(TRIM(E$7)))*(CkDJ[Account Code]=(TRIM($D90))),CkDJ[Credit])))+(SUM(IF((CsDJ[Ofc Code]=(TRIM(E$7)))*(CsDJ[Account Code]=(TRIM($D90))),CsDJ[Credit])))+(SUM(IF((CRDJ[Ofc Code]=(TRIM(E$7)))*(CRDJ[Account Code]=(TRIM($D90))),CRDJ[Credit])))+(SUM(IF((GJ[Ofc Code]=(TRIM(E$7)))*(GJ[Account Code]=(TRIM($D90))),GJ[Credit]))))</f>
        <v>0</v>
      </c>
      <c r="F90" s="211">
        <f t="array" ref="F90">((SUM(IF((CkDJ[Ofc Code]=(TRIM(F$7)))*(CkDJ[Account Code]=(TRIM($D90))),CkDJ[Debit])))+(SUM(IF((CsDJ[Ofc Code]=(TRIM(F$7)))*(CsDJ[Account Code]=(TRIM($D90))),CsDJ[Debit])))+(SUM(IF((CRDJ[Ofc Code]=(TRIM(F$7)))*(CRDJ[Account Code]=(TRIM($D90))),CRDJ[Debit])))+(SUM(IF((GJ[Ofc Code]=(TRIM(F$7)))*(GJ[Account Code]=(TRIM($D90))),GJ[Debit]))))-((SUM(IF((CkDJ[Ofc Code]=(TRIM(F$7)))*(CkDJ[Account Code]=(TRIM($D90))),CkDJ[Credit])))+(SUM(IF((CsDJ[Ofc Code]=(TRIM(F$7)))*(CsDJ[Account Code]=(TRIM($D90))),CsDJ[Credit])))+(SUM(IF((CRDJ[Ofc Code]=(TRIM(F$7)))*(CRDJ[Account Code]=(TRIM($D90))),CRDJ[Credit])))+(SUM(IF((GJ[Ofc Code]=(TRIM(F$7)))*(GJ[Account Code]=(TRIM($D90))),GJ[Credit]))))</f>
        <v>0</v>
      </c>
      <c r="G90" s="211">
        <f t="array" ref="G90">((SUM(IF((CkDJ[Ofc Code]=(TRIM(G$7)))*(CkDJ[Account Code]=(TRIM($D90))),CkDJ[Debit])))+(SUM(IF((CsDJ[Ofc Code]=(TRIM(G$7)))*(CsDJ[Account Code]=(TRIM($D90))),CsDJ[Debit])))+(SUM(IF((CRDJ[Ofc Code]=(TRIM(G$7)))*(CRDJ[Account Code]=(TRIM($D90))),CRDJ[Debit])))+(SUM(IF((GJ[Ofc Code]=(TRIM(G$7)))*(GJ[Account Code]=(TRIM($D90))),GJ[Debit]))))-((SUM(IF((CkDJ[Ofc Code]=(TRIM(G$7)))*(CkDJ[Account Code]=(TRIM($D90))),CkDJ[Credit])))+(SUM(IF((CsDJ[Ofc Code]=(TRIM(G$7)))*(CsDJ[Account Code]=(TRIM($D90))),CsDJ[Credit])))+(SUM(IF((CRDJ[Ofc Code]=(TRIM(G$7)))*(CRDJ[Account Code]=(TRIM($D90))),CRDJ[Credit])))+(SUM(IF((GJ[Ofc Code]=(TRIM(G$7)))*(GJ[Account Code]=(TRIM($D90))),GJ[Credit]))))</f>
        <v>0</v>
      </c>
      <c r="H90" s="211">
        <f t="array" ref="H90">((SUM(IF((CkDJ[Ofc Code]=(TRIM(H$7)))*(CkDJ[Account Code]=(TRIM($D90))),CkDJ[Debit])))+(SUM(IF((CsDJ[Ofc Code]=(TRIM(H$7)))*(CsDJ[Account Code]=(TRIM($D90))),CsDJ[Debit])))+(SUM(IF((CRDJ[Ofc Code]=(TRIM(H$7)))*(CRDJ[Account Code]=(TRIM($D90))),CRDJ[Debit])))+(SUM(IF((GJ[Ofc Code]=(TRIM(H$7)))*(GJ[Account Code]=(TRIM($D90))),GJ[Debit]))))-((SUM(IF((CkDJ[Ofc Code]=(TRIM(H$7)))*(CkDJ[Account Code]=(TRIM($D90))),CkDJ[Credit])))+(SUM(IF((CsDJ[Ofc Code]=(TRIM(H$7)))*(CsDJ[Account Code]=(TRIM($D90))),CsDJ[Credit])))+(SUM(IF((CRDJ[Ofc Code]=(TRIM(H$7)))*(CRDJ[Account Code]=(TRIM($D90))),CRDJ[Credit])))+(SUM(IF((GJ[Ofc Code]=(TRIM(H$7)))*(GJ[Account Code]=(TRIM($D90))),GJ[Credit]))))</f>
        <v>0</v>
      </c>
      <c r="I90" s="211">
        <f t="array" ref="I90">((SUM(IF((CkDJ[Ofc Code]=(TRIM(I$7)))*(CkDJ[Account Code]=(TRIM($D90))),CkDJ[Debit])))+(SUM(IF((CsDJ[Ofc Code]=(TRIM(I$7)))*(CsDJ[Account Code]=(TRIM($D90))),CsDJ[Debit])))+(SUM(IF((CRDJ[Ofc Code]=(TRIM(I$7)))*(CRDJ[Account Code]=(TRIM($D90))),CRDJ[Debit])))+(SUM(IF((GJ[Ofc Code]=(TRIM(I$7)))*(GJ[Account Code]=(TRIM($D90))),GJ[Debit]))))-((SUM(IF((CkDJ[Ofc Code]=(TRIM(I$7)))*(CkDJ[Account Code]=(TRIM($D90))),CkDJ[Credit])))+(SUM(IF((CsDJ[Ofc Code]=(TRIM(I$7)))*(CsDJ[Account Code]=(TRIM($D90))),CsDJ[Credit])))+(SUM(IF((CRDJ[Ofc Code]=(TRIM(I$7)))*(CRDJ[Account Code]=(TRIM($D90))),CRDJ[Credit])))+(SUM(IF((GJ[Ofc Code]=(TRIM(I$7)))*(GJ[Account Code]=(TRIM($D90))),GJ[Credit]))))</f>
        <v>0</v>
      </c>
      <c r="J90" s="211">
        <f>SUM(F90:I90)</f>
        <v>0</v>
      </c>
      <c r="K90" s="211">
        <f t="array" ref="K90">((SUM(IF((CkDJ[Ofc Code]=(TRIM(K$7)))*(CkDJ[Account Code]=(TRIM($D90))),CkDJ[Debit])))+(SUM(IF((CsDJ[Ofc Code]=(TRIM(K$7)))*(CsDJ[Account Code]=(TRIM($D90))),CsDJ[Debit])))+(SUM(IF((CRDJ[Ofc Code]=(TRIM(K$7)))*(CRDJ[Account Code]=(TRIM($D90))),CRDJ[Debit])))+(SUM(IF((GJ[Ofc Code]=(TRIM(K$7)))*(GJ[Account Code]=(TRIM($D90))),GJ[Debit]))))-((SUM(IF((CkDJ[Ofc Code]=(TRIM(K$7)))*(CkDJ[Account Code]=(TRIM($D90))),CkDJ[Credit])))+(SUM(IF((CsDJ[Ofc Code]=(TRIM(K$7)))*(CsDJ[Account Code]=(TRIM($D90))),CsDJ[Credit])))+(SUM(IF((CRDJ[Ofc Code]=(TRIM(K$7)))*(CRDJ[Account Code]=(TRIM($D90))),CRDJ[Credit])))+(SUM(IF((GJ[Ofc Code]=(TRIM(K$7)))*(GJ[Account Code]=(TRIM($D90))),GJ[Credit]))))</f>
        <v>0</v>
      </c>
      <c r="L90" s="211">
        <f t="array" ref="L90">((SUM(IF((CkDJ[Ofc Code]=(TRIM(L$7)))*(CkDJ[Account Code]=(TRIM($D90))),CkDJ[Debit])))+(SUM(IF((CsDJ[Ofc Code]=(TRIM(L$7)))*(CsDJ[Account Code]=(TRIM($D90))),CsDJ[Debit])))+(SUM(IF((CRDJ[Ofc Code]=(TRIM(L$7)))*(CRDJ[Account Code]=(TRIM($D90))),CRDJ[Debit])))+(SUM(IF((GJ[Ofc Code]=(TRIM(L$7)))*(GJ[Account Code]=(TRIM($D90))),GJ[Debit]))))-((SUM(IF((CkDJ[Ofc Code]=(TRIM(L$7)))*(CkDJ[Account Code]=(TRIM($D90))),CkDJ[Credit])))+(SUM(IF((CsDJ[Ofc Code]=(TRIM(L$7)))*(CsDJ[Account Code]=(TRIM($D90))),CsDJ[Credit])))+(SUM(IF((CRDJ[Ofc Code]=(TRIM(L$7)))*(CRDJ[Account Code]=(TRIM($D90))),CRDJ[Credit])))+(SUM(IF((GJ[Ofc Code]=(TRIM(L$7)))*(GJ[Account Code]=(TRIM($D90))),GJ[Credit]))))</f>
        <v>0</v>
      </c>
      <c r="M90" s="211">
        <f t="array" ref="M90">((SUM(IF((CkDJ[Ofc Code]=(TRIM(M$7)))*(CkDJ[Account Code]=(TRIM($D90))),CkDJ[Debit])))+(SUM(IF((CsDJ[Ofc Code]=(TRIM(M$7)))*(CsDJ[Account Code]=(TRIM($D90))),CsDJ[Debit])))+(SUM(IF((CRDJ[Ofc Code]=(TRIM(M$7)))*(CRDJ[Account Code]=(TRIM($D90))),CRDJ[Debit])))+(SUM(IF((GJ[Ofc Code]=(TRIM(M$7)))*(GJ[Account Code]=(TRIM($D90))),GJ[Debit]))))-((SUM(IF((CkDJ[Ofc Code]=(TRIM(M$7)))*(CkDJ[Account Code]=(TRIM($D90))),CkDJ[Credit])))+(SUM(IF((CsDJ[Ofc Code]=(TRIM(M$7)))*(CsDJ[Account Code]=(TRIM($D90))),CsDJ[Credit])))+(SUM(IF((CRDJ[Ofc Code]=(TRIM(M$7)))*(CRDJ[Account Code]=(TRIM($D90))),CRDJ[Credit])))+(SUM(IF((GJ[Ofc Code]=(TRIM(M$7)))*(GJ[Account Code]=(TRIM($D90))),GJ[Credit]))))</f>
        <v>0</v>
      </c>
      <c r="N90" s="211">
        <f t="array" ref="N90">((SUM(IF((CkDJ[Ofc Code]=(TRIM(N$7)))*(CkDJ[Account Code]=(TRIM($D90))),CkDJ[Debit])))+(SUM(IF((CsDJ[Ofc Code]=(TRIM(N$7)))*(CsDJ[Account Code]=(TRIM($D90))),CsDJ[Debit])))+(SUM(IF((CRDJ[Ofc Code]=(TRIM(N$7)))*(CRDJ[Account Code]=(TRIM($D90))),CRDJ[Debit])))+(SUM(IF((GJ[Ofc Code]=(TRIM(N$7)))*(GJ[Account Code]=(TRIM($D90))),GJ[Debit]))))-((SUM(IF((CkDJ[Ofc Code]=(TRIM(N$7)))*(CkDJ[Account Code]=(TRIM($D90))),CkDJ[Credit])))+(SUM(IF((CsDJ[Ofc Code]=(TRIM(N$7)))*(CsDJ[Account Code]=(TRIM($D90))),CsDJ[Credit])))+(SUM(IF((CRDJ[Ofc Code]=(TRIM(N$7)))*(CRDJ[Account Code]=(TRIM($D90))),CRDJ[Credit])))+(SUM(IF((GJ[Ofc Code]=(TRIM(N$7)))*(GJ[Account Code]=(TRIM($D90))),GJ[Credit]))))</f>
        <v>0</v>
      </c>
      <c r="O90" s="211">
        <f>SUM(K90:N90)</f>
        <v>0</v>
      </c>
      <c r="P90" s="211">
        <f t="array" ref="P90">((SUM(IF((CkDJ[Ofc Code]=(TRIM(P$7)))*(CkDJ[Account Code]=(TRIM($D90))),CkDJ[Debit])))+(SUM(IF((CsDJ[Ofc Code]=(TRIM(P$7)))*(CsDJ[Account Code]=(TRIM($D90))),CsDJ[Debit])))+(SUM(IF((CRDJ[Ofc Code]=(TRIM(P$7)))*(CRDJ[Account Code]=(TRIM($D90))),CRDJ[Debit])))+(SUM(IF((GJ[Ofc Code]=(TRIM(P$7)))*(GJ[Account Code]=(TRIM($D90))),GJ[Debit]))))-((SUM(IF((CkDJ[Ofc Code]=(TRIM(P$7)))*(CkDJ[Account Code]=(TRIM($D90))),CkDJ[Credit])))+(SUM(IF((CsDJ[Ofc Code]=(TRIM(P$7)))*(CsDJ[Account Code]=(TRIM($D90))),CsDJ[Credit])))+(SUM(IF((CRDJ[Ofc Code]=(TRIM(P$7)))*(CRDJ[Account Code]=(TRIM($D90))),CRDJ[Credit])))+(SUM(IF((GJ[Ofc Code]=(TRIM(P$7)))*(GJ[Account Code]=(TRIM($D90))),GJ[Credit]))))</f>
        <v>0</v>
      </c>
      <c r="Q90" s="211">
        <f t="array" ref="Q90">((SUM(IF((CkDJ[Ofc Code]=(TRIM(Q$7)))*(CkDJ[Account Code]=(TRIM($D90))),CkDJ[Debit])))+(SUM(IF((CsDJ[Ofc Code]=(TRIM(Q$7)))*(CsDJ[Account Code]=(TRIM($D90))),CsDJ[Debit])))+(SUM(IF((CRDJ[Ofc Code]=(TRIM(Q$7)))*(CRDJ[Account Code]=(TRIM($D90))),CRDJ[Debit])))+(SUM(IF((GJ[Ofc Code]=(TRIM(Q$7)))*(GJ[Account Code]=(TRIM($D90))),GJ[Debit]))))-((SUM(IF((CkDJ[Ofc Code]=(TRIM(Q$7)))*(CkDJ[Account Code]=(TRIM($D90))),CkDJ[Credit])))+(SUM(IF((CsDJ[Ofc Code]=(TRIM(Q$7)))*(CsDJ[Account Code]=(TRIM($D90))),CsDJ[Credit])))+(SUM(IF((CRDJ[Ofc Code]=(TRIM(Q$7)))*(CRDJ[Account Code]=(TRIM($D90))),CRDJ[Credit])))+(SUM(IF((GJ[Ofc Code]=(TRIM(Q$7)))*(GJ[Account Code]=(TRIM($D90))),GJ[Credit]))))</f>
        <v>0</v>
      </c>
      <c r="R90" s="211">
        <f t="array" ref="R90">((SUM(IF((CkDJ[Ofc Code]=(TRIM(R$7)))*(CkDJ[Account Code]=(TRIM($D90))),CkDJ[Debit])))+(SUM(IF((CsDJ[Ofc Code]=(TRIM(R$7)))*(CsDJ[Account Code]=(TRIM($D90))),CsDJ[Debit])))+(SUM(IF((CRDJ[Ofc Code]=(TRIM(R$7)))*(CRDJ[Account Code]=(TRIM($D90))),CRDJ[Debit])))+(SUM(IF((GJ[Ofc Code]=(TRIM(R$7)))*(GJ[Account Code]=(TRIM($D90))),GJ[Debit]))))-((SUM(IF((CkDJ[Ofc Code]=(TRIM(R$7)))*(CkDJ[Account Code]=(TRIM($D90))),CkDJ[Credit])))+(SUM(IF((CsDJ[Ofc Code]=(TRIM(R$7)))*(CsDJ[Account Code]=(TRIM($D90))),CsDJ[Credit])))+(SUM(IF((CRDJ[Ofc Code]=(TRIM(R$7)))*(CRDJ[Account Code]=(TRIM($D90))),CRDJ[Credit])))+(SUM(IF((GJ[Ofc Code]=(TRIM(R$7)))*(GJ[Account Code]=(TRIM($D90))),GJ[Credit]))))</f>
        <v>0</v>
      </c>
      <c r="S90" s="211">
        <f t="array" ref="S90">((SUM(IF((CkDJ[Ofc Code]=(TRIM(S$7)))*(CkDJ[Account Code]=(TRIM($D90))),CkDJ[Debit])))+(SUM(IF((CsDJ[Ofc Code]=(TRIM(S$7)))*(CsDJ[Account Code]=(TRIM($D90))),CsDJ[Debit])))+(SUM(IF((CRDJ[Ofc Code]=(TRIM(S$7)))*(CRDJ[Account Code]=(TRIM($D90))),CRDJ[Debit])))+(SUM(IF((GJ[Ofc Code]=(TRIM(S$7)))*(GJ[Account Code]=(TRIM($D90))),GJ[Debit]))))-((SUM(IF((CkDJ[Ofc Code]=(TRIM(S$7)))*(CkDJ[Account Code]=(TRIM($D90))),CkDJ[Credit])))+(SUM(IF((CsDJ[Ofc Code]=(TRIM(S$7)))*(CsDJ[Account Code]=(TRIM($D90))),CsDJ[Credit])))+(SUM(IF((CRDJ[Ofc Code]=(TRIM(S$7)))*(CRDJ[Account Code]=(TRIM($D90))),CRDJ[Credit])))+(SUM(IF((GJ[Ofc Code]=(TRIM(S$7)))*(GJ[Account Code]=(TRIM($D90))),GJ[Credit]))))</f>
        <v>0</v>
      </c>
      <c r="T90" s="211">
        <f t="array" ref="T90">((SUM(IF((CkDJ[Ofc Code]=(TRIM(T$7)))*(CkDJ[Account Code]=(TRIM($D90))),CkDJ[Debit])))+(SUM(IF((CsDJ[Ofc Code]=(TRIM(T$7)))*(CsDJ[Account Code]=(TRIM($D90))),CsDJ[Debit])))+(SUM(IF((CRDJ[Ofc Code]=(TRIM(T$7)))*(CRDJ[Account Code]=(TRIM($D90))),CRDJ[Debit])))+(SUM(IF((GJ[Ofc Code]=(TRIM(T$7)))*(GJ[Account Code]=(TRIM($D90))),GJ[Debit]))))-((SUM(IF((CkDJ[Ofc Code]=(TRIM(T$7)))*(CkDJ[Account Code]=(TRIM($D90))),CkDJ[Credit])))+(SUM(IF((CsDJ[Ofc Code]=(TRIM(T$7)))*(CsDJ[Account Code]=(TRIM($D90))),CsDJ[Credit])))+(SUM(IF((CRDJ[Ofc Code]=(TRIM(T$7)))*(CRDJ[Account Code]=(TRIM($D90))),CRDJ[Credit])))+(SUM(IF((GJ[Ofc Code]=(TRIM(T$7)))*(GJ[Account Code]=(TRIM($D90))),GJ[Credit]))))</f>
        <v>0</v>
      </c>
      <c r="U90" s="211">
        <f>SUM(P90:T90)</f>
        <v>0</v>
      </c>
      <c r="V90" s="211">
        <f>E90+J90+O90+U90</f>
        <v>0</v>
      </c>
    </row>
    <row r="91" spans="1:22" ht="15" x14ac:dyDescent="0.25">
      <c r="A91" s="212">
        <f t="shared" si="19"/>
        <v>29</v>
      </c>
      <c r="B91" s="214"/>
      <c r="C91" s="194" t="str">
        <f t="shared" si="14"/>
        <v>Repairs and Maintenance-Machinery and Equipment - Other Machinery and Equipment</v>
      </c>
      <c r="D91" s="207">
        <v>840</v>
      </c>
      <c r="E91" s="211">
        <f t="array" ref="E91">((SUM(IF((CkDJ[Ofc Code]=(TRIM(E$7)))*(CkDJ[Account Code]=(TRIM($D91))),CkDJ[Debit])))+(SUM(IF((CsDJ[Ofc Code]=(TRIM(E$7)))*(CsDJ[Account Code]=(TRIM($D91))),CsDJ[Debit])))+(SUM(IF((CRDJ[Ofc Code]=(TRIM(E$7)))*(CRDJ[Account Code]=(TRIM($D91))),CRDJ[Debit])))+(SUM(IF((GJ[Ofc Code]=(TRIM(E$7)))*(GJ[Account Code]=(TRIM($D91))),GJ[Debit]))))-((SUM(IF((CkDJ[Ofc Code]=(TRIM(E$7)))*(CkDJ[Account Code]=(TRIM($D91))),CkDJ[Credit])))+(SUM(IF((CsDJ[Ofc Code]=(TRIM(E$7)))*(CsDJ[Account Code]=(TRIM($D91))),CsDJ[Credit])))+(SUM(IF((CRDJ[Ofc Code]=(TRIM(E$7)))*(CRDJ[Account Code]=(TRIM($D91))),CRDJ[Credit])))+(SUM(IF((GJ[Ofc Code]=(TRIM(E$7)))*(GJ[Account Code]=(TRIM($D91))),GJ[Credit]))))</f>
        <v>0</v>
      </c>
      <c r="F91" s="211">
        <f t="array" ref="F91">((SUM(IF((CkDJ[Ofc Code]=(TRIM(F$7)))*(CkDJ[Account Code]=(TRIM($D91))),CkDJ[Debit])))+(SUM(IF((CsDJ[Ofc Code]=(TRIM(F$7)))*(CsDJ[Account Code]=(TRIM($D91))),CsDJ[Debit])))+(SUM(IF((CRDJ[Ofc Code]=(TRIM(F$7)))*(CRDJ[Account Code]=(TRIM($D91))),CRDJ[Debit])))+(SUM(IF((GJ[Ofc Code]=(TRIM(F$7)))*(GJ[Account Code]=(TRIM($D91))),GJ[Debit]))))-((SUM(IF((CkDJ[Ofc Code]=(TRIM(F$7)))*(CkDJ[Account Code]=(TRIM($D91))),CkDJ[Credit])))+(SUM(IF((CsDJ[Ofc Code]=(TRIM(F$7)))*(CsDJ[Account Code]=(TRIM($D91))),CsDJ[Credit])))+(SUM(IF((CRDJ[Ofc Code]=(TRIM(F$7)))*(CRDJ[Account Code]=(TRIM($D91))),CRDJ[Credit])))+(SUM(IF((GJ[Ofc Code]=(TRIM(F$7)))*(GJ[Account Code]=(TRIM($D91))),GJ[Credit]))))</f>
        <v>0</v>
      </c>
      <c r="G91" s="211">
        <f t="array" ref="G91">((SUM(IF((CkDJ[Ofc Code]=(TRIM(G$7)))*(CkDJ[Account Code]=(TRIM($D91))),CkDJ[Debit])))+(SUM(IF((CsDJ[Ofc Code]=(TRIM(G$7)))*(CsDJ[Account Code]=(TRIM($D91))),CsDJ[Debit])))+(SUM(IF((CRDJ[Ofc Code]=(TRIM(G$7)))*(CRDJ[Account Code]=(TRIM($D91))),CRDJ[Debit])))+(SUM(IF((GJ[Ofc Code]=(TRIM(G$7)))*(GJ[Account Code]=(TRIM($D91))),GJ[Debit]))))-((SUM(IF((CkDJ[Ofc Code]=(TRIM(G$7)))*(CkDJ[Account Code]=(TRIM($D91))),CkDJ[Credit])))+(SUM(IF((CsDJ[Ofc Code]=(TRIM(G$7)))*(CsDJ[Account Code]=(TRIM($D91))),CsDJ[Credit])))+(SUM(IF((CRDJ[Ofc Code]=(TRIM(G$7)))*(CRDJ[Account Code]=(TRIM($D91))),CRDJ[Credit])))+(SUM(IF((GJ[Ofc Code]=(TRIM(G$7)))*(GJ[Account Code]=(TRIM($D91))),GJ[Credit]))))</f>
        <v>0</v>
      </c>
      <c r="H91" s="211">
        <f t="array" ref="H91">((SUM(IF((CkDJ[Ofc Code]=(TRIM(H$7)))*(CkDJ[Account Code]=(TRIM($D91))),CkDJ[Debit])))+(SUM(IF((CsDJ[Ofc Code]=(TRIM(H$7)))*(CsDJ[Account Code]=(TRIM($D91))),CsDJ[Debit])))+(SUM(IF((CRDJ[Ofc Code]=(TRIM(H$7)))*(CRDJ[Account Code]=(TRIM($D91))),CRDJ[Debit])))+(SUM(IF((GJ[Ofc Code]=(TRIM(H$7)))*(GJ[Account Code]=(TRIM($D91))),GJ[Debit]))))-((SUM(IF((CkDJ[Ofc Code]=(TRIM(H$7)))*(CkDJ[Account Code]=(TRIM($D91))),CkDJ[Credit])))+(SUM(IF((CsDJ[Ofc Code]=(TRIM(H$7)))*(CsDJ[Account Code]=(TRIM($D91))),CsDJ[Credit])))+(SUM(IF((CRDJ[Ofc Code]=(TRIM(H$7)))*(CRDJ[Account Code]=(TRIM($D91))),CRDJ[Credit])))+(SUM(IF((GJ[Ofc Code]=(TRIM(H$7)))*(GJ[Account Code]=(TRIM($D91))),GJ[Credit]))))</f>
        <v>0</v>
      </c>
      <c r="I91" s="211">
        <f t="array" ref="I91">((SUM(IF((CkDJ[Ofc Code]=(TRIM(I$7)))*(CkDJ[Account Code]=(TRIM($D91))),CkDJ[Debit])))+(SUM(IF((CsDJ[Ofc Code]=(TRIM(I$7)))*(CsDJ[Account Code]=(TRIM($D91))),CsDJ[Debit])))+(SUM(IF((CRDJ[Ofc Code]=(TRIM(I$7)))*(CRDJ[Account Code]=(TRIM($D91))),CRDJ[Debit])))+(SUM(IF((GJ[Ofc Code]=(TRIM(I$7)))*(GJ[Account Code]=(TRIM($D91))),GJ[Debit]))))-((SUM(IF((CkDJ[Ofc Code]=(TRIM(I$7)))*(CkDJ[Account Code]=(TRIM($D91))),CkDJ[Credit])))+(SUM(IF((CsDJ[Ofc Code]=(TRIM(I$7)))*(CsDJ[Account Code]=(TRIM($D91))),CsDJ[Credit])))+(SUM(IF((CRDJ[Ofc Code]=(TRIM(I$7)))*(CRDJ[Account Code]=(TRIM($D91))),CRDJ[Credit])))+(SUM(IF((GJ[Ofc Code]=(TRIM(I$7)))*(GJ[Account Code]=(TRIM($D91))),GJ[Credit]))))</f>
        <v>0</v>
      </c>
      <c r="J91" s="211">
        <f t="shared" si="15"/>
        <v>0</v>
      </c>
      <c r="K91" s="211">
        <f t="array" ref="K91">((SUM(IF((CkDJ[Ofc Code]=(TRIM(K$7)))*(CkDJ[Account Code]=(TRIM($D91))),CkDJ[Debit])))+(SUM(IF((CsDJ[Ofc Code]=(TRIM(K$7)))*(CsDJ[Account Code]=(TRIM($D91))),CsDJ[Debit])))+(SUM(IF((CRDJ[Ofc Code]=(TRIM(K$7)))*(CRDJ[Account Code]=(TRIM($D91))),CRDJ[Debit])))+(SUM(IF((GJ[Ofc Code]=(TRIM(K$7)))*(GJ[Account Code]=(TRIM($D91))),GJ[Debit]))))-((SUM(IF((CkDJ[Ofc Code]=(TRIM(K$7)))*(CkDJ[Account Code]=(TRIM($D91))),CkDJ[Credit])))+(SUM(IF((CsDJ[Ofc Code]=(TRIM(K$7)))*(CsDJ[Account Code]=(TRIM($D91))),CsDJ[Credit])))+(SUM(IF((CRDJ[Ofc Code]=(TRIM(K$7)))*(CRDJ[Account Code]=(TRIM($D91))),CRDJ[Credit])))+(SUM(IF((GJ[Ofc Code]=(TRIM(K$7)))*(GJ[Account Code]=(TRIM($D91))),GJ[Credit]))))</f>
        <v>0</v>
      </c>
      <c r="L91" s="211">
        <f t="array" ref="L91">((SUM(IF((CkDJ[Ofc Code]=(TRIM(L$7)))*(CkDJ[Account Code]=(TRIM($D91))),CkDJ[Debit])))+(SUM(IF((CsDJ[Ofc Code]=(TRIM(L$7)))*(CsDJ[Account Code]=(TRIM($D91))),CsDJ[Debit])))+(SUM(IF((CRDJ[Ofc Code]=(TRIM(L$7)))*(CRDJ[Account Code]=(TRIM($D91))),CRDJ[Debit])))+(SUM(IF((GJ[Ofc Code]=(TRIM(L$7)))*(GJ[Account Code]=(TRIM($D91))),GJ[Debit]))))-((SUM(IF((CkDJ[Ofc Code]=(TRIM(L$7)))*(CkDJ[Account Code]=(TRIM($D91))),CkDJ[Credit])))+(SUM(IF((CsDJ[Ofc Code]=(TRIM(L$7)))*(CsDJ[Account Code]=(TRIM($D91))),CsDJ[Credit])))+(SUM(IF((CRDJ[Ofc Code]=(TRIM(L$7)))*(CRDJ[Account Code]=(TRIM($D91))),CRDJ[Credit])))+(SUM(IF((GJ[Ofc Code]=(TRIM(L$7)))*(GJ[Account Code]=(TRIM($D91))),GJ[Credit]))))</f>
        <v>0</v>
      </c>
      <c r="M91" s="211">
        <f t="array" ref="M91">((SUM(IF((CkDJ[Ofc Code]=(TRIM(M$7)))*(CkDJ[Account Code]=(TRIM($D91))),CkDJ[Debit])))+(SUM(IF((CsDJ[Ofc Code]=(TRIM(M$7)))*(CsDJ[Account Code]=(TRIM($D91))),CsDJ[Debit])))+(SUM(IF((CRDJ[Ofc Code]=(TRIM(M$7)))*(CRDJ[Account Code]=(TRIM($D91))),CRDJ[Debit])))+(SUM(IF((GJ[Ofc Code]=(TRIM(M$7)))*(GJ[Account Code]=(TRIM($D91))),GJ[Debit]))))-((SUM(IF((CkDJ[Ofc Code]=(TRIM(M$7)))*(CkDJ[Account Code]=(TRIM($D91))),CkDJ[Credit])))+(SUM(IF((CsDJ[Ofc Code]=(TRIM(M$7)))*(CsDJ[Account Code]=(TRIM($D91))),CsDJ[Credit])))+(SUM(IF((CRDJ[Ofc Code]=(TRIM(M$7)))*(CRDJ[Account Code]=(TRIM($D91))),CRDJ[Credit])))+(SUM(IF((GJ[Ofc Code]=(TRIM(M$7)))*(GJ[Account Code]=(TRIM($D91))),GJ[Credit]))))</f>
        <v>0</v>
      </c>
      <c r="N91" s="211">
        <f t="array" ref="N91">((SUM(IF((CkDJ[Ofc Code]=(TRIM(N$7)))*(CkDJ[Account Code]=(TRIM($D91))),CkDJ[Debit])))+(SUM(IF((CsDJ[Ofc Code]=(TRIM(N$7)))*(CsDJ[Account Code]=(TRIM($D91))),CsDJ[Debit])))+(SUM(IF((CRDJ[Ofc Code]=(TRIM(N$7)))*(CRDJ[Account Code]=(TRIM($D91))),CRDJ[Debit])))+(SUM(IF((GJ[Ofc Code]=(TRIM(N$7)))*(GJ[Account Code]=(TRIM($D91))),GJ[Debit]))))-((SUM(IF((CkDJ[Ofc Code]=(TRIM(N$7)))*(CkDJ[Account Code]=(TRIM($D91))),CkDJ[Credit])))+(SUM(IF((CsDJ[Ofc Code]=(TRIM(N$7)))*(CsDJ[Account Code]=(TRIM($D91))),CsDJ[Credit])))+(SUM(IF((CRDJ[Ofc Code]=(TRIM(N$7)))*(CRDJ[Account Code]=(TRIM($D91))),CRDJ[Credit])))+(SUM(IF((GJ[Ofc Code]=(TRIM(N$7)))*(GJ[Account Code]=(TRIM($D91))),GJ[Credit]))))</f>
        <v>0</v>
      </c>
      <c r="O91" s="211">
        <f t="shared" si="16"/>
        <v>0</v>
      </c>
      <c r="P91" s="211">
        <f t="array" ref="P91">((SUM(IF((CkDJ[Ofc Code]=(TRIM(P$7)))*(CkDJ[Account Code]=(TRIM($D91))),CkDJ[Debit])))+(SUM(IF((CsDJ[Ofc Code]=(TRIM(P$7)))*(CsDJ[Account Code]=(TRIM($D91))),CsDJ[Debit])))+(SUM(IF((CRDJ[Ofc Code]=(TRIM(P$7)))*(CRDJ[Account Code]=(TRIM($D91))),CRDJ[Debit])))+(SUM(IF((GJ[Ofc Code]=(TRIM(P$7)))*(GJ[Account Code]=(TRIM($D91))),GJ[Debit]))))-((SUM(IF((CkDJ[Ofc Code]=(TRIM(P$7)))*(CkDJ[Account Code]=(TRIM($D91))),CkDJ[Credit])))+(SUM(IF((CsDJ[Ofc Code]=(TRIM(P$7)))*(CsDJ[Account Code]=(TRIM($D91))),CsDJ[Credit])))+(SUM(IF((CRDJ[Ofc Code]=(TRIM(P$7)))*(CRDJ[Account Code]=(TRIM($D91))),CRDJ[Credit])))+(SUM(IF((GJ[Ofc Code]=(TRIM(P$7)))*(GJ[Account Code]=(TRIM($D91))),GJ[Credit]))))</f>
        <v>0</v>
      </c>
      <c r="Q91" s="211">
        <f t="array" ref="Q91">((SUM(IF((CkDJ[Ofc Code]=(TRIM(Q$7)))*(CkDJ[Account Code]=(TRIM($D91))),CkDJ[Debit])))+(SUM(IF((CsDJ[Ofc Code]=(TRIM(Q$7)))*(CsDJ[Account Code]=(TRIM($D91))),CsDJ[Debit])))+(SUM(IF((CRDJ[Ofc Code]=(TRIM(Q$7)))*(CRDJ[Account Code]=(TRIM($D91))),CRDJ[Debit])))+(SUM(IF((GJ[Ofc Code]=(TRIM(Q$7)))*(GJ[Account Code]=(TRIM($D91))),GJ[Debit]))))-((SUM(IF((CkDJ[Ofc Code]=(TRIM(Q$7)))*(CkDJ[Account Code]=(TRIM($D91))),CkDJ[Credit])))+(SUM(IF((CsDJ[Ofc Code]=(TRIM(Q$7)))*(CsDJ[Account Code]=(TRIM($D91))),CsDJ[Credit])))+(SUM(IF((CRDJ[Ofc Code]=(TRIM(Q$7)))*(CRDJ[Account Code]=(TRIM($D91))),CRDJ[Credit])))+(SUM(IF((GJ[Ofc Code]=(TRIM(Q$7)))*(GJ[Account Code]=(TRIM($D91))),GJ[Credit]))))</f>
        <v>0</v>
      </c>
      <c r="R91" s="211">
        <f t="array" ref="R91">((SUM(IF((CkDJ[Ofc Code]=(TRIM(R$7)))*(CkDJ[Account Code]=(TRIM($D91))),CkDJ[Debit])))+(SUM(IF((CsDJ[Ofc Code]=(TRIM(R$7)))*(CsDJ[Account Code]=(TRIM($D91))),CsDJ[Debit])))+(SUM(IF((CRDJ[Ofc Code]=(TRIM(R$7)))*(CRDJ[Account Code]=(TRIM($D91))),CRDJ[Debit])))+(SUM(IF((GJ[Ofc Code]=(TRIM(R$7)))*(GJ[Account Code]=(TRIM($D91))),GJ[Debit]))))-((SUM(IF((CkDJ[Ofc Code]=(TRIM(R$7)))*(CkDJ[Account Code]=(TRIM($D91))),CkDJ[Credit])))+(SUM(IF((CsDJ[Ofc Code]=(TRIM(R$7)))*(CsDJ[Account Code]=(TRIM($D91))),CsDJ[Credit])))+(SUM(IF((CRDJ[Ofc Code]=(TRIM(R$7)))*(CRDJ[Account Code]=(TRIM($D91))),CRDJ[Credit])))+(SUM(IF((GJ[Ofc Code]=(TRIM(R$7)))*(GJ[Account Code]=(TRIM($D91))),GJ[Credit]))))</f>
        <v>0</v>
      </c>
      <c r="S91" s="211">
        <f t="array" ref="S91">((SUM(IF((CkDJ[Ofc Code]=(TRIM(S$7)))*(CkDJ[Account Code]=(TRIM($D91))),CkDJ[Debit])))+(SUM(IF((CsDJ[Ofc Code]=(TRIM(S$7)))*(CsDJ[Account Code]=(TRIM($D91))),CsDJ[Debit])))+(SUM(IF((CRDJ[Ofc Code]=(TRIM(S$7)))*(CRDJ[Account Code]=(TRIM($D91))),CRDJ[Debit])))+(SUM(IF((GJ[Ofc Code]=(TRIM(S$7)))*(GJ[Account Code]=(TRIM($D91))),GJ[Debit]))))-((SUM(IF((CkDJ[Ofc Code]=(TRIM(S$7)))*(CkDJ[Account Code]=(TRIM($D91))),CkDJ[Credit])))+(SUM(IF((CsDJ[Ofc Code]=(TRIM(S$7)))*(CsDJ[Account Code]=(TRIM($D91))),CsDJ[Credit])))+(SUM(IF((CRDJ[Ofc Code]=(TRIM(S$7)))*(CRDJ[Account Code]=(TRIM($D91))),CRDJ[Credit])))+(SUM(IF((GJ[Ofc Code]=(TRIM(S$7)))*(GJ[Account Code]=(TRIM($D91))),GJ[Credit]))))</f>
        <v>0</v>
      </c>
      <c r="T91" s="211">
        <f t="array" ref="T91">((SUM(IF((CkDJ[Ofc Code]=(TRIM(T$7)))*(CkDJ[Account Code]=(TRIM($D91))),CkDJ[Debit])))+(SUM(IF((CsDJ[Ofc Code]=(TRIM(T$7)))*(CsDJ[Account Code]=(TRIM($D91))),CsDJ[Debit])))+(SUM(IF((CRDJ[Ofc Code]=(TRIM(T$7)))*(CRDJ[Account Code]=(TRIM($D91))),CRDJ[Debit])))+(SUM(IF((GJ[Ofc Code]=(TRIM(T$7)))*(GJ[Account Code]=(TRIM($D91))),GJ[Debit]))))-((SUM(IF((CkDJ[Ofc Code]=(TRIM(T$7)))*(CkDJ[Account Code]=(TRIM($D91))),CkDJ[Credit])))+(SUM(IF((CsDJ[Ofc Code]=(TRIM(T$7)))*(CsDJ[Account Code]=(TRIM($D91))),CsDJ[Credit])))+(SUM(IF((CRDJ[Ofc Code]=(TRIM(T$7)))*(CRDJ[Account Code]=(TRIM($D91))),CRDJ[Credit])))+(SUM(IF((GJ[Ofc Code]=(TRIM(T$7)))*(GJ[Account Code]=(TRIM($D91))),GJ[Credit]))))</f>
        <v>0</v>
      </c>
      <c r="U91" s="211">
        <f t="shared" si="17"/>
        <v>0</v>
      </c>
      <c r="V91" s="211">
        <f t="shared" si="18"/>
        <v>0</v>
      </c>
    </row>
    <row r="92" spans="1:22" ht="15" x14ac:dyDescent="0.25">
      <c r="A92" s="212">
        <f t="shared" si="19"/>
        <v>30</v>
      </c>
      <c r="B92" s="214"/>
      <c r="C92" s="194" t="str">
        <f t="shared" si="14"/>
        <v>Repairs and Maintenance-Transportation Equipment - Motor Vehicles</v>
      </c>
      <c r="D92" s="207">
        <v>841</v>
      </c>
      <c r="E92" s="211">
        <f t="array" ref="E92">((SUM(IF((CkDJ[Ofc Code]=(TRIM(E$7)))*(CkDJ[Account Code]=(TRIM($D92))),CkDJ[Debit])))+(SUM(IF((CsDJ[Ofc Code]=(TRIM(E$7)))*(CsDJ[Account Code]=(TRIM($D92))),CsDJ[Debit])))+(SUM(IF((CRDJ[Ofc Code]=(TRIM(E$7)))*(CRDJ[Account Code]=(TRIM($D92))),CRDJ[Debit])))+(SUM(IF((GJ[Ofc Code]=(TRIM(E$7)))*(GJ[Account Code]=(TRIM($D92))),GJ[Debit]))))-((SUM(IF((CkDJ[Ofc Code]=(TRIM(E$7)))*(CkDJ[Account Code]=(TRIM($D92))),CkDJ[Credit])))+(SUM(IF((CsDJ[Ofc Code]=(TRIM(E$7)))*(CsDJ[Account Code]=(TRIM($D92))),CsDJ[Credit])))+(SUM(IF((CRDJ[Ofc Code]=(TRIM(E$7)))*(CRDJ[Account Code]=(TRIM($D92))),CRDJ[Credit])))+(SUM(IF((GJ[Ofc Code]=(TRIM(E$7)))*(GJ[Account Code]=(TRIM($D92))),GJ[Credit]))))</f>
        <v>0</v>
      </c>
      <c r="F92" s="211">
        <f t="array" ref="F92">((SUM(IF((CkDJ[Ofc Code]=(TRIM(F$7)))*(CkDJ[Account Code]=(TRIM($D92))),CkDJ[Debit])))+(SUM(IF((CsDJ[Ofc Code]=(TRIM(F$7)))*(CsDJ[Account Code]=(TRIM($D92))),CsDJ[Debit])))+(SUM(IF((CRDJ[Ofc Code]=(TRIM(F$7)))*(CRDJ[Account Code]=(TRIM($D92))),CRDJ[Debit])))+(SUM(IF((GJ[Ofc Code]=(TRIM(F$7)))*(GJ[Account Code]=(TRIM($D92))),GJ[Debit]))))-((SUM(IF((CkDJ[Ofc Code]=(TRIM(F$7)))*(CkDJ[Account Code]=(TRIM($D92))),CkDJ[Credit])))+(SUM(IF((CsDJ[Ofc Code]=(TRIM(F$7)))*(CsDJ[Account Code]=(TRIM($D92))),CsDJ[Credit])))+(SUM(IF((CRDJ[Ofc Code]=(TRIM(F$7)))*(CRDJ[Account Code]=(TRIM($D92))),CRDJ[Credit])))+(SUM(IF((GJ[Ofc Code]=(TRIM(F$7)))*(GJ[Account Code]=(TRIM($D92))),GJ[Credit]))))</f>
        <v>0</v>
      </c>
      <c r="G92" s="211">
        <f t="array" ref="G92">((SUM(IF((CkDJ[Ofc Code]=(TRIM(G$7)))*(CkDJ[Account Code]=(TRIM($D92))),CkDJ[Debit])))+(SUM(IF((CsDJ[Ofc Code]=(TRIM(G$7)))*(CsDJ[Account Code]=(TRIM($D92))),CsDJ[Debit])))+(SUM(IF((CRDJ[Ofc Code]=(TRIM(G$7)))*(CRDJ[Account Code]=(TRIM($D92))),CRDJ[Debit])))+(SUM(IF((GJ[Ofc Code]=(TRIM(G$7)))*(GJ[Account Code]=(TRIM($D92))),GJ[Debit]))))-((SUM(IF((CkDJ[Ofc Code]=(TRIM(G$7)))*(CkDJ[Account Code]=(TRIM($D92))),CkDJ[Credit])))+(SUM(IF((CsDJ[Ofc Code]=(TRIM(G$7)))*(CsDJ[Account Code]=(TRIM($D92))),CsDJ[Credit])))+(SUM(IF((CRDJ[Ofc Code]=(TRIM(G$7)))*(CRDJ[Account Code]=(TRIM($D92))),CRDJ[Credit])))+(SUM(IF((GJ[Ofc Code]=(TRIM(G$7)))*(GJ[Account Code]=(TRIM($D92))),GJ[Credit]))))</f>
        <v>0</v>
      </c>
      <c r="H92" s="211">
        <f t="array" ref="H92">((SUM(IF((CkDJ[Ofc Code]=(TRIM(H$7)))*(CkDJ[Account Code]=(TRIM($D92))),CkDJ[Debit])))+(SUM(IF((CsDJ[Ofc Code]=(TRIM(H$7)))*(CsDJ[Account Code]=(TRIM($D92))),CsDJ[Debit])))+(SUM(IF((CRDJ[Ofc Code]=(TRIM(H$7)))*(CRDJ[Account Code]=(TRIM($D92))),CRDJ[Debit])))+(SUM(IF((GJ[Ofc Code]=(TRIM(H$7)))*(GJ[Account Code]=(TRIM($D92))),GJ[Debit]))))-((SUM(IF((CkDJ[Ofc Code]=(TRIM(H$7)))*(CkDJ[Account Code]=(TRIM($D92))),CkDJ[Credit])))+(SUM(IF((CsDJ[Ofc Code]=(TRIM(H$7)))*(CsDJ[Account Code]=(TRIM($D92))),CsDJ[Credit])))+(SUM(IF((CRDJ[Ofc Code]=(TRIM(H$7)))*(CRDJ[Account Code]=(TRIM($D92))),CRDJ[Credit])))+(SUM(IF((GJ[Ofc Code]=(TRIM(H$7)))*(GJ[Account Code]=(TRIM($D92))),GJ[Credit]))))</f>
        <v>0</v>
      </c>
      <c r="I92" s="211">
        <f t="array" ref="I92">((SUM(IF((CkDJ[Ofc Code]=(TRIM(I$7)))*(CkDJ[Account Code]=(TRIM($D92))),CkDJ[Debit])))+(SUM(IF((CsDJ[Ofc Code]=(TRIM(I$7)))*(CsDJ[Account Code]=(TRIM($D92))),CsDJ[Debit])))+(SUM(IF((CRDJ[Ofc Code]=(TRIM(I$7)))*(CRDJ[Account Code]=(TRIM($D92))),CRDJ[Debit])))+(SUM(IF((GJ[Ofc Code]=(TRIM(I$7)))*(GJ[Account Code]=(TRIM($D92))),GJ[Debit]))))-((SUM(IF((CkDJ[Ofc Code]=(TRIM(I$7)))*(CkDJ[Account Code]=(TRIM($D92))),CkDJ[Credit])))+(SUM(IF((CsDJ[Ofc Code]=(TRIM(I$7)))*(CsDJ[Account Code]=(TRIM($D92))),CsDJ[Credit])))+(SUM(IF((CRDJ[Ofc Code]=(TRIM(I$7)))*(CRDJ[Account Code]=(TRIM($D92))),CRDJ[Credit])))+(SUM(IF((GJ[Ofc Code]=(TRIM(I$7)))*(GJ[Account Code]=(TRIM($D92))),GJ[Credit]))))</f>
        <v>0</v>
      </c>
      <c r="J92" s="211">
        <f t="shared" si="15"/>
        <v>0</v>
      </c>
      <c r="K92" s="211">
        <f t="array" ref="K92">((SUM(IF((CkDJ[Ofc Code]=(TRIM(K$7)))*(CkDJ[Account Code]=(TRIM($D92))),CkDJ[Debit])))+(SUM(IF((CsDJ[Ofc Code]=(TRIM(K$7)))*(CsDJ[Account Code]=(TRIM($D92))),CsDJ[Debit])))+(SUM(IF((CRDJ[Ofc Code]=(TRIM(K$7)))*(CRDJ[Account Code]=(TRIM($D92))),CRDJ[Debit])))+(SUM(IF((GJ[Ofc Code]=(TRIM(K$7)))*(GJ[Account Code]=(TRIM($D92))),GJ[Debit]))))-((SUM(IF((CkDJ[Ofc Code]=(TRIM(K$7)))*(CkDJ[Account Code]=(TRIM($D92))),CkDJ[Credit])))+(SUM(IF((CsDJ[Ofc Code]=(TRIM(K$7)))*(CsDJ[Account Code]=(TRIM($D92))),CsDJ[Credit])))+(SUM(IF((CRDJ[Ofc Code]=(TRIM(K$7)))*(CRDJ[Account Code]=(TRIM($D92))),CRDJ[Credit])))+(SUM(IF((GJ[Ofc Code]=(TRIM(K$7)))*(GJ[Account Code]=(TRIM($D92))),GJ[Credit]))))</f>
        <v>0</v>
      </c>
      <c r="L92" s="211">
        <f t="array" ref="L92">((SUM(IF((CkDJ[Ofc Code]=(TRIM(L$7)))*(CkDJ[Account Code]=(TRIM($D92))),CkDJ[Debit])))+(SUM(IF((CsDJ[Ofc Code]=(TRIM(L$7)))*(CsDJ[Account Code]=(TRIM($D92))),CsDJ[Debit])))+(SUM(IF((CRDJ[Ofc Code]=(TRIM(L$7)))*(CRDJ[Account Code]=(TRIM($D92))),CRDJ[Debit])))+(SUM(IF((GJ[Ofc Code]=(TRIM(L$7)))*(GJ[Account Code]=(TRIM($D92))),GJ[Debit]))))-((SUM(IF((CkDJ[Ofc Code]=(TRIM(L$7)))*(CkDJ[Account Code]=(TRIM($D92))),CkDJ[Credit])))+(SUM(IF((CsDJ[Ofc Code]=(TRIM(L$7)))*(CsDJ[Account Code]=(TRIM($D92))),CsDJ[Credit])))+(SUM(IF((CRDJ[Ofc Code]=(TRIM(L$7)))*(CRDJ[Account Code]=(TRIM($D92))),CRDJ[Credit])))+(SUM(IF((GJ[Ofc Code]=(TRIM(L$7)))*(GJ[Account Code]=(TRIM($D92))),GJ[Credit]))))</f>
        <v>0</v>
      </c>
      <c r="M92" s="211">
        <f t="array" ref="M92">((SUM(IF((CkDJ[Ofc Code]=(TRIM(M$7)))*(CkDJ[Account Code]=(TRIM($D92))),CkDJ[Debit])))+(SUM(IF((CsDJ[Ofc Code]=(TRIM(M$7)))*(CsDJ[Account Code]=(TRIM($D92))),CsDJ[Debit])))+(SUM(IF((CRDJ[Ofc Code]=(TRIM(M$7)))*(CRDJ[Account Code]=(TRIM($D92))),CRDJ[Debit])))+(SUM(IF((GJ[Ofc Code]=(TRIM(M$7)))*(GJ[Account Code]=(TRIM($D92))),GJ[Debit]))))-((SUM(IF((CkDJ[Ofc Code]=(TRIM(M$7)))*(CkDJ[Account Code]=(TRIM($D92))),CkDJ[Credit])))+(SUM(IF((CsDJ[Ofc Code]=(TRIM(M$7)))*(CsDJ[Account Code]=(TRIM($D92))),CsDJ[Credit])))+(SUM(IF((CRDJ[Ofc Code]=(TRIM(M$7)))*(CRDJ[Account Code]=(TRIM($D92))),CRDJ[Credit])))+(SUM(IF((GJ[Ofc Code]=(TRIM(M$7)))*(GJ[Account Code]=(TRIM($D92))),GJ[Credit]))))</f>
        <v>0</v>
      </c>
      <c r="N92" s="211">
        <f t="array" ref="N92">((SUM(IF((CkDJ[Ofc Code]=(TRIM(N$7)))*(CkDJ[Account Code]=(TRIM($D92))),CkDJ[Debit])))+(SUM(IF((CsDJ[Ofc Code]=(TRIM(N$7)))*(CsDJ[Account Code]=(TRIM($D92))),CsDJ[Debit])))+(SUM(IF((CRDJ[Ofc Code]=(TRIM(N$7)))*(CRDJ[Account Code]=(TRIM($D92))),CRDJ[Debit])))+(SUM(IF((GJ[Ofc Code]=(TRIM(N$7)))*(GJ[Account Code]=(TRIM($D92))),GJ[Debit]))))-((SUM(IF((CkDJ[Ofc Code]=(TRIM(N$7)))*(CkDJ[Account Code]=(TRIM($D92))),CkDJ[Credit])))+(SUM(IF((CsDJ[Ofc Code]=(TRIM(N$7)))*(CsDJ[Account Code]=(TRIM($D92))),CsDJ[Credit])))+(SUM(IF((CRDJ[Ofc Code]=(TRIM(N$7)))*(CRDJ[Account Code]=(TRIM($D92))),CRDJ[Credit])))+(SUM(IF((GJ[Ofc Code]=(TRIM(N$7)))*(GJ[Account Code]=(TRIM($D92))),GJ[Credit]))))</f>
        <v>0</v>
      </c>
      <c r="O92" s="211">
        <f t="shared" si="16"/>
        <v>0</v>
      </c>
      <c r="P92" s="211">
        <f t="array" ref="P92">((SUM(IF((CkDJ[Ofc Code]=(TRIM(P$7)))*(CkDJ[Account Code]=(TRIM($D92))),CkDJ[Debit])))+(SUM(IF((CsDJ[Ofc Code]=(TRIM(P$7)))*(CsDJ[Account Code]=(TRIM($D92))),CsDJ[Debit])))+(SUM(IF((CRDJ[Ofc Code]=(TRIM(P$7)))*(CRDJ[Account Code]=(TRIM($D92))),CRDJ[Debit])))+(SUM(IF((GJ[Ofc Code]=(TRIM(P$7)))*(GJ[Account Code]=(TRIM($D92))),GJ[Debit]))))-((SUM(IF((CkDJ[Ofc Code]=(TRIM(P$7)))*(CkDJ[Account Code]=(TRIM($D92))),CkDJ[Credit])))+(SUM(IF((CsDJ[Ofc Code]=(TRIM(P$7)))*(CsDJ[Account Code]=(TRIM($D92))),CsDJ[Credit])))+(SUM(IF((CRDJ[Ofc Code]=(TRIM(P$7)))*(CRDJ[Account Code]=(TRIM($D92))),CRDJ[Credit])))+(SUM(IF((GJ[Ofc Code]=(TRIM(P$7)))*(GJ[Account Code]=(TRIM($D92))),GJ[Credit]))))</f>
        <v>0</v>
      </c>
      <c r="Q92" s="211">
        <f t="array" ref="Q92">((SUM(IF((CkDJ[Ofc Code]=(TRIM(Q$7)))*(CkDJ[Account Code]=(TRIM($D92))),CkDJ[Debit])))+(SUM(IF((CsDJ[Ofc Code]=(TRIM(Q$7)))*(CsDJ[Account Code]=(TRIM($D92))),CsDJ[Debit])))+(SUM(IF((CRDJ[Ofc Code]=(TRIM(Q$7)))*(CRDJ[Account Code]=(TRIM($D92))),CRDJ[Debit])))+(SUM(IF((GJ[Ofc Code]=(TRIM(Q$7)))*(GJ[Account Code]=(TRIM($D92))),GJ[Debit]))))-((SUM(IF((CkDJ[Ofc Code]=(TRIM(Q$7)))*(CkDJ[Account Code]=(TRIM($D92))),CkDJ[Credit])))+(SUM(IF((CsDJ[Ofc Code]=(TRIM(Q$7)))*(CsDJ[Account Code]=(TRIM($D92))),CsDJ[Credit])))+(SUM(IF((CRDJ[Ofc Code]=(TRIM(Q$7)))*(CRDJ[Account Code]=(TRIM($D92))),CRDJ[Credit])))+(SUM(IF((GJ[Ofc Code]=(TRIM(Q$7)))*(GJ[Account Code]=(TRIM($D92))),GJ[Credit]))))</f>
        <v>0</v>
      </c>
      <c r="R92" s="211">
        <f t="array" ref="R92">((SUM(IF((CkDJ[Ofc Code]=(TRIM(R$7)))*(CkDJ[Account Code]=(TRIM($D92))),CkDJ[Debit])))+(SUM(IF((CsDJ[Ofc Code]=(TRIM(R$7)))*(CsDJ[Account Code]=(TRIM($D92))),CsDJ[Debit])))+(SUM(IF((CRDJ[Ofc Code]=(TRIM(R$7)))*(CRDJ[Account Code]=(TRIM($D92))),CRDJ[Debit])))+(SUM(IF((GJ[Ofc Code]=(TRIM(R$7)))*(GJ[Account Code]=(TRIM($D92))),GJ[Debit]))))-((SUM(IF((CkDJ[Ofc Code]=(TRIM(R$7)))*(CkDJ[Account Code]=(TRIM($D92))),CkDJ[Credit])))+(SUM(IF((CsDJ[Ofc Code]=(TRIM(R$7)))*(CsDJ[Account Code]=(TRIM($D92))),CsDJ[Credit])))+(SUM(IF((CRDJ[Ofc Code]=(TRIM(R$7)))*(CRDJ[Account Code]=(TRIM($D92))),CRDJ[Credit])))+(SUM(IF((GJ[Ofc Code]=(TRIM(R$7)))*(GJ[Account Code]=(TRIM($D92))),GJ[Credit]))))</f>
        <v>0</v>
      </c>
      <c r="S92" s="211">
        <f t="array" ref="S92">((SUM(IF((CkDJ[Ofc Code]=(TRIM(S$7)))*(CkDJ[Account Code]=(TRIM($D92))),CkDJ[Debit])))+(SUM(IF((CsDJ[Ofc Code]=(TRIM(S$7)))*(CsDJ[Account Code]=(TRIM($D92))),CsDJ[Debit])))+(SUM(IF((CRDJ[Ofc Code]=(TRIM(S$7)))*(CRDJ[Account Code]=(TRIM($D92))),CRDJ[Debit])))+(SUM(IF((GJ[Ofc Code]=(TRIM(S$7)))*(GJ[Account Code]=(TRIM($D92))),GJ[Debit]))))-((SUM(IF((CkDJ[Ofc Code]=(TRIM(S$7)))*(CkDJ[Account Code]=(TRIM($D92))),CkDJ[Credit])))+(SUM(IF((CsDJ[Ofc Code]=(TRIM(S$7)))*(CsDJ[Account Code]=(TRIM($D92))),CsDJ[Credit])))+(SUM(IF((CRDJ[Ofc Code]=(TRIM(S$7)))*(CRDJ[Account Code]=(TRIM($D92))),CRDJ[Credit])))+(SUM(IF((GJ[Ofc Code]=(TRIM(S$7)))*(GJ[Account Code]=(TRIM($D92))),GJ[Credit]))))</f>
        <v>0</v>
      </c>
      <c r="T92" s="211">
        <f t="array" ref="T92">((SUM(IF((CkDJ[Ofc Code]=(TRIM(T$7)))*(CkDJ[Account Code]=(TRIM($D92))),CkDJ[Debit])))+(SUM(IF((CsDJ[Ofc Code]=(TRIM(T$7)))*(CsDJ[Account Code]=(TRIM($D92))),CsDJ[Debit])))+(SUM(IF((CRDJ[Ofc Code]=(TRIM(T$7)))*(CRDJ[Account Code]=(TRIM($D92))),CRDJ[Debit])))+(SUM(IF((GJ[Ofc Code]=(TRIM(T$7)))*(GJ[Account Code]=(TRIM($D92))),GJ[Debit]))))-((SUM(IF((CkDJ[Ofc Code]=(TRIM(T$7)))*(CkDJ[Account Code]=(TRIM($D92))),CkDJ[Credit])))+(SUM(IF((CsDJ[Ofc Code]=(TRIM(T$7)))*(CsDJ[Account Code]=(TRIM($D92))),CsDJ[Credit])))+(SUM(IF((CRDJ[Ofc Code]=(TRIM(T$7)))*(CRDJ[Account Code]=(TRIM($D92))),CRDJ[Credit])))+(SUM(IF((GJ[Ofc Code]=(TRIM(T$7)))*(GJ[Account Code]=(TRIM($D92))),GJ[Credit]))))</f>
        <v>0</v>
      </c>
      <c r="U92" s="211">
        <f t="shared" si="17"/>
        <v>0</v>
      </c>
      <c r="V92" s="211">
        <f t="shared" si="18"/>
        <v>0</v>
      </c>
    </row>
    <row r="93" spans="1:22" ht="15" x14ac:dyDescent="0.25">
      <c r="A93" s="212">
        <f t="shared" si="19"/>
        <v>31</v>
      </c>
      <c r="B93" s="214"/>
      <c r="C93" s="194" t="str">
        <f t="shared" si="14"/>
        <v>Repairs and Maintenance-Transportation Equipment - Other Transportation Equipment</v>
      </c>
      <c r="D93" s="207">
        <v>848</v>
      </c>
      <c r="E93" s="211">
        <f t="array" ref="E93">((SUM(IF((CkDJ[Ofc Code]=(TRIM(E$7)))*(CkDJ[Account Code]=(TRIM($D93))),CkDJ[Debit])))+(SUM(IF((CsDJ[Ofc Code]=(TRIM(E$7)))*(CsDJ[Account Code]=(TRIM($D93))),CsDJ[Debit])))+(SUM(IF((CRDJ[Ofc Code]=(TRIM(E$7)))*(CRDJ[Account Code]=(TRIM($D93))),CRDJ[Debit])))+(SUM(IF((GJ[Ofc Code]=(TRIM(E$7)))*(GJ[Account Code]=(TRIM($D93))),GJ[Debit]))))-((SUM(IF((CkDJ[Ofc Code]=(TRIM(E$7)))*(CkDJ[Account Code]=(TRIM($D93))),CkDJ[Credit])))+(SUM(IF((CsDJ[Ofc Code]=(TRIM(E$7)))*(CsDJ[Account Code]=(TRIM($D93))),CsDJ[Credit])))+(SUM(IF((CRDJ[Ofc Code]=(TRIM(E$7)))*(CRDJ[Account Code]=(TRIM($D93))),CRDJ[Credit])))+(SUM(IF((GJ[Ofc Code]=(TRIM(E$7)))*(GJ[Account Code]=(TRIM($D93))),GJ[Credit]))))</f>
        <v>0</v>
      </c>
      <c r="F93" s="211">
        <f t="array" ref="F93">((SUM(IF((CkDJ[Ofc Code]=(TRIM(F$7)))*(CkDJ[Account Code]=(TRIM($D93))),CkDJ[Debit])))+(SUM(IF((CsDJ[Ofc Code]=(TRIM(F$7)))*(CsDJ[Account Code]=(TRIM($D93))),CsDJ[Debit])))+(SUM(IF((CRDJ[Ofc Code]=(TRIM(F$7)))*(CRDJ[Account Code]=(TRIM($D93))),CRDJ[Debit])))+(SUM(IF((GJ[Ofc Code]=(TRIM(F$7)))*(GJ[Account Code]=(TRIM($D93))),GJ[Debit]))))-((SUM(IF((CkDJ[Ofc Code]=(TRIM(F$7)))*(CkDJ[Account Code]=(TRIM($D93))),CkDJ[Credit])))+(SUM(IF((CsDJ[Ofc Code]=(TRIM(F$7)))*(CsDJ[Account Code]=(TRIM($D93))),CsDJ[Credit])))+(SUM(IF((CRDJ[Ofc Code]=(TRIM(F$7)))*(CRDJ[Account Code]=(TRIM($D93))),CRDJ[Credit])))+(SUM(IF((GJ[Ofc Code]=(TRIM(F$7)))*(GJ[Account Code]=(TRIM($D93))),GJ[Credit]))))</f>
        <v>0</v>
      </c>
      <c r="G93" s="211">
        <f t="array" ref="G93">((SUM(IF((CkDJ[Ofc Code]=(TRIM(G$7)))*(CkDJ[Account Code]=(TRIM($D93))),CkDJ[Debit])))+(SUM(IF((CsDJ[Ofc Code]=(TRIM(G$7)))*(CsDJ[Account Code]=(TRIM($D93))),CsDJ[Debit])))+(SUM(IF((CRDJ[Ofc Code]=(TRIM(G$7)))*(CRDJ[Account Code]=(TRIM($D93))),CRDJ[Debit])))+(SUM(IF((GJ[Ofc Code]=(TRIM(G$7)))*(GJ[Account Code]=(TRIM($D93))),GJ[Debit]))))-((SUM(IF((CkDJ[Ofc Code]=(TRIM(G$7)))*(CkDJ[Account Code]=(TRIM($D93))),CkDJ[Credit])))+(SUM(IF((CsDJ[Ofc Code]=(TRIM(G$7)))*(CsDJ[Account Code]=(TRIM($D93))),CsDJ[Credit])))+(SUM(IF((CRDJ[Ofc Code]=(TRIM(G$7)))*(CRDJ[Account Code]=(TRIM($D93))),CRDJ[Credit])))+(SUM(IF((GJ[Ofc Code]=(TRIM(G$7)))*(GJ[Account Code]=(TRIM($D93))),GJ[Credit]))))</f>
        <v>0</v>
      </c>
      <c r="H93" s="211">
        <f t="array" ref="H93">((SUM(IF((CkDJ[Ofc Code]=(TRIM(H$7)))*(CkDJ[Account Code]=(TRIM($D93))),CkDJ[Debit])))+(SUM(IF((CsDJ[Ofc Code]=(TRIM(H$7)))*(CsDJ[Account Code]=(TRIM($D93))),CsDJ[Debit])))+(SUM(IF((CRDJ[Ofc Code]=(TRIM(H$7)))*(CRDJ[Account Code]=(TRIM($D93))),CRDJ[Debit])))+(SUM(IF((GJ[Ofc Code]=(TRIM(H$7)))*(GJ[Account Code]=(TRIM($D93))),GJ[Debit]))))-((SUM(IF((CkDJ[Ofc Code]=(TRIM(H$7)))*(CkDJ[Account Code]=(TRIM($D93))),CkDJ[Credit])))+(SUM(IF((CsDJ[Ofc Code]=(TRIM(H$7)))*(CsDJ[Account Code]=(TRIM($D93))),CsDJ[Credit])))+(SUM(IF((CRDJ[Ofc Code]=(TRIM(H$7)))*(CRDJ[Account Code]=(TRIM($D93))),CRDJ[Credit])))+(SUM(IF((GJ[Ofc Code]=(TRIM(H$7)))*(GJ[Account Code]=(TRIM($D93))),GJ[Credit]))))</f>
        <v>0</v>
      </c>
      <c r="I93" s="211">
        <f t="array" ref="I93">((SUM(IF((CkDJ[Ofc Code]=(TRIM(I$7)))*(CkDJ[Account Code]=(TRIM($D93))),CkDJ[Debit])))+(SUM(IF((CsDJ[Ofc Code]=(TRIM(I$7)))*(CsDJ[Account Code]=(TRIM($D93))),CsDJ[Debit])))+(SUM(IF((CRDJ[Ofc Code]=(TRIM(I$7)))*(CRDJ[Account Code]=(TRIM($D93))),CRDJ[Debit])))+(SUM(IF((GJ[Ofc Code]=(TRIM(I$7)))*(GJ[Account Code]=(TRIM($D93))),GJ[Debit]))))-((SUM(IF((CkDJ[Ofc Code]=(TRIM(I$7)))*(CkDJ[Account Code]=(TRIM($D93))),CkDJ[Credit])))+(SUM(IF((CsDJ[Ofc Code]=(TRIM(I$7)))*(CsDJ[Account Code]=(TRIM($D93))),CsDJ[Credit])))+(SUM(IF((CRDJ[Ofc Code]=(TRIM(I$7)))*(CRDJ[Account Code]=(TRIM($D93))),CRDJ[Credit])))+(SUM(IF((GJ[Ofc Code]=(TRIM(I$7)))*(GJ[Account Code]=(TRIM($D93))),GJ[Credit]))))</f>
        <v>0</v>
      </c>
      <c r="J93" s="211">
        <f t="shared" si="15"/>
        <v>0</v>
      </c>
      <c r="K93" s="211">
        <f t="array" ref="K93">((SUM(IF((CkDJ[Ofc Code]=(TRIM(K$7)))*(CkDJ[Account Code]=(TRIM($D93))),CkDJ[Debit])))+(SUM(IF((CsDJ[Ofc Code]=(TRIM(K$7)))*(CsDJ[Account Code]=(TRIM($D93))),CsDJ[Debit])))+(SUM(IF((CRDJ[Ofc Code]=(TRIM(K$7)))*(CRDJ[Account Code]=(TRIM($D93))),CRDJ[Debit])))+(SUM(IF((GJ[Ofc Code]=(TRIM(K$7)))*(GJ[Account Code]=(TRIM($D93))),GJ[Debit]))))-((SUM(IF((CkDJ[Ofc Code]=(TRIM(K$7)))*(CkDJ[Account Code]=(TRIM($D93))),CkDJ[Credit])))+(SUM(IF((CsDJ[Ofc Code]=(TRIM(K$7)))*(CsDJ[Account Code]=(TRIM($D93))),CsDJ[Credit])))+(SUM(IF((CRDJ[Ofc Code]=(TRIM(K$7)))*(CRDJ[Account Code]=(TRIM($D93))),CRDJ[Credit])))+(SUM(IF((GJ[Ofc Code]=(TRIM(K$7)))*(GJ[Account Code]=(TRIM($D93))),GJ[Credit]))))</f>
        <v>0</v>
      </c>
      <c r="L93" s="211">
        <f t="array" ref="L93">((SUM(IF((CkDJ[Ofc Code]=(TRIM(L$7)))*(CkDJ[Account Code]=(TRIM($D93))),CkDJ[Debit])))+(SUM(IF((CsDJ[Ofc Code]=(TRIM(L$7)))*(CsDJ[Account Code]=(TRIM($D93))),CsDJ[Debit])))+(SUM(IF((CRDJ[Ofc Code]=(TRIM(L$7)))*(CRDJ[Account Code]=(TRIM($D93))),CRDJ[Debit])))+(SUM(IF((GJ[Ofc Code]=(TRIM(L$7)))*(GJ[Account Code]=(TRIM($D93))),GJ[Debit]))))-((SUM(IF((CkDJ[Ofc Code]=(TRIM(L$7)))*(CkDJ[Account Code]=(TRIM($D93))),CkDJ[Credit])))+(SUM(IF((CsDJ[Ofc Code]=(TRIM(L$7)))*(CsDJ[Account Code]=(TRIM($D93))),CsDJ[Credit])))+(SUM(IF((CRDJ[Ofc Code]=(TRIM(L$7)))*(CRDJ[Account Code]=(TRIM($D93))),CRDJ[Credit])))+(SUM(IF((GJ[Ofc Code]=(TRIM(L$7)))*(GJ[Account Code]=(TRIM($D93))),GJ[Credit]))))</f>
        <v>0</v>
      </c>
      <c r="M93" s="211">
        <f t="array" ref="M93">((SUM(IF((CkDJ[Ofc Code]=(TRIM(M$7)))*(CkDJ[Account Code]=(TRIM($D93))),CkDJ[Debit])))+(SUM(IF((CsDJ[Ofc Code]=(TRIM(M$7)))*(CsDJ[Account Code]=(TRIM($D93))),CsDJ[Debit])))+(SUM(IF((CRDJ[Ofc Code]=(TRIM(M$7)))*(CRDJ[Account Code]=(TRIM($D93))),CRDJ[Debit])))+(SUM(IF((GJ[Ofc Code]=(TRIM(M$7)))*(GJ[Account Code]=(TRIM($D93))),GJ[Debit]))))-((SUM(IF((CkDJ[Ofc Code]=(TRIM(M$7)))*(CkDJ[Account Code]=(TRIM($D93))),CkDJ[Credit])))+(SUM(IF((CsDJ[Ofc Code]=(TRIM(M$7)))*(CsDJ[Account Code]=(TRIM($D93))),CsDJ[Credit])))+(SUM(IF((CRDJ[Ofc Code]=(TRIM(M$7)))*(CRDJ[Account Code]=(TRIM($D93))),CRDJ[Credit])))+(SUM(IF((GJ[Ofc Code]=(TRIM(M$7)))*(GJ[Account Code]=(TRIM($D93))),GJ[Credit]))))</f>
        <v>0</v>
      </c>
      <c r="N93" s="211">
        <f t="array" ref="N93">((SUM(IF((CkDJ[Ofc Code]=(TRIM(N$7)))*(CkDJ[Account Code]=(TRIM($D93))),CkDJ[Debit])))+(SUM(IF((CsDJ[Ofc Code]=(TRIM(N$7)))*(CsDJ[Account Code]=(TRIM($D93))),CsDJ[Debit])))+(SUM(IF((CRDJ[Ofc Code]=(TRIM(N$7)))*(CRDJ[Account Code]=(TRIM($D93))),CRDJ[Debit])))+(SUM(IF((GJ[Ofc Code]=(TRIM(N$7)))*(GJ[Account Code]=(TRIM($D93))),GJ[Debit]))))-((SUM(IF((CkDJ[Ofc Code]=(TRIM(N$7)))*(CkDJ[Account Code]=(TRIM($D93))),CkDJ[Credit])))+(SUM(IF((CsDJ[Ofc Code]=(TRIM(N$7)))*(CsDJ[Account Code]=(TRIM($D93))),CsDJ[Credit])))+(SUM(IF((CRDJ[Ofc Code]=(TRIM(N$7)))*(CRDJ[Account Code]=(TRIM($D93))),CRDJ[Credit])))+(SUM(IF((GJ[Ofc Code]=(TRIM(N$7)))*(GJ[Account Code]=(TRIM($D93))),GJ[Credit]))))</f>
        <v>0</v>
      </c>
      <c r="O93" s="211">
        <f t="shared" si="16"/>
        <v>0</v>
      </c>
      <c r="P93" s="211">
        <f t="array" ref="P93">((SUM(IF((CkDJ[Ofc Code]=(TRIM(P$7)))*(CkDJ[Account Code]=(TRIM($D93))),CkDJ[Debit])))+(SUM(IF((CsDJ[Ofc Code]=(TRIM(P$7)))*(CsDJ[Account Code]=(TRIM($D93))),CsDJ[Debit])))+(SUM(IF((CRDJ[Ofc Code]=(TRIM(P$7)))*(CRDJ[Account Code]=(TRIM($D93))),CRDJ[Debit])))+(SUM(IF((GJ[Ofc Code]=(TRIM(P$7)))*(GJ[Account Code]=(TRIM($D93))),GJ[Debit]))))-((SUM(IF((CkDJ[Ofc Code]=(TRIM(P$7)))*(CkDJ[Account Code]=(TRIM($D93))),CkDJ[Credit])))+(SUM(IF((CsDJ[Ofc Code]=(TRIM(P$7)))*(CsDJ[Account Code]=(TRIM($D93))),CsDJ[Credit])))+(SUM(IF((CRDJ[Ofc Code]=(TRIM(P$7)))*(CRDJ[Account Code]=(TRIM($D93))),CRDJ[Credit])))+(SUM(IF((GJ[Ofc Code]=(TRIM(P$7)))*(GJ[Account Code]=(TRIM($D93))),GJ[Credit]))))</f>
        <v>0</v>
      </c>
      <c r="Q93" s="211">
        <f t="array" ref="Q93">((SUM(IF((CkDJ[Ofc Code]=(TRIM(Q$7)))*(CkDJ[Account Code]=(TRIM($D93))),CkDJ[Debit])))+(SUM(IF((CsDJ[Ofc Code]=(TRIM(Q$7)))*(CsDJ[Account Code]=(TRIM($D93))),CsDJ[Debit])))+(SUM(IF((CRDJ[Ofc Code]=(TRIM(Q$7)))*(CRDJ[Account Code]=(TRIM($D93))),CRDJ[Debit])))+(SUM(IF((GJ[Ofc Code]=(TRIM(Q$7)))*(GJ[Account Code]=(TRIM($D93))),GJ[Debit]))))-((SUM(IF((CkDJ[Ofc Code]=(TRIM(Q$7)))*(CkDJ[Account Code]=(TRIM($D93))),CkDJ[Credit])))+(SUM(IF((CsDJ[Ofc Code]=(TRIM(Q$7)))*(CsDJ[Account Code]=(TRIM($D93))),CsDJ[Credit])))+(SUM(IF((CRDJ[Ofc Code]=(TRIM(Q$7)))*(CRDJ[Account Code]=(TRIM($D93))),CRDJ[Credit])))+(SUM(IF((GJ[Ofc Code]=(TRIM(Q$7)))*(GJ[Account Code]=(TRIM($D93))),GJ[Credit]))))</f>
        <v>0</v>
      </c>
      <c r="R93" s="211">
        <f t="array" ref="R93">((SUM(IF((CkDJ[Ofc Code]=(TRIM(R$7)))*(CkDJ[Account Code]=(TRIM($D93))),CkDJ[Debit])))+(SUM(IF((CsDJ[Ofc Code]=(TRIM(R$7)))*(CsDJ[Account Code]=(TRIM($D93))),CsDJ[Debit])))+(SUM(IF((CRDJ[Ofc Code]=(TRIM(R$7)))*(CRDJ[Account Code]=(TRIM($D93))),CRDJ[Debit])))+(SUM(IF((GJ[Ofc Code]=(TRIM(R$7)))*(GJ[Account Code]=(TRIM($D93))),GJ[Debit]))))-((SUM(IF((CkDJ[Ofc Code]=(TRIM(R$7)))*(CkDJ[Account Code]=(TRIM($D93))),CkDJ[Credit])))+(SUM(IF((CsDJ[Ofc Code]=(TRIM(R$7)))*(CsDJ[Account Code]=(TRIM($D93))),CsDJ[Credit])))+(SUM(IF((CRDJ[Ofc Code]=(TRIM(R$7)))*(CRDJ[Account Code]=(TRIM($D93))),CRDJ[Credit])))+(SUM(IF((GJ[Ofc Code]=(TRIM(R$7)))*(GJ[Account Code]=(TRIM($D93))),GJ[Credit]))))</f>
        <v>0</v>
      </c>
      <c r="S93" s="211">
        <f t="array" ref="S93">((SUM(IF((CkDJ[Ofc Code]=(TRIM(S$7)))*(CkDJ[Account Code]=(TRIM($D93))),CkDJ[Debit])))+(SUM(IF((CsDJ[Ofc Code]=(TRIM(S$7)))*(CsDJ[Account Code]=(TRIM($D93))),CsDJ[Debit])))+(SUM(IF((CRDJ[Ofc Code]=(TRIM(S$7)))*(CRDJ[Account Code]=(TRIM($D93))),CRDJ[Debit])))+(SUM(IF((GJ[Ofc Code]=(TRIM(S$7)))*(GJ[Account Code]=(TRIM($D93))),GJ[Debit]))))-((SUM(IF((CkDJ[Ofc Code]=(TRIM(S$7)))*(CkDJ[Account Code]=(TRIM($D93))),CkDJ[Credit])))+(SUM(IF((CsDJ[Ofc Code]=(TRIM(S$7)))*(CsDJ[Account Code]=(TRIM($D93))),CsDJ[Credit])))+(SUM(IF((CRDJ[Ofc Code]=(TRIM(S$7)))*(CRDJ[Account Code]=(TRIM($D93))),CRDJ[Credit])))+(SUM(IF((GJ[Ofc Code]=(TRIM(S$7)))*(GJ[Account Code]=(TRIM($D93))),GJ[Credit]))))</f>
        <v>0</v>
      </c>
      <c r="T93" s="211">
        <f t="array" ref="T93">((SUM(IF((CkDJ[Ofc Code]=(TRIM(T$7)))*(CkDJ[Account Code]=(TRIM($D93))),CkDJ[Debit])))+(SUM(IF((CsDJ[Ofc Code]=(TRIM(T$7)))*(CsDJ[Account Code]=(TRIM($D93))),CsDJ[Debit])))+(SUM(IF((CRDJ[Ofc Code]=(TRIM(T$7)))*(CRDJ[Account Code]=(TRIM($D93))),CRDJ[Debit])))+(SUM(IF((GJ[Ofc Code]=(TRIM(T$7)))*(GJ[Account Code]=(TRIM($D93))),GJ[Debit]))))-((SUM(IF((CkDJ[Ofc Code]=(TRIM(T$7)))*(CkDJ[Account Code]=(TRIM($D93))),CkDJ[Credit])))+(SUM(IF((CsDJ[Ofc Code]=(TRIM(T$7)))*(CsDJ[Account Code]=(TRIM($D93))),CsDJ[Credit])))+(SUM(IF((CRDJ[Ofc Code]=(TRIM(T$7)))*(CRDJ[Account Code]=(TRIM($D93))),CRDJ[Credit])))+(SUM(IF((GJ[Ofc Code]=(TRIM(T$7)))*(GJ[Account Code]=(TRIM($D93))),GJ[Credit]))))</f>
        <v>0</v>
      </c>
      <c r="U93" s="211">
        <f t="shared" si="17"/>
        <v>0</v>
      </c>
      <c r="V93" s="211">
        <f t="shared" si="18"/>
        <v>0</v>
      </c>
    </row>
    <row r="94" spans="1:22" ht="15" x14ac:dyDescent="0.25">
      <c r="A94" s="212">
        <f t="shared" si="19"/>
        <v>32</v>
      </c>
      <c r="B94" s="214"/>
      <c r="C94" s="194" t="str">
        <f t="shared" si="14"/>
        <v>Repairs and Maintenance-Other Property, Plant and Equipment - Other Property, Plant and Equipment</v>
      </c>
      <c r="D94" s="207">
        <v>850</v>
      </c>
      <c r="E94" s="211">
        <f t="array" ref="E94">((SUM(IF((CkDJ[Ofc Code]=(TRIM(E$7)))*(CkDJ[Account Code]=(TRIM($D94))),CkDJ[Debit])))+(SUM(IF((CsDJ[Ofc Code]=(TRIM(E$7)))*(CsDJ[Account Code]=(TRIM($D94))),CsDJ[Debit])))+(SUM(IF((CRDJ[Ofc Code]=(TRIM(E$7)))*(CRDJ[Account Code]=(TRIM($D94))),CRDJ[Debit])))+(SUM(IF((GJ[Ofc Code]=(TRIM(E$7)))*(GJ[Account Code]=(TRIM($D94))),GJ[Debit]))))-((SUM(IF((CkDJ[Ofc Code]=(TRIM(E$7)))*(CkDJ[Account Code]=(TRIM($D94))),CkDJ[Credit])))+(SUM(IF((CsDJ[Ofc Code]=(TRIM(E$7)))*(CsDJ[Account Code]=(TRIM($D94))),CsDJ[Credit])))+(SUM(IF((CRDJ[Ofc Code]=(TRIM(E$7)))*(CRDJ[Account Code]=(TRIM($D94))),CRDJ[Credit])))+(SUM(IF((GJ[Ofc Code]=(TRIM(E$7)))*(GJ[Account Code]=(TRIM($D94))),GJ[Credit]))))</f>
        <v>0</v>
      </c>
      <c r="F94" s="211">
        <f t="array" ref="F94">((SUM(IF((CkDJ[Ofc Code]=(TRIM(F$7)))*(CkDJ[Account Code]=(TRIM($D94))),CkDJ[Debit])))+(SUM(IF((CsDJ[Ofc Code]=(TRIM(F$7)))*(CsDJ[Account Code]=(TRIM($D94))),CsDJ[Debit])))+(SUM(IF((CRDJ[Ofc Code]=(TRIM(F$7)))*(CRDJ[Account Code]=(TRIM($D94))),CRDJ[Debit])))+(SUM(IF((GJ[Ofc Code]=(TRIM(F$7)))*(GJ[Account Code]=(TRIM($D94))),GJ[Debit]))))-((SUM(IF((CkDJ[Ofc Code]=(TRIM(F$7)))*(CkDJ[Account Code]=(TRIM($D94))),CkDJ[Credit])))+(SUM(IF((CsDJ[Ofc Code]=(TRIM(F$7)))*(CsDJ[Account Code]=(TRIM($D94))),CsDJ[Credit])))+(SUM(IF((CRDJ[Ofc Code]=(TRIM(F$7)))*(CRDJ[Account Code]=(TRIM($D94))),CRDJ[Credit])))+(SUM(IF((GJ[Ofc Code]=(TRIM(F$7)))*(GJ[Account Code]=(TRIM($D94))),GJ[Credit]))))</f>
        <v>0</v>
      </c>
      <c r="G94" s="211">
        <f t="array" ref="G94">((SUM(IF((CkDJ[Ofc Code]=(TRIM(G$7)))*(CkDJ[Account Code]=(TRIM($D94))),CkDJ[Debit])))+(SUM(IF((CsDJ[Ofc Code]=(TRIM(G$7)))*(CsDJ[Account Code]=(TRIM($D94))),CsDJ[Debit])))+(SUM(IF((CRDJ[Ofc Code]=(TRIM(G$7)))*(CRDJ[Account Code]=(TRIM($D94))),CRDJ[Debit])))+(SUM(IF((GJ[Ofc Code]=(TRIM(G$7)))*(GJ[Account Code]=(TRIM($D94))),GJ[Debit]))))-((SUM(IF((CkDJ[Ofc Code]=(TRIM(G$7)))*(CkDJ[Account Code]=(TRIM($D94))),CkDJ[Credit])))+(SUM(IF((CsDJ[Ofc Code]=(TRIM(G$7)))*(CsDJ[Account Code]=(TRIM($D94))),CsDJ[Credit])))+(SUM(IF((CRDJ[Ofc Code]=(TRIM(G$7)))*(CRDJ[Account Code]=(TRIM($D94))),CRDJ[Credit])))+(SUM(IF((GJ[Ofc Code]=(TRIM(G$7)))*(GJ[Account Code]=(TRIM($D94))),GJ[Credit]))))</f>
        <v>0</v>
      </c>
      <c r="H94" s="211">
        <f t="array" ref="H94">((SUM(IF((CkDJ[Ofc Code]=(TRIM(H$7)))*(CkDJ[Account Code]=(TRIM($D94))),CkDJ[Debit])))+(SUM(IF((CsDJ[Ofc Code]=(TRIM(H$7)))*(CsDJ[Account Code]=(TRIM($D94))),CsDJ[Debit])))+(SUM(IF((CRDJ[Ofc Code]=(TRIM(H$7)))*(CRDJ[Account Code]=(TRIM($D94))),CRDJ[Debit])))+(SUM(IF((GJ[Ofc Code]=(TRIM(H$7)))*(GJ[Account Code]=(TRIM($D94))),GJ[Debit]))))-((SUM(IF((CkDJ[Ofc Code]=(TRIM(H$7)))*(CkDJ[Account Code]=(TRIM($D94))),CkDJ[Credit])))+(SUM(IF((CsDJ[Ofc Code]=(TRIM(H$7)))*(CsDJ[Account Code]=(TRIM($D94))),CsDJ[Credit])))+(SUM(IF((CRDJ[Ofc Code]=(TRIM(H$7)))*(CRDJ[Account Code]=(TRIM($D94))),CRDJ[Credit])))+(SUM(IF((GJ[Ofc Code]=(TRIM(H$7)))*(GJ[Account Code]=(TRIM($D94))),GJ[Credit]))))</f>
        <v>0</v>
      </c>
      <c r="I94" s="211">
        <f t="array" ref="I94">((SUM(IF((CkDJ[Ofc Code]=(TRIM(I$7)))*(CkDJ[Account Code]=(TRIM($D94))),CkDJ[Debit])))+(SUM(IF((CsDJ[Ofc Code]=(TRIM(I$7)))*(CsDJ[Account Code]=(TRIM($D94))),CsDJ[Debit])))+(SUM(IF((CRDJ[Ofc Code]=(TRIM(I$7)))*(CRDJ[Account Code]=(TRIM($D94))),CRDJ[Debit])))+(SUM(IF((GJ[Ofc Code]=(TRIM(I$7)))*(GJ[Account Code]=(TRIM($D94))),GJ[Debit]))))-((SUM(IF((CkDJ[Ofc Code]=(TRIM(I$7)))*(CkDJ[Account Code]=(TRIM($D94))),CkDJ[Credit])))+(SUM(IF((CsDJ[Ofc Code]=(TRIM(I$7)))*(CsDJ[Account Code]=(TRIM($D94))),CsDJ[Credit])))+(SUM(IF((CRDJ[Ofc Code]=(TRIM(I$7)))*(CRDJ[Account Code]=(TRIM($D94))),CRDJ[Credit])))+(SUM(IF((GJ[Ofc Code]=(TRIM(I$7)))*(GJ[Account Code]=(TRIM($D94))),GJ[Credit]))))</f>
        <v>0</v>
      </c>
      <c r="J94" s="211">
        <f t="shared" si="15"/>
        <v>0</v>
      </c>
      <c r="K94" s="211">
        <f t="array" ref="K94">((SUM(IF((CkDJ[Ofc Code]=(TRIM(K$7)))*(CkDJ[Account Code]=(TRIM($D94))),CkDJ[Debit])))+(SUM(IF((CsDJ[Ofc Code]=(TRIM(K$7)))*(CsDJ[Account Code]=(TRIM($D94))),CsDJ[Debit])))+(SUM(IF((CRDJ[Ofc Code]=(TRIM(K$7)))*(CRDJ[Account Code]=(TRIM($D94))),CRDJ[Debit])))+(SUM(IF((GJ[Ofc Code]=(TRIM(K$7)))*(GJ[Account Code]=(TRIM($D94))),GJ[Debit]))))-((SUM(IF((CkDJ[Ofc Code]=(TRIM(K$7)))*(CkDJ[Account Code]=(TRIM($D94))),CkDJ[Credit])))+(SUM(IF((CsDJ[Ofc Code]=(TRIM(K$7)))*(CsDJ[Account Code]=(TRIM($D94))),CsDJ[Credit])))+(SUM(IF((CRDJ[Ofc Code]=(TRIM(K$7)))*(CRDJ[Account Code]=(TRIM($D94))),CRDJ[Credit])))+(SUM(IF((GJ[Ofc Code]=(TRIM(K$7)))*(GJ[Account Code]=(TRIM($D94))),GJ[Credit]))))</f>
        <v>0</v>
      </c>
      <c r="L94" s="211">
        <f t="array" ref="L94">((SUM(IF((CkDJ[Ofc Code]=(TRIM(L$7)))*(CkDJ[Account Code]=(TRIM($D94))),CkDJ[Debit])))+(SUM(IF((CsDJ[Ofc Code]=(TRIM(L$7)))*(CsDJ[Account Code]=(TRIM($D94))),CsDJ[Debit])))+(SUM(IF((CRDJ[Ofc Code]=(TRIM(L$7)))*(CRDJ[Account Code]=(TRIM($D94))),CRDJ[Debit])))+(SUM(IF((GJ[Ofc Code]=(TRIM(L$7)))*(GJ[Account Code]=(TRIM($D94))),GJ[Debit]))))-((SUM(IF((CkDJ[Ofc Code]=(TRIM(L$7)))*(CkDJ[Account Code]=(TRIM($D94))),CkDJ[Credit])))+(SUM(IF((CsDJ[Ofc Code]=(TRIM(L$7)))*(CsDJ[Account Code]=(TRIM($D94))),CsDJ[Credit])))+(SUM(IF((CRDJ[Ofc Code]=(TRIM(L$7)))*(CRDJ[Account Code]=(TRIM($D94))),CRDJ[Credit])))+(SUM(IF((GJ[Ofc Code]=(TRIM(L$7)))*(GJ[Account Code]=(TRIM($D94))),GJ[Credit]))))</f>
        <v>0</v>
      </c>
      <c r="M94" s="211">
        <f t="array" ref="M94">((SUM(IF((CkDJ[Ofc Code]=(TRIM(M$7)))*(CkDJ[Account Code]=(TRIM($D94))),CkDJ[Debit])))+(SUM(IF((CsDJ[Ofc Code]=(TRIM(M$7)))*(CsDJ[Account Code]=(TRIM($D94))),CsDJ[Debit])))+(SUM(IF((CRDJ[Ofc Code]=(TRIM(M$7)))*(CRDJ[Account Code]=(TRIM($D94))),CRDJ[Debit])))+(SUM(IF((GJ[Ofc Code]=(TRIM(M$7)))*(GJ[Account Code]=(TRIM($D94))),GJ[Debit]))))-((SUM(IF((CkDJ[Ofc Code]=(TRIM(M$7)))*(CkDJ[Account Code]=(TRIM($D94))),CkDJ[Credit])))+(SUM(IF((CsDJ[Ofc Code]=(TRIM(M$7)))*(CsDJ[Account Code]=(TRIM($D94))),CsDJ[Credit])))+(SUM(IF((CRDJ[Ofc Code]=(TRIM(M$7)))*(CRDJ[Account Code]=(TRIM($D94))),CRDJ[Credit])))+(SUM(IF((GJ[Ofc Code]=(TRIM(M$7)))*(GJ[Account Code]=(TRIM($D94))),GJ[Credit]))))</f>
        <v>0</v>
      </c>
      <c r="N94" s="211">
        <f t="array" ref="N94">((SUM(IF((CkDJ[Ofc Code]=(TRIM(N$7)))*(CkDJ[Account Code]=(TRIM($D94))),CkDJ[Debit])))+(SUM(IF((CsDJ[Ofc Code]=(TRIM(N$7)))*(CsDJ[Account Code]=(TRIM($D94))),CsDJ[Debit])))+(SUM(IF((CRDJ[Ofc Code]=(TRIM(N$7)))*(CRDJ[Account Code]=(TRIM($D94))),CRDJ[Debit])))+(SUM(IF((GJ[Ofc Code]=(TRIM(N$7)))*(GJ[Account Code]=(TRIM($D94))),GJ[Debit]))))-((SUM(IF((CkDJ[Ofc Code]=(TRIM(N$7)))*(CkDJ[Account Code]=(TRIM($D94))),CkDJ[Credit])))+(SUM(IF((CsDJ[Ofc Code]=(TRIM(N$7)))*(CsDJ[Account Code]=(TRIM($D94))),CsDJ[Credit])))+(SUM(IF((CRDJ[Ofc Code]=(TRIM(N$7)))*(CRDJ[Account Code]=(TRIM($D94))),CRDJ[Credit])))+(SUM(IF((GJ[Ofc Code]=(TRIM(N$7)))*(GJ[Account Code]=(TRIM($D94))),GJ[Credit]))))</f>
        <v>0</v>
      </c>
      <c r="O94" s="211">
        <f t="shared" si="16"/>
        <v>0</v>
      </c>
      <c r="P94" s="211">
        <f t="array" ref="P94">((SUM(IF((CkDJ[Ofc Code]=(TRIM(P$7)))*(CkDJ[Account Code]=(TRIM($D94))),CkDJ[Debit])))+(SUM(IF((CsDJ[Ofc Code]=(TRIM(P$7)))*(CsDJ[Account Code]=(TRIM($D94))),CsDJ[Debit])))+(SUM(IF((CRDJ[Ofc Code]=(TRIM(P$7)))*(CRDJ[Account Code]=(TRIM($D94))),CRDJ[Debit])))+(SUM(IF((GJ[Ofc Code]=(TRIM(P$7)))*(GJ[Account Code]=(TRIM($D94))),GJ[Debit]))))-((SUM(IF((CkDJ[Ofc Code]=(TRIM(P$7)))*(CkDJ[Account Code]=(TRIM($D94))),CkDJ[Credit])))+(SUM(IF((CsDJ[Ofc Code]=(TRIM(P$7)))*(CsDJ[Account Code]=(TRIM($D94))),CsDJ[Credit])))+(SUM(IF((CRDJ[Ofc Code]=(TRIM(P$7)))*(CRDJ[Account Code]=(TRIM($D94))),CRDJ[Credit])))+(SUM(IF((GJ[Ofc Code]=(TRIM(P$7)))*(GJ[Account Code]=(TRIM($D94))),GJ[Credit]))))</f>
        <v>0</v>
      </c>
      <c r="Q94" s="211">
        <f t="array" ref="Q94">((SUM(IF((CkDJ[Ofc Code]=(TRIM(Q$7)))*(CkDJ[Account Code]=(TRIM($D94))),CkDJ[Debit])))+(SUM(IF((CsDJ[Ofc Code]=(TRIM(Q$7)))*(CsDJ[Account Code]=(TRIM($D94))),CsDJ[Debit])))+(SUM(IF((CRDJ[Ofc Code]=(TRIM(Q$7)))*(CRDJ[Account Code]=(TRIM($D94))),CRDJ[Debit])))+(SUM(IF((GJ[Ofc Code]=(TRIM(Q$7)))*(GJ[Account Code]=(TRIM($D94))),GJ[Debit]))))-((SUM(IF((CkDJ[Ofc Code]=(TRIM(Q$7)))*(CkDJ[Account Code]=(TRIM($D94))),CkDJ[Credit])))+(SUM(IF((CsDJ[Ofc Code]=(TRIM(Q$7)))*(CsDJ[Account Code]=(TRIM($D94))),CsDJ[Credit])))+(SUM(IF((CRDJ[Ofc Code]=(TRIM(Q$7)))*(CRDJ[Account Code]=(TRIM($D94))),CRDJ[Credit])))+(SUM(IF((GJ[Ofc Code]=(TRIM(Q$7)))*(GJ[Account Code]=(TRIM($D94))),GJ[Credit]))))</f>
        <v>0</v>
      </c>
      <c r="R94" s="211">
        <f t="array" ref="R94">((SUM(IF((CkDJ[Ofc Code]=(TRIM(R$7)))*(CkDJ[Account Code]=(TRIM($D94))),CkDJ[Debit])))+(SUM(IF((CsDJ[Ofc Code]=(TRIM(R$7)))*(CsDJ[Account Code]=(TRIM($D94))),CsDJ[Debit])))+(SUM(IF((CRDJ[Ofc Code]=(TRIM(R$7)))*(CRDJ[Account Code]=(TRIM($D94))),CRDJ[Debit])))+(SUM(IF((GJ[Ofc Code]=(TRIM(R$7)))*(GJ[Account Code]=(TRIM($D94))),GJ[Debit]))))-((SUM(IF((CkDJ[Ofc Code]=(TRIM(R$7)))*(CkDJ[Account Code]=(TRIM($D94))),CkDJ[Credit])))+(SUM(IF((CsDJ[Ofc Code]=(TRIM(R$7)))*(CsDJ[Account Code]=(TRIM($D94))),CsDJ[Credit])))+(SUM(IF((CRDJ[Ofc Code]=(TRIM(R$7)))*(CRDJ[Account Code]=(TRIM($D94))),CRDJ[Credit])))+(SUM(IF((GJ[Ofc Code]=(TRIM(R$7)))*(GJ[Account Code]=(TRIM($D94))),GJ[Credit]))))</f>
        <v>0</v>
      </c>
      <c r="S94" s="211">
        <f t="array" ref="S94">((SUM(IF((CkDJ[Ofc Code]=(TRIM(S$7)))*(CkDJ[Account Code]=(TRIM($D94))),CkDJ[Debit])))+(SUM(IF((CsDJ[Ofc Code]=(TRIM(S$7)))*(CsDJ[Account Code]=(TRIM($D94))),CsDJ[Debit])))+(SUM(IF((CRDJ[Ofc Code]=(TRIM(S$7)))*(CRDJ[Account Code]=(TRIM($D94))),CRDJ[Debit])))+(SUM(IF((GJ[Ofc Code]=(TRIM(S$7)))*(GJ[Account Code]=(TRIM($D94))),GJ[Debit]))))-((SUM(IF((CkDJ[Ofc Code]=(TRIM(S$7)))*(CkDJ[Account Code]=(TRIM($D94))),CkDJ[Credit])))+(SUM(IF((CsDJ[Ofc Code]=(TRIM(S$7)))*(CsDJ[Account Code]=(TRIM($D94))),CsDJ[Credit])))+(SUM(IF((CRDJ[Ofc Code]=(TRIM(S$7)))*(CRDJ[Account Code]=(TRIM($D94))),CRDJ[Credit])))+(SUM(IF((GJ[Ofc Code]=(TRIM(S$7)))*(GJ[Account Code]=(TRIM($D94))),GJ[Credit]))))</f>
        <v>0</v>
      </c>
      <c r="T94" s="211">
        <f t="array" ref="T94">((SUM(IF((CkDJ[Ofc Code]=(TRIM(T$7)))*(CkDJ[Account Code]=(TRIM($D94))),CkDJ[Debit])))+(SUM(IF((CsDJ[Ofc Code]=(TRIM(T$7)))*(CsDJ[Account Code]=(TRIM($D94))),CsDJ[Debit])))+(SUM(IF((CRDJ[Ofc Code]=(TRIM(T$7)))*(CRDJ[Account Code]=(TRIM($D94))),CRDJ[Debit])))+(SUM(IF((GJ[Ofc Code]=(TRIM(T$7)))*(GJ[Account Code]=(TRIM($D94))),GJ[Debit]))))-((SUM(IF((CkDJ[Ofc Code]=(TRIM(T$7)))*(CkDJ[Account Code]=(TRIM($D94))),CkDJ[Credit])))+(SUM(IF((CsDJ[Ofc Code]=(TRIM(T$7)))*(CsDJ[Account Code]=(TRIM($D94))),CsDJ[Credit])))+(SUM(IF((CRDJ[Ofc Code]=(TRIM(T$7)))*(CRDJ[Account Code]=(TRIM($D94))),CRDJ[Credit])))+(SUM(IF((GJ[Ofc Code]=(TRIM(T$7)))*(GJ[Account Code]=(TRIM($D94))),GJ[Credit]))))</f>
        <v>0</v>
      </c>
      <c r="U94" s="211">
        <f t="shared" si="17"/>
        <v>0</v>
      </c>
      <c r="V94" s="211">
        <f t="shared" si="18"/>
        <v>0</v>
      </c>
    </row>
    <row r="95" spans="1:22" ht="15" x14ac:dyDescent="0.25">
      <c r="A95" s="212">
        <f t="shared" si="19"/>
        <v>33</v>
      </c>
      <c r="B95" s="194"/>
      <c r="C95" s="194" t="str">
        <f t="shared" si="14"/>
        <v>Repairs and Maintenance-Infrastructure Assets - Other Infrastructure Assets (Irrigation Canal &amp; Laterals)</v>
      </c>
      <c r="D95" s="207">
        <v>855</v>
      </c>
      <c r="E95" s="211">
        <f t="array" ref="E95">((SUM(IF((CkDJ[Ofc Code]=(TRIM(E$7)))*(CkDJ[Account Code]=(TRIM($D95))),CkDJ[Debit])))+(SUM(IF((CsDJ[Ofc Code]=(TRIM(E$7)))*(CsDJ[Account Code]=(TRIM($D95))),CsDJ[Debit])))+(SUM(IF((CRDJ[Ofc Code]=(TRIM(E$7)))*(CRDJ[Account Code]=(TRIM($D95))),CRDJ[Debit])))+(SUM(IF((GJ[Ofc Code]=(TRIM(E$7)))*(GJ[Account Code]=(TRIM($D95))),GJ[Debit]))))-((SUM(IF((CkDJ[Ofc Code]=(TRIM(E$7)))*(CkDJ[Account Code]=(TRIM($D95))),CkDJ[Credit])))+(SUM(IF((CsDJ[Ofc Code]=(TRIM(E$7)))*(CsDJ[Account Code]=(TRIM($D95))),CsDJ[Credit])))+(SUM(IF((CRDJ[Ofc Code]=(TRIM(E$7)))*(CRDJ[Account Code]=(TRIM($D95))),CRDJ[Credit])))+(SUM(IF((GJ[Ofc Code]=(TRIM(E$7)))*(GJ[Account Code]=(TRIM($D95))),GJ[Credit]))))</f>
        <v>0</v>
      </c>
      <c r="F95" s="211">
        <f t="array" ref="F95">((SUM(IF((CkDJ[Ofc Code]=(TRIM(F$7)))*(CkDJ[Account Code]=(TRIM($D95))),CkDJ[Debit])))+(SUM(IF((CsDJ[Ofc Code]=(TRIM(F$7)))*(CsDJ[Account Code]=(TRIM($D95))),CsDJ[Debit])))+(SUM(IF((CRDJ[Ofc Code]=(TRIM(F$7)))*(CRDJ[Account Code]=(TRIM($D95))),CRDJ[Debit])))+(SUM(IF((GJ[Ofc Code]=(TRIM(F$7)))*(GJ[Account Code]=(TRIM($D95))),GJ[Debit]))))-((SUM(IF((CkDJ[Ofc Code]=(TRIM(F$7)))*(CkDJ[Account Code]=(TRIM($D95))),CkDJ[Credit])))+(SUM(IF((CsDJ[Ofc Code]=(TRIM(F$7)))*(CsDJ[Account Code]=(TRIM($D95))),CsDJ[Credit])))+(SUM(IF((CRDJ[Ofc Code]=(TRIM(F$7)))*(CRDJ[Account Code]=(TRIM($D95))),CRDJ[Credit])))+(SUM(IF((GJ[Ofc Code]=(TRIM(F$7)))*(GJ[Account Code]=(TRIM($D95))),GJ[Credit]))))</f>
        <v>0</v>
      </c>
      <c r="G95" s="211">
        <f t="array" ref="G95">((SUM(IF((CkDJ[Ofc Code]=(TRIM(G$7)))*(CkDJ[Account Code]=(TRIM($D95))),CkDJ[Debit])))+(SUM(IF((CsDJ[Ofc Code]=(TRIM(G$7)))*(CsDJ[Account Code]=(TRIM($D95))),CsDJ[Debit])))+(SUM(IF((CRDJ[Ofc Code]=(TRIM(G$7)))*(CRDJ[Account Code]=(TRIM($D95))),CRDJ[Debit])))+(SUM(IF((GJ[Ofc Code]=(TRIM(G$7)))*(GJ[Account Code]=(TRIM($D95))),GJ[Debit]))))-((SUM(IF((CkDJ[Ofc Code]=(TRIM(G$7)))*(CkDJ[Account Code]=(TRIM($D95))),CkDJ[Credit])))+(SUM(IF((CsDJ[Ofc Code]=(TRIM(G$7)))*(CsDJ[Account Code]=(TRIM($D95))),CsDJ[Credit])))+(SUM(IF((CRDJ[Ofc Code]=(TRIM(G$7)))*(CRDJ[Account Code]=(TRIM($D95))),CRDJ[Credit])))+(SUM(IF((GJ[Ofc Code]=(TRIM(G$7)))*(GJ[Account Code]=(TRIM($D95))),GJ[Credit]))))</f>
        <v>0</v>
      </c>
      <c r="H95" s="211">
        <f t="array" ref="H95">((SUM(IF((CkDJ[Ofc Code]=(TRIM(H$7)))*(CkDJ[Account Code]=(TRIM($D95))),CkDJ[Debit])))+(SUM(IF((CsDJ[Ofc Code]=(TRIM(H$7)))*(CsDJ[Account Code]=(TRIM($D95))),CsDJ[Debit])))+(SUM(IF((CRDJ[Ofc Code]=(TRIM(H$7)))*(CRDJ[Account Code]=(TRIM($D95))),CRDJ[Debit])))+(SUM(IF((GJ[Ofc Code]=(TRIM(H$7)))*(GJ[Account Code]=(TRIM($D95))),GJ[Debit]))))-((SUM(IF((CkDJ[Ofc Code]=(TRIM(H$7)))*(CkDJ[Account Code]=(TRIM($D95))),CkDJ[Credit])))+(SUM(IF((CsDJ[Ofc Code]=(TRIM(H$7)))*(CsDJ[Account Code]=(TRIM($D95))),CsDJ[Credit])))+(SUM(IF((CRDJ[Ofc Code]=(TRIM(H$7)))*(CRDJ[Account Code]=(TRIM($D95))),CRDJ[Credit])))+(SUM(IF((GJ[Ofc Code]=(TRIM(H$7)))*(GJ[Account Code]=(TRIM($D95))),GJ[Credit]))))</f>
        <v>0</v>
      </c>
      <c r="I95" s="211">
        <f t="array" ref="I95">((SUM(IF((CkDJ[Ofc Code]=(TRIM(I$7)))*(CkDJ[Account Code]=(TRIM($D95))),CkDJ[Debit])))+(SUM(IF((CsDJ[Ofc Code]=(TRIM(I$7)))*(CsDJ[Account Code]=(TRIM($D95))),CsDJ[Debit])))+(SUM(IF((CRDJ[Ofc Code]=(TRIM(I$7)))*(CRDJ[Account Code]=(TRIM($D95))),CRDJ[Debit])))+(SUM(IF((GJ[Ofc Code]=(TRIM(I$7)))*(GJ[Account Code]=(TRIM($D95))),GJ[Debit]))))-((SUM(IF((CkDJ[Ofc Code]=(TRIM(I$7)))*(CkDJ[Account Code]=(TRIM($D95))),CkDJ[Credit])))+(SUM(IF((CsDJ[Ofc Code]=(TRIM(I$7)))*(CsDJ[Account Code]=(TRIM($D95))),CsDJ[Credit])))+(SUM(IF((CRDJ[Ofc Code]=(TRIM(I$7)))*(CRDJ[Account Code]=(TRIM($D95))),CRDJ[Credit])))+(SUM(IF((GJ[Ofc Code]=(TRIM(I$7)))*(GJ[Account Code]=(TRIM($D95))),GJ[Credit]))))</f>
        <v>0</v>
      </c>
      <c r="J95" s="211">
        <f t="shared" si="15"/>
        <v>0</v>
      </c>
      <c r="K95" s="211">
        <f t="array" ref="K95">((SUM(IF((CkDJ[Ofc Code]=(TRIM(K$7)))*(CkDJ[Account Code]=(TRIM($D95))),CkDJ[Debit])))+(SUM(IF((CsDJ[Ofc Code]=(TRIM(K$7)))*(CsDJ[Account Code]=(TRIM($D95))),CsDJ[Debit])))+(SUM(IF((CRDJ[Ofc Code]=(TRIM(K$7)))*(CRDJ[Account Code]=(TRIM($D95))),CRDJ[Debit])))+(SUM(IF((GJ[Ofc Code]=(TRIM(K$7)))*(GJ[Account Code]=(TRIM($D95))),GJ[Debit]))))-((SUM(IF((CkDJ[Ofc Code]=(TRIM(K$7)))*(CkDJ[Account Code]=(TRIM($D95))),CkDJ[Credit])))+(SUM(IF((CsDJ[Ofc Code]=(TRIM(K$7)))*(CsDJ[Account Code]=(TRIM($D95))),CsDJ[Credit])))+(SUM(IF((CRDJ[Ofc Code]=(TRIM(K$7)))*(CRDJ[Account Code]=(TRIM($D95))),CRDJ[Credit])))+(SUM(IF((GJ[Ofc Code]=(TRIM(K$7)))*(GJ[Account Code]=(TRIM($D95))),GJ[Credit]))))</f>
        <v>0</v>
      </c>
      <c r="L95" s="211">
        <f t="array" ref="L95">((SUM(IF((CkDJ[Ofc Code]=(TRIM(L$7)))*(CkDJ[Account Code]=(TRIM($D95))),CkDJ[Debit])))+(SUM(IF((CsDJ[Ofc Code]=(TRIM(L$7)))*(CsDJ[Account Code]=(TRIM($D95))),CsDJ[Debit])))+(SUM(IF((CRDJ[Ofc Code]=(TRIM(L$7)))*(CRDJ[Account Code]=(TRIM($D95))),CRDJ[Debit])))+(SUM(IF((GJ[Ofc Code]=(TRIM(L$7)))*(GJ[Account Code]=(TRIM($D95))),GJ[Debit]))))-((SUM(IF((CkDJ[Ofc Code]=(TRIM(L$7)))*(CkDJ[Account Code]=(TRIM($D95))),CkDJ[Credit])))+(SUM(IF((CsDJ[Ofc Code]=(TRIM(L$7)))*(CsDJ[Account Code]=(TRIM($D95))),CsDJ[Credit])))+(SUM(IF((CRDJ[Ofc Code]=(TRIM(L$7)))*(CRDJ[Account Code]=(TRIM($D95))),CRDJ[Credit])))+(SUM(IF((GJ[Ofc Code]=(TRIM(L$7)))*(GJ[Account Code]=(TRIM($D95))),GJ[Credit]))))</f>
        <v>0</v>
      </c>
      <c r="M95" s="211">
        <f t="array" ref="M95">((SUM(IF((CkDJ[Ofc Code]=(TRIM(M$7)))*(CkDJ[Account Code]=(TRIM($D95))),CkDJ[Debit])))+(SUM(IF((CsDJ[Ofc Code]=(TRIM(M$7)))*(CsDJ[Account Code]=(TRIM($D95))),CsDJ[Debit])))+(SUM(IF((CRDJ[Ofc Code]=(TRIM(M$7)))*(CRDJ[Account Code]=(TRIM($D95))),CRDJ[Debit])))+(SUM(IF((GJ[Ofc Code]=(TRIM(M$7)))*(GJ[Account Code]=(TRIM($D95))),GJ[Debit]))))-((SUM(IF((CkDJ[Ofc Code]=(TRIM(M$7)))*(CkDJ[Account Code]=(TRIM($D95))),CkDJ[Credit])))+(SUM(IF((CsDJ[Ofc Code]=(TRIM(M$7)))*(CsDJ[Account Code]=(TRIM($D95))),CsDJ[Credit])))+(SUM(IF((CRDJ[Ofc Code]=(TRIM(M$7)))*(CRDJ[Account Code]=(TRIM($D95))),CRDJ[Credit])))+(SUM(IF((GJ[Ofc Code]=(TRIM(M$7)))*(GJ[Account Code]=(TRIM($D95))),GJ[Credit]))))</f>
        <v>0</v>
      </c>
      <c r="N95" s="211">
        <f t="array" ref="N95">((SUM(IF((CkDJ[Ofc Code]=(TRIM(N$7)))*(CkDJ[Account Code]=(TRIM($D95))),CkDJ[Debit])))+(SUM(IF((CsDJ[Ofc Code]=(TRIM(N$7)))*(CsDJ[Account Code]=(TRIM($D95))),CsDJ[Debit])))+(SUM(IF((CRDJ[Ofc Code]=(TRIM(N$7)))*(CRDJ[Account Code]=(TRIM($D95))),CRDJ[Debit])))+(SUM(IF((GJ[Ofc Code]=(TRIM(N$7)))*(GJ[Account Code]=(TRIM($D95))),GJ[Debit]))))-((SUM(IF((CkDJ[Ofc Code]=(TRIM(N$7)))*(CkDJ[Account Code]=(TRIM($D95))),CkDJ[Credit])))+(SUM(IF((CsDJ[Ofc Code]=(TRIM(N$7)))*(CsDJ[Account Code]=(TRIM($D95))),CsDJ[Credit])))+(SUM(IF((CRDJ[Ofc Code]=(TRIM(N$7)))*(CRDJ[Account Code]=(TRIM($D95))),CRDJ[Credit])))+(SUM(IF((GJ[Ofc Code]=(TRIM(N$7)))*(GJ[Account Code]=(TRIM($D95))),GJ[Credit]))))</f>
        <v>0</v>
      </c>
      <c r="O95" s="211">
        <f t="shared" si="16"/>
        <v>0</v>
      </c>
      <c r="P95" s="211">
        <f t="array" ref="P95">((SUM(IF((CkDJ[Ofc Code]=(TRIM(P$7)))*(CkDJ[Account Code]=(TRIM($D95))),CkDJ[Debit])))+(SUM(IF((CsDJ[Ofc Code]=(TRIM(P$7)))*(CsDJ[Account Code]=(TRIM($D95))),CsDJ[Debit])))+(SUM(IF((CRDJ[Ofc Code]=(TRIM(P$7)))*(CRDJ[Account Code]=(TRIM($D95))),CRDJ[Debit])))+(SUM(IF((GJ[Ofc Code]=(TRIM(P$7)))*(GJ[Account Code]=(TRIM($D95))),GJ[Debit]))))-((SUM(IF((CkDJ[Ofc Code]=(TRIM(P$7)))*(CkDJ[Account Code]=(TRIM($D95))),CkDJ[Credit])))+(SUM(IF((CsDJ[Ofc Code]=(TRIM(P$7)))*(CsDJ[Account Code]=(TRIM($D95))),CsDJ[Credit])))+(SUM(IF((CRDJ[Ofc Code]=(TRIM(P$7)))*(CRDJ[Account Code]=(TRIM($D95))),CRDJ[Credit])))+(SUM(IF((GJ[Ofc Code]=(TRIM(P$7)))*(GJ[Account Code]=(TRIM($D95))),GJ[Credit]))))</f>
        <v>0</v>
      </c>
      <c r="Q95" s="211">
        <f t="array" ref="Q95">((SUM(IF((CkDJ[Ofc Code]=(TRIM(Q$7)))*(CkDJ[Account Code]=(TRIM($D95))),CkDJ[Debit])))+(SUM(IF((CsDJ[Ofc Code]=(TRIM(Q$7)))*(CsDJ[Account Code]=(TRIM($D95))),CsDJ[Debit])))+(SUM(IF((CRDJ[Ofc Code]=(TRIM(Q$7)))*(CRDJ[Account Code]=(TRIM($D95))),CRDJ[Debit])))+(SUM(IF((GJ[Ofc Code]=(TRIM(Q$7)))*(GJ[Account Code]=(TRIM($D95))),GJ[Debit]))))-((SUM(IF((CkDJ[Ofc Code]=(TRIM(Q$7)))*(CkDJ[Account Code]=(TRIM($D95))),CkDJ[Credit])))+(SUM(IF((CsDJ[Ofc Code]=(TRIM(Q$7)))*(CsDJ[Account Code]=(TRIM($D95))),CsDJ[Credit])))+(SUM(IF((CRDJ[Ofc Code]=(TRIM(Q$7)))*(CRDJ[Account Code]=(TRIM($D95))),CRDJ[Credit])))+(SUM(IF((GJ[Ofc Code]=(TRIM(Q$7)))*(GJ[Account Code]=(TRIM($D95))),GJ[Credit]))))</f>
        <v>0</v>
      </c>
      <c r="R95" s="211">
        <f t="array" ref="R95">((SUM(IF((CkDJ[Ofc Code]=(TRIM(R$7)))*(CkDJ[Account Code]=(TRIM($D95))),CkDJ[Debit])))+(SUM(IF((CsDJ[Ofc Code]=(TRIM(R$7)))*(CsDJ[Account Code]=(TRIM($D95))),CsDJ[Debit])))+(SUM(IF((CRDJ[Ofc Code]=(TRIM(R$7)))*(CRDJ[Account Code]=(TRIM($D95))),CRDJ[Debit])))+(SUM(IF((GJ[Ofc Code]=(TRIM(R$7)))*(GJ[Account Code]=(TRIM($D95))),GJ[Debit]))))-((SUM(IF((CkDJ[Ofc Code]=(TRIM(R$7)))*(CkDJ[Account Code]=(TRIM($D95))),CkDJ[Credit])))+(SUM(IF((CsDJ[Ofc Code]=(TRIM(R$7)))*(CsDJ[Account Code]=(TRIM($D95))),CsDJ[Credit])))+(SUM(IF((CRDJ[Ofc Code]=(TRIM(R$7)))*(CRDJ[Account Code]=(TRIM($D95))),CRDJ[Credit])))+(SUM(IF((GJ[Ofc Code]=(TRIM(R$7)))*(GJ[Account Code]=(TRIM($D95))),GJ[Credit]))))</f>
        <v>0</v>
      </c>
      <c r="S95" s="211">
        <f t="array" ref="S95">((SUM(IF((CkDJ[Ofc Code]=(TRIM(S$7)))*(CkDJ[Account Code]=(TRIM($D95))),CkDJ[Debit])))+(SUM(IF((CsDJ[Ofc Code]=(TRIM(S$7)))*(CsDJ[Account Code]=(TRIM($D95))),CsDJ[Debit])))+(SUM(IF((CRDJ[Ofc Code]=(TRIM(S$7)))*(CRDJ[Account Code]=(TRIM($D95))),CRDJ[Debit])))+(SUM(IF((GJ[Ofc Code]=(TRIM(S$7)))*(GJ[Account Code]=(TRIM($D95))),GJ[Debit]))))-((SUM(IF((CkDJ[Ofc Code]=(TRIM(S$7)))*(CkDJ[Account Code]=(TRIM($D95))),CkDJ[Credit])))+(SUM(IF((CsDJ[Ofc Code]=(TRIM(S$7)))*(CsDJ[Account Code]=(TRIM($D95))),CsDJ[Credit])))+(SUM(IF((CRDJ[Ofc Code]=(TRIM(S$7)))*(CRDJ[Account Code]=(TRIM($D95))),CRDJ[Credit])))+(SUM(IF((GJ[Ofc Code]=(TRIM(S$7)))*(GJ[Account Code]=(TRIM($D95))),GJ[Credit]))))</f>
        <v>0</v>
      </c>
      <c r="T95" s="211">
        <f t="array" ref="T95">((SUM(IF((CkDJ[Ofc Code]=(TRIM(T$7)))*(CkDJ[Account Code]=(TRIM($D95))),CkDJ[Debit])))+(SUM(IF((CsDJ[Ofc Code]=(TRIM(T$7)))*(CsDJ[Account Code]=(TRIM($D95))),CsDJ[Debit])))+(SUM(IF((CRDJ[Ofc Code]=(TRIM(T$7)))*(CRDJ[Account Code]=(TRIM($D95))),CRDJ[Debit])))+(SUM(IF((GJ[Ofc Code]=(TRIM(T$7)))*(GJ[Account Code]=(TRIM($D95))),GJ[Debit]))))-((SUM(IF((CkDJ[Ofc Code]=(TRIM(T$7)))*(CkDJ[Account Code]=(TRIM($D95))),CkDJ[Credit])))+(SUM(IF((CsDJ[Ofc Code]=(TRIM(T$7)))*(CsDJ[Account Code]=(TRIM($D95))),CsDJ[Credit])))+(SUM(IF((CRDJ[Ofc Code]=(TRIM(T$7)))*(CRDJ[Account Code]=(TRIM($D95))),CRDJ[Credit])))+(SUM(IF((GJ[Ofc Code]=(TRIM(T$7)))*(GJ[Account Code]=(TRIM($D95))),GJ[Credit]))))</f>
        <v>0</v>
      </c>
      <c r="U95" s="211">
        <f t="shared" si="17"/>
        <v>0</v>
      </c>
      <c r="V95" s="211">
        <f t="shared" si="18"/>
        <v>0</v>
      </c>
    </row>
    <row r="96" spans="1:22" ht="15" x14ac:dyDescent="0.25">
      <c r="A96" s="212">
        <f>1+A95</f>
        <v>34</v>
      </c>
      <c r="B96" s="194"/>
      <c r="C96" s="194" t="str">
        <f>IF(D96=0,"",(VLOOKUP((TRIM(D96)),Code,2,)))</f>
        <v>Other Maintenance and Operating Expenses</v>
      </c>
      <c r="D96" s="207" t="s">
        <v>408</v>
      </c>
      <c r="E96" s="211">
        <f t="array" ref="E96">((SUM(IF((CkDJ[Ofc Code]=(TRIM(E$7)))*(CkDJ[Account Code]=(TRIM($D96))),CkDJ[Debit])))+(SUM(IF((CsDJ[Ofc Code]=(TRIM(E$7)))*(CsDJ[Account Code]=(TRIM($D96))),CsDJ[Debit])))+(SUM(IF((CRDJ[Ofc Code]=(TRIM(E$7)))*(CRDJ[Account Code]=(TRIM($D96))),CRDJ[Debit])))+(SUM(IF((GJ[Ofc Code]=(TRIM(E$7)))*(GJ[Account Code]=(TRIM($D96))),GJ[Debit]))))-((SUM(IF((CkDJ[Ofc Code]=(TRIM(E$7)))*(CkDJ[Account Code]=(TRIM($D96))),CkDJ[Credit])))+(SUM(IF((CsDJ[Ofc Code]=(TRIM(E$7)))*(CsDJ[Account Code]=(TRIM($D96))),CsDJ[Credit])))+(SUM(IF((CRDJ[Ofc Code]=(TRIM(E$7)))*(CRDJ[Account Code]=(TRIM($D96))),CRDJ[Credit])))+(SUM(IF((GJ[Ofc Code]=(TRIM(E$7)))*(GJ[Account Code]=(TRIM($D96))),GJ[Credit]))))</f>
        <v>0</v>
      </c>
      <c r="F96" s="211">
        <f t="array" ref="F96">((SUM(IF((CkDJ[Ofc Code]=(TRIM(F$7)))*(CkDJ[Account Code]=(TRIM($D96))),CkDJ[Debit])))+(SUM(IF((CsDJ[Ofc Code]=(TRIM(F$7)))*(CsDJ[Account Code]=(TRIM($D96))),CsDJ[Debit])))+(SUM(IF((CRDJ[Ofc Code]=(TRIM(F$7)))*(CRDJ[Account Code]=(TRIM($D96))),CRDJ[Debit])))+(SUM(IF((GJ[Ofc Code]=(TRIM(F$7)))*(GJ[Account Code]=(TRIM($D96))),GJ[Debit]))))-((SUM(IF((CkDJ[Ofc Code]=(TRIM(F$7)))*(CkDJ[Account Code]=(TRIM($D96))),CkDJ[Credit])))+(SUM(IF((CsDJ[Ofc Code]=(TRIM(F$7)))*(CsDJ[Account Code]=(TRIM($D96))),CsDJ[Credit])))+(SUM(IF((CRDJ[Ofc Code]=(TRIM(F$7)))*(CRDJ[Account Code]=(TRIM($D96))),CRDJ[Credit])))+(SUM(IF((GJ[Ofc Code]=(TRIM(F$7)))*(GJ[Account Code]=(TRIM($D96))),GJ[Credit]))))</f>
        <v>0</v>
      </c>
      <c r="G96" s="211">
        <f t="array" ref="G96">((SUM(IF((CkDJ[Ofc Code]=(TRIM(G$7)))*(CkDJ[Account Code]=(TRIM($D96))),CkDJ[Debit])))+(SUM(IF((CsDJ[Ofc Code]=(TRIM(G$7)))*(CsDJ[Account Code]=(TRIM($D96))),CsDJ[Debit])))+(SUM(IF((CRDJ[Ofc Code]=(TRIM(G$7)))*(CRDJ[Account Code]=(TRIM($D96))),CRDJ[Debit])))+(SUM(IF((GJ[Ofc Code]=(TRIM(G$7)))*(GJ[Account Code]=(TRIM($D96))),GJ[Debit]))))-((SUM(IF((CkDJ[Ofc Code]=(TRIM(G$7)))*(CkDJ[Account Code]=(TRIM($D96))),CkDJ[Credit])))+(SUM(IF((CsDJ[Ofc Code]=(TRIM(G$7)))*(CsDJ[Account Code]=(TRIM($D96))),CsDJ[Credit])))+(SUM(IF((CRDJ[Ofc Code]=(TRIM(G$7)))*(CRDJ[Account Code]=(TRIM($D96))),CRDJ[Credit])))+(SUM(IF((GJ[Ofc Code]=(TRIM(G$7)))*(GJ[Account Code]=(TRIM($D96))),GJ[Credit]))))</f>
        <v>0</v>
      </c>
      <c r="H96" s="211">
        <f t="array" ref="H96">((SUM(IF((CkDJ[Ofc Code]=(TRIM(H$7)))*(CkDJ[Account Code]=(TRIM($D96))),CkDJ[Debit])))+(SUM(IF((CsDJ[Ofc Code]=(TRIM(H$7)))*(CsDJ[Account Code]=(TRIM($D96))),CsDJ[Debit])))+(SUM(IF((CRDJ[Ofc Code]=(TRIM(H$7)))*(CRDJ[Account Code]=(TRIM($D96))),CRDJ[Debit])))+(SUM(IF((GJ[Ofc Code]=(TRIM(H$7)))*(GJ[Account Code]=(TRIM($D96))),GJ[Debit]))))-((SUM(IF((CkDJ[Ofc Code]=(TRIM(H$7)))*(CkDJ[Account Code]=(TRIM($D96))),CkDJ[Credit])))+(SUM(IF((CsDJ[Ofc Code]=(TRIM(H$7)))*(CsDJ[Account Code]=(TRIM($D96))),CsDJ[Credit])))+(SUM(IF((CRDJ[Ofc Code]=(TRIM(H$7)))*(CRDJ[Account Code]=(TRIM($D96))),CRDJ[Credit])))+(SUM(IF((GJ[Ofc Code]=(TRIM(H$7)))*(GJ[Account Code]=(TRIM($D96))),GJ[Credit]))))</f>
        <v>0</v>
      </c>
      <c r="I96" s="211">
        <f t="array" ref="I96">((SUM(IF((CkDJ[Ofc Code]=(TRIM(I$7)))*(CkDJ[Account Code]=(TRIM($D96))),CkDJ[Debit])))+(SUM(IF((CsDJ[Ofc Code]=(TRIM(I$7)))*(CsDJ[Account Code]=(TRIM($D96))),CsDJ[Debit])))+(SUM(IF((CRDJ[Ofc Code]=(TRIM(I$7)))*(CRDJ[Account Code]=(TRIM($D96))),CRDJ[Debit])))+(SUM(IF((GJ[Ofc Code]=(TRIM(I$7)))*(GJ[Account Code]=(TRIM($D96))),GJ[Debit]))))-((SUM(IF((CkDJ[Ofc Code]=(TRIM(I$7)))*(CkDJ[Account Code]=(TRIM($D96))),CkDJ[Credit])))+(SUM(IF((CsDJ[Ofc Code]=(TRIM(I$7)))*(CsDJ[Account Code]=(TRIM($D96))),CsDJ[Credit])))+(SUM(IF((CRDJ[Ofc Code]=(TRIM(I$7)))*(CRDJ[Account Code]=(TRIM($D96))),CRDJ[Credit])))+(SUM(IF((GJ[Ofc Code]=(TRIM(I$7)))*(GJ[Account Code]=(TRIM($D96))),GJ[Credit]))))</f>
        <v>0</v>
      </c>
      <c r="J96" s="211">
        <f>SUM(F96:I96)</f>
        <v>0</v>
      </c>
      <c r="K96" s="211">
        <f t="array" ref="K96">((SUM(IF((CkDJ[Ofc Code]=(TRIM(K$7)))*(CkDJ[Account Code]=(TRIM($D96))),CkDJ[Debit])))+(SUM(IF((CsDJ[Ofc Code]=(TRIM(K$7)))*(CsDJ[Account Code]=(TRIM($D96))),CsDJ[Debit])))+(SUM(IF((CRDJ[Ofc Code]=(TRIM(K$7)))*(CRDJ[Account Code]=(TRIM($D96))),CRDJ[Debit])))+(SUM(IF((GJ[Ofc Code]=(TRIM(K$7)))*(GJ[Account Code]=(TRIM($D96))),GJ[Debit]))))-((SUM(IF((CkDJ[Ofc Code]=(TRIM(K$7)))*(CkDJ[Account Code]=(TRIM($D96))),CkDJ[Credit])))+(SUM(IF((CsDJ[Ofc Code]=(TRIM(K$7)))*(CsDJ[Account Code]=(TRIM($D96))),CsDJ[Credit])))+(SUM(IF((CRDJ[Ofc Code]=(TRIM(K$7)))*(CRDJ[Account Code]=(TRIM($D96))),CRDJ[Credit])))+(SUM(IF((GJ[Ofc Code]=(TRIM(K$7)))*(GJ[Account Code]=(TRIM($D96))),GJ[Credit]))))</f>
        <v>0</v>
      </c>
      <c r="L96" s="211">
        <f t="array" ref="L96">((SUM(IF((CkDJ[Ofc Code]=(TRIM(L$7)))*(CkDJ[Account Code]=(TRIM($D96))),CkDJ[Debit])))+(SUM(IF((CsDJ[Ofc Code]=(TRIM(L$7)))*(CsDJ[Account Code]=(TRIM($D96))),CsDJ[Debit])))+(SUM(IF((CRDJ[Ofc Code]=(TRIM(L$7)))*(CRDJ[Account Code]=(TRIM($D96))),CRDJ[Debit])))+(SUM(IF((GJ[Ofc Code]=(TRIM(L$7)))*(GJ[Account Code]=(TRIM($D96))),GJ[Debit]))))-((SUM(IF((CkDJ[Ofc Code]=(TRIM(L$7)))*(CkDJ[Account Code]=(TRIM($D96))),CkDJ[Credit])))+(SUM(IF((CsDJ[Ofc Code]=(TRIM(L$7)))*(CsDJ[Account Code]=(TRIM($D96))),CsDJ[Credit])))+(SUM(IF((CRDJ[Ofc Code]=(TRIM(L$7)))*(CRDJ[Account Code]=(TRIM($D96))),CRDJ[Credit])))+(SUM(IF((GJ[Ofc Code]=(TRIM(L$7)))*(GJ[Account Code]=(TRIM($D96))),GJ[Credit]))))</f>
        <v>0</v>
      </c>
      <c r="M96" s="211">
        <f t="array" ref="M96">((SUM(IF((CkDJ[Ofc Code]=(TRIM(M$7)))*(CkDJ[Account Code]=(TRIM($D96))),CkDJ[Debit])))+(SUM(IF((CsDJ[Ofc Code]=(TRIM(M$7)))*(CsDJ[Account Code]=(TRIM($D96))),CsDJ[Debit])))+(SUM(IF((CRDJ[Ofc Code]=(TRIM(M$7)))*(CRDJ[Account Code]=(TRIM($D96))),CRDJ[Debit])))+(SUM(IF((GJ[Ofc Code]=(TRIM(M$7)))*(GJ[Account Code]=(TRIM($D96))),GJ[Debit]))))-((SUM(IF((CkDJ[Ofc Code]=(TRIM(M$7)))*(CkDJ[Account Code]=(TRIM($D96))),CkDJ[Credit])))+(SUM(IF((CsDJ[Ofc Code]=(TRIM(M$7)))*(CsDJ[Account Code]=(TRIM($D96))),CsDJ[Credit])))+(SUM(IF((CRDJ[Ofc Code]=(TRIM(M$7)))*(CRDJ[Account Code]=(TRIM($D96))),CRDJ[Credit])))+(SUM(IF((GJ[Ofc Code]=(TRIM(M$7)))*(GJ[Account Code]=(TRIM($D96))),GJ[Credit]))))</f>
        <v>0</v>
      </c>
      <c r="N96" s="211">
        <f t="array" ref="N96">((SUM(IF((CkDJ[Ofc Code]=(TRIM(N$7)))*(CkDJ[Account Code]=(TRIM($D96))),CkDJ[Debit])))+(SUM(IF((CsDJ[Ofc Code]=(TRIM(N$7)))*(CsDJ[Account Code]=(TRIM($D96))),CsDJ[Debit])))+(SUM(IF((CRDJ[Ofc Code]=(TRIM(N$7)))*(CRDJ[Account Code]=(TRIM($D96))),CRDJ[Debit])))+(SUM(IF((GJ[Ofc Code]=(TRIM(N$7)))*(GJ[Account Code]=(TRIM($D96))),GJ[Debit]))))-((SUM(IF((CkDJ[Ofc Code]=(TRIM(N$7)))*(CkDJ[Account Code]=(TRIM($D96))),CkDJ[Credit])))+(SUM(IF((CsDJ[Ofc Code]=(TRIM(N$7)))*(CsDJ[Account Code]=(TRIM($D96))),CsDJ[Credit])))+(SUM(IF((CRDJ[Ofc Code]=(TRIM(N$7)))*(CRDJ[Account Code]=(TRIM($D96))),CRDJ[Credit])))+(SUM(IF((GJ[Ofc Code]=(TRIM(N$7)))*(GJ[Account Code]=(TRIM($D96))),GJ[Credit]))))</f>
        <v>0</v>
      </c>
      <c r="O96" s="211">
        <f>SUM(K96:N96)</f>
        <v>0</v>
      </c>
      <c r="P96" s="211">
        <f t="array" ref="P96">((SUM(IF((CkDJ[Ofc Code]=(TRIM(P$7)))*(CkDJ[Account Code]=(TRIM($D96))),CkDJ[Debit])))+(SUM(IF((CsDJ[Ofc Code]=(TRIM(P$7)))*(CsDJ[Account Code]=(TRIM($D96))),CsDJ[Debit])))+(SUM(IF((CRDJ[Ofc Code]=(TRIM(P$7)))*(CRDJ[Account Code]=(TRIM($D96))),CRDJ[Debit])))+(SUM(IF((GJ[Ofc Code]=(TRIM(P$7)))*(GJ[Account Code]=(TRIM($D96))),GJ[Debit]))))-((SUM(IF((CkDJ[Ofc Code]=(TRIM(P$7)))*(CkDJ[Account Code]=(TRIM($D96))),CkDJ[Credit])))+(SUM(IF((CsDJ[Ofc Code]=(TRIM(P$7)))*(CsDJ[Account Code]=(TRIM($D96))),CsDJ[Credit])))+(SUM(IF((CRDJ[Ofc Code]=(TRIM(P$7)))*(CRDJ[Account Code]=(TRIM($D96))),CRDJ[Credit])))+(SUM(IF((GJ[Ofc Code]=(TRIM(P$7)))*(GJ[Account Code]=(TRIM($D96))),GJ[Credit]))))</f>
        <v>0</v>
      </c>
      <c r="Q96" s="211">
        <f t="array" ref="Q96">((SUM(IF((CkDJ[Ofc Code]=(TRIM(Q$7)))*(CkDJ[Account Code]=(TRIM($D96))),CkDJ[Debit])))+(SUM(IF((CsDJ[Ofc Code]=(TRIM(Q$7)))*(CsDJ[Account Code]=(TRIM($D96))),CsDJ[Debit])))+(SUM(IF((CRDJ[Ofc Code]=(TRIM(Q$7)))*(CRDJ[Account Code]=(TRIM($D96))),CRDJ[Debit])))+(SUM(IF((GJ[Ofc Code]=(TRIM(Q$7)))*(GJ[Account Code]=(TRIM($D96))),GJ[Debit]))))-((SUM(IF((CkDJ[Ofc Code]=(TRIM(Q$7)))*(CkDJ[Account Code]=(TRIM($D96))),CkDJ[Credit])))+(SUM(IF((CsDJ[Ofc Code]=(TRIM(Q$7)))*(CsDJ[Account Code]=(TRIM($D96))),CsDJ[Credit])))+(SUM(IF((CRDJ[Ofc Code]=(TRIM(Q$7)))*(CRDJ[Account Code]=(TRIM($D96))),CRDJ[Credit])))+(SUM(IF((GJ[Ofc Code]=(TRIM(Q$7)))*(GJ[Account Code]=(TRIM($D96))),GJ[Credit]))))</f>
        <v>0</v>
      </c>
      <c r="R96" s="211">
        <f t="array" ref="R96">((SUM(IF((CkDJ[Ofc Code]=(TRIM(R$7)))*(CkDJ[Account Code]=(TRIM($D96))),CkDJ[Debit])))+(SUM(IF((CsDJ[Ofc Code]=(TRIM(R$7)))*(CsDJ[Account Code]=(TRIM($D96))),CsDJ[Debit])))+(SUM(IF((CRDJ[Ofc Code]=(TRIM(R$7)))*(CRDJ[Account Code]=(TRIM($D96))),CRDJ[Debit])))+(SUM(IF((GJ[Ofc Code]=(TRIM(R$7)))*(GJ[Account Code]=(TRIM($D96))),GJ[Debit]))))-((SUM(IF((CkDJ[Ofc Code]=(TRIM(R$7)))*(CkDJ[Account Code]=(TRIM($D96))),CkDJ[Credit])))+(SUM(IF((CsDJ[Ofc Code]=(TRIM(R$7)))*(CsDJ[Account Code]=(TRIM($D96))),CsDJ[Credit])))+(SUM(IF((CRDJ[Ofc Code]=(TRIM(R$7)))*(CRDJ[Account Code]=(TRIM($D96))),CRDJ[Credit])))+(SUM(IF((GJ[Ofc Code]=(TRIM(R$7)))*(GJ[Account Code]=(TRIM($D96))),GJ[Credit]))))</f>
        <v>0</v>
      </c>
      <c r="S96" s="211">
        <f t="array" ref="S96">((SUM(IF((CkDJ[Ofc Code]=(TRIM(S$7)))*(CkDJ[Account Code]=(TRIM($D96))),CkDJ[Debit])))+(SUM(IF((CsDJ[Ofc Code]=(TRIM(S$7)))*(CsDJ[Account Code]=(TRIM($D96))),CsDJ[Debit])))+(SUM(IF((CRDJ[Ofc Code]=(TRIM(S$7)))*(CRDJ[Account Code]=(TRIM($D96))),CRDJ[Debit])))+(SUM(IF((GJ[Ofc Code]=(TRIM(S$7)))*(GJ[Account Code]=(TRIM($D96))),GJ[Debit]))))-((SUM(IF((CkDJ[Ofc Code]=(TRIM(S$7)))*(CkDJ[Account Code]=(TRIM($D96))),CkDJ[Credit])))+(SUM(IF((CsDJ[Ofc Code]=(TRIM(S$7)))*(CsDJ[Account Code]=(TRIM($D96))),CsDJ[Credit])))+(SUM(IF((CRDJ[Ofc Code]=(TRIM(S$7)))*(CRDJ[Account Code]=(TRIM($D96))),CRDJ[Credit])))+(SUM(IF((GJ[Ofc Code]=(TRIM(S$7)))*(GJ[Account Code]=(TRIM($D96))),GJ[Credit]))))</f>
        <v>0</v>
      </c>
      <c r="T96" s="211">
        <f t="array" ref="T96">((SUM(IF((CkDJ[Ofc Code]=(TRIM(T$7)))*(CkDJ[Account Code]=(TRIM($D96))),CkDJ[Debit])))+(SUM(IF((CsDJ[Ofc Code]=(TRIM(T$7)))*(CsDJ[Account Code]=(TRIM($D96))),CsDJ[Debit])))+(SUM(IF((CRDJ[Ofc Code]=(TRIM(T$7)))*(CRDJ[Account Code]=(TRIM($D96))),CRDJ[Debit])))+(SUM(IF((GJ[Ofc Code]=(TRIM(T$7)))*(GJ[Account Code]=(TRIM($D96))),GJ[Debit]))))-((SUM(IF((CkDJ[Ofc Code]=(TRIM(T$7)))*(CkDJ[Account Code]=(TRIM($D96))),CkDJ[Credit])))+(SUM(IF((CsDJ[Ofc Code]=(TRIM(T$7)))*(CsDJ[Account Code]=(TRIM($D96))),CsDJ[Credit])))+(SUM(IF((CRDJ[Ofc Code]=(TRIM(T$7)))*(CRDJ[Account Code]=(TRIM($D96))),CRDJ[Credit])))+(SUM(IF((GJ[Ofc Code]=(TRIM(T$7)))*(GJ[Account Code]=(TRIM($D96))),GJ[Credit]))))</f>
        <v>0</v>
      </c>
      <c r="U96" s="211">
        <f>SUM(P96:T96)</f>
        <v>0</v>
      </c>
      <c r="V96" s="211">
        <f>E96+J96+O96+U96</f>
        <v>0</v>
      </c>
    </row>
    <row r="97" spans="1:22" ht="15" x14ac:dyDescent="0.25">
      <c r="A97" s="212">
        <f>1+A96</f>
        <v>35</v>
      </c>
      <c r="B97" s="194"/>
      <c r="C97" s="194" t="e">
        <f>IF(D97=0,"",(VLOOKUP((TRIM(D97)),Code,2,)))</f>
        <v>#N/A</v>
      </c>
      <c r="D97" s="207" t="s">
        <v>270</v>
      </c>
      <c r="E97" s="211">
        <f t="array" ref="E97">((SUM(IF((CkDJ[Ofc Code]=(TRIM(E$7)))*(CkDJ[Account Code]=(TRIM($D97))),CkDJ[Debit])))+(SUM(IF((CsDJ[Ofc Code]=(TRIM(E$7)))*(CsDJ[Account Code]=(TRIM($D97))),CsDJ[Debit])))+(SUM(IF((CRDJ[Ofc Code]=(TRIM(E$7)))*(CRDJ[Account Code]=(TRIM($D97))),CRDJ[Debit])))+(SUM(IF((GJ[Ofc Code]=(TRIM(E$7)))*(GJ[Account Code]=(TRIM($D97))),GJ[Debit]))))-((SUM(IF((CkDJ[Ofc Code]=(TRIM(E$7)))*(CkDJ[Account Code]=(TRIM($D97))),CkDJ[Credit])))+(SUM(IF((CsDJ[Ofc Code]=(TRIM(E$7)))*(CsDJ[Account Code]=(TRIM($D97))),CsDJ[Credit])))+(SUM(IF((CRDJ[Ofc Code]=(TRIM(E$7)))*(CRDJ[Account Code]=(TRIM($D97))),CRDJ[Credit])))+(SUM(IF((GJ[Ofc Code]=(TRIM(E$7)))*(GJ[Account Code]=(TRIM($D97))),GJ[Credit]))))</f>
        <v>0</v>
      </c>
      <c r="F97" s="211">
        <f t="array" ref="F97">((SUM(IF((CkDJ[Ofc Code]=(TRIM(F$7)))*(CkDJ[Account Code]=(TRIM($D97))),CkDJ[Debit])))+(SUM(IF((CsDJ[Ofc Code]=(TRIM(F$7)))*(CsDJ[Account Code]=(TRIM($D97))),CsDJ[Debit])))+(SUM(IF((CRDJ[Ofc Code]=(TRIM(F$7)))*(CRDJ[Account Code]=(TRIM($D97))),CRDJ[Debit])))+(SUM(IF((GJ[Ofc Code]=(TRIM(F$7)))*(GJ[Account Code]=(TRIM($D97))),GJ[Debit]))))-((SUM(IF((CkDJ[Ofc Code]=(TRIM(F$7)))*(CkDJ[Account Code]=(TRIM($D97))),CkDJ[Credit])))+(SUM(IF((CsDJ[Ofc Code]=(TRIM(F$7)))*(CsDJ[Account Code]=(TRIM($D97))),CsDJ[Credit])))+(SUM(IF((CRDJ[Ofc Code]=(TRIM(F$7)))*(CRDJ[Account Code]=(TRIM($D97))),CRDJ[Credit])))+(SUM(IF((GJ[Ofc Code]=(TRIM(F$7)))*(GJ[Account Code]=(TRIM($D97))),GJ[Credit]))))</f>
        <v>0</v>
      </c>
      <c r="G97" s="211">
        <f t="array" ref="G97">((SUM(IF((CkDJ[Ofc Code]=(TRIM(G$7)))*(CkDJ[Account Code]=(TRIM($D97))),CkDJ[Debit])))+(SUM(IF((CsDJ[Ofc Code]=(TRIM(G$7)))*(CsDJ[Account Code]=(TRIM($D97))),CsDJ[Debit])))+(SUM(IF((CRDJ[Ofc Code]=(TRIM(G$7)))*(CRDJ[Account Code]=(TRIM($D97))),CRDJ[Debit])))+(SUM(IF((GJ[Ofc Code]=(TRIM(G$7)))*(GJ[Account Code]=(TRIM($D97))),GJ[Debit]))))-((SUM(IF((CkDJ[Ofc Code]=(TRIM(G$7)))*(CkDJ[Account Code]=(TRIM($D97))),CkDJ[Credit])))+(SUM(IF((CsDJ[Ofc Code]=(TRIM(G$7)))*(CsDJ[Account Code]=(TRIM($D97))),CsDJ[Credit])))+(SUM(IF((CRDJ[Ofc Code]=(TRIM(G$7)))*(CRDJ[Account Code]=(TRIM($D97))),CRDJ[Credit])))+(SUM(IF((GJ[Ofc Code]=(TRIM(G$7)))*(GJ[Account Code]=(TRIM($D97))),GJ[Credit]))))</f>
        <v>0</v>
      </c>
      <c r="H97" s="211">
        <f t="array" ref="H97">((SUM(IF((CkDJ[Ofc Code]=(TRIM(H$7)))*(CkDJ[Account Code]=(TRIM($D97))),CkDJ[Debit])))+(SUM(IF((CsDJ[Ofc Code]=(TRIM(H$7)))*(CsDJ[Account Code]=(TRIM($D97))),CsDJ[Debit])))+(SUM(IF((CRDJ[Ofc Code]=(TRIM(H$7)))*(CRDJ[Account Code]=(TRIM($D97))),CRDJ[Debit])))+(SUM(IF((GJ[Ofc Code]=(TRIM(H$7)))*(GJ[Account Code]=(TRIM($D97))),GJ[Debit]))))-((SUM(IF((CkDJ[Ofc Code]=(TRIM(H$7)))*(CkDJ[Account Code]=(TRIM($D97))),CkDJ[Credit])))+(SUM(IF((CsDJ[Ofc Code]=(TRIM(H$7)))*(CsDJ[Account Code]=(TRIM($D97))),CsDJ[Credit])))+(SUM(IF((CRDJ[Ofc Code]=(TRIM(H$7)))*(CRDJ[Account Code]=(TRIM($D97))),CRDJ[Credit])))+(SUM(IF((GJ[Ofc Code]=(TRIM(H$7)))*(GJ[Account Code]=(TRIM($D97))),GJ[Credit]))))</f>
        <v>0</v>
      </c>
      <c r="I97" s="211">
        <f t="array" ref="I97">((SUM(IF((CkDJ[Ofc Code]=(TRIM(I$7)))*(CkDJ[Account Code]=(TRIM($D97))),CkDJ[Debit])))+(SUM(IF((CsDJ[Ofc Code]=(TRIM(I$7)))*(CsDJ[Account Code]=(TRIM($D97))),CsDJ[Debit])))+(SUM(IF((CRDJ[Ofc Code]=(TRIM(I$7)))*(CRDJ[Account Code]=(TRIM($D97))),CRDJ[Debit])))+(SUM(IF((GJ[Ofc Code]=(TRIM(I$7)))*(GJ[Account Code]=(TRIM($D97))),GJ[Debit]))))-((SUM(IF((CkDJ[Ofc Code]=(TRIM(I$7)))*(CkDJ[Account Code]=(TRIM($D97))),CkDJ[Credit])))+(SUM(IF((CsDJ[Ofc Code]=(TRIM(I$7)))*(CsDJ[Account Code]=(TRIM($D97))),CsDJ[Credit])))+(SUM(IF((CRDJ[Ofc Code]=(TRIM(I$7)))*(CRDJ[Account Code]=(TRIM($D97))),CRDJ[Credit])))+(SUM(IF((GJ[Ofc Code]=(TRIM(I$7)))*(GJ[Account Code]=(TRIM($D97))),GJ[Credit]))))</f>
        <v>0</v>
      </c>
      <c r="J97" s="211">
        <f>SUM(F97:I97)</f>
        <v>0</v>
      </c>
      <c r="K97" s="211">
        <f t="array" ref="K97">((SUM(IF((CkDJ[Ofc Code]=(TRIM(K$7)))*(CkDJ[Account Code]=(TRIM($D97))),CkDJ[Debit])))+(SUM(IF((CsDJ[Ofc Code]=(TRIM(K$7)))*(CsDJ[Account Code]=(TRIM($D97))),CsDJ[Debit])))+(SUM(IF((CRDJ[Ofc Code]=(TRIM(K$7)))*(CRDJ[Account Code]=(TRIM($D97))),CRDJ[Debit])))+(SUM(IF((GJ[Ofc Code]=(TRIM(K$7)))*(GJ[Account Code]=(TRIM($D97))),GJ[Debit]))))-((SUM(IF((CkDJ[Ofc Code]=(TRIM(K$7)))*(CkDJ[Account Code]=(TRIM($D97))),CkDJ[Credit])))+(SUM(IF((CsDJ[Ofc Code]=(TRIM(K$7)))*(CsDJ[Account Code]=(TRIM($D97))),CsDJ[Credit])))+(SUM(IF((CRDJ[Ofc Code]=(TRIM(K$7)))*(CRDJ[Account Code]=(TRIM($D97))),CRDJ[Credit])))+(SUM(IF((GJ[Ofc Code]=(TRIM(K$7)))*(GJ[Account Code]=(TRIM($D97))),GJ[Credit]))))</f>
        <v>0</v>
      </c>
      <c r="L97" s="211">
        <f t="array" ref="L97">((SUM(IF((CkDJ[Ofc Code]=(TRIM(L$7)))*(CkDJ[Account Code]=(TRIM($D97))),CkDJ[Debit])))+(SUM(IF((CsDJ[Ofc Code]=(TRIM(L$7)))*(CsDJ[Account Code]=(TRIM($D97))),CsDJ[Debit])))+(SUM(IF((CRDJ[Ofc Code]=(TRIM(L$7)))*(CRDJ[Account Code]=(TRIM($D97))),CRDJ[Debit])))+(SUM(IF((GJ[Ofc Code]=(TRIM(L$7)))*(GJ[Account Code]=(TRIM($D97))),GJ[Debit]))))-((SUM(IF((CkDJ[Ofc Code]=(TRIM(L$7)))*(CkDJ[Account Code]=(TRIM($D97))),CkDJ[Credit])))+(SUM(IF((CsDJ[Ofc Code]=(TRIM(L$7)))*(CsDJ[Account Code]=(TRIM($D97))),CsDJ[Credit])))+(SUM(IF((CRDJ[Ofc Code]=(TRIM(L$7)))*(CRDJ[Account Code]=(TRIM($D97))),CRDJ[Credit])))+(SUM(IF((GJ[Ofc Code]=(TRIM(L$7)))*(GJ[Account Code]=(TRIM($D97))),GJ[Credit]))))</f>
        <v>0</v>
      </c>
      <c r="M97" s="211">
        <f t="array" ref="M97">((SUM(IF((CkDJ[Ofc Code]=(TRIM(M$7)))*(CkDJ[Account Code]=(TRIM($D97))),CkDJ[Debit])))+(SUM(IF((CsDJ[Ofc Code]=(TRIM(M$7)))*(CsDJ[Account Code]=(TRIM($D97))),CsDJ[Debit])))+(SUM(IF((CRDJ[Ofc Code]=(TRIM(M$7)))*(CRDJ[Account Code]=(TRIM($D97))),CRDJ[Debit])))+(SUM(IF((GJ[Ofc Code]=(TRIM(M$7)))*(GJ[Account Code]=(TRIM($D97))),GJ[Debit]))))-((SUM(IF((CkDJ[Ofc Code]=(TRIM(M$7)))*(CkDJ[Account Code]=(TRIM($D97))),CkDJ[Credit])))+(SUM(IF((CsDJ[Ofc Code]=(TRIM(M$7)))*(CsDJ[Account Code]=(TRIM($D97))),CsDJ[Credit])))+(SUM(IF((CRDJ[Ofc Code]=(TRIM(M$7)))*(CRDJ[Account Code]=(TRIM($D97))),CRDJ[Credit])))+(SUM(IF((GJ[Ofc Code]=(TRIM(M$7)))*(GJ[Account Code]=(TRIM($D97))),GJ[Credit]))))</f>
        <v>0</v>
      </c>
      <c r="N97" s="211">
        <f t="array" ref="N97">((SUM(IF((CkDJ[Ofc Code]=(TRIM(N$7)))*(CkDJ[Account Code]=(TRIM($D97))),CkDJ[Debit])))+(SUM(IF((CsDJ[Ofc Code]=(TRIM(N$7)))*(CsDJ[Account Code]=(TRIM($D97))),CsDJ[Debit])))+(SUM(IF((CRDJ[Ofc Code]=(TRIM(N$7)))*(CRDJ[Account Code]=(TRIM($D97))),CRDJ[Debit])))+(SUM(IF((GJ[Ofc Code]=(TRIM(N$7)))*(GJ[Account Code]=(TRIM($D97))),GJ[Debit]))))-((SUM(IF((CkDJ[Ofc Code]=(TRIM(N$7)))*(CkDJ[Account Code]=(TRIM($D97))),CkDJ[Credit])))+(SUM(IF((CsDJ[Ofc Code]=(TRIM(N$7)))*(CsDJ[Account Code]=(TRIM($D97))),CsDJ[Credit])))+(SUM(IF((CRDJ[Ofc Code]=(TRIM(N$7)))*(CRDJ[Account Code]=(TRIM($D97))),CRDJ[Credit])))+(SUM(IF((GJ[Ofc Code]=(TRIM(N$7)))*(GJ[Account Code]=(TRIM($D97))),GJ[Credit]))))</f>
        <v>0</v>
      </c>
      <c r="O97" s="211">
        <f>SUM(K97:N97)</f>
        <v>0</v>
      </c>
      <c r="P97" s="211">
        <f t="array" ref="P97">((SUM(IF((CkDJ[Ofc Code]=(TRIM(P$7)))*(CkDJ[Account Code]=(TRIM($D97))),CkDJ[Debit])))+(SUM(IF((CsDJ[Ofc Code]=(TRIM(P$7)))*(CsDJ[Account Code]=(TRIM($D97))),CsDJ[Debit])))+(SUM(IF((CRDJ[Ofc Code]=(TRIM(P$7)))*(CRDJ[Account Code]=(TRIM($D97))),CRDJ[Debit])))+(SUM(IF((GJ[Ofc Code]=(TRIM(P$7)))*(GJ[Account Code]=(TRIM($D97))),GJ[Debit]))))-((SUM(IF((CkDJ[Ofc Code]=(TRIM(P$7)))*(CkDJ[Account Code]=(TRIM($D97))),CkDJ[Credit])))+(SUM(IF((CsDJ[Ofc Code]=(TRIM(P$7)))*(CsDJ[Account Code]=(TRIM($D97))),CsDJ[Credit])))+(SUM(IF((CRDJ[Ofc Code]=(TRIM(P$7)))*(CRDJ[Account Code]=(TRIM($D97))),CRDJ[Credit])))+(SUM(IF((GJ[Ofc Code]=(TRIM(P$7)))*(GJ[Account Code]=(TRIM($D97))),GJ[Credit]))))</f>
        <v>0</v>
      </c>
      <c r="Q97" s="211">
        <f t="array" ref="Q97">((SUM(IF((CkDJ[Ofc Code]=(TRIM(Q$7)))*(CkDJ[Account Code]=(TRIM($D97))),CkDJ[Debit])))+(SUM(IF((CsDJ[Ofc Code]=(TRIM(Q$7)))*(CsDJ[Account Code]=(TRIM($D97))),CsDJ[Debit])))+(SUM(IF((CRDJ[Ofc Code]=(TRIM(Q$7)))*(CRDJ[Account Code]=(TRIM($D97))),CRDJ[Debit])))+(SUM(IF((GJ[Ofc Code]=(TRIM(Q$7)))*(GJ[Account Code]=(TRIM($D97))),GJ[Debit]))))-((SUM(IF((CkDJ[Ofc Code]=(TRIM(Q$7)))*(CkDJ[Account Code]=(TRIM($D97))),CkDJ[Credit])))+(SUM(IF((CsDJ[Ofc Code]=(TRIM(Q$7)))*(CsDJ[Account Code]=(TRIM($D97))),CsDJ[Credit])))+(SUM(IF((CRDJ[Ofc Code]=(TRIM(Q$7)))*(CRDJ[Account Code]=(TRIM($D97))),CRDJ[Credit])))+(SUM(IF((GJ[Ofc Code]=(TRIM(Q$7)))*(GJ[Account Code]=(TRIM($D97))),GJ[Credit]))))</f>
        <v>0</v>
      </c>
      <c r="R97" s="211">
        <f t="array" ref="R97">((SUM(IF((CkDJ[Ofc Code]=(TRIM(R$7)))*(CkDJ[Account Code]=(TRIM($D97))),CkDJ[Debit])))+(SUM(IF((CsDJ[Ofc Code]=(TRIM(R$7)))*(CsDJ[Account Code]=(TRIM($D97))),CsDJ[Debit])))+(SUM(IF((CRDJ[Ofc Code]=(TRIM(R$7)))*(CRDJ[Account Code]=(TRIM($D97))),CRDJ[Debit])))+(SUM(IF((GJ[Ofc Code]=(TRIM(R$7)))*(GJ[Account Code]=(TRIM($D97))),GJ[Debit]))))-((SUM(IF((CkDJ[Ofc Code]=(TRIM(R$7)))*(CkDJ[Account Code]=(TRIM($D97))),CkDJ[Credit])))+(SUM(IF((CsDJ[Ofc Code]=(TRIM(R$7)))*(CsDJ[Account Code]=(TRIM($D97))),CsDJ[Credit])))+(SUM(IF((CRDJ[Ofc Code]=(TRIM(R$7)))*(CRDJ[Account Code]=(TRIM($D97))),CRDJ[Credit])))+(SUM(IF((GJ[Ofc Code]=(TRIM(R$7)))*(GJ[Account Code]=(TRIM($D97))),GJ[Credit]))))</f>
        <v>0</v>
      </c>
      <c r="S97" s="211">
        <f t="array" ref="S97">((SUM(IF((CkDJ[Ofc Code]=(TRIM(S$7)))*(CkDJ[Account Code]=(TRIM($D97))),CkDJ[Debit])))+(SUM(IF((CsDJ[Ofc Code]=(TRIM(S$7)))*(CsDJ[Account Code]=(TRIM($D97))),CsDJ[Debit])))+(SUM(IF((CRDJ[Ofc Code]=(TRIM(S$7)))*(CRDJ[Account Code]=(TRIM($D97))),CRDJ[Debit])))+(SUM(IF((GJ[Ofc Code]=(TRIM(S$7)))*(GJ[Account Code]=(TRIM($D97))),GJ[Debit]))))-((SUM(IF((CkDJ[Ofc Code]=(TRIM(S$7)))*(CkDJ[Account Code]=(TRIM($D97))),CkDJ[Credit])))+(SUM(IF((CsDJ[Ofc Code]=(TRIM(S$7)))*(CsDJ[Account Code]=(TRIM($D97))),CsDJ[Credit])))+(SUM(IF((CRDJ[Ofc Code]=(TRIM(S$7)))*(CRDJ[Account Code]=(TRIM($D97))),CRDJ[Credit])))+(SUM(IF((GJ[Ofc Code]=(TRIM(S$7)))*(GJ[Account Code]=(TRIM($D97))),GJ[Credit]))))</f>
        <v>0</v>
      </c>
      <c r="T97" s="211">
        <f t="array" ref="T97">((SUM(IF((CkDJ[Ofc Code]=(TRIM(T$7)))*(CkDJ[Account Code]=(TRIM($D97))),CkDJ[Debit])))+(SUM(IF((CsDJ[Ofc Code]=(TRIM(T$7)))*(CsDJ[Account Code]=(TRIM($D97))),CsDJ[Debit])))+(SUM(IF((CRDJ[Ofc Code]=(TRIM(T$7)))*(CRDJ[Account Code]=(TRIM($D97))),CRDJ[Debit])))+(SUM(IF((GJ[Ofc Code]=(TRIM(T$7)))*(GJ[Account Code]=(TRIM($D97))),GJ[Debit]))))-((SUM(IF((CkDJ[Ofc Code]=(TRIM(T$7)))*(CkDJ[Account Code]=(TRIM($D97))),CkDJ[Credit])))+(SUM(IF((CsDJ[Ofc Code]=(TRIM(T$7)))*(CsDJ[Account Code]=(TRIM($D97))),CsDJ[Credit])))+(SUM(IF((CRDJ[Ofc Code]=(TRIM(T$7)))*(CRDJ[Account Code]=(TRIM($D97))),CRDJ[Credit])))+(SUM(IF((GJ[Ofc Code]=(TRIM(T$7)))*(GJ[Account Code]=(TRIM($D97))),GJ[Credit]))))</f>
        <v>0</v>
      </c>
      <c r="U97" s="211">
        <f>SUM(P97:T97)</f>
        <v>0</v>
      </c>
      <c r="V97" s="211">
        <f>E97+J97+O97+U97</f>
        <v>0</v>
      </c>
    </row>
    <row r="98" spans="1:22" ht="15" x14ac:dyDescent="0.25">
      <c r="A98" s="212">
        <f>1+A97</f>
        <v>36</v>
      </c>
      <c r="B98" s="194"/>
      <c r="C98" s="194" t="str">
        <f t="shared" si="14"/>
        <v>Other Maintenance and Operating Expenses - Other Maintenance and Operating Expenses</v>
      </c>
      <c r="D98" s="207" t="s">
        <v>271</v>
      </c>
      <c r="E98" s="211">
        <f t="array" ref="E98">((SUM(IF((CkDJ[Ofc Code]=(TRIM(E$7)))*(CkDJ[Account Code]=(TRIM($D98))),CkDJ[Debit])))+(SUM(IF((CsDJ[Ofc Code]=(TRIM(E$7)))*(CsDJ[Account Code]=(TRIM($D98))),CsDJ[Debit])))+(SUM(IF((CRDJ[Ofc Code]=(TRIM(E$7)))*(CRDJ[Account Code]=(TRIM($D98))),CRDJ[Debit])))+(SUM(IF((GJ[Ofc Code]=(TRIM(E$7)))*(GJ[Account Code]=(TRIM($D98))),GJ[Debit]))))-((SUM(IF((CkDJ[Ofc Code]=(TRIM(E$7)))*(CkDJ[Account Code]=(TRIM($D98))),CkDJ[Credit])))+(SUM(IF((CsDJ[Ofc Code]=(TRIM(E$7)))*(CsDJ[Account Code]=(TRIM($D98))),CsDJ[Credit])))+(SUM(IF((CRDJ[Ofc Code]=(TRIM(E$7)))*(CRDJ[Account Code]=(TRIM($D98))),CRDJ[Credit])))+(SUM(IF((GJ[Ofc Code]=(TRIM(E$7)))*(GJ[Account Code]=(TRIM($D98))),GJ[Credit]))))</f>
        <v>0</v>
      </c>
      <c r="F98" s="211">
        <f t="array" ref="F98">((SUM(IF((CkDJ[Ofc Code]=(TRIM(F$7)))*(CkDJ[Account Code]=(TRIM($D98))),CkDJ[Debit])))+(SUM(IF((CsDJ[Ofc Code]=(TRIM(F$7)))*(CsDJ[Account Code]=(TRIM($D98))),CsDJ[Debit])))+(SUM(IF((CRDJ[Ofc Code]=(TRIM(F$7)))*(CRDJ[Account Code]=(TRIM($D98))),CRDJ[Debit])))+(SUM(IF((GJ[Ofc Code]=(TRIM(F$7)))*(GJ[Account Code]=(TRIM($D98))),GJ[Debit]))))-((SUM(IF((CkDJ[Ofc Code]=(TRIM(F$7)))*(CkDJ[Account Code]=(TRIM($D98))),CkDJ[Credit])))+(SUM(IF((CsDJ[Ofc Code]=(TRIM(F$7)))*(CsDJ[Account Code]=(TRIM($D98))),CsDJ[Credit])))+(SUM(IF((CRDJ[Ofc Code]=(TRIM(F$7)))*(CRDJ[Account Code]=(TRIM($D98))),CRDJ[Credit])))+(SUM(IF((GJ[Ofc Code]=(TRIM(F$7)))*(GJ[Account Code]=(TRIM($D98))),GJ[Credit]))))</f>
        <v>0</v>
      </c>
      <c r="G98" s="211">
        <f t="array" ref="G98">((SUM(IF((CkDJ[Ofc Code]=(TRIM(G$7)))*(CkDJ[Account Code]=(TRIM($D98))),CkDJ[Debit])))+(SUM(IF((CsDJ[Ofc Code]=(TRIM(G$7)))*(CsDJ[Account Code]=(TRIM($D98))),CsDJ[Debit])))+(SUM(IF((CRDJ[Ofc Code]=(TRIM(G$7)))*(CRDJ[Account Code]=(TRIM($D98))),CRDJ[Debit])))+(SUM(IF((GJ[Ofc Code]=(TRIM(G$7)))*(GJ[Account Code]=(TRIM($D98))),GJ[Debit]))))-((SUM(IF((CkDJ[Ofc Code]=(TRIM(G$7)))*(CkDJ[Account Code]=(TRIM($D98))),CkDJ[Credit])))+(SUM(IF((CsDJ[Ofc Code]=(TRIM(G$7)))*(CsDJ[Account Code]=(TRIM($D98))),CsDJ[Credit])))+(SUM(IF((CRDJ[Ofc Code]=(TRIM(G$7)))*(CRDJ[Account Code]=(TRIM($D98))),CRDJ[Credit])))+(SUM(IF((GJ[Ofc Code]=(TRIM(G$7)))*(GJ[Account Code]=(TRIM($D98))),GJ[Credit]))))</f>
        <v>0</v>
      </c>
      <c r="H98" s="211">
        <f t="array" ref="H98">((SUM(IF((CkDJ[Ofc Code]=(TRIM(H$7)))*(CkDJ[Account Code]=(TRIM($D98))),CkDJ[Debit])))+(SUM(IF((CsDJ[Ofc Code]=(TRIM(H$7)))*(CsDJ[Account Code]=(TRIM($D98))),CsDJ[Debit])))+(SUM(IF((CRDJ[Ofc Code]=(TRIM(H$7)))*(CRDJ[Account Code]=(TRIM($D98))),CRDJ[Debit])))+(SUM(IF((GJ[Ofc Code]=(TRIM(H$7)))*(GJ[Account Code]=(TRIM($D98))),GJ[Debit]))))-((SUM(IF((CkDJ[Ofc Code]=(TRIM(H$7)))*(CkDJ[Account Code]=(TRIM($D98))),CkDJ[Credit])))+(SUM(IF((CsDJ[Ofc Code]=(TRIM(H$7)))*(CsDJ[Account Code]=(TRIM($D98))),CsDJ[Credit])))+(SUM(IF((CRDJ[Ofc Code]=(TRIM(H$7)))*(CRDJ[Account Code]=(TRIM($D98))),CRDJ[Credit])))+(SUM(IF((GJ[Ofc Code]=(TRIM(H$7)))*(GJ[Account Code]=(TRIM($D98))),GJ[Credit]))))</f>
        <v>0</v>
      </c>
      <c r="I98" s="211">
        <f t="array" ref="I98">((SUM(IF((CkDJ[Ofc Code]=(TRIM(I$7)))*(CkDJ[Account Code]=(TRIM($D98))),CkDJ[Debit])))+(SUM(IF((CsDJ[Ofc Code]=(TRIM(I$7)))*(CsDJ[Account Code]=(TRIM($D98))),CsDJ[Debit])))+(SUM(IF((CRDJ[Ofc Code]=(TRIM(I$7)))*(CRDJ[Account Code]=(TRIM($D98))),CRDJ[Debit])))+(SUM(IF((GJ[Ofc Code]=(TRIM(I$7)))*(GJ[Account Code]=(TRIM($D98))),GJ[Debit]))))-((SUM(IF((CkDJ[Ofc Code]=(TRIM(I$7)))*(CkDJ[Account Code]=(TRIM($D98))),CkDJ[Credit])))+(SUM(IF((CsDJ[Ofc Code]=(TRIM(I$7)))*(CsDJ[Account Code]=(TRIM($D98))),CsDJ[Credit])))+(SUM(IF((CRDJ[Ofc Code]=(TRIM(I$7)))*(CRDJ[Account Code]=(TRIM($D98))),CRDJ[Credit])))+(SUM(IF((GJ[Ofc Code]=(TRIM(I$7)))*(GJ[Account Code]=(TRIM($D98))),GJ[Credit]))))</f>
        <v>0</v>
      </c>
      <c r="J98" s="211">
        <f t="shared" si="15"/>
        <v>0</v>
      </c>
      <c r="K98" s="211">
        <f t="array" ref="K98">((SUM(IF((CkDJ[Ofc Code]=(TRIM(K$7)))*(CkDJ[Account Code]=(TRIM($D98))),CkDJ[Debit])))+(SUM(IF((CsDJ[Ofc Code]=(TRIM(K$7)))*(CsDJ[Account Code]=(TRIM($D98))),CsDJ[Debit])))+(SUM(IF((CRDJ[Ofc Code]=(TRIM(K$7)))*(CRDJ[Account Code]=(TRIM($D98))),CRDJ[Debit])))+(SUM(IF((GJ[Ofc Code]=(TRIM(K$7)))*(GJ[Account Code]=(TRIM($D98))),GJ[Debit]))))-((SUM(IF((CkDJ[Ofc Code]=(TRIM(K$7)))*(CkDJ[Account Code]=(TRIM($D98))),CkDJ[Credit])))+(SUM(IF((CsDJ[Ofc Code]=(TRIM(K$7)))*(CsDJ[Account Code]=(TRIM($D98))),CsDJ[Credit])))+(SUM(IF((CRDJ[Ofc Code]=(TRIM(K$7)))*(CRDJ[Account Code]=(TRIM($D98))),CRDJ[Credit])))+(SUM(IF((GJ[Ofc Code]=(TRIM(K$7)))*(GJ[Account Code]=(TRIM($D98))),GJ[Credit]))))</f>
        <v>0</v>
      </c>
      <c r="L98" s="211">
        <f t="array" ref="L98">((SUM(IF((CkDJ[Ofc Code]=(TRIM(L$7)))*(CkDJ[Account Code]=(TRIM($D98))),CkDJ[Debit])))+(SUM(IF((CsDJ[Ofc Code]=(TRIM(L$7)))*(CsDJ[Account Code]=(TRIM($D98))),CsDJ[Debit])))+(SUM(IF((CRDJ[Ofc Code]=(TRIM(L$7)))*(CRDJ[Account Code]=(TRIM($D98))),CRDJ[Debit])))+(SUM(IF((GJ[Ofc Code]=(TRIM(L$7)))*(GJ[Account Code]=(TRIM($D98))),GJ[Debit]))))-((SUM(IF((CkDJ[Ofc Code]=(TRIM(L$7)))*(CkDJ[Account Code]=(TRIM($D98))),CkDJ[Credit])))+(SUM(IF((CsDJ[Ofc Code]=(TRIM(L$7)))*(CsDJ[Account Code]=(TRIM($D98))),CsDJ[Credit])))+(SUM(IF((CRDJ[Ofc Code]=(TRIM(L$7)))*(CRDJ[Account Code]=(TRIM($D98))),CRDJ[Credit])))+(SUM(IF((GJ[Ofc Code]=(TRIM(L$7)))*(GJ[Account Code]=(TRIM($D98))),GJ[Credit]))))</f>
        <v>0</v>
      </c>
      <c r="M98" s="211">
        <f t="array" ref="M98">((SUM(IF((CkDJ[Ofc Code]=(TRIM(M$7)))*(CkDJ[Account Code]=(TRIM($D98))),CkDJ[Debit])))+(SUM(IF((CsDJ[Ofc Code]=(TRIM(M$7)))*(CsDJ[Account Code]=(TRIM($D98))),CsDJ[Debit])))+(SUM(IF((CRDJ[Ofc Code]=(TRIM(M$7)))*(CRDJ[Account Code]=(TRIM($D98))),CRDJ[Debit])))+(SUM(IF((GJ[Ofc Code]=(TRIM(M$7)))*(GJ[Account Code]=(TRIM($D98))),GJ[Debit]))))-((SUM(IF((CkDJ[Ofc Code]=(TRIM(M$7)))*(CkDJ[Account Code]=(TRIM($D98))),CkDJ[Credit])))+(SUM(IF((CsDJ[Ofc Code]=(TRIM(M$7)))*(CsDJ[Account Code]=(TRIM($D98))),CsDJ[Credit])))+(SUM(IF((CRDJ[Ofc Code]=(TRIM(M$7)))*(CRDJ[Account Code]=(TRIM($D98))),CRDJ[Credit])))+(SUM(IF((GJ[Ofc Code]=(TRIM(M$7)))*(GJ[Account Code]=(TRIM($D98))),GJ[Credit]))))</f>
        <v>0</v>
      </c>
      <c r="N98" s="211">
        <f t="array" ref="N98">((SUM(IF((CkDJ[Ofc Code]=(TRIM(N$7)))*(CkDJ[Account Code]=(TRIM($D98))),CkDJ[Debit])))+(SUM(IF((CsDJ[Ofc Code]=(TRIM(N$7)))*(CsDJ[Account Code]=(TRIM($D98))),CsDJ[Debit])))+(SUM(IF((CRDJ[Ofc Code]=(TRIM(N$7)))*(CRDJ[Account Code]=(TRIM($D98))),CRDJ[Debit])))+(SUM(IF((GJ[Ofc Code]=(TRIM(N$7)))*(GJ[Account Code]=(TRIM($D98))),GJ[Debit]))))-((SUM(IF((CkDJ[Ofc Code]=(TRIM(N$7)))*(CkDJ[Account Code]=(TRIM($D98))),CkDJ[Credit])))+(SUM(IF((CsDJ[Ofc Code]=(TRIM(N$7)))*(CsDJ[Account Code]=(TRIM($D98))),CsDJ[Credit])))+(SUM(IF((CRDJ[Ofc Code]=(TRIM(N$7)))*(CRDJ[Account Code]=(TRIM($D98))),CRDJ[Credit])))+(SUM(IF((GJ[Ofc Code]=(TRIM(N$7)))*(GJ[Account Code]=(TRIM($D98))),GJ[Credit]))))</f>
        <v>0</v>
      </c>
      <c r="O98" s="211">
        <f t="shared" si="16"/>
        <v>0</v>
      </c>
      <c r="P98" s="211">
        <f t="array" ref="P98">((SUM(IF((CkDJ[Ofc Code]=(TRIM(P$7)))*(CkDJ[Account Code]=(TRIM($D98))),CkDJ[Debit])))+(SUM(IF((CsDJ[Ofc Code]=(TRIM(P$7)))*(CsDJ[Account Code]=(TRIM($D98))),CsDJ[Debit])))+(SUM(IF((CRDJ[Ofc Code]=(TRIM(P$7)))*(CRDJ[Account Code]=(TRIM($D98))),CRDJ[Debit])))+(SUM(IF((GJ[Ofc Code]=(TRIM(P$7)))*(GJ[Account Code]=(TRIM($D98))),GJ[Debit]))))-((SUM(IF((CkDJ[Ofc Code]=(TRIM(P$7)))*(CkDJ[Account Code]=(TRIM($D98))),CkDJ[Credit])))+(SUM(IF((CsDJ[Ofc Code]=(TRIM(P$7)))*(CsDJ[Account Code]=(TRIM($D98))),CsDJ[Credit])))+(SUM(IF((CRDJ[Ofc Code]=(TRIM(P$7)))*(CRDJ[Account Code]=(TRIM($D98))),CRDJ[Credit])))+(SUM(IF((GJ[Ofc Code]=(TRIM(P$7)))*(GJ[Account Code]=(TRIM($D98))),GJ[Credit]))))</f>
        <v>0</v>
      </c>
      <c r="Q98" s="211">
        <f t="array" ref="Q98">((SUM(IF((CkDJ[Ofc Code]=(TRIM(Q$7)))*(CkDJ[Account Code]=(TRIM($D98))),CkDJ[Debit])))+(SUM(IF((CsDJ[Ofc Code]=(TRIM(Q$7)))*(CsDJ[Account Code]=(TRIM($D98))),CsDJ[Debit])))+(SUM(IF((CRDJ[Ofc Code]=(TRIM(Q$7)))*(CRDJ[Account Code]=(TRIM($D98))),CRDJ[Debit])))+(SUM(IF((GJ[Ofc Code]=(TRIM(Q$7)))*(GJ[Account Code]=(TRIM($D98))),GJ[Debit]))))-((SUM(IF((CkDJ[Ofc Code]=(TRIM(Q$7)))*(CkDJ[Account Code]=(TRIM($D98))),CkDJ[Credit])))+(SUM(IF((CsDJ[Ofc Code]=(TRIM(Q$7)))*(CsDJ[Account Code]=(TRIM($D98))),CsDJ[Credit])))+(SUM(IF((CRDJ[Ofc Code]=(TRIM(Q$7)))*(CRDJ[Account Code]=(TRIM($D98))),CRDJ[Credit])))+(SUM(IF((GJ[Ofc Code]=(TRIM(Q$7)))*(GJ[Account Code]=(TRIM($D98))),GJ[Credit]))))</f>
        <v>0</v>
      </c>
      <c r="R98" s="211">
        <f t="array" ref="R98">((SUM(IF((CkDJ[Ofc Code]=(TRIM(R$7)))*(CkDJ[Account Code]=(TRIM($D98))),CkDJ[Debit])))+(SUM(IF((CsDJ[Ofc Code]=(TRIM(R$7)))*(CsDJ[Account Code]=(TRIM($D98))),CsDJ[Debit])))+(SUM(IF((CRDJ[Ofc Code]=(TRIM(R$7)))*(CRDJ[Account Code]=(TRIM($D98))),CRDJ[Debit])))+(SUM(IF((GJ[Ofc Code]=(TRIM(R$7)))*(GJ[Account Code]=(TRIM($D98))),GJ[Debit]))))-((SUM(IF((CkDJ[Ofc Code]=(TRIM(R$7)))*(CkDJ[Account Code]=(TRIM($D98))),CkDJ[Credit])))+(SUM(IF((CsDJ[Ofc Code]=(TRIM(R$7)))*(CsDJ[Account Code]=(TRIM($D98))),CsDJ[Credit])))+(SUM(IF((CRDJ[Ofc Code]=(TRIM(R$7)))*(CRDJ[Account Code]=(TRIM($D98))),CRDJ[Credit])))+(SUM(IF((GJ[Ofc Code]=(TRIM(R$7)))*(GJ[Account Code]=(TRIM($D98))),GJ[Credit]))))</f>
        <v>0</v>
      </c>
      <c r="S98" s="211">
        <f t="array" ref="S98">((SUM(IF((CkDJ[Ofc Code]=(TRIM(S$7)))*(CkDJ[Account Code]=(TRIM($D98))),CkDJ[Debit])))+(SUM(IF((CsDJ[Ofc Code]=(TRIM(S$7)))*(CsDJ[Account Code]=(TRIM($D98))),CsDJ[Debit])))+(SUM(IF((CRDJ[Ofc Code]=(TRIM(S$7)))*(CRDJ[Account Code]=(TRIM($D98))),CRDJ[Debit])))+(SUM(IF((GJ[Ofc Code]=(TRIM(S$7)))*(GJ[Account Code]=(TRIM($D98))),GJ[Debit]))))-((SUM(IF((CkDJ[Ofc Code]=(TRIM(S$7)))*(CkDJ[Account Code]=(TRIM($D98))),CkDJ[Credit])))+(SUM(IF((CsDJ[Ofc Code]=(TRIM(S$7)))*(CsDJ[Account Code]=(TRIM($D98))),CsDJ[Credit])))+(SUM(IF((CRDJ[Ofc Code]=(TRIM(S$7)))*(CRDJ[Account Code]=(TRIM($D98))),CRDJ[Credit])))+(SUM(IF((GJ[Ofc Code]=(TRIM(S$7)))*(GJ[Account Code]=(TRIM($D98))),GJ[Credit]))))</f>
        <v>0</v>
      </c>
      <c r="T98" s="211">
        <f t="array" ref="T98">((SUM(IF((CkDJ[Ofc Code]=(TRIM(T$7)))*(CkDJ[Account Code]=(TRIM($D98))),CkDJ[Debit])))+(SUM(IF((CsDJ[Ofc Code]=(TRIM(T$7)))*(CsDJ[Account Code]=(TRIM($D98))),CsDJ[Debit])))+(SUM(IF((CRDJ[Ofc Code]=(TRIM(T$7)))*(CRDJ[Account Code]=(TRIM($D98))),CRDJ[Debit])))+(SUM(IF((GJ[Ofc Code]=(TRIM(T$7)))*(GJ[Account Code]=(TRIM($D98))),GJ[Debit]))))-((SUM(IF((CkDJ[Ofc Code]=(TRIM(T$7)))*(CkDJ[Account Code]=(TRIM($D98))),CkDJ[Credit])))+(SUM(IF((CsDJ[Ofc Code]=(TRIM(T$7)))*(CsDJ[Account Code]=(TRIM($D98))),CsDJ[Credit])))+(SUM(IF((CRDJ[Ofc Code]=(TRIM(T$7)))*(CRDJ[Account Code]=(TRIM($D98))),CRDJ[Credit])))+(SUM(IF((GJ[Ofc Code]=(TRIM(T$7)))*(GJ[Account Code]=(TRIM($D98))),GJ[Credit]))))</f>
        <v>0</v>
      </c>
      <c r="U98" s="211">
        <f t="shared" si="17"/>
        <v>0</v>
      </c>
      <c r="V98" s="211">
        <f t="shared" si="18"/>
        <v>0</v>
      </c>
    </row>
    <row r="99" spans="1:22" ht="15" x14ac:dyDescent="0.25">
      <c r="A99" s="212">
        <f t="shared" si="19"/>
        <v>37</v>
      </c>
      <c r="B99" s="194"/>
      <c r="C99" s="194" t="str">
        <f t="shared" si="14"/>
        <v>Taxes, Duties and Licenses</v>
      </c>
      <c r="D99" s="207">
        <v>891</v>
      </c>
      <c r="E99" s="211">
        <f t="array" ref="E99">((SUM(IF((CkDJ[Ofc Code]=(TRIM(E$7)))*(CkDJ[Account Code]=(TRIM($D99))),CkDJ[Debit])))+(SUM(IF((CsDJ[Ofc Code]=(TRIM(E$7)))*(CsDJ[Account Code]=(TRIM($D99))),CsDJ[Debit])))+(SUM(IF((CRDJ[Ofc Code]=(TRIM(E$7)))*(CRDJ[Account Code]=(TRIM($D99))),CRDJ[Debit])))+(SUM(IF((GJ[Ofc Code]=(TRIM(E$7)))*(GJ[Account Code]=(TRIM($D99))),GJ[Debit]))))-((SUM(IF((CkDJ[Ofc Code]=(TRIM(E$7)))*(CkDJ[Account Code]=(TRIM($D99))),CkDJ[Credit])))+(SUM(IF((CsDJ[Ofc Code]=(TRIM(E$7)))*(CsDJ[Account Code]=(TRIM($D99))),CsDJ[Credit])))+(SUM(IF((CRDJ[Ofc Code]=(TRIM(E$7)))*(CRDJ[Account Code]=(TRIM($D99))),CRDJ[Credit])))+(SUM(IF((GJ[Ofc Code]=(TRIM(E$7)))*(GJ[Account Code]=(TRIM($D99))),GJ[Credit]))))</f>
        <v>0</v>
      </c>
      <c r="F99" s="211">
        <f t="array" ref="F99">((SUM(IF((CkDJ[Ofc Code]=(TRIM(F$7)))*(CkDJ[Account Code]=(TRIM($D99))),CkDJ[Debit])))+(SUM(IF((CsDJ[Ofc Code]=(TRIM(F$7)))*(CsDJ[Account Code]=(TRIM($D99))),CsDJ[Debit])))+(SUM(IF((CRDJ[Ofc Code]=(TRIM(F$7)))*(CRDJ[Account Code]=(TRIM($D99))),CRDJ[Debit])))+(SUM(IF((GJ[Ofc Code]=(TRIM(F$7)))*(GJ[Account Code]=(TRIM($D99))),GJ[Debit]))))-((SUM(IF((CkDJ[Ofc Code]=(TRIM(F$7)))*(CkDJ[Account Code]=(TRIM($D99))),CkDJ[Credit])))+(SUM(IF((CsDJ[Ofc Code]=(TRIM(F$7)))*(CsDJ[Account Code]=(TRIM($D99))),CsDJ[Credit])))+(SUM(IF((CRDJ[Ofc Code]=(TRIM(F$7)))*(CRDJ[Account Code]=(TRIM($D99))),CRDJ[Credit])))+(SUM(IF((GJ[Ofc Code]=(TRIM(F$7)))*(GJ[Account Code]=(TRIM($D99))),GJ[Credit]))))</f>
        <v>0</v>
      </c>
      <c r="G99" s="211">
        <f t="array" ref="G99">((SUM(IF((CkDJ[Ofc Code]=(TRIM(G$7)))*(CkDJ[Account Code]=(TRIM($D99))),CkDJ[Debit])))+(SUM(IF((CsDJ[Ofc Code]=(TRIM(G$7)))*(CsDJ[Account Code]=(TRIM($D99))),CsDJ[Debit])))+(SUM(IF((CRDJ[Ofc Code]=(TRIM(G$7)))*(CRDJ[Account Code]=(TRIM($D99))),CRDJ[Debit])))+(SUM(IF((GJ[Ofc Code]=(TRIM(G$7)))*(GJ[Account Code]=(TRIM($D99))),GJ[Debit]))))-((SUM(IF((CkDJ[Ofc Code]=(TRIM(G$7)))*(CkDJ[Account Code]=(TRIM($D99))),CkDJ[Credit])))+(SUM(IF((CsDJ[Ofc Code]=(TRIM(G$7)))*(CsDJ[Account Code]=(TRIM($D99))),CsDJ[Credit])))+(SUM(IF((CRDJ[Ofc Code]=(TRIM(G$7)))*(CRDJ[Account Code]=(TRIM($D99))),CRDJ[Credit])))+(SUM(IF((GJ[Ofc Code]=(TRIM(G$7)))*(GJ[Account Code]=(TRIM($D99))),GJ[Credit]))))</f>
        <v>0</v>
      </c>
      <c r="H99" s="211">
        <f t="array" ref="H99">((SUM(IF((CkDJ[Ofc Code]=(TRIM(H$7)))*(CkDJ[Account Code]=(TRIM($D99))),CkDJ[Debit])))+(SUM(IF((CsDJ[Ofc Code]=(TRIM(H$7)))*(CsDJ[Account Code]=(TRIM($D99))),CsDJ[Debit])))+(SUM(IF((CRDJ[Ofc Code]=(TRIM(H$7)))*(CRDJ[Account Code]=(TRIM($D99))),CRDJ[Debit])))+(SUM(IF((GJ[Ofc Code]=(TRIM(H$7)))*(GJ[Account Code]=(TRIM($D99))),GJ[Debit]))))-((SUM(IF((CkDJ[Ofc Code]=(TRIM(H$7)))*(CkDJ[Account Code]=(TRIM($D99))),CkDJ[Credit])))+(SUM(IF((CsDJ[Ofc Code]=(TRIM(H$7)))*(CsDJ[Account Code]=(TRIM($D99))),CsDJ[Credit])))+(SUM(IF((CRDJ[Ofc Code]=(TRIM(H$7)))*(CRDJ[Account Code]=(TRIM($D99))),CRDJ[Credit])))+(SUM(IF((GJ[Ofc Code]=(TRIM(H$7)))*(GJ[Account Code]=(TRIM($D99))),GJ[Credit]))))</f>
        <v>0</v>
      </c>
      <c r="I99" s="211">
        <f t="array" ref="I99">((SUM(IF((CkDJ[Ofc Code]=(TRIM(I$7)))*(CkDJ[Account Code]=(TRIM($D99))),CkDJ[Debit])))+(SUM(IF((CsDJ[Ofc Code]=(TRIM(I$7)))*(CsDJ[Account Code]=(TRIM($D99))),CsDJ[Debit])))+(SUM(IF((CRDJ[Ofc Code]=(TRIM(I$7)))*(CRDJ[Account Code]=(TRIM($D99))),CRDJ[Debit])))+(SUM(IF((GJ[Ofc Code]=(TRIM(I$7)))*(GJ[Account Code]=(TRIM($D99))),GJ[Debit]))))-((SUM(IF((CkDJ[Ofc Code]=(TRIM(I$7)))*(CkDJ[Account Code]=(TRIM($D99))),CkDJ[Credit])))+(SUM(IF((CsDJ[Ofc Code]=(TRIM(I$7)))*(CsDJ[Account Code]=(TRIM($D99))),CsDJ[Credit])))+(SUM(IF((CRDJ[Ofc Code]=(TRIM(I$7)))*(CRDJ[Account Code]=(TRIM($D99))),CRDJ[Credit])))+(SUM(IF((GJ[Ofc Code]=(TRIM(I$7)))*(GJ[Account Code]=(TRIM($D99))),GJ[Credit]))))</f>
        <v>0</v>
      </c>
      <c r="J99" s="211">
        <f t="shared" si="15"/>
        <v>0</v>
      </c>
      <c r="K99" s="211">
        <f t="array" ref="K99">((SUM(IF((CkDJ[Ofc Code]=(TRIM(K$7)))*(CkDJ[Account Code]=(TRIM($D99))),CkDJ[Debit])))+(SUM(IF((CsDJ[Ofc Code]=(TRIM(K$7)))*(CsDJ[Account Code]=(TRIM($D99))),CsDJ[Debit])))+(SUM(IF((CRDJ[Ofc Code]=(TRIM(K$7)))*(CRDJ[Account Code]=(TRIM($D99))),CRDJ[Debit])))+(SUM(IF((GJ[Ofc Code]=(TRIM(K$7)))*(GJ[Account Code]=(TRIM($D99))),GJ[Debit]))))-((SUM(IF((CkDJ[Ofc Code]=(TRIM(K$7)))*(CkDJ[Account Code]=(TRIM($D99))),CkDJ[Credit])))+(SUM(IF((CsDJ[Ofc Code]=(TRIM(K$7)))*(CsDJ[Account Code]=(TRIM($D99))),CsDJ[Credit])))+(SUM(IF((CRDJ[Ofc Code]=(TRIM(K$7)))*(CRDJ[Account Code]=(TRIM($D99))),CRDJ[Credit])))+(SUM(IF((GJ[Ofc Code]=(TRIM(K$7)))*(GJ[Account Code]=(TRIM($D99))),GJ[Credit]))))</f>
        <v>0</v>
      </c>
      <c r="L99" s="211">
        <f t="array" ref="L99">((SUM(IF((CkDJ[Ofc Code]=(TRIM(L$7)))*(CkDJ[Account Code]=(TRIM($D99))),CkDJ[Debit])))+(SUM(IF((CsDJ[Ofc Code]=(TRIM(L$7)))*(CsDJ[Account Code]=(TRIM($D99))),CsDJ[Debit])))+(SUM(IF((CRDJ[Ofc Code]=(TRIM(L$7)))*(CRDJ[Account Code]=(TRIM($D99))),CRDJ[Debit])))+(SUM(IF((GJ[Ofc Code]=(TRIM(L$7)))*(GJ[Account Code]=(TRIM($D99))),GJ[Debit]))))-((SUM(IF((CkDJ[Ofc Code]=(TRIM(L$7)))*(CkDJ[Account Code]=(TRIM($D99))),CkDJ[Credit])))+(SUM(IF((CsDJ[Ofc Code]=(TRIM(L$7)))*(CsDJ[Account Code]=(TRIM($D99))),CsDJ[Credit])))+(SUM(IF((CRDJ[Ofc Code]=(TRIM(L$7)))*(CRDJ[Account Code]=(TRIM($D99))),CRDJ[Credit])))+(SUM(IF((GJ[Ofc Code]=(TRIM(L$7)))*(GJ[Account Code]=(TRIM($D99))),GJ[Credit]))))</f>
        <v>0</v>
      </c>
      <c r="M99" s="211">
        <f t="array" ref="M99">((SUM(IF((CkDJ[Ofc Code]=(TRIM(M$7)))*(CkDJ[Account Code]=(TRIM($D99))),CkDJ[Debit])))+(SUM(IF((CsDJ[Ofc Code]=(TRIM(M$7)))*(CsDJ[Account Code]=(TRIM($D99))),CsDJ[Debit])))+(SUM(IF((CRDJ[Ofc Code]=(TRIM(M$7)))*(CRDJ[Account Code]=(TRIM($D99))),CRDJ[Debit])))+(SUM(IF((GJ[Ofc Code]=(TRIM(M$7)))*(GJ[Account Code]=(TRIM($D99))),GJ[Debit]))))-((SUM(IF((CkDJ[Ofc Code]=(TRIM(M$7)))*(CkDJ[Account Code]=(TRIM($D99))),CkDJ[Credit])))+(SUM(IF((CsDJ[Ofc Code]=(TRIM(M$7)))*(CsDJ[Account Code]=(TRIM($D99))),CsDJ[Credit])))+(SUM(IF((CRDJ[Ofc Code]=(TRIM(M$7)))*(CRDJ[Account Code]=(TRIM($D99))),CRDJ[Credit])))+(SUM(IF((GJ[Ofc Code]=(TRIM(M$7)))*(GJ[Account Code]=(TRIM($D99))),GJ[Credit]))))</f>
        <v>0</v>
      </c>
      <c r="N99" s="211">
        <f t="array" ref="N99">((SUM(IF((CkDJ[Ofc Code]=(TRIM(N$7)))*(CkDJ[Account Code]=(TRIM($D99))),CkDJ[Debit])))+(SUM(IF((CsDJ[Ofc Code]=(TRIM(N$7)))*(CsDJ[Account Code]=(TRIM($D99))),CsDJ[Debit])))+(SUM(IF((CRDJ[Ofc Code]=(TRIM(N$7)))*(CRDJ[Account Code]=(TRIM($D99))),CRDJ[Debit])))+(SUM(IF((GJ[Ofc Code]=(TRIM(N$7)))*(GJ[Account Code]=(TRIM($D99))),GJ[Debit]))))-((SUM(IF((CkDJ[Ofc Code]=(TRIM(N$7)))*(CkDJ[Account Code]=(TRIM($D99))),CkDJ[Credit])))+(SUM(IF((CsDJ[Ofc Code]=(TRIM(N$7)))*(CsDJ[Account Code]=(TRIM($D99))),CsDJ[Credit])))+(SUM(IF((CRDJ[Ofc Code]=(TRIM(N$7)))*(CRDJ[Account Code]=(TRIM($D99))),CRDJ[Credit])))+(SUM(IF((GJ[Ofc Code]=(TRIM(N$7)))*(GJ[Account Code]=(TRIM($D99))),GJ[Credit]))))</f>
        <v>0</v>
      </c>
      <c r="O99" s="211">
        <f t="shared" si="16"/>
        <v>0</v>
      </c>
      <c r="P99" s="211">
        <f t="array" ref="P99">((SUM(IF((CkDJ[Ofc Code]=(TRIM(P$7)))*(CkDJ[Account Code]=(TRIM($D99))),CkDJ[Debit])))+(SUM(IF((CsDJ[Ofc Code]=(TRIM(P$7)))*(CsDJ[Account Code]=(TRIM($D99))),CsDJ[Debit])))+(SUM(IF((CRDJ[Ofc Code]=(TRIM(P$7)))*(CRDJ[Account Code]=(TRIM($D99))),CRDJ[Debit])))+(SUM(IF((GJ[Ofc Code]=(TRIM(P$7)))*(GJ[Account Code]=(TRIM($D99))),GJ[Debit]))))-((SUM(IF((CkDJ[Ofc Code]=(TRIM(P$7)))*(CkDJ[Account Code]=(TRIM($D99))),CkDJ[Credit])))+(SUM(IF((CsDJ[Ofc Code]=(TRIM(P$7)))*(CsDJ[Account Code]=(TRIM($D99))),CsDJ[Credit])))+(SUM(IF((CRDJ[Ofc Code]=(TRIM(P$7)))*(CRDJ[Account Code]=(TRIM($D99))),CRDJ[Credit])))+(SUM(IF((GJ[Ofc Code]=(TRIM(P$7)))*(GJ[Account Code]=(TRIM($D99))),GJ[Credit]))))</f>
        <v>0</v>
      </c>
      <c r="Q99" s="211">
        <f t="array" ref="Q99">((SUM(IF((CkDJ[Ofc Code]=(TRIM(Q$7)))*(CkDJ[Account Code]=(TRIM($D99))),CkDJ[Debit])))+(SUM(IF((CsDJ[Ofc Code]=(TRIM(Q$7)))*(CsDJ[Account Code]=(TRIM($D99))),CsDJ[Debit])))+(SUM(IF((CRDJ[Ofc Code]=(TRIM(Q$7)))*(CRDJ[Account Code]=(TRIM($D99))),CRDJ[Debit])))+(SUM(IF((GJ[Ofc Code]=(TRIM(Q$7)))*(GJ[Account Code]=(TRIM($D99))),GJ[Debit]))))-((SUM(IF((CkDJ[Ofc Code]=(TRIM(Q$7)))*(CkDJ[Account Code]=(TRIM($D99))),CkDJ[Credit])))+(SUM(IF((CsDJ[Ofc Code]=(TRIM(Q$7)))*(CsDJ[Account Code]=(TRIM($D99))),CsDJ[Credit])))+(SUM(IF((CRDJ[Ofc Code]=(TRIM(Q$7)))*(CRDJ[Account Code]=(TRIM($D99))),CRDJ[Credit])))+(SUM(IF((GJ[Ofc Code]=(TRIM(Q$7)))*(GJ[Account Code]=(TRIM($D99))),GJ[Credit]))))</f>
        <v>0</v>
      </c>
      <c r="R99" s="211">
        <f t="array" ref="R99">((SUM(IF((CkDJ[Ofc Code]=(TRIM(R$7)))*(CkDJ[Account Code]=(TRIM($D99))),CkDJ[Debit])))+(SUM(IF((CsDJ[Ofc Code]=(TRIM(R$7)))*(CsDJ[Account Code]=(TRIM($D99))),CsDJ[Debit])))+(SUM(IF((CRDJ[Ofc Code]=(TRIM(R$7)))*(CRDJ[Account Code]=(TRIM($D99))),CRDJ[Debit])))+(SUM(IF((GJ[Ofc Code]=(TRIM(R$7)))*(GJ[Account Code]=(TRIM($D99))),GJ[Debit]))))-((SUM(IF((CkDJ[Ofc Code]=(TRIM(R$7)))*(CkDJ[Account Code]=(TRIM($D99))),CkDJ[Credit])))+(SUM(IF((CsDJ[Ofc Code]=(TRIM(R$7)))*(CsDJ[Account Code]=(TRIM($D99))),CsDJ[Credit])))+(SUM(IF((CRDJ[Ofc Code]=(TRIM(R$7)))*(CRDJ[Account Code]=(TRIM($D99))),CRDJ[Credit])))+(SUM(IF((GJ[Ofc Code]=(TRIM(R$7)))*(GJ[Account Code]=(TRIM($D99))),GJ[Credit]))))</f>
        <v>0</v>
      </c>
      <c r="S99" s="211">
        <f t="array" ref="S99">((SUM(IF((CkDJ[Ofc Code]=(TRIM(S$7)))*(CkDJ[Account Code]=(TRIM($D99))),CkDJ[Debit])))+(SUM(IF((CsDJ[Ofc Code]=(TRIM(S$7)))*(CsDJ[Account Code]=(TRIM($D99))),CsDJ[Debit])))+(SUM(IF((CRDJ[Ofc Code]=(TRIM(S$7)))*(CRDJ[Account Code]=(TRIM($D99))),CRDJ[Debit])))+(SUM(IF((GJ[Ofc Code]=(TRIM(S$7)))*(GJ[Account Code]=(TRIM($D99))),GJ[Debit]))))-((SUM(IF((CkDJ[Ofc Code]=(TRIM(S$7)))*(CkDJ[Account Code]=(TRIM($D99))),CkDJ[Credit])))+(SUM(IF((CsDJ[Ofc Code]=(TRIM(S$7)))*(CsDJ[Account Code]=(TRIM($D99))),CsDJ[Credit])))+(SUM(IF((CRDJ[Ofc Code]=(TRIM(S$7)))*(CRDJ[Account Code]=(TRIM($D99))),CRDJ[Credit])))+(SUM(IF((GJ[Ofc Code]=(TRIM(S$7)))*(GJ[Account Code]=(TRIM($D99))),GJ[Credit]))))</f>
        <v>0</v>
      </c>
      <c r="T99" s="211">
        <f t="array" ref="T99">((SUM(IF((CkDJ[Ofc Code]=(TRIM(T$7)))*(CkDJ[Account Code]=(TRIM($D99))),CkDJ[Debit])))+(SUM(IF((CsDJ[Ofc Code]=(TRIM(T$7)))*(CsDJ[Account Code]=(TRIM($D99))),CsDJ[Debit])))+(SUM(IF((CRDJ[Ofc Code]=(TRIM(T$7)))*(CRDJ[Account Code]=(TRIM($D99))),CRDJ[Debit])))+(SUM(IF((GJ[Ofc Code]=(TRIM(T$7)))*(GJ[Account Code]=(TRIM($D99))),GJ[Debit]))))-((SUM(IF((CkDJ[Ofc Code]=(TRIM(T$7)))*(CkDJ[Account Code]=(TRIM($D99))),CkDJ[Credit])))+(SUM(IF((CsDJ[Ofc Code]=(TRIM(T$7)))*(CsDJ[Account Code]=(TRIM($D99))),CsDJ[Credit])))+(SUM(IF((CRDJ[Ofc Code]=(TRIM(T$7)))*(CRDJ[Account Code]=(TRIM($D99))),CRDJ[Credit])))+(SUM(IF((GJ[Ofc Code]=(TRIM(T$7)))*(GJ[Account Code]=(TRIM($D99))),GJ[Credit]))))</f>
        <v>0</v>
      </c>
      <c r="U99" s="211">
        <f t="shared" si="17"/>
        <v>0</v>
      </c>
      <c r="V99" s="211">
        <f t="shared" si="18"/>
        <v>0</v>
      </c>
    </row>
    <row r="100" spans="1:22" ht="15" x14ac:dyDescent="0.25">
      <c r="A100" s="212">
        <f t="shared" si="19"/>
        <v>38</v>
      </c>
      <c r="B100" s="194"/>
      <c r="C100" s="194" t="str">
        <f t="shared" si="14"/>
        <v>Fidelity Bond Premiums</v>
      </c>
      <c r="D100" s="207">
        <v>892</v>
      </c>
      <c r="E100" s="211">
        <f t="array" ref="E100">((SUM(IF((CkDJ[Ofc Code]=(TRIM(E$7)))*(CkDJ[Account Code]=(TRIM($D100))),CkDJ[Debit])))+(SUM(IF((CsDJ[Ofc Code]=(TRIM(E$7)))*(CsDJ[Account Code]=(TRIM($D100))),CsDJ[Debit])))+(SUM(IF((CRDJ[Ofc Code]=(TRIM(E$7)))*(CRDJ[Account Code]=(TRIM($D100))),CRDJ[Debit])))+(SUM(IF((GJ[Ofc Code]=(TRIM(E$7)))*(GJ[Account Code]=(TRIM($D100))),GJ[Debit]))))-((SUM(IF((CkDJ[Ofc Code]=(TRIM(E$7)))*(CkDJ[Account Code]=(TRIM($D100))),CkDJ[Credit])))+(SUM(IF((CsDJ[Ofc Code]=(TRIM(E$7)))*(CsDJ[Account Code]=(TRIM($D100))),CsDJ[Credit])))+(SUM(IF((CRDJ[Ofc Code]=(TRIM(E$7)))*(CRDJ[Account Code]=(TRIM($D100))),CRDJ[Credit])))+(SUM(IF((GJ[Ofc Code]=(TRIM(E$7)))*(GJ[Account Code]=(TRIM($D100))),GJ[Credit]))))</f>
        <v>0</v>
      </c>
      <c r="F100" s="211">
        <f t="array" ref="F100">((SUM(IF((CkDJ[Ofc Code]=(TRIM(F$7)))*(CkDJ[Account Code]=(TRIM($D100))),CkDJ[Debit])))+(SUM(IF((CsDJ[Ofc Code]=(TRIM(F$7)))*(CsDJ[Account Code]=(TRIM($D100))),CsDJ[Debit])))+(SUM(IF((CRDJ[Ofc Code]=(TRIM(F$7)))*(CRDJ[Account Code]=(TRIM($D100))),CRDJ[Debit])))+(SUM(IF((GJ[Ofc Code]=(TRIM(F$7)))*(GJ[Account Code]=(TRIM($D100))),GJ[Debit]))))-((SUM(IF((CkDJ[Ofc Code]=(TRIM(F$7)))*(CkDJ[Account Code]=(TRIM($D100))),CkDJ[Credit])))+(SUM(IF((CsDJ[Ofc Code]=(TRIM(F$7)))*(CsDJ[Account Code]=(TRIM($D100))),CsDJ[Credit])))+(SUM(IF((CRDJ[Ofc Code]=(TRIM(F$7)))*(CRDJ[Account Code]=(TRIM($D100))),CRDJ[Credit])))+(SUM(IF((GJ[Ofc Code]=(TRIM(F$7)))*(GJ[Account Code]=(TRIM($D100))),GJ[Credit]))))</f>
        <v>0</v>
      </c>
      <c r="G100" s="211">
        <f t="array" ref="G100">((SUM(IF((CkDJ[Ofc Code]=(TRIM(G$7)))*(CkDJ[Account Code]=(TRIM($D100))),CkDJ[Debit])))+(SUM(IF((CsDJ[Ofc Code]=(TRIM(G$7)))*(CsDJ[Account Code]=(TRIM($D100))),CsDJ[Debit])))+(SUM(IF((CRDJ[Ofc Code]=(TRIM(G$7)))*(CRDJ[Account Code]=(TRIM($D100))),CRDJ[Debit])))+(SUM(IF((GJ[Ofc Code]=(TRIM(G$7)))*(GJ[Account Code]=(TRIM($D100))),GJ[Debit]))))-((SUM(IF((CkDJ[Ofc Code]=(TRIM(G$7)))*(CkDJ[Account Code]=(TRIM($D100))),CkDJ[Credit])))+(SUM(IF((CsDJ[Ofc Code]=(TRIM(G$7)))*(CsDJ[Account Code]=(TRIM($D100))),CsDJ[Credit])))+(SUM(IF((CRDJ[Ofc Code]=(TRIM(G$7)))*(CRDJ[Account Code]=(TRIM($D100))),CRDJ[Credit])))+(SUM(IF((GJ[Ofc Code]=(TRIM(G$7)))*(GJ[Account Code]=(TRIM($D100))),GJ[Credit]))))</f>
        <v>0</v>
      </c>
      <c r="H100" s="211">
        <f t="array" ref="H100">((SUM(IF((CkDJ[Ofc Code]=(TRIM(H$7)))*(CkDJ[Account Code]=(TRIM($D100))),CkDJ[Debit])))+(SUM(IF((CsDJ[Ofc Code]=(TRIM(H$7)))*(CsDJ[Account Code]=(TRIM($D100))),CsDJ[Debit])))+(SUM(IF((CRDJ[Ofc Code]=(TRIM(H$7)))*(CRDJ[Account Code]=(TRIM($D100))),CRDJ[Debit])))+(SUM(IF((GJ[Ofc Code]=(TRIM(H$7)))*(GJ[Account Code]=(TRIM($D100))),GJ[Debit]))))-((SUM(IF((CkDJ[Ofc Code]=(TRIM(H$7)))*(CkDJ[Account Code]=(TRIM($D100))),CkDJ[Credit])))+(SUM(IF((CsDJ[Ofc Code]=(TRIM(H$7)))*(CsDJ[Account Code]=(TRIM($D100))),CsDJ[Credit])))+(SUM(IF((CRDJ[Ofc Code]=(TRIM(H$7)))*(CRDJ[Account Code]=(TRIM($D100))),CRDJ[Credit])))+(SUM(IF((GJ[Ofc Code]=(TRIM(H$7)))*(GJ[Account Code]=(TRIM($D100))),GJ[Credit]))))</f>
        <v>0</v>
      </c>
      <c r="I100" s="211">
        <f t="array" ref="I100">((SUM(IF((CkDJ[Ofc Code]=(TRIM(I$7)))*(CkDJ[Account Code]=(TRIM($D100))),CkDJ[Debit])))+(SUM(IF((CsDJ[Ofc Code]=(TRIM(I$7)))*(CsDJ[Account Code]=(TRIM($D100))),CsDJ[Debit])))+(SUM(IF((CRDJ[Ofc Code]=(TRIM(I$7)))*(CRDJ[Account Code]=(TRIM($D100))),CRDJ[Debit])))+(SUM(IF((GJ[Ofc Code]=(TRIM(I$7)))*(GJ[Account Code]=(TRIM($D100))),GJ[Debit]))))-((SUM(IF((CkDJ[Ofc Code]=(TRIM(I$7)))*(CkDJ[Account Code]=(TRIM($D100))),CkDJ[Credit])))+(SUM(IF((CsDJ[Ofc Code]=(TRIM(I$7)))*(CsDJ[Account Code]=(TRIM($D100))),CsDJ[Credit])))+(SUM(IF((CRDJ[Ofc Code]=(TRIM(I$7)))*(CRDJ[Account Code]=(TRIM($D100))),CRDJ[Credit])))+(SUM(IF((GJ[Ofc Code]=(TRIM(I$7)))*(GJ[Account Code]=(TRIM($D100))),GJ[Credit]))))</f>
        <v>0</v>
      </c>
      <c r="J100" s="211">
        <f t="shared" si="15"/>
        <v>0</v>
      </c>
      <c r="K100" s="211">
        <f t="array" ref="K100">((SUM(IF((CkDJ[Ofc Code]=(TRIM(K$7)))*(CkDJ[Account Code]=(TRIM($D100))),CkDJ[Debit])))+(SUM(IF((CsDJ[Ofc Code]=(TRIM(K$7)))*(CsDJ[Account Code]=(TRIM($D100))),CsDJ[Debit])))+(SUM(IF((CRDJ[Ofc Code]=(TRIM(K$7)))*(CRDJ[Account Code]=(TRIM($D100))),CRDJ[Debit])))+(SUM(IF((GJ[Ofc Code]=(TRIM(K$7)))*(GJ[Account Code]=(TRIM($D100))),GJ[Debit]))))-((SUM(IF((CkDJ[Ofc Code]=(TRIM(K$7)))*(CkDJ[Account Code]=(TRIM($D100))),CkDJ[Credit])))+(SUM(IF((CsDJ[Ofc Code]=(TRIM(K$7)))*(CsDJ[Account Code]=(TRIM($D100))),CsDJ[Credit])))+(SUM(IF((CRDJ[Ofc Code]=(TRIM(K$7)))*(CRDJ[Account Code]=(TRIM($D100))),CRDJ[Credit])))+(SUM(IF((GJ[Ofc Code]=(TRIM(K$7)))*(GJ[Account Code]=(TRIM($D100))),GJ[Credit]))))</f>
        <v>0</v>
      </c>
      <c r="L100" s="211">
        <f t="array" ref="L100">((SUM(IF((CkDJ[Ofc Code]=(TRIM(L$7)))*(CkDJ[Account Code]=(TRIM($D100))),CkDJ[Debit])))+(SUM(IF((CsDJ[Ofc Code]=(TRIM(L$7)))*(CsDJ[Account Code]=(TRIM($D100))),CsDJ[Debit])))+(SUM(IF((CRDJ[Ofc Code]=(TRIM(L$7)))*(CRDJ[Account Code]=(TRIM($D100))),CRDJ[Debit])))+(SUM(IF((GJ[Ofc Code]=(TRIM(L$7)))*(GJ[Account Code]=(TRIM($D100))),GJ[Debit]))))-((SUM(IF((CkDJ[Ofc Code]=(TRIM(L$7)))*(CkDJ[Account Code]=(TRIM($D100))),CkDJ[Credit])))+(SUM(IF((CsDJ[Ofc Code]=(TRIM(L$7)))*(CsDJ[Account Code]=(TRIM($D100))),CsDJ[Credit])))+(SUM(IF((CRDJ[Ofc Code]=(TRIM(L$7)))*(CRDJ[Account Code]=(TRIM($D100))),CRDJ[Credit])))+(SUM(IF((GJ[Ofc Code]=(TRIM(L$7)))*(GJ[Account Code]=(TRIM($D100))),GJ[Credit]))))</f>
        <v>0</v>
      </c>
      <c r="M100" s="211">
        <f t="array" ref="M100">((SUM(IF((CkDJ[Ofc Code]=(TRIM(M$7)))*(CkDJ[Account Code]=(TRIM($D100))),CkDJ[Debit])))+(SUM(IF((CsDJ[Ofc Code]=(TRIM(M$7)))*(CsDJ[Account Code]=(TRIM($D100))),CsDJ[Debit])))+(SUM(IF((CRDJ[Ofc Code]=(TRIM(M$7)))*(CRDJ[Account Code]=(TRIM($D100))),CRDJ[Debit])))+(SUM(IF((GJ[Ofc Code]=(TRIM(M$7)))*(GJ[Account Code]=(TRIM($D100))),GJ[Debit]))))-((SUM(IF((CkDJ[Ofc Code]=(TRIM(M$7)))*(CkDJ[Account Code]=(TRIM($D100))),CkDJ[Credit])))+(SUM(IF((CsDJ[Ofc Code]=(TRIM(M$7)))*(CsDJ[Account Code]=(TRIM($D100))),CsDJ[Credit])))+(SUM(IF((CRDJ[Ofc Code]=(TRIM(M$7)))*(CRDJ[Account Code]=(TRIM($D100))),CRDJ[Credit])))+(SUM(IF((GJ[Ofc Code]=(TRIM(M$7)))*(GJ[Account Code]=(TRIM($D100))),GJ[Credit]))))</f>
        <v>0</v>
      </c>
      <c r="N100" s="211">
        <f t="array" ref="N100">((SUM(IF((CkDJ[Ofc Code]=(TRIM(N$7)))*(CkDJ[Account Code]=(TRIM($D100))),CkDJ[Debit])))+(SUM(IF((CsDJ[Ofc Code]=(TRIM(N$7)))*(CsDJ[Account Code]=(TRIM($D100))),CsDJ[Debit])))+(SUM(IF((CRDJ[Ofc Code]=(TRIM(N$7)))*(CRDJ[Account Code]=(TRIM($D100))),CRDJ[Debit])))+(SUM(IF((GJ[Ofc Code]=(TRIM(N$7)))*(GJ[Account Code]=(TRIM($D100))),GJ[Debit]))))-((SUM(IF((CkDJ[Ofc Code]=(TRIM(N$7)))*(CkDJ[Account Code]=(TRIM($D100))),CkDJ[Credit])))+(SUM(IF((CsDJ[Ofc Code]=(TRIM(N$7)))*(CsDJ[Account Code]=(TRIM($D100))),CsDJ[Credit])))+(SUM(IF((CRDJ[Ofc Code]=(TRIM(N$7)))*(CRDJ[Account Code]=(TRIM($D100))),CRDJ[Credit])))+(SUM(IF((GJ[Ofc Code]=(TRIM(N$7)))*(GJ[Account Code]=(TRIM($D100))),GJ[Credit]))))</f>
        <v>0</v>
      </c>
      <c r="O100" s="211">
        <f t="shared" si="16"/>
        <v>0</v>
      </c>
      <c r="P100" s="211">
        <f t="array" ref="P100">((SUM(IF((CkDJ[Ofc Code]=(TRIM(P$7)))*(CkDJ[Account Code]=(TRIM($D100))),CkDJ[Debit])))+(SUM(IF((CsDJ[Ofc Code]=(TRIM(P$7)))*(CsDJ[Account Code]=(TRIM($D100))),CsDJ[Debit])))+(SUM(IF((CRDJ[Ofc Code]=(TRIM(P$7)))*(CRDJ[Account Code]=(TRIM($D100))),CRDJ[Debit])))+(SUM(IF((GJ[Ofc Code]=(TRIM(P$7)))*(GJ[Account Code]=(TRIM($D100))),GJ[Debit]))))-((SUM(IF((CkDJ[Ofc Code]=(TRIM(P$7)))*(CkDJ[Account Code]=(TRIM($D100))),CkDJ[Credit])))+(SUM(IF((CsDJ[Ofc Code]=(TRIM(P$7)))*(CsDJ[Account Code]=(TRIM($D100))),CsDJ[Credit])))+(SUM(IF((CRDJ[Ofc Code]=(TRIM(P$7)))*(CRDJ[Account Code]=(TRIM($D100))),CRDJ[Credit])))+(SUM(IF((GJ[Ofc Code]=(TRIM(P$7)))*(GJ[Account Code]=(TRIM($D100))),GJ[Credit]))))</f>
        <v>0</v>
      </c>
      <c r="Q100" s="211">
        <f t="array" ref="Q100">((SUM(IF((CkDJ[Ofc Code]=(TRIM(Q$7)))*(CkDJ[Account Code]=(TRIM($D100))),CkDJ[Debit])))+(SUM(IF((CsDJ[Ofc Code]=(TRIM(Q$7)))*(CsDJ[Account Code]=(TRIM($D100))),CsDJ[Debit])))+(SUM(IF((CRDJ[Ofc Code]=(TRIM(Q$7)))*(CRDJ[Account Code]=(TRIM($D100))),CRDJ[Debit])))+(SUM(IF((GJ[Ofc Code]=(TRIM(Q$7)))*(GJ[Account Code]=(TRIM($D100))),GJ[Debit]))))-((SUM(IF((CkDJ[Ofc Code]=(TRIM(Q$7)))*(CkDJ[Account Code]=(TRIM($D100))),CkDJ[Credit])))+(SUM(IF((CsDJ[Ofc Code]=(TRIM(Q$7)))*(CsDJ[Account Code]=(TRIM($D100))),CsDJ[Credit])))+(SUM(IF((CRDJ[Ofc Code]=(TRIM(Q$7)))*(CRDJ[Account Code]=(TRIM($D100))),CRDJ[Credit])))+(SUM(IF((GJ[Ofc Code]=(TRIM(Q$7)))*(GJ[Account Code]=(TRIM($D100))),GJ[Credit]))))</f>
        <v>0</v>
      </c>
      <c r="R100" s="211">
        <f t="array" ref="R100">((SUM(IF((CkDJ[Ofc Code]=(TRIM(R$7)))*(CkDJ[Account Code]=(TRIM($D100))),CkDJ[Debit])))+(SUM(IF((CsDJ[Ofc Code]=(TRIM(R$7)))*(CsDJ[Account Code]=(TRIM($D100))),CsDJ[Debit])))+(SUM(IF((CRDJ[Ofc Code]=(TRIM(R$7)))*(CRDJ[Account Code]=(TRIM($D100))),CRDJ[Debit])))+(SUM(IF((GJ[Ofc Code]=(TRIM(R$7)))*(GJ[Account Code]=(TRIM($D100))),GJ[Debit]))))-((SUM(IF((CkDJ[Ofc Code]=(TRIM(R$7)))*(CkDJ[Account Code]=(TRIM($D100))),CkDJ[Credit])))+(SUM(IF((CsDJ[Ofc Code]=(TRIM(R$7)))*(CsDJ[Account Code]=(TRIM($D100))),CsDJ[Credit])))+(SUM(IF((CRDJ[Ofc Code]=(TRIM(R$7)))*(CRDJ[Account Code]=(TRIM($D100))),CRDJ[Credit])))+(SUM(IF((GJ[Ofc Code]=(TRIM(R$7)))*(GJ[Account Code]=(TRIM($D100))),GJ[Credit]))))</f>
        <v>0</v>
      </c>
      <c r="S100" s="211">
        <f t="array" ref="S100">((SUM(IF((CkDJ[Ofc Code]=(TRIM(S$7)))*(CkDJ[Account Code]=(TRIM($D100))),CkDJ[Debit])))+(SUM(IF((CsDJ[Ofc Code]=(TRIM(S$7)))*(CsDJ[Account Code]=(TRIM($D100))),CsDJ[Debit])))+(SUM(IF((CRDJ[Ofc Code]=(TRIM(S$7)))*(CRDJ[Account Code]=(TRIM($D100))),CRDJ[Debit])))+(SUM(IF((GJ[Ofc Code]=(TRIM(S$7)))*(GJ[Account Code]=(TRIM($D100))),GJ[Debit]))))-((SUM(IF((CkDJ[Ofc Code]=(TRIM(S$7)))*(CkDJ[Account Code]=(TRIM($D100))),CkDJ[Credit])))+(SUM(IF((CsDJ[Ofc Code]=(TRIM(S$7)))*(CsDJ[Account Code]=(TRIM($D100))),CsDJ[Credit])))+(SUM(IF((CRDJ[Ofc Code]=(TRIM(S$7)))*(CRDJ[Account Code]=(TRIM($D100))),CRDJ[Credit])))+(SUM(IF((GJ[Ofc Code]=(TRIM(S$7)))*(GJ[Account Code]=(TRIM($D100))),GJ[Credit]))))</f>
        <v>0</v>
      </c>
      <c r="T100" s="211">
        <f t="array" ref="T100">((SUM(IF((CkDJ[Ofc Code]=(TRIM(T$7)))*(CkDJ[Account Code]=(TRIM($D100))),CkDJ[Debit])))+(SUM(IF((CsDJ[Ofc Code]=(TRIM(T$7)))*(CsDJ[Account Code]=(TRIM($D100))),CsDJ[Debit])))+(SUM(IF((CRDJ[Ofc Code]=(TRIM(T$7)))*(CRDJ[Account Code]=(TRIM($D100))),CRDJ[Debit])))+(SUM(IF((GJ[Ofc Code]=(TRIM(T$7)))*(GJ[Account Code]=(TRIM($D100))),GJ[Debit]))))-((SUM(IF((CkDJ[Ofc Code]=(TRIM(T$7)))*(CkDJ[Account Code]=(TRIM($D100))),CkDJ[Credit])))+(SUM(IF((CsDJ[Ofc Code]=(TRIM(T$7)))*(CsDJ[Account Code]=(TRIM($D100))),CsDJ[Credit])))+(SUM(IF((CRDJ[Ofc Code]=(TRIM(T$7)))*(CRDJ[Account Code]=(TRIM($D100))),CRDJ[Credit])))+(SUM(IF((GJ[Ofc Code]=(TRIM(T$7)))*(GJ[Account Code]=(TRIM($D100))),GJ[Credit]))))</f>
        <v>0</v>
      </c>
      <c r="U100" s="211">
        <f t="shared" si="17"/>
        <v>0</v>
      </c>
      <c r="V100" s="211">
        <f t="shared" si="18"/>
        <v>0</v>
      </c>
    </row>
    <row r="101" spans="1:22" ht="15" x14ac:dyDescent="0.25">
      <c r="A101" s="212">
        <f t="shared" si="19"/>
        <v>39</v>
      </c>
      <c r="B101" s="194"/>
      <c r="C101" s="194" t="str">
        <f t="shared" si="14"/>
        <v>Insurance Expenses</v>
      </c>
      <c r="D101" s="207">
        <v>893</v>
      </c>
      <c r="E101" s="211">
        <f t="array" ref="E101">((SUM(IF((CkDJ[Ofc Code]=(TRIM(E$7)))*(CkDJ[Account Code]=(TRIM($D101))),CkDJ[Debit])))+(SUM(IF((CsDJ[Ofc Code]=(TRIM(E$7)))*(CsDJ[Account Code]=(TRIM($D101))),CsDJ[Debit])))+(SUM(IF((CRDJ[Ofc Code]=(TRIM(E$7)))*(CRDJ[Account Code]=(TRIM($D101))),CRDJ[Debit])))+(SUM(IF((GJ[Ofc Code]=(TRIM(E$7)))*(GJ[Account Code]=(TRIM($D101))),GJ[Debit]))))-((SUM(IF((CkDJ[Ofc Code]=(TRIM(E$7)))*(CkDJ[Account Code]=(TRIM($D101))),CkDJ[Credit])))+(SUM(IF((CsDJ[Ofc Code]=(TRIM(E$7)))*(CsDJ[Account Code]=(TRIM($D101))),CsDJ[Credit])))+(SUM(IF((CRDJ[Ofc Code]=(TRIM(E$7)))*(CRDJ[Account Code]=(TRIM($D101))),CRDJ[Credit])))+(SUM(IF((GJ[Ofc Code]=(TRIM(E$7)))*(GJ[Account Code]=(TRIM($D101))),GJ[Credit]))))</f>
        <v>0</v>
      </c>
      <c r="F101" s="211">
        <f t="array" ref="F101">((SUM(IF((CkDJ[Ofc Code]=(TRIM(F$7)))*(CkDJ[Account Code]=(TRIM($D101))),CkDJ[Debit])))+(SUM(IF((CsDJ[Ofc Code]=(TRIM(F$7)))*(CsDJ[Account Code]=(TRIM($D101))),CsDJ[Debit])))+(SUM(IF((CRDJ[Ofc Code]=(TRIM(F$7)))*(CRDJ[Account Code]=(TRIM($D101))),CRDJ[Debit])))+(SUM(IF((GJ[Ofc Code]=(TRIM(F$7)))*(GJ[Account Code]=(TRIM($D101))),GJ[Debit]))))-((SUM(IF((CkDJ[Ofc Code]=(TRIM(F$7)))*(CkDJ[Account Code]=(TRIM($D101))),CkDJ[Credit])))+(SUM(IF((CsDJ[Ofc Code]=(TRIM(F$7)))*(CsDJ[Account Code]=(TRIM($D101))),CsDJ[Credit])))+(SUM(IF((CRDJ[Ofc Code]=(TRIM(F$7)))*(CRDJ[Account Code]=(TRIM($D101))),CRDJ[Credit])))+(SUM(IF((GJ[Ofc Code]=(TRIM(F$7)))*(GJ[Account Code]=(TRIM($D101))),GJ[Credit]))))</f>
        <v>0</v>
      </c>
      <c r="G101" s="211">
        <f t="array" ref="G101">((SUM(IF((CkDJ[Ofc Code]=(TRIM(G$7)))*(CkDJ[Account Code]=(TRIM($D101))),CkDJ[Debit])))+(SUM(IF((CsDJ[Ofc Code]=(TRIM(G$7)))*(CsDJ[Account Code]=(TRIM($D101))),CsDJ[Debit])))+(SUM(IF((CRDJ[Ofc Code]=(TRIM(G$7)))*(CRDJ[Account Code]=(TRIM($D101))),CRDJ[Debit])))+(SUM(IF((GJ[Ofc Code]=(TRIM(G$7)))*(GJ[Account Code]=(TRIM($D101))),GJ[Debit]))))-((SUM(IF((CkDJ[Ofc Code]=(TRIM(G$7)))*(CkDJ[Account Code]=(TRIM($D101))),CkDJ[Credit])))+(SUM(IF((CsDJ[Ofc Code]=(TRIM(G$7)))*(CsDJ[Account Code]=(TRIM($D101))),CsDJ[Credit])))+(SUM(IF((CRDJ[Ofc Code]=(TRIM(G$7)))*(CRDJ[Account Code]=(TRIM($D101))),CRDJ[Credit])))+(SUM(IF((GJ[Ofc Code]=(TRIM(G$7)))*(GJ[Account Code]=(TRIM($D101))),GJ[Credit]))))</f>
        <v>0</v>
      </c>
      <c r="H101" s="211">
        <f t="array" ref="H101">((SUM(IF((CkDJ[Ofc Code]=(TRIM(H$7)))*(CkDJ[Account Code]=(TRIM($D101))),CkDJ[Debit])))+(SUM(IF((CsDJ[Ofc Code]=(TRIM(H$7)))*(CsDJ[Account Code]=(TRIM($D101))),CsDJ[Debit])))+(SUM(IF((CRDJ[Ofc Code]=(TRIM(H$7)))*(CRDJ[Account Code]=(TRIM($D101))),CRDJ[Debit])))+(SUM(IF((GJ[Ofc Code]=(TRIM(H$7)))*(GJ[Account Code]=(TRIM($D101))),GJ[Debit]))))-((SUM(IF((CkDJ[Ofc Code]=(TRIM(H$7)))*(CkDJ[Account Code]=(TRIM($D101))),CkDJ[Credit])))+(SUM(IF((CsDJ[Ofc Code]=(TRIM(H$7)))*(CsDJ[Account Code]=(TRIM($D101))),CsDJ[Credit])))+(SUM(IF((CRDJ[Ofc Code]=(TRIM(H$7)))*(CRDJ[Account Code]=(TRIM($D101))),CRDJ[Credit])))+(SUM(IF((GJ[Ofc Code]=(TRIM(H$7)))*(GJ[Account Code]=(TRIM($D101))),GJ[Credit]))))</f>
        <v>0</v>
      </c>
      <c r="I101" s="211">
        <f t="array" ref="I101">((SUM(IF((CkDJ[Ofc Code]=(TRIM(I$7)))*(CkDJ[Account Code]=(TRIM($D101))),CkDJ[Debit])))+(SUM(IF((CsDJ[Ofc Code]=(TRIM(I$7)))*(CsDJ[Account Code]=(TRIM($D101))),CsDJ[Debit])))+(SUM(IF((CRDJ[Ofc Code]=(TRIM(I$7)))*(CRDJ[Account Code]=(TRIM($D101))),CRDJ[Debit])))+(SUM(IF((GJ[Ofc Code]=(TRIM(I$7)))*(GJ[Account Code]=(TRIM($D101))),GJ[Debit]))))-((SUM(IF((CkDJ[Ofc Code]=(TRIM(I$7)))*(CkDJ[Account Code]=(TRIM($D101))),CkDJ[Credit])))+(SUM(IF((CsDJ[Ofc Code]=(TRIM(I$7)))*(CsDJ[Account Code]=(TRIM($D101))),CsDJ[Credit])))+(SUM(IF((CRDJ[Ofc Code]=(TRIM(I$7)))*(CRDJ[Account Code]=(TRIM($D101))),CRDJ[Credit])))+(SUM(IF((GJ[Ofc Code]=(TRIM(I$7)))*(GJ[Account Code]=(TRIM($D101))),GJ[Credit]))))</f>
        <v>0</v>
      </c>
      <c r="J101" s="211">
        <f t="shared" si="15"/>
        <v>0</v>
      </c>
      <c r="K101" s="211">
        <f t="array" ref="K101">((SUM(IF((CkDJ[Ofc Code]=(TRIM(K$7)))*(CkDJ[Account Code]=(TRIM($D101))),CkDJ[Debit])))+(SUM(IF((CsDJ[Ofc Code]=(TRIM(K$7)))*(CsDJ[Account Code]=(TRIM($D101))),CsDJ[Debit])))+(SUM(IF((CRDJ[Ofc Code]=(TRIM(K$7)))*(CRDJ[Account Code]=(TRIM($D101))),CRDJ[Debit])))+(SUM(IF((GJ[Ofc Code]=(TRIM(K$7)))*(GJ[Account Code]=(TRIM($D101))),GJ[Debit]))))-((SUM(IF((CkDJ[Ofc Code]=(TRIM(K$7)))*(CkDJ[Account Code]=(TRIM($D101))),CkDJ[Credit])))+(SUM(IF((CsDJ[Ofc Code]=(TRIM(K$7)))*(CsDJ[Account Code]=(TRIM($D101))),CsDJ[Credit])))+(SUM(IF((CRDJ[Ofc Code]=(TRIM(K$7)))*(CRDJ[Account Code]=(TRIM($D101))),CRDJ[Credit])))+(SUM(IF((GJ[Ofc Code]=(TRIM(K$7)))*(GJ[Account Code]=(TRIM($D101))),GJ[Credit]))))</f>
        <v>0</v>
      </c>
      <c r="L101" s="211">
        <f t="array" ref="L101">((SUM(IF((CkDJ[Ofc Code]=(TRIM(L$7)))*(CkDJ[Account Code]=(TRIM($D101))),CkDJ[Debit])))+(SUM(IF((CsDJ[Ofc Code]=(TRIM(L$7)))*(CsDJ[Account Code]=(TRIM($D101))),CsDJ[Debit])))+(SUM(IF((CRDJ[Ofc Code]=(TRIM(L$7)))*(CRDJ[Account Code]=(TRIM($D101))),CRDJ[Debit])))+(SUM(IF((GJ[Ofc Code]=(TRIM(L$7)))*(GJ[Account Code]=(TRIM($D101))),GJ[Debit]))))-((SUM(IF((CkDJ[Ofc Code]=(TRIM(L$7)))*(CkDJ[Account Code]=(TRIM($D101))),CkDJ[Credit])))+(SUM(IF((CsDJ[Ofc Code]=(TRIM(L$7)))*(CsDJ[Account Code]=(TRIM($D101))),CsDJ[Credit])))+(SUM(IF((CRDJ[Ofc Code]=(TRIM(L$7)))*(CRDJ[Account Code]=(TRIM($D101))),CRDJ[Credit])))+(SUM(IF((GJ[Ofc Code]=(TRIM(L$7)))*(GJ[Account Code]=(TRIM($D101))),GJ[Credit]))))</f>
        <v>0</v>
      </c>
      <c r="M101" s="211">
        <f t="array" ref="M101">((SUM(IF((CkDJ[Ofc Code]=(TRIM(M$7)))*(CkDJ[Account Code]=(TRIM($D101))),CkDJ[Debit])))+(SUM(IF((CsDJ[Ofc Code]=(TRIM(M$7)))*(CsDJ[Account Code]=(TRIM($D101))),CsDJ[Debit])))+(SUM(IF((CRDJ[Ofc Code]=(TRIM(M$7)))*(CRDJ[Account Code]=(TRIM($D101))),CRDJ[Debit])))+(SUM(IF((GJ[Ofc Code]=(TRIM(M$7)))*(GJ[Account Code]=(TRIM($D101))),GJ[Debit]))))-((SUM(IF((CkDJ[Ofc Code]=(TRIM(M$7)))*(CkDJ[Account Code]=(TRIM($D101))),CkDJ[Credit])))+(SUM(IF((CsDJ[Ofc Code]=(TRIM(M$7)))*(CsDJ[Account Code]=(TRIM($D101))),CsDJ[Credit])))+(SUM(IF((CRDJ[Ofc Code]=(TRIM(M$7)))*(CRDJ[Account Code]=(TRIM($D101))),CRDJ[Credit])))+(SUM(IF((GJ[Ofc Code]=(TRIM(M$7)))*(GJ[Account Code]=(TRIM($D101))),GJ[Credit]))))</f>
        <v>0</v>
      </c>
      <c r="N101" s="211">
        <f t="array" ref="N101">((SUM(IF((CkDJ[Ofc Code]=(TRIM(N$7)))*(CkDJ[Account Code]=(TRIM($D101))),CkDJ[Debit])))+(SUM(IF((CsDJ[Ofc Code]=(TRIM(N$7)))*(CsDJ[Account Code]=(TRIM($D101))),CsDJ[Debit])))+(SUM(IF((CRDJ[Ofc Code]=(TRIM(N$7)))*(CRDJ[Account Code]=(TRIM($D101))),CRDJ[Debit])))+(SUM(IF((GJ[Ofc Code]=(TRIM(N$7)))*(GJ[Account Code]=(TRIM($D101))),GJ[Debit]))))-((SUM(IF((CkDJ[Ofc Code]=(TRIM(N$7)))*(CkDJ[Account Code]=(TRIM($D101))),CkDJ[Credit])))+(SUM(IF((CsDJ[Ofc Code]=(TRIM(N$7)))*(CsDJ[Account Code]=(TRIM($D101))),CsDJ[Credit])))+(SUM(IF((CRDJ[Ofc Code]=(TRIM(N$7)))*(CRDJ[Account Code]=(TRIM($D101))),CRDJ[Credit])))+(SUM(IF((GJ[Ofc Code]=(TRIM(N$7)))*(GJ[Account Code]=(TRIM($D101))),GJ[Credit]))))</f>
        <v>0</v>
      </c>
      <c r="O101" s="211">
        <f t="shared" si="16"/>
        <v>0</v>
      </c>
      <c r="P101" s="211">
        <f t="array" ref="P101">((SUM(IF((CkDJ[Ofc Code]=(TRIM(P$7)))*(CkDJ[Account Code]=(TRIM($D101))),CkDJ[Debit])))+(SUM(IF((CsDJ[Ofc Code]=(TRIM(P$7)))*(CsDJ[Account Code]=(TRIM($D101))),CsDJ[Debit])))+(SUM(IF((CRDJ[Ofc Code]=(TRIM(P$7)))*(CRDJ[Account Code]=(TRIM($D101))),CRDJ[Debit])))+(SUM(IF((GJ[Ofc Code]=(TRIM(P$7)))*(GJ[Account Code]=(TRIM($D101))),GJ[Debit]))))-((SUM(IF((CkDJ[Ofc Code]=(TRIM(P$7)))*(CkDJ[Account Code]=(TRIM($D101))),CkDJ[Credit])))+(SUM(IF((CsDJ[Ofc Code]=(TRIM(P$7)))*(CsDJ[Account Code]=(TRIM($D101))),CsDJ[Credit])))+(SUM(IF((CRDJ[Ofc Code]=(TRIM(P$7)))*(CRDJ[Account Code]=(TRIM($D101))),CRDJ[Credit])))+(SUM(IF((GJ[Ofc Code]=(TRIM(P$7)))*(GJ[Account Code]=(TRIM($D101))),GJ[Credit]))))</f>
        <v>0</v>
      </c>
      <c r="Q101" s="211">
        <f t="array" ref="Q101">((SUM(IF((CkDJ[Ofc Code]=(TRIM(Q$7)))*(CkDJ[Account Code]=(TRIM($D101))),CkDJ[Debit])))+(SUM(IF((CsDJ[Ofc Code]=(TRIM(Q$7)))*(CsDJ[Account Code]=(TRIM($D101))),CsDJ[Debit])))+(SUM(IF((CRDJ[Ofc Code]=(TRIM(Q$7)))*(CRDJ[Account Code]=(TRIM($D101))),CRDJ[Debit])))+(SUM(IF((GJ[Ofc Code]=(TRIM(Q$7)))*(GJ[Account Code]=(TRIM($D101))),GJ[Debit]))))-((SUM(IF((CkDJ[Ofc Code]=(TRIM(Q$7)))*(CkDJ[Account Code]=(TRIM($D101))),CkDJ[Credit])))+(SUM(IF((CsDJ[Ofc Code]=(TRIM(Q$7)))*(CsDJ[Account Code]=(TRIM($D101))),CsDJ[Credit])))+(SUM(IF((CRDJ[Ofc Code]=(TRIM(Q$7)))*(CRDJ[Account Code]=(TRIM($D101))),CRDJ[Credit])))+(SUM(IF((GJ[Ofc Code]=(TRIM(Q$7)))*(GJ[Account Code]=(TRIM($D101))),GJ[Credit]))))</f>
        <v>0</v>
      </c>
      <c r="R101" s="211">
        <f t="array" ref="R101">((SUM(IF((CkDJ[Ofc Code]=(TRIM(R$7)))*(CkDJ[Account Code]=(TRIM($D101))),CkDJ[Debit])))+(SUM(IF((CsDJ[Ofc Code]=(TRIM(R$7)))*(CsDJ[Account Code]=(TRIM($D101))),CsDJ[Debit])))+(SUM(IF((CRDJ[Ofc Code]=(TRIM(R$7)))*(CRDJ[Account Code]=(TRIM($D101))),CRDJ[Debit])))+(SUM(IF((GJ[Ofc Code]=(TRIM(R$7)))*(GJ[Account Code]=(TRIM($D101))),GJ[Debit]))))-((SUM(IF((CkDJ[Ofc Code]=(TRIM(R$7)))*(CkDJ[Account Code]=(TRIM($D101))),CkDJ[Credit])))+(SUM(IF((CsDJ[Ofc Code]=(TRIM(R$7)))*(CsDJ[Account Code]=(TRIM($D101))),CsDJ[Credit])))+(SUM(IF((CRDJ[Ofc Code]=(TRIM(R$7)))*(CRDJ[Account Code]=(TRIM($D101))),CRDJ[Credit])))+(SUM(IF((GJ[Ofc Code]=(TRIM(R$7)))*(GJ[Account Code]=(TRIM($D101))),GJ[Credit]))))</f>
        <v>0</v>
      </c>
      <c r="S101" s="211">
        <f t="array" ref="S101">((SUM(IF((CkDJ[Ofc Code]=(TRIM(S$7)))*(CkDJ[Account Code]=(TRIM($D101))),CkDJ[Debit])))+(SUM(IF((CsDJ[Ofc Code]=(TRIM(S$7)))*(CsDJ[Account Code]=(TRIM($D101))),CsDJ[Debit])))+(SUM(IF((CRDJ[Ofc Code]=(TRIM(S$7)))*(CRDJ[Account Code]=(TRIM($D101))),CRDJ[Debit])))+(SUM(IF((GJ[Ofc Code]=(TRIM(S$7)))*(GJ[Account Code]=(TRIM($D101))),GJ[Debit]))))-((SUM(IF((CkDJ[Ofc Code]=(TRIM(S$7)))*(CkDJ[Account Code]=(TRIM($D101))),CkDJ[Credit])))+(SUM(IF((CsDJ[Ofc Code]=(TRIM(S$7)))*(CsDJ[Account Code]=(TRIM($D101))),CsDJ[Credit])))+(SUM(IF((CRDJ[Ofc Code]=(TRIM(S$7)))*(CRDJ[Account Code]=(TRIM($D101))),CRDJ[Credit])))+(SUM(IF((GJ[Ofc Code]=(TRIM(S$7)))*(GJ[Account Code]=(TRIM($D101))),GJ[Credit]))))</f>
        <v>0</v>
      </c>
      <c r="T101" s="211">
        <f t="array" ref="T101">((SUM(IF((CkDJ[Ofc Code]=(TRIM(T$7)))*(CkDJ[Account Code]=(TRIM($D101))),CkDJ[Debit])))+(SUM(IF((CsDJ[Ofc Code]=(TRIM(T$7)))*(CsDJ[Account Code]=(TRIM($D101))),CsDJ[Debit])))+(SUM(IF((CRDJ[Ofc Code]=(TRIM(T$7)))*(CRDJ[Account Code]=(TRIM($D101))),CRDJ[Debit])))+(SUM(IF((GJ[Ofc Code]=(TRIM(T$7)))*(GJ[Account Code]=(TRIM($D101))),GJ[Debit]))))-((SUM(IF((CkDJ[Ofc Code]=(TRIM(T$7)))*(CkDJ[Account Code]=(TRIM($D101))),CkDJ[Credit])))+(SUM(IF((CsDJ[Ofc Code]=(TRIM(T$7)))*(CsDJ[Account Code]=(TRIM($D101))),CsDJ[Credit])))+(SUM(IF((CRDJ[Ofc Code]=(TRIM(T$7)))*(CRDJ[Account Code]=(TRIM($D101))),CRDJ[Credit])))+(SUM(IF((GJ[Ofc Code]=(TRIM(T$7)))*(GJ[Account Code]=(TRIM($D101))),GJ[Credit]))))</f>
        <v>0</v>
      </c>
      <c r="U101" s="211">
        <f t="shared" si="17"/>
        <v>0</v>
      </c>
      <c r="V101" s="211">
        <f t="shared" si="18"/>
        <v>0</v>
      </c>
    </row>
    <row r="102" spans="1:22" ht="15" x14ac:dyDescent="0.25">
      <c r="A102" s="212">
        <f t="shared" si="19"/>
        <v>40</v>
      </c>
      <c r="B102" s="194"/>
      <c r="C102" s="194" t="e">
        <f t="shared" si="14"/>
        <v>#N/A</v>
      </c>
      <c r="D102" s="207" t="s">
        <v>331</v>
      </c>
      <c r="E102" s="211">
        <f t="array" ref="E102">((SUM(IF((CkDJ[Ofc Code]=(TRIM(E$7)))*(CkDJ[Account Code]=(TRIM($D102))),CkDJ[Debit])))+(SUM(IF((CsDJ[Ofc Code]=(TRIM(E$7)))*(CsDJ[Account Code]=(TRIM($D102))),CsDJ[Debit])))+(SUM(IF((CRDJ[Ofc Code]=(TRIM(E$7)))*(CRDJ[Account Code]=(TRIM($D102))),CRDJ[Debit])))+(SUM(IF((GJ[Ofc Code]=(TRIM(E$7)))*(GJ[Account Code]=(TRIM($D102))),GJ[Debit]))))-((SUM(IF((CkDJ[Ofc Code]=(TRIM(E$7)))*(CkDJ[Account Code]=(TRIM($D102))),CkDJ[Credit])))+(SUM(IF((CsDJ[Ofc Code]=(TRIM(E$7)))*(CsDJ[Account Code]=(TRIM($D102))),CsDJ[Credit])))+(SUM(IF((CRDJ[Ofc Code]=(TRIM(E$7)))*(CRDJ[Account Code]=(TRIM($D102))),CRDJ[Credit])))+(SUM(IF((GJ[Ofc Code]=(TRIM(E$7)))*(GJ[Account Code]=(TRIM($D102))),GJ[Credit]))))</f>
        <v>0</v>
      </c>
      <c r="F102" s="211">
        <f t="array" ref="F102">((SUM(IF((CkDJ[Ofc Code]=(TRIM(F$7)))*(CkDJ[Account Code]=(TRIM($D102))),CkDJ[Debit])))+(SUM(IF((CsDJ[Ofc Code]=(TRIM(F$7)))*(CsDJ[Account Code]=(TRIM($D102))),CsDJ[Debit])))+(SUM(IF((CRDJ[Ofc Code]=(TRIM(F$7)))*(CRDJ[Account Code]=(TRIM($D102))),CRDJ[Debit])))+(SUM(IF((GJ[Ofc Code]=(TRIM(F$7)))*(GJ[Account Code]=(TRIM($D102))),GJ[Debit]))))-((SUM(IF((CkDJ[Ofc Code]=(TRIM(F$7)))*(CkDJ[Account Code]=(TRIM($D102))),CkDJ[Credit])))+(SUM(IF((CsDJ[Ofc Code]=(TRIM(F$7)))*(CsDJ[Account Code]=(TRIM($D102))),CsDJ[Credit])))+(SUM(IF((CRDJ[Ofc Code]=(TRIM(F$7)))*(CRDJ[Account Code]=(TRIM($D102))),CRDJ[Credit])))+(SUM(IF((GJ[Ofc Code]=(TRIM(F$7)))*(GJ[Account Code]=(TRIM($D102))),GJ[Credit]))))</f>
        <v>0</v>
      </c>
      <c r="G102" s="211">
        <f t="array" ref="G102">((SUM(IF((CkDJ[Ofc Code]=(TRIM(G$7)))*(CkDJ[Account Code]=(TRIM($D102))),CkDJ[Debit])))+(SUM(IF((CsDJ[Ofc Code]=(TRIM(G$7)))*(CsDJ[Account Code]=(TRIM($D102))),CsDJ[Debit])))+(SUM(IF((CRDJ[Ofc Code]=(TRIM(G$7)))*(CRDJ[Account Code]=(TRIM($D102))),CRDJ[Debit])))+(SUM(IF((GJ[Ofc Code]=(TRIM(G$7)))*(GJ[Account Code]=(TRIM($D102))),GJ[Debit]))))-((SUM(IF((CkDJ[Ofc Code]=(TRIM(G$7)))*(CkDJ[Account Code]=(TRIM($D102))),CkDJ[Credit])))+(SUM(IF((CsDJ[Ofc Code]=(TRIM(G$7)))*(CsDJ[Account Code]=(TRIM($D102))),CsDJ[Credit])))+(SUM(IF((CRDJ[Ofc Code]=(TRIM(G$7)))*(CRDJ[Account Code]=(TRIM($D102))),CRDJ[Credit])))+(SUM(IF((GJ[Ofc Code]=(TRIM(G$7)))*(GJ[Account Code]=(TRIM($D102))),GJ[Credit]))))</f>
        <v>0</v>
      </c>
      <c r="H102" s="211">
        <f t="array" ref="H102">((SUM(IF((CkDJ[Ofc Code]=(TRIM(H$7)))*(CkDJ[Account Code]=(TRIM($D102))),CkDJ[Debit])))+(SUM(IF((CsDJ[Ofc Code]=(TRIM(H$7)))*(CsDJ[Account Code]=(TRIM($D102))),CsDJ[Debit])))+(SUM(IF((CRDJ[Ofc Code]=(TRIM(H$7)))*(CRDJ[Account Code]=(TRIM($D102))),CRDJ[Debit])))+(SUM(IF((GJ[Ofc Code]=(TRIM(H$7)))*(GJ[Account Code]=(TRIM($D102))),GJ[Debit]))))-((SUM(IF((CkDJ[Ofc Code]=(TRIM(H$7)))*(CkDJ[Account Code]=(TRIM($D102))),CkDJ[Credit])))+(SUM(IF((CsDJ[Ofc Code]=(TRIM(H$7)))*(CsDJ[Account Code]=(TRIM($D102))),CsDJ[Credit])))+(SUM(IF((CRDJ[Ofc Code]=(TRIM(H$7)))*(CRDJ[Account Code]=(TRIM($D102))),CRDJ[Credit])))+(SUM(IF((GJ[Ofc Code]=(TRIM(H$7)))*(GJ[Account Code]=(TRIM($D102))),GJ[Credit]))))</f>
        <v>0</v>
      </c>
      <c r="I102" s="211">
        <f t="array" ref="I102">((SUM(IF((CkDJ[Ofc Code]=(TRIM(I$7)))*(CkDJ[Account Code]=(TRIM($D102))),CkDJ[Debit])))+(SUM(IF((CsDJ[Ofc Code]=(TRIM(I$7)))*(CsDJ[Account Code]=(TRIM($D102))),CsDJ[Debit])))+(SUM(IF((CRDJ[Ofc Code]=(TRIM(I$7)))*(CRDJ[Account Code]=(TRIM($D102))),CRDJ[Debit])))+(SUM(IF((GJ[Ofc Code]=(TRIM(I$7)))*(GJ[Account Code]=(TRIM($D102))),GJ[Debit]))))-((SUM(IF((CkDJ[Ofc Code]=(TRIM(I$7)))*(CkDJ[Account Code]=(TRIM($D102))),CkDJ[Credit])))+(SUM(IF((CsDJ[Ofc Code]=(TRIM(I$7)))*(CsDJ[Account Code]=(TRIM($D102))),CsDJ[Credit])))+(SUM(IF((CRDJ[Ofc Code]=(TRIM(I$7)))*(CRDJ[Account Code]=(TRIM($D102))),CRDJ[Credit])))+(SUM(IF((GJ[Ofc Code]=(TRIM(I$7)))*(GJ[Account Code]=(TRIM($D102))),GJ[Credit]))))</f>
        <v>0</v>
      </c>
      <c r="J102" s="211">
        <f>SUM(F102:I102)</f>
        <v>0</v>
      </c>
      <c r="K102" s="211">
        <f t="array" ref="K102">((SUM(IF((CkDJ[Ofc Code]=(TRIM(K$7)))*(CkDJ[Account Code]=(TRIM($D102))),CkDJ[Debit])))+(SUM(IF((CsDJ[Ofc Code]=(TRIM(K$7)))*(CsDJ[Account Code]=(TRIM($D102))),CsDJ[Debit])))+(SUM(IF((CRDJ[Ofc Code]=(TRIM(K$7)))*(CRDJ[Account Code]=(TRIM($D102))),CRDJ[Debit])))+(SUM(IF((GJ[Ofc Code]=(TRIM(K$7)))*(GJ[Account Code]=(TRIM($D102))),GJ[Debit]))))-((SUM(IF((CkDJ[Ofc Code]=(TRIM(K$7)))*(CkDJ[Account Code]=(TRIM($D102))),CkDJ[Credit])))+(SUM(IF((CsDJ[Ofc Code]=(TRIM(K$7)))*(CsDJ[Account Code]=(TRIM($D102))),CsDJ[Credit])))+(SUM(IF((CRDJ[Ofc Code]=(TRIM(K$7)))*(CRDJ[Account Code]=(TRIM($D102))),CRDJ[Credit])))+(SUM(IF((GJ[Ofc Code]=(TRIM(K$7)))*(GJ[Account Code]=(TRIM($D102))),GJ[Credit]))))</f>
        <v>0</v>
      </c>
      <c r="L102" s="211">
        <f t="array" ref="L102">((SUM(IF((CkDJ[Ofc Code]=(TRIM(L$7)))*(CkDJ[Account Code]=(TRIM($D102))),CkDJ[Debit])))+(SUM(IF((CsDJ[Ofc Code]=(TRIM(L$7)))*(CsDJ[Account Code]=(TRIM($D102))),CsDJ[Debit])))+(SUM(IF((CRDJ[Ofc Code]=(TRIM(L$7)))*(CRDJ[Account Code]=(TRIM($D102))),CRDJ[Debit])))+(SUM(IF((GJ[Ofc Code]=(TRIM(L$7)))*(GJ[Account Code]=(TRIM($D102))),GJ[Debit]))))-((SUM(IF((CkDJ[Ofc Code]=(TRIM(L$7)))*(CkDJ[Account Code]=(TRIM($D102))),CkDJ[Credit])))+(SUM(IF((CsDJ[Ofc Code]=(TRIM(L$7)))*(CsDJ[Account Code]=(TRIM($D102))),CsDJ[Credit])))+(SUM(IF((CRDJ[Ofc Code]=(TRIM(L$7)))*(CRDJ[Account Code]=(TRIM($D102))),CRDJ[Credit])))+(SUM(IF((GJ[Ofc Code]=(TRIM(L$7)))*(GJ[Account Code]=(TRIM($D102))),GJ[Credit]))))</f>
        <v>0</v>
      </c>
      <c r="M102" s="211">
        <f t="array" ref="M102">((SUM(IF((CkDJ[Ofc Code]=(TRIM(M$7)))*(CkDJ[Account Code]=(TRIM($D102))),CkDJ[Debit])))+(SUM(IF((CsDJ[Ofc Code]=(TRIM(M$7)))*(CsDJ[Account Code]=(TRIM($D102))),CsDJ[Debit])))+(SUM(IF((CRDJ[Ofc Code]=(TRIM(M$7)))*(CRDJ[Account Code]=(TRIM($D102))),CRDJ[Debit])))+(SUM(IF((GJ[Ofc Code]=(TRIM(M$7)))*(GJ[Account Code]=(TRIM($D102))),GJ[Debit]))))-((SUM(IF((CkDJ[Ofc Code]=(TRIM(M$7)))*(CkDJ[Account Code]=(TRIM($D102))),CkDJ[Credit])))+(SUM(IF((CsDJ[Ofc Code]=(TRIM(M$7)))*(CsDJ[Account Code]=(TRIM($D102))),CsDJ[Credit])))+(SUM(IF((CRDJ[Ofc Code]=(TRIM(M$7)))*(CRDJ[Account Code]=(TRIM($D102))),CRDJ[Credit])))+(SUM(IF((GJ[Ofc Code]=(TRIM(M$7)))*(GJ[Account Code]=(TRIM($D102))),GJ[Credit]))))</f>
        <v>0</v>
      </c>
      <c r="N102" s="211">
        <f t="array" ref="N102">((SUM(IF((CkDJ[Ofc Code]=(TRIM(N$7)))*(CkDJ[Account Code]=(TRIM($D102))),CkDJ[Debit])))+(SUM(IF((CsDJ[Ofc Code]=(TRIM(N$7)))*(CsDJ[Account Code]=(TRIM($D102))),CsDJ[Debit])))+(SUM(IF((CRDJ[Ofc Code]=(TRIM(N$7)))*(CRDJ[Account Code]=(TRIM($D102))),CRDJ[Debit])))+(SUM(IF((GJ[Ofc Code]=(TRIM(N$7)))*(GJ[Account Code]=(TRIM($D102))),GJ[Debit]))))-((SUM(IF((CkDJ[Ofc Code]=(TRIM(N$7)))*(CkDJ[Account Code]=(TRIM($D102))),CkDJ[Credit])))+(SUM(IF((CsDJ[Ofc Code]=(TRIM(N$7)))*(CsDJ[Account Code]=(TRIM($D102))),CsDJ[Credit])))+(SUM(IF((CRDJ[Ofc Code]=(TRIM(N$7)))*(CRDJ[Account Code]=(TRIM($D102))),CRDJ[Credit])))+(SUM(IF((GJ[Ofc Code]=(TRIM(N$7)))*(GJ[Account Code]=(TRIM($D102))),GJ[Credit]))))</f>
        <v>0</v>
      </c>
      <c r="O102" s="211">
        <f>SUM(K102:N102)</f>
        <v>0</v>
      </c>
      <c r="P102" s="211">
        <f t="array" ref="P102">((SUM(IF((CkDJ[Ofc Code]=(TRIM(P$7)))*(CkDJ[Account Code]=(TRIM($D102))),CkDJ[Debit])))+(SUM(IF((CsDJ[Ofc Code]=(TRIM(P$7)))*(CsDJ[Account Code]=(TRIM($D102))),CsDJ[Debit])))+(SUM(IF((CRDJ[Ofc Code]=(TRIM(P$7)))*(CRDJ[Account Code]=(TRIM($D102))),CRDJ[Debit])))+(SUM(IF((GJ[Ofc Code]=(TRIM(P$7)))*(GJ[Account Code]=(TRIM($D102))),GJ[Debit]))))-((SUM(IF((CkDJ[Ofc Code]=(TRIM(P$7)))*(CkDJ[Account Code]=(TRIM($D102))),CkDJ[Credit])))+(SUM(IF((CsDJ[Ofc Code]=(TRIM(P$7)))*(CsDJ[Account Code]=(TRIM($D102))),CsDJ[Credit])))+(SUM(IF((CRDJ[Ofc Code]=(TRIM(P$7)))*(CRDJ[Account Code]=(TRIM($D102))),CRDJ[Credit])))+(SUM(IF((GJ[Ofc Code]=(TRIM(P$7)))*(GJ[Account Code]=(TRIM($D102))),GJ[Credit]))))</f>
        <v>0</v>
      </c>
      <c r="Q102" s="211">
        <f t="array" ref="Q102">((SUM(IF((CkDJ[Ofc Code]=(TRIM(Q$7)))*(CkDJ[Account Code]=(TRIM($D102))),CkDJ[Debit])))+(SUM(IF((CsDJ[Ofc Code]=(TRIM(Q$7)))*(CsDJ[Account Code]=(TRIM($D102))),CsDJ[Debit])))+(SUM(IF((CRDJ[Ofc Code]=(TRIM(Q$7)))*(CRDJ[Account Code]=(TRIM($D102))),CRDJ[Debit])))+(SUM(IF((GJ[Ofc Code]=(TRIM(Q$7)))*(GJ[Account Code]=(TRIM($D102))),GJ[Debit]))))-((SUM(IF((CkDJ[Ofc Code]=(TRIM(Q$7)))*(CkDJ[Account Code]=(TRIM($D102))),CkDJ[Credit])))+(SUM(IF((CsDJ[Ofc Code]=(TRIM(Q$7)))*(CsDJ[Account Code]=(TRIM($D102))),CsDJ[Credit])))+(SUM(IF((CRDJ[Ofc Code]=(TRIM(Q$7)))*(CRDJ[Account Code]=(TRIM($D102))),CRDJ[Credit])))+(SUM(IF((GJ[Ofc Code]=(TRIM(Q$7)))*(GJ[Account Code]=(TRIM($D102))),GJ[Credit]))))</f>
        <v>0</v>
      </c>
      <c r="R102" s="211">
        <f t="array" ref="R102">((SUM(IF((CkDJ[Ofc Code]=(TRIM(R$7)))*(CkDJ[Account Code]=(TRIM($D102))),CkDJ[Debit])))+(SUM(IF((CsDJ[Ofc Code]=(TRIM(R$7)))*(CsDJ[Account Code]=(TRIM($D102))),CsDJ[Debit])))+(SUM(IF((CRDJ[Ofc Code]=(TRIM(R$7)))*(CRDJ[Account Code]=(TRIM($D102))),CRDJ[Debit])))+(SUM(IF((GJ[Ofc Code]=(TRIM(R$7)))*(GJ[Account Code]=(TRIM($D102))),GJ[Debit]))))-((SUM(IF((CkDJ[Ofc Code]=(TRIM(R$7)))*(CkDJ[Account Code]=(TRIM($D102))),CkDJ[Credit])))+(SUM(IF((CsDJ[Ofc Code]=(TRIM(R$7)))*(CsDJ[Account Code]=(TRIM($D102))),CsDJ[Credit])))+(SUM(IF((CRDJ[Ofc Code]=(TRIM(R$7)))*(CRDJ[Account Code]=(TRIM($D102))),CRDJ[Credit])))+(SUM(IF((GJ[Ofc Code]=(TRIM(R$7)))*(GJ[Account Code]=(TRIM($D102))),GJ[Credit]))))</f>
        <v>0</v>
      </c>
      <c r="S102" s="211">
        <f t="array" ref="S102">((SUM(IF((CkDJ[Ofc Code]=(TRIM(S$7)))*(CkDJ[Account Code]=(TRIM($D102))),CkDJ[Debit])))+(SUM(IF((CsDJ[Ofc Code]=(TRIM(S$7)))*(CsDJ[Account Code]=(TRIM($D102))),CsDJ[Debit])))+(SUM(IF((CRDJ[Ofc Code]=(TRIM(S$7)))*(CRDJ[Account Code]=(TRIM($D102))),CRDJ[Debit])))+(SUM(IF((GJ[Ofc Code]=(TRIM(S$7)))*(GJ[Account Code]=(TRIM($D102))),GJ[Debit]))))-((SUM(IF((CkDJ[Ofc Code]=(TRIM(S$7)))*(CkDJ[Account Code]=(TRIM($D102))),CkDJ[Credit])))+(SUM(IF((CsDJ[Ofc Code]=(TRIM(S$7)))*(CsDJ[Account Code]=(TRIM($D102))),CsDJ[Credit])))+(SUM(IF((CRDJ[Ofc Code]=(TRIM(S$7)))*(CRDJ[Account Code]=(TRIM($D102))),CRDJ[Credit])))+(SUM(IF((GJ[Ofc Code]=(TRIM(S$7)))*(GJ[Account Code]=(TRIM($D102))),GJ[Credit]))))</f>
        <v>0</v>
      </c>
      <c r="T102" s="211">
        <f t="array" ref="T102">((SUM(IF((CkDJ[Ofc Code]=(TRIM(T$7)))*(CkDJ[Account Code]=(TRIM($D102))),CkDJ[Debit])))+(SUM(IF((CsDJ[Ofc Code]=(TRIM(T$7)))*(CsDJ[Account Code]=(TRIM($D102))),CsDJ[Debit])))+(SUM(IF((CRDJ[Ofc Code]=(TRIM(T$7)))*(CRDJ[Account Code]=(TRIM($D102))),CRDJ[Debit])))+(SUM(IF((GJ[Ofc Code]=(TRIM(T$7)))*(GJ[Account Code]=(TRIM($D102))),GJ[Debit]))))-((SUM(IF((CkDJ[Ofc Code]=(TRIM(T$7)))*(CkDJ[Account Code]=(TRIM($D102))),CkDJ[Credit])))+(SUM(IF((CsDJ[Ofc Code]=(TRIM(T$7)))*(CsDJ[Account Code]=(TRIM($D102))),CsDJ[Credit])))+(SUM(IF((CRDJ[Ofc Code]=(TRIM(T$7)))*(CRDJ[Account Code]=(TRIM($D102))),CRDJ[Credit])))+(SUM(IF((GJ[Ofc Code]=(TRIM(T$7)))*(GJ[Account Code]=(TRIM($D102))),GJ[Credit]))))</f>
        <v>0</v>
      </c>
      <c r="U102" s="211">
        <f>SUM(P102:T102)</f>
        <v>0</v>
      </c>
      <c r="V102" s="211">
        <f>E102+J102+O102+U102</f>
        <v>0</v>
      </c>
    </row>
    <row r="103" spans="1:22" ht="15" x14ac:dyDescent="0.25">
      <c r="A103" s="212">
        <f t="shared" si="19"/>
        <v>41</v>
      </c>
      <c r="B103" s="194"/>
      <c r="C103" s="194" t="str">
        <f t="shared" si="14"/>
        <v>Other Maintenance and Operating Expenses (Irrigator's Share/Remuneration/Subsidy)</v>
      </c>
      <c r="D103" s="207">
        <v>965</v>
      </c>
      <c r="E103" s="211">
        <f t="array" ref="E103">((SUM(IF((CkDJ[Ofc Code]=(TRIM(E$7)))*(CkDJ[Account Code]=(TRIM($D103))),CkDJ[Debit])))+(SUM(IF((CsDJ[Ofc Code]=(TRIM(E$7)))*(CsDJ[Account Code]=(TRIM($D103))),CsDJ[Debit])))+(SUM(IF((CRDJ[Ofc Code]=(TRIM(E$7)))*(CRDJ[Account Code]=(TRIM($D103))),CRDJ[Debit])))+(SUM(IF((GJ[Ofc Code]=(TRIM(E$7)))*(GJ[Account Code]=(TRIM($D103))),GJ[Debit]))))-((SUM(IF((CkDJ[Ofc Code]=(TRIM(E$7)))*(CkDJ[Account Code]=(TRIM($D103))),CkDJ[Credit])))+(SUM(IF((CsDJ[Ofc Code]=(TRIM(E$7)))*(CsDJ[Account Code]=(TRIM($D103))),CsDJ[Credit])))+(SUM(IF((CRDJ[Ofc Code]=(TRIM(E$7)))*(CRDJ[Account Code]=(TRIM($D103))),CRDJ[Credit])))+(SUM(IF((GJ[Ofc Code]=(TRIM(E$7)))*(GJ[Account Code]=(TRIM($D103))),GJ[Credit]))))</f>
        <v>0</v>
      </c>
      <c r="F103" s="211">
        <f t="array" ref="F103">((SUM(IF((CkDJ[Ofc Code]=(TRIM(F$7)))*(CkDJ[Account Code]=(TRIM($D103))),CkDJ[Debit])))+(SUM(IF((CsDJ[Ofc Code]=(TRIM(F$7)))*(CsDJ[Account Code]=(TRIM($D103))),CsDJ[Debit])))+(SUM(IF((CRDJ[Ofc Code]=(TRIM(F$7)))*(CRDJ[Account Code]=(TRIM($D103))),CRDJ[Debit])))+(SUM(IF((GJ[Ofc Code]=(TRIM(F$7)))*(GJ[Account Code]=(TRIM($D103))),GJ[Debit]))))-((SUM(IF((CkDJ[Ofc Code]=(TRIM(F$7)))*(CkDJ[Account Code]=(TRIM($D103))),CkDJ[Credit])))+(SUM(IF((CsDJ[Ofc Code]=(TRIM(F$7)))*(CsDJ[Account Code]=(TRIM($D103))),CsDJ[Credit])))+(SUM(IF((CRDJ[Ofc Code]=(TRIM(F$7)))*(CRDJ[Account Code]=(TRIM($D103))),CRDJ[Credit])))+(SUM(IF((GJ[Ofc Code]=(TRIM(F$7)))*(GJ[Account Code]=(TRIM($D103))),GJ[Credit]))))</f>
        <v>0</v>
      </c>
      <c r="G103" s="211">
        <f t="array" ref="G103">((SUM(IF((CkDJ[Ofc Code]=(TRIM(G$7)))*(CkDJ[Account Code]=(TRIM($D103))),CkDJ[Debit])))+(SUM(IF((CsDJ[Ofc Code]=(TRIM(G$7)))*(CsDJ[Account Code]=(TRIM($D103))),CsDJ[Debit])))+(SUM(IF((CRDJ[Ofc Code]=(TRIM(G$7)))*(CRDJ[Account Code]=(TRIM($D103))),CRDJ[Debit])))+(SUM(IF((GJ[Ofc Code]=(TRIM(G$7)))*(GJ[Account Code]=(TRIM($D103))),GJ[Debit]))))-((SUM(IF((CkDJ[Ofc Code]=(TRIM(G$7)))*(CkDJ[Account Code]=(TRIM($D103))),CkDJ[Credit])))+(SUM(IF((CsDJ[Ofc Code]=(TRIM(G$7)))*(CsDJ[Account Code]=(TRIM($D103))),CsDJ[Credit])))+(SUM(IF((CRDJ[Ofc Code]=(TRIM(G$7)))*(CRDJ[Account Code]=(TRIM($D103))),CRDJ[Credit])))+(SUM(IF((GJ[Ofc Code]=(TRIM(G$7)))*(GJ[Account Code]=(TRIM($D103))),GJ[Credit]))))</f>
        <v>0</v>
      </c>
      <c r="H103" s="211">
        <f t="array" ref="H103">((SUM(IF((CkDJ[Ofc Code]=(TRIM(H$7)))*(CkDJ[Account Code]=(TRIM($D103))),CkDJ[Debit])))+(SUM(IF((CsDJ[Ofc Code]=(TRIM(H$7)))*(CsDJ[Account Code]=(TRIM($D103))),CsDJ[Debit])))+(SUM(IF((CRDJ[Ofc Code]=(TRIM(H$7)))*(CRDJ[Account Code]=(TRIM($D103))),CRDJ[Debit])))+(SUM(IF((GJ[Ofc Code]=(TRIM(H$7)))*(GJ[Account Code]=(TRIM($D103))),GJ[Debit]))))-((SUM(IF((CkDJ[Ofc Code]=(TRIM(H$7)))*(CkDJ[Account Code]=(TRIM($D103))),CkDJ[Credit])))+(SUM(IF((CsDJ[Ofc Code]=(TRIM(H$7)))*(CsDJ[Account Code]=(TRIM($D103))),CsDJ[Credit])))+(SUM(IF((CRDJ[Ofc Code]=(TRIM(H$7)))*(CRDJ[Account Code]=(TRIM($D103))),CRDJ[Credit])))+(SUM(IF((GJ[Ofc Code]=(TRIM(H$7)))*(GJ[Account Code]=(TRIM($D103))),GJ[Credit]))))</f>
        <v>0</v>
      </c>
      <c r="I103" s="211">
        <f t="array" ref="I103">((SUM(IF((CkDJ[Ofc Code]=(TRIM(I$7)))*(CkDJ[Account Code]=(TRIM($D103))),CkDJ[Debit])))+(SUM(IF((CsDJ[Ofc Code]=(TRIM(I$7)))*(CsDJ[Account Code]=(TRIM($D103))),CsDJ[Debit])))+(SUM(IF((CRDJ[Ofc Code]=(TRIM(I$7)))*(CRDJ[Account Code]=(TRIM($D103))),CRDJ[Debit])))+(SUM(IF((GJ[Ofc Code]=(TRIM(I$7)))*(GJ[Account Code]=(TRIM($D103))),GJ[Debit]))))-((SUM(IF((CkDJ[Ofc Code]=(TRIM(I$7)))*(CkDJ[Account Code]=(TRIM($D103))),CkDJ[Credit])))+(SUM(IF((CsDJ[Ofc Code]=(TRIM(I$7)))*(CsDJ[Account Code]=(TRIM($D103))),CsDJ[Credit])))+(SUM(IF((CRDJ[Ofc Code]=(TRIM(I$7)))*(CRDJ[Account Code]=(TRIM($D103))),CRDJ[Credit])))+(SUM(IF((GJ[Ofc Code]=(TRIM(I$7)))*(GJ[Account Code]=(TRIM($D103))),GJ[Credit]))))</f>
        <v>0</v>
      </c>
      <c r="J103" s="211">
        <f t="shared" si="15"/>
        <v>0</v>
      </c>
      <c r="K103" s="211">
        <f t="array" ref="K103">((SUM(IF((CkDJ[Ofc Code]=(TRIM(K$7)))*(CkDJ[Account Code]=(TRIM($D103))),CkDJ[Debit])))+(SUM(IF((CsDJ[Ofc Code]=(TRIM(K$7)))*(CsDJ[Account Code]=(TRIM($D103))),CsDJ[Debit])))+(SUM(IF((CRDJ[Ofc Code]=(TRIM(K$7)))*(CRDJ[Account Code]=(TRIM($D103))),CRDJ[Debit])))+(SUM(IF((GJ[Ofc Code]=(TRIM(K$7)))*(GJ[Account Code]=(TRIM($D103))),GJ[Debit]))))-((SUM(IF((CkDJ[Ofc Code]=(TRIM(K$7)))*(CkDJ[Account Code]=(TRIM($D103))),CkDJ[Credit])))+(SUM(IF((CsDJ[Ofc Code]=(TRIM(K$7)))*(CsDJ[Account Code]=(TRIM($D103))),CsDJ[Credit])))+(SUM(IF((CRDJ[Ofc Code]=(TRIM(K$7)))*(CRDJ[Account Code]=(TRIM($D103))),CRDJ[Credit])))+(SUM(IF((GJ[Ofc Code]=(TRIM(K$7)))*(GJ[Account Code]=(TRIM($D103))),GJ[Credit]))))</f>
        <v>0</v>
      </c>
      <c r="L103" s="211">
        <f t="array" ref="L103">((SUM(IF((CkDJ[Ofc Code]=(TRIM(L$7)))*(CkDJ[Account Code]=(TRIM($D103))),CkDJ[Debit])))+(SUM(IF((CsDJ[Ofc Code]=(TRIM(L$7)))*(CsDJ[Account Code]=(TRIM($D103))),CsDJ[Debit])))+(SUM(IF((CRDJ[Ofc Code]=(TRIM(L$7)))*(CRDJ[Account Code]=(TRIM($D103))),CRDJ[Debit])))+(SUM(IF((GJ[Ofc Code]=(TRIM(L$7)))*(GJ[Account Code]=(TRIM($D103))),GJ[Debit]))))-((SUM(IF((CkDJ[Ofc Code]=(TRIM(L$7)))*(CkDJ[Account Code]=(TRIM($D103))),CkDJ[Credit])))+(SUM(IF((CsDJ[Ofc Code]=(TRIM(L$7)))*(CsDJ[Account Code]=(TRIM($D103))),CsDJ[Credit])))+(SUM(IF((CRDJ[Ofc Code]=(TRIM(L$7)))*(CRDJ[Account Code]=(TRIM($D103))),CRDJ[Credit])))+(SUM(IF((GJ[Ofc Code]=(TRIM(L$7)))*(GJ[Account Code]=(TRIM($D103))),GJ[Credit]))))</f>
        <v>0</v>
      </c>
      <c r="M103" s="211">
        <f t="array" ref="M103">((SUM(IF((CkDJ[Ofc Code]=(TRIM(M$7)))*(CkDJ[Account Code]=(TRIM($D103))),CkDJ[Debit])))+(SUM(IF((CsDJ[Ofc Code]=(TRIM(M$7)))*(CsDJ[Account Code]=(TRIM($D103))),CsDJ[Debit])))+(SUM(IF((CRDJ[Ofc Code]=(TRIM(M$7)))*(CRDJ[Account Code]=(TRIM($D103))),CRDJ[Debit])))+(SUM(IF((GJ[Ofc Code]=(TRIM(M$7)))*(GJ[Account Code]=(TRIM($D103))),GJ[Debit]))))-((SUM(IF((CkDJ[Ofc Code]=(TRIM(M$7)))*(CkDJ[Account Code]=(TRIM($D103))),CkDJ[Credit])))+(SUM(IF((CsDJ[Ofc Code]=(TRIM(M$7)))*(CsDJ[Account Code]=(TRIM($D103))),CsDJ[Credit])))+(SUM(IF((CRDJ[Ofc Code]=(TRIM(M$7)))*(CRDJ[Account Code]=(TRIM($D103))),CRDJ[Credit])))+(SUM(IF((GJ[Ofc Code]=(TRIM(M$7)))*(GJ[Account Code]=(TRIM($D103))),GJ[Credit]))))</f>
        <v>0</v>
      </c>
      <c r="N103" s="211">
        <f t="array" ref="N103">((SUM(IF((CkDJ[Ofc Code]=(TRIM(N$7)))*(CkDJ[Account Code]=(TRIM($D103))),CkDJ[Debit])))+(SUM(IF((CsDJ[Ofc Code]=(TRIM(N$7)))*(CsDJ[Account Code]=(TRIM($D103))),CsDJ[Debit])))+(SUM(IF((CRDJ[Ofc Code]=(TRIM(N$7)))*(CRDJ[Account Code]=(TRIM($D103))),CRDJ[Debit])))+(SUM(IF((GJ[Ofc Code]=(TRIM(N$7)))*(GJ[Account Code]=(TRIM($D103))),GJ[Debit]))))-((SUM(IF((CkDJ[Ofc Code]=(TRIM(N$7)))*(CkDJ[Account Code]=(TRIM($D103))),CkDJ[Credit])))+(SUM(IF((CsDJ[Ofc Code]=(TRIM(N$7)))*(CsDJ[Account Code]=(TRIM($D103))),CsDJ[Credit])))+(SUM(IF((CRDJ[Ofc Code]=(TRIM(N$7)))*(CRDJ[Account Code]=(TRIM($D103))),CRDJ[Credit])))+(SUM(IF((GJ[Ofc Code]=(TRIM(N$7)))*(GJ[Account Code]=(TRIM($D103))),GJ[Credit]))))</f>
        <v>0</v>
      </c>
      <c r="O103" s="211">
        <f t="shared" si="16"/>
        <v>0</v>
      </c>
      <c r="P103" s="211">
        <f t="array" ref="P103">((SUM(IF((CkDJ[Ofc Code]=(TRIM(P$7)))*(CkDJ[Account Code]=(TRIM($D103))),CkDJ[Debit])))+(SUM(IF((CsDJ[Ofc Code]=(TRIM(P$7)))*(CsDJ[Account Code]=(TRIM($D103))),CsDJ[Debit])))+(SUM(IF((CRDJ[Ofc Code]=(TRIM(P$7)))*(CRDJ[Account Code]=(TRIM($D103))),CRDJ[Debit])))+(SUM(IF((GJ[Ofc Code]=(TRIM(P$7)))*(GJ[Account Code]=(TRIM($D103))),GJ[Debit]))))-((SUM(IF((CkDJ[Ofc Code]=(TRIM(P$7)))*(CkDJ[Account Code]=(TRIM($D103))),CkDJ[Credit])))+(SUM(IF((CsDJ[Ofc Code]=(TRIM(P$7)))*(CsDJ[Account Code]=(TRIM($D103))),CsDJ[Credit])))+(SUM(IF((CRDJ[Ofc Code]=(TRIM(P$7)))*(CRDJ[Account Code]=(TRIM($D103))),CRDJ[Credit])))+(SUM(IF((GJ[Ofc Code]=(TRIM(P$7)))*(GJ[Account Code]=(TRIM($D103))),GJ[Credit]))))</f>
        <v>0</v>
      </c>
      <c r="Q103" s="211">
        <f t="array" ref="Q103">((SUM(IF((CkDJ[Ofc Code]=(TRIM(Q$7)))*(CkDJ[Account Code]=(TRIM($D103))),CkDJ[Debit])))+(SUM(IF((CsDJ[Ofc Code]=(TRIM(Q$7)))*(CsDJ[Account Code]=(TRIM($D103))),CsDJ[Debit])))+(SUM(IF((CRDJ[Ofc Code]=(TRIM(Q$7)))*(CRDJ[Account Code]=(TRIM($D103))),CRDJ[Debit])))+(SUM(IF((GJ[Ofc Code]=(TRIM(Q$7)))*(GJ[Account Code]=(TRIM($D103))),GJ[Debit]))))-((SUM(IF((CkDJ[Ofc Code]=(TRIM(Q$7)))*(CkDJ[Account Code]=(TRIM($D103))),CkDJ[Credit])))+(SUM(IF((CsDJ[Ofc Code]=(TRIM(Q$7)))*(CsDJ[Account Code]=(TRIM($D103))),CsDJ[Credit])))+(SUM(IF((CRDJ[Ofc Code]=(TRIM(Q$7)))*(CRDJ[Account Code]=(TRIM($D103))),CRDJ[Credit])))+(SUM(IF((GJ[Ofc Code]=(TRIM(Q$7)))*(GJ[Account Code]=(TRIM($D103))),GJ[Credit]))))</f>
        <v>0</v>
      </c>
      <c r="R103" s="211">
        <f t="array" ref="R103">((SUM(IF((CkDJ[Ofc Code]=(TRIM(R$7)))*(CkDJ[Account Code]=(TRIM($D103))),CkDJ[Debit])))+(SUM(IF((CsDJ[Ofc Code]=(TRIM(R$7)))*(CsDJ[Account Code]=(TRIM($D103))),CsDJ[Debit])))+(SUM(IF((CRDJ[Ofc Code]=(TRIM(R$7)))*(CRDJ[Account Code]=(TRIM($D103))),CRDJ[Debit])))+(SUM(IF((GJ[Ofc Code]=(TRIM(R$7)))*(GJ[Account Code]=(TRIM($D103))),GJ[Debit]))))-((SUM(IF((CkDJ[Ofc Code]=(TRIM(R$7)))*(CkDJ[Account Code]=(TRIM($D103))),CkDJ[Credit])))+(SUM(IF((CsDJ[Ofc Code]=(TRIM(R$7)))*(CsDJ[Account Code]=(TRIM($D103))),CsDJ[Credit])))+(SUM(IF((CRDJ[Ofc Code]=(TRIM(R$7)))*(CRDJ[Account Code]=(TRIM($D103))),CRDJ[Credit])))+(SUM(IF((GJ[Ofc Code]=(TRIM(R$7)))*(GJ[Account Code]=(TRIM($D103))),GJ[Credit]))))</f>
        <v>0</v>
      </c>
      <c r="S103" s="211">
        <f t="array" ref="S103">((SUM(IF((CkDJ[Ofc Code]=(TRIM(S$7)))*(CkDJ[Account Code]=(TRIM($D103))),CkDJ[Debit])))+(SUM(IF((CsDJ[Ofc Code]=(TRIM(S$7)))*(CsDJ[Account Code]=(TRIM($D103))),CsDJ[Debit])))+(SUM(IF((CRDJ[Ofc Code]=(TRIM(S$7)))*(CRDJ[Account Code]=(TRIM($D103))),CRDJ[Debit])))+(SUM(IF((GJ[Ofc Code]=(TRIM(S$7)))*(GJ[Account Code]=(TRIM($D103))),GJ[Debit]))))-((SUM(IF((CkDJ[Ofc Code]=(TRIM(S$7)))*(CkDJ[Account Code]=(TRIM($D103))),CkDJ[Credit])))+(SUM(IF((CsDJ[Ofc Code]=(TRIM(S$7)))*(CsDJ[Account Code]=(TRIM($D103))),CsDJ[Credit])))+(SUM(IF((CRDJ[Ofc Code]=(TRIM(S$7)))*(CRDJ[Account Code]=(TRIM($D103))),CRDJ[Credit])))+(SUM(IF((GJ[Ofc Code]=(TRIM(S$7)))*(GJ[Account Code]=(TRIM($D103))),GJ[Credit]))))</f>
        <v>0</v>
      </c>
      <c r="T103" s="211">
        <f t="array" ref="T103">((SUM(IF((CkDJ[Ofc Code]=(TRIM(T$7)))*(CkDJ[Account Code]=(TRIM($D103))),CkDJ[Debit])))+(SUM(IF((CsDJ[Ofc Code]=(TRIM(T$7)))*(CsDJ[Account Code]=(TRIM($D103))),CsDJ[Debit])))+(SUM(IF((CRDJ[Ofc Code]=(TRIM(T$7)))*(CRDJ[Account Code]=(TRIM($D103))),CRDJ[Debit])))+(SUM(IF((GJ[Ofc Code]=(TRIM(T$7)))*(GJ[Account Code]=(TRIM($D103))),GJ[Debit]))))-((SUM(IF((CkDJ[Ofc Code]=(TRIM(T$7)))*(CkDJ[Account Code]=(TRIM($D103))),CkDJ[Credit])))+(SUM(IF((CsDJ[Ofc Code]=(TRIM(T$7)))*(CsDJ[Account Code]=(TRIM($D103))),CsDJ[Credit])))+(SUM(IF((CRDJ[Ofc Code]=(TRIM(T$7)))*(CRDJ[Account Code]=(TRIM($D103))),CRDJ[Credit])))+(SUM(IF((GJ[Ofc Code]=(TRIM(T$7)))*(GJ[Account Code]=(TRIM($D103))),GJ[Credit]))))</f>
        <v>0</v>
      </c>
      <c r="U103" s="211">
        <f t="shared" si="17"/>
        <v>0</v>
      </c>
      <c r="V103" s="211">
        <f t="shared" si="18"/>
        <v>0</v>
      </c>
    </row>
    <row r="104" spans="1:22" ht="15" x14ac:dyDescent="0.25">
      <c r="A104" s="212">
        <f t="shared" si="19"/>
        <v>42</v>
      </c>
      <c r="B104" s="194"/>
      <c r="C104" s="194" t="e">
        <f t="shared" si="14"/>
        <v>#N/A</v>
      </c>
      <c r="D104" s="207">
        <v>966</v>
      </c>
      <c r="E104" s="211">
        <f t="array" ref="E104">((SUM(IF((CkDJ[Ofc Code]=(TRIM(E$7)))*(CkDJ[Account Code]=(TRIM($D104))),CkDJ[Debit])))+(SUM(IF((CsDJ[Ofc Code]=(TRIM(E$7)))*(CsDJ[Account Code]=(TRIM($D104))),CsDJ[Debit])))+(SUM(IF((CRDJ[Ofc Code]=(TRIM(E$7)))*(CRDJ[Account Code]=(TRIM($D104))),CRDJ[Debit])))+(SUM(IF((GJ[Ofc Code]=(TRIM(E$7)))*(GJ[Account Code]=(TRIM($D104))),GJ[Debit]))))-((SUM(IF((CkDJ[Ofc Code]=(TRIM(E$7)))*(CkDJ[Account Code]=(TRIM($D104))),CkDJ[Credit])))+(SUM(IF((CsDJ[Ofc Code]=(TRIM(E$7)))*(CsDJ[Account Code]=(TRIM($D104))),CsDJ[Credit])))+(SUM(IF((CRDJ[Ofc Code]=(TRIM(E$7)))*(CRDJ[Account Code]=(TRIM($D104))),CRDJ[Credit])))+(SUM(IF((GJ[Ofc Code]=(TRIM(E$7)))*(GJ[Account Code]=(TRIM($D104))),GJ[Credit]))))</f>
        <v>0</v>
      </c>
      <c r="F104" s="211">
        <f t="array" ref="F104">((SUM(IF((CkDJ[Ofc Code]=(TRIM(F$7)))*(CkDJ[Account Code]=(TRIM($D104))),CkDJ[Debit])))+(SUM(IF((CsDJ[Ofc Code]=(TRIM(F$7)))*(CsDJ[Account Code]=(TRIM($D104))),CsDJ[Debit])))+(SUM(IF((CRDJ[Ofc Code]=(TRIM(F$7)))*(CRDJ[Account Code]=(TRIM($D104))),CRDJ[Debit])))+(SUM(IF((GJ[Ofc Code]=(TRIM(F$7)))*(GJ[Account Code]=(TRIM($D104))),GJ[Debit]))))-((SUM(IF((CkDJ[Ofc Code]=(TRIM(F$7)))*(CkDJ[Account Code]=(TRIM($D104))),CkDJ[Credit])))+(SUM(IF((CsDJ[Ofc Code]=(TRIM(F$7)))*(CsDJ[Account Code]=(TRIM($D104))),CsDJ[Credit])))+(SUM(IF((CRDJ[Ofc Code]=(TRIM(F$7)))*(CRDJ[Account Code]=(TRIM($D104))),CRDJ[Credit])))+(SUM(IF((GJ[Ofc Code]=(TRIM(F$7)))*(GJ[Account Code]=(TRIM($D104))),GJ[Credit]))))</f>
        <v>0</v>
      </c>
      <c r="G104" s="211">
        <f t="array" ref="G104">((SUM(IF((CkDJ[Ofc Code]=(TRIM(G$7)))*(CkDJ[Account Code]=(TRIM($D104))),CkDJ[Debit])))+(SUM(IF((CsDJ[Ofc Code]=(TRIM(G$7)))*(CsDJ[Account Code]=(TRIM($D104))),CsDJ[Debit])))+(SUM(IF((CRDJ[Ofc Code]=(TRIM(G$7)))*(CRDJ[Account Code]=(TRIM($D104))),CRDJ[Debit])))+(SUM(IF((GJ[Ofc Code]=(TRIM(G$7)))*(GJ[Account Code]=(TRIM($D104))),GJ[Debit]))))-((SUM(IF((CkDJ[Ofc Code]=(TRIM(G$7)))*(CkDJ[Account Code]=(TRIM($D104))),CkDJ[Credit])))+(SUM(IF((CsDJ[Ofc Code]=(TRIM(G$7)))*(CsDJ[Account Code]=(TRIM($D104))),CsDJ[Credit])))+(SUM(IF((CRDJ[Ofc Code]=(TRIM(G$7)))*(CRDJ[Account Code]=(TRIM($D104))),CRDJ[Credit])))+(SUM(IF((GJ[Ofc Code]=(TRIM(G$7)))*(GJ[Account Code]=(TRIM($D104))),GJ[Credit]))))</f>
        <v>0</v>
      </c>
      <c r="H104" s="211">
        <f t="array" ref="H104">((SUM(IF((CkDJ[Ofc Code]=(TRIM(H$7)))*(CkDJ[Account Code]=(TRIM($D104))),CkDJ[Debit])))+(SUM(IF((CsDJ[Ofc Code]=(TRIM(H$7)))*(CsDJ[Account Code]=(TRIM($D104))),CsDJ[Debit])))+(SUM(IF((CRDJ[Ofc Code]=(TRIM(H$7)))*(CRDJ[Account Code]=(TRIM($D104))),CRDJ[Debit])))+(SUM(IF((GJ[Ofc Code]=(TRIM(H$7)))*(GJ[Account Code]=(TRIM($D104))),GJ[Debit]))))-((SUM(IF((CkDJ[Ofc Code]=(TRIM(H$7)))*(CkDJ[Account Code]=(TRIM($D104))),CkDJ[Credit])))+(SUM(IF((CsDJ[Ofc Code]=(TRIM(H$7)))*(CsDJ[Account Code]=(TRIM($D104))),CsDJ[Credit])))+(SUM(IF((CRDJ[Ofc Code]=(TRIM(H$7)))*(CRDJ[Account Code]=(TRIM($D104))),CRDJ[Credit])))+(SUM(IF((GJ[Ofc Code]=(TRIM(H$7)))*(GJ[Account Code]=(TRIM($D104))),GJ[Credit]))))</f>
        <v>0</v>
      </c>
      <c r="I104" s="211">
        <f t="array" ref="I104">((SUM(IF((CkDJ[Ofc Code]=(TRIM(I$7)))*(CkDJ[Account Code]=(TRIM($D104))),CkDJ[Debit])))+(SUM(IF((CsDJ[Ofc Code]=(TRIM(I$7)))*(CsDJ[Account Code]=(TRIM($D104))),CsDJ[Debit])))+(SUM(IF((CRDJ[Ofc Code]=(TRIM(I$7)))*(CRDJ[Account Code]=(TRIM($D104))),CRDJ[Debit])))+(SUM(IF((GJ[Ofc Code]=(TRIM(I$7)))*(GJ[Account Code]=(TRIM($D104))),GJ[Debit]))))-((SUM(IF((CkDJ[Ofc Code]=(TRIM(I$7)))*(CkDJ[Account Code]=(TRIM($D104))),CkDJ[Credit])))+(SUM(IF((CsDJ[Ofc Code]=(TRIM(I$7)))*(CsDJ[Account Code]=(TRIM($D104))),CsDJ[Credit])))+(SUM(IF((CRDJ[Ofc Code]=(TRIM(I$7)))*(CRDJ[Account Code]=(TRIM($D104))),CRDJ[Credit])))+(SUM(IF((GJ[Ofc Code]=(TRIM(I$7)))*(GJ[Account Code]=(TRIM($D104))),GJ[Credit]))))</f>
        <v>0</v>
      </c>
      <c r="J104" s="211">
        <f t="shared" si="15"/>
        <v>0</v>
      </c>
      <c r="K104" s="211">
        <f t="array" ref="K104">((SUM(IF((CkDJ[Ofc Code]=(TRIM(K$7)))*(CkDJ[Account Code]=(TRIM($D104))),CkDJ[Debit])))+(SUM(IF((CsDJ[Ofc Code]=(TRIM(K$7)))*(CsDJ[Account Code]=(TRIM($D104))),CsDJ[Debit])))+(SUM(IF((CRDJ[Ofc Code]=(TRIM(K$7)))*(CRDJ[Account Code]=(TRIM($D104))),CRDJ[Debit])))+(SUM(IF((GJ[Ofc Code]=(TRIM(K$7)))*(GJ[Account Code]=(TRIM($D104))),GJ[Debit]))))-((SUM(IF((CkDJ[Ofc Code]=(TRIM(K$7)))*(CkDJ[Account Code]=(TRIM($D104))),CkDJ[Credit])))+(SUM(IF((CsDJ[Ofc Code]=(TRIM(K$7)))*(CsDJ[Account Code]=(TRIM($D104))),CsDJ[Credit])))+(SUM(IF((CRDJ[Ofc Code]=(TRIM(K$7)))*(CRDJ[Account Code]=(TRIM($D104))),CRDJ[Credit])))+(SUM(IF((GJ[Ofc Code]=(TRIM(K$7)))*(GJ[Account Code]=(TRIM($D104))),GJ[Credit]))))</f>
        <v>0</v>
      </c>
      <c r="L104" s="211">
        <f t="array" ref="L104">((SUM(IF((CkDJ[Ofc Code]=(TRIM(L$7)))*(CkDJ[Account Code]=(TRIM($D104))),CkDJ[Debit])))+(SUM(IF((CsDJ[Ofc Code]=(TRIM(L$7)))*(CsDJ[Account Code]=(TRIM($D104))),CsDJ[Debit])))+(SUM(IF((CRDJ[Ofc Code]=(TRIM(L$7)))*(CRDJ[Account Code]=(TRIM($D104))),CRDJ[Debit])))+(SUM(IF((GJ[Ofc Code]=(TRIM(L$7)))*(GJ[Account Code]=(TRIM($D104))),GJ[Debit]))))-((SUM(IF((CkDJ[Ofc Code]=(TRIM(L$7)))*(CkDJ[Account Code]=(TRIM($D104))),CkDJ[Credit])))+(SUM(IF((CsDJ[Ofc Code]=(TRIM(L$7)))*(CsDJ[Account Code]=(TRIM($D104))),CsDJ[Credit])))+(SUM(IF((CRDJ[Ofc Code]=(TRIM(L$7)))*(CRDJ[Account Code]=(TRIM($D104))),CRDJ[Credit])))+(SUM(IF((GJ[Ofc Code]=(TRIM(L$7)))*(GJ[Account Code]=(TRIM($D104))),GJ[Credit]))))</f>
        <v>0</v>
      </c>
      <c r="M104" s="211">
        <f t="array" ref="M104">((SUM(IF((CkDJ[Ofc Code]=(TRIM(M$7)))*(CkDJ[Account Code]=(TRIM($D104))),CkDJ[Debit])))+(SUM(IF((CsDJ[Ofc Code]=(TRIM(M$7)))*(CsDJ[Account Code]=(TRIM($D104))),CsDJ[Debit])))+(SUM(IF((CRDJ[Ofc Code]=(TRIM(M$7)))*(CRDJ[Account Code]=(TRIM($D104))),CRDJ[Debit])))+(SUM(IF((GJ[Ofc Code]=(TRIM(M$7)))*(GJ[Account Code]=(TRIM($D104))),GJ[Debit]))))-((SUM(IF((CkDJ[Ofc Code]=(TRIM(M$7)))*(CkDJ[Account Code]=(TRIM($D104))),CkDJ[Credit])))+(SUM(IF((CsDJ[Ofc Code]=(TRIM(M$7)))*(CsDJ[Account Code]=(TRIM($D104))),CsDJ[Credit])))+(SUM(IF((CRDJ[Ofc Code]=(TRIM(M$7)))*(CRDJ[Account Code]=(TRIM($D104))),CRDJ[Credit])))+(SUM(IF((GJ[Ofc Code]=(TRIM(M$7)))*(GJ[Account Code]=(TRIM($D104))),GJ[Credit]))))</f>
        <v>0</v>
      </c>
      <c r="N104" s="211">
        <f t="array" ref="N104">((SUM(IF((CkDJ[Ofc Code]=(TRIM(N$7)))*(CkDJ[Account Code]=(TRIM($D104))),CkDJ[Debit])))+(SUM(IF((CsDJ[Ofc Code]=(TRIM(N$7)))*(CsDJ[Account Code]=(TRIM($D104))),CsDJ[Debit])))+(SUM(IF((CRDJ[Ofc Code]=(TRIM(N$7)))*(CRDJ[Account Code]=(TRIM($D104))),CRDJ[Debit])))+(SUM(IF((GJ[Ofc Code]=(TRIM(N$7)))*(GJ[Account Code]=(TRIM($D104))),GJ[Debit]))))-((SUM(IF((CkDJ[Ofc Code]=(TRIM(N$7)))*(CkDJ[Account Code]=(TRIM($D104))),CkDJ[Credit])))+(SUM(IF((CsDJ[Ofc Code]=(TRIM(N$7)))*(CsDJ[Account Code]=(TRIM($D104))),CsDJ[Credit])))+(SUM(IF((CRDJ[Ofc Code]=(TRIM(N$7)))*(CRDJ[Account Code]=(TRIM($D104))),CRDJ[Credit])))+(SUM(IF((GJ[Ofc Code]=(TRIM(N$7)))*(GJ[Account Code]=(TRIM($D104))),GJ[Credit]))))</f>
        <v>0</v>
      </c>
      <c r="O104" s="211">
        <f t="shared" si="16"/>
        <v>0</v>
      </c>
      <c r="P104" s="211">
        <f t="array" ref="P104">((SUM(IF((CkDJ[Ofc Code]=(TRIM(P$7)))*(CkDJ[Account Code]=(TRIM($D104))),CkDJ[Debit])))+(SUM(IF((CsDJ[Ofc Code]=(TRIM(P$7)))*(CsDJ[Account Code]=(TRIM($D104))),CsDJ[Debit])))+(SUM(IF((CRDJ[Ofc Code]=(TRIM(P$7)))*(CRDJ[Account Code]=(TRIM($D104))),CRDJ[Debit])))+(SUM(IF((GJ[Ofc Code]=(TRIM(P$7)))*(GJ[Account Code]=(TRIM($D104))),GJ[Debit]))))-((SUM(IF((CkDJ[Ofc Code]=(TRIM(P$7)))*(CkDJ[Account Code]=(TRIM($D104))),CkDJ[Credit])))+(SUM(IF((CsDJ[Ofc Code]=(TRIM(P$7)))*(CsDJ[Account Code]=(TRIM($D104))),CsDJ[Credit])))+(SUM(IF((CRDJ[Ofc Code]=(TRIM(P$7)))*(CRDJ[Account Code]=(TRIM($D104))),CRDJ[Credit])))+(SUM(IF((GJ[Ofc Code]=(TRIM(P$7)))*(GJ[Account Code]=(TRIM($D104))),GJ[Credit]))))</f>
        <v>0</v>
      </c>
      <c r="Q104" s="211">
        <f t="array" ref="Q104">((SUM(IF((CkDJ[Ofc Code]=(TRIM(Q$7)))*(CkDJ[Account Code]=(TRIM($D104))),CkDJ[Debit])))+(SUM(IF((CsDJ[Ofc Code]=(TRIM(Q$7)))*(CsDJ[Account Code]=(TRIM($D104))),CsDJ[Debit])))+(SUM(IF((CRDJ[Ofc Code]=(TRIM(Q$7)))*(CRDJ[Account Code]=(TRIM($D104))),CRDJ[Debit])))+(SUM(IF((GJ[Ofc Code]=(TRIM(Q$7)))*(GJ[Account Code]=(TRIM($D104))),GJ[Debit]))))-((SUM(IF((CkDJ[Ofc Code]=(TRIM(Q$7)))*(CkDJ[Account Code]=(TRIM($D104))),CkDJ[Credit])))+(SUM(IF((CsDJ[Ofc Code]=(TRIM(Q$7)))*(CsDJ[Account Code]=(TRIM($D104))),CsDJ[Credit])))+(SUM(IF((CRDJ[Ofc Code]=(TRIM(Q$7)))*(CRDJ[Account Code]=(TRIM($D104))),CRDJ[Credit])))+(SUM(IF((GJ[Ofc Code]=(TRIM(Q$7)))*(GJ[Account Code]=(TRIM($D104))),GJ[Credit]))))</f>
        <v>0</v>
      </c>
      <c r="R104" s="211">
        <f t="array" ref="R104">((SUM(IF((CkDJ[Ofc Code]=(TRIM(R$7)))*(CkDJ[Account Code]=(TRIM($D104))),CkDJ[Debit])))+(SUM(IF((CsDJ[Ofc Code]=(TRIM(R$7)))*(CsDJ[Account Code]=(TRIM($D104))),CsDJ[Debit])))+(SUM(IF((CRDJ[Ofc Code]=(TRIM(R$7)))*(CRDJ[Account Code]=(TRIM($D104))),CRDJ[Debit])))+(SUM(IF((GJ[Ofc Code]=(TRIM(R$7)))*(GJ[Account Code]=(TRIM($D104))),GJ[Debit]))))-((SUM(IF((CkDJ[Ofc Code]=(TRIM(R$7)))*(CkDJ[Account Code]=(TRIM($D104))),CkDJ[Credit])))+(SUM(IF((CsDJ[Ofc Code]=(TRIM(R$7)))*(CsDJ[Account Code]=(TRIM($D104))),CsDJ[Credit])))+(SUM(IF((CRDJ[Ofc Code]=(TRIM(R$7)))*(CRDJ[Account Code]=(TRIM($D104))),CRDJ[Credit])))+(SUM(IF((GJ[Ofc Code]=(TRIM(R$7)))*(GJ[Account Code]=(TRIM($D104))),GJ[Credit]))))</f>
        <v>0</v>
      </c>
      <c r="S104" s="211">
        <f t="array" ref="S104">((SUM(IF((CkDJ[Ofc Code]=(TRIM(S$7)))*(CkDJ[Account Code]=(TRIM($D104))),CkDJ[Debit])))+(SUM(IF((CsDJ[Ofc Code]=(TRIM(S$7)))*(CsDJ[Account Code]=(TRIM($D104))),CsDJ[Debit])))+(SUM(IF((CRDJ[Ofc Code]=(TRIM(S$7)))*(CRDJ[Account Code]=(TRIM($D104))),CRDJ[Debit])))+(SUM(IF((GJ[Ofc Code]=(TRIM(S$7)))*(GJ[Account Code]=(TRIM($D104))),GJ[Debit]))))-((SUM(IF((CkDJ[Ofc Code]=(TRIM(S$7)))*(CkDJ[Account Code]=(TRIM($D104))),CkDJ[Credit])))+(SUM(IF((CsDJ[Ofc Code]=(TRIM(S$7)))*(CsDJ[Account Code]=(TRIM($D104))),CsDJ[Credit])))+(SUM(IF((CRDJ[Ofc Code]=(TRIM(S$7)))*(CRDJ[Account Code]=(TRIM($D104))),CRDJ[Credit])))+(SUM(IF((GJ[Ofc Code]=(TRIM(S$7)))*(GJ[Account Code]=(TRIM($D104))),GJ[Credit]))))</f>
        <v>0</v>
      </c>
      <c r="T104" s="211">
        <f t="array" ref="T104">((SUM(IF((CkDJ[Ofc Code]=(TRIM(T$7)))*(CkDJ[Account Code]=(TRIM($D104))),CkDJ[Debit])))+(SUM(IF((CsDJ[Ofc Code]=(TRIM(T$7)))*(CsDJ[Account Code]=(TRIM($D104))),CsDJ[Debit])))+(SUM(IF((CRDJ[Ofc Code]=(TRIM(T$7)))*(CRDJ[Account Code]=(TRIM($D104))),CRDJ[Debit])))+(SUM(IF((GJ[Ofc Code]=(TRIM(T$7)))*(GJ[Account Code]=(TRIM($D104))),GJ[Debit]))))-((SUM(IF((CkDJ[Ofc Code]=(TRIM(T$7)))*(CkDJ[Account Code]=(TRIM($D104))),CkDJ[Credit])))+(SUM(IF((CsDJ[Ofc Code]=(TRIM(T$7)))*(CsDJ[Account Code]=(TRIM($D104))),CsDJ[Credit])))+(SUM(IF((CRDJ[Ofc Code]=(TRIM(T$7)))*(CRDJ[Account Code]=(TRIM($D104))),CRDJ[Credit])))+(SUM(IF((GJ[Ofc Code]=(TRIM(T$7)))*(GJ[Account Code]=(TRIM($D104))),GJ[Credit]))))</f>
        <v>0</v>
      </c>
      <c r="U104" s="211">
        <f t="shared" si="17"/>
        <v>0</v>
      </c>
      <c r="V104" s="211">
        <f t="shared" si="18"/>
        <v>0</v>
      </c>
    </row>
    <row r="105" spans="1:22" ht="15" x14ac:dyDescent="0.25">
      <c r="A105" s="212">
        <f t="shared" si="19"/>
        <v>43</v>
      </c>
      <c r="B105" s="194"/>
      <c r="C105" s="194" t="str">
        <f t="shared" si="14"/>
        <v>Other Maintenance and Operating Expenses - Other Maintenance and Operating Expenses</v>
      </c>
      <c r="D105" s="207">
        <v>969</v>
      </c>
      <c r="E105" s="211">
        <f t="array" ref="E105">((SUM(IF((CkDJ[Ofc Code]=(TRIM(E$7)))*(CkDJ[Account Code]=(TRIM($D105))),CkDJ[Debit])))+(SUM(IF((CsDJ[Ofc Code]=(TRIM(E$7)))*(CsDJ[Account Code]=(TRIM($D105))),CsDJ[Debit])))+(SUM(IF((CRDJ[Ofc Code]=(TRIM(E$7)))*(CRDJ[Account Code]=(TRIM($D105))),CRDJ[Debit])))+(SUM(IF((GJ[Ofc Code]=(TRIM(E$7)))*(GJ[Account Code]=(TRIM($D105))),GJ[Debit]))))-((SUM(IF((CkDJ[Ofc Code]=(TRIM(E$7)))*(CkDJ[Account Code]=(TRIM($D105))),CkDJ[Credit])))+(SUM(IF((CsDJ[Ofc Code]=(TRIM(E$7)))*(CsDJ[Account Code]=(TRIM($D105))),CsDJ[Credit])))+(SUM(IF((CRDJ[Ofc Code]=(TRIM(E$7)))*(CRDJ[Account Code]=(TRIM($D105))),CRDJ[Credit])))+(SUM(IF((GJ[Ofc Code]=(TRIM(E$7)))*(GJ[Account Code]=(TRIM($D105))),GJ[Credit]))))</f>
        <v>0</v>
      </c>
      <c r="F105" s="211">
        <f t="array" ref="F105">((SUM(IF((CkDJ[Ofc Code]=(TRIM(F$7)))*(CkDJ[Account Code]=(TRIM($D105))),CkDJ[Debit])))+(SUM(IF((CsDJ[Ofc Code]=(TRIM(F$7)))*(CsDJ[Account Code]=(TRIM($D105))),CsDJ[Debit])))+(SUM(IF((CRDJ[Ofc Code]=(TRIM(F$7)))*(CRDJ[Account Code]=(TRIM($D105))),CRDJ[Debit])))+(SUM(IF((GJ[Ofc Code]=(TRIM(F$7)))*(GJ[Account Code]=(TRIM($D105))),GJ[Debit]))))-((SUM(IF((CkDJ[Ofc Code]=(TRIM(F$7)))*(CkDJ[Account Code]=(TRIM($D105))),CkDJ[Credit])))+(SUM(IF((CsDJ[Ofc Code]=(TRIM(F$7)))*(CsDJ[Account Code]=(TRIM($D105))),CsDJ[Credit])))+(SUM(IF((CRDJ[Ofc Code]=(TRIM(F$7)))*(CRDJ[Account Code]=(TRIM($D105))),CRDJ[Credit])))+(SUM(IF((GJ[Ofc Code]=(TRIM(F$7)))*(GJ[Account Code]=(TRIM($D105))),GJ[Credit]))))</f>
        <v>0</v>
      </c>
      <c r="G105" s="211">
        <f t="array" ref="G105">((SUM(IF((CkDJ[Ofc Code]=(TRIM(G$7)))*(CkDJ[Account Code]=(TRIM($D105))),CkDJ[Debit])))+(SUM(IF((CsDJ[Ofc Code]=(TRIM(G$7)))*(CsDJ[Account Code]=(TRIM($D105))),CsDJ[Debit])))+(SUM(IF((CRDJ[Ofc Code]=(TRIM(G$7)))*(CRDJ[Account Code]=(TRIM($D105))),CRDJ[Debit])))+(SUM(IF((GJ[Ofc Code]=(TRIM(G$7)))*(GJ[Account Code]=(TRIM($D105))),GJ[Debit]))))-((SUM(IF((CkDJ[Ofc Code]=(TRIM(G$7)))*(CkDJ[Account Code]=(TRIM($D105))),CkDJ[Credit])))+(SUM(IF((CsDJ[Ofc Code]=(TRIM(G$7)))*(CsDJ[Account Code]=(TRIM($D105))),CsDJ[Credit])))+(SUM(IF((CRDJ[Ofc Code]=(TRIM(G$7)))*(CRDJ[Account Code]=(TRIM($D105))),CRDJ[Credit])))+(SUM(IF((GJ[Ofc Code]=(TRIM(G$7)))*(GJ[Account Code]=(TRIM($D105))),GJ[Credit]))))</f>
        <v>0</v>
      </c>
      <c r="H105" s="211">
        <f t="array" ref="H105">((SUM(IF((CkDJ[Ofc Code]=(TRIM(H$7)))*(CkDJ[Account Code]=(TRIM($D105))),CkDJ[Debit])))+(SUM(IF((CsDJ[Ofc Code]=(TRIM(H$7)))*(CsDJ[Account Code]=(TRIM($D105))),CsDJ[Debit])))+(SUM(IF((CRDJ[Ofc Code]=(TRIM(H$7)))*(CRDJ[Account Code]=(TRIM($D105))),CRDJ[Debit])))+(SUM(IF((GJ[Ofc Code]=(TRIM(H$7)))*(GJ[Account Code]=(TRIM($D105))),GJ[Debit]))))-((SUM(IF((CkDJ[Ofc Code]=(TRIM(H$7)))*(CkDJ[Account Code]=(TRIM($D105))),CkDJ[Credit])))+(SUM(IF((CsDJ[Ofc Code]=(TRIM(H$7)))*(CsDJ[Account Code]=(TRIM($D105))),CsDJ[Credit])))+(SUM(IF((CRDJ[Ofc Code]=(TRIM(H$7)))*(CRDJ[Account Code]=(TRIM($D105))),CRDJ[Credit])))+(SUM(IF((GJ[Ofc Code]=(TRIM(H$7)))*(GJ[Account Code]=(TRIM($D105))),GJ[Credit]))))</f>
        <v>0</v>
      </c>
      <c r="I105" s="211">
        <f t="array" ref="I105">((SUM(IF((CkDJ[Ofc Code]=(TRIM(I$7)))*(CkDJ[Account Code]=(TRIM($D105))),CkDJ[Debit])))+(SUM(IF((CsDJ[Ofc Code]=(TRIM(I$7)))*(CsDJ[Account Code]=(TRIM($D105))),CsDJ[Debit])))+(SUM(IF((CRDJ[Ofc Code]=(TRIM(I$7)))*(CRDJ[Account Code]=(TRIM($D105))),CRDJ[Debit])))+(SUM(IF((GJ[Ofc Code]=(TRIM(I$7)))*(GJ[Account Code]=(TRIM($D105))),GJ[Debit]))))-((SUM(IF((CkDJ[Ofc Code]=(TRIM(I$7)))*(CkDJ[Account Code]=(TRIM($D105))),CkDJ[Credit])))+(SUM(IF((CsDJ[Ofc Code]=(TRIM(I$7)))*(CsDJ[Account Code]=(TRIM($D105))),CsDJ[Credit])))+(SUM(IF((CRDJ[Ofc Code]=(TRIM(I$7)))*(CRDJ[Account Code]=(TRIM($D105))),CRDJ[Credit])))+(SUM(IF((GJ[Ofc Code]=(TRIM(I$7)))*(GJ[Account Code]=(TRIM($D105))),GJ[Credit]))))</f>
        <v>0</v>
      </c>
      <c r="J105" s="211">
        <f t="shared" si="15"/>
        <v>0</v>
      </c>
      <c r="K105" s="211">
        <f t="array" ref="K105">((SUM(IF((CkDJ[Ofc Code]=(TRIM(K$7)))*(CkDJ[Account Code]=(TRIM($D105))),CkDJ[Debit])))+(SUM(IF((CsDJ[Ofc Code]=(TRIM(K$7)))*(CsDJ[Account Code]=(TRIM($D105))),CsDJ[Debit])))+(SUM(IF((CRDJ[Ofc Code]=(TRIM(K$7)))*(CRDJ[Account Code]=(TRIM($D105))),CRDJ[Debit])))+(SUM(IF((GJ[Ofc Code]=(TRIM(K$7)))*(GJ[Account Code]=(TRIM($D105))),GJ[Debit]))))-((SUM(IF((CkDJ[Ofc Code]=(TRIM(K$7)))*(CkDJ[Account Code]=(TRIM($D105))),CkDJ[Credit])))+(SUM(IF((CsDJ[Ofc Code]=(TRIM(K$7)))*(CsDJ[Account Code]=(TRIM($D105))),CsDJ[Credit])))+(SUM(IF((CRDJ[Ofc Code]=(TRIM(K$7)))*(CRDJ[Account Code]=(TRIM($D105))),CRDJ[Credit])))+(SUM(IF((GJ[Ofc Code]=(TRIM(K$7)))*(GJ[Account Code]=(TRIM($D105))),GJ[Credit]))))</f>
        <v>0</v>
      </c>
      <c r="L105" s="211">
        <f t="array" ref="L105">((SUM(IF((CkDJ[Ofc Code]=(TRIM(L$7)))*(CkDJ[Account Code]=(TRIM($D105))),CkDJ[Debit])))+(SUM(IF((CsDJ[Ofc Code]=(TRIM(L$7)))*(CsDJ[Account Code]=(TRIM($D105))),CsDJ[Debit])))+(SUM(IF((CRDJ[Ofc Code]=(TRIM(L$7)))*(CRDJ[Account Code]=(TRIM($D105))),CRDJ[Debit])))+(SUM(IF((GJ[Ofc Code]=(TRIM(L$7)))*(GJ[Account Code]=(TRIM($D105))),GJ[Debit]))))-((SUM(IF((CkDJ[Ofc Code]=(TRIM(L$7)))*(CkDJ[Account Code]=(TRIM($D105))),CkDJ[Credit])))+(SUM(IF((CsDJ[Ofc Code]=(TRIM(L$7)))*(CsDJ[Account Code]=(TRIM($D105))),CsDJ[Credit])))+(SUM(IF((CRDJ[Ofc Code]=(TRIM(L$7)))*(CRDJ[Account Code]=(TRIM($D105))),CRDJ[Credit])))+(SUM(IF((GJ[Ofc Code]=(TRIM(L$7)))*(GJ[Account Code]=(TRIM($D105))),GJ[Credit]))))</f>
        <v>0</v>
      </c>
      <c r="M105" s="211">
        <f t="array" ref="M105">((SUM(IF((CkDJ[Ofc Code]=(TRIM(M$7)))*(CkDJ[Account Code]=(TRIM($D105))),CkDJ[Debit])))+(SUM(IF((CsDJ[Ofc Code]=(TRIM(M$7)))*(CsDJ[Account Code]=(TRIM($D105))),CsDJ[Debit])))+(SUM(IF((CRDJ[Ofc Code]=(TRIM(M$7)))*(CRDJ[Account Code]=(TRIM($D105))),CRDJ[Debit])))+(SUM(IF((GJ[Ofc Code]=(TRIM(M$7)))*(GJ[Account Code]=(TRIM($D105))),GJ[Debit]))))-((SUM(IF((CkDJ[Ofc Code]=(TRIM(M$7)))*(CkDJ[Account Code]=(TRIM($D105))),CkDJ[Credit])))+(SUM(IF((CsDJ[Ofc Code]=(TRIM(M$7)))*(CsDJ[Account Code]=(TRIM($D105))),CsDJ[Credit])))+(SUM(IF((CRDJ[Ofc Code]=(TRIM(M$7)))*(CRDJ[Account Code]=(TRIM($D105))),CRDJ[Credit])))+(SUM(IF((GJ[Ofc Code]=(TRIM(M$7)))*(GJ[Account Code]=(TRIM($D105))),GJ[Credit]))))</f>
        <v>0</v>
      </c>
      <c r="N105" s="211">
        <f t="array" ref="N105">((SUM(IF((CkDJ[Ofc Code]=(TRIM(N$7)))*(CkDJ[Account Code]=(TRIM($D105))),CkDJ[Debit])))+(SUM(IF((CsDJ[Ofc Code]=(TRIM(N$7)))*(CsDJ[Account Code]=(TRIM($D105))),CsDJ[Debit])))+(SUM(IF((CRDJ[Ofc Code]=(TRIM(N$7)))*(CRDJ[Account Code]=(TRIM($D105))),CRDJ[Debit])))+(SUM(IF((GJ[Ofc Code]=(TRIM(N$7)))*(GJ[Account Code]=(TRIM($D105))),GJ[Debit]))))-((SUM(IF((CkDJ[Ofc Code]=(TRIM(N$7)))*(CkDJ[Account Code]=(TRIM($D105))),CkDJ[Credit])))+(SUM(IF((CsDJ[Ofc Code]=(TRIM(N$7)))*(CsDJ[Account Code]=(TRIM($D105))),CsDJ[Credit])))+(SUM(IF((CRDJ[Ofc Code]=(TRIM(N$7)))*(CRDJ[Account Code]=(TRIM($D105))),CRDJ[Credit])))+(SUM(IF((GJ[Ofc Code]=(TRIM(N$7)))*(GJ[Account Code]=(TRIM($D105))),GJ[Credit]))))</f>
        <v>0</v>
      </c>
      <c r="O105" s="211">
        <f t="shared" si="16"/>
        <v>0</v>
      </c>
      <c r="P105" s="211">
        <f t="array" ref="P105">((SUM(IF((CkDJ[Ofc Code]=(TRIM(P$7)))*(CkDJ[Account Code]=(TRIM($D105))),CkDJ[Debit])))+(SUM(IF((CsDJ[Ofc Code]=(TRIM(P$7)))*(CsDJ[Account Code]=(TRIM($D105))),CsDJ[Debit])))+(SUM(IF((CRDJ[Ofc Code]=(TRIM(P$7)))*(CRDJ[Account Code]=(TRIM($D105))),CRDJ[Debit])))+(SUM(IF((GJ[Ofc Code]=(TRIM(P$7)))*(GJ[Account Code]=(TRIM($D105))),GJ[Debit]))))-((SUM(IF((CkDJ[Ofc Code]=(TRIM(P$7)))*(CkDJ[Account Code]=(TRIM($D105))),CkDJ[Credit])))+(SUM(IF((CsDJ[Ofc Code]=(TRIM(P$7)))*(CsDJ[Account Code]=(TRIM($D105))),CsDJ[Credit])))+(SUM(IF((CRDJ[Ofc Code]=(TRIM(P$7)))*(CRDJ[Account Code]=(TRIM($D105))),CRDJ[Credit])))+(SUM(IF((GJ[Ofc Code]=(TRIM(P$7)))*(GJ[Account Code]=(TRIM($D105))),GJ[Credit]))))</f>
        <v>0</v>
      </c>
      <c r="Q105" s="211">
        <f t="array" ref="Q105">((SUM(IF((CkDJ[Ofc Code]=(TRIM(Q$7)))*(CkDJ[Account Code]=(TRIM($D105))),CkDJ[Debit])))+(SUM(IF((CsDJ[Ofc Code]=(TRIM(Q$7)))*(CsDJ[Account Code]=(TRIM($D105))),CsDJ[Debit])))+(SUM(IF((CRDJ[Ofc Code]=(TRIM(Q$7)))*(CRDJ[Account Code]=(TRIM($D105))),CRDJ[Debit])))+(SUM(IF((GJ[Ofc Code]=(TRIM(Q$7)))*(GJ[Account Code]=(TRIM($D105))),GJ[Debit]))))-((SUM(IF((CkDJ[Ofc Code]=(TRIM(Q$7)))*(CkDJ[Account Code]=(TRIM($D105))),CkDJ[Credit])))+(SUM(IF((CsDJ[Ofc Code]=(TRIM(Q$7)))*(CsDJ[Account Code]=(TRIM($D105))),CsDJ[Credit])))+(SUM(IF((CRDJ[Ofc Code]=(TRIM(Q$7)))*(CRDJ[Account Code]=(TRIM($D105))),CRDJ[Credit])))+(SUM(IF((GJ[Ofc Code]=(TRIM(Q$7)))*(GJ[Account Code]=(TRIM($D105))),GJ[Credit]))))</f>
        <v>0</v>
      </c>
      <c r="R105" s="211">
        <f t="array" ref="R105">((SUM(IF((CkDJ[Ofc Code]=(TRIM(R$7)))*(CkDJ[Account Code]=(TRIM($D105))),CkDJ[Debit])))+(SUM(IF((CsDJ[Ofc Code]=(TRIM(R$7)))*(CsDJ[Account Code]=(TRIM($D105))),CsDJ[Debit])))+(SUM(IF((CRDJ[Ofc Code]=(TRIM(R$7)))*(CRDJ[Account Code]=(TRIM($D105))),CRDJ[Debit])))+(SUM(IF((GJ[Ofc Code]=(TRIM(R$7)))*(GJ[Account Code]=(TRIM($D105))),GJ[Debit]))))-((SUM(IF((CkDJ[Ofc Code]=(TRIM(R$7)))*(CkDJ[Account Code]=(TRIM($D105))),CkDJ[Credit])))+(SUM(IF((CsDJ[Ofc Code]=(TRIM(R$7)))*(CsDJ[Account Code]=(TRIM($D105))),CsDJ[Credit])))+(SUM(IF((CRDJ[Ofc Code]=(TRIM(R$7)))*(CRDJ[Account Code]=(TRIM($D105))),CRDJ[Credit])))+(SUM(IF((GJ[Ofc Code]=(TRIM(R$7)))*(GJ[Account Code]=(TRIM($D105))),GJ[Credit]))))</f>
        <v>0</v>
      </c>
      <c r="S105" s="211">
        <f t="array" ref="S105">((SUM(IF((CkDJ[Ofc Code]=(TRIM(S$7)))*(CkDJ[Account Code]=(TRIM($D105))),CkDJ[Debit])))+(SUM(IF((CsDJ[Ofc Code]=(TRIM(S$7)))*(CsDJ[Account Code]=(TRIM($D105))),CsDJ[Debit])))+(SUM(IF((CRDJ[Ofc Code]=(TRIM(S$7)))*(CRDJ[Account Code]=(TRIM($D105))),CRDJ[Debit])))+(SUM(IF((GJ[Ofc Code]=(TRIM(S$7)))*(GJ[Account Code]=(TRIM($D105))),GJ[Debit]))))-((SUM(IF((CkDJ[Ofc Code]=(TRIM(S$7)))*(CkDJ[Account Code]=(TRIM($D105))),CkDJ[Credit])))+(SUM(IF((CsDJ[Ofc Code]=(TRIM(S$7)))*(CsDJ[Account Code]=(TRIM($D105))),CsDJ[Credit])))+(SUM(IF((CRDJ[Ofc Code]=(TRIM(S$7)))*(CRDJ[Account Code]=(TRIM($D105))),CRDJ[Credit])))+(SUM(IF((GJ[Ofc Code]=(TRIM(S$7)))*(GJ[Account Code]=(TRIM($D105))),GJ[Credit]))))</f>
        <v>0</v>
      </c>
      <c r="T105" s="211">
        <f t="array" ref="T105">((SUM(IF((CkDJ[Ofc Code]=(TRIM(T$7)))*(CkDJ[Account Code]=(TRIM($D105))),CkDJ[Debit])))+(SUM(IF((CsDJ[Ofc Code]=(TRIM(T$7)))*(CsDJ[Account Code]=(TRIM($D105))),CsDJ[Debit])))+(SUM(IF((CRDJ[Ofc Code]=(TRIM(T$7)))*(CRDJ[Account Code]=(TRIM($D105))),CRDJ[Debit])))+(SUM(IF((GJ[Ofc Code]=(TRIM(T$7)))*(GJ[Account Code]=(TRIM($D105))),GJ[Debit]))))-((SUM(IF((CkDJ[Ofc Code]=(TRIM(T$7)))*(CkDJ[Account Code]=(TRIM($D105))),CkDJ[Credit])))+(SUM(IF((CsDJ[Ofc Code]=(TRIM(T$7)))*(CsDJ[Account Code]=(TRIM($D105))),CsDJ[Credit])))+(SUM(IF((CRDJ[Ofc Code]=(TRIM(T$7)))*(CRDJ[Account Code]=(TRIM($D105))),CRDJ[Credit])))+(SUM(IF((GJ[Ofc Code]=(TRIM(T$7)))*(GJ[Account Code]=(TRIM($D105))),GJ[Credit]))))</f>
        <v>0</v>
      </c>
      <c r="U105" s="211">
        <f t="shared" si="17"/>
        <v>0</v>
      </c>
      <c r="V105" s="211">
        <f t="shared" si="18"/>
        <v>0</v>
      </c>
    </row>
    <row r="106" spans="1:22" ht="15" x14ac:dyDescent="0.25">
      <c r="A106" s="212">
        <f t="shared" si="19"/>
        <v>44</v>
      </c>
      <c r="B106" s="194"/>
      <c r="C106" s="194" t="e">
        <f t="shared" si="14"/>
        <v>#N/A</v>
      </c>
      <c r="D106" s="207" t="s">
        <v>336</v>
      </c>
      <c r="E106" s="211">
        <f t="array" ref="E106">((SUM(IF((CkDJ[Ofc Code]=(TRIM(E$7)))*(CkDJ[Account Code]=(TRIM($D106))),CkDJ[Debit])))+(SUM(IF((CsDJ[Ofc Code]=(TRIM(E$7)))*(CsDJ[Account Code]=(TRIM($D106))),CsDJ[Debit])))+(SUM(IF((CRDJ[Ofc Code]=(TRIM(E$7)))*(CRDJ[Account Code]=(TRIM($D106))),CRDJ[Debit])))+(SUM(IF((GJ[Ofc Code]=(TRIM(E$7)))*(GJ[Account Code]=(TRIM($D106))),GJ[Debit]))))-((SUM(IF((CkDJ[Ofc Code]=(TRIM(E$7)))*(CkDJ[Account Code]=(TRIM($D106))),CkDJ[Credit])))+(SUM(IF((CsDJ[Ofc Code]=(TRIM(E$7)))*(CsDJ[Account Code]=(TRIM($D106))),CsDJ[Credit])))+(SUM(IF((CRDJ[Ofc Code]=(TRIM(E$7)))*(CRDJ[Account Code]=(TRIM($D106))),CRDJ[Credit])))+(SUM(IF((GJ[Ofc Code]=(TRIM(E$7)))*(GJ[Account Code]=(TRIM($D106))),GJ[Credit]))))</f>
        <v>0</v>
      </c>
      <c r="F106" s="211">
        <f t="array" ref="F106">((SUM(IF((CkDJ[Ofc Code]=(TRIM(F$7)))*(CkDJ[Account Code]=(TRIM($D106))),CkDJ[Debit])))+(SUM(IF((CsDJ[Ofc Code]=(TRIM(F$7)))*(CsDJ[Account Code]=(TRIM($D106))),CsDJ[Debit])))+(SUM(IF((CRDJ[Ofc Code]=(TRIM(F$7)))*(CRDJ[Account Code]=(TRIM($D106))),CRDJ[Debit])))+(SUM(IF((GJ[Ofc Code]=(TRIM(F$7)))*(GJ[Account Code]=(TRIM($D106))),GJ[Debit]))))-((SUM(IF((CkDJ[Ofc Code]=(TRIM(F$7)))*(CkDJ[Account Code]=(TRIM($D106))),CkDJ[Credit])))+(SUM(IF((CsDJ[Ofc Code]=(TRIM(F$7)))*(CsDJ[Account Code]=(TRIM($D106))),CsDJ[Credit])))+(SUM(IF((CRDJ[Ofc Code]=(TRIM(F$7)))*(CRDJ[Account Code]=(TRIM($D106))),CRDJ[Credit])))+(SUM(IF((GJ[Ofc Code]=(TRIM(F$7)))*(GJ[Account Code]=(TRIM($D106))),GJ[Credit]))))</f>
        <v>0</v>
      </c>
      <c r="G106" s="211">
        <f t="array" ref="G106">((SUM(IF((CkDJ[Ofc Code]=(TRIM(G$7)))*(CkDJ[Account Code]=(TRIM($D106))),CkDJ[Debit])))+(SUM(IF((CsDJ[Ofc Code]=(TRIM(G$7)))*(CsDJ[Account Code]=(TRIM($D106))),CsDJ[Debit])))+(SUM(IF((CRDJ[Ofc Code]=(TRIM(G$7)))*(CRDJ[Account Code]=(TRIM($D106))),CRDJ[Debit])))+(SUM(IF((GJ[Ofc Code]=(TRIM(G$7)))*(GJ[Account Code]=(TRIM($D106))),GJ[Debit]))))-((SUM(IF((CkDJ[Ofc Code]=(TRIM(G$7)))*(CkDJ[Account Code]=(TRIM($D106))),CkDJ[Credit])))+(SUM(IF((CsDJ[Ofc Code]=(TRIM(G$7)))*(CsDJ[Account Code]=(TRIM($D106))),CsDJ[Credit])))+(SUM(IF((CRDJ[Ofc Code]=(TRIM(G$7)))*(CRDJ[Account Code]=(TRIM($D106))),CRDJ[Credit])))+(SUM(IF((GJ[Ofc Code]=(TRIM(G$7)))*(GJ[Account Code]=(TRIM($D106))),GJ[Credit]))))</f>
        <v>0</v>
      </c>
      <c r="H106" s="211">
        <f t="array" ref="H106">((SUM(IF((CkDJ[Ofc Code]=(TRIM(H$7)))*(CkDJ[Account Code]=(TRIM($D106))),CkDJ[Debit])))+(SUM(IF((CsDJ[Ofc Code]=(TRIM(H$7)))*(CsDJ[Account Code]=(TRIM($D106))),CsDJ[Debit])))+(SUM(IF((CRDJ[Ofc Code]=(TRIM(H$7)))*(CRDJ[Account Code]=(TRIM($D106))),CRDJ[Debit])))+(SUM(IF((GJ[Ofc Code]=(TRIM(H$7)))*(GJ[Account Code]=(TRIM($D106))),GJ[Debit]))))-((SUM(IF((CkDJ[Ofc Code]=(TRIM(H$7)))*(CkDJ[Account Code]=(TRIM($D106))),CkDJ[Credit])))+(SUM(IF((CsDJ[Ofc Code]=(TRIM(H$7)))*(CsDJ[Account Code]=(TRIM($D106))),CsDJ[Credit])))+(SUM(IF((CRDJ[Ofc Code]=(TRIM(H$7)))*(CRDJ[Account Code]=(TRIM($D106))),CRDJ[Credit])))+(SUM(IF((GJ[Ofc Code]=(TRIM(H$7)))*(GJ[Account Code]=(TRIM($D106))),GJ[Credit]))))</f>
        <v>0</v>
      </c>
      <c r="I106" s="211">
        <f t="array" ref="I106">((SUM(IF((CkDJ[Ofc Code]=(TRIM(I$7)))*(CkDJ[Account Code]=(TRIM($D106))),CkDJ[Debit])))+(SUM(IF((CsDJ[Ofc Code]=(TRIM(I$7)))*(CsDJ[Account Code]=(TRIM($D106))),CsDJ[Debit])))+(SUM(IF((CRDJ[Ofc Code]=(TRIM(I$7)))*(CRDJ[Account Code]=(TRIM($D106))),CRDJ[Debit])))+(SUM(IF((GJ[Ofc Code]=(TRIM(I$7)))*(GJ[Account Code]=(TRIM($D106))),GJ[Debit]))))-((SUM(IF((CkDJ[Ofc Code]=(TRIM(I$7)))*(CkDJ[Account Code]=(TRIM($D106))),CkDJ[Credit])))+(SUM(IF((CsDJ[Ofc Code]=(TRIM(I$7)))*(CsDJ[Account Code]=(TRIM($D106))),CsDJ[Credit])))+(SUM(IF((CRDJ[Ofc Code]=(TRIM(I$7)))*(CRDJ[Account Code]=(TRIM($D106))),CRDJ[Credit])))+(SUM(IF((GJ[Ofc Code]=(TRIM(I$7)))*(GJ[Account Code]=(TRIM($D106))),GJ[Credit]))))</f>
        <v>0</v>
      </c>
      <c r="J106" s="211">
        <f t="shared" si="15"/>
        <v>0</v>
      </c>
      <c r="K106" s="211">
        <f t="array" ref="K106">((SUM(IF((CkDJ[Ofc Code]=(TRIM(K$7)))*(CkDJ[Account Code]=(TRIM($D106))),CkDJ[Debit])))+(SUM(IF((CsDJ[Ofc Code]=(TRIM(K$7)))*(CsDJ[Account Code]=(TRIM($D106))),CsDJ[Debit])))+(SUM(IF((CRDJ[Ofc Code]=(TRIM(K$7)))*(CRDJ[Account Code]=(TRIM($D106))),CRDJ[Debit])))+(SUM(IF((GJ[Ofc Code]=(TRIM(K$7)))*(GJ[Account Code]=(TRIM($D106))),GJ[Debit]))))-((SUM(IF((CkDJ[Ofc Code]=(TRIM(K$7)))*(CkDJ[Account Code]=(TRIM($D106))),CkDJ[Credit])))+(SUM(IF((CsDJ[Ofc Code]=(TRIM(K$7)))*(CsDJ[Account Code]=(TRIM($D106))),CsDJ[Credit])))+(SUM(IF((CRDJ[Ofc Code]=(TRIM(K$7)))*(CRDJ[Account Code]=(TRIM($D106))),CRDJ[Credit])))+(SUM(IF((GJ[Ofc Code]=(TRIM(K$7)))*(GJ[Account Code]=(TRIM($D106))),GJ[Credit]))))</f>
        <v>0</v>
      </c>
      <c r="L106" s="211">
        <f t="array" ref="L106">((SUM(IF((CkDJ[Ofc Code]=(TRIM(L$7)))*(CkDJ[Account Code]=(TRIM($D106))),CkDJ[Debit])))+(SUM(IF((CsDJ[Ofc Code]=(TRIM(L$7)))*(CsDJ[Account Code]=(TRIM($D106))),CsDJ[Debit])))+(SUM(IF((CRDJ[Ofc Code]=(TRIM(L$7)))*(CRDJ[Account Code]=(TRIM($D106))),CRDJ[Debit])))+(SUM(IF((GJ[Ofc Code]=(TRIM(L$7)))*(GJ[Account Code]=(TRIM($D106))),GJ[Debit]))))-((SUM(IF((CkDJ[Ofc Code]=(TRIM(L$7)))*(CkDJ[Account Code]=(TRIM($D106))),CkDJ[Credit])))+(SUM(IF((CsDJ[Ofc Code]=(TRIM(L$7)))*(CsDJ[Account Code]=(TRIM($D106))),CsDJ[Credit])))+(SUM(IF((CRDJ[Ofc Code]=(TRIM(L$7)))*(CRDJ[Account Code]=(TRIM($D106))),CRDJ[Credit])))+(SUM(IF((GJ[Ofc Code]=(TRIM(L$7)))*(GJ[Account Code]=(TRIM($D106))),GJ[Credit]))))</f>
        <v>0</v>
      </c>
      <c r="M106" s="211">
        <f t="array" ref="M106">((SUM(IF((CkDJ[Ofc Code]=(TRIM(M$7)))*(CkDJ[Account Code]=(TRIM($D106))),CkDJ[Debit])))+(SUM(IF((CsDJ[Ofc Code]=(TRIM(M$7)))*(CsDJ[Account Code]=(TRIM($D106))),CsDJ[Debit])))+(SUM(IF((CRDJ[Ofc Code]=(TRIM(M$7)))*(CRDJ[Account Code]=(TRIM($D106))),CRDJ[Debit])))+(SUM(IF((GJ[Ofc Code]=(TRIM(M$7)))*(GJ[Account Code]=(TRIM($D106))),GJ[Debit]))))-((SUM(IF((CkDJ[Ofc Code]=(TRIM(M$7)))*(CkDJ[Account Code]=(TRIM($D106))),CkDJ[Credit])))+(SUM(IF((CsDJ[Ofc Code]=(TRIM(M$7)))*(CsDJ[Account Code]=(TRIM($D106))),CsDJ[Credit])))+(SUM(IF((CRDJ[Ofc Code]=(TRIM(M$7)))*(CRDJ[Account Code]=(TRIM($D106))),CRDJ[Credit])))+(SUM(IF((GJ[Ofc Code]=(TRIM(M$7)))*(GJ[Account Code]=(TRIM($D106))),GJ[Credit]))))</f>
        <v>0</v>
      </c>
      <c r="N106" s="211">
        <f t="array" ref="N106">((SUM(IF((CkDJ[Ofc Code]=(TRIM(N$7)))*(CkDJ[Account Code]=(TRIM($D106))),CkDJ[Debit])))+(SUM(IF((CsDJ[Ofc Code]=(TRIM(N$7)))*(CsDJ[Account Code]=(TRIM($D106))),CsDJ[Debit])))+(SUM(IF((CRDJ[Ofc Code]=(TRIM(N$7)))*(CRDJ[Account Code]=(TRIM($D106))),CRDJ[Debit])))+(SUM(IF((GJ[Ofc Code]=(TRIM(N$7)))*(GJ[Account Code]=(TRIM($D106))),GJ[Debit]))))-((SUM(IF((CkDJ[Ofc Code]=(TRIM(N$7)))*(CkDJ[Account Code]=(TRIM($D106))),CkDJ[Credit])))+(SUM(IF((CsDJ[Ofc Code]=(TRIM(N$7)))*(CsDJ[Account Code]=(TRIM($D106))),CsDJ[Credit])))+(SUM(IF((CRDJ[Ofc Code]=(TRIM(N$7)))*(CRDJ[Account Code]=(TRIM($D106))),CRDJ[Credit])))+(SUM(IF((GJ[Ofc Code]=(TRIM(N$7)))*(GJ[Account Code]=(TRIM($D106))),GJ[Credit]))))</f>
        <v>0</v>
      </c>
      <c r="O106" s="211">
        <f t="shared" si="16"/>
        <v>0</v>
      </c>
      <c r="P106" s="211">
        <f t="array" ref="P106">((SUM(IF((CkDJ[Ofc Code]=(TRIM(P$7)))*(CkDJ[Account Code]=(TRIM($D106))),CkDJ[Debit])))+(SUM(IF((CsDJ[Ofc Code]=(TRIM(P$7)))*(CsDJ[Account Code]=(TRIM($D106))),CsDJ[Debit])))+(SUM(IF((CRDJ[Ofc Code]=(TRIM(P$7)))*(CRDJ[Account Code]=(TRIM($D106))),CRDJ[Debit])))+(SUM(IF((GJ[Ofc Code]=(TRIM(P$7)))*(GJ[Account Code]=(TRIM($D106))),GJ[Debit]))))-((SUM(IF((CkDJ[Ofc Code]=(TRIM(P$7)))*(CkDJ[Account Code]=(TRIM($D106))),CkDJ[Credit])))+(SUM(IF((CsDJ[Ofc Code]=(TRIM(P$7)))*(CsDJ[Account Code]=(TRIM($D106))),CsDJ[Credit])))+(SUM(IF((CRDJ[Ofc Code]=(TRIM(P$7)))*(CRDJ[Account Code]=(TRIM($D106))),CRDJ[Credit])))+(SUM(IF((GJ[Ofc Code]=(TRIM(P$7)))*(GJ[Account Code]=(TRIM($D106))),GJ[Credit]))))</f>
        <v>0</v>
      </c>
      <c r="Q106" s="211">
        <f t="array" ref="Q106">((SUM(IF((CkDJ[Ofc Code]=(TRIM(Q$7)))*(CkDJ[Account Code]=(TRIM($D106))),CkDJ[Debit])))+(SUM(IF((CsDJ[Ofc Code]=(TRIM(Q$7)))*(CsDJ[Account Code]=(TRIM($D106))),CsDJ[Debit])))+(SUM(IF((CRDJ[Ofc Code]=(TRIM(Q$7)))*(CRDJ[Account Code]=(TRIM($D106))),CRDJ[Debit])))+(SUM(IF((GJ[Ofc Code]=(TRIM(Q$7)))*(GJ[Account Code]=(TRIM($D106))),GJ[Debit]))))-((SUM(IF((CkDJ[Ofc Code]=(TRIM(Q$7)))*(CkDJ[Account Code]=(TRIM($D106))),CkDJ[Credit])))+(SUM(IF((CsDJ[Ofc Code]=(TRIM(Q$7)))*(CsDJ[Account Code]=(TRIM($D106))),CsDJ[Credit])))+(SUM(IF((CRDJ[Ofc Code]=(TRIM(Q$7)))*(CRDJ[Account Code]=(TRIM($D106))),CRDJ[Credit])))+(SUM(IF((GJ[Ofc Code]=(TRIM(Q$7)))*(GJ[Account Code]=(TRIM($D106))),GJ[Credit]))))</f>
        <v>0</v>
      </c>
      <c r="R106" s="211">
        <f t="array" ref="R106">((SUM(IF((CkDJ[Ofc Code]=(TRIM(R$7)))*(CkDJ[Account Code]=(TRIM($D106))),CkDJ[Debit])))+(SUM(IF((CsDJ[Ofc Code]=(TRIM(R$7)))*(CsDJ[Account Code]=(TRIM($D106))),CsDJ[Debit])))+(SUM(IF((CRDJ[Ofc Code]=(TRIM(R$7)))*(CRDJ[Account Code]=(TRIM($D106))),CRDJ[Debit])))+(SUM(IF((GJ[Ofc Code]=(TRIM(R$7)))*(GJ[Account Code]=(TRIM($D106))),GJ[Debit]))))-((SUM(IF((CkDJ[Ofc Code]=(TRIM(R$7)))*(CkDJ[Account Code]=(TRIM($D106))),CkDJ[Credit])))+(SUM(IF((CsDJ[Ofc Code]=(TRIM(R$7)))*(CsDJ[Account Code]=(TRIM($D106))),CsDJ[Credit])))+(SUM(IF((CRDJ[Ofc Code]=(TRIM(R$7)))*(CRDJ[Account Code]=(TRIM($D106))),CRDJ[Credit])))+(SUM(IF((GJ[Ofc Code]=(TRIM(R$7)))*(GJ[Account Code]=(TRIM($D106))),GJ[Credit]))))</f>
        <v>0</v>
      </c>
      <c r="S106" s="211">
        <f t="array" ref="S106">((SUM(IF((CkDJ[Ofc Code]=(TRIM(S$7)))*(CkDJ[Account Code]=(TRIM($D106))),CkDJ[Debit])))+(SUM(IF((CsDJ[Ofc Code]=(TRIM(S$7)))*(CsDJ[Account Code]=(TRIM($D106))),CsDJ[Debit])))+(SUM(IF((CRDJ[Ofc Code]=(TRIM(S$7)))*(CRDJ[Account Code]=(TRIM($D106))),CRDJ[Debit])))+(SUM(IF((GJ[Ofc Code]=(TRIM(S$7)))*(GJ[Account Code]=(TRIM($D106))),GJ[Debit]))))-((SUM(IF((CkDJ[Ofc Code]=(TRIM(S$7)))*(CkDJ[Account Code]=(TRIM($D106))),CkDJ[Credit])))+(SUM(IF((CsDJ[Ofc Code]=(TRIM(S$7)))*(CsDJ[Account Code]=(TRIM($D106))),CsDJ[Credit])))+(SUM(IF((CRDJ[Ofc Code]=(TRIM(S$7)))*(CRDJ[Account Code]=(TRIM($D106))),CRDJ[Credit])))+(SUM(IF((GJ[Ofc Code]=(TRIM(S$7)))*(GJ[Account Code]=(TRIM($D106))),GJ[Credit]))))</f>
        <v>0</v>
      </c>
      <c r="T106" s="211">
        <f t="array" ref="T106">((SUM(IF((CkDJ[Ofc Code]=(TRIM(T$7)))*(CkDJ[Account Code]=(TRIM($D106))),CkDJ[Debit])))+(SUM(IF((CsDJ[Ofc Code]=(TRIM(T$7)))*(CsDJ[Account Code]=(TRIM($D106))),CsDJ[Debit])))+(SUM(IF((CRDJ[Ofc Code]=(TRIM(T$7)))*(CRDJ[Account Code]=(TRIM($D106))),CRDJ[Debit])))+(SUM(IF((GJ[Ofc Code]=(TRIM(T$7)))*(GJ[Account Code]=(TRIM($D106))),GJ[Debit]))))-((SUM(IF((CkDJ[Ofc Code]=(TRIM(T$7)))*(CkDJ[Account Code]=(TRIM($D106))),CkDJ[Credit])))+(SUM(IF((CsDJ[Ofc Code]=(TRIM(T$7)))*(CsDJ[Account Code]=(TRIM($D106))),CsDJ[Credit])))+(SUM(IF((CRDJ[Ofc Code]=(TRIM(T$7)))*(CRDJ[Account Code]=(TRIM($D106))),CRDJ[Credit])))+(SUM(IF((GJ[Ofc Code]=(TRIM(T$7)))*(GJ[Account Code]=(TRIM($D106))),GJ[Credit]))))</f>
        <v>0</v>
      </c>
      <c r="U106" s="211">
        <f t="shared" si="17"/>
        <v>0</v>
      </c>
      <c r="V106" s="211">
        <f t="shared" si="18"/>
        <v>0</v>
      </c>
    </row>
    <row r="107" spans="1:22" ht="15" x14ac:dyDescent="0.25">
      <c r="A107" s="212">
        <f t="shared" si="19"/>
        <v>45</v>
      </c>
      <c r="B107" s="194"/>
      <c r="C107" s="194" t="e">
        <f t="shared" si="14"/>
        <v>#N/A</v>
      </c>
      <c r="D107" s="207" t="s">
        <v>337</v>
      </c>
      <c r="E107" s="211">
        <f t="array" ref="E107">((SUM(IF((CkDJ[Ofc Code]=(TRIM(E$7)))*(CkDJ[Account Code]=(TRIM($D107))),CkDJ[Debit])))+(SUM(IF((CsDJ[Ofc Code]=(TRIM(E$7)))*(CsDJ[Account Code]=(TRIM($D107))),CsDJ[Debit])))+(SUM(IF((CRDJ[Ofc Code]=(TRIM(E$7)))*(CRDJ[Account Code]=(TRIM($D107))),CRDJ[Debit])))+(SUM(IF((GJ[Ofc Code]=(TRIM(E$7)))*(GJ[Account Code]=(TRIM($D107))),GJ[Debit]))))-((SUM(IF((CkDJ[Ofc Code]=(TRIM(E$7)))*(CkDJ[Account Code]=(TRIM($D107))),CkDJ[Credit])))+(SUM(IF((CsDJ[Ofc Code]=(TRIM(E$7)))*(CsDJ[Account Code]=(TRIM($D107))),CsDJ[Credit])))+(SUM(IF((CRDJ[Ofc Code]=(TRIM(E$7)))*(CRDJ[Account Code]=(TRIM($D107))),CRDJ[Credit])))+(SUM(IF((GJ[Ofc Code]=(TRIM(E$7)))*(GJ[Account Code]=(TRIM($D107))),GJ[Credit]))))</f>
        <v>0</v>
      </c>
      <c r="F107" s="211">
        <f t="array" ref="F107">((SUM(IF((CkDJ[Ofc Code]=(TRIM(F$7)))*(CkDJ[Account Code]=(TRIM($D107))),CkDJ[Debit])))+(SUM(IF((CsDJ[Ofc Code]=(TRIM(F$7)))*(CsDJ[Account Code]=(TRIM($D107))),CsDJ[Debit])))+(SUM(IF((CRDJ[Ofc Code]=(TRIM(F$7)))*(CRDJ[Account Code]=(TRIM($D107))),CRDJ[Debit])))+(SUM(IF((GJ[Ofc Code]=(TRIM(F$7)))*(GJ[Account Code]=(TRIM($D107))),GJ[Debit]))))-((SUM(IF((CkDJ[Ofc Code]=(TRIM(F$7)))*(CkDJ[Account Code]=(TRIM($D107))),CkDJ[Credit])))+(SUM(IF((CsDJ[Ofc Code]=(TRIM(F$7)))*(CsDJ[Account Code]=(TRIM($D107))),CsDJ[Credit])))+(SUM(IF((CRDJ[Ofc Code]=(TRIM(F$7)))*(CRDJ[Account Code]=(TRIM($D107))),CRDJ[Credit])))+(SUM(IF((GJ[Ofc Code]=(TRIM(F$7)))*(GJ[Account Code]=(TRIM($D107))),GJ[Credit]))))</f>
        <v>0</v>
      </c>
      <c r="G107" s="211">
        <f t="array" ref="G107">((SUM(IF((CkDJ[Ofc Code]=(TRIM(G$7)))*(CkDJ[Account Code]=(TRIM($D107))),CkDJ[Debit])))+(SUM(IF((CsDJ[Ofc Code]=(TRIM(G$7)))*(CsDJ[Account Code]=(TRIM($D107))),CsDJ[Debit])))+(SUM(IF((CRDJ[Ofc Code]=(TRIM(G$7)))*(CRDJ[Account Code]=(TRIM($D107))),CRDJ[Debit])))+(SUM(IF((GJ[Ofc Code]=(TRIM(G$7)))*(GJ[Account Code]=(TRIM($D107))),GJ[Debit]))))-((SUM(IF((CkDJ[Ofc Code]=(TRIM(G$7)))*(CkDJ[Account Code]=(TRIM($D107))),CkDJ[Credit])))+(SUM(IF((CsDJ[Ofc Code]=(TRIM(G$7)))*(CsDJ[Account Code]=(TRIM($D107))),CsDJ[Credit])))+(SUM(IF((CRDJ[Ofc Code]=(TRIM(G$7)))*(CRDJ[Account Code]=(TRIM($D107))),CRDJ[Credit])))+(SUM(IF((GJ[Ofc Code]=(TRIM(G$7)))*(GJ[Account Code]=(TRIM($D107))),GJ[Credit]))))</f>
        <v>0</v>
      </c>
      <c r="H107" s="211">
        <f t="array" ref="H107">((SUM(IF((CkDJ[Ofc Code]=(TRIM(H$7)))*(CkDJ[Account Code]=(TRIM($D107))),CkDJ[Debit])))+(SUM(IF((CsDJ[Ofc Code]=(TRIM(H$7)))*(CsDJ[Account Code]=(TRIM($D107))),CsDJ[Debit])))+(SUM(IF((CRDJ[Ofc Code]=(TRIM(H$7)))*(CRDJ[Account Code]=(TRIM($D107))),CRDJ[Debit])))+(SUM(IF((GJ[Ofc Code]=(TRIM(H$7)))*(GJ[Account Code]=(TRIM($D107))),GJ[Debit]))))-((SUM(IF((CkDJ[Ofc Code]=(TRIM(H$7)))*(CkDJ[Account Code]=(TRIM($D107))),CkDJ[Credit])))+(SUM(IF((CsDJ[Ofc Code]=(TRIM(H$7)))*(CsDJ[Account Code]=(TRIM($D107))),CsDJ[Credit])))+(SUM(IF((CRDJ[Ofc Code]=(TRIM(H$7)))*(CRDJ[Account Code]=(TRIM($D107))),CRDJ[Credit])))+(SUM(IF((GJ[Ofc Code]=(TRIM(H$7)))*(GJ[Account Code]=(TRIM($D107))),GJ[Credit]))))</f>
        <v>0</v>
      </c>
      <c r="I107" s="211">
        <f t="array" ref="I107">((SUM(IF((CkDJ[Ofc Code]=(TRIM(I$7)))*(CkDJ[Account Code]=(TRIM($D107))),CkDJ[Debit])))+(SUM(IF((CsDJ[Ofc Code]=(TRIM(I$7)))*(CsDJ[Account Code]=(TRIM($D107))),CsDJ[Debit])))+(SUM(IF((CRDJ[Ofc Code]=(TRIM(I$7)))*(CRDJ[Account Code]=(TRIM($D107))),CRDJ[Debit])))+(SUM(IF((GJ[Ofc Code]=(TRIM(I$7)))*(GJ[Account Code]=(TRIM($D107))),GJ[Debit]))))-((SUM(IF((CkDJ[Ofc Code]=(TRIM(I$7)))*(CkDJ[Account Code]=(TRIM($D107))),CkDJ[Credit])))+(SUM(IF((CsDJ[Ofc Code]=(TRIM(I$7)))*(CsDJ[Account Code]=(TRIM($D107))),CsDJ[Credit])))+(SUM(IF((CRDJ[Ofc Code]=(TRIM(I$7)))*(CRDJ[Account Code]=(TRIM($D107))),CRDJ[Credit])))+(SUM(IF((GJ[Ofc Code]=(TRIM(I$7)))*(GJ[Account Code]=(TRIM($D107))),GJ[Credit]))))</f>
        <v>0</v>
      </c>
      <c r="J107" s="211">
        <f t="shared" si="15"/>
        <v>0</v>
      </c>
      <c r="K107" s="211">
        <f t="array" ref="K107">((SUM(IF((CkDJ[Ofc Code]=(TRIM(K$7)))*(CkDJ[Account Code]=(TRIM($D107))),CkDJ[Debit])))+(SUM(IF((CsDJ[Ofc Code]=(TRIM(K$7)))*(CsDJ[Account Code]=(TRIM($D107))),CsDJ[Debit])))+(SUM(IF((CRDJ[Ofc Code]=(TRIM(K$7)))*(CRDJ[Account Code]=(TRIM($D107))),CRDJ[Debit])))+(SUM(IF((GJ[Ofc Code]=(TRIM(K$7)))*(GJ[Account Code]=(TRIM($D107))),GJ[Debit]))))-((SUM(IF((CkDJ[Ofc Code]=(TRIM(K$7)))*(CkDJ[Account Code]=(TRIM($D107))),CkDJ[Credit])))+(SUM(IF((CsDJ[Ofc Code]=(TRIM(K$7)))*(CsDJ[Account Code]=(TRIM($D107))),CsDJ[Credit])))+(SUM(IF((CRDJ[Ofc Code]=(TRIM(K$7)))*(CRDJ[Account Code]=(TRIM($D107))),CRDJ[Credit])))+(SUM(IF((GJ[Ofc Code]=(TRIM(K$7)))*(GJ[Account Code]=(TRIM($D107))),GJ[Credit]))))</f>
        <v>0</v>
      </c>
      <c r="L107" s="211">
        <f t="array" ref="L107">((SUM(IF((CkDJ[Ofc Code]=(TRIM(L$7)))*(CkDJ[Account Code]=(TRIM($D107))),CkDJ[Debit])))+(SUM(IF((CsDJ[Ofc Code]=(TRIM(L$7)))*(CsDJ[Account Code]=(TRIM($D107))),CsDJ[Debit])))+(SUM(IF((CRDJ[Ofc Code]=(TRIM(L$7)))*(CRDJ[Account Code]=(TRIM($D107))),CRDJ[Debit])))+(SUM(IF((GJ[Ofc Code]=(TRIM(L$7)))*(GJ[Account Code]=(TRIM($D107))),GJ[Debit]))))-((SUM(IF((CkDJ[Ofc Code]=(TRIM(L$7)))*(CkDJ[Account Code]=(TRIM($D107))),CkDJ[Credit])))+(SUM(IF((CsDJ[Ofc Code]=(TRIM(L$7)))*(CsDJ[Account Code]=(TRIM($D107))),CsDJ[Credit])))+(SUM(IF((CRDJ[Ofc Code]=(TRIM(L$7)))*(CRDJ[Account Code]=(TRIM($D107))),CRDJ[Credit])))+(SUM(IF((GJ[Ofc Code]=(TRIM(L$7)))*(GJ[Account Code]=(TRIM($D107))),GJ[Credit]))))</f>
        <v>0</v>
      </c>
      <c r="M107" s="211">
        <f t="array" ref="M107">((SUM(IF((CkDJ[Ofc Code]=(TRIM(M$7)))*(CkDJ[Account Code]=(TRIM($D107))),CkDJ[Debit])))+(SUM(IF((CsDJ[Ofc Code]=(TRIM(M$7)))*(CsDJ[Account Code]=(TRIM($D107))),CsDJ[Debit])))+(SUM(IF((CRDJ[Ofc Code]=(TRIM(M$7)))*(CRDJ[Account Code]=(TRIM($D107))),CRDJ[Debit])))+(SUM(IF((GJ[Ofc Code]=(TRIM(M$7)))*(GJ[Account Code]=(TRIM($D107))),GJ[Debit]))))-((SUM(IF((CkDJ[Ofc Code]=(TRIM(M$7)))*(CkDJ[Account Code]=(TRIM($D107))),CkDJ[Credit])))+(SUM(IF((CsDJ[Ofc Code]=(TRIM(M$7)))*(CsDJ[Account Code]=(TRIM($D107))),CsDJ[Credit])))+(SUM(IF((CRDJ[Ofc Code]=(TRIM(M$7)))*(CRDJ[Account Code]=(TRIM($D107))),CRDJ[Credit])))+(SUM(IF((GJ[Ofc Code]=(TRIM(M$7)))*(GJ[Account Code]=(TRIM($D107))),GJ[Credit]))))</f>
        <v>0</v>
      </c>
      <c r="N107" s="211">
        <f t="array" ref="N107">((SUM(IF((CkDJ[Ofc Code]=(TRIM(N$7)))*(CkDJ[Account Code]=(TRIM($D107))),CkDJ[Debit])))+(SUM(IF((CsDJ[Ofc Code]=(TRIM(N$7)))*(CsDJ[Account Code]=(TRIM($D107))),CsDJ[Debit])))+(SUM(IF((CRDJ[Ofc Code]=(TRIM(N$7)))*(CRDJ[Account Code]=(TRIM($D107))),CRDJ[Debit])))+(SUM(IF((GJ[Ofc Code]=(TRIM(N$7)))*(GJ[Account Code]=(TRIM($D107))),GJ[Debit]))))-((SUM(IF((CkDJ[Ofc Code]=(TRIM(N$7)))*(CkDJ[Account Code]=(TRIM($D107))),CkDJ[Credit])))+(SUM(IF((CsDJ[Ofc Code]=(TRIM(N$7)))*(CsDJ[Account Code]=(TRIM($D107))),CsDJ[Credit])))+(SUM(IF((CRDJ[Ofc Code]=(TRIM(N$7)))*(CRDJ[Account Code]=(TRIM($D107))),CRDJ[Credit])))+(SUM(IF((GJ[Ofc Code]=(TRIM(N$7)))*(GJ[Account Code]=(TRIM($D107))),GJ[Credit]))))</f>
        <v>0</v>
      </c>
      <c r="O107" s="211">
        <f t="shared" si="16"/>
        <v>0</v>
      </c>
      <c r="P107" s="211">
        <f t="array" ref="P107">((SUM(IF((CkDJ[Ofc Code]=(TRIM(P$7)))*(CkDJ[Account Code]=(TRIM($D107))),CkDJ[Debit])))+(SUM(IF((CsDJ[Ofc Code]=(TRIM(P$7)))*(CsDJ[Account Code]=(TRIM($D107))),CsDJ[Debit])))+(SUM(IF((CRDJ[Ofc Code]=(TRIM(P$7)))*(CRDJ[Account Code]=(TRIM($D107))),CRDJ[Debit])))+(SUM(IF((GJ[Ofc Code]=(TRIM(P$7)))*(GJ[Account Code]=(TRIM($D107))),GJ[Debit]))))-((SUM(IF((CkDJ[Ofc Code]=(TRIM(P$7)))*(CkDJ[Account Code]=(TRIM($D107))),CkDJ[Credit])))+(SUM(IF((CsDJ[Ofc Code]=(TRIM(P$7)))*(CsDJ[Account Code]=(TRIM($D107))),CsDJ[Credit])))+(SUM(IF((CRDJ[Ofc Code]=(TRIM(P$7)))*(CRDJ[Account Code]=(TRIM($D107))),CRDJ[Credit])))+(SUM(IF((GJ[Ofc Code]=(TRIM(P$7)))*(GJ[Account Code]=(TRIM($D107))),GJ[Credit]))))</f>
        <v>0</v>
      </c>
      <c r="Q107" s="211">
        <f t="array" ref="Q107">((SUM(IF((CkDJ[Ofc Code]=(TRIM(Q$7)))*(CkDJ[Account Code]=(TRIM($D107))),CkDJ[Debit])))+(SUM(IF((CsDJ[Ofc Code]=(TRIM(Q$7)))*(CsDJ[Account Code]=(TRIM($D107))),CsDJ[Debit])))+(SUM(IF((CRDJ[Ofc Code]=(TRIM(Q$7)))*(CRDJ[Account Code]=(TRIM($D107))),CRDJ[Debit])))+(SUM(IF((GJ[Ofc Code]=(TRIM(Q$7)))*(GJ[Account Code]=(TRIM($D107))),GJ[Debit]))))-((SUM(IF((CkDJ[Ofc Code]=(TRIM(Q$7)))*(CkDJ[Account Code]=(TRIM($D107))),CkDJ[Credit])))+(SUM(IF((CsDJ[Ofc Code]=(TRIM(Q$7)))*(CsDJ[Account Code]=(TRIM($D107))),CsDJ[Credit])))+(SUM(IF((CRDJ[Ofc Code]=(TRIM(Q$7)))*(CRDJ[Account Code]=(TRIM($D107))),CRDJ[Credit])))+(SUM(IF((GJ[Ofc Code]=(TRIM(Q$7)))*(GJ[Account Code]=(TRIM($D107))),GJ[Credit]))))</f>
        <v>0</v>
      </c>
      <c r="R107" s="211">
        <f t="array" ref="R107">((SUM(IF((CkDJ[Ofc Code]=(TRIM(R$7)))*(CkDJ[Account Code]=(TRIM($D107))),CkDJ[Debit])))+(SUM(IF((CsDJ[Ofc Code]=(TRIM(R$7)))*(CsDJ[Account Code]=(TRIM($D107))),CsDJ[Debit])))+(SUM(IF((CRDJ[Ofc Code]=(TRIM(R$7)))*(CRDJ[Account Code]=(TRIM($D107))),CRDJ[Debit])))+(SUM(IF((GJ[Ofc Code]=(TRIM(R$7)))*(GJ[Account Code]=(TRIM($D107))),GJ[Debit]))))-((SUM(IF((CkDJ[Ofc Code]=(TRIM(R$7)))*(CkDJ[Account Code]=(TRIM($D107))),CkDJ[Credit])))+(SUM(IF((CsDJ[Ofc Code]=(TRIM(R$7)))*(CsDJ[Account Code]=(TRIM($D107))),CsDJ[Credit])))+(SUM(IF((CRDJ[Ofc Code]=(TRIM(R$7)))*(CRDJ[Account Code]=(TRIM($D107))),CRDJ[Credit])))+(SUM(IF((GJ[Ofc Code]=(TRIM(R$7)))*(GJ[Account Code]=(TRIM($D107))),GJ[Credit]))))</f>
        <v>0</v>
      </c>
      <c r="S107" s="211">
        <f t="array" ref="S107">((SUM(IF((CkDJ[Ofc Code]=(TRIM(S$7)))*(CkDJ[Account Code]=(TRIM($D107))),CkDJ[Debit])))+(SUM(IF((CsDJ[Ofc Code]=(TRIM(S$7)))*(CsDJ[Account Code]=(TRIM($D107))),CsDJ[Debit])))+(SUM(IF((CRDJ[Ofc Code]=(TRIM(S$7)))*(CRDJ[Account Code]=(TRIM($D107))),CRDJ[Debit])))+(SUM(IF((GJ[Ofc Code]=(TRIM(S$7)))*(GJ[Account Code]=(TRIM($D107))),GJ[Debit]))))-((SUM(IF((CkDJ[Ofc Code]=(TRIM(S$7)))*(CkDJ[Account Code]=(TRIM($D107))),CkDJ[Credit])))+(SUM(IF((CsDJ[Ofc Code]=(TRIM(S$7)))*(CsDJ[Account Code]=(TRIM($D107))),CsDJ[Credit])))+(SUM(IF((CRDJ[Ofc Code]=(TRIM(S$7)))*(CRDJ[Account Code]=(TRIM($D107))),CRDJ[Credit])))+(SUM(IF((GJ[Ofc Code]=(TRIM(S$7)))*(GJ[Account Code]=(TRIM($D107))),GJ[Credit]))))</f>
        <v>0</v>
      </c>
      <c r="T107" s="211">
        <f t="array" ref="T107">((SUM(IF((CkDJ[Ofc Code]=(TRIM(T$7)))*(CkDJ[Account Code]=(TRIM($D107))),CkDJ[Debit])))+(SUM(IF((CsDJ[Ofc Code]=(TRIM(T$7)))*(CsDJ[Account Code]=(TRIM($D107))),CsDJ[Debit])))+(SUM(IF((CRDJ[Ofc Code]=(TRIM(T$7)))*(CRDJ[Account Code]=(TRIM($D107))),CRDJ[Debit])))+(SUM(IF((GJ[Ofc Code]=(TRIM(T$7)))*(GJ[Account Code]=(TRIM($D107))),GJ[Debit]))))-((SUM(IF((CkDJ[Ofc Code]=(TRIM(T$7)))*(CkDJ[Account Code]=(TRIM($D107))),CkDJ[Credit])))+(SUM(IF((CsDJ[Ofc Code]=(TRIM(T$7)))*(CsDJ[Account Code]=(TRIM($D107))),CsDJ[Credit])))+(SUM(IF((CRDJ[Ofc Code]=(TRIM(T$7)))*(CRDJ[Account Code]=(TRIM($D107))),CRDJ[Credit])))+(SUM(IF((GJ[Ofc Code]=(TRIM(T$7)))*(GJ[Account Code]=(TRIM($D107))),GJ[Credit]))))</f>
        <v>0</v>
      </c>
      <c r="U107" s="211">
        <f t="shared" si="17"/>
        <v>0</v>
      </c>
      <c r="V107" s="211">
        <f t="shared" si="18"/>
        <v>0</v>
      </c>
    </row>
    <row r="108" spans="1:22" ht="15" x14ac:dyDescent="0.25">
      <c r="A108" s="212">
        <f t="shared" si="19"/>
        <v>46</v>
      </c>
      <c r="B108" s="194"/>
      <c r="C108" s="194" t="e">
        <f>IF(D108=0,"",(VLOOKUP((TRIM(D108)),Code,2,)))</f>
        <v>#N/A</v>
      </c>
      <c r="D108" s="207" t="s">
        <v>986</v>
      </c>
      <c r="E108" s="211">
        <f t="array" ref="E108">((SUM(IF((CkDJ[Ofc Code]=(TRIM(E$7)))*(CkDJ[Account Code]=(TRIM($D108))),CkDJ[Debit])))+(SUM(IF((CsDJ[Ofc Code]=(TRIM(E$7)))*(CsDJ[Account Code]=(TRIM($D108))),CsDJ[Debit])))+(SUM(IF((CRDJ[Ofc Code]=(TRIM(E$7)))*(CRDJ[Account Code]=(TRIM($D108))),CRDJ[Debit])))+(SUM(IF((GJ[Ofc Code]=(TRIM(E$7)))*(GJ[Account Code]=(TRIM($D108))),GJ[Debit]))))-((SUM(IF((CkDJ[Ofc Code]=(TRIM(E$7)))*(CkDJ[Account Code]=(TRIM($D108))),CkDJ[Credit])))+(SUM(IF((CsDJ[Ofc Code]=(TRIM(E$7)))*(CsDJ[Account Code]=(TRIM($D108))),CsDJ[Credit])))+(SUM(IF((CRDJ[Ofc Code]=(TRIM(E$7)))*(CRDJ[Account Code]=(TRIM($D108))),CRDJ[Credit])))+(SUM(IF((GJ[Ofc Code]=(TRIM(E$7)))*(GJ[Account Code]=(TRIM($D108))),GJ[Credit]))))</f>
        <v>0</v>
      </c>
      <c r="F108" s="211">
        <f t="array" ref="F108">((SUM(IF((CkDJ[Ofc Code]=(TRIM(F$7)))*(CkDJ[Account Code]=(TRIM($D108))),CkDJ[Debit])))+(SUM(IF((CsDJ[Ofc Code]=(TRIM(F$7)))*(CsDJ[Account Code]=(TRIM($D108))),CsDJ[Debit])))+(SUM(IF((CRDJ[Ofc Code]=(TRIM(F$7)))*(CRDJ[Account Code]=(TRIM($D108))),CRDJ[Debit])))+(SUM(IF((GJ[Ofc Code]=(TRIM(F$7)))*(GJ[Account Code]=(TRIM($D108))),GJ[Debit]))))-((SUM(IF((CkDJ[Ofc Code]=(TRIM(F$7)))*(CkDJ[Account Code]=(TRIM($D108))),CkDJ[Credit])))+(SUM(IF((CsDJ[Ofc Code]=(TRIM(F$7)))*(CsDJ[Account Code]=(TRIM($D108))),CsDJ[Credit])))+(SUM(IF((CRDJ[Ofc Code]=(TRIM(F$7)))*(CRDJ[Account Code]=(TRIM($D108))),CRDJ[Credit])))+(SUM(IF((GJ[Ofc Code]=(TRIM(F$7)))*(GJ[Account Code]=(TRIM($D108))),GJ[Credit]))))</f>
        <v>0</v>
      </c>
      <c r="G108" s="211">
        <f t="array" ref="G108">((SUM(IF((CkDJ[Ofc Code]=(TRIM(G$7)))*(CkDJ[Account Code]=(TRIM($D108))),CkDJ[Debit])))+(SUM(IF((CsDJ[Ofc Code]=(TRIM(G$7)))*(CsDJ[Account Code]=(TRIM($D108))),CsDJ[Debit])))+(SUM(IF((CRDJ[Ofc Code]=(TRIM(G$7)))*(CRDJ[Account Code]=(TRIM($D108))),CRDJ[Debit])))+(SUM(IF((GJ[Ofc Code]=(TRIM(G$7)))*(GJ[Account Code]=(TRIM($D108))),GJ[Debit]))))-((SUM(IF((CkDJ[Ofc Code]=(TRIM(G$7)))*(CkDJ[Account Code]=(TRIM($D108))),CkDJ[Credit])))+(SUM(IF((CsDJ[Ofc Code]=(TRIM(G$7)))*(CsDJ[Account Code]=(TRIM($D108))),CsDJ[Credit])))+(SUM(IF((CRDJ[Ofc Code]=(TRIM(G$7)))*(CRDJ[Account Code]=(TRIM($D108))),CRDJ[Credit])))+(SUM(IF((GJ[Ofc Code]=(TRIM(G$7)))*(GJ[Account Code]=(TRIM($D108))),GJ[Credit]))))</f>
        <v>0</v>
      </c>
      <c r="H108" s="211">
        <f t="array" ref="H108">((SUM(IF((CkDJ[Ofc Code]=(TRIM(H$7)))*(CkDJ[Account Code]=(TRIM($D108))),CkDJ[Debit])))+(SUM(IF((CsDJ[Ofc Code]=(TRIM(H$7)))*(CsDJ[Account Code]=(TRIM($D108))),CsDJ[Debit])))+(SUM(IF((CRDJ[Ofc Code]=(TRIM(H$7)))*(CRDJ[Account Code]=(TRIM($D108))),CRDJ[Debit])))+(SUM(IF((GJ[Ofc Code]=(TRIM(H$7)))*(GJ[Account Code]=(TRIM($D108))),GJ[Debit]))))-((SUM(IF((CkDJ[Ofc Code]=(TRIM(H$7)))*(CkDJ[Account Code]=(TRIM($D108))),CkDJ[Credit])))+(SUM(IF((CsDJ[Ofc Code]=(TRIM(H$7)))*(CsDJ[Account Code]=(TRIM($D108))),CsDJ[Credit])))+(SUM(IF((CRDJ[Ofc Code]=(TRIM(H$7)))*(CRDJ[Account Code]=(TRIM($D108))),CRDJ[Credit])))+(SUM(IF((GJ[Ofc Code]=(TRIM(H$7)))*(GJ[Account Code]=(TRIM($D108))),GJ[Credit]))))</f>
        <v>0</v>
      </c>
      <c r="I108" s="211">
        <f t="array" ref="I108">((SUM(IF((CkDJ[Ofc Code]=(TRIM(I$7)))*(CkDJ[Account Code]=(TRIM($D108))),CkDJ[Debit])))+(SUM(IF((CsDJ[Ofc Code]=(TRIM(I$7)))*(CsDJ[Account Code]=(TRIM($D108))),CsDJ[Debit])))+(SUM(IF((CRDJ[Ofc Code]=(TRIM(I$7)))*(CRDJ[Account Code]=(TRIM($D108))),CRDJ[Debit])))+(SUM(IF((GJ[Ofc Code]=(TRIM(I$7)))*(GJ[Account Code]=(TRIM($D108))),GJ[Debit]))))-((SUM(IF((CkDJ[Ofc Code]=(TRIM(I$7)))*(CkDJ[Account Code]=(TRIM($D108))),CkDJ[Credit])))+(SUM(IF((CsDJ[Ofc Code]=(TRIM(I$7)))*(CsDJ[Account Code]=(TRIM($D108))),CsDJ[Credit])))+(SUM(IF((CRDJ[Ofc Code]=(TRIM(I$7)))*(CRDJ[Account Code]=(TRIM($D108))),CRDJ[Credit])))+(SUM(IF((GJ[Ofc Code]=(TRIM(I$7)))*(GJ[Account Code]=(TRIM($D108))),GJ[Credit]))))</f>
        <v>0</v>
      </c>
      <c r="J108" s="211">
        <f>SUM(F108:I108)</f>
        <v>0</v>
      </c>
      <c r="K108" s="211">
        <f t="array" ref="K108">((SUM(IF((CkDJ[Ofc Code]=(TRIM(K$7)))*(CkDJ[Account Code]=(TRIM($D108))),CkDJ[Debit])))+(SUM(IF((CsDJ[Ofc Code]=(TRIM(K$7)))*(CsDJ[Account Code]=(TRIM($D108))),CsDJ[Debit])))+(SUM(IF((CRDJ[Ofc Code]=(TRIM(K$7)))*(CRDJ[Account Code]=(TRIM($D108))),CRDJ[Debit])))+(SUM(IF((GJ[Ofc Code]=(TRIM(K$7)))*(GJ[Account Code]=(TRIM($D108))),GJ[Debit]))))-((SUM(IF((CkDJ[Ofc Code]=(TRIM(K$7)))*(CkDJ[Account Code]=(TRIM($D108))),CkDJ[Credit])))+(SUM(IF((CsDJ[Ofc Code]=(TRIM(K$7)))*(CsDJ[Account Code]=(TRIM($D108))),CsDJ[Credit])))+(SUM(IF((CRDJ[Ofc Code]=(TRIM(K$7)))*(CRDJ[Account Code]=(TRIM($D108))),CRDJ[Credit])))+(SUM(IF((GJ[Ofc Code]=(TRIM(K$7)))*(GJ[Account Code]=(TRIM($D108))),GJ[Credit]))))</f>
        <v>0</v>
      </c>
      <c r="L108" s="211">
        <f t="array" ref="L108">((SUM(IF((CkDJ[Ofc Code]=(TRIM(L$7)))*(CkDJ[Account Code]=(TRIM($D108))),CkDJ[Debit])))+(SUM(IF((CsDJ[Ofc Code]=(TRIM(L$7)))*(CsDJ[Account Code]=(TRIM($D108))),CsDJ[Debit])))+(SUM(IF((CRDJ[Ofc Code]=(TRIM(L$7)))*(CRDJ[Account Code]=(TRIM($D108))),CRDJ[Debit])))+(SUM(IF((GJ[Ofc Code]=(TRIM(L$7)))*(GJ[Account Code]=(TRIM($D108))),GJ[Debit]))))-((SUM(IF((CkDJ[Ofc Code]=(TRIM(L$7)))*(CkDJ[Account Code]=(TRIM($D108))),CkDJ[Credit])))+(SUM(IF((CsDJ[Ofc Code]=(TRIM(L$7)))*(CsDJ[Account Code]=(TRIM($D108))),CsDJ[Credit])))+(SUM(IF((CRDJ[Ofc Code]=(TRIM(L$7)))*(CRDJ[Account Code]=(TRIM($D108))),CRDJ[Credit])))+(SUM(IF((GJ[Ofc Code]=(TRIM(L$7)))*(GJ[Account Code]=(TRIM($D108))),GJ[Credit]))))</f>
        <v>0</v>
      </c>
      <c r="M108" s="211">
        <f t="array" ref="M108">((SUM(IF((CkDJ[Ofc Code]=(TRIM(M$7)))*(CkDJ[Account Code]=(TRIM($D108))),CkDJ[Debit])))+(SUM(IF((CsDJ[Ofc Code]=(TRIM(M$7)))*(CsDJ[Account Code]=(TRIM($D108))),CsDJ[Debit])))+(SUM(IF((CRDJ[Ofc Code]=(TRIM(M$7)))*(CRDJ[Account Code]=(TRIM($D108))),CRDJ[Debit])))+(SUM(IF((GJ[Ofc Code]=(TRIM(M$7)))*(GJ[Account Code]=(TRIM($D108))),GJ[Debit]))))-((SUM(IF((CkDJ[Ofc Code]=(TRIM(M$7)))*(CkDJ[Account Code]=(TRIM($D108))),CkDJ[Credit])))+(SUM(IF((CsDJ[Ofc Code]=(TRIM(M$7)))*(CsDJ[Account Code]=(TRIM($D108))),CsDJ[Credit])))+(SUM(IF((CRDJ[Ofc Code]=(TRIM(M$7)))*(CRDJ[Account Code]=(TRIM($D108))),CRDJ[Credit])))+(SUM(IF((GJ[Ofc Code]=(TRIM(M$7)))*(GJ[Account Code]=(TRIM($D108))),GJ[Credit]))))</f>
        <v>0</v>
      </c>
      <c r="N108" s="211">
        <f t="array" ref="N108">((SUM(IF((CkDJ[Ofc Code]=(TRIM(N$7)))*(CkDJ[Account Code]=(TRIM($D108))),CkDJ[Debit])))+(SUM(IF((CsDJ[Ofc Code]=(TRIM(N$7)))*(CsDJ[Account Code]=(TRIM($D108))),CsDJ[Debit])))+(SUM(IF((CRDJ[Ofc Code]=(TRIM(N$7)))*(CRDJ[Account Code]=(TRIM($D108))),CRDJ[Debit])))+(SUM(IF((GJ[Ofc Code]=(TRIM(N$7)))*(GJ[Account Code]=(TRIM($D108))),GJ[Debit]))))-((SUM(IF((CkDJ[Ofc Code]=(TRIM(N$7)))*(CkDJ[Account Code]=(TRIM($D108))),CkDJ[Credit])))+(SUM(IF((CsDJ[Ofc Code]=(TRIM(N$7)))*(CsDJ[Account Code]=(TRIM($D108))),CsDJ[Credit])))+(SUM(IF((CRDJ[Ofc Code]=(TRIM(N$7)))*(CRDJ[Account Code]=(TRIM($D108))),CRDJ[Credit])))+(SUM(IF((GJ[Ofc Code]=(TRIM(N$7)))*(GJ[Account Code]=(TRIM($D108))),GJ[Credit]))))</f>
        <v>0</v>
      </c>
      <c r="O108" s="211">
        <f>SUM(K108:N108)</f>
        <v>0</v>
      </c>
      <c r="P108" s="211">
        <f t="array" ref="P108">((SUM(IF((CkDJ[Ofc Code]=(TRIM(P$7)))*(CkDJ[Account Code]=(TRIM($D108))),CkDJ[Debit])))+(SUM(IF((CsDJ[Ofc Code]=(TRIM(P$7)))*(CsDJ[Account Code]=(TRIM($D108))),CsDJ[Debit])))+(SUM(IF((CRDJ[Ofc Code]=(TRIM(P$7)))*(CRDJ[Account Code]=(TRIM($D108))),CRDJ[Debit])))+(SUM(IF((GJ[Ofc Code]=(TRIM(P$7)))*(GJ[Account Code]=(TRIM($D108))),GJ[Debit]))))-((SUM(IF((CkDJ[Ofc Code]=(TRIM(P$7)))*(CkDJ[Account Code]=(TRIM($D108))),CkDJ[Credit])))+(SUM(IF((CsDJ[Ofc Code]=(TRIM(P$7)))*(CsDJ[Account Code]=(TRIM($D108))),CsDJ[Credit])))+(SUM(IF((CRDJ[Ofc Code]=(TRIM(P$7)))*(CRDJ[Account Code]=(TRIM($D108))),CRDJ[Credit])))+(SUM(IF((GJ[Ofc Code]=(TRIM(P$7)))*(GJ[Account Code]=(TRIM($D108))),GJ[Credit]))))</f>
        <v>0</v>
      </c>
      <c r="Q108" s="211">
        <f t="array" ref="Q108">((SUM(IF((CkDJ[Ofc Code]=(TRIM(Q$7)))*(CkDJ[Account Code]=(TRIM($D108))),CkDJ[Debit])))+(SUM(IF((CsDJ[Ofc Code]=(TRIM(Q$7)))*(CsDJ[Account Code]=(TRIM($D108))),CsDJ[Debit])))+(SUM(IF((CRDJ[Ofc Code]=(TRIM(Q$7)))*(CRDJ[Account Code]=(TRIM($D108))),CRDJ[Debit])))+(SUM(IF((GJ[Ofc Code]=(TRIM(Q$7)))*(GJ[Account Code]=(TRIM($D108))),GJ[Debit]))))-((SUM(IF((CkDJ[Ofc Code]=(TRIM(Q$7)))*(CkDJ[Account Code]=(TRIM($D108))),CkDJ[Credit])))+(SUM(IF((CsDJ[Ofc Code]=(TRIM(Q$7)))*(CsDJ[Account Code]=(TRIM($D108))),CsDJ[Credit])))+(SUM(IF((CRDJ[Ofc Code]=(TRIM(Q$7)))*(CRDJ[Account Code]=(TRIM($D108))),CRDJ[Credit])))+(SUM(IF((GJ[Ofc Code]=(TRIM(Q$7)))*(GJ[Account Code]=(TRIM($D108))),GJ[Credit]))))</f>
        <v>0</v>
      </c>
      <c r="R108" s="211">
        <f t="array" ref="R108">((SUM(IF((CkDJ[Ofc Code]=(TRIM(R$7)))*(CkDJ[Account Code]=(TRIM($D108))),CkDJ[Debit])))+(SUM(IF((CsDJ[Ofc Code]=(TRIM(R$7)))*(CsDJ[Account Code]=(TRIM($D108))),CsDJ[Debit])))+(SUM(IF((CRDJ[Ofc Code]=(TRIM(R$7)))*(CRDJ[Account Code]=(TRIM($D108))),CRDJ[Debit])))+(SUM(IF((GJ[Ofc Code]=(TRIM(R$7)))*(GJ[Account Code]=(TRIM($D108))),GJ[Debit]))))-((SUM(IF((CkDJ[Ofc Code]=(TRIM(R$7)))*(CkDJ[Account Code]=(TRIM($D108))),CkDJ[Credit])))+(SUM(IF((CsDJ[Ofc Code]=(TRIM(R$7)))*(CsDJ[Account Code]=(TRIM($D108))),CsDJ[Credit])))+(SUM(IF((CRDJ[Ofc Code]=(TRIM(R$7)))*(CRDJ[Account Code]=(TRIM($D108))),CRDJ[Credit])))+(SUM(IF((GJ[Ofc Code]=(TRIM(R$7)))*(GJ[Account Code]=(TRIM($D108))),GJ[Credit]))))</f>
        <v>0</v>
      </c>
      <c r="S108" s="211">
        <f t="array" ref="S108">((SUM(IF((CkDJ[Ofc Code]=(TRIM(S$7)))*(CkDJ[Account Code]=(TRIM($D108))),CkDJ[Debit])))+(SUM(IF((CsDJ[Ofc Code]=(TRIM(S$7)))*(CsDJ[Account Code]=(TRIM($D108))),CsDJ[Debit])))+(SUM(IF((CRDJ[Ofc Code]=(TRIM(S$7)))*(CRDJ[Account Code]=(TRIM($D108))),CRDJ[Debit])))+(SUM(IF((GJ[Ofc Code]=(TRIM(S$7)))*(GJ[Account Code]=(TRIM($D108))),GJ[Debit]))))-((SUM(IF((CkDJ[Ofc Code]=(TRIM(S$7)))*(CkDJ[Account Code]=(TRIM($D108))),CkDJ[Credit])))+(SUM(IF((CsDJ[Ofc Code]=(TRIM(S$7)))*(CsDJ[Account Code]=(TRIM($D108))),CsDJ[Credit])))+(SUM(IF((CRDJ[Ofc Code]=(TRIM(S$7)))*(CRDJ[Account Code]=(TRIM($D108))),CRDJ[Credit])))+(SUM(IF((GJ[Ofc Code]=(TRIM(S$7)))*(GJ[Account Code]=(TRIM($D108))),GJ[Credit]))))</f>
        <v>0</v>
      </c>
      <c r="T108" s="211">
        <f t="array" ref="T108">((SUM(IF((CkDJ[Ofc Code]=(TRIM(T$7)))*(CkDJ[Account Code]=(TRIM($D108))),CkDJ[Debit])))+(SUM(IF((CsDJ[Ofc Code]=(TRIM(T$7)))*(CsDJ[Account Code]=(TRIM($D108))),CsDJ[Debit])))+(SUM(IF((CRDJ[Ofc Code]=(TRIM(T$7)))*(CRDJ[Account Code]=(TRIM($D108))),CRDJ[Debit])))+(SUM(IF((GJ[Ofc Code]=(TRIM(T$7)))*(GJ[Account Code]=(TRIM($D108))),GJ[Debit]))))-((SUM(IF((CkDJ[Ofc Code]=(TRIM(T$7)))*(CkDJ[Account Code]=(TRIM($D108))),CkDJ[Credit])))+(SUM(IF((CsDJ[Ofc Code]=(TRIM(T$7)))*(CsDJ[Account Code]=(TRIM($D108))),CsDJ[Credit])))+(SUM(IF((CRDJ[Ofc Code]=(TRIM(T$7)))*(CRDJ[Account Code]=(TRIM($D108))),CRDJ[Credit])))+(SUM(IF((GJ[Ofc Code]=(TRIM(T$7)))*(GJ[Account Code]=(TRIM($D108))),GJ[Credit]))))</f>
        <v>0</v>
      </c>
      <c r="U108" s="211">
        <f>SUM(P108:T108)</f>
        <v>0</v>
      </c>
      <c r="V108" s="211">
        <f>E108+J108+O108+U108</f>
        <v>0</v>
      </c>
    </row>
    <row r="109" spans="1:22" ht="15" x14ac:dyDescent="0.25">
      <c r="A109" s="212">
        <f t="shared" si="19"/>
        <v>47</v>
      </c>
      <c r="B109" s="194"/>
      <c r="C109" s="194" t="str">
        <f t="shared" si="14"/>
        <v>Bank Charges</v>
      </c>
      <c r="D109" s="207">
        <v>971</v>
      </c>
      <c r="E109" s="211">
        <f t="array" ref="E109">((SUM(IF((CkDJ[Ofc Code]=(TRIM(E$7)))*(CkDJ[Account Code]=(TRIM($D109))),CkDJ[Debit])))+(SUM(IF((CsDJ[Ofc Code]=(TRIM(E$7)))*(CsDJ[Account Code]=(TRIM($D109))),CsDJ[Debit])))+(SUM(IF((CRDJ[Ofc Code]=(TRIM(E$7)))*(CRDJ[Account Code]=(TRIM($D109))),CRDJ[Debit])))+(SUM(IF((GJ[Ofc Code]=(TRIM(E$7)))*(GJ[Account Code]=(TRIM($D109))),GJ[Debit]))))-((SUM(IF((CkDJ[Ofc Code]=(TRIM(E$7)))*(CkDJ[Account Code]=(TRIM($D109))),CkDJ[Credit])))+(SUM(IF((CsDJ[Ofc Code]=(TRIM(E$7)))*(CsDJ[Account Code]=(TRIM($D109))),CsDJ[Credit])))+(SUM(IF((CRDJ[Ofc Code]=(TRIM(E$7)))*(CRDJ[Account Code]=(TRIM($D109))),CRDJ[Credit])))+(SUM(IF((GJ[Ofc Code]=(TRIM(E$7)))*(GJ[Account Code]=(TRIM($D109))),GJ[Credit]))))</f>
        <v>0</v>
      </c>
      <c r="F109" s="211">
        <f t="array" ref="F109">((SUM(IF((CkDJ[Ofc Code]=(TRIM(F$7)))*(CkDJ[Account Code]=(TRIM($D109))),CkDJ[Debit])))+(SUM(IF((CsDJ[Ofc Code]=(TRIM(F$7)))*(CsDJ[Account Code]=(TRIM($D109))),CsDJ[Debit])))+(SUM(IF((CRDJ[Ofc Code]=(TRIM(F$7)))*(CRDJ[Account Code]=(TRIM($D109))),CRDJ[Debit])))+(SUM(IF((GJ[Ofc Code]=(TRIM(F$7)))*(GJ[Account Code]=(TRIM($D109))),GJ[Debit]))))-((SUM(IF((CkDJ[Ofc Code]=(TRIM(F$7)))*(CkDJ[Account Code]=(TRIM($D109))),CkDJ[Credit])))+(SUM(IF((CsDJ[Ofc Code]=(TRIM(F$7)))*(CsDJ[Account Code]=(TRIM($D109))),CsDJ[Credit])))+(SUM(IF((CRDJ[Ofc Code]=(TRIM(F$7)))*(CRDJ[Account Code]=(TRIM($D109))),CRDJ[Credit])))+(SUM(IF((GJ[Ofc Code]=(TRIM(F$7)))*(GJ[Account Code]=(TRIM($D109))),GJ[Credit]))))</f>
        <v>0</v>
      </c>
      <c r="G109" s="211">
        <f t="array" ref="G109">((SUM(IF((CkDJ[Ofc Code]=(TRIM(G$7)))*(CkDJ[Account Code]=(TRIM($D109))),CkDJ[Debit])))+(SUM(IF((CsDJ[Ofc Code]=(TRIM(G$7)))*(CsDJ[Account Code]=(TRIM($D109))),CsDJ[Debit])))+(SUM(IF((CRDJ[Ofc Code]=(TRIM(G$7)))*(CRDJ[Account Code]=(TRIM($D109))),CRDJ[Debit])))+(SUM(IF((GJ[Ofc Code]=(TRIM(G$7)))*(GJ[Account Code]=(TRIM($D109))),GJ[Debit]))))-((SUM(IF((CkDJ[Ofc Code]=(TRIM(G$7)))*(CkDJ[Account Code]=(TRIM($D109))),CkDJ[Credit])))+(SUM(IF((CsDJ[Ofc Code]=(TRIM(G$7)))*(CsDJ[Account Code]=(TRIM($D109))),CsDJ[Credit])))+(SUM(IF((CRDJ[Ofc Code]=(TRIM(G$7)))*(CRDJ[Account Code]=(TRIM($D109))),CRDJ[Credit])))+(SUM(IF((GJ[Ofc Code]=(TRIM(G$7)))*(GJ[Account Code]=(TRIM($D109))),GJ[Credit]))))</f>
        <v>0</v>
      </c>
      <c r="H109" s="211">
        <f t="array" ref="H109">((SUM(IF((CkDJ[Ofc Code]=(TRIM(H$7)))*(CkDJ[Account Code]=(TRIM($D109))),CkDJ[Debit])))+(SUM(IF((CsDJ[Ofc Code]=(TRIM(H$7)))*(CsDJ[Account Code]=(TRIM($D109))),CsDJ[Debit])))+(SUM(IF((CRDJ[Ofc Code]=(TRIM(H$7)))*(CRDJ[Account Code]=(TRIM($D109))),CRDJ[Debit])))+(SUM(IF((GJ[Ofc Code]=(TRIM(H$7)))*(GJ[Account Code]=(TRIM($D109))),GJ[Debit]))))-((SUM(IF((CkDJ[Ofc Code]=(TRIM(H$7)))*(CkDJ[Account Code]=(TRIM($D109))),CkDJ[Credit])))+(SUM(IF((CsDJ[Ofc Code]=(TRIM(H$7)))*(CsDJ[Account Code]=(TRIM($D109))),CsDJ[Credit])))+(SUM(IF((CRDJ[Ofc Code]=(TRIM(H$7)))*(CRDJ[Account Code]=(TRIM($D109))),CRDJ[Credit])))+(SUM(IF((GJ[Ofc Code]=(TRIM(H$7)))*(GJ[Account Code]=(TRIM($D109))),GJ[Credit]))))</f>
        <v>0</v>
      </c>
      <c r="I109" s="211">
        <f t="array" ref="I109">((SUM(IF((CkDJ[Ofc Code]=(TRIM(I$7)))*(CkDJ[Account Code]=(TRIM($D109))),CkDJ[Debit])))+(SUM(IF((CsDJ[Ofc Code]=(TRIM(I$7)))*(CsDJ[Account Code]=(TRIM($D109))),CsDJ[Debit])))+(SUM(IF((CRDJ[Ofc Code]=(TRIM(I$7)))*(CRDJ[Account Code]=(TRIM($D109))),CRDJ[Debit])))+(SUM(IF((GJ[Ofc Code]=(TRIM(I$7)))*(GJ[Account Code]=(TRIM($D109))),GJ[Debit]))))-((SUM(IF((CkDJ[Ofc Code]=(TRIM(I$7)))*(CkDJ[Account Code]=(TRIM($D109))),CkDJ[Credit])))+(SUM(IF((CsDJ[Ofc Code]=(TRIM(I$7)))*(CsDJ[Account Code]=(TRIM($D109))),CsDJ[Credit])))+(SUM(IF((CRDJ[Ofc Code]=(TRIM(I$7)))*(CRDJ[Account Code]=(TRIM($D109))),CRDJ[Credit])))+(SUM(IF((GJ[Ofc Code]=(TRIM(I$7)))*(GJ[Account Code]=(TRIM($D109))),GJ[Credit]))))</f>
        <v>0</v>
      </c>
      <c r="J109" s="211">
        <f t="shared" si="15"/>
        <v>0</v>
      </c>
      <c r="K109" s="211">
        <f t="array" ref="K109">((SUM(IF((CkDJ[Ofc Code]=(TRIM(K$7)))*(CkDJ[Account Code]=(TRIM($D109))),CkDJ[Debit])))+(SUM(IF((CsDJ[Ofc Code]=(TRIM(K$7)))*(CsDJ[Account Code]=(TRIM($D109))),CsDJ[Debit])))+(SUM(IF((CRDJ[Ofc Code]=(TRIM(K$7)))*(CRDJ[Account Code]=(TRIM($D109))),CRDJ[Debit])))+(SUM(IF((GJ[Ofc Code]=(TRIM(K$7)))*(GJ[Account Code]=(TRIM($D109))),GJ[Debit]))))-((SUM(IF((CkDJ[Ofc Code]=(TRIM(K$7)))*(CkDJ[Account Code]=(TRIM($D109))),CkDJ[Credit])))+(SUM(IF((CsDJ[Ofc Code]=(TRIM(K$7)))*(CsDJ[Account Code]=(TRIM($D109))),CsDJ[Credit])))+(SUM(IF((CRDJ[Ofc Code]=(TRIM(K$7)))*(CRDJ[Account Code]=(TRIM($D109))),CRDJ[Credit])))+(SUM(IF((GJ[Ofc Code]=(TRIM(K$7)))*(GJ[Account Code]=(TRIM($D109))),GJ[Credit]))))</f>
        <v>0</v>
      </c>
      <c r="L109" s="211">
        <f t="array" ref="L109">((SUM(IF((CkDJ[Ofc Code]=(TRIM(L$7)))*(CkDJ[Account Code]=(TRIM($D109))),CkDJ[Debit])))+(SUM(IF((CsDJ[Ofc Code]=(TRIM(L$7)))*(CsDJ[Account Code]=(TRIM($D109))),CsDJ[Debit])))+(SUM(IF((CRDJ[Ofc Code]=(TRIM(L$7)))*(CRDJ[Account Code]=(TRIM($D109))),CRDJ[Debit])))+(SUM(IF((GJ[Ofc Code]=(TRIM(L$7)))*(GJ[Account Code]=(TRIM($D109))),GJ[Debit]))))-((SUM(IF((CkDJ[Ofc Code]=(TRIM(L$7)))*(CkDJ[Account Code]=(TRIM($D109))),CkDJ[Credit])))+(SUM(IF((CsDJ[Ofc Code]=(TRIM(L$7)))*(CsDJ[Account Code]=(TRIM($D109))),CsDJ[Credit])))+(SUM(IF((CRDJ[Ofc Code]=(TRIM(L$7)))*(CRDJ[Account Code]=(TRIM($D109))),CRDJ[Credit])))+(SUM(IF((GJ[Ofc Code]=(TRIM(L$7)))*(GJ[Account Code]=(TRIM($D109))),GJ[Credit]))))</f>
        <v>0</v>
      </c>
      <c r="M109" s="211">
        <f t="array" ref="M109">((SUM(IF((CkDJ[Ofc Code]=(TRIM(M$7)))*(CkDJ[Account Code]=(TRIM($D109))),CkDJ[Debit])))+(SUM(IF((CsDJ[Ofc Code]=(TRIM(M$7)))*(CsDJ[Account Code]=(TRIM($D109))),CsDJ[Debit])))+(SUM(IF((CRDJ[Ofc Code]=(TRIM(M$7)))*(CRDJ[Account Code]=(TRIM($D109))),CRDJ[Debit])))+(SUM(IF((GJ[Ofc Code]=(TRIM(M$7)))*(GJ[Account Code]=(TRIM($D109))),GJ[Debit]))))-((SUM(IF((CkDJ[Ofc Code]=(TRIM(M$7)))*(CkDJ[Account Code]=(TRIM($D109))),CkDJ[Credit])))+(SUM(IF((CsDJ[Ofc Code]=(TRIM(M$7)))*(CsDJ[Account Code]=(TRIM($D109))),CsDJ[Credit])))+(SUM(IF((CRDJ[Ofc Code]=(TRIM(M$7)))*(CRDJ[Account Code]=(TRIM($D109))),CRDJ[Credit])))+(SUM(IF((GJ[Ofc Code]=(TRIM(M$7)))*(GJ[Account Code]=(TRIM($D109))),GJ[Credit]))))</f>
        <v>0</v>
      </c>
      <c r="N109" s="211">
        <f t="array" ref="N109">((SUM(IF((CkDJ[Ofc Code]=(TRIM(N$7)))*(CkDJ[Account Code]=(TRIM($D109))),CkDJ[Debit])))+(SUM(IF((CsDJ[Ofc Code]=(TRIM(N$7)))*(CsDJ[Account Code]=(TRIM($D109))),CsDJ[Debit])))+(SUM(IF((CRDJ[Ofc Code]=(TRIM(N$7)))*(CRDJ[Account Code]=(TRIM($D109))),CRDJ[Debit])))+(SUM(IF((GJ[Ofc Code]=(TRIM(N$7)))*(GJ[Account Code]=(TRIM($D109))),GJ[Debit]))))-((SUM(IF((CkDJ[Ofc Code]=(TRIM(N$7)))*(CkDJ[Account Code]=(TRIM($D109))),CkDJ[Credit])))+(SUM(IF((CsDJ[Ofc Code]=(TRIM(N$7)))*(CsDJ[Account Code]=(TRIM($D109))),CsDJ[Credit])))+(SUM(IF((CRDJ[Ofc Code]=(TRIM(N$7)))*(CRDJ[Account Code]=(TRIM($D109))),CRDJ[Credit])))+(SUM(IF((GJ[Ofc Code]=(TRIM(N$7)))*(GJ[Account Code]=(TRIM($D109))),GJ[Credit]))))</f>
        <v>0</v>
      </c>
      <c r="O109" s="211">
        <f t="shared" si="16"/>
        <v>0</v>
      </c>
      <c r="P109" s="211">
        <f t="array" ref="P109">((SUM(IF((CkDJ[Ofc Code]=(TRIM(P$7)))*(CkDJ[Account Code]=(TRIM($D109))),CkDJ[Debit])))+(SUM(IF((CsDJ[Ofc Code]=(TRIM(P$7)))*(CsDJ[Account Code]=(TRIM($D109))),CsDJ[Debit])))+(SUM(IF((CRDJ[Ofc Code]=(TRIM(P$7)))*(CRDJ[Account Code]=(TRIM($D109))),CRDJ[Debit])))+(SUM(IF((GJ[Ofc Code]=(TRIM(P$7)))*(GJ[Account Code]=(TRIM($D109))),GJ[Debit]))))-((SUM(IF((CkDJ[Ofc Code]=(TRIM(P$7)))*(CkDJ[Account Code]=(TRIM($D109))),CkDJ[Credit])))+(SUM(IF((CsDJ[Ofc Code]=(TRIM(P$7)))*(CsDJ[Account Code]=(TRIM($D109))),CsDJ[Credit])))+(SUM(IF((CRDJ[Ofc Code]=(TRIM(P$7)))*(CRDJ[Account Code]=(TRIM($D109))),CRDJ[Credit])))+(SUM(IF((GJ[Ofc Code]=(TRIM(P$7)))*(GJ[Account Code]=(TRIM($D109))),GJ[Credit]))))</f>
        <v>0</v>
      </c>
      <c r="Q109" s="211">
        <f t="array" ref="Q109">((SUM(IF((CkDJ[Ofc Code]=(TRIM(Q$7)))*(CkDJ[Account Code]=(TRIM($D109))),CkDJ[Debit])))+(SUM(IF((CsDJ[Ofc Code]=(TRIM(Q$7)))*(CsDJ[Account Code]=(TRIM($D109))),CsDJ[Debit])))+(SUM(IF((CRDJ[Ofc Code]=(TRIM(Q$7)))*(CRDJ[Account Code]=(TRIM($D109))),CRDJ[Debit])))+(SUM(IF((GJ[Ofc Code]=(TRIM(Q$7)))*(GJ[Account Code]=(TRIM($D109))),GJ[Debit]))))-((SUM(IF((CkDJ[Ofc Code]=(TRIM(Q$7)))*(CkDJ[Account Code]=(TRIM($D109))),CkDJ[Credit])))+(SUM(IF((CsDJ[Ofc Code]=(TRIM(Q$7)))*(CsDJ[Account Code]=(TRIM($D109))),CsDJ[Credit])))+(SUM(IF((CRDJ[Ofc Code]=(TRIM(Q$7)))*(CRDJ[Account Code]=(TRIM($D109))),CRDJ[Credit])))+(SUM(IF((GJ[Ofc Code]=(TRIM(Q$7)))*(GJ[Account Code]=(TRIM($D109))),GJ[Credit]))))</f>
        <v>0</v>
      </c>
      <c r="R109" s="211">
        <f t="array" ref="R109">((SUM(IF((CkDJ[Ofc Code]=(TRIM(R$7)))*(CkDJ[Account Code]=(TRIM($D109))),CkDJ[Debit])))+(SUM(IF((CsDJ[Ofc Code]=(TRIM(R$7)))*(CsDJ[Account Code]=(TRIM($D109))),CsDJ[Debit])))+(SUM(IF((CRDJ[Ofc Code]=(TRIM(R$7)))*(CRDJ[Account Code]=(TRIM($D109))),CRDJ[Debit])))+(SUM(IF((GJ[Ofc Code]=(TRIM(R$7)))*(GJ[Account Code]=(TRIM($D109))),GJ[Debit]))))-((SUM(IF((CkDJ[Ofc Code]=(TRIM(R$7)))*(CkDJ[Account Code]=(TRIM($D109))),CkDJ[Credit])))+(SUM(IF((CsDJ[Ofc Code]=(TRIM(R$7)))*(CsDJ[Account Code]=(TRIM($D109))),CsDJ[Credit])))+(SUM(IF((CRDJ[Ofc Code]=(TRIM(R$7)))*(CRDJ[Account Code]=(TRIM($D109))),CRDJ[Credit])))+(SUM(IF((GJ[Ofc Code]=(TRIM(R$7)))*(GJ[Account Code]=(TRIM($D109))),GJ[Credit]))))</f>
        <v>0</v>
      </c>
      <c r="S109" s="211">
        <f t="array" ref="S109">((SUM(IF((CkDJ[Ofc Code]=(TRIM(S$7)))*(CkDJ[Account Code]=(TRIM($D109))),CkDJ[Debit])))+(SUM(IF((CsDJ[Ofc Code]=(TRIM(S$7)))*(CsDJ[Account Code]=(TRIM($D109))),CsDJ[Debit])))+(SUM(IF((CRDJ[Ofc Code]=(TRIM(S$7)))*(CRDJ[Account Code]=(TRIM($D109))),CRDJ[Debit])))+(SUM(IF((GJ[Ofc Code]=(TRIM(S$7)))*(GJ[Account Code]=(TRIM($D109))),GJ[Debit]))))-((SUM(IF((CkDJ[Ofc Code]=(TRIM(S$7)))*(CkDJ[Account Code]=(TRIM($D109))),CkDJ[Credit])))+(SUM(IF((CsDJ[Ofc Code]=(TRIM(S$7)))*(CsDJ[Account Code]=(TRIM($D109))),CsDJ[Credit])))+(SUM(IF((CRDJ[Ofc Code]=(TRIM(S$7)))*(CRDJ[Account Code]=(TRIM($D109))),CRDJ[Credit])))+(SUM(IF((GJ[Ofc Code]=(TRIM(S$7)))*(GJ[Account Code]=(TRIM($D109))),GJ[Credit]))))</f>
        <v>0</v>
      </c>
      <c r="T109" s="211">
        <f t="array" ref="T109">((SUM(IF((CkDJ[Ofc Code]=(TRIM(T$7)))*(CkDJ[Account Code]=(TRIM($D109))),CkDJ[Debit])))+(SUM(IF((CsDJ[Ofc Code]=(TRIM(T$7)))*(CsDJ[Account Code]=(TRIM($D109))),CsDJ[Debit])))+(SUM(IF((CRDJ[Ofc Code]=(TRIM(T$7)))*(CRDJ[Account Code]=(TRIM($D109))),CRDJ[Debit])))+(SUM(IF((GJ[Ofc Code]=(TRIM(T$7)))*(GJ[Account Code]=(TRIM($D109))),GJ[Debit]))))-((SUM(IF((CkDJ[Ofc Code]=(TRIM(T$7)))*(CkDJ[Account Code]=(TRIM($D109))),CkDJ[Credit])))+(SUM(IF((CsDJ[Ofc Code]=(TRIM(T$7)))*(CsDJ[Account Code]=(TRIM($D109))),CsDJ[Credit])))+(SUM(IF((CRDJ[Ofc Code]=(TRIM(T$7)))*(CRDJ[Account Code]=(TRIM($D109))),CRDJ[Credit])))+(SUM(IF((GJ[Ofc Code]=(TRIM(T$7)))*(GJ[Account Code]=(TRIM($D109))),GJ[Credit]))))</f>
        <v>0</v>
      </c>
      <c r="U109" s="211">
        <f t="shared" si="17"/>
        <v>0</v>
      </c>
      <c r="V109" s="211">
        <f t="shared" si="18"/>
        <v>0</v>
      </c>
    </row>
    <row r="110" spans="1:22" ht="15" x14ac:dyDescent="0.25">
      <c r="A110" s="1167" t="s">
        <v>755</v>
      </c>
      <c r="B110" s="1168"/>
      <c r="C110" s="1168"/>
      <c r="D110" s="210"/>
      <c r="E110" s="208">
        <f t="shared" ref="E110:V110" si="20">SUM(E63:E109)</f>
        <v>0</v>
      </c>
      <c r="F110" s="208">
        <f t="shared" si="20"/>
        <v>0</v>
      </c>
      <c r="G110" s="208">
        <f>SUM(G63:G109)</f>
        <v>0</v>
      </c>
      <c r="H110" s="208">
        <f t="shared" si="20"/>
        <v>0</v>
      </c>
      <c r="I110" s="208">
        <f t="shared" si="20"/>
        <v>0</v>
      </c>
      <c r="J110" s="208">
        <f t="shared" si="20"/>
        <v>0</v>
      </c>
      <c r="K110" s="208">
        <f t="shared" si="20"/>
        <v>0</v>
      </c>
      <c r="L110" s="208">
        <f t="shared" si="20"/>
        <v>0</v>
      </c>
      <c r="M110" s="208">
        <f t="shared" si="20"/>
        <v>0</v>
      </c>
      <c r="N110" s="208">
        <f t="shared" si="20"/>
        <v>0</v>
      </c>
      <c r="O110" s="208">
        <f t="shared" si="20"/>
        <v>0</v>
      </c>
      <c r="P110" s="208">
        <f t="shared" si="20"/>
        <v>0</v>
      </c>
      <c r="Q110" s="208">
        <f t="shared" si="20"/>
        <v>0</v>
      </c>
      <c r="R110" s="208">
        <f t="shared" si="20"/>
        <v>0</v>
      </c>
      <c r="S110" s="208">
        <f t="shared" si="20"/>
        <v>0</v>
      </c>
      <c r="T110" s="208">
        <f t="shared" si="20"/>
        <v>0</v>
      </c>
      <c r="U110" s="208">
        <f t="shared" si="20"/>
        <v>0</v>
      </c>
      <c r="V110" s="208">
        <f t="shared" si="20"/>
        <v>0</v>
      </c>
    </row>
    <row r="111" spans="1:22" ht="15" x14ac:dyDescent="0.25">
      <c r="A111" s="1167" t="s">
        <v>754</v>
      </c>
      <c r="B111" s="1168"/>
      <c r="C111" s="1168"/>
      <c r="D111" s="210"/>
      <c r="E111" s="208">
        <f t="shared" ref="E111:V111" si="21">E61+E110</f>
        <v>0</v>
      </c>
      <c r="F111" s="208">
        <f t="shared" si="21"/>
        <v>0</v>
      </c>
      <c r="G111" s="208">
        <f t="shared" si="21"/>
        <v>0</v>
      </c>
      <c r="H111" s="208">
        <f t="shared" si="21"/>
        <v>0</v>
      </c>
      <c r="I111" s="208">
        <f t="shared" si="21"/>
        <v>0</v>
      </c>
      <c r="J111" s="208">
        <f t="shared" si="21"/>
        <v>0</v>
      </c>
      <c r="K111" s="208">
        <f t="shared" si="21"/>
        <v>0</v>
      </c>
      <c r="L111" s="208">
        <f t="shared" si="21"/>
        <v>0</v>
      </c>
      <c r="M111" s="208">
        <f t="shared" si="21"/>
        <v>0</v>
      </c>
      <c r="N111" s="208">
        <f t="shared" si="21"/>
        <v>0</v>
      </c>
      <c r="O111" s="208">
        <f t="shared" si="21"/>
        <v>0</v>
      </c>
      <c r="P111" s="208">
        <f t="shared" si="21"/>
        <v>0</v>
      </c>
      <c r="Q111" s="208">
        <f t="shared" si="21"/>
        <v>0</v>
      </c>
      <c r="R111" s="208">
        <f t="shared" si="21"/>
        <v>0</v>
      </c>
      <c r="S111" s="208">
        <f t="shared" si="21"/>
        <v>0</v>
      </c>
      <c r="T111" s="208">
        <f t="shared" si="21"/>
        <v>0</v>
      </c>
      <c r="U111" s="208">
        <f t="shared" si="21"/>
        <v>0</v>
      </c>
      <c r="V111" s="208">
        <f t="shared" si="21"/>
        <v>0</v>
      </c>
    </row>
    <row r="112" spans="1:22" ht="14.25" x14ac:dyDescent="0.2">
      <c r="A112" s="1167" t="s">
        <v>753</v>
      </c>
      <c r="B112" s="1168"/>
      <c r="C112" s="1168"/>
      <c r="D112" s="209"/>
      <c r="E112" s="463">
        <f t="shared" ref="E112:V112" si="22">E36-E111</f>
        <v>0</v>
      </c>
      <c r="F112" s="463">
        <f t="shared" si="22"/>
        <v>0</v>
      </c>
      <c r="G112" s="463">
        <f t="shared" si="22"/>
        <v>0</v>
      </c>
      <c r="H112" s="463">
        <f t="shared" si="22"/>
        <v>0</v>
      </c>
      <c r="I112" s="463">
        <f t="shared" si="22"/>
        <v>0</v>
      </c>
      <c r="J112" s="463">
        <f t="shared" si="22"/>
        <v>0</v>
      </c>
      <c r="K112" s="463">
        <f t="shared" si="22"/>
        <v>0</v>
      </c>
      <c r="L112" s="463">
        <f t="shared" si="22"/>
        <v>0</v>
      </c>
      <c r="M112" s="463">
        <f t="shared" si="22"/>
        <v>0</v>
      </c>
      <c r="N112" s="463">
        <f t="shared" si="22"/>
        <v>0</v>
      </c>
      <c r="O112" s="463">
        <f t="shared" si="22"/>
        <v>0</v>
      </c>
      <c r="P112" s="463">
        <f t="shared" si="22"/>
        <v>0</v>
      </c>
      <c r="Q112" s="463">
        <f t="shared" si="22"/>
        <v>0</v>
      </c>
      <c r="R112" s="463">
        <f t="shared" si="22"/>
        <v>0</v>
      </c>
      <c r="S112" s="463">
        <f t="shared" si="22"/>
        <v>0</v>
      </c>
      <c r="T112" s="463">
        <f t="shared" si="22"/>
        <v>0</v>
      </c>
      <c r="U112" s="463">
        <f t="shared" si="22"/>
        <v>0</v>
      </c>
      <c r="V112" s="463">
        <f t="shared" si="22"/>
        <v>0</v>
      </c>
    </row>
    <row r="113" spans="1:22" ht="14.25" x14ac:dyDescent="0.2">
      <c r="A113" s="1167" t="s">
        <v>749</v>
      </c>
      <c r="B113" s="1168"/>
      <c r="C113" s="1168"/>
      <c r="D113" s="209"/>
      <c r="E113" s="463" t="e">
        <f t="shared" ref="E113:V113" si="23">E36/E111</f>
        <v>#DIV/0!</v>
      </c>
      <c r="F113" s="463" t="e">
        <f t="shared" si="23"/>
        <v>#DIV/0!</v>
      </c>
      <c r="G113" s="463" t="e">
        <f t="shared" si="23"/>
        <v>#DIV/0!</v>
      </c>
      <c r="H113" s="463" t="e">
        <f t="shared" si="23"/>
        <v>#DIV/0!</v>
      </c>
      <c r="I113" s="463" t="e">
        <f t="shared" si="23"/>
        <v>#DIV/0!</v>
      </c>
      <c r="J113" s="463" t="e">
        <f t="shared" si="23"/>
        <v>#DIV/0!</v>
      </c>
      <c r="K113" s="463" t="e">
        <f t="shared" si="23"/>
        <v>#DIV/0!</v>
      </c>
      <c r="L113" s="463" t="e">
        <f t="shared" si="23"/>
        <v>#DIV/0!</v>
      </c>
      <c r="M113" s="463" t="e">
        <f t="shared" si="23"/>
        <v>#DIV/0!</v>
      </c>
      <c r="N113" s="463" t="e">
        <f t="shared" si="23"/>
        <v>#DIV/0!</v>
      </c>
      <c r="O113" s="463" t="e">
        <f t="shared" si="23"/>
        <v>#DIV/0!</v>
      </c>
      <c r="P113" s="463" t="e">
        <f t="shared" si="23"/>
        <v>#DIV/0!</v>
      </c>
      <c r="Q113" s="463" t="e">
        <f t="shared" si="23"/>
        <v>#DIV/0!</v>
      </c>
      <c r="R113" s="463" t="e">
        <f t="shared" si="23"/>
        <v>#DIV/0!</v>
      </c>
      <c r="S113" s="463" t="e">
        <f t="shared" si="23"/>
        <v>#DIV/0!</v>
      </c>
      <c r="T113" s="463" t="e">
        <f t="shared" si="23"/>
        <v>#DIV/0!</v>
      </c>
      <c r="U113" s="463" t="e">
        <f t="shared" si="23"/>
        <v>#DIV/0!</v>
      </c>
      <c r="V113" s="463" t="e">
        <f t="shared" si="23"/>
        <v>#DIV/0!</v>
      </c>
    </row>
    <row r="114" spans="1:22" ht="15" hidden="1" x14ac:dyDescent="0.25">
      <c r="A114" s="1167" t="s">
        <v>752</v>
      </c>
      <c r="B114" s="1168"/>
      <c r="C114" s="1168"/>
      <c r="D114" s="207"/>
      <c r="E114" s="206">
        <f>-E112</f>
        <v>0</v>
      </c>
      <c r="F114" s="206" t="e">
        <f>+(F61)/(V61-E61)*E112</f>
        <v>#DIV/0!</v>
      </c>
      <c r="G114" s="206" t="e">
        <f>+(G61)/(#REF!-F61)*F112</f>
        <v>#REF!</v>
      </c>
      <c r="H114" s="206" t="e">
        <f>+(H61)/(V61-E61)*E112</f>
        <v>#DIV/0!</v>
      </c>
      <c r="I114" s="206" t="e">
        <f>+(I61)/(V61-E61)*E112</f>
        <v>#DIV/0!</v>
      </c>
      <c r="J114" s="206" t="e">
        <f>+(J61)/(V61-E61)*E112</f>
        <v>#DIV/0!</v>
      </c>
      <c r="K114" s="206" t="e">
        <f>+(K61)/(V61-E61)*E112</f>
        <v>#DIV/0!</v>
      </c>
      <c r="L114" s="206" t="e">
        <f>+(L61)/(V61-E61)*E112</f>
        <v>#DIV/0!</v>
      </c>
      <c r="M114" s="206" t="e">
        <f>+(M61)/(V61-E61)*E112</f>
        <v>#DIV/0!</v>
      </c>
      <c r="N114" s="206" t="e">
        <f>+(N61)/(V61-E61)*E112</f>
        <v>#DIV/0!</v>
      </c>
      <c r="O114" s="206" t="e">
        <f>+(O61)/(V61-E61)*E112</f>
        <v>#DIV/0!</v>
      </c>
      <c r="P114" s="206" t="e">
        <f>+(P61)/(V61-E61)*E112</f>
        <v>#DIV/0!</v>
      </c>
      <c r="Q114" s="206" t="e">
        <f>+(Q61)/(V61-E61)*E112</f>
        <v>#DIV/0!</v>
      </c>
      <c r="R114" s="206" t="e">
        <f>+(R61)/(V61-E61)*E112</f>
        <v>#DIV/0!</v>
      </c>
      <c r="S114" s="206" t="e">
        <f>+(S61)/(V61-E61)*E112</f>
        <v>#DIV/0!</v>
      </c>
      <c r="T114" s="206" t="e">
        <f>+(T61)/(V61-E61)*E112</f>
        <v>#DIV/0!</v>
      </c>
      <c r="U114" s="206" t="e">
        <f>+(U61)/(V61-E61)*E112</f>
        <v>#DIV/0!</v>
      </c>
      <c r="V114" s="204" t="e">
        <f>J114+O114+U114+E114</f>
        <v>#DIV/0!</v>
      </c>
    </row>
    <row r="115" spans="1:22" ht="15" hidden="1" x14ac:dyDescent="0.25">
      <c r="A115" s="1167" t="s">
        <v>751</v>
      </c>
      <c r="B115" s="1168"/>
      <c r="C115" s="1168"/>
      <c r="D115" s="205"/>
      <c r="E115" s="204">
        <f>-E112-E114</f>
        <v>0</v>
      </c>
      <c r="F115" s="204" t="e">
        <f t="shared" ref="F115:V115" si="24">F112+F114</f>
        <v>#DIV/0!</v>
      </c>
      <c r="G115" s="204" t="e">
        <f>G112+G114</f>
        <v>#REF!</v>
      </c>
      <c r="H115" s="204" t="e">
        <f t="shared" si="24"/>
        <v>#DIV/0!</v>
      </c>
      <c r="I115" s="204" t="e">
        <f t="shared" si="24"/>
        <v>#DIV/0!</v>
      </c>
      <c r="J115" s="204" t="e">
        <f t="shared" si="24"/>
        <v>#DIV/0!</v>
      </c>
      <c r="K115" s="204" t="e">
        <f t="shared" si="24"/>
        <v>#DIV/0!</v>
      </c>
      <c r="L115" s="204" t="e">
        <f t="shared" si="24"/>
        <v>#DIV/0!</v>
      </c>
      <c r="M115" s="204" t="e">
        <f t="shared" si="24"/>
        <v>#DIV/0!</v>
      </c>
      <c r="N115" s="204" t="e">
        <f t="shared" si="24"/>
        <v>#DIV/0!</v>
      </c>
      <c r="O115" s="204" t="e">
        <f t="shared" si="24"/>
        <v>#DIV/0!</v>
      </c>
      <c r="P115" s="204" t="e">
        <f t="shared" si="24"/>
        <v>#DIV/0!</v>
      </c>
      <c r="Q115" s="204" t="e">
        <f t="shared" si="24"/>
        <v>#DIV/0!</v>
      </c>
      <c r="R115" s="204" t="e">
        <f t="shared" si="24"/>
        <v>#DIV/0!</v>
      </c>
      <c r="S115" s="204" t="e">
        <f t="shared" si="24"/>
        <v>#DIV/0!</v>
      </c>
      <c r="T115" s="204" t="e">
        <f t="shared" si="24"/>
        <v>#DIV/0!</v>
      </c>
      <c r="U115" s="204" t="e">
        <f t="shared" si="24"/>
        <v>#DIV/0!</v>
      </c>
      <c r="V115" s="204" t="e">
        <f t="shared" si="24"/>
        <v>#DIV/0!</v>
      </c>
    </row>
    <row r="116" spans="1:22" s="199" customFormat="1" ht="15" hidden="1" thickBot="1" x14ac:dyDescent="0.25">
      <c r="A116" s="1170" t="s">
        <v>749</v>
      </c>
      <c r="B116" s="1171"/>
      <c r="C116" s="1171"/>
      <c r="D116" s="201"/>
      <c r="E116" s="200" t="e">
        <f t="shared" ref="E116:V116" si="25">E36/(E111-E114)</f>
        <v>#DIV/0!</v>
      </c>
      <c r="F116" s="200" t="e">
        <f t="shared" si="25"/>
        <v>#DIV/0!</v>
      </c>
      <c r="G116" s="200" t="e">
        <f t="shared" si="25"/>
        <v>#REF!</v>
      </c>
      <c r="H116" s="200" t="e">
        <f t="shared" si="25"/>
        <v>#DIV/0!</v>
      </c>
      <c r="I116" s="200" t="e">
        <f t="shared" si="25"/>
        <v>#DIV/0!</v>
      </c>
      <c r="J116" s="200" t="e">
        <f t="shared" si="25"/>
        <v>#DIV/0!</v>
      </c>
      <c r="K116" s="200" t="e">
        <f t="shared" si="25"/>
        <v>#DIV/0!</v>
      </c>
      <c r="L116" s="200" t="e">
        <f t="shared" si="25"/>
        <v>#DIV/0!</v>
      </c>
      <c r="M116" s="200" t="e">
        <f t="shared" si="25"/>
        <v>#DIV/0!</v>
      </c>
      <c r="N116" s="200" t="e">
        <f t="shared" si="25"/>
        <v>#DIV/0!</v>
      </c>
      <c r="O116" s="200" t="e">
        <f t="shared" si="25"/>
        <v>#DIV/0!</v>
      </c>
      <c r="P116" s="200" t="e">
        <f t="shared" si="25"/>
        <v>#DIV/0!</v>
      </c>
      <c r="Q116" s="200" t="e">
        <f t="shared" si="25"/>
        <v>#DIV/0!</v>
      </c>
      <c r="R116" s="200" t="e">
        <f t="shared" si="25"/>
        <v>#DIV/0!</v>
      </c>
      <c r="S116" s="200" t="e">
        <f t="shared" si="25"/>
        <v>#DIV/0!</v>
      </c>
      <c r="T116" s="200" t="e">
        <f t="shared" si="25"/>
        <v>#DIV/0!</v>
      </c>
      <c r="U116" s="200" t="e">
        <f t="shared" si="25"/>
        <v>#DIV/0!</v>
      </c>
      <c r="V116" s="200" t="e">
        <f t="shared" si="25"/>
        <v>#DIV/0!</v>
      </c>
    </row>
    <row r="117" spans="1:22" ht="15.75" x14ac:dyDescent="0.25">
      <c r="A117" s="25"/>
      <c r="B117" s="25"/>
      <c r="C117" s="25"/>
      <c r="D117" s="198"/>
      <c r="E117" s="25"/>
      <c r="F117" s="25"/>
      <c r="G117" s="25"/>
      <c r="J117" s="25"/>
      <c r="N117" s="25"/>
      <c r="P117" s="25"/>
      <c r="Q117" s="25"/>
      <c r="R117" s="25"/>
      <c r="S117" s="25"/>
      <c r="T117" s="25"/>
      <c r="U117" s="25"/>
    </row>
    <row r="118" spans="1:22" ht="15.75" x14ac:dyDescent="0.25">
      <c r="A118" s="298"/>
      <c r="B118" s="299"/>
      <c r="C118" s="1" t="s">
        <v>482</v>
      </c>
      <c r="D118" s="196"/>
      <c r="E118" s="194"/>
      <c r="F118" s="194"/>
      <c r="G118" s="194"/>
      <c r="J118" s="194"/>
      <c r="P118" s="25" t="s">
        <v>748</v>
      </c>
      <c r="R118" s="25" t="s">
        <v>747</v>
      </c>
      <c r="S118" s="194"/>
      <c r="U118" s="25" t="s">
        <v>746</v>
      </c>
    </row>
    <row r="119" spans="1:22" ht="15" x14ac:dyDescent="0.25">
      <c r="A119" s="298"/>
      <c r="B119" s="298"/>
      <c r="C119" s="197"/>
      <c r="D119" s="196"/>
      <c r="E119" s="194"/>
      <c r="F119" s="194"/>
      <c r="G119" s="194"/>
      <c r="J119" s="194"/>
      <c r="P119" s="194"/>
      <c r="R119" s="194"/>
      <c r="S119" s="194"/>
    </row>
    <row r="120" spans="1:22" ht="15.75" x14ac:dyDescent="0.25">
      <c r="A120" s="299"/>
      <c r="B120" s="299"/>
      <c r="C120" s="1104" t="s">
        <v>483</v>
      </c>
      <c r="D120" s="1104"/>
      <c r="E120" s="171"/>
      <c r="F120" s="171"/>
      <c r="G120" s="171"/>
      <c r="J120" s="167"/>
      <c r="N120" s="171"/>
      <c r="P120" s="1162" t="s">
        <v>745</v>
      </c>
      <c r="Q120" s="1162"/>
      <c r="R120" s="1162" t="s">
        <v>3</v>
      </c>
      <c r="S120" s="1162"/>
      <c r="T120" s="1162"/>
      <c r="U120" s="1162" t="s">
        <v>744</v>
      </c>
      <c r="V120" s="1162"/>
    </row>
    <row r="121" spans="1:22" ht="15.75" x14ac:dyDescent="0.25">
      <c r="A121" s="299"/>
      <c r="B121" s="299"/>
      <c r="C121" s="1169" t="s">
        <v>743</v>
      </c>
      <c r="D121" s="1169"/>
      <c r="E121" s="25"/>
      <c r="F121" s="25"/>
      <c r="G121" s="25"/>
      <c r="J121" s="52"/>
      <c r="N121" s="194"/>
      <c r="P121" s="1163" t="s">
        <v>742</v>
      </c>
      <c r="Q121" s="1163"/>
      <c r="R121" s="1163" t="s">
        <v>464</v>
      </c>
      <c r="S121" s="1163"/>
      <c r="T121" s="1163"/>
      <c r="U121" s="1166" t="s">
        <v>741</v>
      </c>
      <c r="V121" s="1166"/>
    </row>
  </sheetData>
  <mergeCells count="30">
    <mergeCell ref="A37:C37"/>
    <mergeCell ref="A61:C61"/>
    <mergeCell ref="A62:C62"/>
    <mergeCell ref="A110:C110"/>
    <mergeCell ref="A111:C111"/>
    <mergeCell ref="A2:D2"/>
    <mergeCell ref="A3:D3"/>
    <mergeCell ref="A4:D4"/>
    <mergeCell ref="A5:C6"/>
    <mergeCell ref="D5:D6"/>
    <mergeCell ref="F5:J5"/>
    <mergeCell ref="K5:O5"/>
    <mergeCell ref="P5:U5"/>
    <mergeCell ref="V5:V6"/>
    <mergeCell ref="A36:C36"/>
    <mergeCell ref="A7:C7"/>
    <mergeCell ref="E5:E6"/>
    <mergeCell ref="U120:V120"/>
    <mergeCell ref="P121:Q121"/>
    <mergeCell ref="R121:T121"/>
    <mergeCell ref="U121:V121"/>
    <mergeCell ref="A112:C112"/>
    <mergeCell ref="C120:D120"/>
    <mergeCell ref="C121:D121"/>
    <mergeCell ref="P120:Q120"/>
    <mergeCell ref="R120:T120"/>
    <mergeCell ref="A113:C113"/>
    <mergeCell ref="A114:C114"/>
    <mergeCell ref="A115:C115"/>
    <mergeCell ref="A116:C116"/>
  </mergeCells>
  <pageMargins left="0.25" right="1.35" top="0.25" bottom="0.3" header="0.3" footer="0.25"/>
  <pageSetup paperSize="132" scale="65" orientation="landscape" horizontalDpi="4294967293" verticalDpi="4294967293" r:id="rId1"/>
  <headerFooter>
    <oddFooter>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112"/>
  <sheetViews>
    <sheetView workbookViewId="0"/>
  </sheetViews>
  <sheetFormatPr defaultColWidth="9" defaultRowHeight="12.75" x14ac:dyDescent="0.2"/>
  <cols>
    <col min="1" max="1" width="5.375" style="192" customWidth="1"/>
    <col min="2" max="2" width="1.625" style="192" customWidth="1"/>
    <col min="3" max="3" width="51.375" style="192" customWidth="1"/>
    <col min="4" max="4" width="9" style="193"/>
    <col min="5" max="5" width="16.875" style="192" customWidth="1"/>
    <col min="6" max="19" width="15.125" style="192" customWidth="1"/>
    <col min="20" max="20" width="16.125" style="192" customWidth="1"/>
    <col min="21" max="21" width="16.875" style="192" customWidth="1"/>
    <col min="22" max="16384" width="9" style="192"/>
  </cols>
  <sheetData>
    <row r="1" spans="1:21" ht="22.5" x14ac:dyDescent="0.5">
      <c r="A1" s="230" t="s">
        <v>355</v>
      </c>
      <c r="B1" s="230"/>
      <c r="C1" s="230"/>
      <c r="D1" s="229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</row>
    <row r="2" spans="1:21" ht="16.5" x14ac:dyDescent="0.25">
      <c r="A2" s="1179" t="s">
        <v>400</v>
      </c>
      <c r="B2" s="1179"/>
      <c r="C2" s="1179"/>
      <c r="D2" s="1179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</row>
    <row r="3" spans="1:21" ht="16.5" x14ac:dyDescent="0.25">
      <c r="A3" s="1179" t="s">
        <v>784</v>
      </c>
      <c r="B3" s="1179"/>
      <c r="C3" s="1179"/>
      <c r="D3" s="1179"/>
      <c r="E3" s="227"/>
      <c r="F3" s="227"/>
      <c r="G3" s="227"/>
      <c r="H3" s="227"/>
      <c r="I3" s="227"/>
      <c r="J3" s="227"/>
      <c r="K3" s="227"/>
      <c r="L3" s="227"/>
      <c r="M3" s="227"/>
      <c r="N3" s="227"/>
      <c r="O3" s="227"/>
      <c r="P3" s="227"/>
      <c r="Q3" s="227"/>
      <c r="R3" s="227"/>
      <c r="S3" s="227"/>
      <c r="T3" s="227"/>
      <c r="U3" s="227"/>
    </row>
    <row r="4" spans="1:21" ht="16.5" x14ac:dyDescent="0.25">
      <c r="A4" s="1187">
        <v>43159</v>
      </c>
      <c r="B4" s="1187"/>
      <c r="C4" s="1187"/>
      <c r="D4" s="1187"/>
      <c r="E4" s="227"/>
      <c r="F4" s="227"/>
      <c r="G4" s="227"/>
      <c r="H4" s="227"/>
      <c r="I4" s="227"/>
      <c r="J4" s="227"/>
      <c r="K4" s="227"/>
      <c r="L4" s="227"/>
      <c r="M4" s="227"/>
      <c r="N4" s="227"/>
      <c r="O4" s="227"/>
      <c r="P4" s="227"/>
      <c r="Q4" s="227"/>
      <c r="R4" s="227"/>
      <c r="S4" s="227"/>
      <c r="T4" s="227"/>
      <c r="U4" s="227"/>
    </row>
    <row r="5" spans="1:21" s="225" customFormat="1" ht="14.25" x14ac:dyDescent="0.2">
      <c r="A5" s="1181" t="s">
        <v>783</v>
      </c>
      <c r="B5" s="1181"/>
      <c r="C5" s="1181"/>
      <c r="D5" s="1182" t="s">
        <v>782</v>
      </c>
      <c r="E5" s="1175" t="s">
        <v>781</v>
      </c>
      <c r="F5" s="1172" t="s">
        <v>780</v>
      </c>
      <c r="G5" s="1173"/>
      <c r="H5" s="1173"/>
      <c r="I5" s="1174"/>
      <c r="J5" s="1172" t="s">
        <v>779</v>
      </c>
      <c r="K5" s="1173"/>
      <c r="L5" s="1173"/>
      <c r="M5" s="1173"/>
      <c r="N5" s="1174"/>
      <c r="O5" s="1172" t="s">
        <v>778</v>
      </c>
      <c r="P5" s="1173"/>
      <c r="Q5" s="1173"/>
      <c r="R5" s="1173"/>
      <c r="S5" s="1173"/>
      <c r="T5" s="1174"/>
      <c r="U5" s="1175" t="s">
        <v>717</v>
      </c>
    </row>
    <row r="6" spans="1:21" s="225" customFormat="1" ht="28.5" x14ac:dyDescent="0.2">
      <c r="A6" s="1181"/>
      <c r="B6" s="1181"/>
      <c r="C6" s="1181"/>
      <c r="D6" s="1182"/>
      <c r="E6" s="1175"/>
      <c r="F6" s="226" t="s">
        <v>777</v>
      </c>
      <c r="G6" s="226" t="s">
        <v>776</v>
      </c>
      <c r="H6" s="226" t="s">
        <v>775</v>
      </c>
      <c r="I6" s="226" t="s">
        <v>774</v>
      </c>
      <c r="J6" s="226" t="s">
        <v>773</v>
      </c>
      <c r="K6" s="226" t="s">
        <v>772</v>
      </c>
      <c r="L6" s="226" t="s">
        <v>771</v>
      </c>
      <c r="M6" s="226" t="s">
        <v>770</v>
      </c>
      <c r="N6" s="226" t="s">
        <v>769</v>
      </c>
      <c r="O6" s="226" t="s">
        <v>768</v>
      </c>
      <c r="P6" s="226" t="s">
        <v>767</v>
      </c>
      <c r="Q6" s="226" t="s">
        <v>766</v>
      </c>
      <c r="R6" s="226" t="s">
        <v>765</v>
      </c>
      <c r="S6" s="226" t="s">
        <v>764</v>
      </c>
      <c r="T6" s="226" t="s">
        <v>763</v>
      </c>
      <c r="U6" s="1175"/>
    </row>
    <row r="7" spans="1:21" s="225" customFormat="1" ht="15.75" hidden="1" x14ac:dyDescent="0.25">
      <c r="A7" s="1176"/>
      <c r="B7" s="1177"/>
      <c r="C7" s="1178"/>
      <c r="D7" s="133"/>
      <c r="E7" s="133" t="s">
        <v>494</v>
      </c>
      <c r="F7" s="133" t="s">
        <v>487</v>
      </c>
      <c r="G7" s="133" t="s">
        <v>488</v>
      </c>
      <c r="H7" s="133" t="s">
        <v>505</v>
      </c>
      <c r="I7" s="133" t="s">
        <v>484</v>
      </c>
      <c r="J7" s="133" t="s">
        <v>490</v>
      </c>
      <c r="K7" s="133" t="s">
        <v>492</v>
      </c>
      <c r="L7" s="133" t="s">
        <v>491</v>
      </c>
      <c r="M7" s="133" t="s">
        <v>506</v>
      </c>
      <c r="N7" s="133" t="s">
        <v>485</v>
      </c>
      <c r="O7" s="133" t="s">
        <v>493</v>
      </c>
      <c r="P7" s="133" t="s">
        <v>503</v>
      </c>
      <c r="Q7" s="133" t="s">
        <v>502</v>
      </c>
      <c r="R7" s="133" t="s">
        <v>504</v>
      </c>
      <c r="S7" s="133" t="s">
        <v>507</v>
      </c>
      <c r="T7" s="133" t="s">
        <v>486</v>
      </c>
      <c r="U7" s="133" t="s">
        <v>762</v>
      </c>
    </row>
    <row r="8" spans="1:21" ht="15" x14ac:dyDescent="0.25">
      <c r="A8" s="224" t="s">
        <v>761</v>
      </c>
      <c r="B8" s="194"/>
      <c r="C8" s="194"/>
      <c r="D8" s="223"/>
      <c r="E8" s="222"/>
      <c r="F8" s="222"/>
      <c r="G8" s="222"/>
      <c r="H8" s="222"/>
      <c r="I8" s="222"/>
      <c r="J8" s="222"/>
      <c r="K8" s="222"/>
      <c r="L8" s="222"/>
      <c r="M8" s="222"/>
      <c r="N8" s="222"/>
      <c r="O8" s="222"/>
      <c r="P8" s="222"/>
      <c r="Q8" s="222"/>
      <c r="R8" s="222"/>
      <c r="S8" s="222"/>
      <c r="T8" s="222"/>
      <c r="U8" s="222"/>
    </row>
    <row r="9" spans="1:21" ht="15" x14ac:dyDescent="0.25">
      <c r="A9" s="212">
        <v>1</v>
      </c>
      <c r="B9" s="214" t="s">
        <v>756</v>
      </c>
      <c r="C9" s="194" t="e">
        <f t="shared" ref="C9:C31" si="0">IF(D9=0,"",(VLOOKUP((TRIM(D9)),Code,2,)))</f>
        <v>#N/A</v>
      </c>
      <c r="D9" s="207" t="s">
        <v>125</v>
      </c>
      <c r="E9" s="211">
        <f t="array" ref="E9">(SUM(IF((CkDJ[Date]=$A$4)*(CkDJ[Ofc Code]=(TRIM(E$7)))*(CkDJ[Account Code]=(TRIM($D9))),CkDJ[Credit])))+(SUM(IF((CsDJ[Date]=$A$4)*(CsDJ[Ofc Code]=(TRIM(E$7)))*(CsDJ[Account Code]=(TRIM($D9))),CsDJ[Credit])))+(SUM(IF((CRDJ[Date]=$A$4)*(CRDJ[Ofc Code]=(TRIM(E$7)))*(CRDJ[Account Code]=(TRIM($D9))),CRDJ[Credit])))+(SUM(IF((GJ[Date]=$A$4)*(GJ[Ofc Code]=(TRIM(E$7)))*(GJ[Account Code]=(TRIM($D9))),GJ[Credit])))-(SUM(IF((CkDJ[Date]=$A$4)*(CkDJ[Ofc Code]=(TRIM(E$7)))*(CkDJ[Account Code]=(TRIM($D9))),CkDJ[Debit])))+(SUM(IF((CsDJ[Date]=$A$4)*(CsDJ[Ofc Code]=(TRIM(E$7)))*(CsDJ[Account Code]=(TRIM($D9))),CsDJ[Debit])))+(SUM(IF((CRDJ[Date]=$A$4)*(CRDJ[Ofc Code]=(TRIM(E$7)))*(CRDJ[Account Code]=(TRIM($D9))),CRDJ[Debit])))+(SUM(IF((GJ[Date]=$A$4)*(GJ[Ofc Code]=(TRIM(E$7)))*(GJ[Account Code]=(TRIM($D9))),GJ[Debit])))</f>
        <v>0</v>
      </c>
      <c r="F9" s="211">
        <f t="array" ref="F9">(SUM(IF((CkDJ[Date]=$A$4)*(CkDJ[Ofc Code]=(TRIM(F$7)))*(CkDJ[Account Code]=(TRIM($D9))),CkDJ[Credit])))+(SUM(IF((CsDJ[Date]=$A$4)*(CsDJ[Ofc Code]=(TRIM(F$7)))*(CsDJ[Account Code]=(TRIM($D9))),CsDJ[Credit])))+(SUM(IF((CRDJ[Date]=$A$4)*(CRDJ[Ofc Code]=(TRIM(F$7)))*(CRDJ[Account Code]=(TRIM($D9))),CRDJ[Credit])))+(SUM(IF((GJ[Date]=$A$4)*(GJ[Ofc Code]=(TRIM(F$7)))*(GJ[Account Code]=(TRIM($D9))),GJ[Credit])))-(SUM(IF((CkDJ[Date]=$A$4)*(CkDJ[Ofc Code]=(TRIM(F$7)))*(CkDJ[Account Code]=(TRIM($D9))),CkDJ[Debit])))+(SUM(IF((CsDJ[Date]=$A$4)*(CsDJ[Ofc Code]=(TRIM(F$7)))*(CsDJ[Account Code]=(TRIM($D9))),CsDJ[Debit])))+(SUM(IF((CRDJ[Date]=$A$4)*(CRDJ[Ofc Code]=(TRIM(F$7)))*(CRDJ[Account Code]=(TRIM($D9))),CRDJ[Debit])))+(SUM(IF((GJ[Date]=$A$4)*(GJ[Ofc Code]=(TRIM(F$7)))*(GJ[Account Code]=(TRIM($D9))),GJ[Debit])))</f>
        <v>0</v>
      </c>
      <c r="G9" s="211">
        <f t="array" ref="G9">(SUM(IF((CkDJ[Date]=$A$4)*(CkDJ[Ofc Code]=(TRIM(G$7)))*(CkDJ[Account Code]=(TRIM($D9))),CkDJ[Credit])))+(SUM(IF((CsDJ[Date]=$A$4)*(CsDJ[Ofc Code]=(TRIM(G$7)))*(CsDJ[Account Code]=(TRIM($D9))),CsDJ[Credit])))+(SUM(IF((CRDJ[Date]=$A$4)*(CRDJ[Ofc Code]=(TRIM(G$7)))*(CRDJ[Account Code]=(TRIM($D9))),CRDJ[Credit])))+(SUM(IF((GJ[Date]=$A$4)*(GJ[Ofc Code]=(TRIM(G$7)))*(GJ[Account Code]=(TRIM($D9))),GJ[Credit])))-(SUM(IF((CkDJ[Date]=$A$4)*(CkDJ[Ofc Code]=(TRIM(G$7)))*(CkDJ[Account Code]=(TRIM($D9))),CkDJ[Debit])))+(SUM(IF((CsDJ[Date]=$A$4)*(CsDJ[Ofc Code]=(TRIM(G$7)))*(CsDJ[Account Code]=(TRIM($D9))),CsDJ[Debit])))+(SUM(IF((CRDJ[Date]=$A$4)*(CRDJ[Ofc Code]=(TRIM(G$7)))*(CRDJ[Account Code]=(TRIM($D9))),CRDJ[Debit])))+(SUM(IF((GJ[Date]=$A$4)*(GJ[Ofc Code]=(TRIM(G$7)))*(GJ[Account Code]=(TRIM($D9))),GJ[Debit])))</f>
        <v>0</v>
      </c>
      <c r="H9" s="211">
        <f t="array" ref="H9">(SUM(IF((CkDJ[Date]=$A$4)*(CkDJ[Ofc Code]=(TRIM(H$7)))*(CkDJ[Account Code]=(TRIM($D9))),CkDJ[Credit])))+(SUM(IF((CsDJ[Date]=$A$4)*(CsDJ[Ofc Code]=(TRIM(H$7)))*(CsDJ[Account Code]=(TRIM($D9))),CsDJ[Credit])))+(SUM(IF((CRDJ[Date]=$A$4)*(CRDJ[Ofc Code]=(TRIM(H$7)))*(CRDJ[Account Code]=(TRIM($D9))),CRDJ[Credit])))+(SUM(IF((GJ[Date]=$A$4)*(GJ[Ofc Code]=(TRIM(H$7)))*(GJ[Account Code]=(TRIM($D9))),GJ[Credit])))-(SUM(IF((CkDJ[Date]=$A$4)*(CkDJ[Ofc Code]=(TRIM(H$7)))*(CkDJ[Account Code]=(TRIM($D9))),CkDJ[Debit])))+(SUM(IF((CsDJ[Date]=$A$4)*(CsDJ[Ofc Code]=(TRIM(H$7)))*(CsDJ[Account Code]=(TRIM($D9))),CsDJ[Debit])))+(SUM(IF((CRDJ[Date]=$A$4)*(CRDJ[Ofc Code]=(TRIM(H$7)))*(CRDJ[Account Code]=(TRIM($D9))),CRDJ[Debit])))+(SUM(IF((GJ[Date]=$A$4)*(GJ[Ofc Code]=(TRIM(H$7)))*(GJ[Account Code]=(TRIM($D9))),GJ[Debit])))</f>
        <v>0</v>
      </c>
      <c r="I9" s="211">
        <f t="shared" ref="I9:I31" si="1">SUM(F9:H9)</f>
        <v>0</v>
      </c>
      <c r="J9" s="211">
        <f t="array" ref="J9">(SUM(IF((CkDJ[Date]=$A$4)*(CkDJ[Ofc Code]=(TRIM(J$7)))*(CkDJ[Account Code]=(TRIM($D9))),CkDJ[Credit])))+(SUM(IF((CsDJ[Date]=$A$4)*(CsDJ[Ofc Code]=(TRIM(J$7)))*(CsDJ[Account Code]=(TRIM($D9))),CsDJ[Credit])))+(SUM(IF((CRDJ[Date]=$A$4)*(CRDJ[Ofc Code]=(TRIM(J$7)))*(CRDJ[Account Code]=(TRIM($D9))),CRDJ[Credit])))+(SUM(IF((GJ[Date]=$A$4)*(GJ[Ofc Code]=(TRIM(J$7)))*(GJ[Account Code]=(TRIM($D9))),GJ[Credit])))-(SUM(IF((CkDJ[Date]=$A$4)*(CkDJ[Ofc Code]=(TRIM(J$7)))*(CkDJ[Account Code]=(TRIM($D9))),CkDJ[Debit])))+(SUM(IF((CsDJ[Date]=$A$4)*(CsDJ[Ofc Code]=(TRIM(J$7)))*(CsDJ[Account Code]=(TRIM($D9))),CsDJ[Debit])))+(SUM(IF((CRDJ[Date]=$A$4)*(CRDJ[Ofc Code]=(TRIM(J$7)))*(CRDJ[Account Code]=(TRIM($D9))),CRDJ[Debit])))+(SUM(IF((GJ[Date]=$A$4)*(GJ[Ofc Code]=(TRIM(J$7)))*(GJ[Account Code]=(TRIM($D9))),GJ[Debit])))</f>
        <v>0</v>
      </c>
      <c r="K9" s="211">
        <f t="array" ref="K9">(SUM(IF((CkDJ[Date]=$A$4)*(CkDJ[Ofc Code]=(TRIM(K$7)))*(CkDJ[Account Code]=(TRIM($D9))),CkDJ[Credit])))+(SUM(IF((CsDJ[Date]=$A$4)*(CsDJ[Ofc Code]=(TRIM(K$7)))*(CsDJ[Account Code]=(TRIM($D9))),CsDJ[Credit])))+(SUM(IF((CRDJ[Date]=$A$4)*(CRDJ[Ofc Code]=(TRIM(K$7)))*(CRDJ[Account Code]=(TRIM($D9))),CRDJ[Credit])))+(SUM(IF((GJ[Date]=$A$4)*(GJ[Ofc Code]=(TRIM(K$7)))*(GJ[Account Code]=(TRIM($D9))),GJ[Credit])))-(SUM(IF((CkDJ[Date]=$A$4)*(CkDJ[Ofc Code]=(TRIM(K$7)))*(CkDJ[Account Code]=(TRIM($D9))),CkDJ[Debit])))+(SUM(IF((CsDJ[Date]=$A$4)*(CsDJ[Ofc Code]=(TRIM(K$7)))*(CsDJ[Account Code]=(TRIM($D9))),CsDJ[Debit])))+(SUM(IF((CRDJ[Date]=$A$4)*(CRDJ[Ofc Code]=(TRIM(K$7)))*(CRDJ[Account Code]=(TRIM($D9))),CRDJ[Debit])))+(SUM(IF((GJ[Date]=$A$4)*(GJ[Ofc Code]=(TRIM(K$7)))*(GJ[Account Code]=(TRIM($D9))),GJ[Debit])))</f>
        <v>0</v>
      </c>
      <c r="L9" s="211">
        <f t="array" ref="L9">(SUM(IF((CkDJ[Date]=$A$4)*(CkDJ[Ofc Code]=(TRIM(L$7)))*(CkDJ[Account Code]=(TRIM($D9))),CkDJ[Credit])))+(SUM(IF((CsDJ[Date]=$A$4)*(CsDJ[Ofc Code]=(TRIM(L$7)))*(CsDJ[Account Code]=(TRIM($D9))),CsDJ[Credit])))+(SUM(IF((CRDJ[Date]=$A$4)*(CRDJ[Ofc Code]=(TRIM(L$7)))*(CRDJ[Account Code]=(TRIM($D9))),CRDJ[Credit])))+(SUM(IF((GJ[Date]=$A$4)*(GJ[Ofc Code]=(TRIM(L$7)))*(GJ[Account Code]=(TRIM($D9))),GJ[Credit])))-(SUM(IF((CkDJ[Date]=$A$4)*(CkDJ[Ofc Code]=(TRIM(L$7)))*(CkDJ[Account Code]=(TRIM($D9))),CkDJ[Debit])))+(SUM(IF((CsDJ[Date]=$A$4)*(CsDJ[Ofc Code]=(TRIM(L$7)))*(CsDJ[Account Code]=(TRIM($D9))),CsDJ[Debit])))+(SUM(IF((CRDJ[Date]=$A$4)*(CRDJ[Ofc Code]=(TRIM(L$7)))*(CRDJ[Account Code]=(TRIM($D9))),CRDJ[Debit])))+(SUM(IF((GJ[Date]=$A$4)*(GJ[Ofc Code]=(TRIM(L$7)))*(GJ[Account Code]=(TRIM($D9))),GJ[Debit])))</f>
        <v>0</v>
      </c>
      <c r="M9" s="211">
        <f t="array" ref="M9">(SUM(IF((CkDJ[Date]=$A$4)*(CkDJ[Ofc Code]=(TRIM(M$7)))*(CkDJ[Account Code]=(TRIM($D9))),CkDJ[Credit])))+(SUM(IF((CsDJ[Date]=$A$4)*(CsDJ[Ofc Code]=(TRIM(M$7)))*(CsDJ[Account Code]=(TRIM($D9))),CsDJ[Credit])))+(SUM(IF((CRDJ[Date]=$A$4)*(CRDJ[Ofc Code]=(TRIM(M$7)))*(CRDJ[Account Code]=(TRIM($D9))),CRDJ[Credit])))+(SUM(IF((GJ[Date]=$A$4)*(GJ[Ofc Code]=(TRIM(M$7)))*(GJ[Account Code]=(TRIM($D9))),GJ[Credit])))-(SUM(IF((CkDJ[Date]=$A$4)*(CkDJ[Ofc Code]=(TRIM(M$7)))*(CkDJ[Account Code]=(TRIM($D9))),CkDJ[Debit])))+(SUM(IF((CsDJ[Date]=$A$4)*(CsDJ[Ofc Code]=(TRIM(M$7)))*(CsDJ[Account Code]=(TRIM($D9))),CsDJ[Debit])))+(SUM(IF((CRDJ[Date]=$A$4)*(CRDJ[Ofc Code]=(TRIM(M$7)))*(CRDJ[Account Code]=(TRIM($D9))),CRDJ[Debit])))+(SUM(IF((GJ[Date]=$A$4)*(GJ[Ofc Code]=(TRIM(M$7)))*(GJ[Account Code]=(TRIM($D9))),GJ[Debit])))</f>
        <v>0</v>
      </c>
      <c r="N9" s="211">
        <f t="shared" ref="N9:N31" si="2">SUM(J9:M9)</f>
        <v>0</v>
      </c>
      <c r="O9" s="211">
        <f t="array" ref="O9">(SUM(IF((CkDJ[Date]=$A$4)*(CkDJ[Ofc Code]=(TRIM(O$7)))*(CkDJ[Account Code]=(TRIM($D9))),CkDJ[Credit])))+(SUM(IF((CsDJ[Date]=$A$4)*(CsDJ[Ofc Code]=(TRIM(O$7)))*(CsDJ[Account Code]=(TRIM($D9))),CsDJ[Credit])))+(SUM(IF((CRDJ[Date]=$A$4)*(CRDJ[Ofc Code]=(TRIM(O$7)))*(CRDJ[Account Code]=(TRIM($D9))),CRDJ[Credit])))+(SUM(IF((GJ[Date]=$A$4)*(GJ[Ofc Code]=(TRIM(O$7)))*(GJ[Account Code]=(TRIM($D9))),GJ[Credit])))-(SUM(IF((CkDJ[Date]=$A$4)*(CkDJ[Ofc Code]=(TRIM(O$7)))*(CkDJ[Account Code]=(TRIM($D9))),CkDJ[Debit])))+(SUM(IF((CsDJ[Date]=$A$4)*(CsDJ[Ofc Code]=(TRIM(O$7)))*(CsDJ[Account Code]=(TRIM($D9))),CsDJ[Debit])))+(SUM(IF((CRDJ[Date]=$A$4)*(CRDJ[Ofc Code]=(TRIM(O$7)))*(CRDJ[Account Code]=(TRIM($D9))),CRDJ[Debit])))+(SUM(IF((GJ[Date]=$A$4)*(GJ[Ofc Code]=(TRIM(O$7)))*(GJ[Account Code]=(TRIM($D9))),GJ[Debit])))</f>
        <v>0</v>
      </c>
      <c r="P9" s="211">
        <f t="array" ref="P9">(SUM(IF((CkDJ[Date]=$A$4)*(CkDJ[Ofc Code]=(TRIM(P$7)))*(CkDJ[Account Code]=(TRIM($D9))),CkDJ[Credit])))+(SUM(IF((CsDJ[Date]=$A$4)*(CsDJ[Ofc Code]=(TRIM(P$7)))*(CsDJ[Account Code]=(TRIM($D9))),CsDJ[Credit])))+(SUM(IF((CRDJ[Date]=$A$4)*(CRDJ[Ofc Code]=(TRIM(P$7)))*(CRDJ[Account Code]=(TRIM($D9))),CRDJ[Credit])))+(SUM(IF((GJ[Date]=$A$4)*(GJ[Ofc Code]=(TRIM(P$7)))*(GJ[Account Code]=(TRIM($D9))),GJ[Credit])))-(SUM(IF((CkDJ[Date]=$A$4)*(CkDJ[Ofc Code]=(TRIM(P$7)))*(CkDJ[Account Code]=(TRIM($D9))),CkDJ[Debit])))+(SUM(IF((CsDJ[Date]=$A$4)*(CsDJ[Ofc Code]=(TRIM(P$7)))*(CsDJ[Account Code]=(TRIM($D9))),CsDJ[Debit])))+(SUM(IF((CRDJ[Date]=$A$4)*(CRDJ[Ofc Code]=(TRIM(P$7)))*(CRDJ[Account Code]=(TRIM($D9))),CRDJ[Debit])))+(SUM(IF((GJ[Date]=$A$4)*(GJ[Ofc Code]=(TRIM(P$7)))*(GJ[Account Code]=(TRIM($D9))),GJ[Debit])))</f>
        <v>0</v>
      </c>
      <c r="Q9" s="211">
        <f t="array" ref="Q9">(SUM(IF((CkDJ[Date]=$A$4)*(CkDJ[Ofc Code]=(TRIM(Q$7)))*(CkDJ[Account Code]=(TRIM($D9))),CkDJ[Credit])))+(SUM(IF((CsDJ[Date]=$A$4)*(CsDJ[Ofc Code]=(TRIM(Q$7)))*(CsDJ[Account Code]=(TRIM($D9))),CsDJ[Credit])))+(SUM(IF((CRDJ[Date]=$A$4)*(CRDJ[Ofc Code]=(TRIM(Q$7)))*(CRDJ[Account Code]=(TRIM($D9))),CRDJ[Credit])))+(SUM(IF((GJ[Date]=$A$4)*(GJ[Ofc Code]=(TRIM(Q$7)))*(GJ[Account Code]=(TRIM($D9))),GJ[Credit])))-(SUM(IF((CkDJ[Date]=$A$4)*(CkDJ[Ofc Code]=(TRIM(Q$7)))*(CkDJ[Account Code]=(TRIM($D9))),CkDJ[Debit])))+(SUM(IF((CsDJ[Date]=$A$4)*(CsDJ[Ofc Code]=(TRIM(Q$7)))*(CsDJ[Account Code]=(TRIM($D9))),CsDJ[Debit])))+(SUM(IF((CRDJ[Date]=$A$4)*(CRDJ[Ofc Code]=(TRIM(Q$7)))*(CRDJ[Account Code]=(TRIM($D9))),CRDJ[Debit])))+(SUM(IF((GJ[Date]=$A$4)*(GJ[Ofc Code]=(TRIM(Q$7)))*(GJ[Account Code]=(TRIM($D9))),GJ[Debit])))</f>
        <v>0</v>
      </c>
      <c r="R9" s="211">
        <f t="array" ref="R9">(SUM(IF((CkDJ[Date]=$A$4)*(CkDJ[Ofc Code]=(TRIM(R$7)))*(CkDJ[Account Code]=(TRIM($D9))),CkDJ[Credit])))+(SUM(IF((CsDJ[Date]=$A$4)*(CsDJ[Ofc Code]=(TRIM(R$7)))*(CsDJ[Account Code]=(TRIM($D9))),CsDJ[Credit])))+(SUM(IF((CRDJ[Date]=$A$4)*(CRDJ[Ofc Code]=(TRIM(R$7)))*(CRDJ[Account Code]=(TRIM($D9))),CRDJ[Credit])))+(SUM(IF((GJ[Date]=$A$4)*(GJ[Ofc Code]=(TRIM(R$7)))*(GJ[Account Code]=(TRIM($D9))),GJ[Credit])))-(SUM(IF((CkDJ[Date]=$A$4)*(CkDJ[Ofc Code]=(TRIM(R$7)))*(CkDJ[Account Code]=(TRIM($D9))),CkDJ[Debit])))+(SUM(IF((CsDJ[Date]=$A$4)*(CsDJ[Ofc Code]=(TRIM(R$7)))*(CsDJ[Account Code]=(TRIM($D9))),CsDJ[Debit])))+(SUM(IF((CRDJ[Date]=$A$4)*(CRDJ[Ofc Code]=(TRIM(R$7)))*(CRDJ[Account Code]=(TRIM($D9))),CRDJ[Debit])))+(SUM(IF((GJ[Date]=$A$4)*(GJ[Ofc Code]=(TRIM(R$7)))*(GJ[Account Code]=(TRIM($D9))),GJ[Debit])))</f>
        <v>0</v>
      </c>
      <c r="S9" s="211">
        <f t="array" ref="S9">(SUM(IF((CkDJ[Date]=$A$4)*(CkDJ[Ofc Code]=(TRIM(S$7)))*(CkDJ[Account Code]=(TRIM($D9))),CkDJ[Credit])))+(SUM(IF((CsDJ[Date]=$A$4)*(CsDJ[Ofc Code]=(TRIM(S$7)))*(CsDJ[Account Code]=(TRIM($D9))),CsDJ[Credit])))+(SUM(IF((CRDJ[Date]=$A$4)*(CRDJ[Ofc Code]=(TRIM(S$7)))*(CRDJ[Account Code]=(TRIM($D9))),CRDJ[Credit])))+(SUM(IF((GJ[Date]=$A$4)*(GJ[Ofc Code]=(TRIM(S$7)))*(GJ[Account Code]=(TRIM($D9))),GJ[Credit])))-(SUM(IF((CkDJ[Date]=$A$4)*(CkDJ[Ofc Code]=(TRIM(S$7)))*(CkDJ[Account Code]=(TRIM($D9))),CkDJ[Debit])))+(SUM(IF((CsDJ[Date]=$A$4)*(CsDJ[Ofc Code]=(TRIM(S$7)))*(CsDJ[Account Code]=(TRIM($D9))),CsDJ[Debit])))+(SUM(IF((CRDJ[Date]=$A$4)*(CRDJ[Ofc Code]=(TRIM(S$7)))*(CRDJ[Account Code]=(TRIM($D9))),CRDJ[Debit])))+(SUM(IF((GJ[Date]=$A$4)*(GJ[Ofc Code]=(TRIM(S$7)))*(GJ[Account Code]=(TRIM($D9))),GJ[Debit])))</f>
        <v>0</v>
      </c>
      <c r="T9" s="211">
        <f t="shared" ref="T9:T31" si="3">SUM(O9:S9)</f>
        <v>0</v>
      </c>
      <c r="U9" s="211">
        <f t="shared" ref="U9:U31" si="4">E9+I9+N9+T9</f>
        <v>0</v>
      </c>
    </row>
    <row r="10" spans="1:21" ht="15" x14ac:dyDescent="0.25">
      <c r="A10" s="212">
        <f t="shared" ref="A10:A31" si="5">1+A9</f>
        <v>2</v>
      </c>
      <c r="B10" s="214" t="s">
        <v>756</v>
      </c>
      <c r="C10" s="194" t="str">
        <f t="shared" si="0"/>
        <v>Other Service Income - Irrigation Service Fee (Back Account)</v>
      </c>
      <c r="D10" s="207" t="s">
        <v>126</v>
      </c>
      <c r="E10" s="211">
        <f t="array" ref="E10">(SUM(IF((CkDJ[Date]=$A$4)*(CkDJ[Ofc Code]=(TRIM(E$7)))*(CkDJ[Account Code]=(TRIM($D10))),CkDJ[Credit])))+(SUM(IF((CsDJ[Date]=$A$4)*(CsDJ[Ofc Code]=(TRIM(E$7)))*(CsDJ[Account Code]=(TRIM($D10))),CsDJ[Credit])))+(SUM(IF((CRDJ[Date]=$A$4)*(CRDJ[Ofc Code]=(TRIM(E$7)))*(CRDJ[Account Code]=(TRIM($D10))),CRDJ[Credit])))+(SUM(IF((GJ[Date]=$A$4)*(GJ[Ofc Code]=(TRIM(E$7)))*(GJ[Account Code]=(TRIM($D10))),GJ[Credit])))-(SUM(IF((CkDJ[Date]=$A$4)*(CkDJ[Ofc Code]=(TRIM(E$7)))*(CkDJ[Account Code]=(TRIM($D10))),CkDJ[Debit])))+(SUM(IF((CsDJ[Date]=$A$4)*(CsDJ[Ofc Code]=(TRIM(E$7)))*(CsDJ[Account Code]=(TRIM($D10))),CsDJ[Debit])))+(SUM(IF((CRDJ[Date]=$A$4)*(CRDJ[Ofc Code]=(TRIM(E$7)))*(CRDJ[Account Code]=(TRIM($D10))),CRDJ[Debit])))+(SUM(IF((GJ[Date]=$A$4)*(GJ[Ofc Code]=(TRIM(E$7)))*(GJ[Account Code]=(TRIM($D10))),GJ[Debit])))</f>
        <v>0</v>
      </c>
      <c r="F10" s="211">
        <f t="array" ref="F10">(SUM(IF((CkDJ[Date]=$A$4)*(CkDJ[Ofc Code]=(TRIM(F$7)))*(CkDJ[Account Code]=(TRIM($D10))),CkDJ[Credit])))+(SUM(IF((CsDJ[Date]=$A$4)*(CsDJ[Ofc Code]=(TRIM(F$7)))*(CsDJ[Account Code]=(TRIM($D10))),CsDJ[Credit])))+(SUM(IF((CRDJ[Date]=$A$4)*(CRDJ[Ofc Code]=(TRIM(F$7)))*(CRDJ[Account Code]=(TRIM($D10))),CRDJ[Credit])))+(SUM(IF((GJ[Date]=$A$4)*(GJ[Ofc Code]=(TRIM(F$7)))*(GJ[Account Code]=(TRIM($D10))),GJ[Credit])))-(SUM(IF((CkDJ[Date]=$A$4)*(CkDJ[Ofc Code]=(TRIM(F$7)))*(CkDJ[Account Code]=(TRIM($D10))),CkDJ[Debit])))+(SUM(IF((CsDJ[Date]=$A$4)*(CsDJ[Ofc Code]=(TRIM(F$7)))*(CsDJ[Account Code]=(TRIM($D10))),CsDJ[Debit])))+(SUM(IF((CRDJ[Date]=$A$4)*(CRDJ[Ofc Code]=(TRIM(F$7)))*(CRDJ[Account Code]=(TRIM($D10))),CRDJ[Debit])))+(SUM(IF((GJ[Date]=$A$4)*(GJ[Ofc Code]=(TRIM(F$7)))*(GJ[Account Code]=(TRIM($D10))),GJ[Debit])))</f>
        <v>0</v>
      </c>
      <c r="G10" s="211">
        <f t="array" ref="G10">(SUM(IF((CkDJ[Date]=$A$4)*(CkDJ[Ofc Code]=(TRIM(G$7)))*(CkDJ[Account Code]=(TRIM($D10))),CkDJ[Credit])))+(SUM(IF((CsDJ[Date]=$A$4)*(CsDJ[Ofc Code]=(TRIM(G$7)))*(CsDJ[Account Code]=(TRIM($D10))),CsDJ[Credit])))+(SUM(IF((CRDJ[Date]=$A$4)*(CRDJ[Ofc Code]=(TRIM(G$7)))*(CRDJ[Account Code]=(TRIM($D10))),CRDJ[Credit])))+(SUM(IF((GJ[Date]=$A$4)*(GJ[Ofc Code]=(TRIM(G$7)))*(GJ[Account Code]=(TRIM($D10))),GJ[Credit])))-(SUM(IF((CkDJ[Date]=$A$4)*(CkDJ[Ofc Code]=(TRIM(G$7)))*(CkDJ[Account Code]=(TRIM($D10))),CkDJ[Debit])))+(SUM(IF((CsDJ[Date]=$A$4)*(CsDJ[Ofc Code]=(TRIM(G$7)))*(CsDJ[Account Code]=(TRIM($D10))),CsDJ[Debit])))+(SUM(IF((CRDJ[Date]=$A$4)*(CRDJ[Ofc Code]=(TRIM(G$7)))*(CRDJ[Account Code]=(TRIM($D10))),CRDJ[Debit])))+(SUM(IF((GJ[Date]=$A$4)*(GJ[Ofc Code]=(TRIM(G$7)))*(GJ[Account Code]=(TRIM($D10))),GJ[Debit])))</f>
        <v>0</v>
      </c>
      <c r="H10" s="211">
        <f t="array" ref="H10">(SUM(IF((CkDJ[Date]=$A$4)*(CkDJ[Ofc Code]=(TRIM(H$7)))*(CkDJ[Account Code]=(TRIM($D10))),CkDJ[Credit])))+(SUM(IF((CsDJ[Date]=$A$4)*(CsDJ[Ofc Code]=(TRIM(H$7)))*(CsDJ[Account Code]=(TRIM($D10))),CsDJ[Credit])))+(SUM(IF((CRDJ[Date]=$A$4)*(CRDJ[Ofc Code]=(TRIM(H$7)))*(CRDJ[Account Code]=(TRIM($D10))),CRDJ[Credit])))+(SUM(IF((GJ[Date]=$A$4)*(GJ[Ofc Code]=(TRIM(H$7)))*(GJ[Account Code]=(TRIM($D10))),GJ[Credit])))-(SUM(IF((CkDJ[Date]=$A$4)*(CkDJ[Ofc Code]=(TRIM(H$7)))*(CkDJ[Account Code]=(TRIM($D10))),CkDJ[Debit])))+(SUM(IF((CsDJ[Date]=$A$4)*(CsDJ[Ofc Code]=(TRIM(H$7)))*(CsDJ[Account Code]=(TRIM($D10))),CsDJ[Debit])))+(SUM(IF((CRDJ[Date]=$A$4)*(CRDJ[Ofc Code]=(TRIM(H$7)))*(CRDJ[Account Code]=(TRIM($D10))),CRDJ[Debit])))+(SUM(IF((GJ[Date]=$A$4)*(GJ[Ofc Code]=(TRIM(H$7)))*(GJ[Account Code]=(TRIM($D10))),GJ[Debit])))</f>
        <v>0</v>
      </c>
      <c r="I10" s="211">
        <f t="shared" si="1"/>
        <v>0</v>
      </c>
      <c r="J10" s="211">
        <f t="array" ref="J10">(SUM(IF((CkDJ[Date]=$A$4)*(CkDJ[Ofc Code]=(TRIM(J$7)))*(CkDJ[Account Code]=(TRIM($D10))),CkDJ[Credit])))+(SUM(IF((CsDJ[Date]=$A$4)*(CsDJ[Ofc Code]=(TRIM(J$7)))*(CsDJ[Account Code]=(TRIM($D10))),CsDJ[Credit])))+(SUM(IF((CRDJ[Date]=$A$4)*(CRDJ[Ofc Code]=(TRIM(J$7)))*(CRDJ[Account Code]=(TRIM($D10))),CRDJ[Credit])))+(SUM(IF((GJ[Date]=$A$4)*(GJ[Ofc Code]=(TRIM(J$7)))*(GJ[Account Code]=(TRIM($D10))),GJ[Credit])))-(SUM(IF((CkDJ[Date]=$A$4)*(CkDJ[Ofc Code]=(TRIM(J$7)))*(CkDJ[Account Code]=(TRIM($D10))),CkDJ[Debit])))+(SUM(IF((CsDJ[Date]=$A$4)*(CsDJ[Ofc Code]=(TRIM(J$7)))*(CsDJ[Account Code]=(TRIM($D10))),CsDJ[Debit])))+(SUM(IF((CRDJ[Date]=$A$4)*(CRDJ[Ofc Code]=(TRIM(J$7)))*(CRDJ[Account Code]=(TRIM($D10))),CRDJ[Debit])))+(SUM(IF((GJ[Date]=$A$4)*(GJ[Ofc Code]=(TRIM(J$7)))*(GJ[Account Code]=(TRIM($D10))),GJ[Debit])))</f>
        <v>0</v>
      </c>
      <c r="K10" s="211">
        <f t="array" ref="K10">(SUM(IF((CkDJ[Date]=$A$4)*(CkDJ[Ofc Code]=(TRIM(K$7)))*(CkDJ[Account Code]=(TRIM($D10))),CkDJ[Credit])))+(SUM(IF((CsDJ[Date]=$A$4)*(CsDJ[Ofc Code]=(TRIM(K$7)))*(CsDJ[Account Code]=(TRIM($D10))),CsDJ[Credit])))+(SUM(IF((CRDJ[Date]=$A$4)*(CRDJ[Ofc Code]=(TRIM(K$7)))*(CRDJ[Account Code]=(TRIM($D10))),CRDJ[Credit])))+(SUM(IF((GJ[Date]=$A$4)*(GJ[Ofc Code]=(TRIM(K$7)))*(GJ[Account Code]=(TRIM($D10))),GJ[Credit])))-(SUM(IF((CkDJ[Date]=$A$4)*(CkDJ[Ofc Code]=(TRIM(K$7)))*(CkDJ[Account Code]=(TRIM($D10))),CkDJ[Debit])))+(SUM(IF((CsDJ[Date]=$A$4)*(CsDJ[Ofc Code]=(TRIM(K$7)))*(CsDJ[Account Code]=(TRIM($D10))),CsDJ[Debit])))+(SUM(IF((CRDJ[Date]=$A$4)*(CRDJ[Ofc Code]=(TRIM(K$7)))*(CRDJ[Account Code]=(TRIM($D10))),CRDJ[Debit])))+(SUM(IF((GJ[Date]=$A$4)*(GJ[Ofc Code]=(TRIM(K$7)))*(GJ[Account Code]=(TRIM($D10))),GJ[Debit])))</f>
        <v>0</v>
      </c>
      <c r="L10" s="211">
        <f t="array" ref="L10">(SUM(IF((CkDJ[Date]=$A$4)*(CkDJ[Ofc Code]=(TRIM(L$7)))*(CkDJ[Account Code]=(TRIM($D10))),CkDJ[Credit])))+(SUM(IF((CsDJ[Date]=$A$4)*(CsDJ[Ofc Code]=(TRIM(L$7)))*(CsDJ[Account Code]=(TRIM($D10))),CsDJ[Credit])))+(SUM(IF((CRDJ[Date]=$A$4)*(CRDJ[Ofc Code]=(TRIM(L$7)))*(CRDJ[Account Code]=(TRIM($D10))),CRDJ[Credit])))+(SUM(IF((GJ[Date]=$A$4)*(GJ[Ofc Code]=(TRIM(L$7)))*(GJ[Account Code]=(TRIM($D10))),GJ[Credit])))-(SUM(IF((CkDJ[Date]=$A$4)*(CkDJ[Ofc Code]=(TRIM(L$7)))*(CkDJ[Account Code]=(TRIM($D10))),CkDJ[Debit])))+(SUM(IF((CsDJ[Date]=$A$4)*(CsDJ[Ofc Code]=(TRIM(L$7)))*(CsDJ[Account Code]=(TRIM($D10))),CsDJ[Debit])))+(SUM(IF((CRDJ[Date]=$A$4)*(CRDJ[Ofc Code]=(TRIM(L$7)))*(CRDJ[Account Code]=(TRIM($D10))),CRDJ[Debit])))+(SUM(IF((GJ[Date]=$A$4)*(GJ[Ofc Code]=(TRIM(L$7)))*(GJ[Account Code]=(TRIM($D10))),GJ[Debit])))</f>
        <v>0</v>
      </c>
      <c r="M10" s="211">
        <f t="array" ref="M10">(SUM(IF((CkDJ[Date]=$A$4)*(CkDJ[Ofc Code]=(TRIM(M$7)))*(CkDJ[Account Code]=(TRIM($D10))),CkDJ[Credit])))+(SUM(IF((CsDJ[Date]=$A$4)*(CsDJ[Ofc Code]=(TRIM(M$7)))*(CsDJ[Account Code]=(TRIM($D10))),CsDJ[Credit])))+(SUM(IF((CRDJ[Date]=$A$4)*(CRDJ[Ofc Code]=(TRIM(M$7)))*(CRDJ[Account Code]=(TRIM($D10))),CRDJ[Credit])))+(SUM(IF((GJ[Date]=$A$4)*(GJ[Ofc Code]=(TRIM(M$7)))*(GJ[Account Code]=(TRIM($D10))),GJ[Credit])))-(SUM(IF((CkDJ[Date]=$A$4)*(CkDJ[Ofc Code]=(TRIM(M$7)))*(CkDJ[Account Code]=(TRIM($D10))),CkDJ[Debit])))+(SUM(IF((CsDJ[Date]=$A$4)*(CsDJ[Ofc Code]=(TRIM(M$7)))*(CsDJ[Account Code]=(TRIM($D10))),CsDJ[Debit])))+(SUM(IF((CRDJ[Date]=$A$4)*(CRDJ[Ofc Code]=(TRIM(M$7)))*(CRDJ[Account Code]=(TRIM($D10))),CRDJ[Debit])))+(SUM(IF((GJ[Date]=$A$4)*(GJ[Ofc Code]=(TRIM(M$7)))*(GJ[Account Code]=(TRIM($D10))),GJ[Debit])))</f>
        <v>0</v>
      </c>
      <c r="N10" s="211">
        <f t="shared" si="2"/>
        <v>0</v>
      </c>
      <c r="O10" s="211">
        <f t="array" ref="O10">(SUM(IF((CkDJ[Date]=$A$4)*(CkDJ[Ofc Code]=(TRIM(O$7)))*(CkDJ[Account Code]=(TRIM($D10))),CkDJ[Credit])))+(SUM(IF((CsDJ[Date]=$A$4)*(CsDJ[Ofc Code]=(TRIM(O$7)))*(CsDJ[Account Code]=(TRIM($D10))),CsDJ[Credit])))+(SUM(IF((CRDJ[Date]=$A$4)*(CRDJ[Ofc Code]=(TRIM(O$7)))*(CRDJ[Account Code]=(TRIM($D10))),CRDJ[Credit])))+(SUM(IF((GJ[Date]=$A$4)*(GJ[Ofc Code]=(TRIM(O$7)))*(GJ[Account Code]=(TRIM($D10))),GJ[Credit])))-(SUM(IF((CkDJ[Date]=$A$4)*(CkDJ[Ofc Code]=(TRIM(O$7)))*(CkDJ[Account Code]=(TRIM($D10))),CkDJ[Debit])))+(SUM(IF((CsDJ[Date]=$A$4)*(CsDJ[Ofc Code]=(TRIM(O$7)))*(CsDJ[Account Code]=(TRIM($D10))),CsDJ[Debit])))+(SUM(IF((CRDJ[Date]=$A$4)*(CRDJ[Ofc Code]=(TRIM(O$7)))*(CRDJ[Account Code]=(TRIM($D10))),CRDJ[Debit])))+(SUM(IF((GJ[Date]=$A$4)*(GJ[Ofc Code]=(TRIM(O$7)))*(GJ[Account Code]=(TRIM($D10))),GJ[Debit])))</f>
        <v>0</v>
      </c>
      <c r="P10" s="211">
        <f t="array" ref="P10">(SUM(IF((CkDJ[Date]=$A$4)*(CkDJ[Ofc Code]=(TRIM(P$7)))*(CkDJ[Account Code]=(TRIM($D10))),CkDJ[Credit])))+(SUM(IF((CsDJ[Date]=$A$4)*(CsDJ[Ofc Code]=(TRIM(P$7)))*(CsDJ[Account Code]=(TRIM($D10))),CsDJ[Credit])))+(SUM(IF((CRDJ[Date]=$A$4)*(CRDJ[Ofc Code]=(TRIM(P$7)))*(CRDJ[Account Code]=(TRIM($D10))),CRDJ[Credit])))+(SUM(IF((GJ[Date]=$A$4)*(GJ[Ofc Code]=(TRIM(P$7)))*(GJ[Account Code]=(TRIM($D10))),GJ[Credit])))-(SUM(IF((CkDJ[Date]=$A$4)*(CkDJ[Ofc Code]=(TRIM(P$7)))*(CkDJ[Account Code]=(TRIM($D10))),CkDJ[Debit])))+(SUM(IF((CsDJ[Date]=$A$4)*(CsDJ[Ofc Code]=(TRIM(P$7)))*(CsDJ[Account Code]=(TRIM($D10))),CsDJ[Debit])))+(SUM(IF((CRDJ[Date]=$A$4)*(CRDJ[Ofc Code]=(TRIM(P$7)))*(CRDJ[Account Code]=(TRIM($D10))),CRDJ[Debit])))+(SUM(IF((GJ[Date]=$A$4)*(GJ[Ofc Code]=(TRIM(P$7)))*(GJ[Account Code]=(TRIM($D10))),GJ[Debit])))</f>
        <v>0</v>
      </c>
      <c r="Q10" s="211">
        <f t="array" ref="Q10">(SUM(IF((CkDJ[Date]=$A$4)*(CkDJ[Ofc Code]=(TRIM(Q$7)))*(CkDJ[Account Code]=(TRIM($D10))),CkDJ[Credit])))+(SUM(IF((CsDJ[Date]=$A$4)*(CsDJ[Ofc Code]=(TRIM(Q$7)))*(CsDJ[Account Code]=(TRIM($D10))),CsDJ[Credit])))+(SUM(IF((CRDJ[Date]=$A$4)*(CRDJ[Ofc Code]=(TRIM(Q$7)))*(CRDJ[Account Code]=(TRIM($D10))),CRDJ[Credit])))+(SUM(IF((GJ[Date]=$A$4)*(GJ[Ofc Code]=(TRIM(Q$7)))*(GJ[Account Code]=(TRIM($D10))),GJ[Credit])))-(SUM(IF((CkDJ[Date]=$A$4)*(CkDJ[Ofc Code]=(TRIM(Q$7)))*(CkDJ[Account Code]=(TRIM($D10))),CkDJ[Debit])))+(SUM(IF((CsDJ[Date]=$A$4)*(CsDJ[Ofc Code]=(TRIM(Q$7)))*(CsDJ[Account Code]=(TRIM($D10))),CsDJ[Debit])))+(SUM(IF((CRDJ[Date]=$A$4)*(CRDJ[Ofc Code]=(TRIM(Q$7)))*(CRDJ[Account Code]=(TRIM($D10))),CRDJ[Debit])))+(SUM(IF((GJ[Date]=$A$4)*(GJ[Ofc Code]=(TRIM(Q$7)))*(GJ[Account Code]=(TRIM($D10))),GJ[Debit])))</f>
        <v>0</v>
      </c>
      <c r="R10" s="211">
        <f t="array" ref="R10">(SUM(IF((CkDJ[Date]=$A$4)*(CkDJ[Ofc Code]=(TRIM(R$7)))*(CkDJ[Account Code]=(TRIM($D10))),CkDJ[Credit])))+(SUM(IF((CsDJ[Date]=$A$4)*(CsDJ[Ofc Code]=(TRIM(R$7)))*(CsDJ[Account Code]=(TRIM($D10))),CsDJ[Credit])))+(SUM(IF((CRDJ[Date]=$A$4)*(CRDJ[Ofc Code]=(TRIM(R$7)))*(CRDJ[Account Code]=(TRIM($D10))),CRDJ[Credit])))+(SUM(IF((GJ[Date]=$A$4)*(GJ[Ofc Code]=(TRIM(R$7)))*(GJ[Account Code]=(TRIM($D10))),GJ[Credit])))-(SUM(IF((CkDJ[Date]=$A$4)*(CkDJ[Ofc Code]=(TRIM(R$7)))*(CkDJ[Account Code]=(TRIM($D10))),CkDJ[Debit])))+(SUM(IF((CsDJ[Date]=$A$4)*(CsDJ[Ofc Code]=(TRIM(R$7)))*(CsDJ[Account Code]=(TRIM($D10))),CsDJ[Debit])))+(SUM(IF((CRDJ[Date]=$A$4)*(CRDJ[Ofc Code]=(TRIM(R$7)))*(CRDJ[Account Code]=(TRIM($D10))),CRDJ[Debit])))+(SUM(IF((GJ[Date]=$A$4)*(GJ[Ofc Code]=(TRIM(R$7)))*(GJ[Account Code]=(TRIM($D10))),GJ[Debit])))</f>
        <v>0</v>
      </c>
      <c r="S10" s="211">
        <f t="array" ref="S10">(SUM(IF((CkDJ[Date]=$A$4)*(CkDJ[Ofc Code]=(TRIM(S$7)))*(CkDJ[Account Code]=(TRIM($D10))),CkDJ[Credit])))+(SUM(IF((CsDJ[Date]=$A$4)*(CsDJ[Ofc Code]=(TRIM(S$7)))*(CsDJ[Account Code]=(TRIM($D10))),CsDJ[Credit])))+(SUM(IF((CRDJ[Date]=$A$4)*(CRDJ[Ofc Code]=(TRIM(S$7)))*(CRDJ[Account Code]=(TRIM($D10))),CRDJ[Credit])))+(SUM(IF((GJ[Date]=$A$4)*(GJ[Ofc Code]=(TRIM(S$7)))*(GJ[Account Code]=(TRIM($D10))),GJ[Credit])))-(SUM(IF((CkDJ[Date]=$A$4)*(CkDJ[Ofc Code]=(TRIM(S$7)))*(CkDJ[Account Code]=(TRIM($D10))),CkDJ[Debit])))+(SUM(IF((CsDJ[Date]=$A$4)*(CsDJ[Ofc Code]=(TRIM(S$7)))*(CsDJ[Account Code]=(TRIM($D10))),CsDJ[Debit])))+(SUM(IF((CRDJ[Date]=$A$4)*(CRDJ[Ofc Code]=(TRIM(S$7)))*(CRDJ[Account Code]=(TRIM($D10))),CRDJ[Debit])))+(SUM(IF((GJ[Date]=$A$4)*(GJ[Ofc Code]=(TRIM(S$7)))*(GJ[Account Code]=(TRIM($D10))),GJ[Debit])))</f>
        <v>0</v>
      </c>
      <c r="T10" s="211">
        <f t="shared" si="3"/>
        <v>0</v>
      </c>
      <c r="U10" s="211">
        <f t="shared" si="4"/>
        <v>0</v>
      </c>
    </row>
    <row r="11" spans="1:21" ht="15" x14ac:dyDescent="0.25">
      <c r="A11" s="212">
        <f t="shared" si="5"/>
        <v>3</v>
      </c>
      <c r="B11" s="214" t="s">
        <v>756</v>
      </c>
      <c r="C11" s="194" t="str">
        <f t="shared" si="0"/>
        <v>Other Service Income - Irrigation Service Fee (Back Account) (MC # 54)</v>
      </c>
      <c r="D11" s="207" t="s">
        <v>721</v>
      </c>
      <c r="E11" s="211">
        <f t="array" ref="E11">(SUM(IF((CkDJ[Date]=$A$4)*(CkDJ[Ofc Code]=(TRIM(E$7)))*(CkDJ[Account Code]=(TRIM($D11))),CkDJ[Credit])))+(SUM(IF((CsDJ[Date]=$A$4)*(CsDJ[Ofc Code]=(TRIM(E$7)))*(CsDJ[Account Code]=(TRIM($D11))),CsDJ[Credit])))+(SUM(IF((CRDJ[Date]=$A$4)*(CRDJ[Ofc Code]=(TRIM(E$7)))*(CRDJ[Account Code]=(TRIM($D11))),CRDJ[Credit])))+(SUM(IF((GJ[Date]=$A$4)*(GJ[Ofc Code]=(TRIM(E$7)))*(GJ[Account Code]=(TRIM($D11))),GJ[Credit])))-(SUM(IF((CkDJ[Date]=$A$4)*(CkDJ[Ofc Code]=(TRIM(E$7)))*(CkDJ[Account Code]=(TRIM($D11))),CkDJ[Debit])))+(SUM(IF((CsDJ[Date]=$A$4)*(CsDJ[Ofc Code]=(TRIM(E$7)))*(CsDJ[Account Code]=(TRIM($D11))),CsDJ[Debit])))+(SUM(IF((CRDJ[Date]=$A$4)*(CRDJ[Ofc Code]=(TRIM(E$7)))*(CRDJ[Account Code]=(TRIM($D11))),CRDJ[Debit])))+(SUM(IF((GJ[Date]=$A$4)*(GJ[Ofc Code]=(TRIM(E$7)))*(GJ[Account Code]=(TRIM($D11))),GJ[Debit])))</f>
        <v>0</v>
      </c>
      <c r="F11" s="211">
        <f t="array" ref="F11">(SUM(IF((CkDJ[Date]=$A$4)*(CkDJ[Ofc Code]=(TRIM(F$7)))*(CkDJ[Account Code]=(TRIM($D11))),CkDJ[Credit])))+(SUM(IF((CsDJ[Date]=$A$4)*(CsDJ[Ofc Code]=(TRIM(F$7)))*(CsDJ[Account Code]=(TRIM($D11))),CsDJ[Credit])))+(SUM(IF((CRDJ[Date]=$A$4)*(CRDJ[Ofc Code]=(TRIM(F$7)))*(CRDJ[Account Code]=(TRIM($D11))),CRDJ[Credit])))+(SUM(IF((GJ[Date]=$A$4)*(GJ[Ofc Code]=(TRIM(F$7)))*(GJ[Account Code]=(TRIM($D11))),GJ[Credit])))-(SUM(IF((CkDJ[Date]=$A$4)*(CkDJ[Ofc Code]=(TRIM(F$7)))*(CkDJ[Account Code]=(TRIM($D11))),CkDJ[Debit])))+(SUM(IF((CsDJ[Date]=$A$4)*(CsDJ[Ofc Code]=(TRIM(F$7)))*(CsDJ[Account Code]=(TRIM($D11))),CsDJ[Debit])))+(SUM(IF((CRDJ[Date]=$A$4)*(CRDJ[Ofc Code]=(TRIM(F$7)))*(CRDJ[Account Code]=(TRIM($D11))),CRDJ[Debit])))+(SUM(IF((GJ[Date]=$A$4)*(GJ[Ofc Code]=(TRIM(F$7)))*(GJ[Account Code]=(TRIM($D11))),GJ[Debit])))</f>
        <v>0</v>
      </c>
      <c r="G11" s="211">
        <f t="array" ref="G11">(SUM(IF((CkDJ[Date]=$A$4)*(CkDJ[Ofc Code]=(TRIM(G$7)))*(CkDJ[Account Code]=(TRIM($D11))),CkDJ[Credit])))+(SUM(IF((CsDJ[Date]=$A$4)*(CsDJ[Ofc Code]=(TRIM(G$7)))*(CsDJ[Account Code]=(TRIM($D11))),CsDJ[Credit])))+(SUM(IF((CRDJ[Date]=$A$4)*(CRDJ[Ofc Code]=(TRIM(G$7)))*(CRDJ[Account Code]=(TRIM($D11))),CRDJ[Credit])))+(SUM(IF((GJ[Date]=$A$4)*(GJ[Ofc Code]=(TRIM(G$7)))*(GJ[Account Code]=(TRIM($D11))),GJ[Credit])))-(SUM(IF((CkDJ[Date]=$A$4)*(CkDJ[Ofc Code]=(TRIM(G$7)))*(CkDJ[Account Code]=(TRIM($D11))),CkDJ[Debit])))+(SUM(IF((CsDJ[Date]=$A$4)*(CsDJ[Ofc Code]=(TRIM(G$7)))*(CsDJ[Account Code]=(TRIM($D11))),CsDJ[Debit])))+(SUM(IF((CRDJ[Date]=$A$4)*(CRDJ[Ofc Code]=(TRIM(G$7)))*(CRDJ[Account Code]=(TRIM($D11))),CRDJ[Debit])))+(SUM(IF((GJ[Date]=$A$4)*(GJ[Ofc Code]=(TRIM(G$7)))*(GJ[Account Code]=(TRIM($D11))),GJ[Debit])))</f>
        <v>0</v>
      </c>
      <c r="H11" s="211">
        <f t="array" ref="H11">(SUM(IF((CkDJ[Date]=$A$4)*(CkDJ[Ofc Code]=(TRIM(H$7)))*(CkDJ[Account Code]=(TRIM($D11))),CkDJ[Credit])))+(SUM(IF((CsDJ[Date]=$A$4)*(CsDJ[Ofc Code]=(TRIM(H$7)))*(CsDJ[Account Code]=(TRIM($D11))),CsDJ[Credit])))+(SUM(IF((CRDJ[Date]=$A$4)*(CRDJ[Ofc Code]=(TRIM(H$7)))*(CRDJ[Account Code]=(TRIM($D11))),CRDJ[Credit])))+(SUM(IF((GJ[Date]=$A$4)*(GJ[Ofc Code]=(TRIM(H$7)))*(GJ[Account Code]=(TRIM($D11))),GJ[Credit])))-(SUM(IF((CkDJ[Date]=$A$4)*(CkDJ[Ofc Code]=(TRIM(H$7)))*(CkDJ[Account Code]=(TRIM($D11))),CkDJ[Debit])))+(SUM(IF((CsDJ[Date]=$A$4)*(CsDJ[Ofc Code]=(TRIM(H$7)))*(CsDJ[Account Code]=(TRIM($D11))),CsDJ[Debit])))+(SUM(IF((CRDJ[Date]=$A$4)*(CRDJ[Ofc Code]=(TRIM(H$7)))*(CRDJ[Account Code]=(TRIM($D11))),CRDJ[Debit])))+(SUM(IF((GJ[Date]=$A$4)*(GJ[Ofc Code]=(TRIM(H$7)))*(GJ[Account Code]=(TRIM($D11))),GJ[Debit])))</f>
        <v>0</v>
      </c>
      <c r="I11" s="211">
        <f t="shared" si="1"/>
        <v>0</v>
      </c>
      <c r="J11" s="211">
        <f t="array" ref="J11">(SUM(IF((CkDJ[Date]=$A$4)*(CkDJ[Ofc Code]=(TRIM(J$7)))*(CkDJ[Account Code]=(TRIM($D11))),CkDJ[Credit])))+(SUM(IF((CsDJ[Date]=$A$4)*(CsDJ[Ofc Code]=(TRIM(J$7)))*(CsDJ[Account Code]=(TRIM($D11))),CsDJ[Credit])))+(SUM(IF((CRDJ[Date]=$A$4)*(CRDJ[Ofc Code]=(TRIM(J$7)))*(CRDJ[Account Code]=(TRIM($D11))),CRDJ[Credit])))+(SUM(IF((GJ[Date]=$A$4)*(GJ[Ofc Code]=(TRIM(J$7)))*(GJ[Account Code]=(TRIM($D11))),GJ[Credit])))-(SUM(IF((CkDJ[Date]=$A$4)*(CkDJ[Ofc Code]=(TRIM(J$7)))*(CkDJ[Account Code]=(TRIM($D11))),CkDJ[Debit])))+(SUM(IF((CsDJ[Date]=$A$4)*(CsDJ[Ofc Code]=(TRIM(J$7)))*(CsDJ[Account Code]=(TRIM($D11))),CsDJ[Debit])))+(SUM(IF((CRDJ[Date]=$A$4)*(CRDJ[Ofc Code]=(TRIM(J$7)))*(CRDJ[Account Code]=(TRIM($D11))),CRDJ[Debit])))+(SUM(IF((GJ[Date]=$A$4)*(GJ[Ofc Code]=(TRIM(J$7)))*(GJ[Account Code]=(TRIM($D11))),GJ[Debit])))</f>
        <v>0</v>
      </c>
      <c r="K11" s="211">
        <f t="array" ref="K11">(SUM(IF((CkDJ[Date]=$A$4)*(CkDJ[Ofc Code]=(TRIM(K$7)))*(CkDJ[Account Code]=(TRIM($D11))),CkDJ[Credit])))+(SUM(IF((CsDJ[Date]=$A$4)*(CsDJ[Ofc Code]=(TRIM(K$7)))*(CsDJ[Account Code]=(TRIM($D11))),CsDJ[Credit])))+(SUM(IF((CRDJ[Date]=$A$4)*(CRDJ[Ofc Code]=(TRIM(K$7)))*(CRDJ[Account Code]=(TRIM($D11))),CRDJ[Credit])))+(SUM(IF((GJ[Date]=$A$4)*(GJ[Ofc Code]=(TRIM(K$7)))*(GJ[Account Code]=(TRIM($D11))),GJ[Credit])))-(SUM(IF((CkDJ[Date]=$A$4)*(CkDJ[Ofc Code]=(TRIM(K$7)))*(CkDJ[Account Code]=(TRIM($D11))),CkDJ[Debit])))+(SUM(IF((CsDJ[Date]=$A$4)*(CsDJ[Ofc Code]=(TRIM(K$7)))*(CsDJ[Account Code]=(TRIM($D11))),CsDJ[Debit])))+(SUM(IF((CRDJ[Date]=$A$4)*(CRDJ[Ofc Code]=(TRIM(K$7)))*(CRDJ[Account Code]=(TRIM($D11))),CRDJ[Debit])))+(SUM(IF((GJ[Date]=$A$4)*(GJ[Ofc Code]=(TRIM(K$7)))*(GJ[Account Code]=(TRIM($D11))),GJ[Debit])))</f>
        <v>0</v>
      </c>
      <c r="L11" s="211">
        <f t="array" ref="L11">(SUM(IF((CkDJ[Date]=$A$4)*(CkDJ[Ofc Code]=(TRIM(L$7)))*(CkDJ[Account Code]=(TRIM($D11))),CkDJ[Credit])))+(SUM(IF((CsDJ[Date]=$A$4)*(CsDJ[Ofc Code]=(TRIM(L$7)))*(CsDJ[Account Code]=(TRIM($D11))),CsDJ[Credit])))+(SUM(IF((CRDJ[Date]=$A$4)*(CRDJ[Ofc Code]=(TRIM(L$7)))*(CRDJ[Account Code]=(TRIM($D11))),CRDJ[Credit])))+(SUM(IF((GJ[Date]=$A$4)*(GJ[Ofc Code]=(TRIM(L$7)))*(GJ[Account Code]=(TRIM($D11))),GJ[Credit])))-(SUM(IF((CkDJ[Date]=$A$4)*(CkDJ[Ofc Code]=(TRIM(L$7)))*(CkDJ[Account Code]=(TRIM($D11))),CkDJ[Debit])))+(SUM(IF((CsDJ[Date]=$A$4)*(CsDJ[Ofc Code]=(TRIM(L$7)))*(CsDJ[Account Code]=(TRIM($D11))),CsDJ[Debit])))+(SUM(IF((CRDJ[Date]=$A$4)*(CRDJ[Ofc Code]=(TRIM(L$7)))*(CRDJ[Account Code]=(TRIM($D11))),CRDJ[Debit])))+(SUM(IF((GJ[Date]=$A$4)*(GJ[Ofc Code]=(TRIM(L$7)))*(GJ[Account Code]=(TRIM($D11))),GJ[Debit])))</f>
        <v>0</v>
      </c>
      <c r="M11" s="211">
        <f t="array" ref="M11">(SUM(IF((CkDJ[Date]=$A$4)*(CkDJ[Ofc Code]=(TRIM(M$7)))*(CkDJ[Account Code]=(TRIM($D11))),CkDJ[Credit])))+(SUM(IF((CsDJ[Date]=$A$4)*(CsDJ[Ofc Code]=(TRIM(M$7)))*(CsDJ[Account Code]=(TRIM($D11))),CsDJ[Credit])))+(SUM(IF((CRDJ[Date]=$A$4)*(CRDJ[Ofc Code]=(TRIM(M$7)))*(CRDJ[Account Code]=(TRIM($D11))),CRDJ[Credit])))+(SUM(IF((GJ[Date]=$A$4)*(GJ[Ofc Code]=(TRIM(M$7)))*(GJ[Account Code]=(TRIM($D11))),GJ[Credit])))-(SUM(IF((CkDJ[Date]=$A$4)*(CkDJ[Ofc Code]=(TRIM(M$7)))*(CkDJ[Account Code]=(TRIM($D11))),CkDJ[Debit])))+(SUM(IF((CsDJ[Date]=$A$4)*(CsDJ[Ofc Code]=(TRIM(M$7)))*(CsDJ[Account Code]=(TRIM($D11))),CsDJ[Debit])))+(SUM(IF((CRDJ[Date]=$A$4)*(CRDJ[Ofc Code]=(TRIM(M$7)))*(CRDJ[Account Code]=(TRIM($D11))),CRDJ[Debit])))+(SUM(IF((GJ[Date]=$A$4)*(GJ[Ofc Code]=(TRIM(M$7)))*(GJ[Account Code]=(TRIM($D11))),GJ[Debit])))</f>
        <v>0</v>
      </c>
      <c r="N11" s="211">
        <f t="shared" si="2"/>
        <v>0</v>
      </c>
      <c r="O11" s="211">
        <f t="array" ref="O11">(SUM(IF((CkDJ[Date]=$A$4)*(CkDJ[Ofc Code]=(TRIM(O$7)))*(CkDJ[Account Code]=(TRIM($D11))),CkDJ[Credit])))+(SUM(IF((CsDJ[Date]=$A$4)*(CsDJ[Ofc Code]=(TRIM(O$7)))*(CsDJ[Account Code]=(TRIM($D11))),CsDJ[Credit])))+(SUM(IF((CRDJ[Date]=$A$4)*(CRDJ[Ofc Code]=(TRIM(O$7)))*(CRDJ[Account Code]=(TRIM($D11))),CRDJ[Credit])))+(SUM(IF((GJ[Date]=$A$4)*(GJ[Ofc Code]=(TRIM(O$7)))*(GJ[Account Code]=(TRIM($D11))),GJ[Credit])))-(SUM(IF((CkDJ[Date]=$A$4)*(CkDJ[Ofc Code]=(TRIM(O$7)))*(CkDJ[Account Code]=(TRIM($D11))),CkDJ[Debit])))+(SUM(IF((CsDJ[Date]=$A$4)*(CsDJ[Ofc Code]=(TRIM(O$7)))*(CsDJ[Account Code]=(TRIM($D11))),CsDJ[Debit])))+(SUM(IF((CRDJ[Date]=$A$4)*(CRDJ[Ofc Code]=(TRIM(O$7)))*(CRDJ[Account Code]=(TRIM($D11))),CRDJ[Debit])))+(SUM(IF((GJ[Date]=$A$4)*(GJ[Ofc Code]=(TRIM(O$7)))*(GJ[Account Code]=(TRIM($D11))),GJ[Debit])))</f>
        <v>0</v>
      </c>
      <c r="P11" s="211">
        <f t="array" ref="P11">(SUM(IF((CkDJ[Date]=$A$4)*(CkDJ[Ofc Code]=(TRIM(P$7)))*(CkDJ[Account Code]=(TRIM($D11))),CkDJ[Credit])))+(SUM(IF((CsDJ[Date]=$A$4)*(CsDJ[Ofc Code]=(TRIM(P$7)))*(CsDJ[Account Code]=(TRIM($D11))),CsDJ[Credit])))+(SUM(IF((CRDJ[Date]=$A$4)*(CRDJ[Ofc Code]=(TRIM(P$7)))*(CRDJ[Account Code]=(TRIM($D11))),CRDJ[Credit])))+(SUM(IF((GJ[Date]=$A$4)*(GJ[Ofc Code]=(TRIM(P$7)))*(GJ[Account Code]=(TRIM($D11))),GJ[Credit])))-(SUM(IF((CkDJ[Date]=$A$4)*(CkDJ[Ofc Code]=(TRIM(P$7)))*(CkDJ[Account Code]=(TRIM($D11))),CkDJ[Debit])))+(SUM(IF((CsDJ[Date]=$A$4)*(CsDJ[Ofc Code]=(TRIM(P$7)))*(CsDJ[Account Code]=(TRIM($D11))),CsDJ[Debit])))+(SUM(IF((CRDJ[Date]=$A$4)*(CRDJ[Ofc Code]=(TRIM(P$7)))*(CRDJ[Account Code]=(TRIM($D11))),CRDJ[Debit])))+(SUM(IF((GJ[Date]=$A$4)*(GJ[Ofc Code]=(TRIM(P$7)))*(GJ[Account Code]=(TRIM($D11))),GJ[Debit])))</f>
        <v>0</v>
      </c>
      <c r="Q11" s="211">
        <f t="array" ref="Q11">(SUM(IF((CkDJ[Date]=$A$4)*(CkDJ[Ofc Code]=(TRIM(Q$7)))*(CkDJ[Account Code]=(TRIM($D11))),CkDJ[Credit])))+(SUM(IF((CsDJ[Date]=$A$4)*(CsDJ[Ofc Code]=(TRIM(Q$7)))*(CsDJ[Account Code]=(TRIM($D11))),CsDJ[Credit])))+(SUM(IF((CRDJ[Date]=$A$4)*(CRDJ[Ofc Code]=(TRIM(Q$7)))*(CRDJ[Account Code]=(TRIM($D11))),CRDJ[Credit])))+(SUM(IF((GJ[Date]=$A$4)*(GJ[Ofc Code]=(TRIM(Q$7)))*(GJ[Account Code]=(TRIM($D11))),GJ[Credit])))-(SUM(IF((CkDJ[Date]=$A$4)*(CkDJ[Ofc Code]=(TRIM(Q$7)))*(CkDJ[Account Code]=(TRIM($D11))),CkDJ[Debit])))+(SUM(IF((CsDJ[Date]=$A$4)*(CsDJ[Ofc Code]=(TRIM(Q$7)))*(CsDJ[Account Code]=(TRIM($D11))),CsDJ[Debit])))+(SUM(IF((CRDJ[Date]=$A$4)*(CRDJ[Ofc Code]=(TRIM(Q$7)))*(CRDJ[Account Code]=(TRIM($D11))),CRDJ[Debit])))+(SUM(IF((GJ[Date]=$A$4)*(GJ[Ofc Code]=(TRIM(Q$7)))*(GJ[Account Code]=(TRIM($D11))),GJ[Debit])))</f>
        <v>0</v>
      </c>
      <c r="R11" s="211">
        <f t="array" ref="R11">(SUM(IF((CkDJ[Date]=$A$4)*(CkDJ[Ofc Code]=(TRIM(R$7)))*(CkDJ[Account Code]=(TRIM($D11))),CkDJ[Credit])))+(SUM(IF((CsDJ[Date]=$A$4)*(CsDJ[Ofc Code]=(TRIM(R$7)))*(CsDJ[Account Code]=(TRIM($D11))),CsDJ[Credit])))+(SUM(IF((CRDJ[Date]=$A$4)*(CRDJ[Ofc Code]=(TRIM(R$7)))*(CRDJ[Account Code]=(TRIM($D11))),CRDJ[Credit])))+(SUM(IF((GJ[Date]=$A$4)*(GJ[Ofc Code]=(TRIM(R$7)))*(GJ[Account Code]=(TRIM($D11))),GJ[Credit])))-(SUM(IF((CkDJ[Date]=$A$4)*(CkDJ[Ofc Code]=(TRIM(R$7)))*(CkDJ[Account Code]=(TRIM($D11))),CkDJ[Debit])))+(SUM(IF((CsDJ[Date]=$A$4)*(CsDJ[Ofc Code]=(TRIM(R$7)))*(CsDJ[Account Code]=(TRIM($D11))),CsDJ[Debit])))+(SUM(IF((CRDJ[Date]=$A$4)*(CRDJ[Ofc Code]=(TRIM(R$7)))*(CRDJ[Account Code]=(TRIM($D11))),CRDJ[Debit])))+(SUM(IF((GJ[Date]=$A$4)*(GJ[Ofc Code]=(TRIM(R$7)))*(GJ[Account Code]=(TRIM($D11))),GJ[Debit])))</f>
        <v>0</v>
      </c>
      <c r="S11" s="211">
        <f t="array" ref="S11">(SUM(IF((CkDJ[Date]=$A$4)*(CkDJ[Ofc Code]=(TRIM(S$7)))*(CkDJ[Account Code]=(TRIM($D11))),CkDJ[Credit])))+(SUM(IF((CsDJ[Date]=$A$4)*(CsDJ[Ofc Code]=(TRIM(S$7)))*(CsDJ[Account Code]=(TRIM($D11))),CsDJ[Credit])))+(SUM(IF((CRDJ[Date]=$A$4)*(CRDJ[Ofc Code]=(TRIM(S$7)))*(CRDJ[Account Code]=(TRIM($D11))),CRDJ[Credit])))+(SUM(IF((GJ[Date]=$A$4)*(GJ[Ofc Code]=(TRIM(S$7)))*(GJ[Account Code]=(TRIM($D11))),GJ[Credit])))-(SUM(IF((CkDJ[Date]=$A$4)*(CkDJ[Ofc Code]=(TRIM(S$7)))*(CkDJ[Account Code]=(TRIM($D11))),CkDJ[Debit])))+(SUM(IF((CsDJ[Date]=$A$4)*(CsDJ[Ofc Code]=(TRIM(S$7)))*(CsDJ[Account Code]=(TRIM($D11))),CsDJ[Debit])))+(SUM(IF((CRDJ[Date]=$A$4)*(CRDJ[Ofc Code]=(TRIM(S$7)))*(CRDJ[Account Code]=(TRIM($D11))),CRDJ[Debit])))+(SUM(IF((GJ[Date]=$A$4)*(GJ[Ofc Code]=(TRIM(S$7)))*(GJ[Account Code]=(TRIM($D11))),GJ[Debit])))</f>
        <v>0</v>
      </c>
      <c r="T11" s="211">
        <f t="shared" si="3"/>
        <v>0</v>
      </c>
      <c r="U11" s="211">
        <f t="shared" si="4"/>
        <v>0</v>
      </c>
    </row>
    <row r="12" spans="1:21" ht="15" x14ac:dyDescent="0.25">
      <c r="A12" s="212">
        <f t="shared" si="5"/>
        <v>4</v>
      </c>
      <c r="B12" s="214" t="s">
        <v>756</v>
      </c>
      <c r="C12" s="194" t="str">
        <f t="shared" si="0"/>
        <v>Other Service Income - CIS Amortization (Current Account)</v>
      </c>
      <c r="D12" s="207" t="s">
        <v>128</v>
      </c>
      <c r="E12" s="211">
        <f t="array" ref="E12">(SUM(IF((CkDJ[Date]=$A$4)*(CkDJ[Ofc Code]=(TRIM(E$7)))*(CkDJ[Account Code]=(TRIM($D12))),CkDJ[Credit])))+(SUM(IF((CsDJ[Date]=$A$4)*(CsDJ[Ofc Code]=(TRIM(E$7)))*(CsDJ[Account Code]=(TRIM($D12))),CsDJ[Credit])))+(SUM(IF((CRDJ[Date]=$A$4)*(CRDJ[Ofc Code]=(TRIM(E$7)))*(CRDJ[Account Code]=(TRIM($D12))),CRDJ[Credit])))+(SUM(IF((GJ[Date]=$A$4)*(GJ[Ofc Code]=(TRIM(E$7)))*(GJ[Account Code]=(TRIM($D12))),GJ[Credit])))-(SUM(IF((CkDJ[Date]=$A$4)*(CkDJ[Ofc Code]=(TRIM(E$7)))*(CkDJ[Account Code]=(TRIM($D12))),CkDJ[Debit])))+(SUM(IF((CsDJ[Date]=$A$4)*(CsDJ[Ofc Code]=(TRIM(E$7)))*(CsDJ[Account Code]=(TRIM($D12))),CsDJ[Debit])))+(SUM(IF((CRDJ[Date]=$A$4)*(CRDJ[Ofc Code]=(TRIM(E$7)))*(CRDJ[Account Code]=(TRIM($D12))),CRDJ[Debit])))+(SUM(IF((GJ[Date]=$A$4)*(GJ[Ofc Code]=(TRIM(E$7)))*(GJ[Account Code]=(TRIM($D12))),GJ[Debit])))</f>
        <v>0</v>
      </c>
      <c r="F12" s="211">
        <f t="array" ref="F12">(SUM(IF((CkDJ[Date]=$A$4)*(CkDJ[Ofc Code]=(TRIM(F$7)))*(CkDJ[Account Code]=(TRIM($D12))),CkDJ[Credit])))+(SUM(IF((CsDJ[Date]=$A$4)*(CsDJ[Ofc Code]=(TRIM(F$7)))*(CsDJ[Account Code]=(TRIM($D12))),CsDJ[Credit])))+(SUM(IF((CRDJ[Date]=$A$4)*(CRDJ[Ofc Code]=(TRIM(F$7)))*(CRDJ[Account Code]=(TRIM($D12))),CRDJ[Credit])))+(SUM(IF((GJ[Date]=$A$4)*(GJ[Ofc Code]=(TRIM(F$7)))*(GJ[Account Code]=(TRIM($D12))),GJ[Credit])))-(SUM(IF((CkDJ[Date]=$A$4)*(CkDJ[Ofc Code]=(TRIM(F$7)))*(CkDJ[Account Code]=(TRIM($D12))),CkDJ[Debit])))+(SUM(IF((CsDJ[Date]=$A$4)*(CsDJ[Ofc Code]=(TRIM(F$7)))*(CsDJ[Account Code]=(TRIM($D12))),CsDJ[Debit])))+(SUM(IF((CRDJ[Date]=$A$4)*(CRDJ[Ofc Code]=(TRIM(F$7)))*(CRDJ[Account Code]=(TRIM($D12))),CRDJ[Debit])))+(SUM(IF((GJ[Date]=$A$4)*(GJ[Ofc Code]=(TRIM(F$7)))*(GJ[Account Code]=(TRIM($D12))),GJ[Debit])))</f>
        <v>0</v>
      </c>
      <c r="G12" s="211">
        <f t="array" ref="G12">(SUM(IF((CkDJ[Date]=$A$4)*(CkDJ[Ofc Code]=(TRIM(G$7)))*(CkDJ[Account Code]=(TRIM($D12))),CkDJ[Credit])))+(SUM(IF((CsDJ[Date]=$A$4)*(CsDJ[Ofc Code]=(TRIM(G$7)))*(CsDJ[Account Code]=(TRIM($D12))),CsDJ[Credit])))+(SUM(IF((CRDJ[Date]=$A$4)*(CRDJ[Ofc Code]=(TRIM(G$7)))*(CRDJ[Account Code]=(TRIM($D12))),CRDJ[Credit])))+(SUM(IF((GJ[Date]=$A$4)*(GJ[Ofc Code]=(TRIM(G$7)))*(GJ[Account Code]=(TRIM($D12))),GJ[Credit])))-(SUM(IF((CkDJ[Date]=$A$4)*(CkDJ[Ofc Code]=(TRIM(G$7)))*(CkDJ[Account Code]=(TRIM($D12))),CkDJ[Debit])))+(SUM(IF((CsDJ[Date]=$A$4)*(CsDJ[Ofc Code]=(TRIM(G$7)))*(CsDJ[Account Code]=(TRIM($D12))),CsDJ[Debit])))+(SUM(IF((CRDJ[Date]=$A$4)*(CRDJ[Ofc Code]=(TRIM(G$7)))*(CRDJ[Account Code]=(TRIM($D12))),CRDJ[Debit])))+(SUM(IF((GJ[Date]=$A$4)*(GJ[Ofc Code]=(TRIM(G$7)))*(GJ[Account Code]=(TRIM($D12))),GJ[Debit])))</f>
        <v>0</v>
      </c>
      <c r="H12" s="211">
        <f t="array" ref="H12">(SUM(IF((CkDJ[Date]=$A$4)*(CkDJ[Ofc Code]=(TRIM(H$7)))*(CkDJ[Account Code]=(TRIM($D12))),CkDJ[Credit])))+(SUM(IF((CsDJ[Date]=$A$4)*(CsDJ[Ofc Code]=(TRIM(H$7)))*(CsDJ[Account Code]=(TRIM($D12))),CsDJ[Credit])))+(SUM(IF((CRDJ[Date]=$A$4)*(CRDJ[Ofc Code]=(TRIM(H$7)))*(CRDJ[Account Code]=(TRIM($D12))),CRDJ[Credit])))+(SUM(IF((GJ[Date]=$A$4)*(GJ[Ofc Code]=(TRIM(H$7)))*(GJ[Account Code]=(TRIM($D12))),GJ[Credit])))-(SUM(IF((CkDJ[Date]=$A$4)*(CkDJ[Ofc Code]=(TRIM(H$7)))*(CkDJ[Account Code]=(TRIM($D12))),CkDJ[Debit])))+(SUM(IF((CsDJ[Date]=$A$4)*(CsDJ[Ofc Code]=(TRIM(H$7)))*(CsDJ[Account Code]=(TRIM($D12))),CsDJ[Debit])))+(SUM(IF((CRDJ[Date]=$A$4)*(CRDJ[Ofc Code]=(TRIM(H$7)))*(CRDJ[Account Code]=(TRIM($D12))),CRDJ[Debit])))+(SUM(IF((GJ[Date]=$A$4)*(GJ[Ofc Code]=(TRIM(H$7)))*(GJ[Account Code]=(TRIM($D12))),GJ[Debit])))</f>
        <v>0</v>
      </c>
      <c r="I12" s="211">
        <f t="shared" si="1"/>
        <v>0</v>
      </c>
      <c r="J12" s="211">
        <f t="array" ref="J12">(SUM(IF((CkDJ[Date]=$A$4)*(CkDJ[Ofc Code]=(TRIM(J$7)))*(CkDJ[Account Code]=(TRIM($D12))),CkDJ[Credit])))+(SUM(IF((CsDJ[Date]=$A$4)*(CsDJ[Ofc Code]=(TRIM(J$7)))*(CsDJ[Account Code]=(TRIM($D12))),CsDJ[Credit])))+(SUM(IF((CRDJ[Date]=$A$4)*(CRDJ[Ofc Code]=(TRIM(J$7)))*(CRDJ[Account Code]=(TRIM($D12))),CRDJ[Credit])))+(SUM(IF((GJ[Date]=$A$4)*(GJ[Ofc Code]=(TRIM(J$7)))*(GJ[Account Code]=(TRIM($D12))),GJ[Credit])))-(SUM(IF((CkDJ[Date]=$A$4)*(CkDJ[Ofc Code]=(TRIM(J$7)))*(CkDJ[Account Code]=(TRIM($D12))),CkDJ[Debit])))+(SUM(IF((CsDJ[Date]=$A$4)*(CsDJ[Ofc Code]=(TRIM(J$7)))*(CsDJ[Account Code]=(TRIM($D12))),CsDJ[Debit])))+(SUM(IF((CRDJ[Date]=$A$4)*(CRDJ[Ofc Code]=(TRIM(J$7)))*(CRDJ[Account Code]=(TRIM($D12))),CRDJ[Debit])))+(SUM(IF((GJ[Date]=$A$4)*(GJ[Ofc Code]=(TRIM(J$7)))*(GJ[Account Code]=(TRIM($D12))),GJ[Debit])))</f>
        <v>0</v>
      </c>
      <c r="K12" s="211">
        <f t="array" ref="K12">(SUM(IF((CkDJ[Date]=$A$4)*(CkDJ[Ofc Code]=(TRIM(K$7)))*(CkDJ[Account Code]=(TRIM($D12))),CkDJ[Credit])))+(SUM(IF((CsDJ[Date]=$A$4)*(CsDJ[Ofc Code]=(TRIM(K$7)))*(CsDJ[Account Code]=(TRIM($D12))),CsDJ[Credit])))+(SUM(IF((CRDJ[Date]=$A$4)*(CRDJ[Ofc Code]=(TRIM(K$7)))*(CRDJ[Account Code]=(TRIM($D12))),CRDJ[Credit])))+(SUM(IF((GJ[Date]=$A$4)*(GJ[Ofc Code]=(TRIM(K$7)))*(GJ[Account Code]=(TRIM($D12))),GJ[Credit])))-(SUM(IF((CkDJ[Date]=$A$4)*(CkDJ[Ofc Code]=(TRIM(K$7)))*(CkDJ[Account Code]=(TRIM($D12))),CkDJ[Debit])))+(SUM(IF((CsDJ[Date]=$A$4)*(CsDJ[Ofc Code]=(TRIM(K$7)))*(CsDJ[Account Code]=(TRIM($D12))),CsDJ[Debit])))+(SUM(IF((CRDJ[Date]=$A$4)*(CRDJ[Ofc Code]=(TRIM(K$7)))*(CRDJ[Account Code]=(TRIM($D12))),CRDJ[Debit])))+(SUM(IF((GJ[Date]=$A$4)*(GJ[Ofc Code]=(TRIM(K$7)))*(GJ[Account Code]=(TRIM($D12))),GJ[Debit])))</f>
        <v>0</v>
      </c>
      <c r="L12" s="211">
        <f t="array" ref="L12">(SUM(IF((CkDJ[Date]=$A$4)*(CkDJ[Ofc Code]=(TRIM(L$7)))*(CkDJ[Account Code]=(TRIM($D12))),CkDJ[Credit])))+(SUM(IF((CsDJ[Date]=$A$4)*(CsDJ[Ofc Code]=(TRIM(L$7)))*(CsDJ[Account Code]=(TRIM($D12))),CsDJ[Credit])))+(SUM(IF((CRDJ[Date]=$A$4)*(CRDJ[Ofc Code]=(TRIM(L$7)))*(CRDJ[Account Code]=(TRIM($D12))),CRDJ[Credit])))+(SUM(IF((GJ[Date]=$A$4)*(GJ[Ofc Code]=(TRIM(L$7)))*(GJ[Account Code]=(TRIM($D12))),GJ[Credit])))-(SUM(IF((CkDJ[Date]=$A$4)*(CkDJ[Ofc Code]=(TRIM(L$7)))*(CkDJ[Account Code]=(TRIM($D12))),CkDJ[Debit])))+(SUM(IF((CsDJ[Date]=$A$4)*(CsDJ[Ofc Code]=(TRIM(L$7)))*(CsDJ[Account Code]=(TRIM($D12))),CsDJ[Debit])))+(SUM(IF((CRDJ[Date]=$A$4)*(CRDJ[Ofc Code]=(TRIM(L$7)))*(CRDJ[Account Code]=(TRIM($D12))),CRDJ[Debit])))+(SUM(IF((GJ[Date]=$A$4)*(GJ[Ofc Code]=(TRIM(L$7)))*(GJ[Account Code]=(TRIM($D12))),GJ[Debit])))</f>
        <v>0</v>
      </c>
      <c r="M12" s="211">
        <f t="array" ref="M12">(SUM(IF((CkDJ[Date]=$A$4)*(CkDJ[Ofc Code]=(TRIM(M$7)))*(CkDJ[Account Code]=(TRIM($D12))),CkDJ[Credit])))+(SUM(IF((CsDJ[Date]=$A$4)*(CsDJ[Ofc Code]=(TRIM(M$7)))*(CsDJ[Account Code]=(TRIM($D12))),CsDJ[Credit])))+(SUM(IF((CRDJ[Date]=$A$4)*(CRDJ[Ofc Code]=(TRIM(M$7)))*(CRDJ[Account Code]=(TRIM($D12))),CRDJ[Credit])))+(SUM(IF((GJ[Date]=$A$4)*(GJ[Ofc Code]=(TRIM(M$7)))*(GJ[Account Code]=(TRIM($D12))),GJ[Credit])))-(SUM(IF((CkDJ[Date]=$A$4)*(CkDJ[Ofc Code]=(TRIM(M$7)))*(CkDJ[Account Code]=(TRIM($D12))),CkDJ[Debit])))+(SUM(IF((CsDJ[Date]=$A$4)*(CsDJ[Ofc Code]=(TRIM(M$7)))*(CsDJ[Account Code]=(TRIM($D12))),CsDJ[Debit])))+(SUM(IF((CRDJ[Date]=$A$4)*(CRDJ[Ofc Code]=(TRIM(M$7)))*(CRDJ[Account Code]=(TRIM($D12))),CRDJ[Debit])))+(SUM(IF((GJ[Date]=$A$4)*(GJ[Ofc Code]=(TRIM(M$7)))*(GJ[Account Code]=(TRIM($D12))),GJ[Debit])))</f>
        <v>0</v>
      </c>
      <c r="N12" s="211">
        <f t="shared" si="2"/>
        <v>0</v>
      </c>
      <c r="O12" s="211">
        <f t="array" ref="O12">(SUM(IF((CkDJ[Date]=$A$4)*(CkDJ[Ofc Code]=(TRIM(O$7)))*(CkDJ[Account Code]=(TRIM($D12))),CkDJ[Credit])))+(SUM(IF((CsDJ[Date]=$A$4)*(CsDJ[Ofc Code]=(TRIM(O$7)))*(CsDJ[Account Code]=(TRIM($D12))),CsDJ[Credit])))+(SUM(IF((CRDJ[Date]=$A$4)*(CRDJ[Ofc Code]=(TRIM(O$7)))*(CRDJ[Account Code]=(TRIM($D12))),CRDJ[Credit])))+(SUM(IF((GJ[Date]=$A$4)*(GJ[Ofc Code]=(TRIM(O$7)))*(GJ[Account Code]=(TRIM($D12))),GJ[Credit])))-(SUM(IF((CkDJ[Date]=$A$4)*(CkDJ[Ofc Code]=(TRIM(O$7)))*(CkDJ[Account Code]=(TRIM($D12))),CkDJ[Debit])))+(SUM(IF((CsDJ[Date]=$A$4)*(CsDJ[Ofc Code]=(TRIM(O$7)))*(CsDJ[Account Code]=(TRIM($D12))),CsDJ[Debit])))+(SUM(IF((CRDJ[Date]=$A$4)*(CRDJ[Ofc Code]=(TRIM(O$7)))*(CRDJ[Account Code]=(TRIM($D12))),CRDJ[Debit])))+(SUM(IF((GJ[Date]=$A$4)*(GJ[Ofc Code]=(TRIM(O$7)))*(GJ[Account Code]=(TRIM($D12))),GJ[Debit])))</f>
        <v>0</v>
      </c>
      <c r="P12" s="211">
        <f t="array" ref="P12">(SUM(IF((CkDJ[Date]=$A$4)*(CkDJ[Ofc Code]=(TRIM(P$7)))*(CkDJ[Account Code]=(TRIM($D12))),CkDJ[Credit])))+(SUM(IF((CsDJ[Date]=$A$4)*(CsDJ[Ofc Code]=(TRIM(P$7)))*(CsDJ[Account Code]=(TRIM($D12))),CsDJ[Credit])))+(SUM(IF((CRDJ[Date]=$A$4)*(CRDJ[Ofc Code]=(TRIM(P$7)))*(CRDJ[Account Code]=(TRIM($D12))),CRDJ[Credit])))+(SUM(IF((GJ[Date]=$A$4)*(GJ[Ofc Code]=(TRIM(P$7)))*(GJ[Account Code]=(TRIM($D12))),GJ[Credit])))-(SUM(IF((CkDJ[Date]=$A$4)*(CkDJ[Ofc Code]=(TRIM(P$7)))*(CkDJ[Account Code]=(TRIM($D12))),CkDJ[Debit])))+(SUM(IF((CsDJ[Date]=$A$4)*(CsDJ[Ofc Code]=(TRIM(P$7)))*(CsDJ[Account Code]=(TRIM($D12))),CsDJ[Debit])))+(SUM(IF((CRDJ[Date]=$A$4)*(CRDJ[Ofc Code]=(TRIM(P$7)))*(CRDJ[Account Code]=(TRIM($D12))),CRDJ[Debit])))+(SUM(IF((GJ[Date]=$A$4)*(GJ[Ofc Code]=(TRIM(P$7)))*(GJ[Account Code]=(TRIM($D12))),GJ[Debit])))</f>
        <v>0</v>
      </c>
      <c r="Q12" s="211">
        <f t="array" ref="Q12">(SUM(IF((CkDJ[Date]=$A$4)*(CkDJ[Ofc Code]=(TRIM(Q$7)))*(CkDJ[Account Code]=(TRIM($D12))),CkDJ[Credit])))+(SUM(IF((CsDJ[Date]=$A$4)*(CsDJ[Ofc Code]=(TRIM(Q$7)))*(CsDJ[Account Code]=(TRIM($D12))),CsDJ[Credit])))+(SUM(IF((CRDJ[Date]=$A$4)*(CRDJ[Ofc Code]=(TRIM(Q$7)))*(CRDJ[Account Code]=(TRIM($D12))),CRDJ[Credit])))+(SUM(IF((GJ[Date]=$A$4)*(GJ[Ofc Code]=(TRIM(Q$7)))*(GJ[Account Code]=(TRIM($D12))),GJ[Credit])))-(SUM(IF((CkDJ[Date]=$A$4)*(CkDJ[Ofc Code]=(TRIM(Q$7)))*(CkDJ[Account Code]=(TRIM($D12))),CkDJ[Debit])))+(SUM(IF((CsDJ[Date]=$A$4)*(CsDJ[Ofc Code]=(TRIM(Q$7)))*(CsDJ[Account Code]=(TRIM($D12))),CsDJ[Debit])))+(SUM(IF((CRDJ[Date]=$A$4)*(CRDJ[Ofc Code]=(TRIM(Q$7)))*(CRDJ[Account Code]=(TRIM($D12))),CRDJ[Debit])))+(SUM(IF((GJ[Date]=$A$4)*(GJ[Ofc Code]=(TRIM(Q$7)))*(GJ[Account Code]=(TRIM($D12))),GJ[Debit])))</f>
        <v>0</v>
      </c>
      <c r="R12" s="211">
        <f t="array" ref="R12">(SUM(IF((CkDJ[Date]=$A$4)*(CkDJ[Ofc Code]=(TRIM(R$7)))*(CkDJ[Account Code]=(TRIM($D12))),CkDJ[Credit])))+(SUM(IF((CsDJ[Date]=$A$4)*(CsDJ[Ofc Code]=(TRIM(R$7)))*(CsDJ[Account Code]=(TRIM($D12))),CsDJ[Credit])))+(SUM(IF((CRDJ[Date]=$A$4)*(CRDJ[Ofc Code]=(TRIM(R$7)))*(CRDJ[Account Code]=(TRIM($D12))),CRDJ[Credit])))+(SUM(IF((GJ[Date]=$A$4)*(GJ[Ofc Code]=(TRIM(R$7)))*(GJ[Account Code]=(TRIM($D12))),GJ[Credit])))-(SUM(IF((CkDJ[Date]=$A$4)*(CkDJ[Ofc Code]=(TRIM(R$7)))*(CkDJ[Account Code]=(TRIM($D12))),CkDJ[Debit])))+(SUM(IF((CsDJ[Date]=$A$4)*(CsDJ[Ofc Code]=(TRIM(R$7)))*(CsDJ[Account Code]=(TRIM($D12))),CsDJ[Debit])))+(SUM(IF((CRDJ[Date]=$A$4)*(CRDJ[Ofc Code]=(TRIM(R$7)))*(CRDJ[Account Code]=(TRIM($D12))),CRDJ[Debit])))+(SUM(IF((GJ[Date]=$A$4)*(GJ[Ofc Code]=(TRIM(R$7)))*(GJ[Account Code]=(TRIM($D12))),GJ[Debit])))</f>
        <v>0</v>
      </c>
      <c r="S12" s="211">
        <f t="array" ref="S12">(SUM(IF((CkDJ[Date]=$A$4)*(CkDJ[Ofc Code]=(TRIM(S$7)))*(CkDJ[Account Code]=(TRIM($D12))),CkDJ[Credit])))+(SUM(IF((CsDJ[Date]=$A$4)*(CsDJ[Ofc Code]=(TRIM(S$7)))*(CsDJ[Account Code]=(TRIM($D12))),CsDJ[Credit])))+(SUM(IF((CRDJ[Date]=$A$4)*(CRDJ[Ofc Code]=(TRIM(S$7)))*(CRDJ[Account Code]=(TRIM($D12))),CRDJ[Credit])))+(SUM(IF((GJ[Date]=$A$4)*(GJ[Ofc Code]=(TRIM(S$7)))*(GJ[Account Code]=(TRIM($D12))),GJ[Credit])))-(SUM(IF((CkDJ[Date]=$A$4)*(CkDJ[Ofc Code]=(TRIM(S$7)))*(CkDJ[Account Code]=(TRIM($D12))),CkDJ[Debit])))+(SUM(IF((CsDJ[Date]=$A$4)*(CsDJ[Ofc Code]=(TRIM(S$7)))*(CsDJ[Account Code]=(TRIM($D12))),CsDJ[Debit])))+(SUM(IF((CRDJ[Date]=$A$4)*(CRDJ[Ofc Code]=(TRIM(S$7)))*(CRDJ[Account Code]=(TRIM($D12))),CRDJ[Debit])))+(SUM(IF((GJ[Date]=$A$4)*(GJ[Ofc Code]=(TRIM(S$7)))*(GJ[Account Code]=(TRIM($D12))),GJ[Debit])))</f>
        <v>0</v>
      </c>
      <c r="T12" s="211">
        <f t="shared" si="3"/>
        <v>0</v>
      </c>
      <c r="U12" s="211">
        <f t="shared" si="4"/>
        <v>0</v>
      </c>
    </row>
    <row r="13" spans="1:21" ht="15" x14ac:dyDescent="0.25">
      <c r="A13" s="212">
        <f t="shared" si="5"/>
        <v>5</v>
      </c>
      <c r="B13" s="214"/>
      <c r="C13" s="194" t="str">
        <f t="shared" si="0"/>
        <v>Other Service Income - CIS Amortization (Back Account)</v>
      </c>
      <c r="D13" s="207" t="s">
        <v>129</v>
      </c>
      <c r="E13" s="211">
        <f t="array" ref="E13">(SUM(IF((CkDJ[Date]=$A$4)*(CkDJ[Ofc Code]=(TRIM(E$7)))*(CkDJ[Account Code]=(TRIM($D13))),CkDJ[Credit])))+(SUM(IF((CsDJ[Date]=$A$4)*(CsDJ[Ofc Code]=(TRIM(E$7)))*(CsDJ[Account Code]=(TRIM($D13))),CsDJ[Credit])))+(SUM(IF((CRDJ[Date]=$A$4)*(CRDJ[Ofc Code]=(TRIM(E$7)))*(CRDJ[Account Code]=(TRIM($D13))),CRDJ[Credit])))+(SUM(IF((GJ[Date]=$A$4)*(GJ[Ofc Code]=(TRIM(E$7)))*(GJ[Account Code]=(TRIM($D13))),GJ[Credit])))-(SUM(IF((CkDJ[Date]=$A$4)*(CkDJ[Ofc Code]=(TRIM(E$7)))*(CkDJ[Account Code]=(TRIM($D13))),CkDJ[Debit])))+(SUM(IF((CsDJ[Date]=$A$4)*(CsDJ[Ofc Code]=(TRIM(E$7)))*(CsDJ[Account Code]=(TRIM($D13))),CsDJ[Debit])))+(SUM(IF((CRDJ[Date]=$A$4)*(CRDJ[Ofc Code]=(TRIM(E$7)))*(CRDJ[Account Code]=(TRIM($D13))),CRDJ[Debit])))+(SUM(IF((GJ[Date]=$A$4)*(GJ[Ofc Code]=(TRIM(E$7)))*(GJ[Account Code]=(TRIM($D13))),GJ[Debit])))</f>
        <v>0</v>
      </c>
      <c r="F13" s="211">
        <f t="array" ref="F13">(SUM(IF((CkDJ[Date]=$A$4)*(CkDJ[Ofc Code]=(TRIM(F$7)))*(CkDJ[Account Code]=(TRIM($D13))),CkDJ[Credit])))+(SUM(IF((CsDJ[Date]=$A$4)*(CsDJ[Ofc Code]=(TRIM(F$7)))*(CsDJ[Account Code]=(TRIM($D13))),CsDJ[Credit])))+(SUM(IF((CRDJ[Date]=$A$4)*(CRDJ[Ofc Code]=(TRIM(F$7)))*(CRDJ[Account Code]=(TRIM($D13))),CRDJ[Credit])))+(SUM(IF((GJ[Date]=$A$4)*(GJ[Ofc Code]=(TRIM(F$7)))*(GJ[Account Code]=(TRIM($D13))),GJ[Credit])))-(SUM(IF((CkDJ[Date]=$A$4)*(CkDJ[Ofc Code]=(TRIM(F$7)))*(CkDJ[Account Code]=(TRIM($D13))),CkDJ[Debit])))+(SUM(IF((CsDJ[Date]=$A$4)*(CsDJ[Ofc Code]=(TRIM(F$7)))*(CsDJ[Account Code]=(TRIM($D13))),CsDJ[Debit])))+(SUM(IF((CRDJ[Date]=$A$4)*(CRDJ[Ofc Code]=(TRIM(F$7)))*(CRDJ[Account Code]=(TRIM($D13))),CRDJ[Debit])))+(SUM(IF((GJ[Date]=$A$4)*(GJ[Ofc Code]=(TRIM(F$7)))*(GJ[Account Code]=(TRIM($D13))),GJ[Debit])))</f>
        <v>0</v>
      </c>
      <c r="G13" s="211">
        <f t="array" ref="G13">(SUM(IF((CkDJ[Date]=$A$4)*(CkDJ[Ofc Code]=(TRIM(G$7)))*(CkDJ[Account Code]=(TRIM($D13))),CkDJ[Credit])))+(SUM(IF((CsDJ[Date]=$A$4)*(CsDJ[Ofc Code]=(TRIM(G$7)))*(CsDJ[Account Code]=(TRIM($D13))),CsDJ[Credit])))+(SUM(IF((CRDJ[Date]=$A$4)*(CRDJ[Ofc Code]=(TRIM(G$7)))*(CRDJ[Account Code]=(TRIM($D13))),CRDJ[Credit])))+(SUM(IF((GJ[Date]=$A$4)*(GJ[Ofc Code]=(TRIM(G$7)))*(GJ[Account Code]=(TRIM($D13))),GJ[Credit])))-(SUM(IF((CkDJ[Date]=$A$4)*(CkDJ[Ofc Code]=(TRIM(G$7)))*(CkDJ[Account Code]=(TRIM($D13))),CkDJ[Debit])))+(SUM(IF((CsDJ[Date]=$A$4)*(CsDJ[Ofc Code]=(TRIM(G$7)))*(CsDJ[Account Code]=(TRIM($D13))),CsDJ[Debit])))+(SUM(IF((CRDJ[Date]=$A$4)*(CRDJ[Ofc Code]=(TRIM(G$7)))*(CRDJ[Account Code]=(TRIM($D13))),CRDJ[Debit])))+(SUM(IF((GJ[Date]=$A$4)*(GJ[Ofc Code]=(TRIM(G$7)))*(GJ[Account Code]=(TRIM($D13))),GJ[Debit])))</f>
        <v>0</v>
      </c>
      <c r="H13" s="211">
        <f t="array" ref="H13">(SUM(IF((CkDJ[Date]=$A$4)*(CkDJ[Ofc Code]=(TRIM(H$7)))*(CkDJ[Account Code]=(TRIM($D13))),CkDJ[Credit])))+(SUM(IF((CsDJ[Date]=$A$4)*(CsDJ[Ofc Code]=(TRIM(H$7)))*(CsDJ[Account Code]=(TRIM($D13))),CsDJ[Credit])))+(SUM(IF((CRDJ[Date]=$A$4)*(CRDJ[Ofc Code]=(TRIM(H$7)))*(CRDJ[Account Code]=(TRIM($D13))),CRDJ[Credit])))+(SUM(IF((GJ[Date]=$A$4)*(GJ[Ofc Code]=(TRIM(H$7)))*(GJ[Account Code]=(TRIM($D13))),GJ[Credit])))-(SUM(IF((CkDJ[Date]=$A$4)*(CkDJ[Ofc Code]=(TRIM(H$7)))*(CkDJ[Account Code]=(TRIM($D13))),CkDJ[Debit])))+(SUM(IF((CsDJ[Date]=$A$4)*(CsDJ[Ofc Code]=(TRIM(H$7)))*(CsDJ[Account Code]=(TRIM($D13))),CsDJ[Debit])))+(SUM(IF((CRDJ[Date]=$A$4)*(CRDJ[Ofc Code]=(TRIM(H$7)))*(CRDJ[Account Code]=(TRIM($D13))),CRDJ[Debit])))+(SUM(IF((GJ[Date]=$A$4)*(GJ[Ofc Code]=(TRIM(H$7)))*(GJ[Account Code]=(TRIM($D13))),GJ[Debit])))</f>
        <v>0</v>
      </c>
      <c r="I13" s="211">
        <f t="shared" si="1"/>
        <v>0</v>
      </c>
      <c r="J13" s="211">
        <f t="array" ref="J13">(SUM(IF((CkDJ[Date]=$A$4)*(CkDJ[Ofc Code]=(TRIM(J$7)))*(CkDJ[Account Code]=(TRIM($D13))),CkDJ[Credit])))+(SUM(IF((CsDJ[Date]=$A$4)*(CsDJ[Ofc Code]=(TRIM(J$7)))*(CsDJ[Account Code]=(TRIM($D13))),CsDJ[Credit])))+(SUM(IF((CRDJ[Date]=$A$4)*(CRDJ[Ofc Code]=(TRIM(J$7)))*(CRDJ[Account Code]=(TRIM($D13))),CRDJ[Credit])))+(SUM(IF((GJ[Date]=$A$4)*(GJ[Ofc Code]=(TRIM(J$7)))*(GJ[Account Code]=(TRIM($D13))),GJ[Credit])))-(SUM(IF((CkDJ[Date]=$A$4)*(CkDJ[Ofc Code]=(TRIM(J$7)))*(CkDJ[Account Code]=(TRIM($D13))),CkDJ[Debit])))+(SUM(IF((CsDJ[Date]=$A$4)*(CsDJ[Ofc Code]=(TRIM(J$7)))*(CsDJ[Account Code]=(TRIM($D13))),CsDJ[Debit])))+(SUM(IF((CRDJ[Date]=$A$4)*(CRDJ[Ofc Code]=(TRIM(J$7)))*(CRDJ[Account Code]=(TRIM($D13))),CRDJ[Debit])))+(SUM(IF((GJ[Date]=$A$4)*(GJ[Ofc Code]=(TRIM(J$7)))*(GJ[Account Code]=(TRIM($D13))),GJ[Debit])))</f>
        <v>0</v>
      </c>
      <c r="K13" s="211">
        <f t="array" ref="K13">(SUM(IF((CkDJ[Date]=$A$4)*(CkDJ[Ofc Code]=(TRIM(K$7)))*(CkDJ[Account Code]=(TRIM($D13))),CkDJ[Credit])))+(SUM(IF((CsDJ[Date]=$A$4)*(CsDJ[Ofc Code]=(TRIM(K$7)))*(CsDJ[Account Code]=(TRIM($D13))),CsDJ[Credit])))+(SUM(IF((CRDJ[Date]=$A$4)*(CRDJ[Ofc Code]=(TRIM(K$7)))*(CRDJ[Account Code]=(TRIM($D13))),CRDJ[Credit])))+(SUM(IF((GJ[Date]=$A$4)*(GJ[Ofc Code]=(TRIM(K$7)))*(GJ[Account Code]=(TRIM($D13))),GJ[Credit])))-(SUM(IF((CkDJ[Date]=$A$4)*(CkDJ[Ofc Code]=(TRIM(K$7)))*(CkDJ[Account Code]=(TRIM($D13))),CkDJ[Debit])))+(SUM(IF((CsDJ[Date]=$A$4)*(CsDJ[Ofc Code]=(TRIM(K$7)))*(CsDJ[Account Code]=(TRIM($D13))),CsDJ[Debit])))+(SUM(IF((CRDJ[Date]=$A$4)*(CRDJ[Ofc Code]=(TRIM(K$7)))*(CRDJ[Account Code]=(TRIM($D13))),CRDJ[Debit])))+(SUM(IF((GJ[Date]=$A$4)*(GJ[Ofc Code]=(TRIM(K$7)))*(GJ[Account Code]=(TRIM($D13))),GJ[Debit])))</f>
        <v>0</v>
      </c>
      <c r="L13" s="211">
        <f t="array" ref="L13">(SUM(IF((CkDJ[Date]=$A$4)*(CkDJ[Ofc Code]=(TRIM(L$7)))*(CkDJ[Account Code]=(TRIM($D13))),CkDJ[Credit])))+(SUM(IF((CsDJ[Date]=$A$4)*(CsDJ[Ofc Code]=(TRIM(L$7)))*(CsDJ[Account Code]=(TRIM($D13))),CsDJ[Credit])))+(SUM(IF((CRDJ[Date]=$A$4)*(CRDJ[Ofc Code]=(TRIM(L$7)))*(CRDJ[Account Code]=(TRIM($D13))),CRDJ[Credit])))+(SUM(IF((GJ[Date]=$A$4)*(GJ[Ofc Code]=(TRIM(L$7)))*(GJ[Account Code]=(TRIM($D13))),GJ[Credit])))-(SUM(IF((CkDJ[Date]=$A$4)*(CkDJ[Ofc Code]=(TRIM(L$7)))*(CkDJ[Account Code]=(TRIM($D13))),CkDJ[Debit])))+(SUM(IF((CsDJ[Date]=$A$4)*(CsDJ[Ofc Code]=(TRIM(L$7)))*(CsDJ[Account Code]=(TRIM($D13))),CsDJ[Debit])))+(SUM(IF((CRDJ[Date]=$A$4)*(CRDJ[Ofc Code]=(TRIM(L$7)))*(CRDJ[Account Code]=(TRIM($D13))),CRDJ[Debit])))+(SUM(IF((GJ[Date]=$A$4)*(GJ[Ofc Code]=(TRIM(L$7)))*(GJ[Account Code]=(TRIM($D13))),GJ[Debit])))</f>
        <v>0</v>
      </c>
      <c r="M13" s="211">
        <f t="array" ref="M13">(SUM(IF((CkDJ[Date]=$A$4)*(CkDJ[Ofc Code]=(TRIM(M$7)))*(CkDJ[Account Code]=(TRIM($D13))),CkDJ[Credit])))+(SUM(IF((CsDJ[Date]=$A$4)*(CsDJ[Ofc Code]=(TRIM(M$7)))*(CsDJ[Account Code]=(TRIM($D13))),CsDJ[Credit])))+(SUM(IF((CRDJ[Date]=$A$4)*(CRDJ[Ofc Code]=(TRIM(M$7)))*(CRDJ[Account Code]=(TRIM($D13))),CRDJ[Credit])))+(SUM(IF((GJ[Date]=$A$4)*(GJ[Ofc Code]=(TRIM(M$7)))*(GJ[Account Code]=(TRIM($D13))),GJ[Credit])))-(SUM(IF((CkDJ[Date]=$A$4)*(CkDJ[Ofc Code]=(TRIM(M$7)))*(CkDJ[Account Code]=(TRIM($D13))),CkDJ[Debit])))+(SUM(IF((CsDJ[Date]=$A$4)*(CsDJ[Ofc Code]=(TRIM(M$7)))*(CsDJ[Account Code]=(TRIM($D13))),CsDJ[Debit])))+(SUM(IF((CRDJ[Date]=$A$4)*(CRDJ[Ofc Code]=(TRIM(M$7)))*(CRDJ[Account Code]=(TRIM($D13))),CRDJ[Debit])))+(SUM(IF((GJ[Date]=$A$4)*(GJ[Ofc Code]=(TRIM(M$7)))*(GJ[Account Code]=(TRIM($D13))),GJ[Debit])))</f>
        <v>0</v>
      </c>
      <c r="N13" s="211">
        <f t="shared" si="2"/>
        <v>0</v>
      </c>
      <c r="O13" s="211">
        <f t="array" ref="O13">(SUM(IF((CkDJ[Date]=$A$4)*(CkDJ[Ofc Code]=(TRIM(O$7)))*(CkDJ[Account Code]=(TRIM($D13))),CkDJ[Credit])))+(SUM(IF((CsDJ[Date]=$A$4)*(CsDJ[Ofc Code]=(TRIM(O$7)))*(CsDJ[Account Code]=(TRIM($D13))),CsDJ[Credit])))+(SUM(IF((CRDJ[Date]=$A$4)*(CRDJ[Ofc Code]=(TRIM(O$7)))*(CRDJ[Account Code]=(TRIM($D13))),CRDJ[Credit])))+(SUM(IF((GJ[Date]=$A$4)*(GJ[Ofc Code]=(TRIM(O$7)))*(GJ[Account Code]=(TRIM($D13))),GJ[Credit])))-(SUM(IF((CkDJ[Date]=$A$4)*(CkDJ[Ofc Code]=(TRIM(O$7)))*(CkDJ[Account Code]=(TRIM($D13))),CkDJ[Debit])))+(SUM(IF((CsDJ[Date]=$A$4)*(CsDJ[Ofc Code]=(TRIM(O$7)))*(CsDJ[Account Code]=(TRIM($D13))),CsDJ[Debit])))+(SUM(IF((CRDJ[Date]=$A$4)*(CRDJ[Ofc Code]=(TRIM(O$7)))*(CRDJ[Account Code]=(TRIM($D13))),CRDJ[Debit])))+(SUM(IF((GJ[Date]=$A$4)*(GJ[Ofc Code]=(TRIM(O$7)))*(GJ[Account Code]=(TRIM($D13))),GJ[Debit])))</f>
        <v>0</v>
      </c>
      <c r="P13" s="211">
        <f t="array" ref="P13">(SUM(IF((CkDJ[Date]=$A$4)*(CkDJ[Ofc Code]=(TRIM(P$7)))*(CkDJ[Account Code]=(TRIM($D13))),CkDJ[Credit])))+(SUM(IF((CsDJ[Date]=$A$4)*(CsDJ[Ofc Code]=(TRIM(P$7)))*(CsDJ[Account Code]=(TRIM($D13))),CsDJ[Credit])))+(SUM(IF((CRDJ[Date]=$A$4)*(CRDJ[Ofc Code]=(TRIM(P$7)))*(CRDJ[Account Code]=(TRIM($D13))),CRDJ[Credit])))+(SUM(IF((GJ[Date]=$A$4)*(GJ[Ofc Code]=(TRIM(P$7)))*(GJ[Account Code]=(TRIM($D13))),GJ[Credit])))-(SUM(IF((CkDJ[Date]=$A$4)*(CkDJ[Ofc Code]=(TRIM(P$7)))*(CkDJ[Account Code]=(TRIM($D13))),CkDJ[Debit])))+(SUM(IF((CsDJ[Date]=$A$4)*(CsDJ[Ofc Code]=(TRIM(P$7)))*(CsDJ[Account Code]=(TRIM($D13))),CsDJ[Debit])))+(SUM(IF((CRDJ[Date]=$A$4)*(CRDJ[Ofc Code]=(TRIM(P$7)))*(CRDJ[Account Code]=(TRIM($D13))),CRDJ[Debit])))+(SUM(IF((GJ[Date]=$A$4)*(GJ[Ofc Code]=(TRIM(P$7)))*(GJ[Account Code]=(TRIM($D13))),GJ[Debit])))</f>
        <v>0</v>
      </c>
      <c r="Q13" s="211">
        <f t="array" ref="Q13">(SUM(IF((CkDJ[Date]=$A$4)*(CkDJ[Ofc Code]=(TRIM(Q$7)))*(CkDJ[Account Code]=(TRIM($D13))),CkDJ[Credit])))+(SUM(IF((CsDJ[Date]=$A$4)*(CsDJ[Ofc Code]=(TRIM(Q$7)))*(CsDJ[Account Code]=(TRIM($D13))),CsDJ[Credit])))+(SUM(IF((CRDJ[Date]=$A$4)*(CRDJ[Ofc Code]=(TRIM(Q$7)))*(CRDJ[Account Code]=(TRIM($D13))),CRDJ[Credit])))+(SUM(IF((GJ[Date]=$A$4)*(GJ[Ofc Code]=(TRIM(Q$7)))*(GJ[Account Code]=(TRIM($D13))),GJ[Credit])))-(SUM(IF((CkDJ[Date]=$A$4)*(CkDJ[Ofc Code]=(TRIM(Q$7)))*(CkDJ[Account Code]=(TRIM($D13))),CkDJ[Debit])))+(SUM(IF((CsDJ[Date]=$A$4)*(CsDJ[Ofc Code]=(TRIM(Q$7)))*(CsDJ[Account Code]=(TRIM($D13))),CsDJ[Debit])))+(SUM(IF((CRDJ[Date]=$A$4)*(CRDJ[Ofc Code]=(TRIM(Q$7)))*(CRDJ[Account Code]=(TRIM($D13))),CRDJ[Debit])))+(SUM(IF((GJ[Date]=$A$4)*(GJ[Ofc Code]=(TRIM(Q$7)))*(GJ[Account Code]=(TRIM($D13))),GJ[Debit])))</f>
        <v>0</v>
      </c>
      <c r="R13" s="211">
        <f t="array" ref="R13">(SUM(IF((CkDJ[Date]=$A$4)*(CkDJ[Ofc Code]=(TRIM(R$7)))*(CkDJ[Account Code]=(TRIM($D13))),CkDJ[Credit])))+(SUM(IF((CsDJ[Date]=$A$4)*(CsDJ[Ofc Code]=(TRIM(R$7)))*(CsDJ[Account Code]=(TRIM($D13))),CsDJ[Credit])))+(SUM(IF((CRDJ[Date]=$A$4)*(CRDJ[Ofc Code]=(TRIM(R$7)))*(CRDJ[Account Code]=(TRIM($D13))),CRDJ[Credit])))+(SUM(IF((GJ[Date]=$A$4)*(GJ[Ofc Code]=(TRIM(R$7)))*(GJ[Account Code]=(TRIM($D13))),GJ[Credit])))-(SUM(IF((CkDJ[Date]=$A$4)*(CkDJ[Ofc Code]=(TRIM(R$7)))*(CkDJ[Account Code]=(TRIM($D13))),CkDJ[Debit])))+(SUM(IF((CsDJ[Date]=$A$4)*(CsDJ[Ofc Code]=(TRIM(R$7)))*(CsDJ[Account Code]=(TRIM($D13))),CsDJ[Debit])))+(SUM(IF((CRDJ[Date]=$A$4)*(CRDJ[Ofc Code]=(TRIM(R$7)))*(CRDJ[Account Code]=(TRIM($D13))),CRDJ[Debit])))+(SUM(IF((GJ[Date]=$A$4)*(GJ[Ofc Code]=(TRIM(R$7)))*(GJ[Account Code]=(TRIM($D13))),GJ[Debit])))</f>
        <v>0</v>
      </c>
      <c r="S13" s="211">
        <f t="array" ref="S13">(SUM(IF((CkDJ[Date]=$A$4)*(CkDJ[Ofc Code]=(TRIM(S$7)))*(CkDJ[Account Code]=(TRIM($D13))),CkDJ[Credit])))+(SUM(IF((CsDJ[Date]=$A$4)*(CsDJ[Ofc Code]=(TRIM(S$7)))*(CsDJ[Account Code]=(TRIM($D13))),CsDJ[Credit])))+(SUM(IF((CRDJ[Date]=$A$4)*(CRDJ[Ofc Code]=(TRIM(S$7)))*(CRDJ[Account Code]=(TRIM($D13))),CRDJ[Credit])))+(SUM(IF((GJ[Date]=$A$4)*(GJ[Ofc Code]=(TRIM(S$7)))*(GJ[Account Code]=(TRIM($D13))),GJ[Credit])))-(SUM(IF((CkDJ[Date]=$A$4)*(CkDJ[Ofc Code]=(TRIM(S$7)))*(CkDJ[Account Code]=(TRIM($D13))),CkDJ[Debit])))+(SUM(IF((CsDJ[Date]=$A$4)*(CsDJ[Ofc Code]=(TRIM(S$7)))*(CsDJ[Account Code]=(TRIM($D13))),CsDJ[Debit])))+(SUM(IF((CRDJ[Date]=$A$4)*(CRDJ[Ofc Code]=(TRIM(S$7)))*(CRDJ[Account Code]=(TRIM($D13))),CRDJ[Debit])))+(SUM(IF((GJ[Date]=$A$4)*(GJ[Ofc Code]=(TRIM(S$7)))*(GJ[Account Code]=(TRIM($D13))),GJ[Debit])))</f>
        <v>0</v>
      </c>
      <c r="T13" s="211">
        <f t="shared" si="3"/>
        <v>0</v>
      </c>
      <c r="U13" s="211">
        <f t="shared" si="4"/>
        <v>0</v>
      </c>
    </row>
    <row r="14" spans="1:21" ht="15" x14ac:dyDescent="0.25">
      <c r="A14" s="212">
        <f t="shared" si="5"/>
        <v>6</v>
      </c>
      <c r="B14" s="214"/>
      <c r="C14" s="194" t="e">
        <f t="shared" si="0"/>
        <v>#N/A</v>
      </c>
      <c r="D14" s="207" t="s">
        <v>130</v>
      </c>
      <c r="E14" s="211">
        <f t="array" ref="E14">(SUM(IF((CkDJ[Date]=$A$4)*(CkDJ[Ofc Code]=(TRIM(E$7)))*(CkDJ[Account Code]=(TRIM($D14))),CkDJ[Credit])))+(SUM(IF((CsDJ[Date]=$A$4)*(CsDJ[Ofc Code]=(TRIM(E$7)))*(CsDJ[Account Code]=(TRIM($D14))),CsDJ[Credit])))+(SUM(IF((CRDJ[Date]=$A$4)*(CRDJ[Ofc Code]=(TRIM(E$7)))*(CRDJ[Account Code]=(TRIM($D14))),CRDJ[Credit])))+(SUM(IF((GJ[Date]=$A$4)*(GJ[Ofc Code]=(TRIM(E$7)))*(GJ[Account Code]=(TRIM($D14))),GJ[Credit])))-(SUM(IF((CkDJ[Date]=$A$4)*(CkDJ[Ofc Code]=(TRIM(E$7)))*(CkDJ[Account Code]=(TRIM($D14))),CkDJ[Debit])))+(SUM(IF((CsDJ[Date]=$A$4)*(CsDJ[Ofc Code]=(TRIM(E$7)))*(CsDJ[Account Code]=(TRIM($D14))),CsDJ[Debit])))+(SUM(IF((CRDJ[Date]=$A$4)*(CRDJ[Ofc Code]=(TRIM(E$7)))*(CRDJ[Account Code]=(TRIM($D14))),CRDJ[Debit])))+(SUM(IF((GJ[Date]=$A$4)*(GJ[Ofc Code]=(TRIM(E$7)))*(GJ[Account Code]=(TRIM($D14))),GJ[Debit])))</f>
        <v>0</v>
      </c>
      <c r="F14" s="211">
        <f t="array" ref="F14">(SUM(IF((CkDJ[Date]=$A$4)*(CkDJ[Ofc Code]=(TRIM(F$7)))*(CkDJ[Account Code]=(TRIM($D14))),CkDJ[Credit])))+(SUM(IF((CsDJ[Date]=$A$4)*(CsDJ[Ofc Code]=(TRIM(F$7)))*(CsDJ[Account Code]=(TRIM($D14))),CsDJ[Credit])))+(SUM(IF((CRDJ[Date]=$A$4)*(CRDJ[Ofc Code]=(TRIM(F$7)))*(CRDJ[Account Code]=(TRIM($D14))),CRDJ[Credit])))+(SUM(IF((GJ[Date]=$A$4)*(GJ[Ofc Code]=(TRIM(F$7)))*(GJ[Account Code]=(TRIM($D14))),GJ[Credit])))-(SUM(IF((CkDJ[Date]=$A$4)*(CkDJ[Ofc Code]=(TRIM(F$7)))*(CkDJ[Account Code]=(TRIM($D14))),CkDJ[Debit])))+(SUM(IF((CsDJ[Date]=$A$4)*(CsDJ[Ofc Code]=(TRIM(F$7)))*(CsDJ[Account Code]=(TRIM($D14))),CsDJ[Debit])))+(SUM(IF((CRDJ[Date]=$A$4)*(CRDJ[Ofc Code]=(TRIM(F$7)))*(CRDJ[Account Code]=(TRIM($D14))),CRDJ[Debit])))+(SUM(IF((GJ[Date]=$A$4)*(GJ[Ofc Code]=(TRIM(F$7)))*(GJ[Account Code]=(TRIM($D14))),GJ[Debit])))</f>
        <v>0</v>
      </c>
      <c r="G14" s="211">
        <f t="array" ref="G14">(SUM(IF((CkDJ[Date]=$A$4)*(CkDJ[Ofc Code]=(TRIM(G$7)))*(CkDJ[Account Code]=(TRIM($D14))),CkDJ[Credit])))+(SUM(IF((CsDJ[Date]=$A$4)*(CsDJ[Ofc Code]=(TRIM(G$7)))*(CsDJ[Account Code]=(TRIM($D14))),CsDJ[Credit])))+(SUM(IF((CRDJ[Date]=$A$4)*(CRDJ[Ofc Code]=(TRIM(G$7)))*(CRDJ[Account Code]=(TRIM($D14))),CRDJ[Credit])))+(SUM(IF((GJ[Date]=$A$4)*(GJ[Ofc Code]=(TRIM(G$7)))*(GJ[Account Code]=(TRIM($D14))),GJ[Credit])))-(SUM(IF((CkDJ[Date]=$A$4)*(CkDJ[Ofc Code]=(TRIM(G$7)))*(CkDJ[Account Code]=(TRIM($D14))),CkDJ[Debit])))+(SUM(IF((CsDJ[Date]=$A$4)*(CsDJ[Ofc Code]=(TRIM(G$7)))*(CsDJ[Account Code]=(TRIM($D14))),CsDJ[Debit])))+(SUM(IF((CRDJ[Date]=$A$4)*(CRDJ[Ofc Code]=(TRIM(G$7)))*(CRDJ[Account Code]=(TRIM($D14))),CRDJ[Debit])))+(SUM(IF((GJ[Date]=$A$4)*(GJ[Ofc Code]=(TRIM(G$7)))*(GJ[Account Code]=(TRIM($D14))),GJ[Debit])))</f>
        <v>0</v>
      </c>
      <c r="H14" s="211">
        <f t="array" ref="H14">(SUM(IF((CkDJ[Date]=$A$4)*(CkDJ[Ofc Code]=(TRIM(H$7)))*(CkDJ[Account Code]=(TRIM($D14))),CkDJ[Credit])))+(SUM(IF((CsDJ[Date]=$A$4)*(CsDJ[Ofc Code]=(TRIM(H$7)))*(CsDJ[Account Code]=(TRIM($D14))),CsDJ[Credit])))+(SUM(IF((CRDJ[Date]=$A$4)*(CRDJ[Ofc Code]=(TRIM(H$7)))*(CRDJ[Account Code]=(TRIM($D14))),CRDJ[Credit])))+(SUM(IF((GJ[Date]=$A$4)*(GJ[Ofc Code]=(TRIM(H$7)))*(GJ[Account Code]=(TRIM($D14))),GJ[Credit])))-(SUM(IF((CkDJ[Date]=$A$4)*(CkDJ[Ofc Code]=(TRIM(H$7)))*(CkDJ[Account Code]=(TRIM($D14))),CkDJ[Debit])))+(SUM(IF((CsDJ[Date]=$A$4)*(CsDJ[Ofc Code]=(TRIM(H$7)))*(CsDJ[Account Code]=(TRIM($D14))),CsDJ[Debit])))+(SUM(IF((CRDJ[Date]=$A$4)*(CRDJ[Ofc Code]=(TRIM(H$7)))*(CRDJ[Account Code]=(TRIM($D14))),CRDJ[Debit])))+(SUM(IF((GJ[Date]=$A$4)*(GJ[Ofc Code]=(TRIM(H$7)))*(GJ[Account Code]=(TRIM($D14))),GJ[Debit])))</f>
        <v>0</v>
      </c>
      <c r="I14" s="211">
        <f t="shared" si="1"/>
        <v>0</v>
      </c>
      <c r="J14" s="211">
        <f t="array" ref="J14">(SUM(IF((CkDJ[Date]=$A$4)*(CkDJ[Ofc Code]=(TRIM(J$7)))*(CkDJ[Account Code]=(TRIM($D14))),CkDJ[Credit])))+(SUM(IF((CsDJ[Date]=$A$4)*(CsDJ[Ofc Code]=(TRIM(J$7)))*(CsDJ[Account Code]=(TRIM($D14))),CsDJ[Credit])))+(SUM(IF((CRDJ[Date]=$A$4)*(CRDJ[Ofc Code]=(TRIM(J$7)))*(CRDJ[Account Code]=(TRIM($D14))),CRDJ[Credit])))+(SUM(IF((GJ[Date]=$A$4)*(GJ[Ofc Code]=(TRIM(J$7)))*(GJ[Account Code]=(TRIM($D14))),GJ[Credit])))-(SUM(IF((CkDJ[Date]=$A$4)*(CkDJ[Ofc Code]=(TRIM(J$7)))*(CkDJ[Account Code]=(TRIM($D14))),CkDJ[Debit])))+(SUM(IF((CsDJ[Date]=$A$4)*(CsDJ[Ofc Code]=(TRIM(J$7)))*(CsDJ[Account Code]=(TRIM($D14))),CsDJ[Debit])))+(SUM(IF((CRDJ[Date]=$A$4)*(CRDJ[Ofc Code]=(TRIM(J$7)))*(CRDJ[Account Code]=(TRIM($D14))),CRDJ[Debit])))+(SUM(IF((GJ[Date]=$A$4)*(GJ[Ofc Code]=(TRIM(J$7)))*(GJ[Account Code]=(TRIM($D14))),GJ[Debit])))</f>
        <v>0</v>
      </c>
      <c r="K14" s="211">
        <f t="array" ref="K14">(SUM(IF((CkDJ[Date]=$A$4)*(CkDJ[Ofc Code]=(TRIM(K$7)))*(CkDJ[Account Code]=(TRIM($D14))),CkDJ[Credit])))+(SUM(IF((CsDJ[Date]=$A$4)*(CsDJ[Ofc Code]=(TRIM(K$7)))*(CsDJ[Account Code]=(TRIM($D14))),CsDJ[Credit])))+(SUM(IF((CRDJ[Date]=$A$4)*(CRDJ[Ofc Code]=(TRIM(K$7)))*(CRDJ[Account Code]=(TRIM($D14))),CRDJ[Credit])))+(SUM(IF((GJ[Date]=$A$4)*(GJ[Ofc Code]=(TRIM(K$7)))*(GJ[Account Code]=(TRIM($D14))),GJ[Credit])))-(SUM(IF((CkDJ[Date]=$A$4)*(CkDJ[Ofc Code]=(TRIM(K$7)))*(CkDJ[Account Code]=(TRIM($D14))),CkDJ[Debit])))+(SUM(IF((CsDJ[Date]=$A$4)*(CsDJ[Ofc Code]=(TRIM(K$7)))*(CsDJ[Account Code]=(TRIM($D14))),CsDJ[Debit])))+(SUM(IF((CRDJ[Date]=$A$4)*(CRDJ[Ofc Code]=(TRIM(K$7)))*(CRDJ[Account Code]=(TRIM($D14))),CRDJ[Debit])))+(SUM(IF((GJ[Date]=$A$4)*(GJ[Ofc Code]=(TRIM(K$7)))*(GJ[Account Code]=(TRIM($D14))),GJ[Debit])))</f>
        <v>0</v>
      </c>
      <c r="L14" s="211">
        <f t="array" ref="L14">(SUM(IF((CkDJ[Date]=$A$4)*(CkDJ[Ofc Code]=(TRIM(L$7)))*(CkDJ[Account Code]=(TRIM($D14))),CkDJ[Credit])))+(SUM(IF((CsDJ[Date]=$A$4)*(CsDJ[Ofc Code]=(TRIM(L$7)))*(CsDJ[Account Code]=(TRIM($D14))),CsDJ[Credit])))+(SUM(IF((CRDJ[Date]=$A$4)*(CRDJ[Ofc Code]=(TRIM(L$7)))*(CRDJ[Account Code]=(TRIM($D14))),CRDJ[Credit])))+(SUM(IF((GJ[Date]=$A$4)*(GJ[Ofc Code]=(TRIM(L$7)))*(GJ[Account Code]=(TRIM($D14))),GJ[Credit])))-(SUM(IF((CkDJ[Date]=$A$4)*(CkDJ[Ofc Code]=(TRIM(L$7)))*(CkDJ[Account Code]=(TRIM($D14))),CkDJ[Debit])))+(SUM(IF((CsDJ[Date]=$A$4)*(CsDJ[Ofc Code]=(TRIM(L$7)))*(CsDJ[Account Code]=(TRIM($D14))),CsDJ[Debit])))+(SUM(IF((CRDJ[Date]=$A$4)*(CRDJ[Ofc Code]=(TRIM(L$7)))*(CRDJ[Account Code]=(TRIM($D14))),CRDJ[Debit])))+(SUM(IF((GJ[Date]=$A$4)*(GJ[Ofc Code]=(TRIM(L$7)))*(GJ[Account Code]=(TRIM($D14))),GJ[Debit])))</f>
        <v>0</v>
      </c>
      <c r="M14" s="211">
        <f t="array" ref="M14">(SUM(IF((CkDJ[Date]=$A$4)*(CkDJ[Ofc Code]=(TRIM(M$7)))*(CkDJ[Account Code]=(TRIM($D14))),CkDJ[Credit])))+(SUM(IF((CsDJ[Date]=$A$4)*(CsDJ[Ofc Code]=(TRIM(M$7)))*(CsDJ[Account Code]=(TRIM($D14))),CsDJ[Credit])))+(SUM(IF((CRDJ[Date]=$A$4)*(CRDJ[Ofc Code]=(TRIM(M$7)))*(CRDJ[Account Code]=(TRIM($D14))),CRDJ[Credit])))+(SUM(IF((GJ[Date]=$A$4)*(GJ[Ofc Code]=(TRIM(M$7)))*(GJ[Account Code]=(TRIM($D14))),GJ[Credit])))-(SUM(IF((CkDJ[Date]=$A$4)*(CkDJ[Ofc Code]=(TRIM(M$7)))*(CkDJ[Account Code]=(TRIM($D14))),CkDJ[Debit])))+(SUM(IF((CsDJ[Date]=$A$4)*(CsDJ[Ofc Code]=(TRIM(M$7)))*(CsDJ[Account Code]=(TRIM($D14))),CsDJ[Debit])))+(SUM(IF((CRDJ[Date]=$A$4)*(CRDJ[Ofc Code]=(TRIM(M$7)))*(CRDJ[Account Code]=(TRIM($D14))),CRDJ[Debit])))+(SUM(IF((GJ[Date]=$A$4)*(GJ[Ofc Code]=(TRIM(M$7)))*(GJ[Account Code]=(TRIM($D14))),GJ[Debit])))</f>
        <v>0</v>
      </c>
      <c r="N14" s="211">
        <f t="shared" si="2"/>
        <v>0</v>
      </c>
      <c r="O14" s="211">
        <f t="array" ref="O14">(SUM(IF((CkDJ[Date]=$A$4)*(CkDJ[Ofc Code]=(TRIM(O$7)))*(CkDJ[Account Code]=(TRIM($D14))),CkDJ[Credit])))+(SUM(IF((CsDJ[Date]=$A$4)*(CsDJ[Ofc Code]=(TRIM(O$7)))*(CsDJ[Account Code]=(TRIM($D14))),CsDJ[Credit])))+(SUM(IF((CRDJ[Date]=$A$4)*(CRDJ[Ofc Code]=(TRIM(O$7)))*(CRDJ[Account Code]=(TRIM($D14))),CRDJ[Credit])))+(SUM(IF((GJ[Date]=$A$4)*(GJ[Ofc Code]=(TRIM(O$7)))*(GJ[Account Code]=(TRIM($D14))),GJ[Credit])))-(SUM(IF((CkDJ[Date]=$A$4)*(CkDJ[Ofc Code]=(TRIM(O$7)))*(CkDJ[Account Code]=(TRIM($D14))),CkDJ[Debit])))+(SUM(IF((CsDJ[Date]=$A$4)*(CsDJ[Ofc Code]=(TRIM(O$7)))*(CsDJ[Account Code]=(TRIM($D14))),CsDJ[Debit])))+(SUM(IF((CRDJ[Date]=$A$4)*(CRDJ[Ofc Code]=(TRIM(O$7)))*(CRDJ[Account Code]=(TRIM($D14))),CRDJ[Debit])))+(SUM(IF((GJ[Date]=$A$4)*(GJ[Ofc Code]=(TRIM(O$7)))*(GJ[Account Code]=(TRIM($D14))),GJ[Debit])))</f>
        <v>0</v>
      </c>
      <c r="P14" s="211">
        <f t="array" ref="P14">(SUM(IF((CkDJ[Date]=$A$4)*(CkDJ[Ofc Code]=(TRIM(P$7)))*(CkDJ[Account Code]=(TRIM($D14))),CkDJ[Credit])))+(SUM(IF((CsDJ[Date]=$A$4)*(CsDJ[Ofc Code]=(TRIM(P$7)))*(CsDJ[Account Code]=(TRIM($D14))),CsDJ[Credit])))+(SUM(IF((CRDJ[Date]=$A$4)*(CRDJ[Ofc Code]=(TRIM(P$7)))*(CRDJ[Account Code]=(TRIM($D14))),CRDJ[Credit])))+(SUM(IF((GJ[Date]=$A$4)*(GJ[Ofc Code]=(TRIM(P$7)))*(GJ[Account Code]=(TRIM($D14))),GJ[Credit])))-(SUM(IF((CkDJ[Date]=$A$4)*(CkDJ[Ofc Code]=(TRIM(P$7)))*(CkDJ[Account Code]=(TRIM($D14))),CkDJ[Debit])))+(SUM(IF((CsDJ[Date]=$A$4)*(CsDJ[Ofc Code]=(TRIM(P$7)))*(CsDJ[Account Code]=(TRIM($D14))),CsDJ[Debit])))+(SUM(IF((CRDJ[Date]=$A$4)*(CRDJ[Ofc Code]=(TRIM(P$7)))*(CRDJ[Account Code]=(TRIM($D14))),CRDJ[Debit])))+(SUM(IF((GJ[Date]=$A$4)*(GJ[Ofc Code]=(TRIM(P$7)))*(GJ[Account Code]=(TRIM($D14))),GJ[Debit])))</f>
        <v>0</v>
      </c>
      <c r="Q14" s="211">
        <f t="array" ref="Q14">(SUM(IF((CkDJ[Date]=$A$4)*(CkDJ[Ofc Code]=(TRIM(Q$7)))*(CkDJ[Account Code]=(TRIM($D14))),CkDJ[Credit])))+(SUM(IF((CsDJ[Date]=$A$4)*(CsDJ[Ofc Code]=(TRIM(Q$7)))*(CsDJ[Account Code]=(TRIM($D14))),CsDJ[Credit])))+(SUM(IF((CRDJ[Date]=$A$4)*(CRDJ[Ofc Code]=(TRIM(Q$7)))*(CRDJ[Account Code]=(TRIM($D14))),CRDJ[Credit])))+(SUM(IF((GJ[Date]=$A$4)*(GJ[Ofc Code]=(TRIM(Q$7)))*(GJ[Account Code]=(TRIM($D14))),GJ[Credit])))-(SUM(IF((CkDJ[Date]=$A$4)*(CkDJ[Ofc Code]=(TRIM(Q$7)))*(CkDJ[Account Code]=(TRIM($D14))),CkDJ[Debit])))+(SUM(IF((CsDJ[Date]=$A$4)*(CsDJ[Ofc Code]=(TRIM(Q$7)))*(CsDJ[Account Code]=(TRIM($D14))),CsDJ[Debit])))+(SUM(IF((CRDJ[Date]=$A$4)*(CRDJ[Ofc Code]=(TRIM(Q$7)))*(CRDJ[Account Code]=(TRIM($D14))),CRDJ[Debit])))+(SUM(IF((GJ[Date]=$A$4)*(GJ[Ofc Code]=(TRIM(Q$7)))*(GJ[Account Code]=(TRIM($D14))),GJ[Debit])))</f>
        <v>0</v>
      </c>
      <c r="R14" s="211">
        <f t="array" ref="R14">(SUM(IF((CkDJ[Date]=$A$4)*(CkDJ[Ofc Code]=(TRIM(R$7)))*(CkDJ[Account Code]=(TRIM($D14))),CkDJ[Credit])))+(SUM(IF((CsDJ[Date]=$A$4)*(CsDJ[Ofc Code]=(TRIM(R$7)))*(CsDJ[Account Code]=(TRIM($D14))),CsDJ[Credit])))+(SUM(IF((CRDJ[Date]=$A$4)*(CRDJ[Ofc Code]=(TRIM(R$7)))*(CRDJ[Account Code]=(TRIM($D14))),CRDJ[Credit])))+(SUM(IF((GJ[Date]=$A$4)*(GJ[Ofc Code]=(TRIM(R$7)))*(GJ[Account Code]=(TRIM($D14))),GJ[Credit])))-(SUM(IF((CkDJ[Date]=$A$4)*(CkDJ[Ofc Code]=(TRIM(R$7)))*(CkDJ[Account Code]=(TRIM($D14))),CkDJ[Debit])))+(SUM(IF((CsDJ[Date]=$A$4)*(CsDJ[Ofc Code]=(TRIM(R$7)))*(CsDJ[Account Code]=(TRIM($D14))),CsDJ[Debit])))+(SUM(IF((CRDJ[Date]=$A$4)*(CRDJ[Ofc Code]=(TRIM(R$7)))*(CRDJ[Account Code]=(TRIM($D14))),CRDJ[Debit])))+(SUM(IF((GJ[Date]=$A$4)*(GJ[Ofc Code]=(TRIM(R$7)))*(GJ[Account Code]=(TRIM($D14))),GJ[Debit])))</f>
        <v>0</v>
      </c>
      <c r="S14" s="211">
        <f t="array" ref="S14">(SUM(IF((CkDJ[Date]=$A$4)*(CkDJ[Ofc Code]=(TRIM(S$7)))*(CkDJ[Account Code]=(TRIM($D14))),CkDJ[Credit])))+(SUM(IF((CsDJ[Date]=$A$4)*(CsDJ[Ofc Code]=(TRIM(S$7)))*(CsDJ[Account Code]=(TRIM($D14))),CsDJ[Credit])))+(SUM(IF((CRDJ[Date]=$A$4)*(CRDJ[Ofc Code]=(TRIM(S$7)))*(CRDJ[Account Code]=(TRIM($D14))),CRDJ[Credit])))+(SUM(IF((GJ[Date]=$A$4)*(GJ[Ofc Code]=(TRIM(S$7)))*(GJ[Account Code]=(TRIM($D14))),GJ[Credit])))-(SUM(IF((CkDJ[Date]=$A$4)*(CkDJ[Ofc Code]=(TRIM(S$7)))*(CkDJ[Account Code]=(TRIM($D14))),CkDJ[Debit])))+(SUM(IF((CsDJ[Date]=$A$4)*(CsDJ[Ofc Code]=(TRIM(S$7)))*(CsDJ[Account Code]=(TRIM($D14))),CsDJ[Debit])))+(SUM(IF((CRDJ[Date]=$A$4)*(CRDJ[Ofc Code]=(TRIM(S$7)))*(CRDJ[Account Code]=(TRIM($D14))),CRDJ[Debit])))+(SUM(IF((GJ[Date]=$A$4)*(GJ[Ofc Code]=(TRIM(S$7)))*(GJ[Account Code]=(TRIM($D14))),GJ[Debit])))</f>
        <v>0</v>
      </c>
      <c r="T14" s="211">
        <f t="shared" si="3"/>
        <v>0</v>
      </c>
      <c r="U14" s="211">
        <f t="shared" si="4"/>
        <v>0</v>
      </c>
    </row>
    <row r="15" spans="1:21" ht="15" x14ac:dyDescent="0.25">
      <c r="A15" s="212">
        <f t="shared" si="5"/>
        <v>7</v>
      </c>
      <c r="B15" s="214"/>
      <c r="C15" s="194" t="str">
        <f t="shared" si="0"/>
        <v>Other Service Income - Pump Amortization (Current Account)</v>
      </c>
      <c r="D15" s="207" t="s">
        <v>131</v>
      </c>
      <c r="E15" s="211">
        <f t="array" ref="E15">(SUM(IF((CkDJ[Date]=$A$4)*(CkDJ[Ofc Code]=(TRIM(E$7)))*(CkDJ[Account Code]=(TRIM($D15))),CkDJ[Credit])))+(SUM(IF((CsDJ[Date]=$A$4)*(CsDJ[Ofc Code]=(TRIM(E$7)))*(CsDJ[Account Code]=(TRIM($D15))),CsDJ[Credit])))+(SUM(IF((CRDJ[Date]=$A$4)*(CRDJ[Ofc Code]=(TRIM(E$7)))*(CRDJ[Account Code]=(TRIM($D15))),CRDJ[Credit])))+(SUM(IF((GJ[Date]=$A$4)*(GJ[Ofc Code]=(TRIM(E$7)))*(GJ[Account Code]=(TRIM($D15))),GJ[Credit])))-(SUM(IF((CkDJ[Date]=$A$4)*(CkDJ[Ofc Code]=(TRIM(E$7)))*(CkDJ[Account Code]=(TRIM($D15))),CkDJ[Debit])))+(SUM(IF((CsDJ[Date]=$A$4)*(CsDJ[Ofc Code]=(TRIM(E$7)))*(CsDJ[Account Code]=(TRIM($D15))),CsDJ[Debit])))+(SUM(IF((CRDJ[Date]=$A$4)*(CRDJ[Ofc Code]=(TRIM(E$7)))*(CRDJ[Account Code]=(TRIM($D15))),CRDJ[Debit])))+(SUM(IF((GJ[Date]=$A$4)*(GJ[Ofc Code]=(TRIM(E$7)))*(GJ[Account Code]=(TRIM($D15))),GJ[Debit])))</f>
        <v>0</v>
      </c>
      <c r="F15" s="211">
        <f t="array" ref="F15">(SUM(IF((CkDJ[Date]=$A$4)*(CkDJ[Ofc Code]=(TRIM(F$7)))*(CkDJ[Account Code]=(TRIM($D15))),CkDJ[Credit])))+(SUM(IF((CsDJ[Date]=$A$4)*(CsDJ[Ofc Code]=(TRIM(F$7)))*(CsDJ[Account Code]=(TRIM($D15))),CsDJ[Credit])))+(SUM(IF((CRDJ[Date]=$A$4)*(CRDJ[Ofc Code]=(TRIM(F$7)))*(CRDJ[Account Code]=(TRIM($D15))),CRDJ[Credit])))+(SUM(IF((GJ[Date]=$A$4)*(GJ[Ofc Code]=(TRIM(F$7)))*(GJ[Account Code]=(TRIM($D15))),GJ[Credit])))-(SUM(IF((CkDJ[Date]=$A$4)*(CkDJ[Ofc Code]=(TRIM(F$7)))*(CkDJ[Account Code]=(TRIM($D15))),CkDJ[Debit])))+(SUM(IF((CsDJ[Date]=$A$4)*(CsDJ[Ofc Code]=(TRIM(F$7)))*(CsDJ[Account Code]=(TRIM($D15))),CsDJ[Debit])))+(SUM(IF((CRDJ[Date]=$A$4)*(CRDJ[Ofc Code]=(TRIM(F$7)))*(CRDJ[Account Code]=(TRIM($D15))),CRDJ[Debit])))+(SUM(IF((GJ[Date]=$A$4)*(GJ[Ofc Code]=(TRIM(F$7)))*(GJ[Account Code]=(TRIM($D15))),GJ[Debit])))</f>
        <v>0</v>
      </c>
      <c r="G15" s="211">
        <f t="array" ref="G15">(SUM(IF((CkDJ[Date]=$A$4)*(CkDJ[Ofc Code]=(TRIM(G$7)))*(CkDJ[Account Code]=(TRIM($D15))),CkDJ[Credit])))+(SUM(IF((CsDJ[Date]=$A$4)*(CsDJ[Ofc Code]=(TRIM(G$7)))*(CsDJ[Account Code]=(TRIM($D15))),CsDJ[Credit])))+(SUM(IF((CRDJ[Date]=$A$4)*(CRDJ[Ofc Code]=(TRIM(G$7)))*(CRDJ[Account Code]=(TRIM($D15))),CRDJ[Credit])))+(SUM(IF((GJ[Date]=$A$4)*(GJ[Ofc Code]=(TRIM(G$7)))*(GJ[Account Code]=(TRIM($D15))),GJ[Credit])))-(SUM(IF((CkDJ[Date]=$A$4)*(CkDJ[Ofc Code]=(TRIM(G$7)))*(CkDJ[Account Code]=(TRIM($D15))),CkDJ[Debit])))+(SUM(IF((CsDJ[Date]=$A$4)*(CsDJ[Ofc Code]=(TRIM(G$7)))*(CsDJ[Account Code]=(TRIM($D15))),CsDJ[Debit])))+(SUM(IF((CRDJ[Date]=$A$4)*(CRDJ[Ofc Code]=(TRIM(G$7)))*(CRDJ[Account Code]=(TRIM($D15))),CRDJ[Debit])))+(SUM(IF((GJ[Date]=$A$4)*(GJ[Ofc Code]=(TRIM(G$7)))*(GJ[Account Code]=(TRIM($D15))),GJ[Debit])))</f>
        <v>0</v>
      </c>
      <c r="H15" s="211">
        <f t="array" ref="H15">(SUM(IF((CkDJ[Date]=$A$4)*(CkDJ[Ofc Code]=(TRIM(H$7)))*(CkDJ[Account Code]=(TRIM($D15))),CkDJ[Credit])))+(SUM(IF((CsDJ[Date]=$A$4)*(CsDJ[Ofc Code]=(TRIM(H$7)))*(CsDJ[Account Code]=(TRIM($D15))),CsDJ[Credit])))+(SUM(IF((CRDJ[Date]=$A$4)*(CRDJ[Ofc Code]=(TRIM(H$7)))*(CRDJ[Account Code]=(TRIM($D15))),CRDJ[Credit])))+(SUM(IF((GJ[Date]=$A$4)*(GJ[Ofc Code]=(TRIM(H$7)))*(GJ[Account Code]=(TRIM($D15))),GJ[Credit])))-(SUM(IF((CkDJ[Date]=$A$4)*(CkDJ[Ofc Code]=(TRIM(H$7)))*(CkDJ[Account Code]=(TRIM($D15))),CkDJ[Debit])))+(SUM(IF((CsDJ[Date]=$A$4)*(CsDJ[Ofc Code]=(TRIM(H$7)))*(CsDJ[Account Code]=(TRIM($D15))),CsDJ[Debit])))+(SUM(IF((CRDJ[Date]=$A$4)*(CRDJ[Ofc Code]=(TRIM(H$7)))*(CRDJ[Account Code]=(TRIM($D15))),CRDJ[Debit])))+(SUM(IF((GJ[Date]=$A$4)*(GJ[Ofc Code]=(TRIM(H$7)))*(GJ[Account Code]=(TRIM($D15))),GJ[Debit])))</f>
        <v>0</v>
      </c>
      <c r="I15" s="211">
        <f t="shared" si="1"/>
        <v>0</v>
      </c>
      <c r="J15" s="211">
        <f t="array" ref="J15">(SUM(IF((CkDJ[Date]=$A$4)*(CkDJ[Ofc Code]=(TRIM(J$7)))*(CkDJ[Account Code]=(TRIM($D15))),CkDJ[Credit])))+(SUM(IF((CsDJ[Date]=$A$4)*(CsDJ[Ofc Code]=(TRIM(J$7)))*(CsDJ[Account Code]=(TRIM($D15))),CsDJ[Credit])))+(SUM(IF((CRDJ[Date]=$A$4)*(CRDJ[Ofc Code]=(TRIM(J$7)))*(CRDJ[Account Code]=(TRIM($D15))),CRDJ[Credit])))+(SUM(IF((GJ[Date]=$A$4)*(GJ[Ofc Code]=(TRIM(J$7)))*(GJ[Account Code]=(TRIM($D15))),GJ[Credit])))-(SUM(IF((CkDJ[Date]=$A$4)*(CkDJ[Ofc Code]=(TRIM(J$7)))*(CkDJ[Account Code]=(TRIM($D15))),CkDJ[Debit])))+(SUM(IF((CsDJ[Date]=$A$4)*(CsDJ[Ofc Code]=(TRIM(J$7)))*(CsDJ[Account Code]=(TRIM($D15))),CsDJ[Debit])))+(SUM(IF((CRDJ[Date]=$A$4)*(CRDJ[Ofc Code]=(TRIM(J$7)))*(CRDJ[Account Code]=(TRIM($D15))),CRDJ[Debit])))+(SUM(IF((GJ[Date]=$A$4)*(GJ[Ofc Code]=(TRIM(J$7)))*(GJ[Account Code]=(TRIM($D15))),GJ[Debit])))</f>
        <v>0</v>
      </c>
      <c r="K15" s="211">
        <f t="array" ref="K15">(SUM(IF((CkDJ[Date]=$A$4)*(CkDJ[Ofc Code]=(TRIM(K$7)))*(CkDJ[Account Code]=(TRIM($D15))),CkDJ[Credit])))+(SUM(IF((CsDJ[Date]=$A$4)*(CsDJ[Ofc Code]=(TRIM(K$7)))*(CsDJ[Account Code]=(TRIM($D15))),CsDJ[Credit])))+(SUM(IF((CRDJ[Date]=$A$4)*(CRDJ[Ofc Code]=(TRIM(K$7)))*(CRDJ[Account Code]=(TRIM($D15))),CRDJ[Credit])))+(SUM(IF((GJ[Date]=$A$4)*(GJ[Ofc Code]=(TRIM(K$7)))*(GJ[Account Code]=(TRIM($D15))),GJ[Credit])))-(SUM(IF((CkDJ[Date]=$A$4)*(CkDJ[Ofc Code]=(TRIM(K$7)))*(CkDJ[Account Code]=(TRIM($D15))),CkDJ[Debit])))+(SUM(IF((CsDJ[Date]=$A$4)*(CsDJ[Ofc Code]=(TRIM(K$7)))*(CsDJ[Account Code]=(TRIM($D15))),CsDJ[Debit])))+(SUM(IF((CRDJ[Date]=$A$4)*(CRDJ[Ofc Code]=(TRIM(K$7)))*(CRDJ[Account Code]=(TRIM($D15))),CRDJ[Debit])))+(SUM(IF((GJ[Date]=$A$4)*(GJ[Ofc Code]=(TRIM(K$7)))*(GJ[Account Code]=(TRIM($D15))),GJ[Debit])))</f>
        <v>0</v>
      </c>
      <c r="L15" s="211">
        <f t="array" ref="L15">(SUM(IF((CkDJ[Date]=$A$4)*(CkDJ[Ofc Code]=(TRIM(L$7)))*(CkDJ[Account Code]=(TRIM($D15))),CkDJ[Credit])))+(SUM(IF((CsDJ[Date]=$A$4)*(CsDJ[Ofc Code]=(TRIM(L$7)))*(CsDJ[Account Code]=(TRIM($D15))),CsDJ[Credit])))+(SUM(IF((CRDJ[Date]=$A$4)*(CRDJ[Ofc Code]=(TRIM(L$7)))*(CRDJ[Account Code]=(TRIM($D15))),CRDJ[Credit])))+(SUM(IF((GJ[Date]=$A$4)*(GJ[Ofc Code]=(TRIM(L$7)))*(GJ[Account Code]=(TRIM($D15))),GJ[Credit])))-(SUM(IF((CkDJ[Date]=$A$4)*(CkDJ[Ofc Code]=(TRIM(L$7)))*(CkDJ[Account Code]=(TRIM($D15))),CkDJ[Debit])))+(SUM(IF((CsDJ[Date]=$A$4)*(CsDJ[Ofc Code]=(TRIM(L$7)))*(CsDJ[Account Code]=(TRIM($D15))),CsDJ[Debit])))+(SUM(IF((CRDJ[Date]=$A$4)*(CRDJ[Ofc Code]=(TRIM(L$7)))*(CRDJ[Account Code]=(TRIM($D15))),CRDJ[Debit])))+(SUM(IF((GJ[Date]=$A$4)*(GJ[Ofc Code]=(TRIM(L$7)))*(GJ[Account Code]=(TRIM($D15))),GJ[Debit])))</f>
        <v>0</v>
      </c>
      <c r="M15" s="211">
        <f t="array" ref="M15">(SUM(IF((CkDJ[Date]=$A$4)*(CkDJ[Ofc Code]=(TRIM(M$7)))*(CkDJ[Account Code]=(TRIM($D15))),CkDJ[Credit])))+(SUM(IF((CsDJ[Date]=$A$4)*(CsDJ[Ofc Code]=(TRIM(M$7)))*(CsDJ[Account Code]=(TRIM($D15))),CsDJ[Credit])))+(SUM(IF((CRDJ[Date]=$A$4)*(CRDJ[Ofc Code]=(TRIM(M$7)))*(CRDJ[Account Code]=(TRIM($D15))),CRDJ[Credit])))+(SUM(IF((GJ[Date]=$A$4)*(GJ[Ofc Code]=(TRIM(M$7)))*(GJ[Account Code]=(TRIM($D15))),GJ[Credit])))-(SUM(IF((CkDJ[Date]=$A$4)*(CkDJ[Ofc Code]=(TRIM(M$7)))*(CkDJ[Account Code]=(TRIM($D15))),CkDJ[Debit])))+(SUM(IF((CsDJ[Date]=$A$4)*(CsDJ[Ofc Code]=(TRIM(M$7)))*(CsDJ[Account Code]=(TRIM($D15))),CsDJ[Debit])))+(SUM(IF((CRDJ[Date]=$A$4)*(CRDJ[Ofc Code]=(TRIM(M$7)))*(CRDJ[Account Code]=(TRIM($D15))),CRDJ[Debit])))+(SUM(IF((GJ[Date]=$A$4)*(GJ[Ofc Code]=(TRIM(M$7)))*(GJ[Account Code]=(TRIM($D15))),GJ[Debit])))</f>
        <v>0</v>
      </c>
      <c r="N15" s="211">
        <f t="shared" si="2"/>
        <v>0</v>
      </c>
      <c r="O15" s="211">
        <f t="array" ref="O15">(SUM(IF((CkDJ[Date]=$A$4)*(CkDJ[Ofc Code]=(TRIM(O$7)))*(CkDJ[Account Code]=(TRIM($D15))),CkDJ[Credit])))+(SUM(IF((CsDJ[Date]=$A$4)*(CsDJ[Ofc Code]=(TRIM(O$7)))*(CsDJ[Account Code]=(TRIM($D15))),CsDJ[Credit])))+(SUM(IF((CRDJ[Date]=$A$4)*(CRDJ[Ofc Code]=(TRIM(O$7)))*(CRDJ[Account Code]=(TRIM($D15))),CRDJ[Credit])))+(SUM(IF((GJ[Date]=$A$4)*(GJ[Ofc Code]=(TRIM(O$7)))*(GJ[Account Code]=(TRIM($D15))),GJ[Credit])))-(SUM(IF((CkDJ[Date]=$A$4)*(CkDJ[Ofc Code]=(TRIM(O$7)))*(CkDJ[Account Code]=(TRIM($D15))),CkDJ[Debit])))+(SUM(IF((CsDJ[Date]=$A$4)*(CsDJ[Ofc Code]=(TRIM(O$7)))*(CsDJ[Account Code]=(TRIM($D15))),CsDJ[Debit])))+(SUM(IF((CRDJ[Date]=$A$4)*(CRDJ[Ofc Code]=(TRIM(O$7)))*(CRDJ[Account Code]=(TRIM($D15))),CRDJ[Debit])))+(SUM(IF((GJ[Date]=$A$4)*(GJ[Ofc Code]=(TRIM(O$7)))*(GJ[Account Code]=(TRIM($D15))),GJ[Debit])))</f>
        <v>0</v>
      </c>
      <c r="P15" s="211">
        <f t="array" ref="P15">(SUM(IF((CkDJ[Date]=$A$4)*(CkDJ[Ofc Code]=(TRIM(P$7)))*(CkDJ[Account Code]=(TRIM($D15))),CkDJ[Credit])))+(SUM(IF((CsDJ[Date]=$A$4)*(CsDJ[Ofc Code]=(TRIM(P$7)))*(CsDJ[Account Code]=(TRIM($D15))),CsDJ[Credit])))+(SUM(IF((CRDJ[Date]=$A$4)*(CRDJ[Ofc Code]=(TRIM(P$7)))*(CRDJ[Account Code]=(TRIM($D15))),CRDJ[Credit])))+(SUM(IF((GJ[Date]=$A$4)*(GJ[Ofc Code]=(TRIM(P$7)))*(GJ[Account Code]=(TRIM($D15))),GJ[Credit])))-(SUM(IF((CkDJ[Date]=$A$4)*(CkDJ[Ofc Code]=(TRIM(P$7)))*(CkDJ[Account Code]=(TRIM($D15))),CkDJ[Debit])))+(SUM(IF((CsDJ[Date]=$A$4)*(CsDJ[Ofc Code]=(TRIM(P$7)))*(CsDJ[Account Code]=(TRIM($D15))),CsDJ[Debit])))+(SUM(IF((CRDJ[Date]=$A$4)*(CRDJ[Ofc Code]=(TRIM(P$7)))*(CRDJ[Account Code]=(TRIM($D15))),CRDJ[Debit])))+(SUM(IF((GJ[Date]=$A$4)*(GJ[Ofc Code]=(TRIM(P$7)))*(GJ[Account Code]=(TRIM($D15))),GJ[Debit])))</f>
        <v>0</v>
      </c>
      <c r="Q15" s="211">
        <f t="array" ref="Q15">(SUM(IF((CkDJ[Date]=$A$4)*(CkDJ[Ofc Code]=(TRIM(Q$7)))*(CkDJ[Account Code]=(TRIM($D15))),CkDJ[Credit])))+(SUM(IF((CsDJ[Date]=$A$4)*(CsDJ[Ofc Code]=(TRIM(Q$7)))*(CsDJ[Account Code]=(TRIM($D15))),CsDJ[Credit])))+(SUM(IF((CRDJ[Date]=$A$4)*(CRDJ[Ofc Code]=(TRIM(Q$7)))*(CRDJ[Account Code]=(TRIM($D15))),CRDJ[Credit])))+(SUM(IF((GJ[Date]=$A$4)*(GJ[Ofc Code]=(TRIM(Q$7)))*(GJ[Account Code]=(TRIM($D15))),GJ[Credit])))-(SUM(IF((CkDJ[Date]=$A$4)*(CkDJ[Ofc Code]=(TRIM(Q$7)))*(CkDJ[Account Code]=(TRIM($D15))),CkDJ[Debit])))+(SUM(IF((CsDJ[Date]=$A$4)*(CsDJ[Ofc Code]=(TRIM(Q$7)))*(CsDJ[Account Code]=(TRIM($D15))),CsDJ[Debit])))+(SUM(IF((CRDJ[Date]=$A$4)*(CRDJ[Ofc Code]=(TRIM(Q$7)))*(CRDJ[Account Code]=(TRIM($D15))),CRDJ[Debit])))+(SUM(IF((GJ[Date]=$A$4)*(GJ[Ofc Code]=(TRIM(Q$7)))*(GJ[Account Code]=(TRIM($D15))),GJ[Debit])))</f>
        <v>0</v>
      </c>
      <c r="R15" s="211">
        <f t="array" ref="R15">(SUM(IF((CkDJ[Date]=$A$4)*(CkDJ[Ofc Code]=(TRIM(R$7)))*(CkDJ[Account Code]=(TRIM($D15))),CkDJ[Credit])))+(SUM(IF((CsDJ[Date]=$A$4)*(CsDJ[Ofc Code]=(TRIM(R$7)))*(CsDJ[Account Code]=(TRIM($D15))),CsDJ[Credit])))+(SUM(IF((CRDJ[Date]=$A$4)*(CRDJ[Ofc Code]=(TRIM(R$7)))*(CRDJ[Account Code]=(TRIM($D15))),CRDJ[Credit])))+(SUM(IF((GJ[Date]=$A$4)*(GJ[Ofc Code]=(TRIM(R$7)))*(GJ[Account Code]=(TRIM($D15))),GJ[Credit])))-(SUM(IF((CkDJ[Date]=$A$4)*(CkDJ[Ofc Code]=(TRIM(R$7)))*(CkDJ[Account Code]=(TRIM($D15))),CkDJ[Debit])))+(SUM(IF((CsDJ[Date]=$A$4)*(CsDJ[Ofc Code]=(TRIM(R$7)))*(CsDJ[Account Code]=(TRIM($D15))),CsDJ[Debit])))+(SUM(IF((CRDJ[Date]=$A$4)*(CRDJ[Ofc Code]=(TRIM(R$7)))*(CRDJ[Account Code]=(TRIM($D15))),CRDJ[Debit])))+(SUM(IF((GJ[Date]=$A$4)*(GJ[Ofc Code]=(TRIM(R$7)))*(GJ[Account Code]=(TRIM($D15))),GJ[Debit])))</f>
        <v>0</v>
      </c>
      <c r="S15" s="211">
        <f t="array" ref="S15">(SUM(IF((CkDJ[Date]=$A$4)*(CkDJ[Ofc Code]=(TRIM(S$7)))*(CkDJ[Account Code]=(TRIM($D15))),CkDJ[Credit])))+(SUM(IF((CsDJ[Date]=$A$4)*(CsDJ[Ofc Code]=(TRIM(S$7)))*(CsDJ[Account Code]=(TRIM($D15))),CsDJ[Credit])))+(SUM(IF((CRDJ[Date]=$A$4)*(CRDJ[Ofc Code]=(TRIM(S$7)))*(CRDJ[Account Code]=(TRIM($D15))),CRDJ[Credit])))+(SUM(IF((GJ[Date]=$A$4)*(GJ[Ofc Code]=(TRIM(S$7)))*(GJ[Account Code]=(TRIM($D15))),GJ[Credit])))-(SUM(IF((CkDJ[Date]=$A$4)*(CkDJ[Ofc Code]=(TRIM(S$7)))*(CkDJ[Account Code]=(TRIM($D15))),CkDJ[Debit])))+(SUM(IF((CsDJ[Date]=$A$4)*(CsDJ[Ofc Code]=(TRIM(S$7)))*(CsDJ[Account Code]=(TRIM($D15))),CsDJ[Debit])))+(SUM(IF((CRDJ[Date]=$A$4)*(CRDJ[Ofc Code]=(TRIM(S$7)))*(CRDJ[Account Code]=(TRIM($D15))),CRDJ[Debit])))+(SUM(IF((GJ[Date]=$A$4)*(GJ[Ofc Code]=(TRIM(S$7)))*(GJ[Account Code]=(TRIM($D15))),GJ[Debit])))</f>
        <v>0</v>
      </c>
      <c r="T15" s="211">
        <f t="shared" si="3"/>
        <v>0</v>
      </c>
      <c r="U15" s="211">
        <f t="shared" si="4"/>
        <v>0</v>
      </c>
    </row>
    <row r="16" spans="1:21" ht="15" x14ac:dyDescent="0.25">
      <c r="A16" s="212">
        <f t="shared" si="5"/>
        <v>8</v>
      </c>
      <c r="B16" s="214"/>
      <c r="C16" s="194" t="str">
        <f t="shared" si="0"/>
        <v>Other Service Income - Pump Equity (Current Account)</v>
      </c>
      <c r="D16" s="207" t="s">
        <v>141</v>
      </c>
      <c r="E16" s="211">
        <f t="array" ref="E16">(SUM(IF((CkDJ[Date]=$A$4)*(CkDJ[Ofc Code]=(TRIM(E$7)))*(CkDJ[Account Code]=(TRIM($D16))),CkDJ[Credit])))+(SUM(IF((CsDJ[Date]=$A$4)*(CsDJ[Ofc Code]=(TRIM(E$7)))*(CsDJ[Account Code]=(TRIM($D16))),CsDJ[Credit])))+(SUM(IF((CRDJ[Date]=$A$4)*(CRDJ[Ofc Code]=(TRIM(E$7)))*(CRDJ[Account Code]=(TRIM($D16))),CRDJ[Credit])))+(SUM(IF((GJ[Date]=$A$4)*(GJ[Ofc Code]=(TRIM(E$7)))*(GJ[Account Code]=(TRIM($D16))),GJ[Credit])))-(SUM(IF((CkDJ[Date]=$A$4)*(CkDJ[Ofc Code]=(TRIM(E$7)))*(CkDJ[Account Code]=(TRIM($D16))),CkDJ[Debit])))+(SUM(IF((CsDJ[Date]=$A$4)*(CsDJ[Ofc Code]=(TRIM(E$7)))*(CsDJ[Account Code]=(TRIM($D16))),CsDJ[Debit])))+(SUM(IF((CRDJ[Date]=$A$4)*(CRDJ[Ofc Code]=(TRIM(E$7)))*(CRDJ[Account Code]=(TRIM($D16))),CRDJ[Debit])))+(SUM(IF((GJ[Date]=$A$4)*(GJ[Ofc Code]=(TRIM(E$7)))*(GJ[Account Code]=(TRIM($D16))),GJ[Debit])))</f>
        <v>0</v>
      </c>
      <c r="F16" s="211">
        <f t="array" ref="F16">(SUM(IF((CkDJ[Date]=$A$4)*(CkDJ[Ofc Code]=(TRIM(F$7)))*(CkDJ[Account Code]=(TRIM($D16))),CkDJ[Credit])))+(SUM(IF((CsDJ[Date]=$A$4)*(CsDJ[Ofc Code]=(TRIM(F$7)))*(CsDJ[Account Code]=(TRIM($D16))),CsDJ[Credit])))+(SUM(IF((CRDJ[Date]=$A$4)*(CRDJ[Ofc Code]=(TRIM(F$7)))*(CRDJ[Account Code]=(TRIM($D16))),CRDJ[Credit])))+(SUM(IF((GJ[Date]=$A$4)*(GJ[Ofc Code]=(TRIM(F$7)))*(GJ[Account Code]=(TRIM($D16))),GJ[Credit])))-(SUM(IF((CkDJ[Date]=$A$4)*(CkDJ[Ofc Code]=(TRIM(F$7)))*(CkDJ[Account Code]=(TRIM($D16))),CkDJ[Debit])))+(SUM(IF((CsDJ[Date]=$A$4)*(CsDJ[Ofc Code]=(TRIM(F$7)))*(CsDJ[Account Code]=(TRIM($D16))),CsDJ[Debit])))+(SUM(IF((CRDJ[Date]=$A$4)*(CRDJ[Ofc Code]=(TRIM(F$7)))*(CRDJ[Account Code]=(TRIM($D16))),CRDJ[Debit])))+(SUM(IF((GJ[Date]=$A$4)*(GJ[Ofc Code]=(TRIM(F$7)))*(GJ[Account Code]=(TRIM($D16))),GJ[Debit])))</f>
        <v>0</v>
      </c>
      <c r="G16" s="211">
        <f t="array" ref="G16">(SUM(IF((CkDJ[Date]=$A$4)*(CkDJ[Ofc Code]=(TRIM(G$7)))*(CkDJ[Account Code]=(TRIM($D16))),CkDJ[Credit])))+(SUM(IF((CsDJ[Date]=$A$4)*(CsDJ[Ofc Code]=(TRIM(G$7)))*(CsDJ[Account Code]=(TRIM($D16))),CsDJ[Credit])))+(SUM(IF((CRDJ[Date]=$A$4)*(CRDJ[Ofc Code]=(TRIM(G$7)))*(CRDJ[Account Code]=(TRIM($D16))),CRDJ[Credit])))+(SUM(IF((GJ[Date]=$A$4)*(GJ[Ofc Code]=(TRIM(G$7)))*(GJ[Account Code]=(TRIM($D16))),GJ[Credit])))-(SUM(IF((CkDJ[Date]=$A$4)*(CkDJ[Ofc Code]=(TRIM(G$7)))*(CkDJ[Account Code]=(TRIM($D16))),CkDJ[Debit])))+(SUM(IF((CsDJ[Date]=$A$4)*(CsDJ[Ofc Code]=(TRIM(G$7)))*(CsDJ[Account Code]=(TRIM($D16))),CsDJ[Debit])))+(SUM(IF((CRDJ[Date]=$A$4)*(CRDJ[Ofc Code]=(TRIM(G$7)))*(CRDJ[Account Code]=(TRIM($D16))),CRDJ[Debit])))+(SUM(IF((GJ[Date]=$A$4)*(GJ[Ofc Code]=(TRIM(G$7)))*(GJ[Account Code]=(TRIM($D16))),GJ[Debit])))</f>
        <v>0</v>
      </c>
      <c r="H16" s="211">
        <f t="array" ref="H16">(SUM(IF((CkDJ[Date]=$A$4)*(CkDJ[Ofc Code]=(TRIM(H$7)))*(CkDJ[Account Code]=(TRIM($D16))),CkDJ[Credit])))+(SUM(IF((CsDJ[Date]=$A$4)*(CsDJ[Ofc Code]=(TRIM(H$7)))*(CsDJ[Account Code]=(TRIM($D16))),CsDJ[Credit])))+(SUM(IF((CRDJ[Date]=$A$4)*(CRDJ[Ofc Code]=(TRIM(H$7)))*(CRDJ[Account Code]=(TRIM($D16))),CRDJ[Credit])))+(SUM(IF((GJ[Date]=$A$4)*(GJ[Ofc Code]=(TRIM(H$7)))*(GJ[Account Code]=(TRIM($D16))),GJ[Credit])))-(SUM(IF((CkDJ[Date]=$A$4)*(CkDJ[Ofc Code]=(TRIM(H$7)))*(CkDJ[Account Code]=(TRIM($D16))),CkDJ[Debit])))+(SUM(IF((CsDJ[Date]=$A$4)*(CsDJ[Ofc Code]=(TRIM(H$7)))*(CsDJ[Account Code]=(TRIM($D16))),CsDJ[Debit])))+(SUM(IF((CRDJ[Date]=$A$4)*(CRDJ[Ofc Code]=(TRIM(H$7)))*(CRDJ[Account Code]=(TRIM($D16))),CRDJ[Debit])))+(SUM(IF((GJ[Date]=$A$4)*(GJ[Ofc Code]=(TRIM(H$7)))*(GJ[Account Code]=(TRIM($D16))),GJ[Debit])))</f>
        <v>0</v>
      </c>
      <c r="I16" s="211">
        <f t="shared" si="1"/>
        <v>0</v>
      </c>
      <c r="J16" s="211">
        <f t="array" ref="J16">(SUM(IF((CkDJ[Date]=$A$4)*(CkDJ[Ofc Code]=(TRIM(J$7)))*(CkDJ[Account Code]=(TRIM($D16))),CkDJ[Credit])))+(SUM(IF((CsDJ[Date]=$A$4)*(CsDJ[Ofc Code]=(TRIM(J$7)))*(CsDJ[Account Code]=(TRIM($D16))),CsDJ[Credit])))+(SUM(IF((CRDJ[Date]=$A$4)*(CRDJ[Ofc Code]=(TRIM(J$7)))*(CRDJ[Account Code]=(TRIM($D16))),CRDJ[Credit])))+(SUM(IF((GJ[Date]=$A$4)*(GJ[Ofc Code]=(TRIM(J$7)))*(GJ[Account Code]=(TRIM($D16))),GJ[Credit])))-(SUM(IF((CkDJ[Date]=$A$4)*(CkDJ[Ofc Code]=(TRIM(J$7)))*(CkDJ[Account Code]=(TRIM($D16))),CkDJ[Debit])))+(SUM(IF((CsDJ[Date]=$A$4)*(CsDJ[Ofc Code]=(TRIM(J$7)))*(CsDJ[Account Code]=(TRIM($D16))),CsDJ[Debit])))+(SUM(IF((CRDJ[Date]=$A$4)*(CRDJ[Ofc Code]=(TRIM(J$7)))*(CRDJ[Account Code]=(TRIM($D16))),CRDJ[Debit])))+(SUM(IF((GJ[Date]=$A$4)*(GJ[Ofc Code]=(TRIM(J$7)))*(GJ[Account Code]=(TRIM($D16))),GJ[Debit])))</f>
        <v>0</v>
      </c>
      <c r="K16" s="211">
        <f t="array" ref="K16">(SUM(IF((CkDJ[Date]=$A$4)*(CkDJ[Ofc Code]=(TRIM(K$7)))*(CkDJ[Account Code]=(TRIM($D16))),CkDJ[Credit])))+(SUM(IF((CsDJ[Date]=$A$4)*(CsDJ[Ofc Code]=(TRIM(K$7)))*(CsDJ[Account Code]=(TRIM($D16))),CsDJ[Credit])))+(SUM(IF((CRDJ[Date]=$A$4)*(CRDJ[Ofc Code]=(TRIM(K$7)))*(CRDJ[Account Code]=(TRIM($D16))),CRDJ[Credit])))+(SUM(IF((GJ[Date]=$A$4)*(GJ[Ofc Code]=(TRIM(K$7)))*(GJ[Account Code]=(TRIM($D16))),GJ[Credit])))-(SUM(IF((CkDJ[Date]=$A$4)*(CkDJ[Ofc Code]=(TRIM(K$7)))*(CkDJ[Account Code]=(TRIM($D16))),CkDJ[Debit])))+(SUM(IF((CsDJ[Date]=$A$4)*(CsDJ[Ofc Code]=(TRIM(K$7)))*(CsDJ[Account Code]=(TRIM($D16))),CsDJ[Debit])))+(SUM(IF((CRDJ[Date]=$A$4)*(CRDJ[Ofc Code]=(TRIM(K$7)))*(CRDJ[Account Code]=(TRIM($D16))),CRDJ[Debit])))+(SUM(IF((GJ[Date]=$A$4)*(GJ[Ofc Code]=(TRIM(K$7)))*(GJ[Account Code]=(TRIM($D16))),GJ[Debit])))</f>
        <v>0</v>
      </c>
      <c r="L16" s="211">
        <f t="array" ref="L16">(SUM(IF((CkDJ[Date]=$A$4)*(CkDJ[Ofc Code]=(TRIM(L$7)))*(CkDJ[Account Code]=(TRIM($D16))),CkDJ[Credit])))+(SUM(IF((CsDJ[Date]=$A$4)*(CsDJ[Ofc Code]=(TRIM(L$7)))*(CsDJ[Account Code]=(TRIM($D16))),CsDJ[Credit])))+(SUM(IF((CRDJ[Date]=$A$4)*(CRDJ[Ofc Code]=(TRIM(L$7)))*(CRDJ[Account Code]=(TRIM($D16))),CRDJ[Credit])))+(SUM(IF((GJ[Date]=$A$4)*(GJ[Ofc Code]=(TRIM(L$7)))*(GJ[Account Code]=(TRIM($D16))),GJ[Credit])))-(SUM(IF((CkDJ[Date]=$A$4)*(CkDJ[Ofc Code]=(TRIM(L$7)))*(CkDJ[Account Code]=(TRIM($D16))),CkDJ[Debit])))+(SUM(IF((CsDJ[Date]=$A$4)*(CsDJ[Ofc Code]=(TRIM(L$7)))*(CsDJ[Account Code]=(TRIM($D16))),CsDJ[Debit])))+(SUM(IF((CRDJ[Date]=$A$4)*(CRDJ[Ofc Code]=(TRIM(L$7)))*(CRDJ[Account Code]=(TRIM($D16))),CRDJ[Debit])))+(SUM(IF((GJ[Date]=$A$4)*(GJ[Ofc Code]=(TRIM(L$7)))*(GJ[Account Code]=(TRIM($D16))),GJ[Debit])))</f>
        <v>0</v>
      </c>
      <c r="M16" s="211">
        <f t="array" ref="M16">(SUM(IF((CkDJ[Date]=$A$4)*(CkDJ[Ofc Code]=(TRIM(M$7)))*(CkDJ[Account Code]=(TRIM($D16))),CkDJ[Credit])))+(SUM(IF((CsDJ[Date]=$A$4)*(CsDJ[Ofc Code]=(TRIM(M$7)))*(CsDJ[Account Code]=(TRIM($D16))),CsDJ[Credit])))+(SUM(IF((CRDJ[Date]=$A$4)*(CRDJ[Ofc Code]=(TRIM(M$7)))*(CRDJ[Account Code]=(TRIM($D16))),CRDJ[Credit])))+(SUM(IF((GJ[Date]=$A$4)*(GJ[Ofc Code]=(TRIM(M$7)))*(GJ[Account Code]=(TRIM($D16))),GJ[Credit])))-(SUM(IF((CkDJ[Date]=$A$4)*(CkDJ[Ofc Code]=(TRIM(M$7)))*(CkDJ[Account Code]=(TRIM($D16))),CkDJ[Debit])))+(SUM(IF((CsDJ[Date]=$A$4)*(CsDJ[Ofc Code]=(TRIM(M$7)))*(CsDJ[Account Code]=(TRIM($D16))),CsDJ[Debit])))+(SUM(IF((CRDJ[Date]=$A$4)*(CRDJ[Ofc Code]=(TRIM(M$7)))*(CRDJ[Account Code]=(TRIM($D16))),CRDJ[Debit])))+(SUM(IF((GJ[Date]=$A$4)*(GJ[Ofc Code]=(TRIM(M$7)))*(GJ[Account Code]=(TRIM($D16))),GJ[Debit])))</f>
        <v>0</v>
      </c>
      <c r="N16" s="211">
        <f t="shared" si="2"/>
        <v>0</v>
      </c>
      <c r="O16" s="211">
        <f t="array" ref="O16">(SUM(IF((CkDJ[Date]=$A$4)*(CkDJ[Ofc Code]=(TRIM(O$7)))*(CkDJ[Account Code]=(TRIM($D16))),CkDJ[Credit])))+(SUM(IF((CsDJ[Date]=$A$4)*(CsDJ[Ofc Code]=(TRIM(O$7)))*(CsDJ[Account Code]=(TRIM($D16))),CsDJ[Credit])))+(SUM(IF((CRDJ[Date]=$A$4)*(CRDJ[Ofc Code]=(TRIM(O$7)))*(CRDJ[Account Code]=(TRIM($D16))),CRDJ[Credit])))+(SUM(IF((GJ[Date]=$A$4)*(GJ[Ofc Code]=(TRIM(O$7)))*(GJ[Account Code]=(TRIM($D16))),GJ[Credit])))-(SUM(IF((CkDJ[Date]=$A$4)*(CkDJ[Ofc Code]=(TRIM(O$7)))*(CkDJ[Account Code]=(TRIM($D16))),CkDJ[Debit])))+(SUM(IF((CsDJ[Date]=$A$4)*(CsDJ[Ofc Code]=(TRIM(O$7)))*(CsDJ[Account Code]=(TRIM($D16))),CsDJ[Debit])))+(SUM(IF((CRDJ[Date]=$A$4)*(CRDJ[Ofc Code]=(TRIM(O$7)))*(CRDJ[Account Code]=(TRIM($D16))),CRDJ[Debit])))+(SUM(IF((GJ[Date]=$A$4)*(GJ[Ofc Code]=(TRIM(O$7)))*(GJ[Account Code]=(TRIM($D16))),GJ[Debit])))</f>
        <v>0</v>
      </c>
      <c r="P16" s="211">
        <f t="array" ref="P16">(SUM(IF((CkDJ[Date]=$A$4)*(CkDJ[Ofc Code]=(TRIM(P$7)))*(CkDJ[Account Code]=(TRIM($D16))),CkDJ[Credit])))+(SUM(IF((CsDJ[Date]=$A$4)*(CsDJ[Ofc Code]=(TRIM(P$7)))*(CsDJ[Account Code]=(TRIM($D16))),CsDJ[Credit])))+(SUM(IF((CRDJ[Date]=$A$4)*(CRDJ[Ofc Code]=(TRIM(P$7)))*(CRDJ[Account Code]=(TRIM($D16))),CRDJ[Credit])))+(SUM(IF((GJ[Date]=$A$4)*(GJ[Ofc Code]=(TRIM(P$7)))*(GJ[Account Code]=(TRIM($D16))),GJ[Credit])))-(SUM(IF((CkDJ[Date]=$A$4)*(CkDJ[Ofc Code]=(TRIM(P$7)))*(CkDJ[Account Code]=(TRIM($D16))),CkDJ[Debit])))+(SUM(IF((CsDJ[Date]=$A$4)*(CsDJ[Ofc Code]=(TRIM(P$7)))*(CsDJ[Account Code]=(TRIM($D16))),CsDJ[Debit])))+(SUM(IF((CRDJ[Date]=$A$4)*(CRDJ[Ofc Code]=(TRIM(P$7)))*(CRDJ[Account Code]=(TRIM($D16))),CRDJ[Debit])))+(SUM(IF((GJ[Date]=$A$4)*(GJ[Ofc Code]=(TRIM(P$7)))*(GJ[Account Code]=(TRIM($D16))),GJ[Debit])))</f>
        <v>0</v>
      </c>
      <c r="Q16" s="211">
        <f t="array" ref="Q16">(SUM(IF((CkDJ[Date]=$A$4)*(CkDJ[Ofc Code]=(TRIM(Q$7)))*(CkDJ[Account Code]=(TRIM($D16))),CkDJ[Credit])))+(SUM(IF((CsDJ[Date]=$A$4)*(CsDJ[Ofc Code]=(TRIM(Q$7)))*(CsDJ[Account Code]=(TRIM($D16))),CsDJ[Credit])))+(SUM(IF((CRDJ[Date]=$A$4)*(CRDJ[Ofc Code]=(TRIM(Q$7)))*(CRDJ[Account Code]=(TRIM($D16))),CRDJ[Credit])))+(SUM(IF((GJ[Date]=$A$4)*(GJ[Ofc Code]=(TRIM(Q$7)))*(GJ[Account Code]=(TRIM($D16))),GJ[Credit])))-(SUM(IF((CkDJ[Date]=$A$4)*(CkDJ[Ofc Code]=(TRIM(Q$7)))*(CkDJ[Account Code]=(TRIM($D16))),CkDJ[Debit])))+(SUM(IF((CsDJ[Date]=$A$4)*(CsDJ[Ofc Code]=(TRIM(Q$7)))*(CsDJ[Account Code]=(TRIM($D16))),CsDJ[Debit])))+(SUM(IF((CRDJ[Date]=$A$4)*(CRDJ[Ofc Code]=(TRIM(Q$7)))*(CRDJ[Account Code]=(TRIM($D16))),CRDJ[Debit])))+(SUM(IF((GJ[Date]=$A$4)*(GJ[Ofc Code]=(TRIM(Q$7)))*(GJ[Account Code]=(TRIM($D16))),GJ[Debit])))</f>
        <v>0</v>
      </c>
      <c r="R16" s="211">
        <f t="array" ref="R16">(SUM(IF((CkDJ[Date]=$A$4)*(CkDJ[Ofc Code]=(TRIM(R$7)))*(CkDJ[Account Code]=(TRIM($D16))),CkDJ[Credit])))+(SUM(IF((CsDJ[Date]=$A$4)*(CsDJ[Ofc Code]=(TRIM(R$7)))*(CsDJ[Account Code]=(TRIM($D16))),CsDJ[Credit])))+(SUM(IF((CRDJ[Date]=$A$4)*(CRDJ[Ofc Code]=(TRIM(R$7)))*(CRDJ[Account Code]=(TRIM($D16))),CRDJ[Credit])))+(SUM(IF((GJ[Date]=$A$4)*(GJ[Ofc Code]=(TRIM(R$7)))*(GJ[Account Code]=(TRIM($D16))),GJ[Credit])))-(SUM(IF((CkDJ[Date]=$A$4)*(CkDJ[Ofc Code]=(TRIM(R$7)))*(CkDJ[Account Code]=(TRIM($D16))),CkDJ[Debit])))+(SUM(IF((CsDJ[Date]=$A$4)*(CsDJ[Ofc Code]=(TRIM(R$7)))*(CsDJ[Account Code]=(TRIM($D16))),CsDJ[Debit])))+(SUM(IF((CRDJ[Date]=$A$4)*(CRDJ[Ofc Code]=(TRIM(R$7)))*(CRDJ[Account Code]=(TRIM($D16))),CRDJ[Debit])))+(SUM(IF((GJ[Date]=$A$4)*(GJ[Ofc Code]=(TRIM(R$7)))*(GJ[Account Code]=(TRIM($D16))),GJ[Debit])))</f>
        <v>0</v>
      </c>
      <c r="S16" s="211">
        <f t="array" ref="S16">(SUM(IF((CkDJ[Date]=$A$4)*(CkDJ[Ofc Code]=(TRIM(S$7)))*(CkDJ[Account Code]=(TRIM($D16))),CkDJ[Credit])))+(SUM(IF((CsDJ[Date]=$A$4)*(CsDJ[Ofc Code]=(TRIM(S$7)))*(CsDJ[Account Code]=(TRIM($D16))),CsDJ[Credit])))+(SUM(IF((CRDJ[Date]=$A$4)*(CRDJ[Ofc Code]=(TRIM(S$7)))*(CRDJ[Account Code]=(TRIM($D16))),CRDJ[Credit])))+(SUM(IF((GJ[Date]=$A$4)*(GJ[Ofc Code]=(TRIM(S$7)))*(GJ[Account Code]=(TRIM($D16))),GJ[Credit])))-(SUM(IF((CkDJ[Date]=$A$4)*(CkDJ[Ofc Code]=(TRIM(S$7)))*(CkDJ[Account Code]=(TRIM($D16))),CkDJ[Debit])))+(SUM(IF((CsDJ[Date]=$A$4)*(CsDJ[Ofc Code]=(TRIM(S$7)))*(CsDJ[Account Code]=(TRIM($D16))),CsDJ[Debit])))+(SUM(IF((CRDJ[Date]=$A$4)*(CRDJ[Ofc Code]=(TRIM(S$7)))*(CRDJ[Account Code]=(TRIM($D16))),CRDJ[Debit])))+(SUM(IF((GJ[Date]=$A$4)*(GJ[Ofc Code]=(TRIM(S$7)))*(GJ[Account Code]=(TRIM($D16))),GJ[Debit])))</f>
        <v>0</v>
      </c>
      <c r="T16" s="211">
        <f t="shared" si="3"/>
        <v>0</v>
      </c>
      <c r="U16" s="211">
        <f t="shared" si="4"/>
        <v>0</v>
      </c>
    </row>
    <row r="17" spans="1:21" ht="15" x14ac:dyDescent="0.25">
      <c r="A17" s="212">
        <f t="shared" si="5"/>
        <v>9</v>
      </c>
      <c r="B17" s="214" t="s">
        <v>756</v>
      </c>
      <c r="C17" s="194" t="str">
        <f t="shared" si="0"/>
        <v>Fines and Penalties-Irrigation Service Fee</v>
      </c>
      <c r="D17" s="207" t="s">
        <v>143</v>
      </c>
      <c r="E17" s="211">
        <f t="array" ref="E17">(SUM(IF((CkDJ[Date]=$A$4)*(CkDJ[Ofc Code]=(TRIM(E$7)))*(CkDJ[Account Code]=(TRIM($D17))),CkDJ[Credit])))+(SUM(IF((CsDJ[Date]=$A$4)*(CsDJ[Ofc Code]=(TRIM(E$7)))*(CsDJ[Account Code]=(TRIM($D17))),CsDJ[Credit])))+(SUM(IF((CRDJ[Date]=$A$4)*(CRDJ[Ofc Code]=(TRIM(E$7)))*(CRDJ[Account Code]=(TRIM($D17))),CRDJ[Credit])))+(SUM(IF((GJ[Date]=$A$4)*(GJ[Ofc Code]=(TRIM(E$7)))*(GJ[Account Code]=(TRIM($D17))),GJ[Credit])))-(SUM(IF((CkDJ[Date]=$A$4)*(CkDJ[Ofc Code]=(TRIM(E$7)))*(CkDJ[Account Code]=(TRIM($D17))),CkDJ[Debit])))+(SUM(IF((CsDJ[Date]=$A$4)*(CsDJ[Ofc Code]=(TRIM(E$7)))*(CsDJ[Account Code]=(TRIM($D17))),CsDJ[Debit])))+(SUM(IF((CRDJ[Date]=$A$4)*(CRDJ[Ofc Code]=(TRIM(E$7)))*(CRDJ[Account Code]=(TRIM($D17))),CRDJ[Debit])))+(SUM(IF((GJ[Date]=$A$4)*(GJ[Ofc Code]=(TRIM(E$7)))*(GJ[Account Code]=(TRIM($D17))),GJ[Debit])))</f>
        <v>0</v>
      </c>
      <c r="F17" s="211">
        <f t="array" ref="F17">(SUM(IF((CkDJ[Date]=$A$4)*(CkDJ[Ofc Code]=(TRIM(F$7)))*(CkDJ[Account Code]=(TRIM($D17))),CkDJ[Credit])))+(SUM(IF((CsDJ[Date]=$A$4)*(CsDJ[Ofc Code]=(TRIM(F$7)))*(CsDJ[Account Code]=(TRIM($D17))),CsDJ[Credit])))+(SUM(IF((CRDJ[Date]=$A$4)*(CRDJ[Ofc Code]=(TRIM(F$7)))*(CRDJ[Account Code]=(TRIM($D17))),CRDJ[Credit])))+(SUM(IF((GJ[Date]=$A$4)*(GJ[Ofc Code]=(TRIM(F$7)))*(GJ[Account Code]=(TRIM($D17))),GJ[Credit])))-(SUM(IF((CkDJ[Date]=$A$4)*(CkDJ[Ofc Code]=(TRIM(F$7)))*(CkDJ[Account Code]=(TRIM($D17))),CkDJ[Debit])))+(SUM(IF((CsDJ[Date]=$A$4)*(CsDJ[Ofc Code]=(TRIM(F$7)))*(CsDJ[Account Code]=(TRIM($D17))),CsDJ[Debit])))+(SUM(IF((CRDJ[Date]=$A$4)*(CRDJ[Ofc Code]=(TRIM(F$7)))*(CRDJ[Account Code]=(TRIM($D17))),CRDJ[Debit])))+(SUM(IF((GJ[Date]=$A$4)*(GJ[Ofc Code]=(TRIM(F$7)))*(GJ[Account Code]=(TRIM($D17))),GJ[Debit])))</f>
        <v>0</v>
      </c>
      <c r="G17" s="211">
        <f t="array" ref="G17">(SUM(IF((CkDJ[Date]=$A$4)*(CkDJ[Ofc Code]=(TRIM(G$7)))*(CkDJ[Account Code]=(TRIM($D17))),CkDJ[Credit])))+(SUM(IF((CsDJ[Date]=$A$4)*(CsDJ[Ofc Code]=(TRIM(G$7)))*(CsDJ[Account Code]=(TRIM($D17))),CsDJ[Credit])))+(SUM(IF((CRDJ[Date]=$A$4)*(CRDJ[Ofc Code]=(TRIM(G$7)))*(CRDJ[Account Code]=(TRIM($D17))),CRDJ[Credit])))+(SUM(IF((GJ[Date]=$A$4)*(GJ[Ofc Code]=(TRIM(G$7)))*(GJ[Account Code]=(TRIM($D17))),GJ[Credit])))-(SUM(IF((CkDJ[Date]=$A$4)*(CkDJ[Ofc Code]=(TRIM(G$7)))*(CkDJ[Account Code]=(TRIM($D17))),CkDJ[Debit])))+(SUM(IF((CsDJ[Date]=$A$4)*(CsDJ[Ofc Code]=(TRIM(G$7)))*(CsDJ[Account Code]=(TRIM($D17))),CsDJ[Debit])))+(SUM(IF((CRDJ[Date]=$A$4)*(CRDJ[Ofc Code]=(TRIM(G$7)))*(CRDJ[Account Code]=(TRIM($D17))),CRDJ[Debit])))+(SUM(IF((GJ[Date]=$A$4)*(GJ[Ofc Code]=(TRIM(G$7)))*(GJ[Account Code]=(TRIM($D17))),GJ[Debit])))</f>
        <v>0</v>
      </c>
      <c r="H17" s="211">
        <f t="array" ref="H17">(SUM(IF((CkDJ[Date]=$A$4)*(CkDJ[Ofc Code]=(TRIM(H$7)))*(CkDJ[Account Code]=(TRIM($D17))),CkDJ[Credit])))+(SUM(IF((CsDJ[Date]=$A$4)*(CsDJ[Ofc Code]=(TRIM(H$7)))*(CsDJ[Account Code]=(TRIM($D17))),CsDJ[Credit])))+(SUM(IF((CRDJ[Date]=$A$4)*(CRDJ[Ofc Code]=(TRIM(H$7)))*(CRDJ[Account Code]=(TRIM($D17))),CRDJ[Credit])))+(SUM(IF((GJ[Date]=$A$4)*(GJ[Ofc Code]=(TRIM(H$7)))*(GJ[Account Code]=(TRIM($D17))),GJ[Credit])))-(SUM(IF((CkDJ[Date]=$A$4)*(CkDJ[Ofc Code]=(TRIM(H$7)))*(CkDJ[Account Code]=(TRIM($D17))),CkDJ[Debit])))+(SUM(IF((CsDJ[Date]=$A$4)*(CsDJ[Ofc Code]=(TRIM(H$7)))*(CsDJ[Account Code]=(TRIM($D17))),CsDJ[Debit])))+(SUM(IF((CRDJ[Date]=$A$4)*(CRDJ[Ofc Code]=(TRIM(H$7)))*(CRDJ[Account Code]=(TRIM($D17))),CRDJ[Debit])))+(SUM(IF((GJ[Date]=$A$4)*(GJ[Ofc Code]=(TRIM(H$7)))*(GJ[Account Code]=(TRIM($D17))),GJ[Debit])))</f>
        <v>0</v>
      </c>
      <c r="I17" s="211">
        <f t="shared" si="1"/>
        <v>0</v>
      </c>
      <c r="J17" s="211">
        <f t="array" ref="J17">(SUM(IF((CkDJ[Date]=$A$4)*(CkDJ[Ofc Code]=(TRIM(J$7)))*(CkDJ[Account Code]=(TRIM($D17))),CkDJ[Credit])))+(SUM(IF((CsDJ[Date]=$A$4)*(CsDJ[Ofc Code]=(TRIM(J$7)))*(CsDJ[Account Code]=(TRIM($D17))),CsDJ[Credit])))+(SUM(IF((CRDJ[Date]=$A$4)*(CRDJ[Ofc Code]=(TRIM(J$7)))*(CRDJ[Account Code]=(TRIM($D17))),CRDJ[Credit])))+(SUM(IF((GJ[Date]=$A$4)*(GJ[Ofc Code]=(TRIM(J$7)))*(GJ[Account Code]=(TRIM($D17))),GJ[Credit])))-(SUM(IF((CkDJ[Date]=$A$4)*(CkDJ[Ofc Code]=(TRIM(J$7)))*(CkDJ[Account Code]=(TRIM($D17))),CkDJ[Debit])))+(SUM(IF((CsDJ[Date]=$A$4)*(CsDJ[Ofc Code]=(TRIM(J$7)))*(CsDJ[Account Code]=(TRIM($D17))),CsDJ[Debit])))+(SUM(IF((CRDJ[Date]=$A$4)*(CRDJ[Ofc Code]=(TRIM(J$7)))*(CRDJ[Account Code]=(TRIM($D17))),CRDJ[Debit])))+(SUM(IF((GJ[Date]=$A$4)*(GJ[Ofc Code]=(TRIM(J$7)))*(GJ[Account Code]=(TRIM($D17))),GJ[Debit])))</f>
        <v>0</v>
      </c>
      <c r="K17" s="211">
        <f t="array" ref="K17">(SUM(IF((CkDJ[Date]=$A$4)*(CkDJ[Ofc Code]=(TRIM(K$7)))*(CkDJ[Account Code]=(TRIM($D17))),CkDJ[Credit])))+(SUM(IF((CsDJ[Date]=$A$4)*(CsDJ[Ofc Code]=(TRIM(K$7)))*(CsDJ[Account Code]=(TRIM($D17))),CsDJ[Credit])))+(SUM(IF((CRDJ[Date]=$A$4)*(CRDJ[Ofc Code]=(TRIM(K$7)))*(CRDJ[Account Code]=(TRIM($D17))),CRDJ[Credit])))+(SUM(IF((GJ[Date]=$A$4)*(GJ[Ofc Code]=(TRIM(K$7)))*(GJ[Account Code]=(TRIM($D17))),GJ[Credit])))-(SUM(IF((CkDJ[Date]=$A$4)*(CkDJ[Ofc Code]=(TRIM(K$7)))*(CkDJ[Account Code]=(TRIM($D17))),CkDJ[Debit])))+(SUM(IF((CsDJ[Date]=$A$4)*(CsDJ[Ofc Code]=(TRIM(K$7)))*(CsDJ[Account Code]=(TRIM($D17))),CsDJ[Debit])))+(SUM(IF((CRDJ[Date]=$A$4)*(CRDJ[Ofc Code]=(TRIM(K$7)))*(CRDJ[Account Code]=(TRIM($D17))),CRDJ[Debit])))+(SUM(IF((GJ[Date]=$A$4)*(GJ[Ofc Code]=(TRIM(K$7)))*(GJ[Account Code]=(TRIM($D17))),GJ[Debit])))</f>
        <v>0</v>
      </c>
      <c r="L17" s="211">
        <f t="array" ref="L17">(SUM(IF((CkDJ[Date]=$A$4)*(CkDJ[Ofc Code]=(TRIM(L$7)))*(CkDJ[Account Code]=(TRIM($D17))),CkDJ[Credit])))+(SUM(IF((CsDJ[Date]=$A$4)*(CsDJ[Ofc Code]=(TRIM(L$7)))*(CsDJ[Account Code]=(TRIM($D17))),CsDJ[Credit])))+(SUM(IF((CRDJ[Date]=$A$4)*(CRDJ[Ofc Code]=(TRIM(L$7)))*(CRDJ[Account Code]=(TRIM($D17))),CRDJ[Credit])))+(SUM(IF((GJ[Date]=$A$4)*(GJ[Ofc Code]=(TRIM(L$7)))*(GJ[Account Code]=(TRIM($D17))),GJ[Credit])))-(SUM(IF((CkDJ[Date]=$A$4)*(CkDJ[Ofc Code]=(TRIM(L$7)))*(CkDJ[Account Code]=(TRIM($D17))),CkDJ[Debit])))+(SUM(IF((CsDJ[Date]=$A$4)*(CsDJ[Ofc Code]=(TRIM(L$7)))*(CsDJ[Account Code]=(TRIM($D17))),CsDJ[Debit])))+(SUM(IF((CRDJ[Date]=$A$4)*(CRDJ[Ofc Code]=(TRIM(L$7)))*(CRDJ[Account Code]=(TRIM($D17))),CRDJ[Debit])))+(SUM(IF((GJ[Date]=$A$4)*(GJ[Ofc Code]=(TRIM(L$7)))*(GJ[Account Code]=(TRIM($D17))),GJ[Debit])))</f>
        <v>0</v>
      </c>
      <c r="M17" s="211">
        <f t="array" ref="M17">(SUM(IF((CkDJ[Date]=$A$4)*(CkDJ[Ofc Code]=(TRIM(M$7)))*(CkDJ[Account Code]=(TRIM($D17))),CkDJ[Credit])))+(SUM(IF((CsDJ[Date]=$A$4)*(CsDJ[Ofc Code]=(TRIM(M$7)))*(CsDJ[Account Code]=(TRIM($D17))),CsDJ[Credit])))+(SUM(IF((CRDJ[Date]=$A$4)*(CRDJ[Ofc Code]=(TRIM(M$7)))*(CRDJ[Account Code]=(TRIM($D17))),CRDJ[Credit])))+(SUM(IF((GJ[Date]=$A$4)*(GJ[Ofc Code]=(TRIM(M$7)))*(GJ[Account Code]=(TRIM($D17))),GJ[Credit])))-(SUM(IF((CkDJ[Date]=$A$4)*(CkDJ[Ofc Code]=(TRIM(M$7)))*(CkDJ[Account Code]=(TRIM($D17))),CkDJ[Debit])))+(SUM(IF((CsDJ[Date]=$A$4)*(CsDJ[Ofc Code]=(TRIM(M$7)))*(CsDJ[Account Code]=(TRIM($D17))),CsDJ[Debit])))+(SUM(IF((CRDJ[Date]=$A$4)*(CRDJ[Ofc Code]=(TRIM(M$7)))*(CRDJ[Account Code]=(TRIM($D17))),CRDJ[Debit])))+(SUM(IF((GJ[Date]=$A$4)*(GJ[Ofc Code]=(TRIM(M$7)))*(GJ[Account Code]=(TRIM($D17))),GJ[Debit])))</f>
        <v>0</v>
      </c>
      <c r="N17" s="211">
        <f t="shared" si="2"/>
        <v>0</v>
      </c>
      <c r="O17" s="211">
        <f t="array" ref="O17">(SUM(IF((CkDJ[Date]=$A$4)*(CkDJ[Ofc Code]=(TRIM(O$7)))*(CkDJ[Account Code]=(TRIM($D17))),CkDJ[Credit])))+(SUM(IF((CsDJ[Date]=$A$4)*(CsDJ[Ofc Code]=(TRIM(O$7)))*(CsDJ[Account Code]=(TRIM($D17))),CsDJ[Credit])))+(SUM(IF((CRDJ[Date]=$A$4)*(CRDJ[Ofc Code]=(TRIM(O$7)))*(CRDJ[Account Code]=(TRIM($D17))),CRDJ[Credit])))+(SUM(IF((GJ[Date]=$A$4)*(GJ[Ofc Code]=(TRIM(O$7)))*(GJ[Account Code]=(TRIM($D17))),GJ[Credit])))-(SUM(IF((CkDJ[Date]=$A$4)*(CkDJ[Ofc Code]=(TRIM(O$7)))*(CkDJ[Account Code]=(TRIM($D17))),CkDJ[Debit])))+(SUM(IF((CsDJ[Date]=$A$4)*(CsDJ[Ofc Code]=(TRIM(O$7)))*(CsDJ[Account Code]=(TRIM($D17))),CsDJ[Debit])))+(SUM(IF((CRDJ[Date]=$A$4)*(CRDJ[Ofc Code]=(TRIM(O$7)))*(CRDJ[Account Code]=(TRIM($D17))),CRDJ[Debit])))+(SUM(IF((GJ[Date]=$A$4)*(GJ[Ofc Code]=(TRIM(O$7)))*(GJ[Account Code]=(TRIM($D17))),GJ[Debit])))</f>
        <v>0</v>
      </c>
      <c r="P17" s="211">
        <f t="array" ref="P17">(SUM(IF((CkDJ[Date]=$A$4)*(CkDJ[Ofc Code]=(TRIM(P$7)))*(CkDJ[Account Code]=(TRIM($D17))),CkDJ[Credit])))+(SUM(IF((CsDJ[Date]=$A$4)*(CsDJ[Ofc Code]=(TRIM(P$7)))*(CsDJ[Account Code]=(TRIM($D17))),CsDJ[Credit])))+(SUM(IF((CRDJ[Date]=$A$4)*(CRDJ[Ofc Code]=(TRIM(P$7)))*(CRDJ[Account Code]=(TRIM($D17))),CRDJ[Credit])))+(SUM(IF((GJ[Date]=$A$4)*(GJ[Ofc Code]=(TRIM(P$7)))*(GJ[Account Code]=(TRIM($D17))),GJ[Credit])))-(SUM(IF((CkDJ[Date]=$A$4)*(CkDJ[Ofc Code]=(TRIM(P$7)))*(CkDJ[Account Code]=(TRIM($D17))),CkDJ[Debit])))+(SUM(IF((CsDJ[Date]=$A$4)*(CsDJ[Ofc Code]=(TRIM(P$7)))*(CsDJ[Account Code]=(TRIM($D17))),CsDJ[Debit])))+(SUM(IF((CRDJ[Date]=$A$4)*(CRDJ[Ofc Code]=(TRIM(P$7)))*(CRDJ[Account Code]=(TRIM($D17))),CRDJ[Debit])))+(SUM(IF((GJ[Date]=$A$4)*(GJ[Ofc Code]=(TRIM(P$7)))*(GJ[Account Code]=(TRIM($D17))),GJ[Debit])))</f>
        <v>0</v>
      </c>
      <c r="Q17" s="211">
        <f t="array" ref="Q17">(SUM(IF((CkDJ[Date]=$A$4)*(CkDJ[Ofc Code]=(TRIM(Q$7)))*(CkDJ[Account Code]=(TRIM($D17))),CkDJ[Credit])))+(SUM(IF((CsDJ[Date]=$A$4)*(CsDJ[Ofc Code]=(TRIM(Q$7)))*(CsDJ[Account Code]=(TRIM($D17))),CsDJ[Credit])))+(SUM(IF((CRDJ[Date]=$A$4)*(CRDJ[Ofc Code]=(TRIM(Q$7)))*(CRDJ[Account Code]=(TRIM($D17))),CRDJ[Credit])))+(SUM(IF((GJ[Date]=$A$4)*(GJ[Ofc Code]=(TRIM(Q$7)))*(GJ[Account Code]=(TRIM($D17))),GJ[Credit])))-(SUM(IF((CkDJ[Date]=$A$4)*(CkDJ[Ofc Code]=(TRIM(Q$7)))*(CkDJ[Account Code]=(TRIM($D17))),CkDJ[Debit])))+(SUM(IF((CsDJ[Date]=$A$4)*(CsDJ[Ofc Code]=(TRIM(Q$7)))*(CsDJ[Account Code]=(TRIM($D17))),CsDJ[Debit])))+(SUM(IF((CRDJ[Date]=$A$4)*(CRDJ[Ofc Code]=(TRIM(Q$7)))*(CRDJ[Account Code]=(TRIM($D17))),CRDJ[Debit])))+(SUM(IF((GJ[Date]=$A$4)*(GJ[Ofc Code]=(TRIM(Q$7)))*(GJ[Account Code]=(TRIM($D17))),GJ[Debit])))</f>
        <v>0</v>
      </c>
      <c r="R17" s="211">
        <f t="array" ref="R17">(SUM(IF((CkDJ[Date]=$A$4)*(CkDJ[Ofc Code]=(TRIM(R$7)))*(CkDJ[Account Code]=(TRIM($D17))),CkDJ[Credit])))+(SUM(IF((CsDJ[Date]=$A$4)*(CsDJ[Ofc Code]=(TRIM(R$7)))*(CsDJ[Account Code]=(TRIM($D17))),CsDJ[Credit])))+(SUM(IF((CRDJ[Date]=$A$4)*(CRDJ[Ofc Code]=(TRIM(R$7)))*(CRDJ[Account Code]=(TRIM($D17))),CRDJ[Credit])))+(SUM(IF((GJ[Date]=$A$4)*(GJ[Ofc Code]=(TRIM(R$7)))*(GJ[Account Code]=(TRIM($D17))),GJ[Credit])))-(SUM(IF((CkDJ[Date]=$A$4)*(CkDJ[Ofc Code]=(TRIM(R$7)))*(CkDJ[Account Code]=(TRIM($D17))),CkDJ[Debit])))+(SUM(IF((CsDJ[Date]=$A$4)*(CsDJ[Ofc Code]=(TRIM(R$7)))*(CsDJ[Account Code]=(TRIM($D17))),CsDJ[Debit])))+(SUM(IF((CRDJ[Date]=$A$4)*(CRDJ[Ofc Code]=(TRIM(R$7)))*(CRDJ[Account Code]=(TRIM($D17))),CRDJ[Debit])))+(SUM(IF((GJ[Date]=$A$4)*(GJ[Ofc Code]=(TRIM(R$7)))*(GJ[Account Code]=(TRIM($D17))),GJ[Debit])))</f>
        <v>0</v>
      </c>
      <c r="S17" s="211">
        <f t="array" ref="S17">(SUM(IF((CkDJ[Date]=$A$4)*(CkDJ[Ofc Code]=(TRIM(S$7)))*(CkDJ[Account Code]=(TRIM($D17))),CkDJ[Credit])))+(SUM(IF((CsDJ[Date]=$A$4)*(CsDJ[Ofc Code]=(TRIM(S$7)))*(CsDJ[Account Code]=(TRIM($D17))),CsDJ[Credit])))+(SUM(IF((CRDJ[Date]=$A$4)*(CRDJ[Ofc Code]=(TRIM(S$7)))*(CRDJ[Account Code]=(TRIM($D17))),CRDJ[Credit])))+(SUM(IF((GJ[Date]=$A$4)*(GJ[Ofc Code]=(TRIM(S$7)))*(GJ[Account Code]=(TRIM($D17))),GJ[Credit])))-(SUM(IF((CkDJ[Date]=$A$4)*(CkDJ[Ofc Code]=(TRIM(S$7)))*(CkDJ[Account Code]=(TRIM($D17))),CkDJ[Debit])))+(SUM(IF((CsDJ[Date]=$A$4)*(CsDJ[Ofc Code]=(TRIM(S$7)))*(CsDJ[Account Code]=(TRIM($D17))),CsDJ[Debit])))+(SUM(IF((CRDJ[Date]=$A$4)*(CRDJ[Ofc Code]=(TRIM(S$7)))*(CRDJ[Account Code]=(TRIM($D17))),CRDJ[Debit])))+(SUM(IF((GJ[Date]=$A$4)*(GJ[Ofc Code]=(TRIM(S$7)))*(GJ[Account Code]=(TRIM($D17))),GJ[Debit])))</f>
        <v>0</v>
      </c>
      <c r="T17" s="211">
        <f t="shared" si="3"/>
        <v>0</v>
      </c>
      <c r="U17" s="211">
        <f t="shared" si="4"/>
        <v>0</v>
      </c>
    </row>
    <row r="18" spans="1:21" ht="15" x14ac:dyDescent="0.25">
      <c r="A18" s="212">
        <f t="shared" si="5"/>
        <v>10</v>
      </c>
      <c r="B18" s="214"/>
      <c r="C18" s="194" t="e">
        <f t="shared" si="0"/>
        <v>#N/A</v>
      </c>
      <c r="D18" s="207" t="s">
        <v>144</v>
      </c>
      <c r="E18" s="211">
        <f t="array" ref="E18">(SUM(IF((CkDJ[Date]=$A$4)*(CkDJ[Ofc Code]=(TRIM(E$7)))*(CkDJ[Account Code]=(TRIM($D18))),CkDJ[Credit])))+(SUM(IF((CsDJ[Date]=$A$4)*(CsDJ[Ofc Code]=(TRIM(E$7)))*(CsDJ[Account Code]=(TRIM($D18))),CsDJ[Credit])))+(SUM(IF((CRDJ[Date]=$A$4)*(CRDJ[Ofc Code]=(TRIM(E$7)))*(CRDJ[Account Code]=(TRIM($D18))),CRDJ[Credit])))+(SUM(IF((GJ[Date]=$A$4)*(GJ[Ofc Code]=(TRIM(E$7)))*(GJ[Account Code]=(TRIM($D18))),GJ[Credit])))-(SUM(IF((CkDJ[Date]=$A$4)*(CkDJ[Ofc Code]=(TRIM(E$7)))*(CkDJ[Account Code]=(TRIM($D18))),CkDJ[Debit])))+(SUM(IF((CsDJ[Date]=$A$4)*(CsDJ[Ofc Code]=(TRIM(E$7)))*(CsDJ[Account Code]=(TRIM($D18))),CsDJ[Debit])))+(SUM(IF((CRDJ[Date]=$A$4)*(CRDJ[Ofc Code]=(TRIM(E$7)))*(CRDJ[Account Code]=(TRIM($D18))),CRDJ[Debit])))+(SUM(IF((GJ[Date]=$A$4)*(GJ[Ofc Code]=(TRIM(E$7)))*(GJ[Account Code]=(TRIM($D18))),GJ[Debit])))</f>
        <v>0</v>
      </c>
      <c r="F18" s="211">
        <f t="array" ref="F18">(SUM(IF((CkDJ[Date]=$A$4)*(CkDJ[Ofc Code]=(TRIM(F$7)))*(CkDJ[Account Code]=(TRIM($D18))),CkDJ[Credit])))+(SUM(IF((CsDJ[Date]=$A$4)*(CsDJ[Ofc Code]=(TRIM(F$7)))*(CsDJ[Account Code]=(TRIM($D18))),CsDJ[Credit])))+(SUM(IF((CRDJ[Date]=$A$4)*(CRDJ[Ofc Code]=(TRIM(F$7)))*(CRDJ[Account Code]=(TRIM($D18))),CRDJ[Credit])))+(SUM(IF((GJ[Date]=$A$4)*(GJ[Ofc Code]=(TRIM(F$7)))*(GJ[Account Code]=(TRIM($D18))),GJ[Credit])))-(SUM(IF((CkDJ[Date]=$A$4)*(CkDJ[Ofc Code]=(TRIM(F$7)))*(CkDJ[Account Code]=(TRIM($D18))),CkDJ[Debit])))+(SUM(IF((CsDJ[Date]=$A$4)*(CsDJ[Ofc Code]=(TRIM(F$7)))*(CsDJ[Account Code]=(TRIM($D18))),CsDJ[Debit])))+(SUM(IF((CRDJ[Date]=$A$4)*(CRDJ[Ofc Code]=(TRIM(F$7)))*(CRDJ[Account Code]=(TRIM($D18))),CRDJ[Debit])))+(SUM(IF((GJ[Date]=$A$4)*(GJ[Ofc Code]=(TRIM(F$7)))*(GJ[Account Code]=(TRIM($D18))),GJ[Debit])))</f>
        <v>0</v>
      </c>
      <c r="G18" s="211">
        <f t="array" ref="G18">(SUM(IF((CkDJ[Date]=$A$4)*(CkDJ[Ofc Code]=(TRIM(G$7)))*(CkDJ[Account Code]=(TRIM($D18))),CkDJ[Credit])))+(SUM(IF((CsDJ[Date]=$A$4)*(CsDJ[Ofc Code]=(TRIM(G$7)))*(CsDJ[Account Code]=(TRIM($D18))),CsDJ[Credit])))+(SUM(IF((CRDJ[Date]=$A$4)*(CRDJ[Ofc Code]=(TRIM(G$7)))*(CRDJ[Account Code]=(TRIM($D18))),CRDJ[Credit])))+(SUM(IF((GJ[Date]=$A$4)*(GJ[Ofc Code]=(TRIM(G$7)))*(GJ[Account Code]=(TRIM($D18))),GJ[Credit])))-(SUM(IF((CkDJ[Date]=$A$4)*(CkDJ[Ofc Code]=(TRIM(G$7)))*(CkDJ[Account Code]=(TRIM($D18))),CkDJ[Debit])))+(SUM(IF((CsDJ[Date]=$A$4)*(CsDJ[Ofc Code]=(TRIM(G$7)))*(CsDJ[Account Code]=(TRIM($D18))),CsDJ[Debit])))+(SUM(IF((CRDJ[Date]=$A$4)*(CRDJ[Ofc Code]=(TRIM(G$7)))*(CRDJ[Account Code]=(TRIM($D18))),CRDJ[Debit])))+(SUM(IF((GJ[Date]=$A$4)*(GJ[Ofc Code]=(TRIM(G$7)))*(GJ[Account Code]=(TRIM($D18))),GJ[Debit])))</f>
        <v>0</v>
      </c>
      <c r="H18" s="211">
        <f t="array" ref="H18">(SUM(IF((CkDJ[Date]=$A$4)*(CkDJ[Ofc Code]=(TRIM(H$7)))*(CkDJ[Account Code]=(TRIM($D18))),CkDJ[Credit])))+(SUM(IF((CsDJ[Date]=$A$4)*(CsDJ[Ofc Code]=(TRIM(H$7)))*(CsDJ[Account Code]=(TRIM($D18))),CsDJ[Credit])))+(SUM(IF((CRDJ[Date]=$A$4)*(CRDJ[Ofc Code]=(TRIM(H$7)))*(CRDJ[Account Code]=(TRIM($D18))),CRDJ[Credit])))+(SUM(IF((GJ[Date]=$A$4)*(GJ[Ofc Code]=(TRIM(H$7)))*(GJ[Account Code]=(TRIM($D18))),GJ[Credit])))-(SUM(IF((CkDJ[Date]=$A$4)*(CkDJ[Ofc Code]=(TRIM(H$7)))*(CkDJ[Account Code]=(TRIM($D18))),CkDJ[Debit])))+(SUM(IF((CsDJ[Date]=$A$4)*(CsDJ[Ofc Code]=(TRIM(H$7)))*(CsDJ[Account Code]=(TRIM($D18))),CsDJ[Debit])))+(SUM(IF((CRDJ[Date]=$A$4)*(CRDJ[Ofc Code]=(TRIM(H$7)))*(CRDJ[Account Code]=(TRIM($D18))),CRDJ[Debit])))+(SUM(IF((GJ[Date]=$A$4)*(GJ[Ofc Code]=(TRIM(H$7)))*(GJ[Account Code]=(TRIM($D18))),GJ[Debit])))</f>
        <v>0</v>
      </c>
      <c r="I18" s="211">
        <f t="shared" si="1"/>
        <v>0</v>
      </c>
      <c r="J18" s="211">
        <f t="array" ref="J18">(SUM(IF((CkDJ[Date]=$A$4)*(CkDJ[Ofc Code]=(TRIM(J$7)))*(CkDJ[Account Code]=(TRIM($D18))),CkDJ[Credit])))+(SUM(IF((CsDJ[Date]=$A$4)*(CsDJ[Ofc Code]=(TRIM(J$7)))*(CsDJ[Account Code]=(TRIM($D18))),CsDJ[Credit])))+(SUM(IF((CRDJ[Date]=$A$4)*(CRDJ[Ofc Code]=(TRIM(J$7)))*(CRDJ[Account Code]=(TRIM($D18))),CRDJ[Credit])))+(SUM(IF((GJ[Date]=$A$4)*(GJ[Ofc Code]=(TRIM(J$7)))*(GJ[Account Code]=(TRIM($D18))),GJ[Credit])))-(SUM(IF((CkDJ[Date]=$A$4)*(CkDJ[Ofc Code]=(TRIM(J$7)))*(CkDJ[Account Code]=(TRIM($D18))),CkDJ[Debit])))+(SUM(IF((CsDJ[Date]=$A$4)*(CsDJ[Ofc Code]=(TRIM(J$7)))*(CsDJ[Account Code]=(TRIM($D18))),CsDJ[Debit])))+(SUM(IF((CRDJ[Date]=$A$4)*(CRDJ[Ofc Code]=(TRIM(J$7)))*(CRDJ[Account Code]=(TRIM($D18))),CRDJ[Debit])))+(SUM(IF((GJ[Date]=$A$4)*(GJ[Ofc Code]=(TRIM(J$7)))*(GJ[Account Code]=(TRIM($D18))),GJ[Debit])))</f>
        <v>0</v>
      </c>
      <c r="K18" s="211">
        <f t="array" ref="K18">(SUM(IF((CkDJ[Date]=$A$4)*(CkDJ[Ofc Code]=(TRIM(K$7)))*(CkDJ[Account Code]=(TRIM($D18))),CkDJ[Credit])))+(SUM(IF((CsDJ[Date]=$A$4)*(CsDJ[Ofc Code]=(TRIM(K$7)))*(CsDJ[Account Code]=(TRIM($D18))),CsDJ[Credit])))+(SUM(IF((CRDJ[Date]=$A$4)*(CRDJ[Ofc Code]=(TRIM(K$7)))*(CRDJ[Account Code]=(TRIM($D18))),CRDJ[Credit])))+(SUM(IF((GJ[Date]=$A$4)*(GJ[Ofc Code]=(TRIM(K$7)))*(GJ[Account Code]=(TRIM($D18))),GJ[Credit])))-(SUM(IF((CkDJ[Date]=$A$4)*(CkDJ[Ofc Code]=(TRIM(K$7)))*(CkDJ[Account Code]=(TRIM($D18))),CkDJ[Debit])))+(SUM(IF((CsDJ[Date]=$A$4)*(CsDJ[Ofc Code]=(TRIM(K$7)))*(CsDJ[Account Code]=(TRIM($D18))),CsDJ[Debit])))+(SUM(IF((CRDJ[Date]=$A$4)*(CRDJ[Ofc Code]=(TRIM(K$7)))*(CRDJ[Account Code]=(TRIM($D18))),CRDJ[Debit])))+(SUM(IF((GJ[Date]=$A$4)*(GJ[Ofc Code]=(TRIM(K$7)))*(GJ[Account Code]=(TRIM($D18))),GJ[Debit])))</f>
        <v>0</v>
      </c>
      <c r="L18" s="211">
        <f t="array" ref="L18">(SUM(IF((CkDJ[Date]=$A$4)*(CkDJ[Ofc Code]=(TRIM(L$7)))*(CkDJ[Account Code]=(TRIM($D18))),CkDJ[Credit])))+(SUM(IF((CsDJ[Date]=$A$4)*(CsDJ[Ofc Code]=(TRIM(L$7)))*(CsDJ[Account Code]=(TRIM($D18))),CsDJ[Credit])))+(SUM(IF((CRDJ[Date]=$A$4)*(CRDJ[Ofc Code]=(TRIM(L$7)))*(CRDJ[Account Code]=(TRIM($D18))),CRDJ[Credit])))+(SUM(IF((GJ[Date]=$A$4)*(GJ[Ofc Code]=(TRIM(L$7)))*(GJ[Account Code]=(TRIM($D18))),GJ[Credit])))-(SUM(IF((CkDJ[Date]=$A$4)*(CkDJ[Ofc Code]=(TRIM(L$7)))*(CkDJ[Account Code]=(TRIM($D18))),CkDJ[Debit])))+(SUM(IF((CsDJ[Date]=$A$4)*(CsDJ[Ofc Code]=(TRIM(L$7)))*(CsDJ[Account Code]=(TRIM($D18))),CsDJ[Debit])))+(SUM(IF((CRDJ[Date]=$A$4)*(CRDJ[Ofc Code]=(TRIM(L$7)))*(CRDJ[Account Code]=(TRIM($D18))),CRDJ[Debit])))+(SUM(IF((GJ[Date]=$A$4)*(GJ[Ofc Code]=(TRIM(L$7)))*(GJ[Account Code]=(TRIM($D18))),GJ[Debit])))</f>
        <v>0</v>
      </c>
      <c r="M18" s="211">
        <f t="array" ref="M18">(SUM(IF((CkDJ[Date]=$A$4)*(CkDJ[Ofc Code]=(TRIM(M$7)))*(CkDJ[Account Code]=(TRIM($D18))),CkDJ[Credit])))+(SUM(IF((CsDJ[Date]=$A$4)*(CsDJ[Ofc Code]=(TRIM(M$7)))*(CsDJ[Account Code]=(TRIM($D18))),CsDJ[Credit])))+(SUM(IF((CRDJ[Date]=$A$4)*(CRDJ[Ofc Code]=(TRIM(M$7)))*(CRDJ[Account Code]=(TRIM($D18))),CRDJ[Credit])))+(SUM(IF((GJ[Date]=$A$4)*(GJ[Ofc Code]=(TRIM(M$7)))*(GJ[Account Code]=(TRIM($D18))),GJ[Credit])))-(SUM(IF((CkDJ[Date]=$A$4)*(CkDJ[Ofc Code]=(TRIM(M$7)))*(CkDJ[Account Code]=(TRIM($D18))),CkDJ[Debit])))+(SUM(IF((CsDJ[Date]=$A$4)*(CsDJ[Ofc Code]=(TRIM(M$7)))*(CsDJ[Account Code]=(TRIM($D18))),CsDJ[Debit])))+(SUM(IF((CRDJ[Date]=$A$4)*(CRDJ[Ofc Code]=(TRIM(M$7)))*(CRDJ[Account Code]=(TRIM($D18))),CRDJ[Debit])))+(SUM(IF((GJ[Date]=$A$4)*(GJ[Ofc Code]=(TRIM(M$7)))*(GJ[Account Code]=(TRIM($D18))),GJ[Debit])))</f>
        <v>0</v>
      </c>
      <c r="N18" s="211">
        <f t="shared" si="2"/>
        <v>0</v>
      </c>
      <c r="O18" s="211">
        <f t="array" ref="O18">(SUM(IF((CkDJ[Date]=$A$4)*(CkDJ[Ofc Code]=(TRIM(O$7)))*(CkDJ[Account Code]=(TRIM($D18))),CkDJ[Credit])))+(SUM(IF((CsDJ[Date]=$A$4)*(CsDJ[Ofc Code]=(TRIM(O$7)))*(CsDJ[Account Code]=(TRIM($D18))),CsDJ[Credit])))+(SUM(IF((CRDJ[Date]=$A$4)*(CRDJ[Ofc Code]=(TRIM(O$7)))*(CRDJ[Account Code]=(TRIM($D18))),CRDJ[Credit])))+(SUM(IF((GJ[Date]=$A$4)*(GJ[Ofc Code]=(TRIM(O$7)))*(GJ[Account Code]=(TRIM($D18))),GJ[Credit])))-(SUM(IF((CkDJ[Date]=$A$4)*(CkDJ[Ofc Code]=(TRIM(O$7)))*(CkDJ[Account Code]=(TRIM($D18))),CkDJ[Debit])))+(SUM(IF((CsDJ[Date]=$A$4)*(CsDJ[Ofc Code]=(TRIM(O$7)))*(CsDJ[Account Code]=(TRIM($D18))),CsDJ[Debit])))+(SUM(IF((CRDJ[Date]=$A$4)*(CRDJ[Ofc Code]=(TRIM(O$7)))*(CRDJ[Account Code]=(TRIM($D18))),CRDJ[Debit])))+(SUM(IF((GJ[Date]=$A$4)*(GJ[Ofc Code]=(TRIM(O$7)))*(GJ[Account Code]=(TRIM($D18))),GJ[Debit])))</f>
        <v>0</v>
      </c>
      <c r="P18" s="211">
        <f t="array" ref="P18">(SUM(IF((CkDJ[Date]=$A$4)*(CkDJ[Ofc Code]=(TRIM(P$7)))*(CkDJ[Account Code]=(TRIM($D18))),CkDJ[Credit])))+(SUM(IF((CsDJ[Date]=$A$4)*(CsDJ[Ofc Code]=(TRIM(P$7)))*(CsDJ[Account Code]=(TRIM($D18))),CsDJ[Credit])))+(SUM(IF((CRDJ[Date]=$A$4)*(CRDJ[Ofc Code]=(TRIM(P$7)))*(CRDJ[Account Code]=(TRIM($D18))),CRDJ[Credit])))+(SUM(IF((GJ[Date]=$A$4)*(GJ[Ofc Code]=(TRIM(P$7)))*(GJ[Account Code]=(TRIM($D18))),GJ[Credit])))-(SUM(IF((CkDJ[Date]=$A$4)*(CkDJ[Ofc Code]=(TRIM(P$7)))*(CkDJ[Account Code]=(TRIM($D18))),CkDJ[Debit])))+(SUM(IF((CsDJ[Date]=$A$4)*(CsDJ[Ofc Code]=(TRIM(P$7)))*(CsDJ[Account Code]=(TRIM($D18))),CsDJ[Debit])))+(SUM(IF((CRDJ[Date]=$A$4)*(CRDJ[Ofc Code]=(TRIM(P$7)))*(CRDJ[Account Code]=(TRIM($D18))),CRDJ[Debit])))+(SUM(IF((GJ[Date]=$A$4)*(GJ[Ofc Code]=(TRIM(P$7)))*(GJ[Account Code]=(TRIM($D18))),GJ[Debit])))</f>
        <v>0</v>
      </c>
      <c r="Q18" s="211">
        <f t="array" ref="Q18">(SUM(IF((CkDJ[Date]=$A$4)*(CkDJ[Ofc Code]=(TRIM(Q$7)))*(CkDJ[Account Code]=(TRIM($D18))),CkDJ[Credit])))+(SUM(IF((CsDJ[Date]=$A$4)*(CsDJ[Ofc Code]=(TRIM(Q$7)))*(CsDJ[Account Code]=(TRIM($D18))),CsDJ[Credit])))+(SUM(IF((CRDJ[Date]=$A$4)*(CRDJ[Ofc Code]=(TRIM(Q$7)))*(CRDJ[Account Code]=(TRIM($D18))),CRDJ[Credit])))+(SUM(IF((GJ[Date]=$A$4)*(GJ[Ofc Code]=(TRIM(Q$7)))*(GJ[Account Code]=(TRIM($D18))),GJ[Credit])))-(SUM(IF((CkDJ[Date]=$A$4)*(CkDJ[Ofc Code]=(TRIM(Q$7)))*(CkDJ[Account Code]=(TRIM($D18))),CkDJ[Debit])))+(SUM(IF((CsDJ[Date]=$A$4)*(CsDJ[Ofc Code]=(TRIM(Q$7)))*(CsDJ[Account Code]=(TRIM($D18))),CsDJ[Debit])))+(SUM(IF((CRDJ[Date]=$A$4)*(CRDJ[Ofc Code]=(TRIM(Q$7)))*(CRDJ[Account Code]=(TRIM($D18))),CRDJ[Debit])))+(SUM(IF((GJ[Date]=$A$4)*(GJ[Ofc Code]=(TRIM(Q$7)))*(GJ[Account Code]=(TRIM($D18))),GJ[Debit])))</f>
        <v>0</v>
      </c>
      <c r="R18" s="211">
        <f t="array" ref="R18">(SUM(IF((CkDJ[Date]=$A$4)*(CkDJ[Ofc Code]=(TRIM(R$7)))*(CkDJ[Account Code]=(TRIM($D18))),CkDJ[Credit])))+(SUM(IF((CsDJ[Date]=$A$4)*(CsDJ[Ofc Code]=(TRIM(R$7)))*(CsDJ[Account Code]=(TRIM($D18))),CsDJ[Credit])))+(SUM(IF((CRDJ[Date]=$A$4)*(CRDJ[Ofc Code]=(TRIM(R$7)))*(CRDJ[Account Code]=(TRIM($D18))),CRDJ[Credit])))+(SUM(IF((GJ[Date]=$A$4)*(GJ[Ofc Code]=(TRIM(R$7)))*(GJ[Account Code]=(TRIM($D18))),GJ[Credit])))-(SUM(IF((CkDJ[Date]=$A$4)*(CkDJ[Ofc Code]=(TRIM(R$7)))*(CkDJ[Account Code]=(TRIM($D18))),CkDJ[Debit])))+(SUM(IF((CsDJ[Date]=$A$4)*(CsDJ[Ofc Code]=(TRIM(R$7)))*(CsDJ[Account Code]=(TRIM($D18))),CsDJ[Debit])))+(SUM(IF((CRDJ[Date]=$A$4)*(CRDJ[Ofc Code]=(TRIM(R$7)))*(CRDJ[Account Code]=(TRIM($D18))),CRDJ[Debit])))+(SUM(IF((GJ[Date]=$A$4)*(GJ[Ofc Code]=(TRIM(R$7)))*(GJ[Account Code]=(TRIM($D18))),GJ[Debit])))</f>
        <v>0</v>
      </c>
      <c r="S18" s="211">
        <f t="array" ref="S18">(SUM(IF((CkDJ[Date]=$A$4)*(CkDJ[Ofc Code]=(TRIM(S$7)))*(CkDJ[Account Code]=(TRIM($D18))),CkDJ[Credit])))+(SUM(IF((CsDJ[Date]=$A$4)*(CsDJ[Ofc Code]=(TRIM(S$7)))*(CsDJ[Account Code]=(TRIM($D18))),CsDJ[Credit])))+(SUM(IF((CRDJ[Date]=$A$4)*(CRDJ[Ofc Code]=(TRIM(S$7)))*(CRDJ[Account Code]=(TRIM($D18))),CRDJ[Credit])))+(SUM(IF((GJ[Date]=$A$4)*(GJ[Ofc Code]=(TRIM(S$7)))*(GJ[Account Code]=(TRIM($D18))),GJ[Credit])))-(SUM(IF((CkDJ[Date]=$A$4)*(CkDJ[Ofc Code]=(TRIM(S$7)))*(CkDJ[Account Code]=(TRIM($D18))),CkDJ[Debit])))+(SUM(IF((CsDJ[Date]=$A$4)*(CsDJ[Ofc Code]=(TRIM(S$7)))*(CsDJ[Account Code]=(TRIM($D18))),CsDJ[Debit])))+(SUM(IF((CRDJ[Date]=$A$4)*(CRDJ[Ofc Code]=(TRIM(S$7)))*(CRDJ[Account Code]=(TRIM($D18))),CRDJ[Debit])))+(SUM(IF((GJ[Date]=$A$4)*(GJ[Ofc Code]=(TRIM(S$7)))*(GJ[Account Code]=(TRIM($D18))),GJ[Debit])))</f>
        <v>0</v>
      </c>
      <c r="T18" s="211">
        <f t="shared" si="3"/>
        <v>0</v>
      </c>
      <c r="U18" s="211">
        <f t="shared" si="4"/>
        <v>0</v>
      </c>
    </row>
    <row r="19" spans="1:21" ht="15" x14ac:dyDescent="0.25">
      <c r="A19" s="212">
        <f t="shared" si="5"/>
        <v>11</v>
      </c>
      <c r="B19" s="214"/>
      <c r="C19" s="194" t="e">
        <f t="shared" si="0"/>
        <v>#N/A</v>
      </c>
      <c r="D19" s="207" t="s">
        <v>145</v>
      </c>
      <c r="E19" s="211">
        <f t="array" ref="E19">(SUM(IF((CkDJ[Date]=$A$4)*(CkDJ[Ofc Code]=(TRIM(E$7)))*(CkDJ[Account Code]=(TRIM($D19))),CkDJ[Credit])))+(SUM(IF((CsDJ[Date]=$A$4)*(CsDJ[Ofc Code]=(TRIM(E$7)))*(CsDJ[Account Code]=(TRIM($D19))),CsDJ[Credit])))+(SUM(IF((CRDJ[Date]=$A$4)*(CRDJ[Ofc Code]=(TRIM(E$7)))*(CRDJ[Account Code]=(TRIM($D19))),CRDJ[Credit])))+(SUM(IF((GJ[Date]=$A$4)*(GJ[Ofc Code]=(TRIM(E$7)))*(GJ[Account Code]=(TRIM($D19))),GJ[Credit])))-(SUM(IF((CkDJ[Date]=$A$4)*(CkDJ[Ofc Code]=(TRIM(E$7)))*(CkDJ[Account Code]=(TRIM($D19))),CkDJ[Debit])))+(SUM(IF((CsDJ[Date]=$A$4)*(CsDJ[Ofc Code]=(TRIM(E$7)))*(CsDJ[Account Code]=(TRIM($D19))),CsDJ[Debit])))+(SUM(IF((CRDJ[Date]=$A$4)*(CRDJ[Ofc Code]=(TRIM(E$7)))*(CRDJ[Account Code]=(TRIM($D19))),CRDJ[Debit])))+(SUM(IF((GJ[Date]=$A$4)*(GJ[Ofc Code]=(TRIM(E$7)))*(GJ[Account Code]=(TRIM($D19))),GJ[Debit])))</f>
        <v>0</v>
      </c>
      <c r="F19" s="211">
        <f t="array" ref="F19">(SUM(IF((CkDJ[Date]=$A$4)*(CkDJ[Ofc Code]=(TRIM(F$7)))*(CkDJ[Account Code]=(TRIM($D19))),CkDJ[Credit])))+(SUM(IF((CsDJ[Date]=$A$4)*(CsDJ[Ofc Code]=(TRIM(F$7)))*(CsDJ[Account Code]=(TRIM($D19))),CsDJ[Credit])))+(SUM(IF((CRDJ[Date]=$A$4)*(CRDJ[Ofc Code]=(TRIM(F$7)))*(CRDJ[Account Code]=(TRIM($D19))),CRDJ[Credit])))+(SUM(IF((GJ[Date]=$A$4)*(GJ[Ofc Code]=(TRIM(F$7)))*(GJ[Account Code]=(TRIM($D19))),GJ[Credit])))-(SUM(IF((CkDJ[Date]=$A$4)*(CkDJ[Ofc Code]=(TRIM(F$7)))*(CkDJ[Account Code]=(TRIM($D19))),CkDJ[Debit])))+(SUM(IF((CsDJ[Date]=$A$4)*(CsDJ[Ofc Code]=(TRIM(F$7)))*(CsDJ[Account Code]=(TRIM($D19))),CsDJ[Debit])))+(SUM(IF((CRDJ[Date]=$A$4)*(CRDJ[Ofc Code]=(TRIM(F$7)))*(CRDJ[Account Code]=(TRIM($D19))),CRDJ[Debit])))+(SUM(IF((GJ[Date]=$A$4)*(GJ[Ofc Code]=(TRIM(F$7)))*(GJ[Account Code]=(TRIM($D19))),GJ[Debit])))</f>
        <v>0</v>
      </c>
      <c r="G19" s="211">
        <f t="array" ref="G19">(SUM(IF((CkDJ[Date]=$A$4)*(CkDJ[Ofc Code]=(TRIM(G$7)))*(CkDJ[Account Code]=(TRIM($D19))),CkDJ[Credit])))+(SUM(IF((CsDJ[Date]=$A$4)*(CsDJ[Ofc Code]=(TRIM(G$7)))*(CsDJ[Account Code]=(TRIM($D19))),CsDJ[Credit])))+(SUM(IF((CRDJ[Date]=$A$4)*(CRDJ[Ofc Code]=(TRIM(G$7)))*(CRDJ[Account Code]=(TRIM($D19))),CRDJ[Credit])))+(SUM(IF((GJ[Date]=$A$4)*(GJ[Ofc Code]=(TRIM(G$7)))*(GJ[Account Code]=(TRIM($D19))),GJ[Credit])))-(SUM(IF((CkDJ[Date]=$A$4)*(CkDJ[Ofc Code]=(TRIM(G$7)))*(CkDJ[Account Code]=(TRIM($D19))),CkDJ[Debit])))+(SUM(IF((CsDJ[Date]=$A$4)*(CsDJ[Ofc Code]=(TRIM(G$7)))*(CsDJ[Account Code]=(TRIM($D19))),CsDJ[Debit])))+(SUM(IF((CRDJ[Date]=$A$4)*(CRDJ[Ofc Code]=(TRIM(G$7)))*(CRDJ[Account Code]=(TRIM($D19))),CRDJ[Debit])))+(SUM(IF((GJ[Date]=$A$4)*(GJ[Ofc Code]=(TRIM(G$7)))*(GJ[Account Code]=(TRIM($D19))),GJ[Debit])))</f>
        <v>0</v>
      </c>
      <c r="H19" s="211">
        <f t="array" ref="H19">(SUM(IF((CkDJ[Date]=$A$4)*(CkDJ[Ofc Code]=(TRIM(H$7)))*(CkDJ[Account Code]=(TRIM($D19))),CkDJ[Credit])))+(SUM(IF((CsDJ[Date]=$A$4)*(CsDJ[Ofc Code]=(TRIM(H$7)))*(CsDJ[Account Code]=(TRIM($D19))),CsDJ[Credit])))+(SUM(IF((CRDJ[Date]=$A$4)*(CRDJ[Ofc Code]=(TRIM(H$7)))*(CRDJ[Account Code]=(TRIM($D19))),CRDJ[Credit])))+(SUM(IF((GJ[Date]=$A$4)*(GJ[Ofc Code]=(TRIM(H$7)))*(GJ[Account Code]=(TRIM($D19))),GJ[Credit])))-(SUM(IF((CkDJ[Date]=$A$4)*(CkDJ[Ofc Code]=(TRIM(H$7)))*(CkDJ[Account Code]=(TRIM($D19))),CkDJ[Debit])))+(SUM(IF((CsDJ[Date]=$A$4)*(CsDJ[Ofc Code]=(TRIM(H$7)))*(CsDJ[Account Code]=(TRIM($D19))),CsDJ[Debit])))+(SUM(IF((CRDJ[Date]=$A$4)*(CRDJ[Ofc Code]=(TRIM(H$7)))*(CRDJ[Account Code]=(TRIM($D19))),CRDJ[Debit])))+(SUM(IF((GJ[Date]=$A$4)*(GJ[Ofc Code]=(TRIM(H$7)))*(GJ[Account Code]=(TRIM($D19))),GJ[Debit])))</f>
        <v>0</v>
      </c>
      <c r="I19" s="211">
        <f t="shared" si="1"/>
        <v>0</v>
      </c>
      <c r="J19" s="211">
        <f t="array" ref="J19">(SUM(IF((CkDJ[Date]=$A$4)*(CkDJ[Ofc Code]=(TRIM(J$7)))*(CkDJ[Account Code]=(TRIM($D19))),CkDJ[Credit])))+(SUM(IF((CsDJ[Date]=$A$4)*(CsDJ[Ofc Code]=(TRIM(J$7)))*(CsDJ[Account Code]=(TRIM($D19))),CsDJ[Credit])))+(SUM(IF((CRDJ[Date]=$A$4)*(CRDJ[Ofc Code]=(TRIM(J$7)))*(CRDJ[Account Code]=(TRIM($D19))),CRDJ[Credit])))+(SUM(IF((GJ[Date]=$A$4)*(GJ[Ofc Code]=(TRIM(J$7)))*(GJ[Account Code]=(TRIM($D19))),GJ[Credit])))-(SUM(IF((CkDJ[Date]=$A$4)*(CkDJ[Ofc Code]=(TRIM(J$7)))*(CkDJ[Account Code]=(TRIM($D19))),CkDJ[Debit])))+(SUM(IF((CsDJ[Date]=$A$4)*(CsDJ[Ofc Code]=(TRIM(J$7)))*(CsDJ[Account Code]=(TRIM($D19))),CsDJ[Debit])))+(SUM(IF((CRDJ[Date]=$A$4)*(CRDJ[Ofc Code]=(TRIM(J$7)))*(CRDJ[Account Code]=(TRIM($D19))),CRDJ[Debit])))+(SUM(IF((GJ[Date]=$A$4)*(GJ[Ofc Code]=(TRIM(J$7)))*(GJ[Account Code]=(TRIM($D19))),GJ[Debit])))</f>
        <v>0</v>
      </c>
      <c r="K19" s="211">
        <f t="array" ref="K19">(SUM(IF((CkDJ[Date]=$A$4)*(CkDJ[Ofc Code]=(TRIM(K$7)))*(CkDJ[Account Code]=(TRIM($D19))),CkDJ[Credit])))+(SUM(IF((CsDJ[Date]=$A$4)*(CsDJ[Ofc Code]=(TRIM(K$7)))*(CsDJ[Account Code]=(TRIM($D19))),CsDJ[Credit])))+(SUM(IF((CRDJ[Date]=$A$4)*(CRDJ[Ofc Code]=(TRIM(K$7)))*(CRDJ[Account Code]=(TRIM($D19))),CRDJ[Credit])))+(SUM(IF((GJ[Date]=$A$4)*(GJ[Ofc Code]=(TRIM(K$7)))*(GJ[Account Code]=(TRIM($D19))),GJ[Credit])))-(SUM(IF((CkDJ[Date]=$A$4)*(CkDJ[Ofc Code]=(TRIM(K$7)))*(CkDJ[Account Code]=(TRIM($D19))),CkDJ[Debit])))+(SUM(IF((CsDJ[Date]=$A$4)*(CsDJ[Ofc Code]=(TRIM(K$7)))*(CsDJ[Account Code]=(TRIM($D19))),CsDJ[Debit])))+(SUM(IF((CRDJ[Date]=$A$4)*(CRDJ[Ofc Code]=(TRIM(K$7)))*(CRDJ[Account Code]=(TRIM($D19))),CRDJ[Debit])))+(SUM(IF((GJ[Date]=$A$4)*(GJ[Ofc Code]=(TRIM(K$7)))*(GJ[Account Code]=(TRIM($D19))),GJ[Debit])))</f>
        <v>0</v>
      </c>
      <c r="L19" s="211">
        <f t="array" ref="L19">(SUM(IF((CkDJ[Date]=$A$4)*(CkDJ[Ofc Code]=(TRIM(L$7)))*(CkDJ[Account Code]=(TRIM($D19))),CkDJ[Credit])))+(SUM(IF((CsDJ[Date]=$A$4)*(CsDJ[Ofc Code]=(TRIM(L$7)))*(CsDJ[Account Code]=(TRIM($D19))),CsDJ[Credit])))+(SUM(IF((CRDJ[Date]=$A$4)*(CRDJ[Ofc Code]=(TRIM(L$7)))*(CRDJ[Account Code]=(TRIM($D19))),CRDJ[Credit])))+(SUM(IF((GJ[Date]=$A$4)*(GJ[Ofc Code]=(TRIM(L$7)))*(GJ[Account Code]=(TRIM($D19))),GJ[Credit])))-(SUM(IF((CkDJ[Date]=$A$4)*(CkDJ[Ofc Code]=(TRIM(L$7)))*(CkDJ[Account Code]=(TRIM($D19))),CkDJ[Debit])))+(SUM(IF((CsDJ[Date]=$A$4)*(CsDJ[Ofc Code]=(TRIM(L$7)))*(CsDJ[Account Code]=(TRIM($D19))),CsDJ[Debit])))+(SUM(IF((CRDJ[Date]=$A$4)*(CRDJ[Ofc Code]=(TRIM(L$7)))*(CRDJ[Account Code]=(TRIM($D19))),CRDJ[Debit])))+(SUM(IF((GJ[Date]=$A$4)*(GJ[Ofc Code]=(TRIM(L$7)))*(GJ[Account Code]=(TRIM($D19))),GJ[Debit])))</f>
        <v>0</v>
      </c>
      <c r="M19" s="211">
        <f t="array" ref="M19">(SUM(IF((CkDJ[Date]=$A$4)*(CkDJ[Ofc Code]=(TRIM(M$7)))*(CkDJ[Account Code]=(TRIM($D19))),CkDJ[Credit])))+(SUM(IF((CsDJ[Date]=$A$4)*(CsDJ[Ofc Code]=(TRIM(M$7)))*(CsDJ[Account Code]=(TRIM($D19))),CsDJ[Credit])))+(SUM(IF((CRDJ[Date]=$A$4)*(CRDJ[Ofc Code]=(TRIM(M$7)))*(CRDJ[Account Code]=(TRIM($D19))),CRDJ[Credit])))+(SUM(IF((GJ[Date]=$A$4)*(GJ[Ofc Code]=(TRIM(M$7)))*(GJ[Account Code]=(TRIM($D19))),GJ[Credit])))-(SUM(IF((CkDJ[Date]=$A$4)*(CkDJ[Ofc Code]=(TRIM(M$7)))*(CkDJ[Account Code]=(TRIM($D19))),CkDJ[Debit])))+(SUM(IF((CsDJ[Date]=$A$4)*(CsDJ[Ofc Code]=(TRIM(M$7)))*(CsDJ[Account Code]=(TRIM($D19))),CsDJ[Debit])))+(SUM(IF((CRDJ[Date]=$A$4)*(CRDJ[Ofc Code]=(TRIM(M$7)))*(CRDJ[Account Code]=(TRIM($D19))),CRDJ[Debit])))+(SUM(IF((GJ[Date]=$A$4)*(GJ[Ofc Code]=(TRIM(M$7)))*(GJ[Account Code]=(TRIM($D19))),GJ[Debit])))</f>
        <v>0</v>
      </c>
      <c r="N19" s="211">
        <f t="shared" si="2"/>
        <v>0</v>
      </c>
      <c r="O19" s="211">
        <f t="array" ref="O19">(SUM(IF((CkDJ[Date]=$A$4)*(CkDJ[Ofc Code]=(TRIM(O$7)))*(CkDJ[Account Code]=(TRIM($D19))),CkDJ[Credit])))+(SUM(IF((CsDJ[Date]=$A$4)*(CsDJ[Ofc Code]=(TRIM(O$7)))*(CsDJ[Account Code]=(TRIM($D19))),CsDJ[Credit])))+(SUM(IF((CRDJ[Date]=$A$4)*(CRDJ[Ofc Code]=(TRIM(O$7)))*(CRDJ[Account Code]=(TRIM($D19))),CRDJ[Credit])))+(SUM(IF((GJ[Date]=$A$4)*(GJ[Ofc Code]=(TRIM(O$7)))*(GJ[Account Code]=(TRIM($D19))),GJ[Credit])))-(SUM(IF((CkDJ[Date]=$A$4)*(CkDJ[Ofc Code]=(TRIM(O$7)))*(CkDJ[Account Code]=(TRIM($D19))),CkDJ[Debit])))+(SUM(IF((CsDJ[Date]=$A$4)*(CsDJ[Ofc Code]=(TRIM(O$7)))*(CsDJ[Account Code]=(TRIM($D19))),CsDJ[Debit])))+(SUM(IF((CRDJ[Date]=$A$4)*(CRDJ[Ofc Code]=(TRIM(O$7)))*(CRDJ[Account Code]=(TRIM($D19))),CRDJ[Debit])))+(SUM(IF((GJ[Date]=$A$4)*(GJ[Ofc Code]=(TRIM(O$7)))*(GJ[Account Code]=(TRIM($D19))),GJ[Debit])))</f>
        <v>0</v>
      </c>
      <c r="P19" s="211">
        <f t="array" ref="P19">(SUM(IF((CkDJ[Date]=$A$4)*(CkDJ[Ofc Code]=(TRIM(P$7)))*(CkDJ[Account Code]=(TRIM($D19))),CkDJ[Credit])))+(SUM(IF((CsDJ[Date]=$A$4)*(CsDJ[Ofc Code]=(TRIM(P$7)))*(CsDJ[Account Code]=(TRIM($D19))),CsDJ[Credit])))+(SUM(IF((CRDJ[Date]=$A$4)*(CRDJ[Ofc Code]=(TRIM(P$7)))*(CRDJ[Account Code]=(TRIM($D19))),CRDJ[Credit])))+(SUM(IF((GJ[Date]=$A$4)*(GJ[Ofc Code]=(TRIM(P$7)))*(GJ[Account Code]=(TRIM($D19))),GJ[Credit])))-(SUM(IF((CkDJ[Date]=$A$4)*(CkDJ[Ofc Code]=(TRIM(P$7)))*(CkDJ[Account Code]=(TRIM($D19))),CkDJ[Debit])))+(SUM(IF((CsDJ[Date]=$A$4)*(CsDJ[Ofc Code]=(TRIM(P$7)))*(CsDJ[Account Code]=(TRIM($D19))),CsDJ[Debit])))+(SUM(IF((CRDJ[Date]=$A$4)*(CRDJ[Ofc Code]=(TRIM(P$7)))*(CRDJ[Account Code]=(TRIM($D19))),CRDJ[Debit])))+(SUM(IF((GJ[Date]=$A$4)*(GJ[Ofc Code]=(TRIM(P$7)))*(GJ[Account Code]=(TRIM($D19))),GJ[Debit])))</f>
        <v>0</v>
      </c>
      <c r="Q19" s="211">
        <f t="array" ref="Q19">(SUM(IF((CkDJ[Date]=$A$4)*(CkDJ[Ofc Code]=(TRIM(Q$7)))*(CkDJ[Account Code]=(TRIM($D19))),CkDJ[Credit])))+(SUM(IF((CsDJ[Date]=$A$4)*(CsDJ[Ofc Code]=(TRIM(Q$7)))*(CsDJ[Account Code]=(TRIM($D19))),CsDJ[Credit])))+(SUM(IF((CRDJ[Date]=$A$4)*(CRDJ[Ofc Code]=(TRIM(Q$7)))*(CRDJ[Account Code]=(TRIM($D19))),CRDJ[Credit])))+(SUM(IF((GJ[Date]=$A$4)*(GJ[Ofc Code]=(TRIM(Q$7)))*(GJ[Account Code]=(TRIM($D19))),GJ[Credit])))-(SUM(IF((CkDJ[Date]=$A$4)*(CkDJ[Ofc Code]=(TRIM(Q$7)))*(CkDJ[Account Code]=(TRIM($D19))),CkDJ[Debit])))+(SUM(IF((CsDJ[Date]=$A$4)*(CsDJ[Ofc Code]=(TRIM(Q$7)))*(CsDJ[Account Code]=(TRIM($D19))),CsDJ[Debit])))+(SUM(IF((CRDJ[Date]=$A$4)*(CRDJ[Ofc Code]=(TRIM(Q$7)))*(CRDJ[Account Code]=(TRIM($D19))),CRDJ[Debit])))+(SUM(IF((GJ[Date]=$A$4)*(GJ[Ofc Code]=(TRIM(Q$7)))*(GJ[Account Code]=(TRIM($D19))),GJ[Debit])))</f>
        <v>0</v>
      </c>
      <c r="R19" s="211">
        <f t="array" ref="R19">(SUM(IF((CkDJ[Date]=$A$4)*(CkDJ[Ofc Code]=(TRIM(R$7)))*(CkDJ[Account Code]=(TRIM($D19))),CkDJ[Credit])))+(SUM(IF((CsDJ[Date]=$A$4)*(CsDJ[Ofc Code]=(TRIM(R$7)))*(CsDJ[Account Code]=(TRIM($D19))),CsDJ[Credit])))+(SUM(IF((CRDJ[Date]=$A$4)*(CRDJ[Ofc Code]=(TRIM(R$7)))*(CRDJ[Account Code]=(TRIM($D19))),CRDJ[Credit])))+(SUM(IF((GJ[Date]=$A$4)*(GJ[Ofc Code]=(TRIM(R$7)))*(GJ[Account Code]=(TRIM($D19))),GJ[Credit])))-(SUM(IF((CkDJ[Date]=$A$4)*(CkDJ[Ofc Code]=(TRIM(R$7)))*(CkDJ[Account Code]=(TRIM($D19))),CkDJ[Debit])))+(SUM(IF((CsDJ[Date]=$A$4)*(CsDJ[Ofc Code]=(TRIM(R$7)))*(CsDJ[Account Code]=(TRIM($D19))),CsDJ[Debit])))+(SUM(IF((CRDJ[Date]=$A$4)*(CRDJ[Ofc Code]=(TRIM(R$7)))*(CRDJ[Account Code]=(TRIM($D19))),CRDJ[Debit])))+(SUM(IF((GJ[Date]=$A$4)*(GJ[Ofc Code]=(TRIM(R$7)))*(GJ[Account Code]=(TRIM($D19))),GJ[Debit])))</f>
        <v>0</v>
      </c>
      <c r="S19" s="211">
        <f t="array" ref="S19">(SUM(IF((CkDJ[Date]=$A$4)*(CkDJ[Ofc Code]=(TRIM(S$7)))*(CkDJ[Account Code]=(TRIM($D19))),CkDJ[Credit])))+(SUM(IF((CsDJ[Date]=$A$4)*(CsDJ[Ofc Code]=(TRIM(S$7)))*(CsDJ[Account Code]=(TRIM($D19))),CsDJ[Credit])))+(SUM(IF((CRDJ[Date]=$A$4)*(CRDJ[Ofc Code]=(TRIM(S$7)))*(CRDJ[Account Code]=(TRIM($D19))),CRDJ[Credit])))+(SUM(IF((GJ[Date]=$A$4)*(GJ[Ofc Code]=(TRIM(S$7)))*(GJ[Account Code]=(TRIM($D19))),GJ[Credit])))-(SUM(IF((CkDJ[Date]=$A$4)*(CkDJ[Ofc Code]=(TRIM(S$7)))*(CkDJ[Account Code]=(TRIM($D19))),CkDJ[Debit])))+(SUM(IF((CsDJ[Date]=$A$4)*(CsDJ[Ofc Code]=(TRIM(S$7)))*(CsDJ[Account Code]=(TRIM($D19))),CsDJ[Debit])))+(SUM(IF((CRDJ[Date]=$A$4)*(CRDJ[Ofc Code]=(TRIM(S$7)))*(CRDJ[Account Code]=(TRIM($D19))),CRDJ[Debit])))+(SUM(IF((GJ[Date]=$A$4)*(GJ[Ofc Code]=(TRIM(S$7)))*(GJ[Account Code]=(TRIM($D19))),GJ[Debit])))</f>
        <v>0</v>
      </c>
      <c r="T19" s="211">
        <f t="shared" si="3"/>
        <v>0</v>
      </c>
      <c r="U19" s="211">
        <f t="shared" si="4"/>
        <v>0</v>
      </c>
    </row>
    <row r="20" spans="1:21" ht="15" x14ac:dyDescent="0.25">
      <c r="A20" s="212">
        <f t="shared" si="5"/>
        <v>12</v>
      </c>
      <c r="B20" s="214"/>
      <c r="C20" s="194" t="str">
        <f t="shared" si="0"/>
        <v>Equipment Rental - Internal (CA)</v>
      </c>
      <c r="D20" s="207" t="s">
        <v>146</v>
      </c>
      <c r="E20" s="211">
        <f t="array" ref="E20">(SUM(IF((CkDJ[Date]=$A$4)*(CkDJ[Ofc Code]=(TRIM(E$7)))*(CkDJ[Account Code]=(TRIM($D20))),CkDJ[Credit])))+(SUM(IF((CsDJ[Date]=$A$4)*(CsDJ[Ofc Code]=(TRIM(E$7)))*(CsDJ[Account Code]=(TRIM($D20))),CsDJ[Credit])))+(SUM(IF((CRDJ[Date]=$A$4)*(CRDJ[Ofc Code]=(TRIM(E$7)))*(CRDJ[Account Code]=(TRIM($D20))),CRDJ[Credit])))+(SUM(IF((GJ[Date]=$A$4)*(GJ[Ofc Code]=(TRIM(E$7)))*(GJ[Account Code]=(TRIM($D20))),GJ[Credit])))-(SUM(IF((CkDJ[Date]=$A$4)*(CkDJ[Ofc Code]=(TRIM(E$7)))*(CkDJ[Account Code]=(TRIM($D20))),CkDJ[Debit])))+(SUM(IF((CsDJ[Date]=$A$4)*(CsDJ[Ofc Code]=(TRIM(E$7)))*(CsDJ[Account Code]=(TRIM($D20))),CsDJ[Debit])))+(SUM(IF((CRDJ[Date]=$A$4)*(CRDJ[Ofc Code]=(TRIM(E$7)))*(CRDJ[Account Code]=(TRIM($D20))),CRDJ[Debit])))+(SUM(IF((GJ[Date]=$A$4)*(GJ[Ofc Code]=(TRIM(E$7)))*(GJ[Account Code]=(TRIM($D20))),GJ[Debit])))</f>
        <v>0</v>
      </c>
      <c r="F20" s="211">
        <f t="array" ref="F20">(SUM(IF((CkDJ[Date]=$A$4)*(CkDJ[Ofc Code]=(TRIM(F$7)))*(CkDJ[Account Code]=(TRIM($D20))),CkDJ[Credit])))+(SUM(IF((CsDJ[Date]=$A$4)*(CsDJ[Ofc Code]=(TRIM(F$7)))*(CsDJ[Account Code]=(TRIM($D20))),CsDJ[Credit])))+(SUM(IF((CRDJ[Date]=$A$4)*(CRDJ[Ofc Code]=(TRIM(F$7)))*(CRDJ[Account Code]=(TRIM($D20))),CRDJ[Credit])))+(SUM(IF((GJ[Date]=$A$4)*(GJ[Ofc Code]=(TRIM(F$7)))*(GJ[Account Code]=(TRIM($D20))),GJ[Credit])))-(SUM(IF((CkDJ[Date]=$A$4)*(CkDJ[Ofc Code]=(TRIM(F$7)))*(CkDJ[Account Code]=(TRIM($D20))),CkDJ[Debit])))+(SUM(IF((CsDJ[Date]=$A$4)*(CsDJ[Ofc Code]=(TRIM(F$7)))*(CsDJ[Account Code]=(TRIM($D20))),CsDJ[Debit])))+(SUM(IF((CRDJ[Date]=$A$4)*(CRDJ[Ofc Code]=(TRIM(F$7)))*(CRDJ[Account Code]=(TRIM($D20))),CRDJ[Debit])))+(SUM(IF((GJ[Date]=$A$4)*(GJ[Ofc Code]=(TRIM(F$7)))*(GJ[Account Code]=(TRIM($D20))),GJ[Debit])))</f>
        <v>0</v>
      </c>
      <c r="G20" s="211">
        <f t="array" ref="G20">(SUM(IF((CkDJ[Date]=$A$4)*(CkDJ[Ofc Code]=(TRIM(G$7)))*(CkDJ[Account Code]=(TRIM($D20))),CkDJ[Credit])))+(SUM(IF((CsDJ[Date]=$A$4)*(CsDJ[Ofc Code]=(TRIM(G$7)))*(CsDJ[Account Code]=(TRIM($D20))),CsDJ[Credit])))+(SUM(IF((CRDJ[Date]=$A$4)*(CRDJ[Ofc Code]=(TRIM(G$7)))*(CRDJ[Account Code]=(TRIM($D20))),CRDJ[Credit])))+(SUM(IF((GJ[Date]=$A$4)*(GJ[Ofc Code]=(TRIM(G$7)))*(GJ[Account Code]=(TRIM($D20))),GJ[Credit])))-(SUM(IF((CkDJ[Date]=$A$4)*(CkDJ[Ofc Code]=(TRIM(G$7)))*(CkDJ[Account Code]=(TRIM($D20))),CkDJ[Debit])))+(SUM(IF((CsDJ[Date]=$A$4)*(CsDJ[Ofc Code]=(TRIM(G$7)))*(CsDJ[Account Code]=(TRIM($D20))),CsDJ[Debit])))+(SUM(IF((CRDJ[Date]=$A$4)*(CRDJ[Ofc Code]=(TRIM(G$7)))*(CRDJ[Account Code]=(TRIM($D20))),CRDJ[Debit])))+(SUM(IF((GJ[Date]=$A$4)*(GJ[Ofc Code]=(TRIM(G$7)))*(GJ[Account Code]=(TRIM($D20))),GJ[Debit])))</f>
        <v>0</v>
      </c>
      <c r="H20" s="211">
        <f t="array" ref="H20">(SUM(IF((CkDJ[Date]=$A$4)*(CkDJ[Ofc Code]=(TRIM(H$7)))*(CkDJ[Account Code]=(TRIM($D20))),CkDJ[Credit])))+(SUM(IF((CsDJ[Date]=$A$4)*(CsDJ[Ofc Code]=(TRIM(H$7)))*(CsDJ[Account Code]=(TRIM($D20))),CsDJ[Credit])))+(SUM(IF((CRDJ[Date]=$A$4)*(CRDJ[Ofc Code]=(TRIM(H$7)))*(CRDJ[Account Code]=(TRIM($D20))),CRDJ[Credit])))+(SUM(IF((GJ[Date]=$A$4)*(GJ[Ofc Code]=(TRIM(H$7)))*(GJ[Account Code]=(TRIM($D20))),GJ[Credit])))-(SUM(IF((CkDJ[Date]=$A$4)*(CkDJ[Ofc Code]=(TRIM(H$7)))*(CkDJ[Account Code]=(TRIM($D20))),CkDJ[Debit])))+(SUM(IF((CsDJ[Date]=$A$4)*(CsDJ[Ofc Code]=(TRIM(H$7)))*(CsDJ[Account Code]=(TRIM($D20))),CsDJ[Debit])))+(SUM(IF((CRDJ[Date]=$A$4)*(CRDJ[Ofc Code]=(TRIM(H$7)))*(CRDJ[Account Code]=(TRIM($D20))),CRDJ[Debit])))+(SUM(IF((GJ[Date]=$A$4)*(GJ[Ofc Code]=(TRIM(H$7)))*(GJ[Account Code]=(TRIM($D20))),GJ[Debit])))</f>
        <v>0</v>
      </c>
      <c r="I20" s="211">
        <f t="shared" si="1"/>
        <v>0</v>
      </c>
      <c r="J20" s="211">
        <f t="array" ref="J20">(SUM(IF((CkDJ[Date]=$A$4)*(CkDJ[Ofc Code]=(TRIM(J$7)))*(CkDJ[Account Code]=(TRIM($D20))),CkDJ[Credit])))+(SUM(IF((CsDJ[Date]=$A$4)*(CsDJ[Ofc Code]=(TRIM(J$7)))*(CsDJ[Account Code]=(TRIM($D20))),CsDJ[Credit])))+(SUM(IF((CRDJ[Date]=$A$4)*(CRDJ[Ofc Code]=(TRIM(J$7)))*(CRDJ[Account Code]=(TRIM($D20))),CRDJ[Credit])))+(SUM(IF((GJ[Date]=$A$4)*(GJ[Ofc Code]=(TRIM(J$7)))*(GJ[Account Code]=(TRIM($D20))),GJ[Credit])))-(SUM(IF((CkDJ[Date]=$A$4)*(CkDJ[Ofc Code]=(TRIM(J$7)))*(CkDJ[Account Code]=(TRIM($D20))),CkDJ[Debit])))+(SUM(IF((CsDJ[Date]=$A$4)*(CsDJ[Ofc Code]=(TRIM(J$7)))*(CsDJ[Account Code]=(TRIM($D20))),CsDJ[Debit])))+(SUM(IF((CRDJ[Date]=$A$4)*(CRDJ[Ofc Code]=(TRIM(J$7)))*(CRDJ[Account Code]=(TRIM($D20))),CRDJ[Debit])))+(SUM(IF((GJ[Date]=$A$4)*(GJ[Ofc Code]=(TRIM(J$7)))*(GJ[Account Code]=(TRIM($D20))),GJ[Debit])))</f>
        <v>0</v>
      </c>
      <c r="K20" s="211">
        <f t="array" ref="K20">(SUM(IF((CkDJ[Date]=$A$4)*(CkDJ[Ofc Code]=(TRIM(K$7)))*(CkDJ[Account Code]=(TRIM($D20))),CkDJ[Credit])))+(SUM(IF((CsDJ[Date]=$A$4)*(CsDJ[Ofc Code]=(TRIM(K$7)))*(CsDJ[Account Code]=(TRIM($D20))),CsDJ[Credit])))+(SUM(IF((CRDJ[Date]=$A$4)*(CRDJ[Ofc Code]=(TRIM(K$7)))*(CRDJ[Account Code]=(TRIM($D20))),CRDJ[Credit])))+(SUM(IF((GJ[Date]=$A$4)*(GJ[Ofc Code]=(TRIM(K$7)))*(GJ[Account Code]=(TRIM($D20))),GJ[Credit])))-(SUM(IF((CkDJ[Date]=$A$4)*(CkDJ[Ofc Code]=(TRIM(K$7)))*(CkDJ[Account Code]=(TRIM($D20))),CkDJ[Debit])))+(SUM(IF((CsDJ[Date]=$A$4)*(CsDJ[Ofc Code]=(TRIM(K$7)))*(CsDJ[Account Code]=(TRIM($D20))),CsDJ[Debit])))+(SUM(IF((CRDJ[Date]=$A$4)*(CRDJ[Ofc Code]=(TRIM(K$7)))*(CRDJ[Account Code]=(TRIM($D20))),CRDJ[Debit])))+(SUM(IF((GJ[Date]=$A$4)*(GJ[Ofc Code]=(TRIM(K$7)))*(GJ[Account Code]=(TRIM($D20))),GJ[Debit])))</f>
        <v>0</v>
      </c>
      <c r="L20" s="211">
        <f t="array" ref="L20">(SUM(IF((CkDJ[Date]=$A$4)*(CkDJ[Ofc Code]=(TRIM(L$7)))*(CkDJ[Account Code]=(TRIM($D20))),CkDJ[Credit])))+(SUM(IF((CsDJ[Date]=$A$4)*(CsDJ[Ofc Code]=(TRIM(L$7)))*(CsDJ[Account Code]=(TRIM($D20))),CsDJ[Credit])))+(SUM(IF((CRDJ[Date]=$A$4)*(CRDJ[Ofc Code]=(TRIM(L$7)))*(CRDJ[Account Code]=(TRIM($D20))),CRDJ[Credit])))+(SUM(IF((GJ[Date]=$A$4)*(GJ[Ofc Code]=(TRIM(L$7)))*(GJ[Account Code]=(TRIM($D20))),GJ[Credit])))-(SUM(IF((CkDJ[Date]=$A$4)*(CkDJ[Ofc Code]=(TRIM(L$7)))*(CkDJ[Account Code]=(TRIM($D20))),CkDJ[Debit])))+(SUM(IF((CsDJ[Date]=$A$4)*(CsDJ[Ofc Code]=(TRIM(L$7)))*(CsDJ[Account Code]=(TRIM($D20))),CsDJ[Debit])))+(SUM(IF((CRDJ[Date]=$A$4)*(CRDJ[Ofc Code]=(TRIM(L$7)))*(CRDJ[Account Code]=(TRIM($D20))),CRDJ[Debit])))+(SUM(IF((GJ[Date]=$A$4)*(GJ[Ofc Code]=(TRIM(L$7)))*(GJ[Account Code]=(TRIM($D20))),GJ[Debit])))</f>
        <v>0</v>
      </c>
      <c r="M20" s="211">
        <f t="array" ref="M20">(SUM(IF((CkDJ[Date]=$A$4)*(CkDJ[Ofc Code]=(TRIM(M$7)))*(CkDJ[Account Code]=(TRIM($D20))),CkDJ[Credit])))+(SUM(IF((CsDJ[Date]=$A$4)*(CsDJ[Ofc Code]=(TRIM(M$7)))*(CsDJ[Account Code]=(TRIM($D20))),CsDJ[Credit])))+(SUM(IF((CRDJ[Date]=$A$4)*(CRDJ[Ofc Code]=(TRIM(M$7)))*(CRDJ[Account Code]=(TRIM($D20))),CRDJ[Credit])))+(SUM(IF((GJ[Date]=$A$4)*(GJ[Ofc Code]=(TRIM(M$7)))*(GJ[Account Code]=(TRIM($D20))),GJ[Credit])))-(SUM(IF((CkDJ[Date]=$A$4)*(CkDJ[Ofc Code]=(TRIM(M$7)))*(CkDJ[Account Code]=(TRIM($D20))),CkDJ[Debit])))+(SUM(IF((CsDJ[Date]=$A$4)*(CsDJ[Ofc Code]=(TRIM(M$7)))*(CsDJ[Account Code]=(TRIM($D20))),CsDJ[Debit])))+(SUM(IF((CRDJ[Date]=$A$4)*(CRDJ[Ofc Code]=(TRIM(M$7)))*(CRDJ[Account Code]=(TRIM($D20))),CRDJ[Debit])))+(SUM(IF((GJ[Date]=$A$4)*(GJ[Ofc Code]=(TRIM(M$7)))*(GJ[Account Code]=(TRIM($D20))),GJ[Debit])))</f>
        <v>0</v>
      </c>
      <c r="N20" s="211">
        <f t="shared" si="2"/>
        <v>0</v>
      </c>
      <c r="O20" s="211">
        <f t="array" ref="O20">(SUM(IF((CkDJ[Date]=$A$4)*(CkDJ[Ofc Code]=(TRIM(O$7)))*(CkDJ[Account Code]=(TRIM($D20))),CkDJ[Credit])))+(SUM(IF((CsDJ[Date]=$A$4)*(CsDJ[Ofc Code]=(TRIM(O$7)))*(CsDJ[Account Code]=(TRIM($D20))),CsDJ[Credit])))+(SUM(IF((CRDJ[Date]=$A$4)*(CRDJ[Ofc Code]=(TRIM(O$7)))*(CRDJ[Account Code]=(TRIM($D20))),CRDJ[Credit])))+(SUM(IF((GJ[Date]=$A$4)*(GJ[Ofc Code]=(TRIM(O$7)))*(GJ[Account Code]=(TRIM($D20))),GJ[Credit])))-(SUM(IF((CkDJ[Date]=$A$4)*(CkDJ[Ofc Code]=(TRIM(O$7)))*(CkDJ[Account Code]=(TRIM($D20))),CkDJ[Debit])))+(SUM(IF((CsDJ[Date]=$A$4)*(CsDJ[Ofc Code]=(TRIM(O$7)))*(CsDJ[Account Code]=(TRIM($D20))),CsDJ[Debit])))+(SUM(IF((CRDJ[Date]=$A$4)*(CRDJ[Ofc Code]=(TRIM(O$7)))*(CRDJ[Account Code]=(TRIM($D20))),CRDJ[Debit])))+(SUM(IF((GJ[Date]=$A$4)*(GJ[Ofc Code]=(TRIM(O$7)))*(GJ[Account Code]=(TRIM($D20))),GJ[Debit])))</f>
        <v>0</v>
      </c>
      <c r="P20" s="211">
        <f t="array" ref="P20">(SUM(IF((CkDJ[Date]=$A$4)*(CkDJ[Ofc Code]=(TRIM(P$7)))*(CkDJ[Account Code]=(TRIM($D20))),CkDJ[Credit])))+(SUM(IF((CsDJ[Date]=$A$4)*(CsDJ[Ofc Code]=(TRIM(P$7)))*(CsDJ[Account Code]=(TRIM($D20))),CsDJ[Credit])))+(SUM(IF((CRDJ[Date]=$A$4)*(CRDJ[Ofc Code]=(TRIM(P$7)))*(CRDJ[Account Code]=(TRIM($D20))),CRDJ[Credit])))+(SUM(IF((GJ[Date]=$A$4)*(GJ[Ofc Code]=(TRIM(P$7)))*(GJ[Account Code]=(TRIM($D20))),GJ[Credit])))-(SUM(IF((CkDJ[Date]=$A$4)*(CkDJ[Ofc Code]=(TRIM(P$7)))*(CkDJ[Account Code]=(TRIM($D20))),CkDJ[Debit])))+(SUM(IF((CsDJ[Date]=$A$4)*(CsDJ[Ofc Code]=(TRIM(P$7)))*(CsDJ[Account Code]=(TRIM($D20))),CsDJ[Debit])))+(SUM(IF((CRDJ[Date]=$A$4)*(CRDJ[Ofc Code]=(TRIM(P$7)))*(CRDJ[Account Code]=(TRIM($D20))),CRDJ[Debit])))+(SUM(IF((GJ[Date]=$A$4)*(GJ[Ofc Code]=(TRIM(P$7)))*(GJ[Account Code]=(TRIM($D20))),GJ[Debit])))</f>
        <v>0</v>
      </c>
      <c r="Q20" s="211">
        <f t="array" ref="Q20">(SUM(IF((CkDJ[Date]=$A$4)*(CkDJ[Ofc Code]=(TRIM(Q$7)))*(CkDJ[Account Code]=(TRIM($D20))),CkDJ[Credit])))+(SUM(IF((CsDJ[Date]=$A$4)*(CsDJ[Ofc Code]=(TRIM(Q$7)))*(CsDJ[Account Code]=(TRIM($D20))),CsDJ[Credit])))+(SUM(IF((CRDJ[Date]=$A$4)*(CRDJ[Ofc Code]=(TRIM(Q$7)))*(CRDJ[Account Code]=(TRIM($D20))),CRDJ[Credit])))+(SUM(IF((GJ[Date]=$A$4)*(GJ[Ofc Code]=(TRIM(Q$7)))*(GJ[Account Code]=(TRIM($D20))),GJ[Credit])))-(SUM(IF((CkDJ[Date]=$A$4)*(CkDJ[Ofc Code]=(TRIM(Q$7)))*(CkDJ[Account Code]=(TRIM($D20))),CkDJ[Debit])))+(SUM(IF((CsDJ[Date]=$A$4)*(CsDJ[Ofc Code]=(TRIM(Q$7)))*(CsDJ[Account Code]=(TRIM($D20))),CsDJ[Debit])))+(SUM(IF((CRDJ[Date]=$A$4)*(CRDJ[Ofc Code]=(TRIM(Q$7)))*(CRDJ[Account Code]=(TRIM($D20))),CRDJ[Debit])))+(SUM(IF((GJ[Date]=$A$4)*(GJ[Ofc Code]=(TRIM(Q$7)))*(GJ[Account Code]=(TRIM($D20))),GJ[Debit])))</f>
        <v>0</v>
      </c>
      <c r="R20" s="211">
        <f t="array" ref="R20">(SUM(IF((CkDJ[Date]=$A$4)*(CkDJ[Ofc Code]=(TRIM(R$7)))*(CkDJ[Account Code]=(TRIM($D20))),CkDJ[Credit])))+(SUM(IF((CsDJ[Date]=$A$4)*(CsDJ[Ofc Code]=(TRIM(R$7)))*(CsDJ[Account Code]=(TRIM($D20))),CsDJ[Credit])))+(SUM(IF((CRDJ[Date]=$A$4)*(CRDJ[Ofc Code]=(TRIM(R$7)))*(CRDJ[Account Code]=(TRIM($D20))),CRDJ[Credit])))+(SUM(IF((GJ[Date]=$A$4)*(GJ[Ofc Code]=(TRIM(R$7)))*(GJ[Account Code]=(TRIM($D20))),GJ[Credit])))-(SUM(IF((CkDJ[Date]=$A$4)*(CkDJ[Ofc Code]=(TRIM(R$7)))*(CkDJ[Account Code]=(TRIM($D20))),CkDJ[Debit])))+(SUM(IF((CsDJ[Date]=$A$4)*(CsDJ[Ofc Code]=(TRIM(R$7)))*(CsDJ[Account Code]=(TRIM($D20))),CsDJ[Debit])))+(SUM(IF((CRDJ[Date]=$A$4)*(CRDJ[Ofc Code]=(TRIM(R$7)))*(CRDJ[Account Code]=(TRIM($D20))),CRDJ[Debit])))+(SUM(IF((GJ[Date]=$A$4)*(GJ[Ofc Code]=(TRIM(R$7)))*(GJ[Account Code]=(TRIM($D20))),GJ[Debit])))</f>
        <v>0</v>
      </c>
      <c r="S20" s="211">
        <f t="array" ref="S20">(SUM(IF((CkDJ[Date]=$A$4)*(CkDJ[Ofc Code]=(TRIM(S$7)))*(CkDJ[Account Code]=(TRIM($D20))),CkDJ[Credit])))+(SUM(IF((CsDJ[Date]=$A$4)*(CsDJ[Ofc Code]=(TRIM(S$7)))*(CsDJ[Account Code]=(TRIM($D20))),CsDJ[Credit])))+(SUM(IF((CRDJ[Date]=$A$4)*(CRDJ[Ofc Code]=(TRIM(S$7)))*(CRDJ[Account Code]=(TRIM($D20))),CRDJ[Credit])))+(SUM(IF((GJ[Date]=$A$4)*(GJ[Ofc Code]=(TRIM(S$7)))*(GJ[Account Code]=(TRIM($D20))),GJ[Credit])))-(SUM(IF((CkDJ[Date]=$A$4)*(CkDJ[Ofc Code]=(TRIM(S$7)))*(CkDJ[Account Code]=(TRIM($D20))),CkDJ[Debit])))+(SUM(IF((CsDJ[Date]=$A$4)*(CsDJ[Ofc Code]=(TRIM(S$7)))*(CsDJ[Account Code]=(TRIM($D20))),CsDJ[Debit])))+(SUM(IF((CRDJ[Date]=$A$4)*(CRDJ[Ofc Code]=(TRIM(S$7)))*(CRDJ[Account Code]=(TRIM($D20))),CRDJ[Debit])))+(SUM(IF((GJ[Date]=$A$4)*(GJ[Ofc Code]=(TRIM(S$7)))*(GJ[Account Code]=(TRIM($D20))),GJ[Debit])))</f>
        <v>0</v>
      </c>
      <c r="T20" s="211">
        <f t="shared" si="3"/>
        <v>0</v>
      </c>
      <c r="U20" s="211">
        <f t="shared" si="4"/>
        <v>0</v>
      </c>
    </row>
    <row r="21" spans="1:21" ht="15" x14ac:dyDescent="0.25">
      <c r="A21" s="212">
        <f t="shared" si="5"/>
        <v>13</v>
      </c>
      <c r="B21" s="214"/>
      <c r="C21" s="194" t="str">
        <f t="shared" si="0"/>
        <v>Equipment Rental - External (CA)</v>
      </c>
      <c r="D21" s="207" t="s">
        <v>147</v>
      </c>
      <c r="E21" s="211">
        <f t="array" ref="E21">(SUM(IF((CkDJ[Date]=$A$4)*(CkDJ[Ofc Code]=(TRIM(E$7)))*(CkDJ[Account Code]=(TRIM($D21))),CkDJ[Credit])))+(SUM(IF((CsDJ[Date]=$A$4)*(CsDJ[Ofc Code]=(TRIM(E$7)))*(CsDJ[Account Code]=(TRIM($D21))),CsDJ[Credit])))+(SUM(IF((CRDJ[Date]=$A$4)*(CRDJ[Ofc Code]=(TRIM(E$7)))*(CRDJ[Account Code]=(TRIM($D21))),CRDJ[Credit])))+(SUM(IF((GJ[Date]=$A$4)*(GJ[Ofc Code]=(TRIM(E$7)))*(GJ[Account Code]=(TRIM($D21))),GJ[Credit])))-(SUM(IF((CkDJ[Date]=$A$4)*(CkDJ[Ofc Code]=(TRIM(E$7)))*(CkDJ[Account Code]=(TRIM($D21))),CkDJ[Debit])))+(SUM(IF((CsDJ[Date]=$A$4)*(CsDJ[Ofc Code]=(TRIM(E$7)))*(CsDJ[Account Code]=(TRIM($D21))),CsDJ[Debit])))+(SUM(IF((CRDJ[Date]=$A$4)*(CRDJ[Ofc Code]=(TRIM(E$7)))*(CRDJ[Account Code]=(TRIM($D21))),CRDJ[Debit])))+(SUM(IF((GJ[Date]=$A$4)*(GJ[Ofc Code]=(TRIM(E$7)))*(GJ[Account Code]=(TRIM($D21))),GJ[Debit])))</f>
        <v>0</v>
      </c>
      <c r="F21" s="211">
        <f t="array" ref="F21">(SUM(IF((CkDJ[Date]=$A$4)*(CkDJ[Ofc Code]=(TRIM(F$7)))*(CkDJ[Account Code]=(TRIM($D21))),CkDJ[Credit])))+(SUM(IF((CsDJ[Date]=$A$4)*(CsDJ[Ofc Code]=(TRIM(F$7)))*(CsDJ[Account Code]=(TRIM($D21))),CsDJ[Credit])))+(SUM(IF((CRDJ[Date]=$A$4)*(CRDJ[Ofc Code]=(TRIM(F$7)))*(CRDJ[Account Code]=(TRIM($D21))),CRDJ[Credit])))+(SUM(IF((GJ[Date]=$A$4)*(GJ[Ofc Code]=(TRIM(F$7)))*(GJ[Account Code]=(TRIM($D21))),GJ[Credit])))-(SUM(IF((CkDJ[Date]=$A$4)*(CkDJ[Ofc Code]=(TRIM(F$7)))*(CkDJ[Account Code]=(TRIM($D21))),CkDJ[Debit])))+(SUM(IF((CsDJ[Date]=$A$4)*(CsDJ[Ofc Code]=(TRIM(F$7)))*(CsDJ[Account Code]=(TRIM($D21))),CsDJ[Debit])))+(SUM(IF((CRDJ[Date]=$A$4)*(CRDJ[Ofc Code]=(TRIM(F$7)))*(CRDJ[Account Code]=(TRIM($D21))),CRDJ[Debit])))+(SUM(IF((GJ[Date]=$A$4)*(GJ[Ofc Code]=(TRIM(F$7)))*(GJ[Account Code]=(TRIM($D21))),GJ[Debit])))</f>
        <v>0</v>
      </c>
      <c r="G21" s="211">
        <f t="array" ref="G21">(SUM(IF((CkDJ[Date]=$A$4)*(CkDJ[Ofc Code]=(TRIM(G$7)))*(CkDJ[Account Code]=(TRIM($D21))),CkDJ[Credit])))+(SUM(IF((CsDJ[Date]=$A$4)*(CsDJ[Ofc Code]=(TRIM(G$7)))*(CsDJ[Account Code]=(TRIM($D21))),CsDJ[Credit])))+(SUM(IF((CRDJ[Date]=$A$4)*(CRDJ[Ofc Code]=(TRIM(G$7)))*(CRDJ[Account Code]=(TRIM($D21))),CRDJ[Credit])))+(SUM(IF((GJ[Date]=$A$4)*(GJ[Ofc Code]=(TRIM(G$7)))*(GJ[Account Code]=(TRIM($D21))),GJ[Credit])))-(SUM(IF((CkDJ[Date]=$A$4)*(CkDJ[Ofc Code]=(TRIM(G$7)))*(CkDJ[Account Code]=(TRIM($D21))),CkDJ[Debit])))+(SUM(IF((CsDJ[Date]=$A$4)*(CsDJ[Ofc Code]=(TRIM(G$7)))*(CsDJ[Account Code]=(TRIM($D21))),CsDJ[Debit])))+(SUM(IF((CRDJ[Date]=$A$4)*(CRDJ[Ofc Code]=(TRIM(G$7)))*(CRDJ[Account Code]=(TRIM($D21))),CRDJ[Debit])))+(SUM(IF((GJ[Date]=$A$4)*(GJ[Ofc Code]=(TRIM(G$7)))*(GJ[Account Code]=(TRIM($D21))),GJ[Debit])))</f>
        <v>0</v>
      </c>
      <c r="H21" s="211">
        <f t="array" ref="H21">(SUM(IF((CkDJ[Date]=$A$4)*(CkDJ[Ofc Code]=(TRIM(H$7)))*(CkDJ[Account Code]=(TRIM($D21))),CkDJ[Credit])))+(SUM(IF((CsDJ[Date]=$A$4)*(CsDJ[Ofc Code]=(TRIM(H$7)))*(CsDJ[Account Code]=(TRIM($D21))),CsDJ[Credit])))+(SUM(IF((CRDJ[Date]=$A$4)*(CRDJ[Ofc Code]=(TRIM(H$7)))*(CRDJ[Account Code]=(TRIM($D21))),CRDJ[Credit])))+(SUM(IF((GJ[Date]=$A$4)*(GJ[Ofc Code]=(TRIM(H$7)))*(GJ[Account Code]=(TRIM($D21))),GJ[Credit])))-(SUM(IF((CkDJ[Date]=$A$4)*(CkDJ[Ofc Code]=(TRIM(H$7)))*(CkDJ[Account Code]=(TRIM($D21))),CkDJ[Debit])))+(SUM(IF((CsDJ[Date]=$A$4)*(CsDJ[Ofc Code]=(TRIM(H$7)))*(CsDJ[Account Code]=(TRIM($D21))),CsDJ[Debit])))+(SUM(IF((CRDJ[Date]=$A$4)*(CRDJ[Ofc Code]=(TRIM(H$7)))*(CRDJ[Account Code]=(TRIM($D21))),CRDJ[Debit])))+(SUM(IF((GJ[Date]=$A$4)*(GJ[Ofc Code]=(TRIM(H$7)))*(GJ[Account Code]=(TRIM($D21))),GJ[Debit])))</f>
        <v>0</v>
      </c>
      <c r="I21" s="211">
        <f t="shared" si="1"/>
        <v>0</v>
      </c>
      <c r="J21" s="211">
        <f t="array" ref="J21">(SUM(IF((CkDJ[Date]=$A$4)*(CkDJ[Ofc Code]=(TRIM(J$7)))*(CkDJ[Account Code]=(TRIM($D21))),CkDJ[Credit])))+(SUM(IF((CsDJ[Date]=$A$4)*(CsDJ[Ofc Code]=(TRIM(J$7)))*(CsDJ[Account Code]=(TRIM($D21))),CsDJ[Credit])))+(SUM(IF((CRDJ[Date]=$A$4)*(CRDJ[Ofc Code]=(TRIM(J$7)))*(CRDJ[Account Code]=(TRIM($D21))),CRDJ[Credit])))+(SUM(IF((GJ[Date]=$A$4)*(GJ[Ofc Code]=(TRIM(J$7)))*(GJ[Account Code]=(TRIM($D21))),GJ[Credit])))-(SUM(IF((CkDJ[Date]=$A$4)*(CkDJ[Ofc Code]=(TRIM(J$7)))*(CkDJ[Account Code]=(TRIM($D21))),CkDJ[Debit])))+(SUM(IF((CsDJ[Date]=$A$4)*(CsDJ[Ofc Code]=(TRIM(J$7)))*(CsDJ[Account Code]=(TRIM($D21))),CsDJ[Debit])))+(SUM(IF((CRDJ[Date]=$A$4)*(CRDJ[Ofc Code]=(TRIM(J$7)))*(CRDJ[Account Code]=(TRIM($D21))),CRDJ[Debit])))+(SUM(IF((GJ[Date]=$A$4)*(GJ[Ofc Code]=(TRIM(J$7)))*(GJ[Account Code]=(TRIM($D21))),GJ[Debit])))</f>
        <v>0</v>
      </c>
      <c r="K21" s="211">
        <f t="array" ref="K21">(SUM(IF((CkDJ[Date]=$A$4)*(CkDJ[Ofc Code]=(TRIM(K$7)))*(CkDJ[Account Code]=(TRIM($D21))),CkDJ[Credit])))+(SUM(IF((CsDJ[Date]=$A$4)*(CsDJ[Ofc Code]=(TRIM(K$7)))*(CsDJ[Account Code]=(TRIM($D21))),CsDJ[Credit])))+(SUM(IF((CRDJ[Date]=$A$4)*(CRDJ[Ofc Code]=(TRIM(K$7)))*(CRDJ[Account Code]=(TRIM($D21))),CRDJ[Credit])))+(SUM(IF((GJ[Date]=$A$4)*(GJ[Ofc Code]=(TRIM(K$7)))*(GJ[Account Code]=(TRIM($D21))),GJ[Credit])))-(SUM(IF((CkDJ[Date]=$A$4)*(CkDJ[Ofc Code]=(TRIM(K$7)))*(CkDJ[Account Code]=(TRIM($D21))),CkDJ[Debit])))+(SUM(IF((CsDJ[Date]=$A$4)*(CsDJ[Ofc Code]=(TRIM(K$7)))*(CsDJ[Account Code]=(TRIM($D21))),CsDJ[Debit])))+(SUM(IF((CRDJ[Date]=$A$4)*(CRDJ[Ofc Code]=(TRIM(K$7)))*(CRDJ[Account Code]=(TRIM($D21))),CRDJ[Debit])))+(SUM(IF((GJ[Date]=$A$4)*(GJ[Ofc Code]=(TRIM(K$7)))*(GJ[Account Code]=(TRIM($D21))),GJ[Debit])))</f>
        <v>0</v>
      </c>
      <c r="L21" s="211">
        <f t="array" ref="L21">(SUM(IF((CkDJ[Date]=$A$4)*(CkDJ[Ofc Code]=(TRIM(L$7)))*(CkDJ[Account Code]=(TRIM($D21))),CkDJ[Credit])))+(SUM(IF((CsDJ[Date]=$A$4)*(CsDJ[Ofc Code]=(TRIM(L$7)))*(CsDJ[Account Code]=(TRIM($D21))),CsDJ[Credit])))+(SUM(IF((CRDJ[Date]=$A$4)*(CRDJ[Ofc Code]=(TRIM(L$7)))*(CRDJ[Account Code]=(TRIM($D21))),CRDJ[Credit])))+(SUM(IF((GJ[Date]=$A$4)*(GJ[Ofc Code]=(TRIM(L$7)))*(GJ[Account Code]=(TRIM($D21))),GJ[Credit])))-(SUM(IF((CkDJ[Date]=$A$4)*(CkDJ[Ofc Code]=(TRIM(L$7)))*(CkDJ[Account Code]=(TRIM($D21))),CkDJ[Debit])))+(SUM(IF((CsDJ[Date]=$A$4)*(CsDJ[Ofc Code]=(TRIM(L$7)))*(CsDJ[Account Code]=(TRIM($D21))),CsDJ[Debit])))+(SUM(IF((CRDJ[Date]=$A$4)*(CRDJ[Ofc Code]=(TRIM(L$7)))*(CRDJ[Account Code]=(TRIM($D21))),CRDJ[Debit])))+(SUM(IF((GJ[Date]=$A$4)*(GJ[Ofc Code]=(TRIM(L$7)))*(GJ[Account Code]=(TRIM($D21))),GJ[Debit])))</f>
        <v>0</v>
      </c>
      <c r="M21" s="211">
        <f t="array" ref="M21">(SUM(IF((CkDJ[Date]=$A$4)*(CkDJ[Ofc Code]=(TRIM(M$7)))*(CkDJ[Account Code]=(TRIM($D21))),CkDJ[Credit])))+(SUM(IF((CsDJ[Date]=$A$4)*(CsDJ[Ofc Code]=(TRIM(M$7)))*(CsDJ[Account Code]=(TRIM($D21))),CsDJ[Credit])))+(SUM(IF((CRDJ[Date]=$A$4)*(CRDJ[Ofc Code]=(TRIM(M$7)))*(CRDJ[Account Code]=(TRIM($D21))),CRDJ[Credit])))+(SUM(IF((GJ[Date]=$A$4)*(GJ[Ofc Code]=(TRIM(M$7)))*(GJ[Account Code]=(TRIM($D21))),GJ[Credit])))-(SUM(IF((CkDJ[Date]=$A$4)*(CkDJ[Ofc Code]=(TRIM(M$7)))*(CkDJ[Account Code]=(TRIM($D21))),CkDJ[Debit])))+(SUM(IF((CsDJ[Date]=$A$4)*(CsDJ[Ofc Code]=(TRIM(M$7)))*(CsDJ[Account Code]=(TRIM($D21))),CsDJ[Debit])))+(SUM(IF((CRDJ[Date]=$A$4)*(CRDJ[Ofc Code]=(TRIM(M$7)))*(CRDJ[Account Code]=(TRIM($D21))),CRDJ[Debit])))+(SUM(IF((GJ[Date]=$A$4)*(GJ[Ofc Code]=(TRIM(M$7)))*(GJ[Account Code]=(TRIM($D21))),GJ[Debit])))</f>
        <v>0</v>
      </c>
      <c r="N21" s="211">
        <f t="shared" si="2"/>
        <v>0</v>
      </c>
      <c r="O21" s="211">
        <f t="array" ref="O21">(SUM(IF((CkDJ[Date]=$A$4)*(CkDJ[Ofc Code]=(TRIM(O$7)))*(CkDJ[Account Code]=(TRIM($D21))),CkDJ[Credit])))+(SUM(IF((CsDJ[Date]=$A$4)*(CsDJ[Ofc Code]=(TRIM(O$7)))*(CsDJ[Account Code]=(TRIM($D21))),CsDJ[Credit])))+(SUM(IF((CRDJ[Date]=$A$4)*(CRDJ[Ofc Code]=(TRIM(O$7)))*(CRDJ[Account Code]=(TRIM($D21))),CRDJ[Credit])))+(SUM(IF((GJ[Date]=$A$4)*(GJ[Ofc Code]=(TRIM(O$7)))*(GJ[Account Code]=(TRIM($D21))),GJ[Credit])))-(SUM(IF((CkDJ[Date]=$A$4)*(CkDJ[Ofc Code]=(TRIM(O$7)))*(CkDJ[Account Code]=(TRIM($D21))),CkDJ[Debit])))+(SUM(IF((CsDJ[Date]=$A$4)*(CsDJ[Ofc Code]=(TRIM(O$7)))*(CsDJ[Account Code]=(TRIM($D21))),CsDJ[Debit])))+(SUM(IF((CRDJ[Date]=$A$4)*(CRDJ[Ofc Code]=(TRIM(O$7)))*(CRDJ[Account Code]=(TRIM($D21))),CRDJ[Debit])))+(SUM(IF((GJ[Date]=$A$4)*(GJ[Ofc Code]=(TRIM(O$7)))*(GJ[Account Code]=(TRIM($D21))),GJ[Debit])))</f>
        <v>0</v>
      </c>
      <c r="P21" s="211">
        <f t="array" ref="P21">(SUM(IF((CkDJ[Date]=$A$4)*(CkDJ[Ofc Code]=(TRIM(P$7)))*(CkDJ[Account Code]=(TRIM($D21))),CkDJ[Credit])))+(SUM(IF((CsDJ[Date]=$A$4)*(CsDJ[Ofc Code]=(TRIM(P$7)))*(CsDJ[Account Code]=(TRIM($D21))),CsDJ[Credit])))+(SUM(IF((CRDJ[Date]=$A$4)*(CRDJ[Ofc Code]=(TRIM(P$7)))*(CRDJ[Account Code]=(TRIM($D21))),CRDJ[Credit])))+(SUM(IF((GJ[Date]=$A$4)*(GJ[Ofc Code]=(TRIM(P$7)))*(GJ[Account Code]=(TRIM($D21))),GJ[Credit])))-(SUM(IF((CkDJ[Date]=$A$4)*(CkDJ[Ofc Code]=(TRIM(P$7)))*(CkDJ[Account Code]=(TRIM($D21))),CkDJ[Debit])))+(SUM(IF((CsDJ[Date]=$A$4)*(CsDJ[Ofc Code]=(TRIM(P$7)))*(CsDJ[Account Code]=(TRIM($D21))),CsDJ[Debit])))+(SUM(IF((CRDJ[Date]=$A$4)*(CRDJ[Ofc Code]=(TRIM(P$7)))*(CRDJ[Account Code]=(TRIM($D21))),CRDJ[Debit])))+(SUM(IF((GJ[Date]=$A$4)*(GJ[Ofc Code]=(TRIM(P$7)))*(GJ[Account Code]=(TRIM($D21))),GJ[Debit])))</f>
        <v>0</v>
      </c>
      <c r="Q21" s="211">
        <f t="array" ref="Q21">(SUM(IF((CkDJ[Date]=$A$4)*(CkDJ[Ofc Code]=(TRIM(Q$7)))*(CkDJ[Account Code]=(TRIM($D21))),CkDJ[Credit])))+(SUM(IF((CsDJ[Date]=$A$4)*(CsDJ[Ofc Code]=(TRIM(Q$7)))*(CsDJ[Account Code]=(TRIM($D21))),CsDJ[Credit])))+(SUM(IF((CRDJ[Date]=$A$4)*(CRDJ[Ofc Code]=(TRIM(Q$7)))*(CRDJ[Account Code]=(TRIM($D21))),CRDJ[Credit])))+(SUM(IF((GJ[Date]=$A$4)*(GJ[Ofc Code]=(TRIM(Q$7)))*(GJ[Account Code]=(TRIM($D21))),GJ[Credit])))-(SUM(IF((CkDJ[Date]=$A$4)*(CkDJ[Ofc Code]=(TRIM(Q$7)))*(CkDJ[Account Code]=(TRIM($D21))),CkDJ[Debit])))+(SUM(IF((CsDJ[Date]=$A$4)*(CsDJ[Ofc Code]=(TRIM(Q$7)))*(CsDJ[Account Code]=(TRIM($D21))),CsDJ[Debit])))+(SUM(IF((CRDJ[Date]=$A$4)*(CRDJ[Ofc Code]=(TRIM(Q$7)))*(CRDJ[Account Code]=(TRIM($D21))),CRDJ[Debit])))+(SUM(IF((GJ[Date]=$A$4)*(GJ[Ofc Code]=(TRIM(Q$7)))*(GJ[Account Code]=(TRIM($D21))),GJ[Debit])))</f>
        <v>0</v>
      </c>
      <c r="R21" s="211">
        <f t="array" ref="R21">(SUM(IF((CkDJ[Date]=$A$4)*(CkDJ[Ofc Code]=(TRIM(R$7)))*(CkDJ[Account Code]=(TRIM($D21))),CkDJ[Credit])))+(SUM(IF((CsDJ[Date]=$A$4)*(CsDJ[Ofc Code]=(TRIM(R$7)))*(CsDJ[Account Code]=(TRIM($D21))),CsDJ[Credit])))+(SUM(IF((CRDJ[Date]=$A$4)*(CRDJ[Ofc Code]=(TRIM(R$7)))*(CRDJ[Account Code]=(TRIM($D21))),CRDJ[Credit])))+(SUM(IF((GJ[Date]=$A$4)*(GJ[Ofc Code]=(TRIM(R$7)))*(GJ[Account Code]=(TRIM($D21))),GJ[Credit])))-(SUM(IF((CkDJ[Date]=$A$4)*(CkDJ[Ofc Code]=(TRIM(R$7)))*(CkDJ[Account Code]=(TRIM($D21))),CkDJ[Debit])))+(SUM(IF((CsDJ[Date]=$A$4)*(CsDJ[Ofc Code]=(TRIM(R$7)))*(CsDJ[Account Code]=(TRIM($D21))),CsDJ[Debit])))+(SUM(IF((CRDJ[Date]=$A$4)*(CRDJ[Ofc Code]=(TRIM(R$7)))*(CRDJ[Account Code]=(TRIM($D21))),CRDJ[Debit])))+(SUM(IF((GJ[Date]=$A$4)*(GJ[Ofc Code]=(TRIM(R$7)))*(GJ[Account Code]=(TRIM($D21))),GJ[Debit])))</f>
        <v>0</v>
      </c>
      <c r="S21" s="211">
        <f t="array" ref="S21">(SUM(IF((CkDJ[Date]=$A$4)*(CkDJ[Ofc Code]=(TRIM(S$7)))*(CkDJ[Account Code]=(TRIM($D21))),CkDJ[Credit])))+(SUM(IF((CsDJ[Date]=$A$4)*(CsDJ[Ofc Code]=(TRIM(S$7)))*(CsDJ[Account Code]=(TRIM($D21))),CsDJ[Credit])))+(SUM(IF((CRDJ[Date]=$A$4)*(CRDJ[Ofc Code]=(TRIM(S$7)))*(CRDJ[Account Code]=(TRIM($D21))),CRDJ[Credit])))+(SUM(IF((GJ[Date]=$A$4)*(GJ[Ofc Code]=(TRIM(S$7)))*(GJ[Account Code]=(TRIM($D21))),GJ[Credit])))-(SUM(IF((CkDJ[Date]=$A$4)*(CkDJ[Ofc Code]=(TRIM(S$7)))*(CkDJ[Account Code]=(TRIM($D21))),CkDJ[Debit])))+(SUM(IF((CsDJ[Date]=$A$4)*(CsDJ[Ofc Code]=(TRIM(S$7)))*(CsDJ[Account Code]=(TRIM($D21))),CsDJ[Debit])))+(SUM(IF((CRDJ[Date]=$A$4)*(CRDJ[Ofc Code]=(TRIM(S$7)))*(CRDJ[Account Code]=(TRIM($D21))),CRDJ[Debit])))+(SUM(IF((GJ[Date]=$A$4)*(GJ[Ofc Code]=(TRIM(S$7)))*(GJ[Account Code]=(TRIM($D21))),GJ[Debit])))</f>
        <v>0</v>
      </c>
      <c r="T21" s="211">
        <f t="shared" si="3"/>
        <v>0</v>
      </c>
      <c r="U21" s="211">
        <f t="shared" si="4"/>
        <v>0</v>
      </c>
    </row>
    <row r="22" spans="1:21" ht="15" x14ac:dyDescent="0.25">
      <c r="A22" s="212">
        <f t="shared" si="5"/>
        <v>14</v>
      </c>
      <c r="B22" s="214"/>
      <c r="C22" s="194" t="str">
        <f t="shared" si="0"/>
        <v>Equipment Rental - Internal (BA)</v>
      </c>
      <c r="D22" s="207" t="s">
        <v>148</v>
      </c>
      <c r="E22" s="211">
        <f t="array" ref="E22">(SUM(IF((CkDJ[Date]=$A$4)*(CkDJ[Ofc Code]=(TRIM(E$7)))*(CkDJ[Account Code]=(TRIM($D22))),CkDJ[Credit])))+(SUM(IF((CsDJ[Date]=$A$4)*(CsDJ[Ofc Code]=(TRIM(E$7)))*(CsDJ[Account Code]=(TRIM($D22))),CsDJ[Credit])))+(SUM(IF((CRDJ[Date]=$A$4)*(CRDJ[Ofc Code]=(TRIM(E$7)))*(CRDJ[Account Code]=(TRIM($D22))),CRDJ[Credit])))+(SUM(IF((GJ[Date]=$A$4)*(GJ[Ofc Code]=(TRIM(E$7)))*(GJ[Account Code]=(TRIM($D22))),GJ[Credit])))-(SUM(IF((CkDJ[Date]=$A$4)*(CkDJ[Ofc Code]=(TRIM(E$7)))*(CkDJ[Account Code]=(TRIM($D22))),CkDJ[Debit])))+(SUM(IF((CsDJ[Date]=$A$4)*(CsDJ[Ofc Code]=(TRIM(E$7)))*(CsDJ[Account Code]=(TRIM($D22))),CsDJ[Debit])))+(SUM(IF((CRDJ[Date]=$A$4)*(CRDJ[Ofc Code]=(TRIM(E$7)))*(CRDJ[Account Code]=(TRIM($D22))),CRDJ[Debit])))+(SUM(IF((GJ[Date]=$A$4)*(GJ[Ofc Code]=(TRIM(E$7)))*(GJ[Account Code]=(TRIM($D22))),GJ[Debit])))</f>
        <v>0</v>
      </c>
      <c r="F22" s="211">
        <f t="array" ref="F22">(SUM(IF((CkDJ[Date]=$A$4)*(CkDJ[Ofc Code]=(TRIM(F$7)))*(CkDJ[Account Code]=(TRIM($D22))),CkDJ[Credit])))+(SUM(IF((CsDJ[Date]=$A$4)*(CsDJ[Ofc Code]=(TRIM(F$7)))*(CsDJ[Account Code]=(TRIM($D22))),CsDJ[Credit])))+(SUM(IF((CRDJ[Date]=$A$4)*(CRDJ[Ofc Code]=(TRIM(F$7)))*(CRDJ[Account Code]=(TRIM($D22))),CRDJ[Credit])))+(SUM(IF((GJ[Date]=$A$4)*(GJ[Ofc Code]=(TRIM(F$7)))*(GJ[Account Code]=(TRIM($D22))),GJ[Credit])))-(SUM(IF((CkDJ[Date]=$A$4)*(CkDJ[Ofc Code]=(TRIM(F$7)))*(CkDJ[Account Code]=(TRIM($D22))),CkDJ[Debit])))+(SUM(IF((CsDJ[Date]=$A$4)*(CsDJ[Ofc Code]=(TRIM(F$7)))*(CsDJ[Account Code]=(TRIM($D22))),CsDJ[Debit])))+(SUM(IF((CRDJ[Date]=$A$4)*(CRDJ[Ofc Code]=(TRIM(F$7)))*(CRDJ[Account Code]=(TRIM($D22))),CRDJ[Debit])))+(SUM(IF((GJ[Date]=$A$4)*(GJ[Ofc Code]=(TRIM(F$7)))*(GJ[Account Code]=(TRIM($D22))),GJ[Debit])))</f>
        <v>0</v>
      </c>
      <c r="G22" s="211">
        <f t="array" ref="G22">(SUM(IF((CkDJ[Date]=$A$4)*(CkDJ[Ofc Code]=(TRIM(G$7)))*(CkDJ[Account Code]=(TRIM($D22))),CkDJ[Credit])))+(SUM(IF((CsDJ[Date]=$A$4)*(CsDJ[Ofc Code]=(TRIM(G$7)))*(CsDJ[Account Code]=(TRIM($D22))),CsDJ[Credit])))+(SUM(IF((CRDJ[Date]=$A$4)*(CRDJ[Ofc Code]=(TRIM(G$7)))*(CRDJ[Account Code]=(TRIM($D22))),CRDJ[Credit])))+(SUM(IF((GJ[Date]=$A$4)*(GJ[Ofc Code]=(TRIM(G$7)))*(GJ[Account Code]=(TRIM($D22))),GJ[Credit])))-(SUM(IF((CkDJ[Date]=$A$4)*(CkDJ[Ofc Code]=(TRIM(G$7)))*(CkDJ[Account Code]=(TRIM($D22))),CkDJ[Debit])))+(SUM(IF((CsDJ[Date]=$A$4)*(CsDJ[Ofc Code]=(TRIM(G$7)))*(CsDJ[Account Code]=(TRIM($D22))),CsDJ[Debit])))+(SUM(IF((CRDJ[Date]=$A$4)*(CRDJ[Ofc Code]=(TRIM(G$7)))*(CRDJ[Account Code]=(TRIM($D22))),CRDJ[Debit])))+(SUM(IF((GJ[Date]=$A$4)*(GJ[Ofc Code]=(TRIM(G$7)))*(GJ[Account Code]=(TRIM($D22))),GJ[Debit])))</f>
        <v>0</v>
      </c>
      <c r="H22" s="211">
        <f t="array" ref="H22">(SUM(IF((CkDJ[Date]=$A$4)*(CkDJ[Ofc Code]=(TRIM(H$7)))*(CkDJ[Account Code]=(TRIM($D22))),CkDJ[Credit])))+(SUM(IF((CsDJ[Date]=$A$4)*(CsDJ[Ofc Code]=(TRIM(H$7)))*(CsDJ[Account Code]=(TRIM($D22))),CsDJ[Credit])))+(SUM(IF((CRDJ[Date]=$A$4)*(CRDJ[Ofc Code]=(TRIM(H$7)))*(CRDJ[Account Code]=(TRIM($D22))),CRDJ[Credit])))+(SUM(IF((GJ[Date]=$A$4)*(GJ[Ofc Code]=(TRIM(H$7)))*(GJ[Account Code]=(TRIM($D22))),GJ[Credit])))-(SUM(IF((CkDJ[Date]=$A$4)*(CkDJ[Ofc Code]=(TRIM(H$7)))*(CkDJ[Account Code]=(TRIM($D22))),CkDJ[Debit])))+(SUM(IF((CsDJ[Date]=$A$4)*(CsDJ[Ofc Code]=(TRIM(H$7)))*(CsDJ[Account Code]=(TRIM($D22))),CsDJ[Debit])))+(SUM(IF((CRDJ[Date]=$A$4)*(CRDJ[Ofc Code]=(TRIM(H$7)))*(CRDJ[Account Code]=(TRIM($D22))),CRDJ[Debit])))+(SUM(IF((GJ[Date]=$A$4)*(GJ[Ofc Code]=(TRIM(H$7)))*(GJ[Account Code]=(TRIM($D22))),GJ[Debit])))</f>
        <v>0</v>
      </c>
      <c r="I22" s="211">
        <f t="shared" si="1"/>
        <v>0</v>
      </c>
      <c r="J22" s="211">
        <f t="array" ref="J22">(SUM(IF((CkDJ[Date]=$A$4)*(CkDJ[Ofc Code]=(TRIM(J$7)))*(CkDJ[Account Code]=(TRIM($D22))),CkDJ[Credit])))+(SUM(IF((CsDJ[Date]=$A$4)*(CsDJ[Ofc Code]=(TRIM(J$7)))*(CsDJ[Account Code]=(TRIM($D22))),CsDJ[Credit])))+(SUM(IF((CRDJ[Date]=$A$4)*(CRDJ[Ofc Code]=(TRIM(J$7)))*(CRDJ[Account Code]=(TRIM($D22))),CRDJ[Credit])))+(SUM(IF((GJ[Date]=$A$4)*(GJ[Ofc Code]=(TRIM(J$7)))*(GJ[Account Code]=(TRIM($D22))),GJ[Credit])))-(SUM(IF((CkDJ[Date]=$A$4)*(CkDJ[Ofc Code]=(TRIM(J$7)))*(CkDJ[Account Code]=(TRIM($D22))),CkDJ[Debit])))+(SUM(IF((CsDJ[Date]=$A$4)*(CsDJ[Ofc Code]=(TRIM(J$7)))*(CsDJ[Account Code]=(TRIM($D22))),CsDJ[Debit])))+(SUM(IF((CRDJ[Date]=$A$4)*(CRDJ[Ofc Code]=(TRIM(J$7)))*(CRDJ[Account Code]=(TRIM($D22))),CRDJ[Debit])))+(SUM(IF((GJ[Date]=$A$4)*(GJ[Ofc Code]=(TRIM(J$7)))*(GJ[Account Code]=(TRIM($D22))),GJ[Debit])))</f>
        <v>0</v>
      </c>
      <c r="K22" s="211">
        <f t="array" ref="K22">(SUM(IF((CkDJ[Date]=$A$4)*(CkDJ[Ofc Code]=(TRIM(K$7)))*(CkDJ[Account Code]=(TRIM($D22))),CkDJ[Credit])))+(SUM(IF((CsDJ[Date]=$A$4)*(CsDJ[Ofc Code]=(TRIM(K$7)))*(CsDJ[Account Code]=(TRIM($D22))),CsDJ[Credit])))+(SUM(IF((CRDJ[Date]=$A$4)*(CRDJ[Ofc Code]=(TRIM(K$7)))*(CRDJ[Account Code]=(TRIM($D22))),CRDJ[Credit])))+(SUM(IF((GJ[Date]=$A$4)*(GJ[Ofc Code]=(TRIM(K$7)))*(GJ[Account Code]=(TRIM($D22))),GJ[Credit])))-(SUM(IF((CkDJ[Date]=$A$4)*(CkDJ[Ofc Code]=(TRIM(K$7)))*(CkDJ[Account Code]=(TRIM($D22))),CkDJ[Debit])))+(SUM(IF((CsDJ[Date]=$A$4)*(CsDJ[Ofc Code]=(TRIM(K$7)))*(CsDJ[Account Code]=(TRIM($D22))),CsDJ[Debit])))+(SUM(IF((CRDJ[Date]=$A$4)*(CRDJ[Ofc Code]=(TRIM(K$7)))*(CRDJ[Account Code]=(TRIM($D22))),CRDJ[Debit])))+(SUM(IF((GJ[Date]=$A$4)*(GJ[Ofc Code]=(TRIM(K$7)))*(GJ[Account Code]=(TRIM($D22))),GJ[Debit])))</f>
        <v>0</v>
      </c>
      <c r="L22" s="211">
        <f t="array" ref="L22">(SUM(IF((CkDJ[Date]=$A$4)*(CkDJ[Ofc Code]=(TRIM(L$7)))*(CkDJ[Account Code]=(TRIM($D22))),CkDJ[Credit])))+(SUM(IF((CsDJ[Date]=$A$4)*(CsDJ[Ofc Code]=(TRIM(L$7)))*(CsDJ[Account Code]=(TRIM($D22))),CsDJ[Credit])))+(SUM(IF((CRDJ[Date]=$A$4)*(CRDJ[Ofc Code]=(TRIM(L$7)))*(CRDJ[Account Code]=(TRIM($D22))),CRDJ[Credit])))+(SUM(IF((GJ[Date]=$A$4)*(GJ[Ofc Code]=(TRIM(L$7)))*(GJ[Account Code]=(TRIM($D22))),GJ[Credit])))-(SUM(IF((CkDJ[Date]=$A$4)*(CkDJ[Ofc Code]=(TRIM(L$7)))*(CkDJ[Account Code]=(TRIM($D22))),CkDJ[Debit])))+(SUM(IF((CsDJ[Date]=$A$4)*(CsDJ[Ofc Code]=(TRIM(L$7)))*(CsDJ[Account Code]=(TRIM($D22))),CsDJ[Debit])))+(SUM(IF((CRDJ[Date]=$A$4)*(CRDJ[Ofc Code]=(TRIM(L$7)))*(CRDJ[Account Code]=(TRIM($D22))),CRDJ[Debit])))+(SUM(IF((GJ[Date]=$A$4)*(GJ[Ofc Code]=(TRIM(L$7)))*(GJ[Account Code]=(TRIM($D22))),GJ[Debit])))</f>
        <v>0</v>
      </c>
      <c r="M22" s="211">
        <f t="array" ref="M22">(SUM(IF((CkDJ[Date]=$A$4)*(CkDJ[Ofc Code]=(TRIM(M$7)))*(CkDJ[Account Code]=(TRIM($D22))),CkDJ[Credit])))+(SUM(IF((CsDJ[Date]=$A$4)*(CsDJ[Ofc Code]=(TRIM(M$7)))*(CsDJ[Account Code]=(TRIM($D22))),CsDJ[Credit])))+(SUM(IF((CRDJ[Date]=$A$4)*(CRDJ[Ofc Code]=(TRIM(M$7)))*(CRDJ[Account Code]=(TRIM($D22))),CRDJ[Credit])))+(SUM(IF((GJ[Date]=$A$4)*(GJ[Ofc Code]=(TRIM(M$7)))*(GJ[Account Code]=(TRIM($D22))),GJ[Credit])))-(SUM(IF((CkDJ[Date]=$A$4)*(CkDJ[Ofc Code]=(TRIM(M$7)))*(CkDJ[Account Code]=(TRIM($D22))),CkDJ[Debit])))+(SUM(IF((CsDJ[Date]=$A$4)*(CsDJ[Ofc Code]=(TRIM(M$7)))*(CsDJ[Account Code]=(TRIM($D22))),CsDJ[Debit])))+(SUM(IF((CRDJ[Date]=$A$4)*(CRDJ[Ofc Code]=(TRIM(M$7)))*(CRDJ[Account Code]=(TRIM($D22))),CRDJ[Debit])))+(SUM(IF((GJ[Date]=$A$4)*(GJ[Ofc Code]=(TRIM(M$7)))*(GJ[Account Code]=(TRIM($D22))),GJ[Debit])))</f>
        <v>0</v>
      </c>
      <c r="N22" s="211">
        <f t="shared" si="2"/>
        <v>0</v>
      </c>
      <c r="O22" s="211">
        <f t="array" ref="O22">(SUM(IF((CkDJ[Date]=$A$4)*(CkDJ[Ofc Code]=(TRIM(O$7)))*(CkDJ[Account Code]=(TRIM($D22))),CkDJ[Credit])))+(SUM(IF((CsDJ[Date]=$A$4)*(CsDJ[Ofc Code]=(TRIM(O$7)))*(CsDJ[Account Code]=(TRIM($D22))),CsDJ[Credit])))+(SUM(IF((CRDJ[Date]=$A$4)*(CRDJ[Ofc Code]=(TRIM(O$7)))*(CRDJ[Account Code]=(TRIM($D22))),CRDJ[Credit])))+(SUM(IF((GJ[Date]=$A$4)*(GJ[Ofc Code]=(TRIM(O$7)))*(GJ[Account Code]=(TRIM($D22))),GJ[Credit])))-(SUM(IF((CkDJ[Date]=$A$4)*(CkDJ[Ofc Code]=(TRIM(O$7)))*(CkDJ[Account Code]=(TRIM($D22))),CkDJ[Debit])))+(SUM(IF((CsDJ[Date]=$A$4)*(CsDJ[Ofc Code]=(TRIM(O$7)))*(CsDJ[Account Code]=(TRIM($D22))),CsDJ[Debit])))+(SUM(IF((CRDJ[Date]=$A$4)*(CRDJ[Ofc Code]=(TRIM(O$7)))*(CRDJ[Account Code]=(TRIM($D22))),CRDJ[Debit])))+(SUM(IF((GJ[Date]=$A$4)*(GJ[Ofc Code]=(TRIM(O$7)))*(GJ[Account Code]=(TRIM($D22))),GJ[Debit])))</f>
        <v>0</v>
      </c>
      <c r="P22" s="211">
        <f t="array" ref="P22">(SUM(IF((CkDJ[Date]=$A$4)*(CkDJ[Ofc Code]=(TRIM(P$7)))*(CkDJ[Account Code]=(TRIM($D22))),CkDJ[Credit])))+(SUM(IF((CsDJ[Date]=$A$4)*(CsDJ[Ofc Code]=(TRIM(P$7)))*(CsDJ[Account Code]=(TRIM($D22))),CsDJ[Credit])))+(SUM(IF((CRDJ[Date]=$A$4)*(CRDJ[Ofc Code]=(TRIM(P$7)))*(CRDJ[Account Code]=(TRIM($D22))),CRDJ[Credit])))+(SUM(IF((GJ[Date]=$A$4)*(GJ[Ofc Code]=(TRIM(P$7)))*(GJ[Account Code]=(TRIM($D22))),GJ[Credit])))-(SUM(IF((CkDJ[Date]=$A$4)*(CkDJ[Ofc Code]=(TRIM(P$7)))*(CkDJ[Account Code]=(TRIM($D22))),CkDJ[Debit])))+(SUM(IF((CsDJ[Date]=$A$4)*(CsDJ[Ofc Code]=(TRIM(P$7)))*(CsDJ[Account Code]=(TRIM($D22))),CsDJ[Debit])))+(SUM(IF((CRDJ[Date]=$A$4)*(CRDJ[Ofc Code]=(TRIM(P$7)))*(CRDJ[Account Code]=(TRIM($D22))),CRDJ[Debit])))+(SUM(IF((GJ[Date]=$A$4)*(GJ[Ofc Code]=(TRIM(P$7)))*(GJ[Account Code]=(TRIM($D22))),GJ[Debit])))</f>
        <v>0</v>
      </c>
      <c r="Q22" s="211">
        <f t="array" ref="Q22">(SUM(IF((CkDJ[Date]=$A$4)*(CkDJ[Ofc Code]=(TRIM(Q$7)))*(CkDJ[Account Code]=(TRIM($D22))),CkDJ[Credit])))+(SUM(IF((CsDJ[Date]=$A$4)*(CsDJ[Ofc Code]=(TRIM(Q$7)))*(CsDJ[Account Code]=(TRIM($D22))),CsDJ[Credit])))+(SUM(IF((CRDJ[Date]=$A$4)*(CRDJ[Ofc Code]=(TRIM(Q$7)))*(CRDJ[Account Code]=(TRIM($D22))),CRDJ[Credit])))+(SUM(IF((GJ[Date]=$A$4)*(GJ[Ofc Code]=(TRIM(Q$7)))*(GJ[Account Code]=(TRIM($D22))),GJ[Credit])))-(SUM(IF((CkDJ[Date]=$A$4)*(CkDJ[Ofc Code]=(TRIM(Q$7)))*(CkDJ[Account Code]=(TRIM($D22))),CkDJ[Debit])))+(SUM(IF((CsDJ[Date]=$A$4)*(CsDJ[Ofc Code]=(TRIM(Q$7)))*(CsDJ[Account Code]=(TRIM($D22))),CsDJ[Debit])))+(SUM(IF((CRDJ[Date]=$A$4)*(CRDJ[Ofc Code]=(TRIM(Q$7)))*(CRDJ[Account Code]=(TRIM($D22))),CRDJ[Debit])))+(SUM(IF((GJ[Date]=$A$4)*(GJ[Ofc Code]=(TRIM(Q$7)))*(GJ[Account Code]=(TRIM($D22))),GJ[Debit])))</f>
        <v>0</v>
      </c>
      <c r="R22" s="211">
        <f t="array" ref="R22">(SUM(IF((CkDJ[Date]=$A$4)*(CkDJ[Ofc Code]=(TRIM(R$7)))*(CkDJ[Account Code]=(TRIM($D22))),CkDJ[Credit])))+(SUM(IF((CsDJ[Date]=$A$4)*(CsDJ[Ofc Code]=(TRIM(R$7)))*(CsDJ[Account Code]=(TRIM($D22))),CsDJ[Credit])))+(SUM(IF((CRDJ[Date]=$A$4)*(CRDJ[Ofc Code]=(TRIM(R$7)))*(CRDJ[Account Code]=(TRIM($D22))),CRDJ[Credit])))+(SUM(IF((GJ[Date]=$A$4)*(GJ[Ofc Code]=(TRIM(R$7)))*(GJ[Account Code]=(TRIM($D22))),GJ[Credit])))-(SUM(IF((CkDJ[Date]=$A$4)*(CkDJ[Ofc Code]=(TRIM(R$7)))*(CkDJ[Account Code]=(TRIM($D22))),CkDJ[Debit])))+(SUM(IF((CsDJ[Date]=$A$4)*(CsDJ[Ofc Code]=(TRIM(R$7)))*(CsDJ[Account Code]=(TRIM($D22))),CsDJ[Debit])))+(SUM(IF((CRDJ[Date]=$A$4)*(CRDJ[Ofc Code]=(TRIM(R$7)))*(CRDJ[Account Code]=(TRIM($D22))),CRDJ[Debit])))+(SUM(IF((GJ[Date]=$A$4)*(GJ[Ofc Code]=(TRIM(R$7)))*(GJ[Account Code]=(TRIM($D22))),GJ[Debit])))</f>
        <v>0</v>
      </c>
      <c r="S22" s="211">
        <f t="array" ref="S22">(SUM(IF((CkDJ[Date]=$A$4)*(CkDJ[Ofc Code]=(TRIM(S$7)))*(CkDJ[Account Code]=(TRIM($D22))),CkDJ[Credit])))+(SUM(IF((CsDJ[Date]=$A$4)*(CsDJ[Ofc Code]=(TRIM(S$7)))*(CsDJ[Account Code]=(TRIM($D22))),CsDJ[Credit])))+(SUM(IF((CRDJ[Date]=$A$4)*(CRDJ[Ofc Code]=(TRIM(S$7)))*(CRDJ[Account Code]=(TRIM($D22))),CRDJ[Credit])))+(SUM(IF((GJ[Date]=$A$4)*(GJ[Ofc Code]=(TRIM(S$7)))*(GJ[Account Code]=(TRIM($D22))),GJ[Credit])))-(SUM(IF((CkDJ[Date]=$A$4)*(CkDJ[Ofc Code]=(TRIM(S$7)))*(CkDJ[Account Code]=(TRIM($D22))),CkDJ[Debit])))+(SUM(IF((CsDJ[Date]=$A$4)*(CsDJ[Ofc Code]=(TRIM(S$7)))*(CsDJ[Account Code]=(TRIM($D22))),CsDJ[Debit])))+(SUM(IF((CRDJ[Date]=$A$4)*(CRDJ[Ofc Code]=(TRIM(S$7)))*(CRDJ[Account Code]=(TRIM($D22))),CRDJ[Debit])))+(SUM(IF((GJ[Date]=$A$4)*(GJ[Ofc Code]=(TRIM(S$7)))*(GJ[Account Code]=(TRIM($D22))),GJ[Debit])))</f>
        <v>0</v>
      </c>
      <c r="T22" s="211">
        <f t="shared" si="3"/>
        <v>0</v>
      </c>
      <c r="U22" s="211">
        <f t="shared" si="4"/>
        <v>0</v>
      </c>
    </row>
    <row r="23" spans="1:21" ht="15" x14ac:dyDescent="0.25">
      <c r="A23" s="212">
        <f t="shared" si="5"/>
        <v>15</v>
      </c>
      <c r="B23" s="194"/>
      <c r="C23" s="194" t="str">
        <f t="shared" si="0"/>
        <v>Income from Hostels/Dormitories and Other Like Facilities</v>
      </c>
      <c r="D23" s="207" t="s">
        <v>150</v>
      </c>
      <c r="E23" s="211">
        <f t="array" ref="E23">(SUM(IF((CkDJ[Date]=$A$4)*(CkDJ[Ofc Code]=(TRIM(E$7)))*(CkDJ[Account Code]=(TRIM($D23))),CkDJ[Credit])))+(SUM(IF((CsDJ[Date]=$A$4)*(CsDJ[Ofc Code]=(TRIM(E$7)))*(CsDJ[Account Code]=(TRIM($D23))),CsDJ[Credit])))+(SUM(IF((CRDJ[Date]=$A$4)*(CRDJ[Ofc Code]=(TRIM(E$7)))*(CRDJ[Account Code]=(TRIM($D23))),CRDJ[Credit])))+(SUM(IF((GJ[Date]=$A$4)*(GJ[Ofc Code]=(TRIM(E$7)))*(GJ[Account Code]=(TRIM($D23))),GJ[Credit])))-(SUM(IF((CkDJ[Date]=$A$4)*(CkDJ[Ofc Code]=(TRIM(E$7)))*(CkDJ[Account Code]=(TRIM($D23))),CkDJ[Debit])))+(SUM(IF((CsDJ[Date]=$A$4)*(CsDJ[Ofc Code]=(TRIM(E$7)))*(CsDJ[Account Code]=(TRIM($D23))),CsDJ[Debit])))+(SUM(IF((CRDJ[Date]=$A$4)*(CRDJ[Ofc Code]=(TRIM(E$7)))*(CRDJ[Account Code]=(TRIM($D23))),CRDJ[Debit])))+(SUM(IF((GJ[Date]=$A$4)*(GJ[Ofc Code]=(TRIM(E$7)))*(GJ[Account Code]=(TRIM($D23))),GJ[Debit])))</f>
        <v>0</v>
      </c>
      <c r="F23" s="211">
        <f t="array" ref="F23">(SUM(IF((CkDJ[Date]=$A$4)*(CkDJ[Ofc Code]=(TRIM(F$7)))*(CkDJ[Account Code]=(TRIM($D23))),CkDJ[Credit])))+(SUM(IF((CsDJ[Date]=$A$4)*(CsDJ[Ofc Code]=(TRIM(F$7)))*(CsDJ[Account Code]=(TRIM($D23))),CsDJ[Credit])))+(SUM(IF((CRDJ[Date]=$A$4)*(CRDJ[Ofc Code]=(TRIM(F$7)))*(CRDJ[Account Code]=(TRIM($D23))),CRDJ[Credit])))+(SUM(IF((GJ[Date]=$A$4)*(GJ[Ofc Code]=(TRIM(F$7)))*(GJ[Account Code]=(TRIM($D23))),GJ[Credit])))-(SUM(IF((CkDJ[Date]=$A$4)*(CkDJ[Ofc Code]=(TRIM(F$7)))*(CkDJ[Account Code]=(TRIM($D23))),CkDJ[Debit])))+(SUM(IF((CsDJ[Date]=$A$4)*(CsDJ[Ofc Code]=(TRIM(F$7)))*(CsDJ[Account Code]=(TRIM($D23))),CsDJ[Debit])))+(SUM(IF((CRDJ[Date]=$A$4)*(CRDJ[Ofc Code]=(TRIM(F$7)))*(CRDJ[Account Code]=(TRIM($D23))),CRDJ[Debit])))+(SUM(IF((GJ[Date]=$A$4)*(GJ[Ofc Code]=(TRIM(F$7)))*(GJ[Account Code]=(TRIM($D23))),GJ[Debit])))</f>
        <v>0</v>
      </c>
      <c r="G23" s="211">
        <f t="array" ref="G23">(SUM(IF((CkDJ[Date]=$A$4)*(CkDJ[Ofc Code]=(TRIM(G$7)))*(CkDJ[Account Code]=(TRIM($D23))),CkDJ[Credit])))+(SUM(IF((CsDJ[Date]=$A$4)*(CsDJ[Ofc Code]=(TRIM(G$7)))*(CsDJ[Account Code]=(TRIM($D23))),CsDJ[Credit])))+(SUM(IF((CRDJ[Date]=$A$4)*(CRDJ[Ofc Code]=(TRIM(G$7)))*(CRDJ[Account Code]=(TRIM($D23))),CRDJ[Credit])))+(SUM(IF((GJ[Date]=$A$4)*(GJ[Ofc Code]=(TRIM(G$7)))*(GJ[Account Code]=(TRIM($D23))),GJ[Credit])))-(SUM(IF((CkDJ[Date]=$A$4)*(CkDJ[Ofc Code]=(TRIM(G$7)))*(CkDJ[Account Code]=(TRIM($D23))),CkDJ[Debit])))+(SUM(IF((CsDJ[Date]=$A$4)*(CsDJ[Ofc Code]=(TRIM(G$7)))*(CsDJ[Account Code]=(TRIM($D23))),CsDJ[Debit])))+(SUM(IF((CRDJ[Date]=$A$4)*(CRDJ[Ofc Code]=(TRIM(G$7)))*(CRDJ[Account Code]=(TRIM($D23))),CRDJ[Debit])))+(SUM(IF((GJ[Date]=$A$4)*(GJ[Ofc Code]=(TRIM(G$7)))*(GJ[Account Code]=(TRIM($D23))),GJ[Debit])))</f>
        <v>0</v>
      </c>
      <c r="H23" s="211">
        <f t="array" ref="H23">(SUM(IF((CkDJ[Date]=$A$4)*(CkDJ[Ofc Code]=(TRIM(H$7)))*(CkDJ[Account Code]=(TRIM($D23))),CkDJ[Credit])))+(SUM(IF((CsDJ[Date]=$A$4)*(CsDJ[Ofc Code]=(TRIM(H$7)))*(CsDJ[Account Code]=(TRIM($D23))),CsDJ[Credit])))+(SUM(IF((CRDJ[Date]=$A$4)*(CRDJ[Ofc Code]=(TRIM(H$7)))*(CRDJ[Account Code]=(TRIM($D23))),CRDJ[Credit])))+(SUM(IF((GJ[Date]=$A$4)*(GJ[Ofc Code]=(TRIM(H$7)))*(GJ[Account Code]=(TRIM($D23))),GJ[Credit])))-(SUM(IF((CkDJ[Date]=$A$4)*(CkDJ[Ofc Code]=(TRIM(H$7)))*(CkDJ[Account Code]=(TRIM($D23))),CkDJ[Debit])))+(SUM(IF((CsDJ[Date]=$A$4)*(CsDJ[Ofc Code]=(TRIM(H$7)))*(CsDJ[Account Code]=(TRIM($D23))),CsDJ[Debit])))+(SUM(IF((CRDJ[Date]=$A$4)*(CRDJ[Ofc Code]=(TRIM(H$7)))*(CRDJ[Account Code]=(TRIM($D23))),CRDJ[Debit])))+(SUM(IF((GJ[Date]=$A$4)*(GJ[Ofc Code]=(TRIM(H$7)))*(GJ[Account Code]=(TRIM($D23))),GJ[Debit])))</f>
        <v>0</v>
      </c>
      <c r="I23" s="211">
        <f t="shared" si="1"/>
        <v>0</v>
      </c>
      <c r="J23" s="211">
        <f t="array" ref="J23">(SUM(IF((CkDJ[Date]=$A$4)*(CkDJ[Ofc Code]=(TRIM(J$7)))*(CkDJ[Account Code]=(TRIM($D23))),CkDJ[Credit])))+(SUM(IF((CsDJ[Date]=$A$4)*(CsDJ[Ofc Code]=(TRIM(J$7)))*(CsDJ[Account Code]=(TRIM($D23))),CsDJ[Credit])))+(SUM(IF((CRDJ[Date]=$A$4)*(CRDJ[Ofc Code]=(TRIM(J$7)))*(CRDJ[Account Code]=(TRIM($D23))),CRDJ[Credit])))+(SUM(IF((GJ[Date]=$A$4)*(GJ[Ofc Code]=(TRIM(J$7)))*(GJ[Account Code]=(TRIM($D23))),GJ[Credit])))-(SUM(IF((CkDJ[Date]=$A$4)*(CkDJ[Ofc Code]=(TRIM(J$7)))*(CkDJ[Account Code]=(TRIM($D23))),CkDJ[Debit])))+(SUM(IF((CsDJ[Date]=$A$4)*(CsDJ[Ofc Code]=(TRIM(J$7)))*(CsDJ[Account Code]=(TRIM($D23))),CsDJ[Debit])))+(SUM(IF((CRDJ[Date]=$A$4)*(CRDJ[Ofc Code]=(TRIM(J$7)))*(CRDJ[Account Code]=(TRIM($D23))),CRDJ[Debit])))+(SUM(IF((GJ[Date]=$A$4)*(GJ[Ofc Code]=(TRIM(J$7)))*(GJ[Account Code]=(TRIM($D23))),GJ[Debit])))</f>
        <v>0</v>
      </c>
      <c r="K23" s="211">
        <f t="array" ref="K23">(SUM(IF((CkDJ[Date]=$A$4)*(CkDJ[Ofc Code]=(TRIM(K$7)))*(CkDJ[Account Code]=(TRIM($D23))),CkDJ[Credit])))+(SUM(IF((CsDJ[Date]=$A$4)*(CsDJ[Ofc Code]=(TRIM(K$7)))*(CsDJ[Account Code]=(TRIM($D23))),CsDJ[Credit])))+(SUM(IF((CRDJ[Date]=$A$4)*(CRDJ[Ofc Code]=(TRIM(K$7)))*(CRDJ[Account Code]=(TRIM($D23))),CRDJ[Credit])))+(SUM(IF((GJ[Date]=$A$4)*(GJ[Ofc Code]=(TRIM(K$7)))*(GJ[Account Code]=(TRIM($D23))),GJ[Credit])))-(SUM(IF((CkDJ[Date]=$A$4)*(CkDJ[Ofc Code]=(TRIM(K$7)))*(CkDJ[Account Code]=(TRIM($D23))),CkDJ[Debit])))+(SUM(IF((CsDJ[Date]=$A$4)*(CsDJ[Ofc Code]=(TRIM(K$7)))*(CsDJ[Account Code]=(TRIM($D23))),CsDJ[Debit])))+(SUM(IF((CRDJ[Date]=$A$4)*(CRDJ[Ofc Code]=(TRIM(K$7)))*(CRDJ[Account Code]=(TRIM($D23))),CRDJ[Debit])))+(SUM(IF((GJ[Date]=$A$4)*(GJ[Ofc Code]=(TRIM(K$7)))*(GJ[Account Code]=(TRIM($D23))),GJ[Debit])))</f>
        <v>0</v>
      </c>
      <c r="L23" s="211">
        <f t="array" ref="L23">(SUM(IF((CkDJ[Date]=$A$4)*(CkDJ[Ofc Code]=(TRIM(L$7)))*(CkDJ[Account Code]=(TRIM($D23))),CkDJ[Credit])))+(SUM(IF((CsDJ[Date]=$A$4)*(CsDJ[Ofc Code]=(TRIM(L$7)))*(CsDJ[Account Code]=(TRIM($D23))),CsDJ[Credit])))+(SUM(IF((CRDJ[Date]=$A$4)*(CRDJ[Ofc Code]=(TRIM(L$7)))*(CRDJ[Account Code]=(TRIM($D23))),CRDJ[Credit])))+(SUM(IF((GJ[Date]=$A$4)*(GJ[Ofc Code]=(TRIM(L$7)))*(GJ[Account Code]=(TRIM($D23))),GJ[Credit])))-(SUM(IF((CkDJ[Date]=$A$4)*(CkDJ[Ofc Code]=(TRIM(L$7)))*(CkDJ[Account Code]=(TRIM($D23))),CkDJ[Debit])))+(SUM(IF((CsDJ[Date]=$A$4)*(CsDJ[Ofc Code]=(TRIM(L$7)))*(CsDJ[Account Code]=(TRIM($D23))),CsDJ[Debit])))+(SUM(IF((CRDJ[Date]=$A$4)*(CRDJ[Ofc Code]=(TRIM(L$7)))*(CRDJ[Account Code]=(TRIM($D23))),CRDJ[Debit])))+(SUM(IF((GJ[Date]=$A$4)*(GJ[Ofc Code]=(TRIM(L$7)))*(GJ[Account Code]=(TRIM($D23))),GJ[Debit])))</f>
        <v>0</v>
      </c>
      <c r="M23" s="211">
        <f t="array" ref="M23">(SUM(IF((CkDJ[Date]=$A$4)*(CkDJ[Ofc Code]=(TRIM(M$7)))*(CkDJ[Account Code]=(TRIM($D23))),CkDJ[Credit])))+(SUM(IF((CsDJ[Date]=$A$4)*(CsDJ[Ofc Code]=(TRIM(M$7)))*(CsDJ[Account Code]=(TRIM($D23))),CsDJ[Credit])))+(SUM(IF((CRDJ[Date]=$A$4)*(CRDJ[Ofc Code]=(TRIM(M$7)))*(CRDJ[Account Code]=(TRIM($D23))),CRDJ[Credit])))+(SUM(IF((GJ[Date]=$A$4)*(GJ[Ofc Code]=(TRIM(M$7)))*(GJ[Account Code]=(TRIM($D23))),GJ[Credit])))-(SUM(IF((CkDJ[Date]=$A$4)*(CkDJ[Ofc Code]=(TRIM(M$7)))*(CkDJ[Account Code]=(TRIM($D23))),CkDJ[Debit])))+(SUM(IF((CsDJ[Date]=$A$4)*(CsDJ[Ofc Code]=(TRIM(M$7)))*(CsDJ[Account Code]=(TRIM($D23))),CsDJ[Debit])))+(SUM(IF((CRDJ[Date]=$A$4)*(CRDJ[Ofc Code]=(TRIM(M$7)))*(CRDJ[Account Code]=(TRIM($D23))),CRDJ[Debit])))+(SUM(IF((GJ[Date]=$A$4)*(GJ[Ofc Code]=(TRIM(M$7)))*(GJ[Account Code]=(TRIM($D23))),GJ[Debit])))</f>
        <v>0</v>
      </c>
      <c r="N23" s="211">
        <f t="shared" si="2"/>
        <v>0</v>
      </c>
      <c r="O23" s="211">
        <f t="array" ref="O23">(SUM(IF((CkDJ[Date]=$A$4)*(CkDJ[Ofc Code]=(TRIM(O$7)))*(CkDJ[Account Code]=(TRIM($D23))),CkDJ[Credit])))+(SUM(IF((CsDJ[Date]=$A$4)*(CsDJ[Ofc Code]=(TRIM(O$7)))*(CsDJ[Account Code]=(TRIM($D23))),CsDJ[Credit])))+(SUM(IF((CRDJ[Date]=$A$4)*(CRDJ[Ofc Code]=(TRIM(O$7)))*(CRDJ[Account Code]=(TRIM($D23))),CRDJ[Credit])))+(SUM(IF((GJ[Date]=$A$4)*(GJ[Ofc Code]=(TRIM(O$7)))*(GJ[Account Code]=(TRIM($D23))),GJ[Credit])))-(SUM(IF((CkDJ[Date]=$A$4)*(CkDJ[Ofc Code]=(TRIM(O$7)))*(CkDJ[Account Code]=(TRIM($D23))),CkDJ[Debit])))+(SUM(IF((CsDJ[Date]=$A$4)*(CsDJ[Ofc Code]=(TRIM(O$7)))*(CsDJ[Account Code]=(TRIM($D23))),CsDJ[Debit])))+(SUM(IF((CRDJ[Date]=$A$4)*(CRDJ[Ofc Code]=(TRIM(O$7)))*(CRDJ[Account Code]=(TRIM($D23))),CRDJ[Debit])))+(SUM(IF((GJ[Date]=$A$4)*(GJ[Ofc Code]=(TRIM(O$7)))*(GJ[Account Code]=(TRIM($D23))),GJ[Debit])))</f>
        <v>0</v>
      </c>
      <c r="P23" s="211">
        <f t="array" ref="P23">(SUM(IF((CkDJ[Date]=$A$4)*(CkDJ[Ofc Code]=(TRIM(P$7)))*(CkDJ[Account Code]=(TRIM($D23))),CkDJ[Credit])))+(SUM(IF((CsDJ[Date]=$A$4)*(CsDJ[Ofc Code]=(TRIM(P$7)))*(CsDJ[Account Code]=(TRIM($D23))),CsDJ[Credit])))+(SUM(IF((CRDJ[Date]=$A$4)*(CRDJ[Ofc Code]=(TRIM(P$7)))*(CRDJ[Account Code]=(TRIM($D23))),CRDJ[Credit])))+(SUM(IF((GJ[Date]=$A$4)*(GJ[Ofc Code]=(TRIM(P$7)))*(GJ[Account Code]=(TRIM($D23))),GJ[Credit])))-(SUM(IF((CkDJ[Date]=$A$4)*(CkDJ[Ofc Code]=(TRIM(P$7)))*(CkDJ[Account Code]=(TRIM($D23))),CkDJ[Debit])))+(SUM(IF((CsDJ[Date]=$A$4)*(CsDJ[Ofc Code]=(TRIM(P$7)))*(CsDJ[Account Code]=(TRIM($D23))),CsDJ[Debit])))+(SUM(IF((CRDJ[Date]=$A$4)*(CRDJ[Ofc Code]=(TRIM(P$7)))*(CRDJ[Account Code]=(TRIM($D23))),CRDJ[Debit])))+(SUM(IF((GJ[Date]=$A$4)*(GJ[Ofc Code]=(TRIM(P$7)))*(GJ[Account Code]=(TRIM($D23))),GJ[Debit])))</f>
        <v>0</v>
      </c>
      <c r="Q23" s="211">
        <f t="array" ref="Q23">(SUM(IF((CkDJ[Date]=$A$4)*(CkDJ[Ofc Code]=(TRIM(Q$7)))*(CkDJ[Account Code]=(TRIM($D23))),CkDJ[Credit])))+(SUM(IF((CsDJ[Date]=$A$4)*(CsDJ[Ofc Code]=(TRIM(Q$7)))*(CsDJ[Account Code]=(TRIM($D23))),CsDJ[Credit])))+(SUM(IF((CRDJ[Date]=$A$4)*(CRDJ[Ofc Code]=(TRIM(Q$7)))*(CRDJ[Account Code]=(TRIM($D23))),CRDJ[Credit])))+(SUM(IF((GJ[Date]=$A$4)*(GJ[Ofc Code]=(TRIM(Q$7)))*(GJ[Account Code]=(TRIM($D23))),GJ[Credit])))-(SUM(IF((CkDJ[Date]=$A$4)*(CkDJ[Ofc Code]=(TRIM(Q$7)))*(CkDJ[Account Code]=(TRIM($D23))),CkDJ[Debit])))+(SUM(IF((CsDJ[Date]=$A$4)*(CsDJ[Ofc Code]=(TRIM(Q$7)))*(CsDJ[Account Code]=(TRIM($D23))),CsDJ[Debit])))+(SUM(IF((CRDJ[Date]=$A$4)*(CRDJ[Ofc Code]=(TRIM(Q$7)))*(CRDJ[Account Code]=(TRIM($D23))),CRDJ[Debit])))+(SUM(IF((GJ[Date]=$A$4)*(GJ[Ofc Code]=(TRIM(Q$7)))*(GJ[Account Code]=(TRIM($D23))),GJ[Debit])))</f>
        <v>0</v>
      </c>
      <c r="R23" s="211">
        <f t="array" ref="R23">(SUM(IF((CkDJ[Date]=$A$4)*(CkDJ[Ofc Code]=(TRIM(R$7)))*(CkDJ[Account Code]=(TRIM($D23))),CkDJ[Credit])))+(SUM(IF((CsDJ[Date]=$A$4)*(CsDJ[Ofc Code]=(TRIM(R$7)))*(CsDJ[Account Code]=(TRIM($D23))),CsDJ[Credit])))+(SUM(IF((CRDJ[Date]=$A$4)*(CRDJ[Ofc Code]=(TRIM(R$7)))*(CRDJ[Account Code]=(TRIM($D23))),CRDJ[Credit])))+(SUM(IF((GJ[Date]=$A$4)*(GJ[Ofc Code]=(TRIM(R$7)))*(GJ[Account Code]=(TRIM($D23))),GJ[Credit])))-(SUM(IF((CkDJ[Date]=$A$4)*(CkDJ[Ofc Code]=(TRIM(R$7)))*(CkDJ[Account Code]=(TRIM($D23))),CkDJ[Debit])))+(SUM(IF((CsDJ[Date]=$A$4)*(CsDJ[Ofc Code]=(TRIM(R$7)))*(CsDJ[Account Code]=(TRIM($D23))),CsDJ[Debit])))+(SUM(IF((CRDJ[Date]=$A$4)*(CRDJ[Ofc Code]=(TRIM(R$7)))*(CRDJ[Account Code]=(TRIM($D23))),CRDJ[Debit])))+(SUM(IF((GJ[Date]=$A$4)*(GJ[Ofc Code]=(TRIM(R$7)))*(GJ[Account Code]=(TRIM($D23))),GJ[Debit])))</f>
        <v>0</v>
      </c>
      <c r="S23" s="211">
        <f t="array" ref="S23">(SUM(IF((CkDJ[Date]=$A$4)*(CkDJ[Ofc Code]=(TRIM(S$7)))*(CkDJ[Account Code]=(TRIM($D23))),CkDJ[Credit])))+(SUM(IF((CsDJ[Date]=$A$4)*(CsDJ[Ofc Code]=(TRIM(S$7)))*(CsDJ[Account Code]=(TRIM($D23))),CsDJ[Credit])))+(SUM(IF((CRDJ[Date]=$A$4)*(CRDJ[Ofc Code]=(TRIM(S$7)))*(CRDJ[Account Code]=(TRIM($D23))),CRDJ[Credit])))+(SUM(IF((GJ[Date]=$A$4)*(GJ[Ofc Code]=(TRIM(S$7)))*(GJ[Account Code]=(TRIM($D23))),GJ[Credit])))-(SUM(IF((CkDJ[Date]=$A$4)*(CkDJ[Ofc Code]=(TRIM(S$7)))*(CkDJ[Account Code]=(TRIM($D23))),CkDJ[Debit])))+(SUM(IF((CsDJ[Date]=$A$4)*(CsDJ[Ofc Code]=(TRIM(S$7)))*(CsDJ[Account Code]=(TRIM($D23))),CsDJ[Debit])))+(SUM(IF((CRDJ[Date]=$A$4)*(CRDJ[Ofc Code]=(TRIM(S$7)))*(CRDJ[Account Code]=(TRIM($D23))),CRDJ[Debit])))+(SUM(IF((GJ[Date]=$A$4)*(GJ[Ofc Code]=(TRIM(S$7)))*(GJ[Account Code]=(TRIM($D23))),GJ[Debit])))</f>
        <v>0</v>
      </c>
      <c r="T23" s="211">
        <f t="shared" si="3"/>
        <v>0</v>
      </c>
      <c r="U23" s="211">
        <f t="shared" si="4"/>
        <v>0</v>
      </c>
    </row>
    <row r="24" spans="1:21" ht="15" x14ac:dyDescent="0.25">
      <c r="A24" s="212">
        <f t="shared" si="5"/>
        <v>16</v>
      </c>
      <c r="B24" s="194"/>
      <c r="C24" s="194" t="e">
        <f t="shared" si="0"/>
        <v>#N/A</v>
      </c>
      <c r="D24" s="207">
        <v>662</v>
      </c>
      <c r="E24" s="211">
        <f t="array" ref="E24">(SUM(IF((CkDJ[Date]=$A$4)*(CkDJ[Ofc Code]=(TRIM(E$7)))*(CkDJ[Account Code]=(TRIM($D24))),CkDJ[Credit])))+(SUM(IF((CsDJ[Date]=$A$4)*(CsDJ[Ofc Code]=(TRIM(E$7)))*(CsDJ[Account Code]=(TRIM($D24))),CsDJ[Credit])))+(SUM(IF((CRDJ[Date]=$A$4)*(CRDJ[Ofc Code]=(TRIM(E$7)))*(CRDJ[Account Code]=(TRIM($D24))),CRDJ[Credit])))+(SUM(IF((GJ[Date]=$A$4)*(GJ[Ofc Code]=(TRIM(E$7)))*(GJ[Account Code]=(TRIM($D24))),GJ[Credit])))-(SUM(IF((CkDJ[Date]=$A$4)*(CkDJ[Ofc Code]=(TRIM(E$7)))*(CkDJ[Account Code]=(TRIM($D24))),CkDJ[Debit])))+(SUM(IF((CsDJ[Date]=$A$4)*(CsDJ[Ofc Code]=(TRIM(E$7)))*(CsDJ[Account Code]=(TRIM($D24))),CsDJ[Debit])))+(SUM(IF((CRDJ[Date]=$A$4)*(CRDJ[Ofc Code]=(TRIM(E$7)))*(CRDJ[Account Code]=(TRIM($D24))),CRDJ[Debit])))+(SUM(IF((GJ[Date]=$A$4)*(GJ[Ofc Code]=(TRIM(E$7)))*(GJ[Account Code]=(TRIM($D24))),GJ[Debit])))</f>
        <v>0</v>
      </c>
      <c r="F24" s="211">
        <f t="array" ref="F24">(SUM(IF((CkDJ[Date]=$A$4)*(CkDJ[Ofc Code]=(TRIM(F$7)))*(CkDJ[Account Code]=(TRIM($D24))),CkDJ[Credit])))+(SUM(IF((CsDJ[Date]=$A$4)*(CsDJ[Ofc Code]=(TRIM(F$7)))*(CsDJ[Account Code]=(TRIM($D24))),CsDJ[Credit])))+(SUM(IF((CRDJ[Date]=$A$4)*(CRDJ[Ofc Code]=(TRIM(F$7)))*(CRDJ[Account Code]=(TRIM($D24))),CRDJ[Credit])))+(SUM(IF((GJ[Date]=$A$4)*(GJ[Ofc Code]=(TRIM(F$7)))*(GJ[Account Code]=(TRIM($D24))),GJ[Credit])))-(SUM(IF((CkDJ[Date]=$A$4)*(CkDJ[Ofc Code]=(TRIM(F$7)))*(CkDJ[Account Code]=(TRIM($D24))),CkDJ[Debit])))+(SUM(IF((CsDJ[Date]=$A$4)*(CsDJ[Ofc Code]=(TRIM(F$7)))*(CsDJ[Account Code]=(TRIM($D24))),CsDJ[Debit])))+(SUM(IF((CRDJ[Date]=$A$4)*(CRDJ[Ofc Code]=(TRIM(F$7)))*(CRDJ[Account Code]=(TRIM($D24))),CRDJ[Debit])))+(SUM(IF((GJ[Date]=$A$4)*(GJ[Ofc Code]=(TRIM(F$7)))*(GJ[Account Code]=(TRIM($D24))),GJ[Debit])))</f>
        <v>0</v>
      </c>
      <c r="G24" s="211">
        <f t="array" ref="G24">(SUM(IF((CkDJ[Date]=$A$4)*(CkDJ[Ofc Code]=(TRIM(G$7)))*(CkDJ[Account Code]=(TRIM($D24))),CkDJ[Credit])))+(SUM(IF((CsDJ[Date]=$A$4)*(CsDJ[Ofc Code]=(TRIM(G$7)))*(CsDJ[Account Code]=(TRIM($D24))),CsDJ[Credit])))+(SUM(IF((CRDJ[Date]=$A$4)*(CRDJ[Ofc Code]=(TRIM(G$7)))*(CRDJ[Account Code]=(TRIM($D24))),CRDJ[Credit])))+(SUM(IF((GJ[Date]=$A$4)*(GJ[Ofc Code]=(TRIM(G$7)))*(GJ[Account Code]=(TRIM($D24))),GJ[Credit])))-(SUM(IF((CkDJ[Date]=$A$4)*(CkDJ[Ofc Code]=(TRIM(G$7)))*(CkDJ[Account Code]=(TRIM($D24))),CkDJ[Debit])))+(SUM(IF((CsDJ[Date]=$A$4)*(CsDJ[Ofc Code]=(TRIM(G$7)))*(CsDJ[Account Code]=(TRIM($D24))),CsDJ[Debit])))+(SUM(IF((CRDJ[Date]=$A$4)*(CRDJ[Ofc Code]=(TRIM(G$7)))*(CRDJ[Account Code]=(TRIM($D24))),CRDJ[Debit])))+(SUM(IF((GJ[Date]=$A$4)*(GJ[Ofc Code]=(TRIM(G$7)))*(GJ[Account Code]=(TRIM($D24))),GJ[Debit])))</f>
        <v>0</v>
      </c>
      <c r="H24" s="211">
        <f t="array" ref="H24">(SUM(IF((CkDJ[Date]=$A$4)*(CkDJ[Ofc Code]=(TRIM(H$7)))*(CkDJ[Account Code]=(TRIM($D24))),CkDJ[Credit])))+(SUM(IF((CsDJ[Date]=$A$4)*(CsDJ[Ofc Code]=(TRIM(H$7)))*(CsDJ[Account Code]=(TRIM($D24))),CsDJ[Credit])))+(SUM(IF((CRDJ[Date]=$A$4)*(CRDJ[Ofc Code]=(TRIM(H$7)))*(CRDJ[Account Code]=(TRIM($D24))),CRDJ[Credit])))+(SUM(IF((GJ[Date]=$A$4)*(GJ[Ofc Code]=(TRIM(H$7)))*(GJ[Account Code]=(TRIM($D24))),GJ[Credit])))-(SUM(IF((CkDJ[Date]=$A$4)*(CkDJ[Ofc Code]=(TRIM(H$7)))*(CkDJ[Account Code]=(TRIM($D24))),CkDJ[Debit])))+(SUM(IF((CsDJ[Date]=$A$4)*(CsDJ[Ofc Code]=(TRIM(H$7)))*(CsDJ[Account Code]=(TRIM($D24))),CsDJ[Debit])))+(SUM(IF((CRDJ[Date]=$A$4)*(CRDJ[Ofc Code]=(TRIM(H$7)))*(CRDJ[Account Code]=(TRIM($D24))),CRDJ[Debit])))+(SUM(IF((GJ[Date]=$A$4)*(GJ[Ofc Code]=(TRIM(H$7)))*(GJ[Account Code]=(TRIM($D24))),GJ[Debit])))</f>
        <v>0</v>
      </c>
      <c r="I24" s="211">
        <f t="shared" si="1"/>
        <v>0</v>
      </c>
      <c r="J24" s="211">
        <f t="array" ref="J24">(SUM(IF((CkDJ[Date]=$A$4)*(CkDJ[Ofc Code]=(TRIM(J$7)))*(CkDJ[Account Code]=(TRIM($D24))),CkDJ[Credit])))+(SUM(IF((CsDJ[Date]=$A$4)*(CsDJ[Ofc Code]=(TRIM(J$7)))*(CsDJ[Account Code]=(TRIM($D24))),CsDJ[Credit])))+(SUM(IF((CRDJ[Date]=$A$4)*(CRDJ[Ofc Code]=(TRIM(J$7)))*(CRDJ[Account Code]=(TRIM($D24))),CRDJ[Credit])))+(SUM(IF((GJ[Date]=$A$4)*(GJ[Ofc Code]=(TRIM(J$7)))*(GJ[Account Code]=(TRIM($D24))),GJ[Credit])))-(SUM(IF((CkDJ[Date]=$A$4)*(CkDJ[Ofc Code]=(TRIM(J$7)))*(CkDJ[Account Code]=(TRIM($D24))),CkDJ[Debit])))+(SUM(IF((CsDJ[Date]=$A$4)*(CsDJ[Ofc Code]=(TRIM(J$7)))*(CsDJ[Account Code]=(TRIM($D24))),CsDJ[Debit])))+(SUM(IF((CRDJ[Date]=$A$4)*(CRDJ[Ofc Code]=(TRIM(J$7)))*(CRDJ[Account Code]=(TRIM($D24))),CRDJ[Debit])))+(SUM(IF((GJ[Date]=$A$4)*(GJ[Ofc Code]=(TRIM(J$7)))*(GJ[Account Code]=(TRIM($D24))),GJ[Debit])))</f>
        <v>0</v>
      </c>
      <c r="K24" s="211">
        <f t="array" ref="K24">(SUM(IF((CkDJ[Date]=$A$4)*(CkDJ[Ofc Code]=(TRIM(K$7)))*(CkDJ[Account Code]=(TRIM($D24))),CkDJ[Credit])))+(SUM(IF((CsDJ[Date]=$A$4)*(CsDJ[Ofc Code]=(TRIM(K$7)))*(CsDJ[Account Code]=(TRIM($D24))),CsDJ[Credit])))+(SUM(IF((CRDJ[Date]=$A$4)*(CRDJ[Ofc Code]=(TRIM(K$7)))*(CRDJ[Account Code]=(TRIM($D24))),CRDJ[Credit])))+(SUM(IF((GJ[Date]=$A$4)*(GJ[Ofc Code]=(TRIM(K$7)))*(GJ[Account Code]=(TRIM($D24))),GJ[Credit])))-(SUM(IF((CkDJ[Date]=$A$4)*(CkDJ[Ofc Code]=(TRIM(K$7)))*(CkDJ[Account Code]=(TRIM($D24))),CkDJ[Debit])))+(SUM(IF((CsDJ[Date]=$A$4)*(CsDJ[Ofc Code]=(TRIM(K$7)))*(CsDJ[Account Code]=(TRIM($D24))),CsDJ[Debit])))+(SUM(IF((CRDJ[Date]=$A$4)*(CRDJ[Ofc Code]=(TRIM(K$7)))*(CRDJ[Account Code]=(TRIM($D24))),CRDJ[Debit])))+(SUM(IF((GJ[Date]=$A$4)*(GJ[Ofc Code]=(TRIM(K$7)))*(GJ[Account Code]=(TRIM($D24))),GJ[Debit])))</f>
        <v>0</v>
      </c>
      <c r="L24" s="211">
        <f t="array" ref="L24">(SUM(IF((CkDJ[Date]=$A$4)*(CkDJ[Ofc Code]=(TRIM(L$7)))*(CkDJ[Account Code]=(TRIM($D24))),CkDJ[Credit])))+(SUM(IF((CsDJ[Date]=$A$4)*(CsDJ[Ofc Code]=(TRIM(L$7)))*(CsDJ[Account Code]=(TRIM($D24))),CsDJ[Credit])))+(SUM(IF((CRDJ[Date]=$A$4)*(CRDJ[Ofc Code]=(TRIM(L$7)))*(CRDJ[Account Code]=(TRIM($D24))),CRDJ[Credit])))+(SUM(IF((GJ[Date]=$A$4)*(GJ[Ofc Code]=(TRIM(L$7)))*(GJ[Account Code]=(TRIM($D24))),GJ[Credit])))-(SUM(IF((CkDJ[Date]=$A$4)*(CkDJ[Ofc Code]=(TRIM(L$7)))*(CkDJ[Account Code]=(TRIM($D24))),CkDJ[Debit])))+(SUM(IF((CsDJ[Date]=$A$4)*(CsDJ[Ofc Code]=(TRIM(L$7)))*(CsDJ[Account Code]=(TRIM($D24))),CsDJ[Debit])))+(SUM(IF((CRDJ[Date]=$A$4)*(CRDJ[Ofc Code]=(TRIM(L$7)))*(CRDJ[Account Code]=(TRIM($D24))),CRDJ[Debit])))+(SUM(IF((GJ[Date]=$A$4)*(GJ[Ofc Code]=(TRIM(L$7)))*(GJ[Account Code]=(TRIM($D24))),GJ[Debit])))</f>
        <v>0</v>
      </c>
      <c r="M24" s="211">
        <f t="array" ref="M24">(SUM(IF((CkDJ[Date]=$A$4)*(CkDJ[Ofc Code]=(TRIM(M$7)))*(CkDJ[Account Code]=(TRIM($D24))),CkDJ[Credit])))+(SUM(IF((CsDJ[Date]=$A$4)*(CsDJ[Ofc Code]=(TRIM(M$7)))*(CsDJ[Account Code]=(TRIM($D24))),CsDJ[Credit])))+(SUM(IF((CRDJ[Date]=$A$4)*(CRDJ[Ofc Code]=(TRIM(M$7)))*(CRDJ[Account Code]=(TRIM($D24))),CRDJ[Credit])))+(SUM(IF((GJ[Date]=$A$4)*(GJ[Ofc Code]=(TRIM(M$7)))*(GJ[Account Code]=(TRIM($D24))),GJ[Credit])))-(SUM(IF((CkDJ[Date]=$A$4)*(CkDJ[Ofc Code]=(TRIM(M$7)))*(CkDJ[Account Code]=(TRIM($D24))),CkDJ[Debit])))+(SUM(IF((CsDJ[Date]=$A$4)*(CsDJ[Ofc Code]=(TRIM(M$7)))*(CsDJ[Account Code]=(TRIM($D24))),CsDJ[Debit])))+(SUM(IF((CRDJ[Date]=$A$4)*(CRDJ[Ofc Code]=(TRIM(M$7)))*(CRDJ[Account Code]=(TRIM($D24))),CRDJ[Debit])))+(SUM(IF((GJ[Date]=$A$4)*(GJ[Ofc Code]=(TRIM(M$7)))*(GJ[Account Code]=(TRIM($D24))),GJ[Debit])))</f>
        <v>0</v>
      </c>
      <c r="N24" s="211">
        <f t="shared" si="2"/>
        <v>0</v>
      </c>
      <c r="O24" s="211">
        <f t="array" ref="O24">(SUM(IF((CkDJ[Date]=$A$4)*(CkDJ[Ofc Code]=(TRIM(O$7)))*(CkDJ[Account Code]=(TRIM($D24))),CkDJ[Credit])))+(SUM(IF((CsDJ[Date]=$A$4)*(CsDJ[Ofc Code]=(TRIM(O$7)))*(CsDJ[Account Code]=(TRIM($D24))),CsDJ[Credit])))+(SUM(IF((CRDJ[Date]=$A$4)*(CRDJ[Ofc Code]=(TRIM(O$7)))*(CRDJ[Account Code]=(TRIM($D24))),CRDJ[Credit])))+(SUM(IF((GJ[Date]=$A$4)*(GJ[Ofc Code]=(TRIM(O$7)))*(GJ[Account Code]=(TRIM($D24))),GJ[Credit])))-(SUM(IF((CkDJ[Date]=$A$4)*(CkDJ[Ofc Code]=(TRIM(O$7)))*(CkDJ[Account Code]=(TRIM($D24))),CkDJ[Debit])))+(SUM(IF((CsDJ[Date]=$A$4)*(CsDJ[Ofc Code]=(TRIM(O$7)))*(CsDJ[Account Code]=(TRIM($D24))),CsDJ[Debit])))+(SUM(IF((CRDJ[Date]=$A$4)*(CRDJ[Ofc Code]=(TRIM(O$7)))*(CRDJ[Account Code]=(TRIM($D24))),CRDJ[Debit])))+(SUM(IF((GJ[Date]=$A$4)*(GJ[Ofc Code]=(TRIM(O$7)))*(GJ[Account Code]=(TRIM($D24))),GJ[Debit])))</f>
        <v>0</v>
      </c>
      <c r="P24" s="211">
        <f t="array" ref="P24">(SUM(IF((CkDJ[Date]=$A$4)*(CkDJ[Ofc Code]=(TRIM(P$7)))*(CkDJ[Account Code]=(TRIM($D24))),CkDJ[Credit])))+(SUM(IF((CsDJ[Date]=$A$4)*(CsDJ[Ofc Code]=(TRIM(P$7)))*(CsDJ[Account Code]=(TRIM($D24))),CsDJ[Credit])))+(SUM(IF((CRDJ[Date]=$A$4)*(CRDJ[Ofc Code]=(TRIM(P$7)))*(CRDJ[Account Code]=(TRIM($D24))),CRDJ[Credit])))+(SUM(IF((GJ[Date]=$A$4)*(GJ[Ofc Code]=(TRIM(P$7)))*(GJ[Account Code]=(TRIM($D24))),GJ[Credit])))-(SUM(IF((CkDJ[Date]=$A$4)*(CkDJ[Ofc Code]=(TRIM(P$7)))*(CkDJ[Account Code]=(TRIM($D24))),CkDJ[Debit])))+(SUM(IF((CsDJ[Date]=$A$4)*(CsDJ[Ofc Code]=(TRIM(P$7)))*(CsDJ[Account Code]=(TRIM($D24))),CsDJ[Debit])))+(SUM(IF((CRDJ[Date]=$A$4)*(CRDJ[Ofc Code]=(TRIM(P$7)))*(CRDJ[Account Code]=(TRIM($D24))),CRDJ[Debit])))+(SUM(IF((GJ[Date]=$A$4)*(GJ[Ofc Code]=(TRIM(P$7)))*(GJ[Account Code]=(TRIM($D24))),GJ[Debit])))</f>
        <v>0</v>
      </c>
      <c r="Q24" s="211">
        <f t="array" ref="Q24">(SUM(IF((CkDJ[Date]=$A$4)*(CkDJ[Ofc Code]=(TRIM(Q$7)))*(CkDJ[Account Code]=(TRIM($D24))),CkDJ[Credit])))+(SUM(IF((CsDJ[Date]=$A$4)*(CsDJ[Ofc Code]=(TRIM(Q$7)))*(CsDJ[Account Code]=(TRIM($D24))),CsDJ[Credit])))+(SUM(IF((CRDJ[Date]=$A$4)*(CRDJ[Ofc Code]=(TRIM(Q$7)))*(CRDJ[Account Code]=(TRIM($D24))),CRDJ[Credit])))+(SUM(IF((GJ[Date]=$A$4)*(GJ[Ofc Code]=(TRIM(Q$7)))*(GJ[Account Code]=(TRIM($D24))),GJ[Credit])))-(SUM(IF((CkDJ[Date]=$A$4)*(CkDJ[Ofc Code]=(TRIM(Q$7)))*(CkDJ[Account Code]=(TRIM($D24))),CkDJ[Debit])))+(SUM(IF((CsDJ[Date]=$A$4)*(CsDJ[Ofc Code]=(TRIM(Q$7)))*(CsDJ[Account Code]=(TRIM($D24))),CsDJ[Debit])))+(SUM(IF((CRDJ[Date]=$A$4)*(CRDJ[Ofc Code]=(TRIM(Q$7)))*(CRDJ[Account Code]=(TRIM($D24))),CRDJ[Debit])))+(SUM(IF((GJ[Date]=$A$4)*(GJ[Ofc Code]=(TRIM(Q$7)))*(GJ[Account Code]=(TRIM($D24))),GJ[Debit])))</f>
        <v>0</v>
      </c>
      <c r="R24" s="211">
        <f t="array" ref="R24">(SUM(IF((CkDJ[Date]=$A$4)*(CkDJ[Ofc Code]=(TRIM(R$7)))*(CkDJ[Account Code]=(TRIM($D24))),CkDJ[Credit])))+(SUM(IF((CsDJ[Date]=$A$4)*(CsDJ[Ofc Code]=(TRIM(R$7)))*(CsDJ[Account Code]=(TRIM($D24))),CsDJ[Credit])))+(SUM(IF((CRDJ[Date]=$A$4)*(CRDJ[Ofc Code]=(TRIM(R$7)))*(CRDJ[Account Code]=(TRIM($D24))),CRDJ[Credit])))+(SUM(IF((GJ[Date]=$A$4)*(GJ[Ofc Code]=(TRIM(R$7)))*(GJ[Account Code]=(TRIM($D24))),GJ[Credit])))-(SUM(IF((CkDJ[Date]=$A$4)*(CkDJ[Ofc Code]=(TRIM(R$7)))*(CkDJ[Account Code]=(TRIM($D24))),CkDJ[Debit])))+(SUM(IF((CsDJ[Date]=$A$4)*(CsDJ[Ofc Code]=(TRIM(R$7)))*(CsDJ[Account Code]=(TRIM($D24))),CsDJ[Debit])))+(SUM(IF((CRDJ[Date]=$A$4)*(CRDJ[Ofc Code]=(TRIM(R$7)))*(CRDJ[Account Code]=(TRIM($D24))),CRDJ[Debit])))+(SUM(IF((GJ[Date]=$A$4)*(GJ[Ofc Code]=(TRIM(R$7)))*(GJ[Account Code]=(TRIM($D24))),GJ[Debit])))</f>
        <v>0</v>
      </c>
      <c r="S24" s="211">
        <f t="array" ref="S24">(SUM(IF((CkDJ[Date]=$A$4)*(CkDJ[Ofc Code]=(TRIM(S$7)))*(CkDJ[Account Code]=(TRIM($D24))),CkDJ[Credit])))+(SUM(IF((CsDJ[Date]=$A$4)*(CsDJ[Ofc Code]=(TRIM(S$7)))*(CsDJ[Account Code]=(TRIM($D24))),CsDJ[Credit])))+(SUM(IF((CRDJ[Date]=$A$4)*(CRDJ[Ofc Code]=(TRIM(S$7)))*(CRDJ[Account Code]=(TRIM($D24))),CRDJ[Credit])))+(SUM(IF((GJ[Date]=$A$4)*(GJ[Ofc Code]=(TRIM(S$7)))*(GJ[Account Code]=(TRIM($D24))),GJ[Credit])))-(SUM(IF((CkDJ[Date]=$A$4)*(CkDJ[Ofc Code]=(TRIM(S$7)))*(CkDJ[Account Code]=(TRIM($D24))),CkDJ[Debit])))+(SUM(IF((CsDJ[Date]=$A$4)*(CsDJ[Ofc Code]=(TRIM(S$7)))*(CsDJ[Account Code]=(TRIM($D24))),CsDJ[Debit])))+(SUM(IF((CRDJ[Date]=$A$4)*(CRDJ[Ofc Code]=(TRIM(S$7)))*(CRDJ[Account Code]=(TRIM($D24))),CRDJ[Debit])))+(SUM(IF((GJ[Date]=$A$4)*(GJ[Ofc Code]=(TRIM(S$7)))*(GJ[Account Code]=(TRIM($D24))),GJ[Debit])))</f>
        <v>0</v>
      </c>
      <c r="T24" s="211">
        <f t="shared" si="3"/>
        <v>0</v>
      </c>
      <c r="U24" s="211">
        <f t="shared" si="4"/>
        <v>0</v>
      </c>
    </row>
    <row r="25" spans="1:21" ht="15" x14ac:dyDescent="0.25">
      <c r="A25" s="212">
        <f t="shared" si="5"/>
        <v>17</v>
      </c>
      <c r="B25" s="194"/>
      <c r="C25" s="194" t="str">
        <f t="shared" si="0"/>
        <v>Interest Income</v>
      </c>
      <c r="D25" s="207" t="s">
        <v>154</v>
      </c>
      <c r="E25" s="211">
        <f t="array" ref="E25">(SUM(IF((CkDJ[Date]=$A$4)*(CkDJ[Ofc Code]=(TRIM(E$7)))*(CkDJ[Account Code]=(TRIM($D25))),CkDJ[Credit])))+(SUM(IF((CsDJ[Date]=$A$4)*(CsDJ[Ofc Code]=(TRIM(E$7)))*(CsDJ[Account Code]=(TRIM($D25))),CsDJ[Credit])))+(SUM(IF((CRDJ[Date]=$A$4)*(CRDJ[Ofc Code]=(TRIM(E$7)))*(CRDJ[Account Code]=(TRIM($D25))),CRDJ[Credit])))+(SUM(IF((GJ[Date]=$A$4)*(GJ[Ofc Code]=(TRIM(E$7)))*(GJ[Account Code]=(TRIM($D25))),GJ[Credit])))-(SUM(IF((CkDJ[Date]=$A$4)*(CkDJ[Ofc Code]=(TRIM(E$7)))*(CkDJ[Account Code]=(TRIM($D25))),CkDJ[Debit])))+(SUM(IF((CsDJ[Date]=$A$4)*(CsDJ[Ofc Code]=(TRIM(E$7)))*(CsDJ[Account Code]=(TRIM($D25))),CsDJ[Debit])))+(SUM(IF((CRDJ[Date]=$A$4)*(CRDJ[Ofc Code]=(TRIM(E$7)))*(CRDJ[Account Code]=(TRIM($D25))),CRDJ[Debit])))+(SUM(IF((GJ[Date]=$A$4)*(GJ[Ofc Code]=(TRIM(E$7)))*(GJ[Account Code]=(TRIM($D25))),GJ[Debit])))</f>
        <v>0</v>
      </c>
      <c r="F25" s="211">
        <f t="array" ref="F25">(SUM(IF((CkDJ[Date]=$A$4)*(CkDJ[Ofc Code]=(TRIM(F$7)))*(CkDJ[Account Code]=(TRIM($D25))),CkDJ[Credit])))+(SUM(IF((CsDJ[Date]=$A$4)*(CsDJ[Ofc Code]=(TRIM(F$7)))*(CsDJ[Account Code]=(TRIM($D25))),CsDJ[Credit])))+(SUM(IF((CRDJ[Date]=$A$4)*(CRDJ[Ofc Code]=(TRIM(F$7)))*(CRDJ[Account Code]=(TRIM($D25))),CRDJ[Credit])))+(SUM(IF((GJ[Date]=$A$4)*(GJ[Ofc Code]=(TRIM(F$7)))*(GJ[Account Code]=(TRIM($D25))),GJ[Credit])))-(SUM(IF((CkDJ[Date]=$A$4)*(CkDJ[Ofc Code]=(TRIM(F$7)))*(CkDJ[Account Code]=(TRIM($D25))),CkDJ[Debit])))+(SUM(IF((CsDJ[Date]=$A$4)*(CsDJ[Ofc Code]=(TRIM(F$7)))*(CsDJ[Account Code]=(TRIM($D25))),CsDJ[Debit])))+(SUM(IF((CRDJ[Date]=$A$4)*(CRDJ[Ofc Code]=(TRIM(F$7)))*(CRDJ[Account Code]=(TRIM($D25))),CRDJ[Debit])))+(SUM(IF((GJ[Date]=$A$4)*(GJ[Ofc Code]=(TRIM(F$7)))*(GJ[Account Code]=(TRIM($D25))),GJ[Debit])))</f>
        <v>0</v>
      </c>
      <c r="G25" s="211">
        <f t="array" ref="G25">(SUM(IF((CkDJ[Date]=$A$4)*(CkDJ[Ofc Code]=(TRIM(G$7)))*(CkDJ[Account Code]=(TRIM($D25))),CkDJ[Credit])))+(SUM(IF((CsDJ[Date]=$A$4)*(CsDJ[Ofc Code]=(TRIM(G$7)))*(CsDJ[Account Code]=(TRIM($D25))),CsDJ[Credit])))+(SUM(IF((CRDJ[Date]=$A$4)*(CRDJ[Ofc Code]=(TRIM(G$7)))*(CRDJ[Account Code]=(TRIM($D25))),CRDJ[Credit])))+(SUM(IF((GJ[Date]=$A$4)*(GJ[Ofc Code]=(TRIM(G$7)))*(GJ[Account Code]=(TRIM($D25))),GJ[Credit])))-(SUM(IF((CkDJ[Date]=$A$4)*(CkDJ[Ofc Code]=(TRIM(G$7)))*(CkDJ[Account Code]=(TRIM($D25))),CkDJ[Debit])))+(SUM(IF((CsDJ[Date]=$A$4)*(CsDJ[Ofc Code]=(TRIM(G$7)))*(CsDJ[Account Code]=(TRIM($D25))),CsDJ[Debit])))+(SUM(IF((CRDJ[Date]=$A$4)*(CRDJ[Ofc Code]=(TRIM(G$7)))*(CRDJ[Account Code]=(TRIM($D25))),CRDJ[Debit])))+(SUM(IF((GJ[Date]=$A$4)*(GJ[Ofc Code]=(TRIM(G$7)))*(GJ[Account Code]=(TRIM($D25))),GJ[Debit])))</f>
        <v>0</v>
      </c>
      <c r="H25" s="211">
        <f t="array" ref="H25">(SUM(IF((CkDJ[Date]=$A$4)*(CkDJ[Ofc Code]=(TRIM(H$7)))*(CkDJ[Account Code]=(TRIM($D25))),CkDJ[Credit])))+(SUM(IF((CsDJ[Date]=$A$4)*(CsDJ[Ofc Code]=(TRIM(H$7)))*(CsDJ[Account Code]=(TRIM($D25))),CsDJ[Credit])))+(SUM(IF((CRDJ[Date]=$A$4)*(CRDJ[Ofc Code]=(TRIM(H$7)))*(CRDJ[Account Code]=(TRIM($D25))),CRDJ[Credit])))+(SUM(IF((GJ[Date]=$A$4)*(GJ[Ofc Code]=(TRIM(H$7)))*(GJ[Account Code]=(TRIM($D25))),GJ[Credit])))-(SUM(IF((CkDJ[Date]=$A$4)*(CkDJ[Ofc Code]=(TRIM(H$7)))*(CkDJ[Account Code]=(TRIM($D25))),CkDJ[Debit])))+(SUM(IF((CsDJ[Date]=$A$4)*(CsDJ[Ofc Code]=(TRIM(H$7)))*(CsDJ[Account Code]=(TRIM($D25))),CsDJ[Debit])))+(SUM(IF((CRDJ[Date]=$A$4)*(CRDJ[Ofc Code]=(TRIM(H$7)))*(CRDJ[Account Code]=(TRIM($D25))),CRDJ[Debit])))+(SUM(IF((GJ[Date]=$A$4)*(GJ[Ofc Code]=(TRIM(H$7)))*(GJ[Account Code]=(TRIM($D25))),GJ[Debit])))</f>
        <v>0</v>
      </c>
      <c r="I25" s="211">
        <f t="shared" si="1"/>
        <v>0</v>
      </c>
      <c r="J25" s="211">
        <f t="array" ref="J25">(SUM(IF((CkDJ[Date]=$A$4)*(CkDJ[Ofc Code]=(TRIM(J$7)))*(CkDJ[Account Code]=(TRIM($D25))),CkDJ[Credit])))+(SUM(IF((CsDJ[Date]=$A$4)*(CsDJ[Ofc Code]=(TRIM(J$7)))*(CsDJ[Account Code]=(TRIM($D25))),CsDJ[Credit])))+(SUM(IF((CRDJ[Date]=$A$4)*(CRDJ[Ofc Code]=(TRIM(J$7)))*(CRDJ[Account Code]=(TRIM($D25))),CRDJ[Credit])))+(SUM(IF((GJ[Date]=$A$4)*(GJ[Ofc Code]=(TRIM(J$7)))*(GJ[Account Code]=(TRIM($D25))),GJ[Credit])))-(SUM(IF((CkDJ[Date]=$A$4)*(CkDJ[Ofc Code]=(TRIM(J$7)))*(CkDJ[Account Code]=(TRIM($D25))),CkDJ[Debit])))+(SUM(IF((CsDJ[Date]=$A$4)*(CsDJ[Ofc Code]=(TRIM(J$7)))*(CsDJ[Account Code]=(TRIM($D25))),CsDJ[Debit])))+(SUM(IF((CRDJ[Date]=$A$4)*(CRDJ[Ofc Code]=(TRIM(J$7)))*(CRDJ[Account Code]=(TRIM($D25))),CRDJ[Debit])))+(SUM(IF((GJ[Date]=$A$4)*(GJ[Ofc Code]=(TRIM(J$7)))*(GJ[Account Code]=(TRIM($D25))),GJ[Debit])))</f>
        <v>0</v>
      </c>
      <c r="K25" s="211">
        <f t="array" ref="K25">(SUM(IF((CkDJ[Date]=$A$4)*(CkDJ[Ofc Code]=(TRIM(K$7)))*(CkDJ[Account Code]=(TRIM($D25))),CkDJ[Credit])))+(SUM(IF((CsDJ[Date]=$A$4)*(CsDJ[Ofc Code]=(TRIM(K$7)))*(CsDJ[Account Code]=(TRIM($D25))),CsDJ[Credit])))+(SUM(IF((CRDJ[Date]=$A$4)*(CRDJ[Ofc Code]=(TRIM(K$7)))*(CRDJ[Account Code]=(TRIM($D25))),CRDJ[Credit])))+(SUM(IF((GJ[Date]=$A$4)*(GJ[Ofc Code]=(TRIM(K$7)))*(GJ[Account Code]=(TRIM($D25))),GJ[Credit])))-(SUM(IF((CkDJ[Date]=$A$4)*(CkDJ[Ofc Code]=(TRIM(K$7)))*(CkDJ[Account Code]=(TRIM($D25))),CkDJ[Debit])))+(SUM(IF((CsDJ[Date]=$A$4)*(CsDJ[Ofc Code]=(TRIM(K$7)))*(CsDJ[Account Code]=(TRIM($D25))),CsDJ[Debit])))+(SUM(IF((CRDJ[Date]=$A$4)*(CRDJ[Ofc Code]=(TRIM(K$7)))*(CRDJ[Account Code]=(TRIM($D25))),CRDJ[Debit])))+(SUM(IF((GJ[Date]=$A$4)*(GJ[Ofc Code]=(TRIM(K$7)))*(GJ[Account Code]=(TRIM($D25))),GJ[Debit])))</f>
        <v>0</v>
      </c>
      <c r="L25" s="211">
        <f t="array" ref="L25">(SUM(IF((CkDJ[Date]=$A$4)*(CkDJ[Ofc Code]=(TRIM(L$7)))*(CkDJ[Account Code]=(TRIM($D25))),CkDJ[Credit])))+(SUM(IF((CsDJ[Date]=$A$4)*(CsDJ[Ofc Code]=(TRIM(L$7)))*(CsDJ[Account Code]=(TRIM($D25))),CsDJ[Credit])))+(SUM(IF((CRDJ[Date]=$A$4)*(CRDJ[Ofc Code]=(TRIM(L$7)))*(CRDJ[Account Code]=(TRIM($D25))),CRDJ[Credit])))+(SUM(IF((GJ[Date]=$A$4)*(GJ[Ofc Code]=(TRIM(L$7)))*(GJ[Account Code]=(TRIM($D25))),GJ[Credit])))-(SUM(IF((CkDJ[Date]=$A$4)*(CkDJ[Ofc Code]=(TRIM(L$7)))*(CkDJ[Account Code]=(TRIM($D25))),CkDJ[Debit])))+(SUM(IF((CsDJ[Date]=$A$4)*(CsDJ[Ofc Code]=(TRIM(L$7)))*(CsDJ[Account Code]=(TRIM($D25))),CsDJ[Debit])))+(SUM(IF((CRDJ[Date]=$A$4)*(CRDJ[Ofc Code]=(TRIM(L$7)))*(CRDJ[Account Code]=(TRIM($D25))),CRDJ[Debit])))+(SUM(IF((GJ[Date]=$A$4)*(GJ[Ofc Code]=(TRIM(L$7)))*(GJ[Account Code]=(TRIM($D25))),GJ[Debit])))</f>
        <v>0</v>
      </c>
      <c r="M25" s="211">
        <f t="array" ref="M25">(SUM(IF((CkDJ[Date]=$A$4)*(CkDJ[Ofc Code]=(TRIM(M$7)))*(CkDJ[Account Code]=(TRIM($D25))),CkDJ[Credit])))+(SUM(IF((CsDJ[Date]=$A$4)*(CsDJ[Ofc Code]=(TRIM(M$7)))*(CsDJ[Account Code]=(TRIM($D25))),CsDJ[Credit])))+(SUM(IF((CRDJ[Date]=$A$4)*(CRDJ[Ofc Code]=(TRIM(M$7)))*(CRDJ[Account Code]=(TRIM($D25))),CRDJ[Credit])))+(SUM(IF((GJ[Date]=$A$4)*(GJ[Ofc Code]=(TRIM(M$7)))*(GJ[Account Code]=(TRIM($D25))),GJ[Credit])))-(SUM(IF((CkDJ[Date]=$A$4)*(CkDJ[Ofc Code]=(TRIM(M$7)))*(CkDJ[Account Code]=(TRIM($D25))),CkDJ[Debit])))+(SUM(IF((CsDJ[Date]=$A$4)*(CsDJ[Ofc Code]=(TRIM(M$7)))*(CsDJ[Account Code]=(TRIM($D25))),CsDJ[Debit])))+(SUM(IF((CRDJ[Date]=$A$4)*(CRDJ[Ofc Code]=(TRIM(M$7)))*(CRDJ[Account Code]=(TRIM($D25))),CRDJ[Debit])))+(SUM(IF((GJ[Date]=$A$4)*(GJ[Ofc Code]=(TRIM(M$7)))*(GJ[Account Code]=(TRIM($D25))),GJ[Debit])))</f>
        <v>0</v>
      </c>
      <c r="N25" s="211">
        <f t="shared" si="2"/>
        <v>0</v>
      </c>
      <c r="O25" s="211">
        <f t="array" ref="O25">(SUM(IF((CkDJ[Date]=$A$4)*(CkDJ[Ofc Code]=(TRIM(O$7)))*(CkDJ[Account Code]=(TRIM($D25))),CkDJ[Credit])))+(SUM(IF((CsDJ[Date]=$A$4)*(CsDJ[Ofc Code]=(TRIM(O$7)))*(CsDJ[Account Code]=(TRIM($D25))),CsDJ[Credit])))+(SUM(IF((CRDJ[Date]=$A$4)*(CRDJ[Ofc Code]=(TRIM(O$7)))*(CRDJ[Account Code]=(TRIM($D25))),CRDJ[Credit])))+(SUM(IF((GJ[Date]=$A$4)*(GJ[Ofc Code]=(TRIM(O$7)))*(GJ[Account Code]=(TRIM($D25))),GJ[Credit])))-(SUM(IF((CkDJ[Date]=$A$4)*(CkDJ[Ofc Code]=(TRIM(O$7)))*(CkDJ[Account Code]=(TRIM($D25))),CkDJ[Debit])))+(SUM(IF((CsDJ[Date]=$A$4)*(CsDJ[Ofc Code]=(TRIM(O$7)))*(CsDJ[Account Code]=(TRIM($D25))),CsDJ[Debit])))+(SUM(IF((CRDJ[Date]=$A$4)*(CRDJ[Ofc Code]=(TRIM(O$7)))*(CRDJ[Account Code]=(TRIM($D25))),CRDJ[Debit])))+(SUM(IF((GJ[Date]=$A$4)*(GJ[Ofc Code]=(TRIM(O$7)))*(GJ[Account Code]=(TRIM($D25))),GJ[Debit])))</f>
        <v>0</v>
      </c>
      <c r="P25" s="211">
        <f t="array" ref="P25">(SUM(IF((CkDJ[Date]=$A$4)*(CkDJ[Ofc Code]=(TRIM(P$7)))*(CkDJ[Account Code]=(TRIM($D25))),CkDJ[Credit])))+(SUM(IF((CsDJ[Date]=$A$4)*(CsDJ[Ofc Code]=(TRIM(P$7)))*(CsDJ[Account Code]=(TRIM($D25))),CsDJ[Credit])))+(SUM(IF((CRDJ[Date]=$A$4)*(CRDJ[Ofc Code]=(TRIM(P$7)))*(CRDJ[Account Code]=(TRIM($D25))),CRDJ[Credit])))+(SUM(IF((GJ[Date]=$A$4)*(GJ[Ofc Code]=(TRIM(P$7)))*(GJ[Account Code]=(TRIM($D25))),GJ[Credit])))-(SUM(IF((CkDJ[Date]=$A$4)*(CkDJ[Ofc Code]=(TRIM(P$7)))*(CkDJ[Account Code]=(TRIM($D25))),CkDJ[Debit])))+(SUM(IF((CsDJ[Date]=$A$4)*(CsDJ[Ofc Code]=(TRIM(P$7)))*(CsDJ[Account Code]=(TRIM($D25))),CsDJ[Debit])))+(SUM(IF((CRDJ[Date]=$A$4)*(CRDJ[Ofc Code]=(TRIM(P$7)))*(CRDJ[Account Code]=(TRIM($D25))),CRDJ[Debit])))+(SUM(IF((GJ[Date]=$A$4)*(GJ[Ofc Code]=(TRIM(P$7)))*(GJ[Account Code]=(TRIM($D25))),GJ[Debit])))</f>
        <v>0</v>
      </c>
      <c r="Q25" s="211">
        <f t="array" ref="Q25">(SUM(IF((CkDJ[Date]=$A$4)*(CkDJ[Ofc Code]=(TRIM(Q$7)))*(CkDJ[Account Code]=(TRIM($D25))),CkDJ[Credit])))+(SUM(IF((CsDJ[Date]=$A$4)*(CsDJ[Ofc Code]=(TRIM(Q$7)))*(CsDJ[Account Code]=(TRIM($D25))),CsDJ[Credit])))+(SUM(IF((CRDJ[Date]=$A$4)*(CRDJ[Ofc Code]=(TRIM(Q$7)))*(CRDJ[Account Code]=(TRIM($D25))),CRDJ[Credit])))+(SUM(IF((GJ[Date]=$A$4)*(GJ[Ofc Code]=(TRIM(Q$7)))*(GJ[Account Code]=(TRIM($D25))),GJ[Credit])))-(SUM(IF((CkDJ[Date]=$A$4)*(CkDJ[Ofc Code]=(TRIM(Q$7)))*(CkDJ[Account Code]=(TRIM($D25))),CkDJ[Debit])))+(SUM(IF((CsDJ[Date]=$A$4)*(CsDJ[Ofc Code]=(TRIM(Q$7)))*(CsDJ[Account Code]=(TRIM($D25))),CsDJ[Debit])))+(SUM(IF((CRDJ[Date]=$A$4)*(CRDJ[Ofc Code]=(TRIM(Q$7)))*(CRDJ[Account Code]=(TRIM($D25))),CRDJ[Debit])))+(SUM(IF((GJ[Date]=$A$4)*(GJ[Ofc Code]=(TRIM(Q$7)))*(GJ[Account Code]=(TRIM($D25))),GJ[Debit])))</f>
        <v>0</v>
      </c>
      <c r="R25" s="211">
        <f t="array" ref="R25">(SUM(IF((CkDJ[Date]=$A$4)*(CkDJ[Ofc Code]=(TRIM(R$7)))*(CkDJ[Account Code]=(TRIM($D25))),CkDJ[Credit])))+(SUM(IF((CsDJ[Date]=$A$4)*(CsDJ[Ofc Code]=(TRIM(R$7)))*(CsDJ[Account Code]=(TRIM($D25))),CsDJ[Credit])))+(SUM(IF((CRDJ[Date]=$A$4)*(CRDJ[Ofc Code]=(TRIM(R$7)))*(CRDJ[Account Code]=(TRIM($D25))),CRDJ[Credit])))+(SUM(IF((GJ[Date]=$A$4)*(GJ[Ofc Code]=(TRIM(R$7)))*(GJ[Account Code]=(TRIM($D25))),GJ[Credit])))-(SUM(IF((CkDJ[Date]=$A$4)*(CkDJ[Ofc Code]=(TRIM(R$7)))*(CkDJ[Account Code]=(TRIM($D25))),CkDJ[Debit])))+(SUM(IF((CsDJ[Date]=$A$4)*(CsDJ[Ofc Code]=(TRIM(R$7)))*(CsDJ[Account Code]=(TRIM($D25))),CsDJ[Debit])))+(SUM(IF((CRDJ[Date]=$A$4)*(CRDJ[Ofc Code]=(TRIM(R$7)))*(CRDJ[Account Code]=(TRIM($D25))),CRDJ[Debit])))+(SUM(IF((GJ[Date]=$A$4)*(GJ[Ofc Code]=(TRIM(R$7)))*(GJ[Account Code]=(TRIM($D25))),GJ[Debit])))</f>
        <v>0</v>
      </c>
      <c r="S25" s="211">
        <f t="array" ref="S25">(SUM(IF((CkDJ[Date]=$A$4)*(CkDJ[Ofc Code]=(TRIM(S$7)))*(CkDJ[Account Code]=(TRIM($D25))),CkDJ[Credit])))+(SUM(IF((CsDJ[Date]=$A$4)*(CsDJ[Ofc Code]=(TRIM(S$7)))*(CsDJ[Account Code]=(TRIM($D25))),CsDJ[Credit])))+(SUM(IF((CRDJ[Date]=$A$4)*(CRDJ[Ofc Code]=(TRIM(S$7)))*(CRDJ[Account Code]=(TRIM($D25))),CRDJ[Credit])))+(SUM(IF((GJ[Date]=$A$4)*(GJ[Ofc Code]=(TRIM(S$7)))*(GJ[Account Code]=(TRIM($D25))),GJ[Credit])))-(SUM(IF((CkDJ[Date]=$A$4)*(CkDJ[Ofc Code]=(TRIM(S$7)))*(CkDJ[Account Code]=(TRIM($D25))),CkDJ[Debit])))+(SUM(IF((CsDJ[Date]=$A$4)*(CsDJ[Ofc Code]=(TRIM(S$7)))*(CsDJ[Account Code]=(TRIM($D25))),CsDJ[Debit])))+(SUM(IF((CRDJ[Date]=$A$4)*(CRDJ[Ofc Code]=(TRIM(S$7)))*(CRDJ[Account Code]=(TRIM($D25))),CRDJ[Debit])))+(SUM(IF((GJ[Date]=$A$4)*(GJ[Ofc Code]=(TRIM(S$7)))*(GJ[Account Code]=(TRIM($D25))),GJ[Debit])))</f>
        <v>0</v>
      </c>
      <c r="T25" s="211">
        <f t="shared" si="3"/>
        <v>0</v>
      </c>
      <c r="U25" s="211">
        <f t="shared" si="4"/>
        <v>0</v>
      </c>
    </row>
    <row r="26" spans="1:21" ht="15" x14ac:dyDescent="0.25">
      <c r="A26" s="212">
        <f t="shared" si="5"/>
        <v>18</v>
      </c>
      <c r="B26" s="194"/>
      <c r="C26" s="194" t="str">
        <f t="shared" si="0"/>
        <v>Miscellaneous Income (Bid Documents)</v>
      </c>
      <c r="D26" s="207" t="s">
        <v>155</v>
      </c>
      <c r="E26" s="211">
        <f t="array" ref="E26">(SUM(IF((CkDJ[Date]=$A$4)*(CkDJ[Ofc Code]=(TRIM(E$7)))*(CkDJ[Account Code]=(TRIM($D26))),CkDJ[Credit])))+(SUM(IF((CsDJ[Date]=$A$4)*(CsDJ[Ofc Code]=(TRIM(E$7)))*(CsDJ[Account Code]=(TRIM($D26))),CsDJ[Credit])))+(SUM(IF((CRDJ[Date]=$A$4)*(CRDJ[Ofc Code]=(TRIM(E$7)))*(CRDJ[Account Code]=(TRIM($D26))),CRDJ[Credit])))+(SUM(IF((GJ[Date]=$A$4)*(GJ[Ofc Code]=(TRIM(E$7)))*(GJ[Account Code]=(TRIM($D26))),GJ[Credit])))-(SUM(IF((CkDJ[Date]=$A$4)*(CkDJ[Ofc Code]=(TRIM(E$7)))*(CkDJ[Account Code]=(TRIM($D26))),CkDJ[Debit])))+(SUM(IF((CsDJ[Date]=$A$4)*(CsDJ[Ofc Code]=(TRIM(E$7)))*(CsDJ[Account Code]=(TRIM($D26))),CsDJ[Debit])))+(SUM(IF((CRDJ[Date]=$A$4)*(CRDJ[Ofc Code]=(TRIM(E$7)))*(CRDJ[Account Code]=(TRIM($D26))),CRDJ[Debit])))+(SUM(IF((GJ[Date]=$A$4)*(GJ[Ofc Code]=(TRIM(E$7)))*(GJ[Account Code]=(TRIM($D26))),GJ[Debit])))</f>
        <v>0</v>
      </c>
      <c r="F26" s="211">
        <f t="array" ref="F26">(SUM(IF((CkDJ[Date]=$A$4)*(CkDJ[Ofc Code]=(TRIM(F$7)))*(CkDJ[Account Code]=(TRIM($D26))),CkDJ[Credit])))+(SUM(IF((CsDJ[Date]=$A$4)*(CsDJ[Ofc Code]=(TRIM(F$7)))*(CsDJ[Account Code]=(TRIM($D26))),CsDJ[Credit])))+(SUM(IF((CRDJ[Date]=$A$4)*(CRDJ[Ofc Code]=(TRIM(F$7)))*(CRDJ[Account Code]=(TRIM($D26))),CRDJ[Credit])))+(SUM(IF((GJ[Date]=$A$4)*(GJ[Ofc Code]=(TRIM(F$7)))*(GJ[Account Code]=(TRIM($D26))),GJ[Credit])))-(SUM(IF((CkDJ[Date]=$A$4)*(CkDJ[Ofc Code]=(TRIM(F$7)))*(CkDJ[Account Code]=(TRIM($D26))),CkDJ[Debit])))+(SUM(IF((CsDJ[Date]=$A$4)*(CsDJ[Ofc Code]=(TRIM(F$7)))*(CsDJ[Account Code]=(TRIM($D26))),CsDJ[Debit])))+(SUM(IF((CRDJ[Date]=$A$4)*(CRDJ[Ofc Code]=(TRIM(F$7)))*(CRDJ[Account Code]=(TRIM($D26))),CRDJ[Debit])))+(SUM(IF((GJ[Date]=$A$4)*(GJ[Ofc Code]=(TRIM(F$7)))*(GJ[Account Code]=(TRIM($D26))),GJ[Debit])))</f>
        <v>0</v>
      </c>
      <c r="G26" s="211">
        <f t="array" ref="G26">(SUM(IF((CkDJ[Date]=$A$4)*(CkDJ[Ofc Code]=(TRIM(G$7)))*(CkDJ[Account Code]=(TRIM($D26))),CkDJ[Credit])))+(SUM(IF((CsDJ[Date]=$A$4)*(CsDJ[Ofc Code]=(TRIM(G$7)))*(CsDJ[Account Code]=(TRIM($D26))),CsDJ[Credit])))+(SUM(IF((CRDJ[Date]=$A$4)*(CRDJ[Ofc Code]=(TRIM(G$7)))*(CRDJ[Account Code]=(TRIM($D26))),CRDJ[Credit])))+(SUM(IF((GJ[Date]=$A$4)*(GJ[Ofc Code]=(TRIM(G$7)))*(GJ[Account Code]=(TRIM($D26))),GJ[Credit])))-(SUM(IF((CkDJ[Date]=$A$4)*(CkDJ[Ofc Code]=(TRIM(G$7)))*(CkDJ[Account Code]=(TRIM($D26))),CkDJ[Debit])))+(SUM(IF((CsDJ[Date]=$A$4)*(CsDJ[Ofc Code]=(TRIM(G$7)))*(CsDJ[Account Code]=(TRIM($D26))),CsDJ[Debit])))+(SUM(IF((CRDJ[Date]=$A$4)*(CRDJ[Ofc Code]=(TRIM(G$7)))*(CRDJ[Account Code]=(TRIM($D26))),CRDJ[Debit])))+(SUM(IF((GJ[Date]=$A$4)*(GJ[Ofc Code]=(TRIM(G$7)))*(GJ[Account Code]=(TRIM($D26))),GJ[Debit])))</f>
        <v>0</v>
      </c>
      <c r="H26" s="211">
        <f t="array" ref="H26">(SUM(IF((CkDJ[Date]=$A$4)*(CkDJ[Ofc Code]=(TRIM(H$7)))*(CkDJ[Account Code]=(TRIM($D26))),CkDJ[Credit])))+(SUM(IF((CsDJ[Date]=$A$4)*(CsDJ[Ofc Code]=(TRIM(H$7)))*(CsDJ[Account Code]=(TRIM($D26))),CsDJ[Credit])))+(SUM(IF((CRDJ[Date]=$A$4)*(CRDJ[Ofc Code]=(TRIM(H$7)))*(CRDJ[Account Code]=(TRIM($D26))),CRDJ[Credit])))+(SUM(IF((GJ[Date]=$A$4)*(GJ[Ofc Code]=(TRIM(H$7)))*(GJ[Account Code]=(TRIM($D26))),GJ[Credit])))-(SUM(IF((CkDJ[Date]=$A$4)*(CkDJ[Ofc Code]=(TRIM(H$7)))*(CkDJ[Account Code]=(TRIM($D26))),CkDJ[Debit])))+(SUM(IF((CsDJ[Date]=$A$4)*(CsDJ[Ofc Code]=(TRIM(H$7)))*(CsDJ[Account Code]=(TRIM($D26))),CsDJ[Debit])))+(SUM(IF((CRDJ[Date]=$A$4)*(CRDJ[Ofc Code]=(TRIM(H$7)))*(CRDJ[Account Code]=(TRIM($D26))),CRDJ[Debit])))+(SUM(IF((GJ[Date]=$A$4)*(GJ[Ofc Code]=(TRIM(H$7)))*(GJ[Account Code]=(TRIM($D26))),GJ[Debit])))</f>
        <v>0</v>
      </c>
      <c r="I26" s="211">
        <f t="shared" si="1"/>
        <v>0</v>
      </c>
      <c r="J26" s="211">
        <f t="array" ref="J26">(SUM(IF((CkDJ[Date]=$A$4)*(CkDJ[Ofc Code]=(TRIM(J$7)))*(CkDJ[Account Code]=(TRIM($D26))),CkDJ[Credit])))+(SUM(IF((CsDJ[Date]=$A$4)*(CsDJ[Ofc Code]=(TRIM(J$7)))*(CsDJ[Account Code]=(TRIM($D26))),CsDJ[Credit])))+(SUM(IF((CRDJ[Date]=$A$4)*(CRDJ[Ofc Code]=(TRIM(J$7)))*(CRDJ[Account Code]=(TRIM($D26))),CRDJ[Credit])))+(SUM(IF((GJ[Date]=$A$4)*(GJ[Ofc Code]=(TRIM(J$7)))*(GJ[Account Code]=(TRIM($D26))),GJ[Credit])))-(SUM(IF((CkDJ[Date]=$A$4)*(CkDJ[Ofc Code]=(TRIM(J$7)))*(CkDJ[Account Code]=(TRIM($D26))),CkDJ[Debit])))+(SUM(IF((CsDJ[Date]=$A$4)*(CsDJ[Ofc Code]=(TRIM(J$7)))*(CsDJ[Account Code]=(TRIM($D26))),CsDJ[Debit])))+(SUM(IF((CRDJ[Date]=$A$4)*(CRDJ[Ofc Code]=(TRIM(J$7)))*(CRDJ[Account Code]=(TRIM($D26))),CRDJ[Debit])))+(SUM(IF((GJ[Date]=$A$4)*(GJ[Ofc Code]=(TRIM(J$7)))*(GJ[Account Code]=(TRIM($D26))),GJ[Debit])))</f>
        <v>0</v>
      </c>
      <c r="K26" s="211">
        <f t="array" ref="K26">(SUM(IF((CkDJ[Date]=$A$4)*(CkDJ[Ofc Code]=(TRIM(K$7)))*(CkDJ[Account Code]=(TRIM($D26))),CkDJ[Credit])))+(SUM(IF((CsDJ[Date]=$A$4)*(CsDJ[Ofc Code]=(TRIM(K$7)))*(CsDJ[Account Code]=(TRIM($D26))),CsDJ[Credit])))+(SUM(IF((CRDJ[Date]=$A$4)*(CRDJ[Ofc Code]=(TRIM(K$7)))*(CRDJ[Account Code]=(TRIM($D26))),CRDJ[Credit])))+(SUM(IF((GJ[Date]=$A$4)*(GJ[Ofc Code]=(TRIM(K$7)))*(GJ[Account Code]=(TRIM($D26))),GJ[Credit])))-(SUM(IF((CkDJ[Date]=$A$4)*(CkDJ[Ofc Code]=(TRIM(K$7)))*(CkDJ[Account Code]=(TRIM($D26))),CkDJ[Debit])))+(SUM(IF((CsDJ[Date]=$A$4)*(CsDJ[Ofc Code]=(TRIM(K$7)))*(CsDJ[Account Code]=(TRIM($D26))),CsDJ[Debit])))+(SUM(IF((CRDJ[Date]=$A$4)*(CRDJ[Ofc Code]=(TRIM(K$7)))*(CRDJ[Account Code]=(TRIM($D26))),CRDJ[Debit])))+(SUM(IF((GJ[Date]=$A$4)*(GJ[Ofc Code]=(TRIM(K$7)))*(GJ[Account Code]=(TRIM($D26))),GJ[Debit])))</f>
        <v>0</v>
      </c>
      <c r="L26" s="211">
        <f t="array" ref="L26">(SUM(IF((CkDJ[Date]=$A$4)*(CkDJ[Ofc Code]=(TRIM(L$7)))*(CkDJ[Account Code]=(TRIM($D26))),CkDJ[Credit])))+(SUM(IF((CsDJ[Date]=$A$4)*(CsDJ[Ofc Code]=(TRIM(L$7)))*(CsDJ[Account Code]=(TRIM($D26))),CsDJ[Credit])))+(SUM(IF((CRDJ[Date]=$A$4)*(CRDJ[Ofc Code]=(TRIM(L$7)))*(CRDJ[Account Code]=(TRIM($D26))),CRDJ[Credit])))+(SUM(IF((GJ[Date]=$A$4)*(GJ[Ofc Code]=(TRIM(L$7)))*(GJ[Account Code]=(TRIM($D26))),GJ[Credit])))-(SUM(IF((CkDJ[Date]=$A$4)*(CkDJ[Ofc Code]=(TRIM(L$7)))*(CkDJ[Account Code]=(TRIM($D26))),CkDJ[Debit])))+(SUM(IF((CsDJ[Date]=$A$4)*(CsDJ[Ofc Code]=(TRIM(L$7)))*(CsDJ[Account Code]=(TRIM($D26))),CsDJ[Debit])))+(SUM(IF((CRDJ[Date]=$A$4)*(CRDJ[Ofc Code]=(TRIM(L$7)))*(CRDJ[Account Code]=(TRIM($D26))),CRDJ[Debit])))+(SUM(IF((GJ[Date]=$A$4)*(GJ[Ofc Code]=(TRIM(L$7)))*(GJ[Account Code]=(TRIM($D26))),GJ[Debit])))</f>
        <v>0</v>
      </c>
      <c r="M26" s="211">
        <f t="array" ref="M26">(SUM(IF((CkDJ[Date]=$A$4)*(CkDJ[Ofc Code]=(TRIM(M$7)))*(CkDJ[Account Code]=(TRIM($D26))),CkDJ[Credit])))+(SUM(IF((CsDJ[Date]=$A$4)*(CsDJ[Ofc Code]=(TRIM(M$7)))*(CsDJ[Account Code]=(TRIM($D26))),CsDJ[Credit])))+(SUM(IF((CRDJ[Date]=$A$4)*(CRDJ[Ofc Code]=(TRIM(M$7)))*(CRDJ[Account Code]=(TRIM($D26))),CRDJ[Credit])))+(SUM(IF((GJ[Date]=$A$4)*(GJ[Ofc Code]=(TRIM(M$7)))*(GJ[Account Code]=(TRIM($D26))),GJ[Credit])))-(SUM(IF((CkDJ[Date]=$A$4)*(CkDJ[Ofc Code]=(TRIM(M$7)))*(CkDJ[Account Code]=(TRIM($D26))),CkDJ[Debit])))+(SUM(IF((CsDJ[Date]=$A$4)*(CsDJ[Ofc Code]=(TRIM(M$7)))*(CsDJ[Account Code]=(TRIM($D26))),CsDJ[Debit])))+(SUM(IF((CRDJ[Date]=$A$4)*(CRDJ[Ofc Code]=(TRIM(M$7)))*(CRDJ[Account Code]=(TRIM($D26))),CRDJ[Debit])))+(SUM(IF((GJ[Date]=$A$4)*(GJ[Ofc Code]=(TRIM(M$7)))*(GJ[Account Code]=(TRIM($D26))),GJ[Debit])))</f>
        <v>0</v>
      </c>
      <c r="N26" s="211">
        <f t="shared" si="2"/>
        <v>0</v>
      </c>
      <c r="O26" s="211">
        <f t="array" ref="O26">(SUM(IF((CkDJ[Date]=$A$4)*(CkDJ[Ofc Code]=(TRIM(O$7)))*(CkDJ[Account Code]=(TRIM($D26))),CkDJ[Credit])))+(SUM(IF((CsDJ[Date]=$A$4)*(CsDJ[Ofc Code]=(TRIM(O$7)))*(CsDJ[Account Code]=(TRIM($D26))),CsDJ[Credit])))+(SUM(IF((CRDJ[Date]=$A$4)*(CRDJ[Ofc Code]=(TRIM(O$7)))*(CRDJ[Account Code]=(TRIM($D26))),CRDJ[Credit])))+(SUM(IF((GJ[Date]=$A$4)*(GJ[Ofc Code]=(TRIM(O$7)))*(GJ[Account Code]=(TRIM($D26))),GJ[Credit])))-(SUM(IF((CkDJ[Date]=$A$4)*(CkDJ[Ofc Code]=(TRIM(O$7)))*(CkDJ[Account Code]=(TRIM($D26))),CkDJ[Debit])))+(SUM(IF((CsDJ[Date]=$A$4)*(CsDJ[Ofc Code]=(TRIM(O$7)))*(CsDJ[Account Code]=(TRIM($D26))),CsDJ[Debit])))+(SUM(IF((CRDJ[Date]=$A$4)*(CRDJ[Ofc Code]=(TRIM(O$7)))*(CRDJ[Account Code]=(TRIM($D26))),CRDJ[Debit])))+(SUM(IF((GJ[Date]=$A$4)*(GJ[Ofc Code]=(TRIM(O$7)))*(GJ[Account Code]=(TRIM($D26))),GJ[Debit])))</f>
        <v>0</v>
      </c>
      <c r="P26" s="211">
        <f t="array" ref="P26">(SUM(IF((CkDJ[Date]=$A$4)*(CkDJ[Ofc Code]=(TRIM(P$7)))*(CkDJ[Account Code]=(TRIM($D26))),CkDJ[Credit])))+(SUM(IF((CsDJ[Date]=$A$4)*(CsDJ[Ofc Code]=(TRIM(P$7)))*(CsDJ[Account Code]=(TRIM($D26))),CsDJ[Credit])))+(SUM(IF((CRDJ[Date]=$A$4)*(CRDJ[Ofc Code]=(TRIM(P$7)))*(CRDJ[Account Code]=(TRIM($D26))),CRDJ[Credit])))+(SUM(IF((GJ[Date]=$A$4)*(GJ[Ofc Code]=(TRIM(P$7)))*(GJ[Account Code]=(TRIM($D26))),GJ[Credit])))-(SUM(IF((CkDJ[Date]=$A$4)*(CkDJ[Ofc Code]=(TRIM(P$7)))*(CkDJ[Account Code]=(TRIM($D26))),CkDJ[Debit])))+(SUM(IF((CsDJ[Date]=$A$4)*(CsDJ[Ofc Code]=(TRIM(P$7)))*(CsDJ[Account Code]=(TRIM($D26))),CsDJ[Debit])))+(SUM(IF((CRDJ[Date]=$A$4)*(CRDJ[Ofc Code]=(TRIM(P$7)))*(CRDJ[Account Code]=(TRIM($D26))),CRDJ[Debit])))+(SUM(IF((GJ[Date]=$A$4)*(GJ[Ofc Code]=(TRIM(P$7)))*(GJ[Account Code]=(TRIM($D26))),GJ[Debit])))</f>
        <v>0</v>
      </c>
      <c r="Q26" s="211">
        <f t="array" ref="Q26">(SUM(IF((CkDJ[Date]=$A$4)*(CkDJ[Ofc Code]=(TRIM(Q$7)))*(CkDJ[Account Code]=(TRIM($D26))),CkDJ[Credit])))+(SUM(IF((CsDJ[Date]=$A$4)*(CsDJ[Ofc Code]=(TRIM(Q$7)))*(CsDJ[Account Code]=(TRIM($D26))),CsDJ[Credit])))+(SUM(IF((CRDJ[Date]=$A$4)*(CRDJ[Ofc Code]=(TRIM(Q$7)))*(CRDJ[Account Code]=(TRIM($D26))),CRDJ[Credit])))+(SUM(IF((GJ[Date]=$A$4)*(GJ[Ofc Code]=(TRIM(Q$7)))*(GJ[Account Code]=(TRIM($D26))),GJ[Credit])))-(SUM(IF((CkDJ[Date]=$A$4)*(CkDJ[Ofc Code]=(TRIM(Q$7)))*(CkDJ[Account Code]=(TRIM($D26))),CkDJ[Debit])))+(SUM(IF((CsDJ[Date]=$A$4)*(CsDJ[Ofc Code]=(TRIM(Q$7)))*(CsDJ[Account Code]=(TRIM($D26))),CsDJ[Debit])))+(SUM(IF((CRDJ[Date]=$A$4)*(CRDJ[Ofc Code]=(TRIM(Q$7)))*(CRDJ[Account Code]=(TRIM($D26))),CRDJ[Debit])))+(SUM(IF((GJ[Date]=$A$4)*(GJ[Ofc Code]=(TRIM(Q$7)))*(GJ[Account Code]=(TRIM($D26))),GJ[Debit])))</f>
        <v>0</v>
      </c>
      <c r="R26" s="211">
        <f t="array" ref="R26">(SUM(IF((CkDJ[Date]=$A$4)*(CkDJ[Ofc Code]=(TRIM(R$7)))*(CkDJ[Account Code]=(TRIM($D26))),CkDJ[Credit])))+(SUM(IF((CsDJ[Date]=$A$4)*(CsDJ[Ofc Code]=(TRIM(R$7)))*(CsDJ[Account Code]=(TRIM($D26))),CsDJ[Credit])))+(SUM(IF((CRDJ[Date]=$A$4)*(CRDJ[Ofc Code]=(TRIM(R$7)))*(CRDJ[Account Code]=(TRIM($D26))),CRDJ[Credit])))+(SUM(IF((GJ[Date]=$A$4)*(GJ[Ofc Code]=(TRIM(R$7)))*(GJ[Account Code]=(TRIM($D26))),GJ[Credit])))-(SUM(IF((CkDJ[Date]=$A$4)*(CkDJ[Ofc Code]=(TRIM(R$7)))*(CkDJ[Account Code]=(TRIM($D26))),CkDJ[Debit])))+(SUM(IF((CsDJ[Date]=$A$4)*(CsDJ[Ofc Code]=(TRIM(R$7)))*(CsDJ[Account Code]=(TRIM($D26))),CsDJ[Debit])))+(SUM(IF((CRDJ[Date]=$A$4)*(CRDJ[Ofc Code]=(TRIM(R$7)))*(CRDJ[Account Code]=(TRIM($D26))),CRDJ[Debit])))+(SUM(IF((GJ[Date]=$A$4)*(GJ[Ofc Code]=(TRIM(R$7)))*(GJ[Account Code]=(TRIM($D26))),GJ[Debit])))</f>
        <v>0</v>
      </c>
      <c r="S26" s="211">
        <f t="array" ref="S26">(SUM(IF((CkDJ[Date]=$A$4)*(CkDJ[Ofc Code]=(TRIM(S$7)))*(CkDJ[Account Code]=(TRIM($D26))),CkDJ[Credit])))+(SUM(IF((CsDJ[Date]=$A$4)*(CsDJ[Ofc Code]=(TRIM(S$7)))*(CsDJ[Account Code]=(TRIM($D26))),CsDJ[Credit])))+(SUM(IF((CRDJ[Date]=$A$4)*(CRDJ[Ofc Code]=(TRIM(S$7)))*(CRDJ[Account Code]=(TRIM($D26))),CRDJ[Credit])))+(SUM(IF((GJ[Date]=$A$4)*(GJ[Ofc Code]=(TRIM(S$7)))*(GJ[Account Code]=(TRIM($D26))),GJ[Credit])))-(SUM(IF((CkDJ[Date]=$A$4)*(CkDJ[Ofc Code]=(TRIM(S$7)))*(CkDJ[Account Code]=(TRIM($D26))),CkDJ[Debit])))+(SUM(IF((CsDJ[Date]=$A$4)*(CsDJ[Ofc Code]=(TRIM(S$7)))*(CsDJ[Account Code]=(TRIM($D26))),CsDJ[Debit])))+(SUM(IF((CRDJ[Date]=$A$4)*(CRDJ[Ofc Code]=(TRIM(S$7)))*(CRDJ[Account Code]=(TRIM($D26))),CRDJ[Debit])))+(SUM(IF((GJ[Date]=$A$4)*(GJ[Ofc Code]=(TRIM(S$7)))*(GJ[Account Code]=(TRIM($D26))),GJ[Debit])))</f>
        <v>0</v>
      </c>
      <c r="T26" s="211">
        <f t="shared" si="3"/>
        <v>0</v>
      </c>
      <c r="U26" s="211">
        <f t="shared" si="4"/>
        <v>0</v>
      </c>
    </row>
    <row r="27" spans="1:21" ht="15" x14ac:dyDescent="0.25">
      <c r="A27" s="212">
        <f t="shared" si="5"/>
        <v>19</v>
      </c>
      <c r="B27" s="194"/>
      <c r="C27" s="194" t="e">
        <f t="shared" si="0"/>
        <v>#N/A</v>
      </c>
      <c r="D27" s="207" t="s">
        <v>157</v>
      </c>
      <c r="E27" s="211">
        <f t="array" ref="E27">(SUM(IF((CkDJ[Date]=$A$4)*(CkDJ[Ofc Code]=(TRIM(E$7)))*(CkDJ[Account Code]=(TRIM($D27))),CkDJ[Credit])))+(SUM(IF((CsDJ[Date]=$A$4)*(CsDJ[Ofc Code]=(TRIM(E$7)))*(CsDJ[Account Code]=(TRIM($D27))),CsDJ[Credit])))+(SUM(IF((CRDJ[Date]=$A$4)*(CRDJ[Ofc Code]=(TRIM(E$7)))*(CRDJ[Account Code]=(TRIM($D27))),CRDJ[Credit])))+(SUM(IF((GJ[Date]=$A$4)*(GJ[Ofc Code]=(TRIM(E$7)))*(GJ[Account Code]=(TRIM($D27))),GJ[Credit])))-(SUM(IF((CkDJ[Date]=$A$4)*(CkDJ[Ofc Code]=(TRIM(E$7)))*(CkDJ[Account Code]=(TRIM($D27))),CkDJ[Debit])))+(SUM(IF((CsDJ[Date]=$A$4)*(CsDJ[Ofc Code]=(TRIM(E$7)))*(CsDJ[Account Code]=(TRIM($D27))),CsDJ[Debit])))+(SUM(IF((CRDJ[Date]=$A$4)*(CRDJ[Ofc Code]=(TRIM(E$7)))*(CRDJ[Account Code]=(TRIM($D27))),CRDJ[Debit])))+(SUM(IF((GJ[Date]=$A$4)*(GJ[Ofc Code]=(TRIM(E$7)))*(GJ[Account Code]=(TRIM($D27))),GJ[Debit])))</f>
        <v>0</v>
      </c>
      <c r="F27" s="211">
        <f t="array" ref="F27">(SUM(IF((CkDJ[Date]=$A$4)*(CkDJ[Ofc Code]=(TRIM(F$7)))*(CkDJ[Account Code]=(TRIM($D27))),CkDJ[Credit])))+(SUM(IF((CsDJ[Date]=$A$4)*(CsDJ[Ofc Code]=(TRIM(F$7)))*(CsDJ[Account Code]=(TRIM($D27))),CsDJ[Credit])))+(SUM(IF((CRDJ[Date]=$A$4)*(CRDJ[Ofc Code]=(TRIM(F$7)))*(CRDJ[Account Code]=(TRIM($D27))),CRDJ[Credit])))+(SUM(IF((GJ[Date]=$A$4)*(GJ[Ofc Code]=(TRIM(F$7)))*(GJ[Account Code]=(TRIM($D27))),GJ[Credit])))-(SUM(IF((CkDJ[Date]=$A$4)*(CkDJ[Ofc Code]=(TRIM(F$7)))*(CkDJ[Account Code]=(TRIM($D27))),CkDJ[Debit])))+(SUM(IF((CsDJ[Date]=$A$4)*(CsDJ[Ofc Code]=(TRIM(F$7)))*(CsDJ[Account Code]=(TRIM($D27))),CsDJ[Debit])))+(SUM(IF((CRDJ[Date]=$A$4)*(CRDJ[Ofc Code]=(TRIM(F$7)))*(CRDJ[Account Code]=(TRIM($D27))),CRDJ[Debit])))+(SUM(IF((GJ[Date]=$A$4)*(GJ[Ofc Code]=(TRIM(F$7)))*(GJ[Account Code]=(TRIM($D27))),GJ[Debit])))</f>
        <v>0</v>
      </c>
      <c r="G27" s="211">
        <f t="array" ref="G27">(SUM(IF((CkDJ[Date]=$A$4)*(CkDJ[Ofc Code]=(TRIM(G$7)))*(CkDJ[Account Code]=(TRIM($D27))),CkDJ[Credit])))+(SUM(IF((CsDJ[Date]=$A$4)*(CsDJ[Ofc Code]=(TRIM(G$7)))*(CsDJ[Account Code]=(TRIM($D27))),CsDJ[Credit])))+(SUM(IF((CRDJ[Date]=$A$4)*(CRDJ[Ofc Code]=(TRIM(G$7)))*(CRDJ[Account Code]=(TRIM($D27))),CRDJ[Credit])))+(SUM(IF((GJ[Date]=$A$4)*(GJ[Ofc Code]=(TRIM(G$7)))*(GJ[Account Code]=(TRIM($D27))),GJ[Credit])))-(SUM(IF((CkDJ[Date]=$A$4)*(CkDJ[Ofc Code]=(TRIM(G$7)))*(CkDJ[Account Code]=(TRIM($D27))),CkDJ[Debit])))+(SUM(IF((CsDJ[Date]=$A$4)*(CsDJ[Ofc Code]=(TRIM(G$7)))*(CsDJ[Account Code]=(TRIM($D27))),CsDJ[Debit])))+(SUM(IF((CRDJ[Date]=$A$4)*(CRDJ[Ofc Code]=(TRIM(G$7)))*(CRDJ[Account Code]=(TRIM($D27))),CRDJ[Debit])))+(SUM(IF((GJ[Date]=$A$4)*(GJ[Ofc Code]=(TRIM(G$7)))*(GJ[Account Code]=(TRIM($D27))),GJ[Debit])))</f>
        <v>0</v>
      </c>
      <c r="H27" s="211">
        <f t="array" ref="H27">(SUM(IF((CkDJ[Date]=$A$4)*(CkDJ[Ofc Code]=(TRIM(H$7)))*(CkDJ[Account Code]=(TRIM($D27))),CkDJ[Credit])))+(SUM(IF((CsDJ[Date]=$A$4)*(CsDJ[Ofc Code]=(TRIM(H$7)))*(CsDJ[Account Code]=(TRIM($D27))),CsDJ[Credit])))+(SUM(IF((CRDJ[Date]=$A$4)*(CRDJ[Ofc Code]=(TRIM(H$7)))*(CRDJ[Account Code]=(TRIM($D27))),CRDJ[Credit])))+(SUM(IF((GJ[Date]=$A$4)*(GJ[Ofc Code]=(TRIM(H$7)))*(GJ[Account Code]=(TRIM($D27))),GJ[Credit])))-(SUM(IF((CkDJ[Date]=$A$4)*(CkDJ[Ofc Code]=(TRIM(H$7)))*(CkDJ[Account Code]=(TRIM($D27))),CkDJ[Debit])))+(SUM(IF((CsDJ[Date]=$A$4)*(CsDJ[Ofc Code]=(TRIM(H$7)))*(CsDJ[Account Code]=(TRIM($D27))),CsDJ[Debit])))+(SUM(IF((CRDJ[Date]=$A$4)*(CRDJ[Ofc Code]=(TRIM(H$7)))*(CRDJ[Account Code]=(TRIM($D27))),CRDJ[Debit])))+(SUM(IF((GJ[Date]=$A$4)*(GJ[Ofc Code]=(TRIM(H$7)))*(GJ[Account Code]=(TRIM($D27))),GJ[Debit])))</f>
        <v>0</v>
      </c>
      <c r="I27" s="211">
        <f>SUM(F27:H27)</f>
        <v>0</v>
      </c>
      <c r="J27" s="211">
        <f t="array" ref="J27">(SUM(IF((CkDJ[Date]=$A$4)*(CkDJ[Ofc Code]=(TRIM(J$7)))*(CkDJ[Account Code]=(TRIM($D27))),CkDJ[Credit])))+(SUM(IF((CsDJ[Date]=$A$4)*(CsDJ[Ofc Code]=(TRIM(J$7)))*(CsDJ[Account Code]=(TRIM($D27))),CsDJ[Credit])))+(SUM(IF((CRDJ[Date]=$A$4)*(CRDJ[Ofc Code]=(TRIM(J$7)))*(CRDJ[Account Code]=(TRIM($D27))),CRDJ[Credit])))+(SUM(IF((GJ[Date]=$A$4)*(GJ[Ofc Code]=(TRIM(J$7)))*(GJ[Account Code]=(TRIM($D27))),GJ[Credit])))-(SUM(IF((CkDJ[Date]=$A$4)*(CkDJ[Ofc Code]=(TRIM(J$7)))*(CkDJ[Account Code]=(TRIM($D27))),CkDJ[Debit])))+(SUM(IF((CsDJ[Date]=$A$4)*(CsDJ[Ofc Code]=(TRIM(J$7)))*(CsDJ[Account Code]=(TRIM($D27))),CsDJ[Debit])))+(SUM(IF((CRDJ[Date]=$A$4)*(CRDJ[Ofc Code]=(TRIM(J$7)))*(CRDJ[Account Code]=(TRIM($D27))),CRDJ[Debit])))+(SUM(IF((GJ[Date]=$A$4)*(GJ[Ofc Code]=(TRIM(J$7)))*(GJ[Account Code]=(TRIM($D27))),GJ[Debit])))</f>
        <v>0</v>
      </c>
      <c r="K27" s="211">
        <f t="array" ref="K27">(SUM(IF((CkDJ[Date]=$A$4)*(CkDJ[Ofc Code]=(TRIM(K$7)))*(CkDJ[Account Code]=(TRIM($D27))),CkDJ[Credit])))+(SUM(IF((CsDJ[Date]=$A$4)*(CsDJ[Ofc Code]=(TRIM(K$7)))*(CsDJ[Account Code]=(TRIM($D27))),CsDJ[Credit])))+(SUM(IF((CRDJ[Date]=$A$4)*(CRDJ[Ofc Code]=(TRIM(K$7)))*(CRDJ[Account Code]=(TRIM($D27))),CRDJ[Credit])))+(SUM(IF((GJ[Date]=$A$4)*(GJ[Ofc Code]=(TRIM(K$7)))*(GJ[Account Code]=(TRIM($D27))),GJ[Credit])))-(SUM(IF((CkDJ[Date]=$A$4)*(CkDJ[Ofc Code]=(TRIM(K$7)))*(CkDJ[Account Code]=(TRIM($D27))),CkDJ[Debit])))+(SUM(IF((CsDJ[Date]=$A$4)*(CsDJ[Ofc Code]=(TRIM(K$7)))*(CsDJ[Account Code]=(TRIM($D27))),CsDJ[Debit])))+(SUM(IF((CRDJ[Date]=$A$4)*(CRDJ[Ofc Code]=(TRIM(K$7)))*(CRDJ[Account Code]=(TRIM($D27))),CRDJ[Debit])))+(SUM(IF((GJ[Date]=$A$4)*(GJ[Ofc Code]=(TRIM(K$7)))*(GJ[Account Code]=(TRIM($D27))),GJ[Debit])))</f>
        <v>0</v>
      </c>
      <c r="L27" s="211">
        <f t="array" ref="L27">(SUM(IF((CkDJ[Date]=$A$4)*(CkDJ[Ofc Code]=(TRIM(L$7)))*(CkDJ[Account Code]=(TRIM($D27))),CkDJ[Credit])))+(SUM(IF((CsDJ[Date]=$A$4)*(CsDJ[Ofc Code]=(TRIM(L$7)))*(CsDJ[Account Code]=(TRIM($D27))),CsDJ[Credit])))+(SUM(IF((CRDJ[Date]=$A$4)*(CRDJ[Ofc Code]=(TRIM(L$7)))*(CRDJ[Account Code]=(TRIM($D27))),CRDJ[Credit])))+(SUM(IF((GJ[Date]=$A$4)*(GJ[Ofc Code]=(TRIM(L$7)))*(GJ[Account Code]=(TRIM($D27))),GJ[Credit])))-(SUM(IF((CkDJ[Date]=$A$4)*(CkDJ[Ofc Code]=(TRIM(L$7)))*(CkDJ[Account Code]=(TRIM($D27))),CkDJ[Debit])))+(SUM(IF((CsDJ[Date]=$A$4)*(CsDJ[Ofc Code]=(TRIM(L$7)))*(CsDJ[Account Code]=(TRIM($D27))),CsDJ[Debit])))+(SUM(IF((CRDJ[Date]=$A$4)*(CRDJ[Ofc Code]=(TRIM(L$7)))*(CRDJ[Account Code]=(TRIM($D27))),CRDJ[Debit])))+(SUM(IF((GJ[Date]=$A$4)*(GJ[Ofc Code]=(TRIM(L$7)))*(GJ[Account Code]=(TRIM($D27))),GJ[Debit])))</f>
        <v>0</v>
      </c>
      <c r="M27" s="211">
        <f t="array" ref="M27">(SUM(IF((CkDJ[Date]=$A$4)*(CkDJ[Ofc Code]=(TRIM(M$7)))*(CkDJ[Account Code]=(TRIM($D27))),CkDJ[Credit])))+(SUM(IF((CsDJ[Date]=$A$4)*(CsDJ[Ofc Code]=(TRIM(M$7)))*(CsDJ[Account Code]=(TRIM($D27))),CsDJ[Credit])))+(SUM(IF((CRDJ[Date]=$A$4)*(CRDJ[Ofc Code]=(TRIM(M$7)))*(CRDJ[Account Code]=(TRIM($D27))),CRDJ[Credit])))+(SUM(IF((GJ[Date]=$A$4)*(GJ[Ofc Code]=(TRIM(M$7)))*(GJ[Account Code]=(TRIM($D27))),GJ[Credit])))-(SUM(IF((CkDJ[Date]=$A$4)*(CkDJ[Ofc Code]=(TRIM(M$7)))*(CkDJ[Account Code]=(TRIM($D27))),CkDJ[Debit])))+(SUM(IF((CsDJ[Date]=$A$4)*(CsDJ[Ofc Code]=(TRIM(M$7)))*(CsDJ[Account Code]=(TRIM($D27))),CsDJ[Debit])))+(SUM(IF((CRDJ[Date]=$A$4)*(CRDJ[Ofc Code]=(TRIM(M$7)))*(CRDJ[Account Code]=(TRIM($D27))),CRDJ[Debit])))+(SUM(IF((GJ[Date]=$A$4)*(GJ[Ofc Code]=(TRIM(M$7)))*(GJ[Account Code]=(TRIM($D27))),GJ[Debit])))</f>
        <v>0</v>
      </c>
      <c r="N27" s="211">
        <f>SUM(J27:M27)</f>
        <v>0</v>
      </c>
      <c r="O27" s="211">
        <f t="array" ref="O27">(SUM(IF((CkDJ[Date]=$A$4)*(CkDJ[Ofc Code]=(TRIM(O$7)))*(CkDJ[Account Code]=(TRIM($D27))),CkDJ[Credit])))+(SUM(IF((CsDJ[Date]=$A$4)*(CsDJ[Ofc Code]=(TRIM(O$7)))*(CsDJ[Account Code]=(TRIM($D27))),CsDJ[Credit])))+(SUM(IF((CRDJ[Date]=$A$4)*(CRDJ[Ofc Code]=(TRIM(O$7)))*(CRDJ[Account Code]=(TRIM($D27))),CRDJ[Credit])))+(SUM(IF((GJ[Date]=$A$4)*(GJ[Ofc Code]=(TRIM(O$7)))*(GJ[Account Code]=(TRIM($D27))),GJ[Credit])))-(SUM(IF((CkDJ[Date]=$A$4)*(CkDJ[Ofc Code]=(TRIM(O$7)))*(CkDJ[Account Code]=(TRIM($D27))),CkDJ[Debit])))+(SUM(IF((CsDJ[Date]=$A$4)*(CsDJ[Ofc Code]=(TRIM(O$7)))*(CsDJ[Account Code]=(TRIM($D27))),CsDJ[Debit])))+(SUM(IF((CRDJ[Date]=$A$4)*(CRDJ[Ofc Code]=(TRIM(O$7)))*(CRDJ[Account Code]=(TRIM($D27))),CRDJ[Debit])))+(SUM(IF((GJ[Date]=$A$4)*(GJ[Ofc Code]=(TRIM(O$7)))*(GJ[Account Code]=(TRIM($D27))),GJ[Debit])))</f>
        <v>0</v>
      </c>
      <c r="P27" s="211">
        <f t="array" ref="P27">(SUM(IF((CkDJ[Date]=$A$4)*(CkDJ[Ofc Code]=(TRIM(P$7)))*(CkDJ[Account Code]=(TRIM($D27))),CkDJ[Credit])))+(SUM(IF((CsDJ[Date]=$A$4)*(CsDJ[Ofc Code]=(TRIM(P$7)))*(CsDJ[Account Code]=(TRIM($D27))),CsDJ[Credit])))+(SUM(IF((CRDJ[Date]=$A$4)*(CRDJ[Ofc Code]=(TRIM(P$7)))*(CRDJ[Account Code]=(TRIM($D27))),CRDJ[Credit])))+(SUM(IF((GJ[Date]=$A$4)*(GJ[Ofc Code]=(TRIM(P$7)))*(GJ[Account Code]=(TRIM($D27))),GJ[Credit])))-(SUM(IF((CkDJ[Date]=$A$4)*(CkDJ[Ofc Code]=(TRIM(P$7)))*(CkDJ[Account Code]=(TRIM($D27))),CkDJ[Debit])))+(SUM(IF((CsDJ[Date]=$A$4)*(CsDJ[Ofc Code]=(TRIM(P$7)))*(CsDJ[Account Code]=(TRIM($D27))),CsDJ[Debit])))+(SUM(IF((CRDJ[Date]=$A$4)*(CRDJ[Ofc Code]=(TRIM(P$7)))*(CRDJ[Account Code]=(TRIM($D27))),CRDJ[Debit])))+(SUM(IF((GJ[Date]=$A$4)*(GJ[Ofc Code]=(TRIM(P$7)))*(GJ[Account Code]=(TRIM($D27))),GJ[Debit])))</f>
        <v>0</v>
      </c>
      <c r="Q27" s="211">
        <f t="array" ref="Q27">(SUM(IF((CkDJ[Date]=$A$4)*(CkDJ[Ofc Code]=(TRIM(Q$7)))*(CkDJ[Account Code]=(TRIM($D27))),CkDJ[Credit])))+(SUM(IF((CsDJ[Date]=$A$4)*(CsDJ[Ofc Code]=(TRIM(Q$7)))*(CsDJ[Account Code]=(TRIM($D27))),CsDJ[Credit])))+(SUM(IF((CRDJ[Date]=$A$4)*(CRDJ[Ofc Code]=(TRIM(Q$7)))*(CRDJ[Account Code]=(TRIM($D27))),CRDJ[Credit])))+(SUM(IF((GJ[Date]=$A$4)*(GJ[Ofc Code]=(TRIM(Q$7)))*(GJ[Account Code]=(TRIM($D27))),GJ[Credit])))-(SUM(IF((CkDJ[Date]=$A$4)*(CkDJ[Ofc Code]=(TRIM(Q$7)))*(CkDJ[Account Code]=(TRIM($D27))),CkDJ[Debit])))+(SUM(IF((CsDJ[Date]=$A$4)*(CsDJ[Ofc Code]=(TRIM(Q$7)))*(CsDJ[Account Code]=(TRIM($D27))),CsDJ[Debit])))+(SUM(IF((CRDJ[Date]=$A$4)*(CRDJ[Ofc Code]=(TRIM(Q$7)))*(CRDJ[Account Code]=(TRIM($D27))),CRDJ[Debit])))+(SUM(IF((GJ[Date]=$A$4)*(GJ[Ofc Code]=(TRIM(Q$7)))*(GJ[Account Code]=(TRIM($D27))),GJ[Debit])))</f>
        <v>0</v>
      </c>
      <c r="R27" s="211">
        <f t="array" ref="R27">(SUM(IF((CkDJ[Date]=$A$4)*(CkDJ[Ofc Code]=(TRIM(R$7)))*(CkDJ[Account Code]=(TRIM($D27))),CkDJ[Credit])))+(SUM(IF((CsDJ[Date]=$A$4)*(CsDJ[Ofc Code]=(TRIM(R$7)))*(CsDJ[Account Code]=(TRIM($D27))),CsDJ[Credit])))+(SUM(IF((CRDJ[Date]=$A$4)*(CRDJ[Ofc Code]=(TRIM(R$7)))*(CRDJ[Account Code]=(TRIM($D27))),CRDJ[Credit])))+(SUM(IF((GJ[Date]=$A$4)*(GJ[Ofc Code]=(TRIM(R$7)))*(GJ[Account Code]=(TRIM($D27))),GJ[Credit])))-(SUM(IF((CkDJ[Date]=$A$4)*(CkDJ[Ofc Code]=(TRIM(R$7)))*(CkDJ[Account Code]=(TRIM($D27))),CkDJ[Debit])))+(SUM(IF((CsDJ[Date]=$A$4)*(CsDJ[Ofc Code]=(TRIM(R$7)))*(CsDJ[Account Code]=(TRIM($D27))),CsDJ[Debit])))+(SUM(IF((CRDJ[Date]=$A$4)*(CRDJ[Ofc Code]=(TRIM(R$7)))*(CRDJ[Account Code]=(TRIM($D27))),CRDJ[Debit])))+(SUM(IF((GJ[Date]=$A$4)*(GJ[Ofc Code]=(TRIM(R$7)))*(GJ[Account Code]=(TRIM($D27))),GJ[Debit])))</f>
        <v>0</v>
      </c>
      <c r="S27" s="211">
        <f t="array" ref="S27">(SUM(IF((CkDJ[Date]=$A$4)*(CkDJ[Ofc Code]=(TRIM(S$7)))*(CkDJ[Account Code]=(TRIM($D27))),CkDJ[Credit])))+(SUM(IF((CsDJ[Date]=$A$4)*(CsDJ[Ofc Code]=(TRIM(S$7)))*(CsDJ[Account Code]=(TRIM($D27))),CsDJ[Credit])))+(SUM(IF((CRDJ[Date]=$A$4)*(CRDJ[Ofc Code]=(TRIM(S$7)))*(CRDJ[Account Code]=(TRIM($D27))),CRDJ[Credit])))+(SUM(IF((GJ[Date]=$A$4)*(GJ[Ofc Code]=(TRIM(S$7)))*(GJ[Account Code]=(TRIM($D27))),GJ[Credit])))-(SUM(IF((CkDJ[Date]=$A$4)*(CkDJ[Ofc Code]=(TRIM(S$7)))*(CkDJ[Account Code]=(TRIM($D27))),CkDJ[Debit])))+(SUM(IF((CsDJ[Date]=$A$4)*(CsDJ[Ofc Code]=(TRIM(S$7)))*(CsDJ[Account Code]=(TRIM($D27))),CsDJ[Debit])))+(SUM(IF((CRDJ[Date]=$A$4)*(CRDJ[Ofc Code]=(TRIM(S$7)))*(CRDJ[Account Code]=(TRIM($D27))),CRDJ[Debit])))+(SUM(IF((GJ[Date]=$A$4)*(GJ[Ofc Code]=(TRIM(S$7)))*(GJ[Account Code]=(TRIM($D27))),GJ[Debit])))</f>
        <v>0</v>
      </c>
      <c r="T27" s="211">
        <f>SUM(O27:S27)</f>
        <v>0</v>
      </c>
      <c r="U27" s="211">
        <f>E27+I27+N27+T27</f>
        <v>0</v>
      </c>
    </row>
    <row r="28" spans="1:21" ht="15" x14ac:dyDescent="0.25">
      <c r="A28" s="212">
        <f t="shared" si="5"/>
        <v>20</v>
      </c>
      <c r="B28" s="194"/>
      <c r="C28" s="194" t="str">
        <f t="shared" si="0"/>
        <v>Miscellaneous Income (Scrap of Fixed Assets)</v>
      </c>
      <c r="D28" s="207" t="s">
        <v>159</v>
      </c>
      <c r="E28" s="211">
        <f t="array" ref="E28">(SUM(IF((CkDJ[Date]=$A$4)*(CkDJ[Ofc Code]=(TRIM(E$7)))*(CkDJ[Account Code]=(TRIM($D28))),CkDJ[Credit])))+(SUM(IF((CsDJ[Date]=$A$4)*(CsDJ[Ofc Code]=(TRIM(E$7)))*(CsDJ[Account Code]=(TRIM($D28))),CsDJ[Credit])))+(SUM(IF((CRDJ[Date]=$A$4)*(CRDJ[Ofc Code]=(TRIM(E$7)))*(CRDJ[Account Code]=(TRIM($D28))),CRDJ[Credit])))+(SUM(IF((GJ[Date]=$A$4)*(GJ[Ofc Code]=(TRIM(E$7)))*(GJ[Account Code]=(TRIM($D28))),GJ[Credit])))-(SUM(IF((CkDJ[Date]=$A$4)*(CkDJ[Ofc Code]=(TRIM(E$7)))*(CkDJ[Account Code]=(TRIM($D28))),CkDJ[Debit])))+(SUM(IF((CsDJ[Date]=$A$4)*(CsDJ[Ofc Code]=(TRIM(E$7)))*(CsDJ[Account Code]=(TRIM($D28))),CsDJ[Debit])))+(SUM(IF((CRDJ[Date]=$A$4)*(CRDJ[Ofc Code]=(TRIM(E$7)))*(CRDJ[Account Code]=(TRIM($D28))),CRDJ[Debit])))+(SUM(IF((GJ[Date]=$A$4)*(GJ[Ofc Code]=(TRIM(E$7)))*(GJ[Account Code]=(TRIM($D28))),GJ[Debit])))</f>
        <v>0</v>
      </c>
      <c r="F28" s="211">
        <f t="array" ref="F28">(SUM(IF((CkDJ[Date]=$A$4)*(CkDJ[Ofc Code]=(TRIM(F$7)))*(CkDJ[Account Code]=(TRIM($D28))),CkDJ[Credit])))+(SUM(IF((CsDJ[Date]=$A$4)*(CsDJ[Ofc Code]=(TRIM(F$7)))*(CsDJ[Account Code]=(TRIM($D28))),CsDJ[Credit])))+(SUM(IF((CRDJ[Date]=$A$4)*(CRDJ[Ofc Code]=(TRIM(F$7)))*(CRDJ[Account Code]=(TRIM($D28))),CRDJ[Credit])))+(SUM(IF((GJ[Date]=$A$4)*(GJ[Ofc Code]=(TRIM(F$7)))*(GJ[Account Code]=(TRIM($D28))),GJ[Credit])))-(SUM(IF((CkDJ[Date]=$A$4)*(CkDJ[Ofc Code]=(TRIM(F$7)))*(CkDJ[Account Code]=(TRIM($D28))),CkDJ[Debit])))+(SUM(IF((CsDJ[Date]=$A$4)*(CsDJ[Ofc Code]=(TRIM(F$7)))*(CsDJ[Account Code]=(TRIM($D28))),CsDJ[Debit])))+(SUM(IF((CRDJ[Date]=$A$4)*(CRDJ[Ofc Code]=(TRIM(F$7)))*(CRDJ[Account Code]=(TRIM($D28))),CRDJ[Debit])))+(SUM(IF((GJ[Date]=$A$4)*(GJ[Ofc Code]=(TRIM(F$7)))*(GJ[Account Code]=(TRIM($D28))),GJ[Debit])))</f>
        <v>0</v>
      </c>
      <c r="G28" s="211">
        <f t="array" ref="G28">(SUM(IF((CkDJ[Date]=$A$4)*(CkDJ[Ofc Code]=(TRIM(G$7)))*(CkDJ[Account Code]=(TRIM($D28))),CkDJ[Credit])))+(SUM(IF((CsDJ[Date]=$A$4)*(CsDJ[Ofc Code]=(TRIM(G$7)))*(CsDJ[Account Code]=(TRIM($D28))),CsDJ[Credit])))+(SUM(IF((CRDJ[Date]=$A$4)*(CRDJ[Ofc Code]=(TRIM(G$7)))*(CRDJ[Account Code]=(TRIM($D28))),CRDJ[Credit])))+(SUM(IF((GJ[Date]=$A$4)*(GJ[Ofc Code]=(TRIM(G$7)))*(GJ[Account Code]=(TRIM($D28))),GJ[Credit])))-(SUM(IF((CkDJ[Date]=$A$4)*(CkDJ[Ofc Code]=(TRIM(G$7)))*(CkDJ[Account Code]=(TRIM($D28))),CkDJ[Debit])))+(SUM(IF((CsDJ[Date]=$A$4)*(CsDJ[Ofc Code]=(TRIM(G$7)))*(CsDJ[Account Code]=(TRIM($D28))),CsDJ[Debit])))+(SUM(IF((CRDJ[Date]=$A$4)*(CRDJ[Ofc Code]=(TRIM(G$7)))*(CRDJ[Account Code]=(TRIM($D28))),CRDJ[Debit])))+(SUM(IF((GJ[Date]=$A$4)*(GJ[Ofc Code]=(TRIM(G$7)))*(GJ[Account Code]=(TRIM($D28))),GJ[Debit])))</f>
        <v>0</v>
      </c>
      <c r="H28" s="211">
        <f t="array" ref="H28">(SUM(IF((CkDJ[Date]=$A$4)*(CkDJ[Ofc Code]=(TRIM(H$7)))*(CkDJ[Account Code]=(TRIM($D28))),CkDJ[Credit])))+(SUM(IF((CsDJ[Date]=$A$4)*(CsDJ[Ofc Code]=(TRIM(H$7)))*(CsDJ[Account Code]=(TRIM($D28))),CsDJ[Credit])))+(SUM(IF((CRDJ[Date]=$A$4)*(CRDJ[Ofc Code]=(TRIM(H$7)))*(CRDJ[Account Code]=(TRIM($D28))),CRDJ[Credit])))+(SUM(IF((GJ[Date]=$A$4)*(GJ[Ofc Code]=(TRIM(H$7)))*(GJ[Account Code]=(TRIM($D28))),GJ[Credit])))-(SUM(IF((CkDJ[Date]=$A$4)*(CkDJ[Ofc Code]=(TRIM(H$7)))*(CkDJ[Account Code]=(TRIM($D28))),CkDJ[Debit])))+(SUM(IF((CsDJ[Date]=$A$4)*(CsDJ[Ofc Code]=(TRIM(H$7)))*(CsDJ[Account Code]=(TRIM($D28))),CsDJ[Debit])))+(SUM(IF((CRDJ[Date]=$A$4)*(CRDJ[Ofc Code]=(TRIM(H$7)))*(CRDJ[Account Code]=(TRIM($D28))),CRDJ[Debit])))+(SUM(IF((GJ[Date]=$A$4)*(GJ[Ofc Code]=(TRIM(H$7)))*(GJ[Account Code]=(TRIM($D28))),GJ[Debit])))</f>
        <v>0</v>
      </c>
      <c r="I28" s="211">
        <f t="shared" si="1"/>
        <v>0</v>
      </c>
      <c r="J28" s="211">
        <f t="array" ref="J28">(SUM(IF((CkDJ[Date]=$A$4)*(CkDJ[Ofc Code]=(TRIM(J$7)))*(CkDJ[Account Code]=(TRIM($D28))),CkDJ[Credit])))+(SUM(IF((CsDJ[Date]=$A$4)*(CsDJ[Ofc Code]=(TRIM(J$7)))*(CsDJ[Account Code]=(TRIM($D28))),CsDJ[Credit])))+(SUM(IF((CRDJ[Date]=$A$4)*(CRDJ[Ofc Code]=(TRIM(J$7)))*(CRDJ[Account Code]=(TRIM($D28))),CRDJ[Credit])))+(SUM(IF((GJ[Date]=$A$4)*(GJ[Ofc Code]=(TRIM(J$7)))*(GJ[Account Code]=(TRIM($D28))),GJ[Credit])))-(SUM(IF((CkDJ[Date]=$A$4)*(CkDJ[Ofc Code]=(TRIM(J$7)))*(CkDJ[Account Code]=(TRIM($D28))),CkDJ[Debit])))+(SUM(IF((CsDJ[Date]=$A$4)*(CsDJ[Ofc Code]=(TRIM(J$7)))*(CsDJ[Account Code]=(TRIM($D28))),CsDJ[Debit])))+(SUM(IF((CRDJ[Date]=$A$4)*(CRDJ[Ofc Code]=(TRIM(J$7)))*(CRDJ[Account Code]=(TRIM($D28))),CRDJ[Debit])))+(SUM(IF((GJ[Date]=$A$4)*(GJ[Ofc Code]=(TRIM(J$7)))*(GJ[Account Code]=(TRIM($D28))),GJ[Debit])))</f>
        <v>0</v>
      </c>
      <c r="K28" s="211">
        <f t="array" ref="K28">(SUM(IF((CkDJ[Date]=$A$4)*(CkDJ[Ofc Code]=(TRIM(K$7)))*(CkDJ[Account Code]=(TRIM($D28))),CkDJ[Credit])))+(SUM(IF((CsDJ[Date]=$A$4)*(CsDJ[Ofc Code]=(TRIM(K$7)))*(CsDJ[Account Code]=(TRIM($D28))),CsDJ[Credit])))+(SUM(IF((CRDJ[Date]=$A$4)*(CRDJ[Ofc Code]=(TRIM(K$7)))*(CRDJ[Account Code]=(TRIM($D28))),CRDJ[Credit])))+(SUM(IF((GJ[Date]=$A$4)*(GJ[Ofc Code]=(TRIM(K$7)))*(GJ[Account Code]=(TRIM($D28))),GJ[Credit])))-(SUM(IF((CkDJ[Date]=$A$4)*(CkDJ[Ofc Code]=(TRIM(K$7)))*(CkDJ[Account Code]=(TRIM($D28))),CkDJ[Debit])))+(SUM(IF((CsDJ[Date]=$A$4)*(CsDJ[Ofc Code]=(TRIM(K$7)))*(CsDJ[Account Code]=(TRIM($D28))),CsDJ[Debit])))+(SUM(IF((CRDJ[Date]=$A$4)*(CRDJ[Ofc Code]=(TRIM(K$7)))*(CRDJ[Account Code]=(TRIM($D28))),CRDJ[Debit])))+(SUM(IF((GJ[Date]=$A$4)*(GJ[Ofc Code]=(TRIM(K$7)))*(GJ[Account Code]=(TRIM($D28))),GJ[Debit])))</f>
        <v>0</v>
      </c>
      <c r="L28" s="211">
        <f t="array" ref="L28">(SUM(IF((CkDJ[Date]=$A$4)*(CkDJ[Ofc Code]=(TRIM(L$7)))*(CkDJ[Account Code]=(TRIM($D28))),CkDJ[Credit])))+(SUM(IF((CsDJ[Date]=$A$4)*(CsDJ[Ofc Code]=(TRIM(L$7)))*(CsDJ[Account Code]=(TRIM($D28))),CsDJ[Credit])))+(SUM(IF((CRDJ[Date]=$A$4)*(CRDJ[Ofc Code]=(TRIM(L$7)))*(CRDJ[Account Code]=(TRIM($D28))),CRDJ[Credit])))+(SUM(IF((GJ[Date]=$A$4)*(GJ[Ofc Code]=(TRIM(L$7)))*(GJ[Account Code]=(TRIM($D28))),GJ[Credit])))-(SUM(IF((CkDJ[Date]=$A$4)*(CkDJ[Ofc Code]=(TRIM(L$7)))*(CkDJ[Account Code]=(TRIM($D28))),CkDJ[Debit])))+(SUM(IF((CsDJ[Date]=$A$4)*(CsDJ[Ofc Code]=(TRIM(L$7)))*(CsDJ[Account Code]=(TRIM($D28))),CsDJ[Debit])))+(SUM(IF((CRDJ[Date]=$A$4)*(CRDJ[Ofc Code]=(TRIM(L$7)))*(CRDJ[Account Code]=(TRIM($D28))),CRDJ[Debit])))+(SUM(IF((GJ[Date]=$A$4)*(GJ[Ofc Code]=(TRIM(L$7)))*(GJ[Account Code]=(TRIM($D28))),GJ[Debit])))</f>
        <v>0</v>
      </c>
      <c r="M28" s="211">
        <f t="array" ref="M28">(SUM(IF((CkDJ[Date]=$A$4)*(CkDJ[Ofc Code]=(TRIM(M$7)))*(CkDJ[Account Code]=(TRIM($D28))),CkDJ[Credit])))+(SUM(IF((CsDJ[Date]=$A$4)*(CsDJ[Ofc Code]=(TRIM(M$7)))*(CsDJ[Account Code]=(TRIM($D28))),CsDJ[Credit])))+(SUM(IF((CRDJ[Date]=$A$4)*(CRDJ[Ofc Code]=(TRIM(M$7)))*(CRDJ[Account Code]=(TRIM($D28))),CRDJ[Credit])))+(SUM(IF((GJ[Date]=$A$4)*(GJ[Ofc Code]=(TRIM(M$7)))*(GJ[Account Code]=(TRIM($D28))),GJ[Credit])))-(SUM(IF((CkDJ[Date]=$A$4)*(CkDJ[Ofc Code]=(TRIM(M$7)))*(CkDJ[Account Code]=(TRIM($D28))),CkDJ[Debit])))+(SUM(IF((CsDJ[Date]=$A$4)*(CsDJ[Ofc Code]=(TRIM(M$7)))*(CsDJ[Account Code]=(TRIM($D28))),CsDJ[Debit])))+(SUM(IF((CRDJ[Date]=$A$4)*(CRDJ[Ofc Code]=(TRIM(M$7)))*(CRDJ[Account Code]=(TRIM($D28))),CRDJ[Debit])))+(SUM(IF((GJ[Date]=$A$4)*(GJ[Ofc Code]=(TRIM(M$7)))*(GJ[Account Code]=(TRIM($D28))),GJ[Debit])))</f>
        <v>0</v>
      </c>
      <c r="N28" s="211">
        <f t="shared" si="2"/>
        <v>0</v>
      </c>
      <c r="O28" s="211">
        <f t="array" ref="O28">(SUM(IF((CkDJ[Date]=$A$4)*(CkDJ[Ofc Code]=(TRIM(O$7)))*(CkDJ[Account Code]=(TRIM($D28))),CkDJ[Credit])))+(SUM(IF((CsDJ[Date]=$A$4)*(CsDJ[Ofc Code]=(TRIM(O$7)))*(CsDJ[Account Code]=(TRIM($D28))),CsDJ[Credit])))+(SUM(IF((CRDJ[Date]=$A$4)*(CRDJ[Ofc Code]=(TRIM(O$7)))*(CRDJ[Account Code]=(TRIM($D28))),CRDJ[Credit])))+(SUM(IF((GJ[Date]=$A$4)*(GJ[Ofc Code]=(TRIM(O$7)))*(GJ[Account Code]=(TRIM($D28))),GJ[Credit])))-(SUM(IF((CkDJ[Date]=$A$4)*(CkDJ[Ofc Code]=(TRIM(O$7)))*(CkDJ[Account Code]=(TRIM($D28))),CkDJ[Debit])))+(SUM(IF((CsDJ[Date]=$A$4)*(CsDJ[Ofc Code]=(TRIM(O$7)))*(CsDJ[Account Code]=(TRIM($D28))),CsDJ[Debit])))+(SUM(IF((CRDJ[Date]=$A$4)*(CRDJ[Ofc Code]=(TRIM(O$7)))*(CRDJ[Account Code]=(TRIM($D28))),CRDJ[Debit])))+(SUM(IF((GJ[Date]=$A$4)*(GJ[Ofc Code]=(TRIM(O$7)))*(GJ[Account Code]=(TRIM($D28))),GJ[Debit])))</f>
        <v>0</v>
      </c>
      <c r="P28" s="211">
        <f t="array" ref="P28">(SUM(IF((CkDJ[Date]=$A$4)*(CkDJ[Ofc Code]=(TRIM(P$7)))*(CkDJ[Account Code]=(TRIM($D28))),CkDJ[Credit])))+(SUM(IF((CsDJ[Date]=$A$4)*(CsDJ[Ofc Code]=(TRIM(P$7)))*(CsDJ[Account Code]=(TRIM($D28))),CsDJ[Credit])))+(SUM(IF((CRDJ[Date]=$A$4)*(CRDJ[Ofc Code]=(TRIM(P$7)))*(CRDJ[Account Code]=(TRIM($D28))),CRDJ[Credit])))+(SUM(IF((GJ[Date]=$A$4)*(GJ[Ofc Code]=(TRIM(P$7)))*(GJ[Account Code]=(TRIM($D28))),GJ[Credit])))-(SUM(IF((CkDJ[Date]=$A$4)*(CkDJ[Ofc Code]=(TRIM(P$7)))*(CkDJ[Account Code]=(TRIM($D28))),CkDJ[Debit])))+(SUM(IF((CsDJ[Date]=$A$4)*(CsDJ[Ofc Code]=(TRIM(P$7)))*(CsDJ[Account Code]=(TRIM($D28))),CsDJ[Debit])))+(SUM(IF((CRDJ[Date]=$A$4)*(CRDJ[Ofc Code]=(TRIM(P$7)))*(CRDJ[Account Code]=(TRIM($D28))),CRDJ[Debit])))+(SUM(IF((GJ[Date]=$A$4)*(GJ[Ofc Code]=(TRIM(P$7)))*(GJ[Account Code]=(TRIM($D28))),GJ[Debit])))</f>
        <v>0</v>
      </c>
      <c r="Q28" s="211">
        <f t="array" ref="Q28">(SUM(IF((CkDJ[Date]=$A$4)*(CkDJ[Ofc Code]=(TRIM(Q$7)))*(CkDJ[Account Code]=(TRIM($D28))),CkDJ[Credit])))+(SUM(IF((CsDJ[Date]=$A$4)*(CsDJ[Ofc Code]=(TRIM(Q$7)))*(CsDJ[Account Code]=(TRIM($D28))),CsDJ[Credit])))+(SUM(IF((CRDJ[Date]=$A$4)*(CRDJ[Ofc Code]=(TRIM(Q$7)))*(CRDJ[Account Code]=(TRIM($D28))),CRDJ[Credit])))+(SUM(IF((GJ[Date]=$A$4)*(GJ[Ofc Code]=(TRIM(Q$7)))*(GJ[Account Code]=(TRIM($D28))),GJ[Credit])))-(SUM(IF((CkDJ[Date]=$A$4)*(CkDJ[Ofc Code]=(TRIM(Q$7)))*(CkDJ[Account Code]=(TRIM($D28))),CkDJ[Debit])))+(SUM(IF((CsDJ[Date]=$A$4)*(CsDJ[Ofc Code]=(TRIM(Q$7)))*(CsDJ[Account Code]=(TRIM($D28))),CsDJ[Debit])))+(SUM(IF((CRDJ[Date]=$A$4)*(CRDJ[Ofc Code]=(TRIM(Q$7)))*(CRDJ[Account Code]=(TRIM($D28))),CRDJ[Debit])))+(SUM(IF((GJ[Date]=$A$4)*(GJ[Ofc Code]=(TRIM(Q$7)))*(GJ[Account Code]=(TRIM($D28))),GJ[Debit])))</f>
        <v>0</v>
      </c>
      <c r="R28" s="211">
        <f t="array" ref="R28">(SUM(IF((CkDJ[Date]=$A$4)*(CkDJ[Ofc Code]=(TRIM(R$7)))*(CkDJ[Account Code]=(TRIM($D28))),CkDJ[Credit])))+(SUM(IF((CsDJ[Date]=$A$4)*(CsDJ[Ofc Code]=(TRIM(R$7)))*(CsDJ[Account Code]=(TRIM($D28))),CsDJ[Credit])))+(SUM(IF((CRDJ[Date]=$A$4)*(CRDJ[Ofc Code]=(TRIM(R$7)))*(CRDJ[Account Code]=(TRIM($D28))),CRDJ[Credit])))+(SUM(IF((GJ[Date]=$A$4)*(GJ[Ofc Code]=(TRIM(R$7)))*(GJ[Account Code]=(TRIM($D28))),GJ[Credit])))-(SUM(IF((CkDJ[Date]=$A$4)*(CkDJ[Ofc Code]=(TRIM(R$7)))*(CkDJ[Account Code]=(TRIM($D28))),CkDJ[Debit])))+(SUM(IF((CsDJ[Date]=$A$4)*(CsDJ[Ofc Code]=(TRIM(R$7)))*(CsDJ[Account Code]=(TRIM($D28))),CsDJ[Debit])))+(SUM(IF((CRDJ[Date]=$A$4)*(CRDJ[Ofc Code]=(TRIM(R$7)))*(CRDJ[Account Code]=(TRIM($D28))),CRDJ[Debit])))+(SUM(IF((GJ[Date]=$A$4)*(GJ[Ofc Code]=(TRIM(R$7)))*(GJ[Account Code]=(TRIM($D28))),GJ[Debit])))</f>
        <v>0</v>
      </c>
      <c r="S28" s="211">
        <f t="array" ref="S28">(SUM(IF((CkDJ[Date]=$A$4)*(CkDJ[Ofc Code]=(TRIM(S$7)))*(CkDJ[Account Code]=(TRIM($D28))),CkDJ[Credit])))+(SUM(IF((CsDJ[Date]=$A$4)*(CsDJ[Ofc Code]=(TRIM(S$7)))*(CsDJ[Account Code]=(TRIM($D28))),CsDJ[Credit])))+(SUM(IF((CRDJ[Date]=$A$4)*(CRDJ[Ofc Code]=(TRIM(S$7)))*(CRDJ[Account Code]=(TRIM($D28))),CRDJ[Credit])))+(SUM(IF((GJ[Date]=$A$4)*(GJ[Ofc Code]=(TRIM(S$7)))*(GJ[Account Code]=(TRIM($D28))),GJ[Credit])))-(SUM(IF((CkDJ[Date]=$A$4)*(CkDJ[Ofc Code]=(TRIM(S$7)))*(CkDJ[Account Code]=(TRIM($D28))),CkDJ[Debit])))+(SUM(IF((CsDJ[Date]=$A$4)*(CsDJ[Ofc Code]=(TRIM(S$7)))*(CsDJ[Account Code]=(TRIM($D28))),CsDJ[Debit])))+(SUM(IF((CRDJ[Date]=$A$4)*(CRDJ[Ofc Code]=(TRIM(S$7)))*(CRDJ[Account Code]=(TRIM($D28))),CRDJ[Debit])))+(SUM(IF((GJ[Date]=$A$4)*(GJ[Ofc Code]=(TRIM(S$7)))*(GJ[Account Code]=(TRIM($D28))),GJ[Debit])))</f>
        <v>0</v>
      </c>
      <c r="T28" s="211">
        <f t="shared" si="3"/>
        <v>0</v>
      </c>
      <c r="U28" s="211">
        <f t="shared" si="4"/>
        <v>0</v>
      </c>
    </row>
    <row r="29" spans="1:21" ht="15" x14ac:dyDescent="0.25">
      <c r="A29" s="212">
        <f t="shared" si="5"/>
        <v>21</v>
      </c>
      <c r="B29" s="194"/>
      <c r="C29" s="194" t="str">
        <f t="shared" si="0"/>
        <v>Miscellaneous Income (Others)</v>
      </c>
      <c r="D29" s="207" t="s">
        <v>160</v>
      </c>
      <c r="E29" s="211">
        <f t="array" ref="E29">(SUM(IF((CkDJ[Date]=$A$4)*(CkDJ[Ofc Code]=(TRIM(E$7)))*(CkDJ[Account Code]=(TRIM($D29))),CkDJ[Credit])))+(SUM(IF((CsDJ[Date]=$A$4)*(CsDJ[Ofc Code]=(TRIM(E$7)))*(CsDJ[Account Code]=(TRIM($D29))),CsDJ[Credit])))+(SUM(IF((CRDJ[Date]=$A$4)*(CRDJ[Ofc Code]=(TRIM(E$7)))*(CRDJ[Account Code]=(TRIM($D29))),CRDJ[Credit])))+(SUM(IF((GJ[Date]=$A$4)*(GJ[Ofc Code]=(TRIM(E$7)))*(GJ[Account Code]=(TRIM($D29))),GJ[Credit])))-(SUM(IF((CkDJ[Date]=$A$4)*(CkDJ[Ofc Code]=(TRIM(E$7)))*(CkDJ[Account Code]=(TRIM($D29))),CkDJ[Debit])))+(SUM(IF((CsDJ[Date]=$A$4)*(CsDJ[Ofc Code]=(TRIM(E$7)))*(CsDJ[Account Code]=(TRIM($D29))),CsDJ[Debit])))+(SUM(IF((CRDJ[Date]=$A$4)*(CRDJ[Ofc Code]=(TRIM(E$7)))*(CRDJ[Account Code]=(TRIM($D29))),CRDJ[Debit])))+(SUM(IF((GJ[Date]=$A$4)*(GJ[Ofc Code]=(TRIM(E$7)))*(GJ[Account Code]=(TRIM($D29))),GJ[Debit])))</f>
        <v>0</v>
      </c>
      <c r="F29" s="211">
        <f t="array" ref="F29">(SUM(IF((CkDJ[Date]=$A$4)*(CkDJ[Ofc Code]=(TRIM(F$7)))*(CkDJ[Account Code]=(TRIM($D29))),CkDJ[Credit])))+(SUM(IF((CsDJ[Date]=$A$4)*(CsDJ[Ofc Code]=(TRIM(F$7)))*(CsDJ[Account Code]=(TRIM($D29))),CsDJ[Credit])))+(SUM(IF((CRDJ[Date]=$A$4)*(CRDJ[Ofc Code]=(TRIM(F$7)))*(CRDJ[Account Code]=(TRIM($D29))),CRDJ[Credit])))+(SUM(IF((GJ[Date]=$A$4)*(GJ[Ofc Code]=(TRIM(F$7)))*(GJ[Account Code]=(TRIM($D29))),GJ[Credit])))-(SUM(IF((CkDJ[Date]=$A$4)*(CkDJ[Ofc Code]=(TRIM(F$7)))*(CkDJ[Account Code]=(TRIM($D29))),CkDJ[Debit])))+(SUM(IF((CsDJ[Date]=$A$4)*(CsDJ[Ofc Code]=(TRIM(F$7)))*(CsDJ[Account Code]=(TRIM($D29))),CsDJ[Debit])))+(SUM(IF((CRDJ[Date]=$A$4)*(CRDJ[Ofc Code]=(TRIM(F$7)))*(CRDJ[Account Code]=(TRIM($D29))),CRDJ[Debit])))+(SUM(IF((GJ[Date]=$A$4)*(GJ[Ofc Code]=(TRIM(F$7)))*(GJ[Account Code]=(TRIM($D29))),GJ[Debit])))</f>
        <v>0</v>
      </c>
      <c r="G29" s="211">
        <f t="array" ref="G29">(SUM(IF((CkDJ[Date]=$A$4)*(CkDJ[Ofc Code]=(TRIM(G$7)))*(CkDJ[Account Code]=(TRIM($D29))),CkDJ[Credit])))+(SUM(IF((CsDJ[Date]=$A$4)*(CsDJ[Ofc Code]=(TRIM(G$7)))*(CsDJ[Account Code]=(TRIM($D29))),CsDJ[Credit])))+(SUM(IF((CRDJ[Date]=$A$4)*(CRDJ[Ofc Code]=(TRIM(G$7)))*(CRDJ[Account Code]=(TRIM($D29))),CRDJ[Credit])))+(SUM(IF((GJ[Date]=$A$4)*(GJ[Ofc Code]=(TRIM(G$7)))*(GJ[Account Code]=(TRIM($D29))),GJ[Credit])))-(SUM(IF((CkDJ[Date]=$A$4)*(CkDJ[Ofc Code]=(TRIM(G$7)))*(CkDJ[Account Code]=(TRIM($D29))),CkDJ[Debit])))+(SUM(IF((CsDJ[Date]=$A$4)*(CsDJ[Ofc Code]=(TRIM(G$7)))*(CsDJ[Account Code]=(TRIM($D29))),CsDJ[Debit])))+(SUM(IF((CRDJ[Date]=$A$4)*(CRDJ[Ofc Code]=(TRIM(G$7)))*(CRDJ[Account Code]=(TRIM($D29))),CRDJ[Debit])))+(SUM(IF((GJ[Date]=$A$4)*(GJ[Ofc Code]=(TRIM(G$7)))*(GJ[Account Code]=(TRIM($D29))),GJ[Debit])))</f>
        <v>0</v>
      </c>
      <c r="H29" s="211">
        <f t="array" ref="H29">(SUM(IF((CkDJ[Date]=$A$4)*(CkDJ[Ofc Code]=(TRIM(H$7)))*(CkDJ[Account Code]=(TRIM($D29))),CkDJ[Credit])))+(SUM(IF((CsDJ[Date]=$A$4)*(CsDJ[Ofc Code]=(TRIM(H$7)))*(CsDJ[Account Code]=(TRIM($D29))),CsDJ[Credit])))+(SUM(IF((CRDJ[Date]=$A$4)*(CRDJ[Ofc Code]=(TRIM(H$7)))*(CRDJ[Account Code]=(TRIM($D29))),CRDJ[Credit])))+(SUM(IF((GJ[Date]=$A$4)*(GJ[Ofc Code]=(TRIM(H$7)))*(GJ[Account Code]=(TRIM($D29))),GJ[Credit])))-(SUM(IF((CkDJ[Date]=$A$4)*(CkDJ[Ofc Code]=(TRIM(H$7)))*(CkDJ[Account Code]=(TRIM($D29))),CkDJ[Debit])))+(SUM(IF((CsDJ[Date]=$A$4)*(CsDJ[Ofc Code]=(TRIM(H$7)))*(CsDJ[Account Code]=(TRIM($D29))),CsDJ[Debit])))+(SUM(IF((CRDJ[Date]=$A$4)*(CRDJ[Ofc Code]=(TRIM(H$7)))*(CRDJ[Account Code]=(TRIM($D29))),CRDJ[Debit])))+(SUM(IF((GJ[Date]=$A$4)*(GJ[Ofc Code]=(TRIM(H$7)))*(GJ[Account Code]=(TRIM($D29))),GJ[Debit])))</f>
        <v>0</v>
      </c>
      <c r="I29" s="211">
        <f t="shared" si="1"/>
        <v>0</v>
      </c>
      <c r="J29" s="211">
        <f t="array" ref="J29">(SUM(IF((CkDJ[Date]=$A$4)*(CkDJ[Ofc Code]=(TRIM(J$7)))*(CkDJ[Account Code]=(TRIM($D29))),CkDJ[Credit])))+(SUM(IF((CsDJ[Date]=$A$4)*(CsDJ[Ofc Code]=(TRIM(J$7)))*(CsDJ[Account Code]=(TRIM($D29))),CsDJ[Credit])))+(SUM(IF((CRDJ[Date]=$A$4)*(CRDJ[Ofc Code]=(TRIM(J$7)))*(CRDJ[Account Code]=(TRIM($D29))),CRDJ[Credit])))+(SUM(IF((GJ[Date]=$A$4)*(GJ[Ofc Code]=(TRIM(J$7)))*(GJ[Account Code]=(TRIM($D29))),GJ[Credit])))-(SUM(IF((CkDJ[Date]=$A$4)*(CkDJ[Ofc Code]=(TRIM(J$7)))*(CkDJ[Account Code]=(TRIM($D29))),CkDJ[Debit])))+(SUM(IF((CsDJ[Date]=$A$4)*(CsDJ[Ofc Code]=(TRIM(J$7)))*(CsDJ[Account Code]=(TRIM($D29))),CsDJ[Debit])))+(SUM(IF((CRDJ[Date]=$A$4)*(CRDJ[Ofc Code]=(TRIM(J$7)))*(CRDJ[Account Code]=(TRIM($D29))),CRDJ[Debit])))+(SUM(IF((GJ[Date]=$A$4)*(GJ[Ofc Code]=(TRIM(J$7)))*(GJ[Account Code]=(TRIM($D29))),GJ[Debit])))</f>
        <v>0</v>
      </c>
      <c r="K29" s="211">
        <f t="array" ref="K29">(SUM(IF((CkDJ[Date]=$A$4)*(CkDJ[Ofc Code]=(TRIM(K$7)))*(CkDJ[Account Code]=(TRIM($D29))),CkDJ[Credit])))+(SUM(IF((CsDJ[Date]=$A$4)*(CsDJ[Ofc Code]=(TRIM(K$7)))*(CsDJ[Account Code]=(TRIM($D29))),CsDJ[Credit])))+(SUM(IF((CRDJ[Date]=$A$4)*(CRDJ[Ofc Code]=(TRIM(K$7)))*(CRDJ[Account Code]=(TRIM($D29))),CRDJ[Credit])))+(SUM(IF((GJ[Date]=$A$4)*(GJ[Ofc Code]=(TRIM(K$7)))*(GJ[Account Code]=(TRIM($D29))),GJ[Credit])))-(SUM(IF((CkDJ[Date]=$A$4)*(CkDJ[Ofc Code]=(TRIM(K$7)))*(CkDJ[Account Code]=(TRIM($D29))),CkDJ[Debit])))+(SUM(IF((CsDJ[Date]=$A$4)*(CsDJ[Ofc Code]=(TRIM(K$7)))*(CsDJ[Account Code]=(TRIM($D29))),CsDJ[Debit])))+(SUM(IF((CRDJ[Date]=$A$4)*(CRDJ[Ofc Code]=(TRIM(K$7)))*(CRDJ[Account Code]=(TRIM($D29))),CRDJ[Debit])))+(SUM(IF((GJ[Date]=$A$4)*(GJ[Ofc Code]=(TRIM(K$7)))*(GJ[Account Code]=(TRIM($D29))),GJ[Debit])))</f>
        <v>0</v>
      </c>
      <c r="L29" s="211">
        <f t="array" ref="L29">(SUM(IF((CkDJ[Date]=$A$4)*(CkDJ[Ofc Code]=(TRIM(L$7)))*(CkDJ[Account Code]=(TRIM($D29))),CkDJ[Credit])))+(SUM(IF((CsDJ[Date]=$A$4)*(CsDJ[Ofc Code]=(TRIM(L$7)))*(CsDJ[Account Code]=(TRIM($D29))),CsDJ[Credit])))+(SUM(IF((CRDJ[Date]=$A$4)*(CRDJ[Ofc Code]=(TRIM(L$7)))*(CRDJ[Account Code]=(TRIM($D29))),CRDJ[Credit])))+(SUM(IF((GJ[Date]=$A$4)*(GJ[Ofc Code]=(TRIM(L$7)))*(GJ[Account Code]=(TRIM($D29))),GJ[Credit])))-(SUM(IF((CkDJ[Date]=$A$4)*(CkDJ[Ofc Code]=(TRIM(L$7)))*(CkDJ[Account Code]=(TRIM($D29))),CkDJ[Debit])))+(SUM(IF((CsDJ[Date]=$A$4)*(CsDJ[Ofc Code]=(TRIM(L$7)))*(CsDJ[Account Code]=(TRIM($D29))),CsDJ[Debit])))+(SUM(IF((CRDJ[Date]=$A$4)*(CRDJ[Ofc Code]=(TRIM(L$7)))*(CRDJ[Account Code]=(TRIM($D29))),CRDJ[Debit])))+(SUM(IF((GJ[Date]=$A$4)*(GJ[Ofc Code]=(TRIM(L$7)))*(GJ[Account Code]=(TRIM($D29))),GJ[Debit])))</f>
        <v>0</v>
      </c>
      <c r="M29" s="211">
        <f t="array" ref="M29">(SUM(IF((CkDJ[Date]=$A$4)*(CkDJ[Ofc Code]=(TRIM(M$7)))*(CkDJ[Account Code]=(TRIM($D29))),CkDJ[Credit])))+(SUM(IF((CsDJ[Date]=$A$4)*(CsDJ[Ofc Code]=(TRIM(M$7)))*(CsDJ[Account Code]=(TRIM($D29))),CsDJ[Credit])))+(SUM(IF((CRDJ[Date]=$A$4)*(CRDJ[Ofc Code]=(TRIM(M$7)))*(CRDJ[Account Code]=(TRIM($D29))),CRDJ[Credit])))+(SUM(IF((GJ[Date]=$A$4)*(GJ[Ofc Code]=(TRIM(M$7)))*(GJ[Account Code]=(TRIM($D29))),GJ[Credit])))-(SUM(IF((CkDJ[Date]=$A$4)*(CkDJ[Ofc Code]=(TRIM(M$7)))*(CkDJ[Account Code]=(TRIM($D29))),CkDJ[Debit])))+(SUM(IF((CsDJ[Date]=$A$4)*(CsDJ[Ofc Code]=(TRIM(M$7)))*(CsDJ[Account Code]=(TRIM($D29))),CsDJ[Debit])))+(SUM(IF((CRDJ[Date]=$A$4)*(CRDJ[Ofc Code]=(TRIM(M$7)))*(CRDJ[Account Code]=(TRIM($D29))),CRDJ[Debit])))+(SUM(IF((GJ[Date]=$A$4)*(GJ[Ofc Code]=(TRIM(M$7)))*(GJ[Account Code]=(TRIM($D29))),GJ[Debit])))</f>
        <v>0</v>
      </c>
      <c r="N29" s="211">
        <f t="shared" si="2"/>
        <v>0</v>
      </c>
      <c r="O29" s="211">
        <f t="array" ref="O29">(SUM(IF((CkDJ[Date]=$A$4)*(CkDJ[Ofc Code]=(TRIM(O$7)))*(CkDJ[Account Code]=(TRIM($D29))),CkDJ[Credit])))+(SUM(IF((CsDJ[Date]=$A$4)*(CsDJ[Ofc Code]=(TRIM(O$7)))*(CsDJ[Account Code]=(TRIM($D29))),CsDJ[Credit])))+(SUM(IF((CRDJ[Date]=$A$4)*(CRDJ[Ofc Code]=(TRIM(O$7)))*(CRDJ[Account Code]=(TRIM($D29))),CRDJ[Credit])))+(SUM(IF((GJ[Date]=$A$4)*(GJ[Ofc Code]=(TRIM(O$7)))*(GJ[Account Code]=(TRIM($D29))),GJ[Credit])))-(SUM(IF((CkDJ[Date]=$A$4)*(CkDJ[Ofc Code]=(TRIM(O$7)))*(CkDJ[Account Code]=(TRIM($D29))),CkDJ[Debit])))+(SUM(IF((CsDJ[Date]=$A$4)*(CsDJ[Ofc Code]=(TRIM(O$7)))*(CsDJ[Account Code]=(TRIM($D29))),CsDJ[Debit])))+(SUM(IF((CRDJ[Date]=$A$4)*(CRDJ[Ofc Code]=(TRIM(O$7)))*(CRDJ[Account Code]=(TRIM($D29))),CRDJ[Debit])))+(SUM(IF((GJ[Date]=$A$4)*(GJ[Ofc Code]=(TRIM(O$7)))*(GJ[Account Code]=(TRIM($D29))),GJ[Debit])))</f>
        <v>0</v>
      </c>
      <c r="P29" s="211">
        <f t="array" ref="P29">(SUM(IF((CkDJ[Date]=$A$4)*(CkDJ[Ofc Code]=(TRIM(P$7)))*(CkDJ[Account Code]=(TRIM($D29))),CkDJ[Credit])))+(SUM(IF((CsDJ[Date]=$A$4)*(CsDJ[Ofc Code]=(TRIM(P$7)))*(CsDJ[Account Code]=(TRIM($D29))),CsDJ[Credit])))+(SUM(IF((CRDJ[Date]=$A$4)*(CRDJ[Ofc Code]=(TRIM(P$7)))*(CRDJ[Account Code]=(TRIM($D29))),CRDJ[Credit])))+(SUM(IF((GJ[Date]=$A$4)*(GJ[Ofc Code]=(TRIM(P$7)))*(GJ[Account Code]=(TRIM($D29))),GJ[Credit])))-(SUM(IF((CkDJ[Date]=$A$4)*(CkDJ[Ofc Code]=(TRIM(P$7)))*(CkDJ[Account Code]=(TRIM($D29))),CkDJ[Debit])))+(SUM(IF((CsDJ[Date]=$A$4)*(CsDJ[Ofc Code]=(TRIM(P$7)))*(CsDJ[Account Code]=(TRIM($D29))),CsDJ[Debit])))+(SUM(IF((CRDJ[Date]=$A$4)*(CRDJ[Ofc Code]=(TRIM(P$7)))*(CRDJ[Account Code]=(TRIM($D29))),CRDJ[Debit])))+(SUM(IF((GJ[Date]=$A$4)*(GJ[Ofc Code]=(TRIM(P$7)))*(GJ[Account Code]=(TRIM($D29))),GJ[Debit])))</f>
        <v>0</v>
      </c>
      <c r="Q29" s="211">
        <f t="array" ref="Q29">(SUM(IF((CkDJ[Date]=$A$4)*(CkDJ[Ofc Code]=(TRIM(Q$7)))*(CkDJ[Account Code]=(TRIM($D29))),CkDJ[Credit])))+(SUM(IF((CsDJ[Date]=$A$4)*(CsDJ[Ofc Code]=(TRIM(Q$7)))*(CsDJ[Account Code]=(TRIM($D29))),CsDJ[Credit])))+(SUM(IF((CRDJ[Date]=$A$4)*(CRDJ[Ofc Code]=(TRIM(Q$7)))*(CRDJ[Account Code]=(TRIM($D29))),CRDJ[Credit])))+(SUM(IF((GJ[Date]=$A$4)*(GJ[Ofc Code]=(TRIM(Q$7)))*(GJ[Account Code]=(TRIM($D29))),GJ[Credit])))-(SUM(IF((CkDJ[Date]=$A$4)*(CkDJ[Ofc Code]=(TRIM(Q$7)))*(CkDJ[Account Code]=(TRIM($D29))),CkDJ[Debit])))+(SUM(IF((CsDJ[Date]=$A$4)*(CsDJ[Ofc Code]=(TRIM(Q$7)))*(CsDJ[Account Code]=(TRIM($D29))),CsDJ[Debit])))+(SUM(IF((CRDJ[Date]=$A$4)*(CRDJ[Ofc Code]=(TRIM(Q$7)))*(CRDJ[Account Code]=(TRIM($D29))),CRDJ[Debit])))+(SUM(IF((GJ[Date]=$A$4)*(GJ[Ofc Code]=(TRIM(Q$7)))*(GJ[Account Code]=(TRIM($D29))),GJ[Debit])))</f>
        <v>0</v>
      </c>
      <c r="R29" s="211">
        <f t="array" ref="R29">(SUM(IF((CkDJ[Date]=$A$4)*(CkDJ[Ofc Code]=(TRIM(R$7)))*(CkDJ[Account Code]=(TRIM($D29))),CkDJ[Credit])))+(SUM(IF((CsDJ[Date]=$A$4)*(CsDJ[Ofc Code]=(TRIM(R$7)))*(CsDJ[Account Code]=(TRIM($D29))),CsDJ[Credit])))+(SUM(IF((CRDJ[Date]=$A$4)*(CRDJ[Ofc Code]=(TRIM(R$7)))*(CRDJ[Account Code]=(TRIM($D29))),CRDJ[Credit])))+(SUM(IF((GJ[Date]=$A$4)*(GJ[Ofc Code]=(TRIM(R$7)))*(GJ[Account Code]=(TRIM($D29))),GJ[Credit])))-(SUM(IF((CkDJ[Date]=$A$4)*(CkDJ[Ofc Code]=(TRIM(R$7)))*(CkDJ[Account Code]=(TRIM($D29))),CkDJ[Debit])))+(SUM(IF((CsDJ[Date]=$A$4)*(CsDJ[Ofc Code]=(TRIM(R$7)))*(CsDJ[Account Code]=(TRIM($D29))),CsDJ[Debit])))+(SUM(IF((CRDJ[Date]=$A$4)*(CRDJ[Ofc Code]=(TRIM(R$7)))*(CRDJ[Account Code]=(TRIM($D29))),CRDJ[Debit])))+(SUM(IF((GJ[Date]=$A$4)*(GJ[Ofc Code]=(TRIM(R$7)))*(GJ[Account Code]=(TRIM($D29))),GJ[Debit])))</f>
        <v>0</v>
      </c>
      <c r="S29" s="211">
        <f t="array" ref="S29">(SUM(IF((CkDJ[Date]=$A$4)*(CkDJ[Ofc Code]=(TRIM(S$7)))*(CkDJ[Account Code]=(TRIM($D29))),CkDJ[Credit])))+(SUM(IF((CsDJ[Date]=$A$4)*(CsDJ[Ofc Code]=(TRIM(S$7)))*(CsDJ[Account Code]=(TRIM($D29))),CsDJ[Credit])))+(SUM(IF((CRDJ[Date]=$A$4)*(CRDJ[Ofc Code]=(TRIM(S$7)))*(CRDJ[Account Code]=(TRIM($D29))),CRDJ[Credit])))+(SUM(IF((GJ[Date]=$A$4)*(GJ[Ofc Code]=(TRIM(S$7)))*(GJ[Account Code]=(TRIM($D29))),GJ[Credit])))-(SUM(IF((CkDJ[Date]=$A$4)*(CkDJ[Ofc Code]=(TRIM(S$7)))*(CkDJ[Account Code]=(TRIM($D29))),CkDJ[Debit])))+(SUM(IF((CsDJ[Date]=$A$4)*(CsDJ[Ofc Code]=(TRIM(S$7)))*(CsDJ[Account Code]=(TRIM($D29))),CsDJ[Debit])))+(SUM(IF((CRDJ[Date]=$A$4)*(CRDJ[Ofc Code]=(TRIM(S$7)))*(CRDJ[Account Code]=(TRIM($D29))),CRDJ[Debit])))+(SUM(IF((GJ[Date]=$A$4)*(GJ[Ofc Code]=(TRIM(S$7)))*(GJ[Account Code]=(TRIM($D29))),GJ[Debit])))</f>
        <v>0</v>
      </c>
      <c r="T29" s="211">
        <f t="shared" si="3"/>
        <v>0</v>
      </c>
      <c r="U29" s="211">
        <f t="shared" si="4"/>
        <v>0</v>
      </c>
    </row>
    <row r="30" spans="1:21" ht="15" x14ac:dyDescent="0.25">
      <c r="A30" s="212">
        <f t="shared" si="5"/>
        <v>22</v>
      </c>
      <c r="B30" s="194"/>
      <c r="C30" s="194" t="str">
        <f t="shared" si="0"/>
        <v>Miscellaneous Income (Power)</v>
      </c>
      <c r="D30" s="207" t="s">
        <v>352</v>
      </c>
      <c r="E30" s="211">
        <f t="array" ref="E30">(SUM(IF((CkDJ[Date]=$A$4)*(CkDJ[Ofc Code]=(TRIM(E$7)))*(CkDJ[Account Code]=(TRIM($D30))),CkDJ[Credit])))+(SUM(IF((CsDJ[Date]=$A$4)*(CsDJ[Ofc Code]=(TRIM(E$7)))*(CsDJ[Account Code]=(TRIM($D30))),CsDJ[Credit])))+(SUM(IF((CRDJ[Date]=$A$4)*(CRDJ[Ofc Code]=(TRIM(E$7)))*(CRDJ[Account Code]=(TRIM($D30))),CRDJ[Credit])))+(SUM(IF((GJ[Date]=$A$4)*(GJ[Ofc Code]=(TRIM(E$7)))*(GJ[Account Code]=(TRIM($D30))),GJ[Credit])))-(SUM(IF((CkDJ[Date]=$A$4)*(CkDJ[Ofc Code]=(TRIM(E$7)))*(CkDJ[Account Code]=(TRIM($D30))),CkDJ[Debit])))+(SUM(IF((CsDJ[Date]=$A$4)*(CsDJ[Ofc Code]=(TRIM(E$7)))*(CsDJ[Account Code]=(TRIM($D30))),CsDJ[Debit])))+(SUM(IF((CRDJ[Date]=$A$4)*(CRDJ[Ofc Code]=(TRIM(E$7)))*(CRDJ[Account Code]=(TRIM($D30))),CRDJ[Debit])))+(SUM(IF((GJ[Date]=$A$4)*(GJ[Ofc Code]=(TRIM(E$7)))*(GJ[Account Code]=(TRIM($D30))),GJ[Debit])))</f>
        <v>0</v>
      </c>
      <c r="F30" s="211">
        <f t="array" ref="F30">(SUM(IF((CkDJ[Date]=$A$4)*(CkDJ[Ofc Code]=(TRIM(F$7)))*(CkDJ[Account Code]=(TRIM($D30))),CkDJ[Credit])))+(SUM(IF((CsDJ[Date]=$A$4)*(CsDJ[Ofc Code]=(TRIM(F$7)))*(CsDJ[Account Code]=(TRIM($D30))),CsDJ[Credit])))+(SUM(IF((CRDJ[Date]=$A$4)*(CRDJ[Ofc Code]=(TRIM(F$7)))*(CRDJ[Account Code]=(TRIM($D30))),CRDJ[Credit])))+(SUM(IF((GJ[Date]=$A$4)*(GJ[Ofc Code]=(TRIM(F$7)))*(GJ[Account Code]=(TRIM($D30))),GJ[Credit])))-(SUM(IF((CkDJ[Date]=$A$4)*(CkDJ[Ofc Code]=(TRIM(F$7)))*(CkDJ[Account Code]=(TRIM($D30))),CkDJ[Debit])))+(SUM(IF((CsDJ[Date]=$A$4)*(CsDJ[Ofc Code]=(TRIM(F$7)))*(CsDJ[Account Code]=(TRIM($D30))),CsDJ[Debit])))+(SUM(IF((CRDJ[Date]=$A$4)*(CRDJ[Ofc Code]=(TRIM(F$7)))*(CRDJ[Account Code]=(TRIM($D30))),CRDJ[Debit])))+(SUM(IF((GJ[Date]=$A$4)*(GJ[Ofc Code]=(TRIM(F$7)))*(GJ[Account Code]=(TRIM($D30))),GJ[Debit])))</f>
        <v>0</v>
      </c>
      <c r="G30" s="211">
        <f t="array" ref="G30">(SUM(IF((CkDJ[Date]=$A$4)*(CkDJ[Ofc Code]=(TRIM(G$7)))*(CkDJ[Account Code]=(TRIM($D30))),CkDJ[Credit])))+(SUM(IF((CsDJ[Date]=$A$4)*(CsDJ[Ofc Code]=(TRIM(G$7)))*(CsDJ[Account Code]=(TRIM($D30))),CsDJ[Credit])))+(SUM(IF((CRDJ[Date]=$A$4)*(CRDJ[Ofc Code]=(TRIM(G$7)))*(CRDJ[Account Code]=(TRIM($D30))),CRDJ[Credit])))+(SUM(IF((GJ[Date]=$A$4)*(GJ[Ofc Code]=(TRIM(G$7)))*(GJ[Account Code]=(TRIM($D30))),GJ[Credit])))-(SUM(IF((CkDJ[Date]=$A$4)*(CkDJ[Ofc Code]=(TRIM(G$7)))*(CkDJ[Account Code]=(TRIM($D30))),CkDJ[Debit])))+(SUM(IF((CsDJ[Date]=$A$4)*(CsDJ[Ofc Code]=(TRIM(G$7)))*(CsDJ[Account Code]=(TRIM($D30))),CsDJ[Debit])))+(SUM(IF((CRDJ[Date]=$A$4)*(CRDJ[Ofc Code]=(TRIM(G$7)))*(CRDJ[Account Code]=(TRIM($D30))),CRDJ[Debit])))+(SUM(IF((GJ[Date]=$A$4)*(GJ[Ofc Code]=(TRIM(G$7)))*(GJ[Account Code]=(TRIM($D30))),GJ[Debit])))</f>
        <v>0</v>
      </c>
      <c r="H30" s="211">
        <f t="array" ref="H30">(SUM(IF((CkDJ[Date]=$A$4)*(CkDJ[Ofc Code]=(TRIM(H$7)))*(CkDJ[Account Code]=(TRIM($D30))),CkDJ[Credit])))+(SUM(IF((CsDJ[Date]=$A$4)*(CsDJ[Ofc Code]=(TRIM(H$7)))*(CsDJ[Account Code]=(TRIM($D30))),CsDJ[Credit])))+(SUM(IF((CRDJ[Date]=$A$4)*(CRDJ[Ofc Code]=(TRIM(H$7)))*(CRDJ[Account Code]=(TRIM($D30))),CRDJ[Credit])))+(SUM(IF((GJ[Date]=$A$4)*(GJ[Ofc Code]=(TRIM(H$7)))*(GJ[Account Code]=(TRIM($D30))),GJ[Credit])))-(SUM(IF((CkDJ[Date]=$A$4)*(CkDJ[Ofc Code]=(TRIM(H$7)))*(CkDJ[Account Code]=(TRIM($D30))),CkDJ[Debit])))+(SUM(IF((CsDJ[Date]=$A$4)*(CsDJ[Ofc Code]=(TRIM(H$7)))*(CsDJ[Account Code]=(TRIM($D30))),CsDJ[Debit])))+(SUM(IF((CRDJ[Date]=$A$4)*(CRDJ[Ofc Code]=(TRIM(H$7)))*(CRDJ[Account Code]=(TRIM($D30))),CRDJ[Debit])))+(SUM(IF((GJ[Date]=$A$4)*(GJ[Ofc Code]=(TRIM(H$7)))*(GJ[Account Code]=(TRIM($D30))),GJ[Debit])))</f>
        <v>0</v>
      </c>
      <c r="I30" s="211">
        <f t="shared" si="1"/>
        <v>0</v>
      </c>
      <c r="J30" s="211">
        <f t="array" ref="J30">(SUM(IF((CkDJ[Date]=$A$4)*(CkDJ[Ofc Code]=(TRIM(J$7)))*(CkDJ[Account Code]=(TRIM($D30))),CkDJ[Credit])))+(SUM(IF((CsDJ[Date]=$A$4)*(CsDJ[Ofc Code]=(TRIM(J$7)))*(CsDJ[Account Code]=(TRIM($D30))),CsDJ[Credit])))+(SUM(IF((CRDJ[Date]=$A$4)*(CRDJ[Ofc Code]=(TRIM(J$7)))*(CRDJ[Account Code]=(TRIM($D30))),CRDJ[Credit])))+(SUM(IF((GJ[Date]=$A$4)*(GJ[Ofc Code]=(TRIM(J$7)))*(GJ[Account Code]=(TRIM($D30))),GJ[Credit])))-(SUM(IF((CkDJ[Date]=$A$4)*(CkDJ[Ofc Code]=(TRIM(J$7)))*(CkDJ[Account Code]=(TRIM($D30))),CkDJ[Debit])))+(SUM(IF((CsDJ[Date]=$A$4)*(CsDJ[Ofc Code]=(TRIM(J$7)))*(CsDJ[Account Code]=(TRIM($D30))),CsDJ[Debit])))+(SUM(IF((CRDJ[Date]=$A$4)*(CRDJ[Ofc Code]=(TRIM(J$7)))*(CRDJ[Account Code]=(TRIM($D30))),CRDJ[Debit])))+(SUM(IF((GJ[Date]=$A$4)*(GJ[Ofc Code]=(TRIM(J$7)))*(GJ[Account Code]=(TRIM($D30))),GJ[Debit])))</f>
        <v>0</v>
      </c>
      <c r="K30" s="211">
        <f t="array" ref="K30">(SUM(IF((CkDJ[Date]=$A$4)*(CkDJ[Ofc Code]=(TRIM(K$7)))*(CkDJ[Account Code]=(TRIM($D30))),CkDJ[Credit])))+(SUM(IF((CsDJ[Date]=$A$4)*(CsDJ[Ofc Code]=(TRIM(K$7)))*(CsDJ[Account Code]=(TRIM($D30))),CsDJ[Credit])))+(SUM(IF((CRDJ[Date]=$A$4)*(CRDJ[Ofc Code]=(TRIM(K$7)))*(CRDJ[Account Code]=(TRIM($D30))),CRDJ[Credit])))+(SUM(IF((GJ[Date]=$A$4)*(GJ[Ofc Code]=(TRIM(K$7)))*(GJ[Account Code]=(TRIM($D30))),GJ[Credit])))-(SUM(IF((CkDJ[Date]=$A$4)*(CkDJ[Ofc Code]=(TRIM(K$7)))*(CkDJ[Account Code]=(TRIM($D30))),CkDJ[Debit])))+(SUM(IF((CsDJ[Date]=$A$4)*(CsDJ[Ofc Code]=(TRIM(K$7)))*(CsDJ[Account Code]=(TRIM($D30))),CsDJ[Debit])))+(SUM(IF((CRDJ[Date]=$A$4)*(CRDJ[Ofc Code]=(TRIM(K$7)))*(CRDJ[Account Code]=(TRIM($D30))),CRDJ[Debit])))+(SUM(IF((GJ[Date]=$A$4)*(GJ[Ofc Code]=(TRIM(K$7)))*(GJ[Account Code]=(TRIM($D30))),GJ[Debit])))</f>
        <v>0</v>
      </c>
      <c r="L30" s="211">
        <f t="array" ref="L30">(SUM(IF((CkDJ[Date]=$A$4)*(CkDJ[Ofc Code]=(TRIM(L$7)))*(CkDJ[Account Code]=(TRIM($D30))),CkDJ[Credit])))+(SUM(IF((CsDJ[Date]=$A$4)*(CsDJ[Ofc Code]=(TRIM(L$7)))*(CsDJ[Account Code]=(TRIM($D30))),CsDJ[Credit])))+(SUM(IF((CRDJ[Date]=$A$4)*(CRDJ[Ofc Code]=(TRIM(L$7)))*(CRDJ[Account Code]=(TRIM($D30))),CRDJ[Credit])))+(SUM(IF((GJ[Date]=$A$4)*(GJ[Ofc Code]=(TRIM(L$7)))*(GJ[Account Code]=(TRIM($D30))),GJ[Credit])))-(SUM(IF((CkDJ[Date]=$A$4)*(CkDJ[Ofc Code]=(TRIM(L$7)))*(CkDJ[Account Code]=(TRIM($D30))),CkDJ[Debit])))+(SUM(IF((CsDJ[Date]=$A$4)*(CsDJ[Ofc Code]=(TRIM(L$7)))*(CsDJ[Account Code]=(TRIM($D30))),CsDJ[Debit])))+(SUM(IF((CRDJ[Date]=$A$4)*(CRDJ[Ofc Code]=(TRIM(L$7)))*(CRDJ[Account Code]=(TRIM($D30))),CRDJ[Debit])))+(SUM(IF((GJ[Date]=$A$4)*(GJ[Ofc Code]=(TRIM(L$7)))*(GJ[Account Code]=(TRIM($D30))),GJ[Debit])))</f>
        <v>0</v>
      </c>
      <c r="M30" s="211">
        <f t="array" ref="M30">(SUM(IF((CkDJ[Date]=$A$4)*(CkDJ[Ofc Code]=(TRIM(M$7)))*(CkDJ[Account Code]=(TRIM($D30))),CkDJ[Credit])))+(SUM(IF((CsDJ[Date]=$A$4)*(CsDJ[Ofc Code]=(TRIM(M$7)))*(CsDJ[Account Code]=(TRIM($D30))),CsDJ[Credit])))+(SUM(IF((CRDJ[Date]=$A$4)*(CRDJ[Ofc Code]=(TRIM(M$7)))*(CRDJ[Account Code]=(TRIM($D30))),CRDJ[Credit])))+(SUM(IF((GJ[Date]=$A$4)*(GJ[Ofc Code]=(TRIM(M$7)))*(GJ[Account Code]=(TRIM($D30))),GJ[Credit])))-(SUM(IF((CkDJ[Date]=$A$4)*(CkDJ[Ofc Code]=(TRIM(M$7)))*(CkDJ[Account Code]=(TRIM($D30))),CkDJ[Debit])))+(SUM(IF((CsDJ[Date]=$A$4)*(CsDJ[Ofc Code]=(TRIM(M$7)))*(CsDJ[Account Code]=(TRIM($D30))),CsDJ[Debit])))+(SUM(IF((CRDJ[Date]=$A$4)*(CRDJ[Ofc Code]=(TRIM(M$7)))*(CRDJ[Account Code]=(TRIM($D30))),CRDJ[Debit])))+(SUM(IF((GJ[Date]=$A$4)*(GJ[Ofc Code]=(TRIM(M$7)))*(GJ[Account Code]=(TRIM($D30))),GJ[Debit])))</f>
        <v>0</v>
      </c>
      <c r="N30" s="211">
        <f t="shared" si="2"/>
        <v>0</v>
      </c>
      <c r="O30" s="211">
        <f t="array" ref="O30">(SUM(IF((CkDJ[Date]=$A$4)*(CkDJ[Ofc Code]=(TRIM(O$7)))*(CkDJ[Account Code]=(TRIM($D30))),CkDJ[Credit])))+(SUM(IF((CsDJ[Date]=$A$4)*(CsDJ[Ofc Code]=(TRIM(O$7)))*(CsDJ[Account Code]=(TRIM($D30))),CsDJ[Credit])))+(SUM(IF((CRDJ[Date]=$A$4)*(CRDJ[Ofc Code]=(TRIM(O$7)))*(CRDJ[Account Code]=(TRIM($D30))),CRDJ[Credit])))+(SUM(IF((GJ[Date]=$A$4)*(GJ[Ofc Code]=(TRIM(O$7)))*(GJ[Account Code]=(TRIM($D30))),GJ[Credit])))-(SUM(IF((CkDJ[Date]=$A$4)*(CkDJ[Ofc Code]=(TRIM(O$7)))*(CkDJ[Account Code]=(TRIM($D30))),CkDJ[Debit])))+(SUM(IF((CsDJ[Date]=$A$4)*(CsDJ[Ofc Code]=(TRIM(O$7)))*(CsDJ[Account Code]=(TRIM($D30))),CsDJ[Debit])))+(SUM(IF((CRDJ[Date]=$A$4)*(CRDJ[Ofc Code]=(TRIM(O$7)))*(CRDJ[Account Code]=(TRIM($D30))),CRDJ[Debit])))+(SUM(IF((GJ[Date]=$A$4)*(GJ[Ofc Code]=(TRIM(O$7)))*(GJ[Account Code]=(TRIM($D30))),GJ[Debit])))</f>
        <v>0</v>
      </c>
      <c r="P30" s="211">
        <f t="array" ref="P30">(SUM(IF((CkDJ[Date]=$A$4)*(CkDJ[Ofc Code]=(TRIM(P$7)))*(CkDJ[Account Code]=(TRIM($D30))),CkDJ[Credit])))+(SUM(IF((CsDJ[Date]=$A$4)*(CsDJ[Ofc Code]=(TRIM(P$7)))*(CsDJ[Account Code]=(TRIM($D30))),CsDJ[Credit])))+(SUM(IF((CRDJ[Date]=$A$4)*(CRDJ[Ofc Code]=(TRIM(P$7)))*(CRDJ[Account Code]=(TRIM($D30))),CRDJ[Credit])))+(SUM(IF((GJ[Date]=$A$4)*(GJ[Ofc Code]=(TRIM(P$7)))*(GJ[Account Code]=(TRIM($D30))),GJ[Credit])))-(SUM(IF((CkDJ[Date]=$A$4)*(CkDJ[Ofc Code]=(TRIM(P$7)))*(CkDJ[Account Code]=(TRIM($D30))),CkDJ[Debit])))+(SUM(IF((CsDJ[Date]=$A$4)*(CsDJ[Ofc Code]=(TRIM(P$7)))*(CsDJ[Account Code]=(TRIM($D30))),CsDJ[Debit])))+(SUM(IF((CRDJ[Date]=$A$4)*(CRDJ[Ofc Code]=(TRIM(P$7)))*(CRDJ[Account Code]=(TRIM($D30))),CRDJ[Debit])))+(SUM(IF((GJ[Date]=$A$4)*(GJ[Ofc Code]=(TRIM(P$7)))*(GJ[Account Code]=(TRIM($D30))),GJ[Debit])))</f>
        <v>0</v>
      </c>
      <c r="Q30" s="211">
        <f t="array" ref="Q30">(SUM(IF((CkDJ[Date]=$A$4)*(CkDJ[Ofc Code]=(TRIM(Q$7)))*(CkDJ[Account Code]=(TRIM($D30))),CkDJ[Credit])))+(SUM(IF((CsDJ[Date]=$A$4)*(CsDJ[Ofc Code]=(TRIM(Q$7)))*(CsDJ[Account Code]=(TRIM($D30))),CsDJ[Credit])))+(SUM(IF((CRDJ[Date]=$A$4)*(CRDJ[Ofc Code]=(TRIM(Q$7)))*(CRDJ[Account Code]=(TRIM($D30))),CRDJ[Credit])))+(SUM(IF((GJ[Date]=$A$4)*(GJ[Ofc Code]=(TRIM(Q$7)))*(GJ[Account Code]=(TRIM($D30))),GJ[Credit])))-(SUM(IF((CkDJ[Date]=$A$4)*(CkDJ[Ofc Code]=(TRIM(Q$7)))*(CkDJ[Account Code]=(TRIM($D30))),CkDJ[Debit])))+(SUM(IF((CsDJ[Date]=$A$4)*(CsDJ[Ofc Code]=(TRIM(Q$7)))*(CsDJ[Account Code]=(TRIM($D30))),CsDJ[Debit])))+(SUM(IF((CRDJ[Date]=$A$4)*(CRDJ[Ofc Code]=(TRIM(Q$7)))*(CRDJ[Account Code]=(TRIM($D30))),CRDJ[Debit])))+(SUM(IF((GJ[Date]=$A$4)*(GJ[Ofc Code]=(TRIM(Q$7)))*(GJ[Account Code]=(TRIM($D30))),GJ[Debit])))</f>
        <v>0</v>
      </c>
      <c r="R30" s="211">
        <f t="array" ref="R30">(SUM(IF((CkDJ[Date]=$A$4)*(CkDJ[Ofc Code]=(TRIM(R$7)))*(CkDJ[Account Code]=(TRIM($D30))),CkDJ[Credit])))+(SUM(IF((CsDJ[Date]=$A$4)*(CsDJ[Ofc Code]=(TRIM(R$7)))*(CsDJ[Account Code]=(TRIM($D30))),CsDJ[Credit])))+(SUM(IF((CRDJ[Date]=$A$4)*(CRDJ[Ofc Code]=(TRIM(R$7)))*(CRDJ[Account Code]=(TRIM($D30))),CRDJ[Credit])))+(SUM(IF((GJ[Date]=$A$4)*(GJ[Ofc Code]=(TRIM(R$7)))*(GJ[Account Code]=(TRIM($D30))),GJ[Credit])))-(SUM(IF((CkDJ[Date]=$A$4)*(CkDJ[Ofc Code]=(TRIM(R$7)))*(CkDJ[Account Code]=(TRIM($D30))),CkDJ[Debit])))+(SUM(IF((CsDJ[Date]=$A$4)*(CsDJ[Ofc Code]=(TRIM(R$7)))*(CsDJ[Account Code]=(TRIM($D30))),CsDJ[Debit])))+(SUM(IF((CRDJ[Date]=$A$4)*(CRDJ[Ofc Code]=(TRIM(R$7)))*(CRDJ[Account Code]=(TRIM($D30))),CRDJ[Debit])))+(SUM(IF((GJ[Date]=$A$4)*(GJ[Ofc Code]=(TRIM(R$7)))*(GJ[Account Code]=(TRIM($D30))),GJ[Debit])))</f>
        <v>0</v>
      </c>
      <c r="S30" s="211">
        <f t="array" ref="S30">(SUM(IF((CkDJ[Date]=$A$4)*(CkDJ[Ofc Code]=(TRIM(S$7)))*(CkDJ[Account Code]=(TRIM($D30))),CkDJ[Credit])))+(SUM(IF((CsDJ[Date]=$A$4)*(CsDJ[Ofc Code]=(TRIM(S$7)))*(CsDJ[Account Code]=(TRIM($D30))),CsDJ[Credit])))+(SUM(IF((CRDJ[Date]=$A$4)*(CRDJ[Ofc Code]=(TRIM(S$7)))*(CRDJ[Account Code]=(TRIM($D30))),CRDJ[Credit])))+(SUM(IF((GJ[Date]=$A$4)*(GJ[Ofc Code]=(TRIM(S$7)))*(GJ[Account Code]=(TRIM($D30))),GJ[Credit])))-(SUM(IF((CkDJ[Date]=$A$4)*(CkDJ[Ofc Code]=(TRIM(S$7)))*(CkDJ[Account Code]=(TRIM($D30))),CkDJ[Debit])))+(SUM(IF((CsDJ[Date]=$A$4)*(CsDJ[Ofc Code]=(TRIM(S$7)))*(CsDJ[Account Code]=(TRIM($D30))),CsDJ[Debit])))+(SUM(IF((CRDJ[Date]=$A$4)*(CRDJ[Ofc Code]=(TRIM(S$7)))*(CRDJ[Account Code]=(TRIM($D30))),CRDJ[Debit])))+(SUM(IF((GJ[Date]=$A$4)*(GJ[Ofc Code]=(TRIM(S$7)))*(GJ[Account Code]=(TRIM($D30))),GJ[Debit])))</f>
        <v>0</v>
      </c>
      <c r="T30" s="211">
        <f t="shared" si="3"/>
        <v>0</v>
      </c>
      <c r="U30" s="211">
        <f t="shared" si="4"/>
        <v>0</v>
      </c>
    </row>
    <row r="31" spans="1:21" ht="15" x14ac:dyDescent="0.25">
      <c r="A31" s="212">
        <f t="shared" si="5"/>
        <v>23</v>
      </c>
      <c r="B31" s="194"/>
      <c r="C31" s="194" t="e">
        <f t="shared" si="0"/>
        <v>#N/A</v>
      </c>
      <c r="D31" s="207" t="s">
        <v>158</v>
      </c>
      <c r="E31" s="211">
        <f t="array" ref="E31">(SUM(IF((CkDJ[Date]=$A$4)*(CkDJ[Ofc Code]=(TRIM(E$7)))*(CkDJ[Account Code]=(TRIM($D31))),CkDJ[Credit])))+(SUM(IF((CsDJ[Date]=$A$4)*(CsDJ[Ofc Code]=(TRIM(E$7)))*(CsDJ[Account Code]=(TRIM($D31))),CsDJ[Credit])))+(SUM(IF((CRDJ[Date]=$A$4)*(CRDJ[Ofc Code]=(TRIM(E$7)))*(CRDJ[Account Code]=(TRIM($D31))),CRDJ[Credit])))+(SUM(IF((GJ[Date]=$A$4)*(GJ[Ofc Code]=(TRIM(E$7)))*(GJ[Account Code]=(TRIM($D31))),GJ[Credit])))-(SUM(IF((CkDJ[Date]=$A$4)*(CkDJ[Ofc Code]=(TRIM(E$7)))*(CkDJ[Account Code]=(TRIM($D31))),CkDJ[Debit])))+(SUM(IF((CsDJ[Date]=$A$4)*(CsDJ[Ofc Code]=(TRIM(E$7)))*(CsDJ[Account Code]=(TRIM($D31))),CsDJ[Debit])))+(SUM(IF((CRDJ[Date]=$A$4)*(CRDJ[Ofc Code]=(TRIM(E$7)))*(CRDJ[Account Code]=(TRIM($D31))),CRDJ[Debit])))+(SUM(IF((GJ[Date]=$A$4)*(GJ[Ofc Code]=(TRIM(E$7)))*(GJ[Account Code]=(TRIM($D31))),GJ[Debit])))</f>
        <v>0</v>
      </c>
      <c r="F31" s="211">
        <f t="array" ref="F31">(SUM(IF((CkDJ[Date]=$A$4)*(CkDJ[Ofc Code]=(TRIM(F$7)))*(CkDJ[Account Code]=(TRIM($D31))),CkDJ[Credit])))+(SUM(IF((CsDJ[Date]=$A$4)*(CsDJ[Ofc Code]=(TRIM(F$7)))*(CsDJ[Account Code]=(TRIM($D31))),CsDJ[Credit])))+(SUM(IF((CRDJ[Date]=$A$4)*(CRDJ[Ofc Code]=(TRIM(F$7)))*(CRDJ[Account Code]=(TRIM($D31))),CRDJ[Credit])))+(SUM(IF((GJ[Date]=$A$4)*(GJ[Ofc Code]=(TRIM(F$7)))*(GJ[Account Code]=(TRIM($D31))),GJ[Credit])))-(SUM(IF((CkDJ[Date]=$A$4)*(CkDJ[Ofc Code]=(TRIM(F$7)))*(CkDJ[Account Code]=(TRIM($D31))),CkDJ[Debit])))+(SUM(IF((CsDJ[Date]=$A$4)*(CsDJ[Ofc Code]=(TRIM(F$7)))*(CsDJ[Account Code]=(TRIM($D31))),CsDJ[Debit])))+(SUM(IF((CRDJ[Date]=$A$4)*(CRDJ[Ofc Code]=(TRIM(F$7)))*(CRDJ[Account Code]=(TRIM($D31))),CRDJ[Debit])))+(SUM(IF((GJ[Date]=$A$4)*(GJ[Ofc Code]=(TRIM(F$7)))*(GJ[Account Code]=(TRIM($D31))),GJ[Debit])))</f>
        <v>0</v>
      </c>
      <c r="G31" s="211">
        <f t="array" ref="G31">(SUM(IF((CkDJ[Date]=$A$4)*(CkDJ[Ofc Code]=(TRIM(G$7)))*(CkDJ[Account Code]=(TRIM($D31))),CkDJ[Credit])))+(SUM(IF((CsDJ[Date]=$A$4)*(CsDJ[Ofc Code]=(TRIM(G$7)))*(CsDJ[Account Code]=(TRIM($D31))),CsDJ[Credit])))+(SUM(IF((CRDJ[Date]=$A$4)*(CRDJ[Ofc Code]=(TRIM(G$7)))*(CRDJ[Account Code]=(TRIM($D31))),CRDJ[Credit])))+(SUM(IF((GJ[Date]=$A$4)*(GJ[Ofc Code]=(TRIM(G$7)))*(GJ[Account Code]=(TRIM($D31))),GJ[Credit])))-(SUM(IF((CkDJ[Date]=$A$4)*(CkDJ[Ofc Code]=(TRIM(G$7)))*(CkDJ[Account Code]=(TRIM($D31))),CkDJ[Debit])))+(SUM(IF((CsDJ[Date]=$A$4)*(CsDJ[Ofc Code]=(TRIM(G$7)))*(CsDJ[Account Code]=(TRIM($D31))),CsDJ[Debit])))+(SUM(IF((CRDJ[Date]=$A$4)*(CRDJ[Ofc Code]=(TRIM(G$7)))*(CRDJ[Account Code]=(TRIM($D31))),CRDJ[Debit])))+(SUM(IF((GJ[Date]=$A$4)*(GJ[Ofc Code]=(TRIM(G$7)))*(GJ[Account Code]=(TRIM($D31))),GJ[Debit])))</f>
        <v>0</v>
      </c>
      <c r="H31" s="211">
        <f t="array" ref="H31">(SUM(IF((CkDJ[Date]=$A$4)*(CkDJ[Ofc Code]=(TRIM(H$7)))*(CkDJ[Account Code]=(TRIM($D31))),CkDJ[Credit])))+(SUM(IF((CsDJ[Date]=$A$4)*(CsDJ[Ofc Code]=(TRIM(H$7)))*(CsDJ[Account Code]=(TRIM($D31))),CsDJ[Credit])))+(SUM(IF((CRDJ[Date]=$A$4)*(CRDJ[Ofc Code]=(TRIM(H$7)))*(CRDJ[Account Code]=(TRIM($D31))),CRDJ[Credit])))+(SUM(IF((GJ[Date]=$A$4)*(GJ[Ofc Code]=(TRIM(H$7)))*(GJ[Account Code]=(TRIM($D31))),GJ[Credit])))-(SUM(IF((CkDJ[Date]=$A$4)*(CkDJ[Ofc Code]=(TRIM(H$7)))*(CkDJ[Account Code]=(TRIM($D31))),CkDJ[Debit])))+(SUM(IF((CsDJ[Date]=$A$4)*(CsDJ[Ofc Code]=(TRIM(H$7)))*(CsDJ[Account Code]=(TRIM($D31))),CsDJ[Debit])))+(SUM(IF((CRDJ[Date]=$A$4)*(CRDJ[Ofc Code]=(TRIM(H$7)))*(CRDJ[Account Code]=(TRIM($D31))),CRDJ[Debit])))+(SUM(IF((GJ[Date]=$A$4)*(GJ[Ofc Code]=(TRIM(H$7)))*(GJ[Account Code]=(TRIM($D31))),GJ[Debit])))</f>
        <v>0</v>
      </c>
      <c r="I31" s="211">
        <f t="shared" si="1"/>
        <v>0</v>
      </c>
      <c r="J31" s="211">
        <f t="array" ref="J31">(SUM(IF((CkDJ[Date]=$A$4)*(CkDJ[Ofc Code]=(TRIM(J$7)))*(CkDJ[Account Code]=(TRIM($D31))),CkDJ[Credit])))+(SUM(IF((CsDJ[Date]=$A$4)*(CsDJ[Ofc Code]=(TRIM(J$7)))*(CsDJ[Account Code]=(TRIM($D31))),CsDJ[Credit])))+(SUM(IF((CRDJ[Date]=$A$4)*(CRDJ[Ofc Code]=(TRIM(J$7)))*(CRDJ[Account Code]=(TRIM($D31))),CRDJ[Credit])))+(SUM(IF((GJ[Date]=$A$4)*(GJ[Ofc Code]=(TRIM(J$7)))*(GJ[Account Code]=(TRIM($D31))),GJ[Credit])))-(SUM(IF((CkDJ[Date]=$A$4)*(CkDJ[Ofc Code]=(TRIM(J$7)))*(CkDJ[Account Code]=(TRIM($D31))),CkDJ[Debit])))+(SUM(IF((CsDJ[Date]=$A$4)*(CsDJ[Ofc Code]=(TRIM(J$7)))*(CsDJ[Account Code]=(TRIM($D31))),CsDJ[Debit])))+(SUM(IF((CRDJ[Date]=$A$4)*(CRDJ[Ofc Code]=(TRIM(J$7)))*(CRDJ[Account Code]=(TRIM($D31))),CRDJ[Debit])))+(SUM(IF((GJ[Date]=$A$4)*(GJ[Ofc Code]=(TRIM(J$7)))*(GJ[Account Code]=(TRIM($D31))),GJ[Debit])))</f>
        <v>0</v>
      </c>
      <c r="K31" s="211">
        <f t="array" ref="K31">(SUM(IF((CkDJ[Date]=$A$4)*(CkDJ[Ofc Code]=(TRIM(K$7)))*(CkDJ[Account Code]=(TRIM($D31))),CkDJ[Credit])))+(SUM(IF((CsDJ[Date]=$A$4)*(CsDJ[Ofc Code]=(TRIM(K$7)))*(CsDJ[Account Code]=(TRIM($D31))),CsDJ[Credit])))+(SUM(IF((CRDJ[Date]=$A$4)*(CRDJ[Ofc Code]=(TRIM(K$7)))*(CRDJ[Account Code]=(TRIM($D31))),CRDJ[Credit])))+(SUM(IF((GJ[Date]=$A$4)*(GJ[Ofc Code]=(TRIM(K$7)))*(GJ[Account Code]=(TRIM($D31))),GJ[Credit])))-(SUM(IF((CkDJ[Date]=$A$4)*(CkDJ[Ofc Code]=(TRIM(K$7)))*(CkDJ[Account Code]=(TRIM($D31))),CkDJ[Debit])))+(SUM(IF((CsDJ[Date]=$A$4)*(CsDJ[Ofc Code]=(TRIM(K$7)))*(CsDJ[Account Code]=(TRIM($D31))),CsDJ[Debit])))+(SUM(IF((CRDJ[Date]=$A$4)*(CRDJ[Ofc Code]=(TRIM(K$7)))*(CRDJ[Account Code]=(TRIM($D31))),CRDJ[Debit])))+(SUM(IF((GJ[Date]=$A$4)*(GJ[Ofc Code]=(TRIM(K$7)))*(GJ[Account Code]=(TRIM($D31))),GJ[Debit])))</f>
        <v>0</v>
      </c>
      <c r="L31" s="211">
        <f t="array" ref="L31">(SUM(IF((CkDJ[Date]=$A$4)*(CkDJ[Ofc Code]=(TRIM(L$7)))*(CkDJ[Account Code]=(TRIM($D31))),CkDJ[Credit])))+(SUM(IF((CsDJ[Date]=$A$4)*(CsDJ[Ofc Code]=(TRIM(L$7)))*(CsDJ[Account Code]=(TRIM($D31))),CsDJ[Credit])))+(SUM(IF((CRDJ[Date]=$A$4)*(CRDJ[Ofc Code]=(TRIM(L$7)))*(CRDJ[Account Code]=(TRIM($D31))),CRDJ[Credit])))+(SUM(IF((GJ[Date]=$A$4)*(GJ[Ofc Code]=(TRIM(L$7)))*(GJ[Account Code]=(TRIM($D31))),GJ[Credit])))-(SUM(IF((CkDJ[Date]=$A$4)*(CkDJ[Ofc Code]=(TRIM(L$7)))*(CkDJ[Account Code]=(TRIM($D31))),CkDJ[Debit])))+(SUM(IF((CsDJ[Date]=$A$4)*(CsDJ[Ofc Code]=(TRIM(L$7)))*(CsDJ[Account Code]=(TRIM($D31))),CsDJ[Debit])))+(SUM(IF((CRDJ[Date]=$A$4)*(CRDJ[Ofc Code]=(TRIM(L$7)))*(CRDJ[Account Code]=(TRIM($D31))),CRDJ[Debit])))+(SUM(IF((GJ[Date]=$A$4)*(GJ[Ofc Code]=(TRIM(L$7)))*(GJ[Account Code]=(TRIM($D31))),GJ[Debit])))</f>
        <v>0</v>
      </c>
      <c r="M31" s="211">
        <f t="array" ref="M31">(SUM(IF((CkDJ[Date]=$A$4)*(CkDJ[Ofc Code]=(TRIM(M$7)))*(CkDJ[Account Code]=(TRIM($D31))),CkDJ[Credit])))+(SUM(IF((CsDJ[Date]=$A$4)*(CsDJ[Ofc Code]=(TRIM(M$7)))*(CsDJ[Account Code]=(TRIM($D31))),CsDJ[Credit])))+(SUM(IF((CRDJ[Date]=$A$4)*(CRDJ[Ofc Code]=(TRIM(M$7)))*(CRDJ[Account Code]=(TRIM($D31))),CRDJ[Credit])))+(SUM(IF((GJ[Date]=$A$4)*(GJ[Ofc Code]=(TRIM(M$7)))*(GJ[Account Code]=(TRIM($D31))),GJ[Credit])))-(SUM(IF((CkDJ[Date]=$A$4)*(CkDJ[Ofc Code]=(TRIM(M$7)))*(CkDJ[Account Code]=(TRIM($D31))),CkDJ[Debit])))+(SUM(IF((CsDJ[Date]=$A$4)*(CsDJ[Ofc Code]=(TRIM(M$7)))*(CsDJ[Account Code]=(TRIM($D31))),CsDJ[Debit])))+(SUM(IF((CRDJ[Date]=$A$4)*(CRDJ[Ofc Code]=(TRIM(M$7)))*(CRDJ[Account Code]=(TRIM($D31))),CRDJ[Debit])))+(SUM(IF((GJ[Date]=$A$4)*(GJ[Ofc Code]=(TRIM(M$7)))*(GJ[Account Code]=(TRIM($D31))),GJ[Debit])))</f>
        <v>0</v>
      </c>
      <c r="N31" s="211">
        <f t="shared" si="2"/>
        <v>0</v>
      </c>
      <c r="O31" s="211">
        <f t="array" ref="O31">(SUM(IF((CkDJ[Date]=$A$4)*(CkDJ[Ofc Code]=(TRIM(O$7)))*(CkDJ[Account Code]=(TRIM($D31))),CkDJ[Credit])))+(SUM(IF((CsDJ[Date]=$A$4)*(CsDJ[Ofc Code]=(TRIM(O$7)))*(CsDJ[Account Code]=(TRIM($D31))),CsDJ[Credit])))+(SUM(IF((CRDJ[Date]=$A$4)*(CRDJ[Ofc Code]=(TRIM(O$7)))*(CRDJ[Account Code]=(TRIM($D31))),CRDJ[Credit])))+(SUM(IF((GJ[Date]=$A$4)*(GJ[Ofc Code]=(TRIM(O$7)))*(GJ[Account Code]=(TRIM($D31))),GJ[Credit])))-(SUM(IF((CkDJ[Date]=$A$4)*(CkDJ[Ofc Code]=(TRIM(O$7)))*(CkDJ[Account Code]=(TRIM($D31))),CkDJ[Debit])))+(SUM(IF((CsDJ[Date]=$A$4)*(CsDJ[Ofc Code]=(TRIM(O$7)))*(CsDJ[Account Code]=(TRIM($D31))),CsDJ[Debit])))+(SUM(IF((CRDJ[Date]=$A$4)*(CRDJ[Ofc Code]=(TRIM(O$7)))*(CRDJ[Account Code]=(TRIM($D31))),CRDJ[Debit])))+(SUM(IF((GJ[Date]=$A$4)*(GJ[Ofc Code]=(TRIM(O$7)))*(GJ[Account Code]=(TRIM($D31))),GJ[Debit])))</f>
        <v>0</v>
      </c>
      <c r="P31" s="211">
        <f t="array" ref="P31">(SUM(IF((CkDJ[Date]=$A$4)*(CkDJ[Ofc Code]=(TRIM(P$7)))*(CkDJ[Account Code]=(TRIM($D31))),CkDJ[Credit])))+(SUM(IF((CsDJ[Date]=$A$4)*(CsDJ[Ofc Code]=(TRIM(P$7)))*(CsDJ[Account Code]=(TRIM($D31))),CsDJ[Credit])))+(SUM(IF((CRDJ[Date]=$A$4)*(CRDJ[Ofc Code]=(TRIM(P$7)))*(CRDJ[Account Code]=(TRIM($D31))),CRDJ[Credit])))+(SUM(IF((GJ[Date]=$A$4)*(GJ[Ofc Code]=(TRIM(P$7)))*(GJ[Account Code]=(TRIM($D31))),GJ[Credit])))-(SUM(IF((CkDJ[Date]=$A$4)*(CkDJ[Ofc Code]=(TRIM(P$7)))*(CkDJ[Account Code]=(TRIM($D31))),CkDJ[Debit])))+(SUM(IF((CsDJ[Date]=$A$4)*(CsDJ[Ofc Code]=(TRIM(P$7)))*(CsDJ[Account Code]=(TRIM($D31))),CsDJ[Debit])))+(SUM(IF((CRDJ[Date]=$A$4)*(CRDJ[Ofc Code]=(TRIM(P$7)))*(CRDJ[Account Code]=(TRIM($D31))),CRDJ[Debit])))+(SUM(IF((GJ[Date]=$A$4)*(GJ[Ofc Code]=(TRIM(P$7)))*(GJ[Account Code]=(TRIM($D31))),GJ[Debit])))</f>
        <v>0</v>
      </c>
      <c r="Q31" s="211">
        <f t="array" ref="Q31">(SUM(IF((CkDJ[Date]=$A$4)*(CkDJ[Ofc Code]=(TRIM(Q$7)))*(CkDJ[Account Code]=(TRIM($D31))),CkDJ[Credit])))+(SUM(IF((CsDJ[Date]=$A$4)*(CsDJ[Ofc Code]=(TRIM(Q$7)))*(CsDJ[Account Code]=(TRIM($D31))),CsDJ[Credit])))+(SUM(IF((CRDJ[Date]=$A$4)*(CRDJ[Ofc Code]=(TRIM(Q$7)))*(CRDJ[Account Code]=(TRIM($D31))),CRDJ[Credit])))+(SUM(IF((GJ[Date]=$A$4)*(GJ[Ofc Code]=(TRIM(Q$7)))*(GJ[Account Code]=(TRIM($D31))),GJ[Credit])))-(SUM(IF((CkDJ[Date]=$A$4)*(CkDJ[Ofc Code]=(TRIM(Q$7)))*(CkDJ[Account Code]=(TRIM($D31))),CkDJ[Debit])))+(SUM(IF((CsDJ[Date]=$A$4)*(CsDJ[Ofc Code]=(TRIM(Q$7)))*(CsDJ[Account Code]=(TRIM($D31))),CsDJ[Debit])))+(SUM(IF((CRDJ[Date]=$A$4)*(CRDJ[Ofc Code]=(TRIM(Q$7)))*(CRDJ[Account Code]=(TRIM($D31))),CRDJ[Debit])))+(SUM(IF((GJ[Date]=$A$4)*(GJ[Ofc Code]=(TRIM(Q$7)))*(GJ[Account Code]=(TRIM($D31))),GJ[Debit])))</f>
        <v>0</v>
      </c>
      <c r="R31" s="211">
        <f t="array" ref="R31">(SUM(IF((CkDJ[Date]=$A$4)*(CkDJ[Ofc Code]=(TRIM(R$7)))*(CkDJ[Account Code]=(TRIM($D31))),CkDJ[Credit])))+(SUM(IF((CsDJ[Date]=$A$4)*(CsDJ[Ofc Code]=(TRIM(R$7)))*(CsDJ[Account Code]=(TRIM($D31))),CsDJ[Credit])))+(SUM(IF((CRDJ[Date]=$A$4)*(CRDJ[Ofc Code]=(TRIM(R$7)))*(CRDJ[Account Code]=(TRIM($D31))),CRDJ[Credit])))+(SUM(IF((GJ[Date]=$A$4)*(GJ[Ofc Code]=(TRIM(R$7)))*(GJ[Account Code]=(TRIM($D31))),GJ[Credit])))-(SUM(IF((CkDJ[Date]=$A$4)*(CkDJ[Ofc Code]=(TRIM(R$7)))*(CkDJ[Account Code]=(TRIM($D31))),CkDJ[Debit])))+(SUM(IF((CsDJ[Date]=$A$4)*(CsDJ[Ofc Code]=(TRIM(R$7)))*(CsDJ[Account Code]=(TRIM($D31))),CsDJ[Debit])))+(SUM(IF((CRDJ[Date]=$A$4)*(CRDJ[Ofc Code]=(TRIM(R$7)))*(CRDJ[Account Code]=(TRIM($D31))),CRDJ[Debit])))+(SUM(IF((GJ[Date]=$A$4)*(GJ[Ofc Code]=(TRIM(R$7)))*(GJ[Account Code]=(TRIM($D31))),GJ[Debit])))</f>
        <v>0</v>
      </c>
      <c r="S31" s="211">
        <f t="array" ref="S31">(SUM(IF((CkDJ[Date]=$A$4)*(CkDJ[Ofc Code]=(TRIM(S$7)))*(CkDJ[Account Code]=(TRIM($D31))),CkDJ[Credit])))+(SUM(IF((CsDJ[Date]=$A$4)*(CsDJ[Ofc Code]=(TRIM(S$7)))*(CsDJ[Account Code]=(TRIM($D31))),CsDJ[Credit])))+(SUM(IF((CRDJ[Date]=$A$4)*(CRDJ[Ofc Code]=(TRIM(S$7)))*(CRDJ[Account Code]=(TRIM($D31))),CRDJ[Credit])))+(SUM(IF((GJ[Date]=$A$4)*(GJ[Ofc Code]=(TRIM(S$7)))*(GJ[Account Code]=(TRIM($D31))),GJ[Credit])))-(SUM(IF((CkDJ[Date]=$A$4)*(CkDJ[Ofc Code]=(TRIM(S$7)))*(CkDJ[Account Code]=(TRIM($D31))),CkDJ[Debit])))+(SUM(IF((CsDJ[Date]=$A$4)*(CsDJ[Ofc Code]=(TRIM(S$7)))*(CsDJ[Account Code]=(TRIM($D31))),CsDJ[Debit])))+(SUM(IF((CRDJ[Date]=$A$4)*(CRDJ[Ofc Code]=(TRIM(S$7)))*(CRDJ[Account Code]=(TRIM($D31))),CRDJ[Debit])))+(SUM(IF((GJ[Date]=$A$4)*(GJ[Ofc Code]=(TRIM(S$7)))*(GJ[Account Code]=(TRIM($D31))),GJ[Debit])))</f>
        <v>0</v>
      </c>
      <c r="T31" s="211">
        <f t="shared" si="3"/>
        <v>0</v>
      </c>
      <c r="U31" s="211">
        <f t="shared" si="4"/>
        <v>0</v>
      </c>
    </row>
    <row r="32" spans="1:21" ht="15" x14ac:dyDescent="0.25">
      <c r="A32" s="1167" t="s">
        <v>760</v>
      </c>
      <c r="B32" s="1168"/>
      <c r="C32" s="1168"/>
      <c r="D32" s="209"/>
      <c r="E32" s="208">
        <f t="shared" ref="E32:U32" si="6">SUM(E9:E31)</f>
        <v>0</v>
      </c>
      <c r="F32" s="208">
        <f t="shared" si="6"/>
        <v>0</v>
      </c>
      <c r="G32" s="208">
        <f t="shared" si="6"/>
        <v>0</v>
      </c>
      <c r="H32" s="208">
        <f t="shared" si="6"/>
        <v>0</v>
      </c>
      <c r="I32" s="208">
        <f t="shared" si="6"/>
        <v>0</v>
      </c>
      <c r="J32" s="208">
        <f t="shared" si="6"/>
        <v>0</v>
      </c>
      <c r="K32" s="208">
        <f t="shared" si="6"/>
        <v>0</v>
      </c>
      <c r="L32" s="208">
        <f t="shared" si="6"/>
        <v>0</v>
      </c>
      <c r="M32" s="208">
        <f t="shared" si="6"/>
        <v>0</v>
      </c>
      <c r="N32" s="208">
        <f t="shared" si="6"/>
        <v>0</v>
      </c>
      <c r="O32" s="208">
        <f t="shared" si="6"/>
        <v>0</v>
      </c>
      <c r="P32" s="208">
        <f t="shared" si="6"/>
        <v>0</v>
      </c>
      <c r="Q32" s="208">
        <f t="shared" si="6"/>
        <v>0</v>
      </c>
      <c r="R32" s="208">
        <f t="shared" si="6"/>
        <v>0</v>
      </c>
      <c r="S32" s="208">
        <f t="shared" si="6"/>
        <v>0</v>
      </c>
      <c r="T32" s="208">
        <f t="shared" si="6"/>
        <v>0</v>
      </c>
      <c r="U32" s="208">
        <f t="shared" si="6"/>
        <v>0</v>
      </c>
    </row>
    <row r="33" spans="1:21" ht="15" x14ac:dyDescent="0.25">
      <c r="A33" s="1183" t="s">
        <v>759</v>
      </c>
      <c r="B33" s="1184"/>
      <c r="C33" s="1184"/>
      <c r="D33" s="207"/>
      <c r="E33" s="211"/>
      <c r="F33" s="211"/>
      <c r="G33" s="211"/>
      <c r="H33" s="211"/>
      <c r="I33" s="221"/>
      <c r="J33" s="220"/>
      <c r="K33" s="219"/>
      <c r="L33" s="218"/>
      <c r="M33" s="217"/>
      <c r="N33" s="216"/>
      <c r="O33" s="211"/>
      <c r="P33" s="211"/>
      <c r="Q33" s="211"/>
      <c r="R33" s="211"/>
      <c r="S33" s="211"/>
      <c r="T33" s="211"/>
      <c r="U33" s="211"/>
    </row>
    <row r="34" spans="1:21" ht="15" x14ac:dyDescent="0.25">
      <c r="A34" s="212">
        <v>1</v>
      </c>
      <c r="B34" s="214" t="s">
        <v>756</v>
      </c>
      <c r="C34" s="194" t="str">
        <f t="shared" ref="C34:C53" si="7">IF(D34=0,"",(VLOOKUP((TRIM(D34)),Code,2,)))</f>
        <v>Salaries and Wages-Regular</v>
      </c>
      <c r="D34" s="215">
        <v>701</v>
      </c>
      <c r="E34" s="211">
        <f t="array" ref="E34">(SUM(IF((CkDJ[Date]=$A$4)*(CkDJ[Ofc Code]=(TRIM(E$7)))*(CkDJ[Account Code]=(TRIM($D34))),CkDJ[Debit])))+(SUM(IF((CsDJ[Date]=$A$4)*(CsDJ[Ofc Code]=(TRIM(E$7)))*(CsDJ[Account Code]=(TRIM($D34))),CsDJ[Debit])))+(SUM(IF((CRDJ[Date]=$A$4)*(CRDJ[Ofc Code]=(TRIM(E$7)))*(CRDJ[Account Code]=(TRIM($D34))),CRDJ[Debit])))+(SUM(IF((GJ[Date]=$A$4)*(GJ[Ofc Code]=(TRIM(E$7)))*(GJ[Account Code]=(TRIM($D34))),GJ[Debit])))-(SUM(IF((CkDJ[Date]=$A$4)*(CkDJ[Ofc Code]=(TRIM(E$7)))*(CkDJ[Account Code]=(TRIM($D34))),CkDJ[Credit])))+(SUM(IF((CsDJ[Date]=$A$4)*(CsDJ[Ofc Code]=(TRIM(E$7)))*(CsDJ[Account Code]=(TRIM($D34))),CsDJ[Credit])))+(SUM(IF((CRDJ[Date]=$A$4)*(CRDJ[Ofc Code]=(TRIM(E$7)))*(CRDJ[Account Code]=(TRIM($D34))),CRDJ[Credit])))+(SUM(IF((GJ[Date]=$A$4)*(GJ[Ofc Code]=(TRIM(E$7)))*(GJ[Account Code]=(TRIM($D34))),GJ[Credit])))</f>
        <v>0</v>
      </c>
      <c r="F34" s="211">
        <f t="array" ref="F34">(SUM(IF((CkDJ[Date]=$A$4)*(CkDJ[Ofc Code]=(TRIM(F$7)))*(CkDJ[Account Code]=(TRIM($D34))),CkDJ[Debit])))+(SUM(IF((CsDJ[Date]=$A$4)*(CsDJ[Ofc Code]=(TRIM(F$7)))*(CsDJ[Account Code]=(TRIM($D34))),CsDJ[Debit])))+(SUM(IF((CRDJ[Date]=$A$4)*(CRDJ[Ofc Code]=(TRIM(F$7)))*(CRDJ[Account Code]=(TRIM($D34))),CRDJ[Debit])))+(SUM(IF((GJ[Date]=$A$4)*(GJ[Ofc Code]=(TRIM(F$7)))*(GJ[Account Code]=(TRIM($D34))),GJ[Debit])))-(SUM(IF((CkDJ[Date]=$A$4)*(CkDJ[Ofc Code]=(TRIM(F$7)))*(CkDJ[Account Code]=(TRIM($D34))),CkDJ[Credit])))+(SUM(IF((CsDJ[Date]=$A$4)*(CsDJ[Ofc Code]=(TRIM(F$7)))*(CsDJ[Account Code]=(TRIM($D34))),CsDJ[Credit])))+(SUM(IF((CRDJ[Date]=$A$4)*(CRDJ[Ofc Code]=(TRIM(F$7)))*(CRDJ[Account Code]=(TRIM($D34))),CRDJ[Credit])))+(SUM(IF((GJ[Date]=$A$4)*(GJ[Ofc Code]=(TRIM(F$7)))*(GJ[Account Code]=(TRIM($D34))),GJ[Credit])))</f>
        <v>0</v>
      </c>
      <c r="G34" s="211">
        <f t="array" ref="G34">(SUM(IF((CkDJ[Date]=$A$4)*(CkDJ[Ofc Code]=(TRIM(G$7)))*(CkDJ[Account Code]=(TRIM($D34))),CkDJ[Debit])))+(SUM(IF((CsDJ[Date]=$A$4)*(CsDJ[Ofc Code]=(TRIM(G$7)))*(CsDJ[Account Code]=(TRIM($D34))),CsDJ[Debit])))+(SUM(IF((CRDJ[Date]=$A$4)*(CRDJ[Ofc Code]=(TRIM(G$7)))*(CRDJ[Account Code]=(TRIM($D34))),CRDJ[Debit])))+(SUM(IF((GJ[Date]=$A$4)*(GJ[Ofc Code]=(TRIM(G$7)))*(GJ[Account Code]=(TRIM($D34))),GJ[Debit])))-(SUM(IF((CkDJ[Date]=$A$4)*(CkDJ[Ofc Code]=(TRIM(G$7)))*(CkDJ[Account Code]=(TRIM($D34))),CkDJ[Credit])))+(SUM(IF((CsDJ[Date]=$A$4)*(CsDJ[Ofc Code]=(TRIM(G$7)))*(CsDJ[Account Code]=(TRIM($D34))),CsDJ[Credit])))+(SUM(IF((CRDJ[Date]=$A$4)*(CRDJ[Ofc Code]=(TRIM(G$7)))*(CRDJ[Account Code]=(TRIM($D34))),CRDJ[Credit])))+(SUM(IF((GJ[Date]=$A$4)*(GJ[Ofc Code]=(TRIM(G$7)))*(GJ[Account Code]=(TRIM($D34))),GJ[Credit])))</f>
        <v>0</v>
      </c>
      <c r="H34" s="211">
        <f t="array" ref="H34">(SUM(IF((CkDJ[Date]=$A$4)*(CkDJ[Ofc Code]=(TRIM(H$7)))*(CkDJ[Account Code]=(TRIM($D34))),CkDJ[Debit])))+(SUM(IF((CsDJ[Date]=$A$4)*(CsDJ[Ofc Code]=(TRIM(H$7)))*(CsDJ[Account Code]=(TRIM($D34))),CsDJ[Debit])))+(SUM(IF((CRDJ[Date]=$A$4)*(CRDJ[Ofc Code]=(TRIM(H$7)))*(CRDJ[Account Code]=(TRIM($D34))),CRDJ[Debit])))+(SUM(IF((GJ[Date]=$A$4)*(GJ[Ofc Code]=(TRIM(H$7)))*(GJ[Account Code]=(TRIM($D34))),GJ[Debit])))-(SUM(IF((CkDJ[Date]=$A$4)*(CkDJ[Ofc Code]=(TRIM(H$7)))*(CkDJ[Account Code]=(TRIM($D34))),CkDJ[Credit])))+(SUM(IF((CsDJ[Date]=$A$4)*(CsDJ[Ofc Code]=(TRIM(H$7)))*(CsDJ[Account Code]=(TRIM($D34))),CsDJ[Credit])))+(SUM(IF((CRDJ[Date]=$A$4)*(CRDJ[Ofc Code]=(TRIM(H$7)))*(CRDJ[Account Code]=(TRIM($D34))),CRDJ[Credit])))+(SUM(IF((GJ[Date]=$A$4)*(GJ[Ofc Code]=(TRIM(H$7)))*(GJ[Account Code]=(TRIM($D34))),GJ[Credit])))</f>
        <v>0</v>
      </c>
      <c r="I34" s="211">
        <f t="shared" ref="I34:I53" si="8">SUM(F34:H34)</f>
        <v>0</v>
      </c>
      <c r="J34" s="211">
        <f t="array" ref="J34">(SUM(IF((CkDJ[Date]=$A$4)*(CkDJ[Ofc Code]=(TRIM(J$7)))*(CkDJ[Account Code]=(TRIM($D34))),CkDJ[Debit])))+(SUM(IF((CsDJ[Date]=$A$4)*(CsDJ[Ofc Code]=(TRIM(J$7)))*(CsDJ[Account Code]=(TRIM($D34))),CsDJ[Debit])))+(SUM(IF((CRDJ[Date]=$A$4)*(CRDJ[Ofc Code]=(TRIM(J$7)))*(CRDJ[Account Code]=(TRIM($D34))),CRDJ[Debit])))+(SUM(IF((GJ[Date]=$A$4)*(GJ[Ofc Code]=(TRIM(J$7)))*(GJ[Account Code]=(TRIM($D34))),GJ[Debit])))-(SUM(IF((CkDJ[Date]=$A$4)*(CkDJ[Ofc Code]=(TRIM(J$7)))*(CkDJ[Account Code]=(TRIM($D34))),CkDJ[Credit])))+(SUM(IF((CsDJ[Date]=$A$4)*(CsDJ[Ofc Code]=(TRIM(J$7)))*(CsDJ[Account Code]=(TRIM($D34))),CsDJ[Credit])))+(SUM(IF((CRDJ[Date]=$A$4)*(CRDJ[Ofc Code]=(TRIM(J$7)))*(CRDJ[Account Code]=(TRIM($D34))),CRDJ[Credit])))+(SUM(IF((GJ[Date]=$A$4)*(GJ[Ofc Code]=(TRIM(J$7)))*(GJ[Account Code]=(TRIM($D34))),GJ[Credit])))</f>
        <v>0</v>
      </c>
      <c r="K34" s="211">
        <f t="array" ref="K34">(SUM(IF((CkDJ[Date]=$A$4)*(CkDJ[Ofc Code]=(TRIM(K$7)))*(CkDJ[Account Code]=(TRIM($D34))),CkDJ[Debit])))+(SUM(IF((CsDJ[Date]=$A$4)*(CsDJ[Ofc Code]=(TRIM(K$7)))*(CsDJ[Account Code]=(TRIM($D34))),CsDJ[Debit])))+(SUM(IF((CRDJ[Date]=$A$4)*(CRDJ[Ofc Code]=(TRIM(K$7)))*(CRDJ[Account Code]=(TRIM($D34))),CRDJ[Debit])))+(SUM(IF((GJ[Date]=$A$4)*(GJ[Ofc Code]=(TRIM(K$7)))*(GJ[Account Code]=(TRIM($D34))),GJ[Debit])))-(SUM(IF((CkDJ[Date]=$A$4)*(CkDJ[Ofc Code]=(TRIM(K$7)))*(CkDJ[Account Code]=(TRIM($D34))),CkDJ[Credit])))+(SUM(IF((CsDJ[Date]=$A$4)*(CsDJ[Ofc Code]=(TRIM(K$7)))*(CsDJ[Account Code]=(TRIM($D34))),CsDJ[Credit])))+(SUM(IF((CRDJ[Date]=$A$4)*(CRDJ[Ofc Code]=(TRIM(K$7)))*(CRDJ[Account Code]=(TRIM($D34))),CRDJ[Credit])))+(SUM(IF((GJ[Date]=$A$4)*(GJ[Ofc Code]=(TRIM(K$7)))*(GJ[Account Code]=(TRIM($D34))),GJ[Credit])))</f>
        <v>0</v>
      </c>
      <c r="L34" s="211">
        <f t="array" ref="L34">(SUM(IF((CkDJ[Date]=$A$4)*(CkDJ[Ofc Code]=(TRIM(L$7)))*(CkDJ[Account Code]=(TRIM($D34))),CkDJ[Debit])))+(SUM(IF((CsDJ[Date]=$A$4)*(CsDJ[Ofc Code]=(TRIM(L$7)))*(CsDJ[Account Code]=(TRIM($D34))),CsDJ[Debit])))+(SUM(IF((CRDJ[Date]=$A$4)*(CRDJ[Ofc Code]=(TRIM(L$7)))*(CRDJ[Account Code]=(TRIM($D34))),CRDJ[Debit])))+(SUM(IF((GJ[Date]=$A$4)*(GJ[Ofc Code]=(TRIM(L$7)))*(GJ[Account Code]=(TRIM($D34))),GJ[Debit])))-(SUM(IF((CkDJ[Date]=$A$4)*(CkDJ[Ofc Code]=(TRIM(L$7)))*(CkDJ[Account Code]=(TRIM($D34))),CkDJ[Credit])))+(SUM(IF((CsDJ[Date]=$A$4)*(CsDJ[Ofc Code]=(TRIM(L$7)))*(CsDJ[Account Code]=(TRIM($D34))),CsDJ[Credit])))+(SUM(IF((CRDJ[Date]=$A$4)*(CRDJ[Ofc Code]=(TRIM(L$7)))*(CRDJ[Account Code]=(TRIM($D34))),CRDJ[Credit])))+(SUM(IF((GJ[Date]=$A$4)*(GJ[Ofc Code]=(TRIM(L$7)))*(GJ[Account Code]=(TRIM($D34))),GJ[Credit])))</f>
        <v>0</v>
      </c>
      <c r="M34" s="211">
        <f t="array" ref="M34">(SUM(IF((CkDJ[Date]=$A$4)*(CkDJ[Ofc Code]=(TRIM(M$7)))*(CkDJ[Account Code]=(TRIM($D34))),CkDJ[Debit])))+(SUM(IF((CsDJ[Date]=$A$4)*(CsDJ[Ofc Code]=(TRIM(M$7)))*(CsDJ[Account Code]=(TRIM($D34))),CsDJ[Debit])))+(SUM(IF((CRDJ[Date]=$A$4)*(CRDJ[Ofc Code]=(TRIM(M$7)))*(CRDJ[Account Code]=(TRIM($D34))),CRDJ[Debit])))+(SUM(IF((GJ[Date]=$A$4)*(GJ[Ofc Code]=(TRIM(M$7)))*(GJ[Account Code]=(TRIM($D34))),GJ[Debit])))-(SUM(IF((CkDJ[Date]=$A$4)*(CkDJ[Ofc Code]=(TRIM(M$7)))*(CkDJ[Account Code]=(TRIM($D34))),CkDJ[Credit])))+(SUM(IF((CsDJ[Date]=$A$4)*(CsDJ[Ofc Code]=(TRIM(M$7)))*(CsDJ[Account Code]=(TRIM($D34))),CsDJ[Credit])))+(SUM(IF((CRDJ[Date]=$A$4)*(CRDJ[Ofc Code]=(TRIM(M$7)))*(CRDJ[Account Code]=(TRIM($D34))),CRDJ[Credit])))+(SUM(IF((GJ[Date]=$A$4)*(GJ[Ofc Code]=(TRIM(M$7)))*(GJ[Account Code]=(TRIM($D34))),GJ[Credit])))</f>
        <v>0</v>
      </c>
      <c r="N34" s="211">
        <f t="shared" ref="N34:N53" si="9">SUM(J34:M34)</f>
        <v>0</v>
      </c>
      <c r="O34" s="211">
        <f t="array" ref="O34">(SUM(IF((CkDJ[Date]=$A$4)*(CkDJ[Ofc Code]=(TRIM(O$7)))*(CkDJ[Account Code]=(TRIM($D34))),CkDJ[Debit])))+(SUM(IF((CsDJ[Date]=$A$4)*(CsDJ[Ofc Code]=(TRIM(O$7)))*(CsDJ[Account Code]=(TRIM($D34))),CsDJ[Debit])))+(SUM(IF((CRDJ[Date]=$A$4)*(CRDJ[Ofc Code]=(TRIM(O$7)))*(CRDJ[Account Code]=(TRIM($D34))),CRDJ[Debit])))+(SUM(IF((GJ[Date]=$A$4)*(GJ[Ofc Code]=(TRIM(O$7)))*(GJ[Account Code]=(TRIM($D34))),GJ[Debit])))-(SUM(IF((CkDJ[Date]=$A$4)*(CkDJ[Ofc Code]=(TRIM(O$7)))*(CkDJ[Account Code]=(TRIM($D34))),CkDJ[Credit])))+(SUM(IF((CsDJ[Date]=$A$4)*(CsDJ[Ofc Code]=(TRIM(O$7)))*(CsDJ[Account Code]=(TRIM($D34))),CsDJ[Credit])))+(SUM(IF((CRDJ[Date]=$A$4)*(CRDJ[Ofc Code]=(TRIM(O$7)))*(CRDJ[Account Code]=(TRIM($D34))),CRDJ[Credit])))+(SUM(IF((GJ[Date]=$A$4)*(GJ[Ofc Code]=(TRIM(O$7)))*(GJ[Account Code]=(TRIM($D34))),GJ[Credit])))</f>
        <v>0</v>
      </c>
      <c r="P34" s="211">
        <f t="array" ref="P34">(SUM(IF((CkDJ[Date]=$A$4)*(CkDJ[Ofc Code]=(TRIM(P$7)))*(CkDJ[Account Code]=(TRIM($D34))),CkDJ[Debit])))+(SUM(IF((CsDJ[Date]=$A$4)*(CsDJ[Ofc Code]=(TRIM(P$7)))*(CsDJ[Account Code]=(TRIM($D34))),CsDJ[Debit])))+(SUM(IF((CRDJ[Date]=$A$4)*(CRDJ[Ofc Code]=(TRIM(P$7)))*(CRDJ[Account Code]=(TRIM($D34))),CRDJ[Debit])))+(SUM(IF((GJ[Date]=$A$4)*(GJ[Ofc Code]=(TRIM(P$7)))*(GJ[Account Code]=(TRIM($D34))),GJ[Debit])))-(SUM(IF((CkDJ[Date]=$A$4)*(CkDJ[Ofc Code]=(TRIM(P$7)))*(CkDJ[Account Code]=(TRIM($D34))),CkDJ[Credit])))+(SUM(IF((CsDJ[Date]=$A$4)*(CsDJ[Ofc Code]=(TRIM(P$7)))*(CsDJ[Account Code]=(TRIM($D34))),CsDJ[Credit])))+(SUM(IF((CRDJ[Date]=$A$4)*(CRDJ[Ofc Code]=(TRIM(P$7)))*(CRDJ[Account Code]=(TRIM($D34))),CRDJ[Credit])))+(SUM(IF((GJ[Date]=$A$4)*(GJ[Ofc Code]=(TRIM(P$7)))*(GJ[Account Code]=(TRIM($D34))),GJ[Credit])))</f>
        <v>0</v>
      </c>
      <c r="Q34" s="211">
        <f t="array" ref="Q34">(SUM(IF((CkDJ[Date]=$A$4)*(CkDJ[Ofc Code]=(TRIM(Q$7)))*(CkDJ[Account Code]=(TRIM($D34))),CkDJ[Debit])))+(SUM(IF((CsDJ[Date]=$A$4)*(CsDJ[Ofc Code]=(TRIM(Q$7)))*(CsDJ[Account Code]=(TRIM($D34))),CsDJ[Debit])))+(SUM(IF((CRDJ[Date]=$A$4)*(CRDJ[Ofc Code]=(TRIM(Q$7)))*(CRDJ[Account Code]=(TRIM($D34))),CRDJ[Debit])))+(SUM(IF((GJ[Date]=$A$4)*(GJ[Ofc Code]=(TRIM(Q$7)))*(GJ[Account Code]=(TRIM($D34))),GJ[Debit])))-(SUM(IF((CkDJ[Date]=$A$4)*(CkDJ[Ofc Code]=(TRIM(Q$7)))*(CkDJ[Account Code]=(TRIM($D34))),CkDJ[Credit])))+(SUM(IF((CsDJ[Date]=$A$4)*(CsDJ[Ofc Code]=(TRIM(Q$7)))*(CsDJ[Account Code]=(TRIM($D34))),CsDJ[Credit])))+(SUM(IF((CRDJ[Date]=$A$4)*(CRDJ[Ofc Code]=(TRIM(Q$7)))*(CRDJ[Account Code]=(TRIM($D34))),CRDJ[Credit])))+(SUM(IF((GJ[Date]=$A$4)*(GJ[Ofc Code]=(TRIM(Q$7)))*(GJ[Account Code]=(TRIM($D34))),GJ[Credit])))</f>
        <v>0</v>
      </c>
      <c r="R34" s="211">
        <f t="array" ref="R34">(SUM(IF((CkDJ[Date]=$A$4)*(CkDJ[Ofc Code]=(TRIM(R$7)))*(CkDJ[Account Code]=(TRIM($D34))),CkDJ[Debit])))+(SUM(IF((CsDJ[Date]=$A$4)*(CsDJ[Ofc Code]=(TRIM(R$7)))*(CsDJ[Account Code]=(TRIM($D34))),CsDJ[Debit])))+(SUM(IF((CRDJ[Date]=$A$4)*(CRDJ[Ofc Code]=(TRIM(R$7)))*(CRDJ[Account Code]=(TRIM($D34))),CRDJ[Debit])))+(SUM(IF((GJ[Date]=$A$4)*(GJ[Ofc Code]=(TRIM(R$7)))*(GJ[Account Code]=(TRIM($D34))),GJ[Debit])))-(SUM(IF((CkDJ[Date]=$A$4)*(CkDJ[Ofc Code]=(TRIM(R$7)))*(CkDJ[Account Code]=(TRIM($D34))),CkDJ[Credit])))+(SUM(IF((CsDJ[Date]=$A$4)*(CsDJ[Ofc Code]=(TRIM(R$7)))*(CsDJ[Account Code]=(TRIM($D34))),CsDJ[Credit])))+(SUM(IF((CRDJ[Date]=$A$4)*(CRDJ[Ofc Code]=(TRIM(R$7)))*(CRDJ[Account Code]=(TRIM($D34))),CRDJ[Credit])))+(SUM(IF((GJ[Date]=$A$4)*(GJ[Ofc Code]=(TRIM(R$7)))*(GJ[Account Code]=(TRIM($D34))),GJ[Credit])))</f>
        <v>0</v>
      </c>
      <c r="S34" s="211">
        <f t="array" ref="S34">(SUM(IF((CkDJ[Date]=$A$4)*(CkDJ[Ofc Code]=(TRIM(S$7)))*(CkDJ[Account Code]=(TRIM($D34))),CkDJ[Debit])))+(SUM(IF((CsDJ[Date]=$A$4)*(CsDJ[Ofc Code]=(TRIM(S$7)))*(CsDJ[Account Code]=(TRIM($D34))),CsDJ[Debit])))+(SUM(IF((CRDJ[Date]=$A$4)*(CRDJ[Ofc Code]=(TRIM(S$7)))*(CRDJ[Account Code]=(TRIM($D34))),CRDJ[Debit])))+(SUM(IF((GJ[Date]=$A$4)*(GJ[Ofc Code]=(TRIM(S$7)))*(GJ[Account Code]=(TRIM($D34))),GJ[Debit])))-(SUM(IF((CkDJ[Date]=$A$4)*(CkDJ[Ofc Code]=(TRIM(S$7)))*(CkDJ[Account Code]=(TRIM($D34))),CkDJ[Credit])))+(SUM(IF((CsDJ[Date]=$A$4)*(CsDJ[Ofc Code]=(TRIM(S$7)))*(CsDJ[Account Code]=(TRIM($D34))),CsDJ[Credit])))+(SUM(IF((CRDJ[Date]=$A$4)*(CRDJ[Ofc Code]=(TRIM(S$7)))*(CRDJ[Account Code]=(TRIM($D34))),CRDJ[Credit])))+(SUM(IF((GJ[Date]=$A$4)*(GJ[Ofc Code]=(TRIM(S$7)))*(GJ[Account Code]=(TRIM($D34))),GJ[Credit])))</f>
        <v>0</v>
      </c>
      <c r="T34" s="211">
        <f t="shared" ref="T34:T53" si="10">SUM(O34:S34)</f>
        <v>0</v>
      </c>
      <c r="U34" s="211">
        <f t="shared" ref="U34:U53" si="11">E34+I34+N34+T34</f>
        <v>0</v>
      </c>
    </row>
    <row r="35" spans="1:21" ht="15" x14ac:dyDescent="0.25">
      <c r="A35" s="212">
        <f t="shared" ref="A35:A56" si="12">1+A34</f>
        <v>2</v>
      </c>
      <c r="B35" s="214" t="s">
        <v>756</v>
      </c>
      <c r="C35" s="194" t="str">
        <f t="shared" si="7"/>
        <v>Salaries and Wages-Casual/Contractual</v>
      </c>
      <c r="D35" s="215">
        <v>705</v>
      </c>
      <c r="E35" s="211">
        <f t="array" ref="E35">(SUM(IF((CkDJ[Date]=$A$4)*(CkDJ[Ofc Code]=(TRIM(E$7)))*(CkDJ[Account Code]=(TRIM($D35))),CkDJ[Debit])))+(SUM(IF((CsDJ[Date]=$A$4)*(CsDJ[Ofc Code]=(TRIM(E$7)))*(CsDJ[Account Code]=(TRIM($D35))),CsDJ[Debit])))+(SUM(IF((CRDJ[Date]=$A$4)*(CRDJ[Ofc Code]=(TRIM(E$7)))*(CRDJ[Account Code]=(TRIM($D35))),CRDJ[Debit])))+(SUM(IF((GJ[Date]=$A$4)*(GJ[Ofc Code]=(TRIM(E$7)))*(GJ[Account Code]=(TRIM($D35))),GJ[Debit])))-(SUM(IF((CkDJ[Date]=$A$4)*(CkDJ[Ofc Code]=(TRIM(E$7)))*(CkDJ[Account Code]=(TRIM($D35))),CkDJ[Credit])))+(SUM(IF((CsDJ[Date]=$A$4)*(CsDJ[Ofc Code]=(TRIM(E$7)))*(CsDJ[Account Code]=(TRIM($D35))),CsDJ[Credit])))+(SUM(IF((CRDJ[Date]=$A$4)*(CRDJ[Ofc Code]=(TRIM(E$7)))*(CRDJ[Account Code]=(TRIM($D35))),CRDJ[Credit])))+(SUM(IF((GJ[Date]=$A$4)*(GJ[Ofc Code]=(TRIM(E$7)))*(GJ[Account Code]=(TRIM($D35))),GJ[Credit])))</f>
        <v>0</v>
      </c>
      <c r="F35" s="211">
        <f t="array" ref="F35">(SUM(IF((CkDJ[Date]=$A$4)*(CkDJ[Ofc Code]=(TRIM(F$7)))*(CkDJ[Account Code]=(TRIM($D35))),CkDJ[Debit])))+(SUM(IF((CsDJ[Date]=$A$4)*(CsDJ[Ofc Code]=(TRIM(F$7)))*(CsDJ[Account Code]=(TRIM($D35))),CsDJ[Debit])))+(SUM(IF((CRDJ[Date]=$A$4)*(CRDJ[Ofc Code]=(TRIM(F$7)))*(CRDJ[Account Code]=(TRIM($D35))),CRDJ[Debit])))+(SUM(IF((GJ[Date]=$A$4)*(GJ[Ofc Code]=(TRIM(F$7)))*(GJ[Account Code]=(TRIM($D35))),GJ[Debit])))-(SUM(IF((CkDJ[Date]=$A$4)*(CkDJ[Ofc Code]=(TRIM(F$7)))*(CkDJ[Account Code]=(TRIM($D35))),CkDJ[Credit])))+(SUM(IF((CsDJ[Date]=$A$4)*(CsDJ[Ofc Code]=(TRIM(F$7)))*(CsDJ[Account Code]=(TRIM($D35))),CsDJ[Credit])))+(SUM(IF((CRDJ[Date]=$A$4)*(CRDJ[Ofc Code]=(TRIM(F$7)))*(CRDJ[Account Code]=(TRIM($D35))),CRDJ[Credit])))+(SUM(IF((GJ[Date]=$A$4)*(GJ[Ofc Code]=(TRIM(F$7)))*(GJ[Account Code]=(TRIM($D35))),GJ[Credit])))</f>
        <v>0</v>
      </c>
      <c r="G35" s="211">
        <f t="array" ref="G35">(SUM(IF((CkDJ[Date]=$A$4)*(CkDJ[Ofc Code]=(TRIM(G$7)))*(CkDJ[Account Code]=(TRIM($D35))),CkDJ[Debit])))+(SUM(IF((CsDJ[Date]=$A$4)*(CsDJ[Ofc Code]=(TRIM(G$7)))*(CsDJ[Account Code]=(TRIM($D35))),CsDJ[Debit])))+(SUM(IF((CRDJ[Date]=$A$4)*(CRDJ[Ofc Code]=(TRIM(G$7)))*(CRDJ[Account Code]=(TRIM($D35))),CRDJ[Debit])))+(SUM(IF((GJ[Date]=$A$4)*(GJ[Ofc Code]=(TRIM(G$7)))*(GJ[Account Code]=(TRIM($D35))),GJ[Debit])))-(SUM(IF((CkDJ[Date]=$A$4)*(CkDJ[Ofc Code]=(TRIM(G$7)))*(CkDJ[Account Code]=(TRIM($D35))),CkDJ[Credit])))+(SUM(IF((CsDJ[Date]=$A$4)*(CsDJ[Ofc Code]=(TRIM(G$7)))*(CsDJ[Account Code]=(TRIM($D35))),CsDJ[Credit])))+(SUM(IF((CRDJ[Date]=$A$4)*(CRDJ[Ofc Code]=(TRIM(G$7)))*(CRDJ[Account Code]=(TRIM($D35))),CRDJ[Credit])))+(SUM(IF((GJ[Date]=$A$4)*(GJ[Ofc Code]=(TRIM(G$7)))*(GJ[Account Code]=(TRIM($D35))),GJ[Credit])))</f>
        <v>0</v>
      </c>
      <c r="H35" s="211">
        <f t="array" ref="H35">(SUM(IF((CkDJ[Date]=$A$4)*(CkDJ[Ofc Code]=(TRIM(H$7)))*(CkDJ[Account Code]=(TRIM($D35))),CkDJ[Debit])))+(SUM(IF((CsDJ[Date]=$A$4)*(CsDJ[Ofc Code]=(TRIM(H$7)))*(CsDJ[Account Code]=(TRIM($D35))),CsDJ[Debit])))+(SUM(IF((CRDJ[Date]=$A$4)*(CRDJ[Ofc Code]=(TRIM(H$7)))*(CRDJ[Account Code]=(TRIM($D35))),CRDJ[Debit])))+(SUM(IF((GJ[Date]=$A$4)*(GJ[Ofc Code]=(TRIM(H$7)))*(GJ[Account Code]=(TRIM($D35))),GJ[Debit])))-(SUM(IF((CkDJ[Date]=$A$4)*(CkDJ[Ofc Code]=(TRIM(H$7)))*(CkDJ[Account Code]=(TRIM($D35))),CkDJ[Credit])))+(SUM(IF((CsDJ[Date]=$A$4)*(CsDJ[Ofc Code]=(TRIM(H$7)))*(CsDJ[Account Code]=(TRIM($D35))),CsDJ[Credit])))+(SUM(IF((CRDJ[Date]=$A$4)*(CRDJ[Ofc Code]=(TRIM(H$7)))*(CRDJ[Account Code]=(TRIM($D35))),CRDJ[Credit])))+(SUM(IF((GJ[Date]=$A$4)*(GJ[Ofc Code]=(TRIM(H$7)))*(GJ[Account Code]=(TRIM($D35))),GJ[Credit])))</f>
        <v>0</v>
      </c>
      <c r="I35" s="211">
        <f t="shared" si="8"/>
        <v>0</v>
      </c>
      <c r="J35" s="211">
        <f t="array" ref="J35">(SUM(IF((CkDJ[Date]=$A$4)*(CkDJ[Ofc Code]=(TRIM(J$7)))*(CkDJ[Account Code]=(TRIM($D35))),CkDJ[Debit])))+(SUM(IF((CsDJ[Date]=$A$4)*(CsDJ[Ofc Code]=(TRIM(J$7)))*(CsDJ[Account Code]=(TRIM($D35))),CsDJ[Debit])))+(SUM(IF((CRDJ[Date]=$A$4)*(CRDJ[Ofc Code]=(TRIM(J$7)))*(CRDJ[Account Code]=(TRIM($D35))),CRDJ[Debit])))+(SUM(IF((GJ[Date]=$A$4)*(GJ[Ofc Code]=(TRIM(J$7)))*(GJ[Account Code]=(TRIM($D35))),GJ[Debit])))-(SUM(IF((CkDJ[Date]=$A$4)*(CkDJ[Ofc Code]=(TRIM(J$7)))*(CkDJ[Account Code]=(TRIM($D35))),CkDJ[Credit])))+(SUM(IF((CsDJ[Date]=$A$4)*(CsDJ[Ofc Code]=(TRIM(J$7)))*(CsDJ[Account Code]=(TRIM($D35))),CsDJ[Credit])))+(SUM(IF((CRDJ[Date]=$A$4)*(CRDJ[Ofc Code]=(TRIM(J$7)))*(CRDJ[Account Code]=(TRIM($D35))),CRDJ[Credit])))+(SUM(IF((GJ[Date]=$A$4)*(GJ[Ofc Code]=(TRIM(J$7)))*(GJ[Account Code]=(TRIM($D35))),GJ[Credit])))</f>
        <v>0</v>
      </c>
      <c r="K35" s="211">
        <f t="array" ref="K35">(SUM(IF((CkDJ[Date]=$A$4)*(CkDJ[Ofc Code]=(TRIM(K$7)))*(CkDJ[Account Code]=(TRIM($D35))),CkDJ[Debit])))+(SUM(IF((CsDJ[Date]=$A$4)*(CsDJ[Ofc Code]=(TRIM(K$7)))*(CsDJ[Account Code]=(TRIM($D35))),CsDJ[Debit])))+(SUM(IF((CRDJ[Date]=$A$4)*(CRDJ[Ofc Code]=(TRIM(K$7)))*(CRDJ[Account Code]=(TRIM($D35))),CRDJ[Debit])))+(SUM(IF((GJ[Date]=$A$4)*(GJ[Ofc Code]=(TRIM(K$7)))*(GJ[Account Code]=(TRIM($D35))),GJ[Debit])))-(SUM(IF((CkDJ[Date]=$A$4)*(CkDJ[Ofc Code]=(TRIM(K$7)))*(CkDJ[Account Code]=(TRIM($D35))),CkDJ[Credit])))+(SUM(IF((CsDJ[Date]=$A$4)*(CsDJ[Ofc Code]=(TRIM(K$7)))*(CsDJ[Account Code]=(TRIM($D35))),CsDJ[Credit])))+(SUM(IF((CRDJ[Date]=$A$4)*(CRDJ[Ofc Code]=(TRIM(K$7)))*(CRDJ[Account Code]=(TRIM($D35))),CRDJ[Credit])))+(SUM(IF((GJ[Date]=$A$4)*(GJ[Ofc Code]=(TRIM(K$7)))*(GJ[Account Code]=(TRIM($D35))),GJ[Credit])))</f>
        <v>0</v>
      </c>
      <c r="L35" s="211">
        <f t="array" ref="L35">(SUM(IF((CkDJ[Date]=$A$4)*(CkDJ[Ofc Code]=(TRIM(L$7)))*(CkDJ[Account Code]=(TRIM($D35))),CkDJ[Debit])))+(SUM(IF((CsDJ[Date]=$A$4)*(CsDJ[Ofc Code]=(TRIM(L$7)))*(CsDJ[Account Code]=(TRIM($D35))),CsDJ[Debit])))+(SUM(IF((CRDJ[Date]=$A$4)*(CRDJ[Ofc Code]=(TRIM(L$7)))*(CRDJ[Account Code]=(TRIM($D35))),CRDJ[Debit])))+(SUM(IF((GJ[Date]=$A$4)*(GJ[Ofc Code]=(TRIM(L$7)))*(GJ[Account Code]=(TRIM($D35))),GJ[Debit])))-(SUM(IF((CkDJ[Date]=$A$4)*(CkDJ[Ofc Code]=(TRIM(L$7)))*(CkDJ[Account Code]=(TRIM($D35))),CkDJ[Credit])))+(SUM(IF((CsDJ[Date]=$A$4)*(CsDJ[Ofc Code]=(TRIM(L$7)))*(CsDJ[Account Code]=(TRIM($D35))),CsDJ[Credit])))+(SUM(IF((CRDJ[Date]=$A$4)*(CRDJ[Ofc Code]=(TRIM(L$7)))*(CRDJ[Account Code]=(TRIM($D35))),CRDJ[Credit])))+(SUM(IF((GJ[Date]=$A$4)*(GJ[Ofc Code]=(TRIM(L$7)))*(GJ[Account Code]=(TRIM($D35))),GJ[Credit])))</f>
        <v>0</v>
      </c>
      <c r="M35" s="211">
        <f t="array" ref="M35">(SUM(IF((CkDJ[Date]=$A$4)*(CkDJ[Ofc Code]=(TRIM(M$7)))*(CkDJ[Account Code]=(TRIM($D35))),CkDJ[Debit])))+(SUM(IF((CsDJ[Date]=$A$4)*(CsDJ[Ofc Code]=(TRIM(M$7)))*(CsDJ[Account Code]=(TRIM($D35))),CsDJ[Debit])))+(SUM(IF((CRDJ[Date]=$A$4)*(CRDJ[Ofc Code]=(TRIM(M$7)))*(CRDJ[Account Code]=(TRIM($D35))),CRDJ[Debit])))+(SUM(IF((GJ[Date]=$A$4)*(GJ[Ofc Code]=(TRIM(M$7)))*(GJ[Account Code]=(TRIM($D35))),GJ[Debit])))-(SUM(IF((CkDJ[Date]=$A$4)*(CkDJ[Ofc Code]=(TRIM(M$7)))*(CkDJ[Account Code]=(TRIM($D35))),CkDJ[Credit])))+(SUM(IF((CsDJ[Date]=$A$4)*(CsDJ[Ofc Code]=(TRIM(M$7)))*(CsDJ[Account Code]=(TRIM($D35))),CsDJ[Credit])))+(SUM(IF((CRDJ[Date]=$A$4)*(CRDJ[Ofc Code]=(TRIM(M$7)))*(CRDJ[Account Code]=(TRIM($D35))),CRDJ[Credit])))+(SUM(IF((GJ[Date]=$A$4)*(GJ[Ofc Code]=(TRIM(M$7)))*(GJ[Account Code]=(TRIM($D35))),GJ[Credit])))</f>
        <v>0</v>
      </c>
      <c r="N35" s="211">
        <f t="shared" si="9"/>
        <v>0</v>
      </c>
      <c r="O35" s="211">
        <f t="array" ref="O35">(SUM(IF((CkDJ[Date]=$A$4)*(CkDJ[Ofc Code]=(TRIM(O$7)))*(CkDJ[Account Code]=(TRIM($D35))),CkDJ[Debit])))+(SUM(IF((CsDJ[Date]=$A$4)*(CsDJ[Ofc Code]=(TRIM(O$7)))*(CsDJ[Account Code]=(TRIM($D35))),CsDJ[Debit])))+(SUM(IF((CRDJ[Date]=$A$4)*(CRDJ[Ofc Code]=(TRIM(O$7)))*(CRDJ[Account Code]=(TRIM($D35))),CRDJ[Debit])))+(SUM(IF((GJ[Date]=$A$4)*(GJ[Ofc Code]=(TRIM(O$7)))*(GJ[Account Code]=(TRIM($D35))),GJ[Debit])))-(SUM(IF((CkDJ[Date]=$A$4)*(CkDJ[Ofc Code]=(TRIM(O$7)))*(CkDJ[Account Code]=(TRIM($D35))),CkDJ[Credit])))+(SUM(IF((CsDJ[Date]=$A$4)*(CsDJ[Ofc Code]=(TRIM(O$7)))*(CsDJ[Account Code]=(TRIM($D35))),CsDJ[Credit])))+(SUM(IF((CRDJ[Date]=$A$4)*(CRDJ[Ofc Code]=(TRIM(O$7)))*(CRDJ[Account Code]=(TRIM($D35))),CRDJ[Credit])))+(SUM(IF((GJ[Date]=$A$4)*(GJ[Ofc Code]=(TRIM(O$7)))*(GJ[Account Code]=(TRIM($D35))),GJ[Credit])))</f>
        <v>0</v>
      </c>
      <c r="P35" s="211">
        <f t="array" ref="P35">(SUM(IF((CkDJ[Date]=$A$4)*(CkDJ[Ofc Code]=(TRIM(P$7)))*(CkDJ[Account Code]=(TRIM($D35))),CkDJ[Debit])))+(SUM(IF((CsDJ[Date]=$A$4)*(CsDJ[Ofc Code]=(TRIM(P$7)))*(CsDJ[Account Code]=(TRIM($D35))),CsDJ[Debit])))+(SUM(IF((CRDJ[Date]=$A$4)*(CRDJ[Ofc Code]=(TRIM(P$7)))*(CRDJ[Account Code]=(TRIM($D35))),CRDJ[Debit])))+(SUM(IF((GJ[Date]=$A$4)*(GJ[Ofc Code]=(TRIM(P$7)))*(GJ[Account Code]=(TRIM($D35))),GJ[Debit])))-(SUM(IF((CkDJ[Date]=$A$4)*(CkDJ[Ofc Code]=(TRIM(P$7)))*(CkDJ[Account Code]=(TRIM($D35))),CkDJ[Credit])))+(SUM(IF((CsDJ[Date]=$A$4)*(CsDJ[Ofc Code]=(TRIM(P$7)))*(CsDJ[Account Code]=(TRIM($D35))),CsDJ[Credit])))+(SUM(IF((CRDJ[Date]=$A$4)*(CRDJ[Ofc Code]=(TRIM(P$7)))*(CRDJ[Account Code]=(TRIM($D35))),CRDJ[Credit])))+(SUM(IF((GJ[Date]=$A$4)*(GJ[Ofc Code]=(TRIM(P$7)))*(GJ[Account Code]=(TRIM($D35))),GJ[Credit])))</f>
        <v>0</v>
      </c>
      <c r="Q35" s="211">
        <f t="array" ref="Q35">(SUM(IF((CkDJ[Date]=$A$4)*(CkDJ[Ofc Code]=(TRIM(Q$7)))*(CkDJ[Account Code]=(TRIM($D35))),CkDJ[Debit])))+(SUM(IF((CsDJ[Date]=$A$4)*(CsDJ[Ofc Code]=(TRIM(Q$7)))*(CsDJ[Account Code]=(TRIM($D35))),CsDJ[Debit])))+(SUM(IF((CRDJ[Date]=$A$4)*(CRDJ[Ofc Code]=(TRIM(Q$7)))*(CRDJ[Account Code]=(TRIM($D35))),CRDJ[Debit])))+(SUM(IF((GJ[Date]=$A$4)*(GJ[Ofc Code]=(TRIM(Q$7)))*(GJ[Account Code]=(TRIM($D35))),GJ[Debit])))-(SUM(IF((CkDJ[Date]=$A$4)*(CkDJ[Ofc Code]=(TRIM(Q$7)))*(CkDJ[Account Code]=(TRIM($D35))),CkDJ[Credit])))+(SUM(IF((CsDJ[Date]=$A$4)*(CsDJ[Ofc Code]=(TRIM(Q$7)))*(CsDJ[Account Code]=(TRIM($D35))),CsDJ[Credit])))+(SUM(IF((CRDJ[Date]=$A$4)*(CRDJ[Ofc Code]=(TRIM(Q$7)))*(CRDJ[Account Code]=(TRIM($D35))),CRDJ[Credit])))+(SUM(IF((GJ[Date]=$A$4)*(GJ[Ofc Code]=(TRIM(Q$7)))*(GJ[Account Code]=(TRIM($D35))),GJ[Credit])))</f>
        <v>0</v>
      </c>
      <c r="R35" s="211">
        <f t="array" ref="R35">(SUM(IF((CkDJ[Date]=$A$4)*(CkDJ[Ofc Code]=(TRIM(R$7)))*(CkDJ[Account Code]=(TRIM($D35))),CkDJ[Debit])))+(SUM(IF((CsDJ[Date]=$A$4)*(CsDJ[Ofc Code]=(TRIM(R$7)))*(CsDJ[Account Code]=(TRIM($D35))),CsDJ[Debit])))+(SUM(IF((CRDJ[Date]=$A$4)*(CRDJ[Ofc Code]=(TRIM(R$7)))*(CRDJ[Account Code]=(TRIM($D35))),CRDJ[Debit])))+(SUM(IF((GJ[Date]=$A$4)*(GJ[Ofc Code]=(TRIM(R$7)))*(GJ[Account Code]=(TRIM($D35))),GJ[Debit])))-(SUM(IF((CkDJ[Date]=$A$4)*(CkDJ[Ofc Code]=(TRIM(R$7)))*(CkDJ[Account Code]=(TRIM($D35))),CkDJ[Credit])))+(SUM(IF((CsDJ[Date]=$A$4)*(CsDJ[Ofc Code]=(TRIM(R$7)))*(CsDJ[Account Code]=(TRIM($D35))),CsDJ[Credit])))+(SUM(IF((CRDJ[Date]=$A$4)*(CRDJ[Ofc Code]=(TRIM(R$7)))*(CRDJ[Account Code]=(TRIM($D35))),CRDJ[Credit])))+(SUM(IF((GJ[Date]=$A$4)*(GJ[Ofc Code]=(TRIM(R$7)))*(GJ[Account Code]=(TRIM($D35))),GJ[Credit])))</f>
        <v>0</v>
      </c>
      <c r="S35" s="211">
        <f t="array" ref="S35">(SUM(IF((CkDJ[Date]=$A$4)*(CkDJ[Ofc Code]=(TRIM(S$7)))*(CkDJ[Account Code]=(TRIM($D35))),CkDJ[Debit])))+(SUM(IF((CsDJ[Date]=$A$4)*(CsDJ[Ofc Code]=(TRIM(S$7)))*(CsDJ[Account Code]=(TRIM($D35))),CsDJ[Debit])))+(SUM(IF((CRDJ[Date]=$A$4)*(CRDJ[Ofc Code]=(TRIM(S$7)))*(CRDJ[Account Code]=(TRIM($D35))),CRDJ[Debit])))+(SUM(IF((GJ[Date]=$A$4)*(GJ[Ofc Code]=(TRIM(S$7)))*(GJ[Account Code]=(TRIM($D35))),GJ[Debit])))-(SUM(IF((CkDJ[Date]=$A$4)*(CkDJ[Ofc Code]=(TRIM(S$7)))*(CkDJ[Account Code]=(TRIM($D35))),CkDJ[Credit])))+(SUM(IF((CsDJ[Date]=$A$4)*(CsDJ[Ofc Code]=(TRIM(S$7)))*(CsDJ[Account Code]=(TRIM($D35))),CsDJ[Credit])))+(SUM(IF((CRDJ[Date]=$A$4)*(CRDJ[Ofc Code]=(TRIM(S$7)))*(CRDJ[Account Code]=(TRIM($D35))),CRDJ[Credit])))+(SUM(IF((GJ[Date]=$A$4)*(GJ[Ofc Code]=(TRIM(S$7)))*(GJ[Account Code]=(TRIM($D35))),GJ[Credit])))</f>
        <v>0</v>
      </c>
      <c r="T35" s="211">
        <f t="shared" si="10"/>
        <v>0</v>
      </c>
      <c r="U35" s="211">
        <f t="shared" si="11"/>
        <v>0</v>
      </c>
    </row>
    <row r="36" spans="1:21" ht="15" x14ac:dyDescent="0.25">
      <c r="A36" s="212">
        <f t="shared" si="12"/>
        <v>3</v>
      </c>
      <c r="B36" s="214" t="s">
        <v>756</v>
      </c>
      <c r="C36" s="194" t="str">
        <f t="shared" si="7"/>
        <v>Personal Economic Relief Allowance (PERA)</v>
      </c>
      <c r="D36" s="215">
        <v>711</v>
      </c>
      <c r="E36" s="211">
        <f t="array" ref="E36">(SUM(IF((CkDJ[Date]=$A$4)*(CkDJ[Ofc Code]=(TRIM(E$7)))*(CkDJ[Account Code]=(TRIM($D36))),CkDJ[Debit])))+(SUM(IF((CsDJ[Date]=$A$4)*(CsDJ[Ofc Code]=(TRIM(E$7)))*(CsDJ[Account Code]=(TRIM($D36))),CsDJ[Debit])))+(SUM(IF((CRDJ[Date]=$A$4)*(CRDJ[Ofc Code]=(TRIM(E$7)))*(CRDJ[Account Code]=(TRIM($D36))),CRDJ[Debit])))+(SUM(IF((GJ[Date]=$A$4)*(GJ[Ofc Code]=(TRIM(E$7)))*(GJ[Account Code]=(TRIM($D36))),GJ[Debit])))-(SUM(IF((CkDJ[Date]=$A$4)*(CkDJ[Ofc Code]=(TRIM(E$7)))*(CkDJ[Account Code]=(TRIM($D36))),CkDJ[Credit])))+(SUM(IF((CsDJ[Date]=$A$4)*(CsDJ[Ofc Code]=(TRIM(E$7)))*(CsDJ[Account Code]=(TRIM($D36))),CsDJ[Credit])))+(SUM(IF((CRDJ[Date]=$A$4)*(CRDJ[Ofc Code]=(TRIM(E$7)))*(CRDJ[Account Code]=(TRIM($D36))),CRDJ[Credit])))+(SUM(IF((GJ[Date]=$A$4)*(GJ[Ofc Code]=(TRIM(E$7)))*(GJ[Account Code]=(TRIM($D36))),GJ[Credit])))</f>
        <v>0</v>
      </c>
      <c r="F36" s="211">
        <f t="array" ref="F36">(SUM(IF((CkDJ[Date]=$A$4)*(CkDJ[Ofc Code]=(TRIM(F$7)))*(CkDJ[Account Code]=(TRIM($D36))),CkDJ[Debit])))+(SUM(IF((CsDJ[Date]=$A$4)*(CsDJ[Ofc Code]=(TRIM(F$7)))*(CsDJ[Account Code]=(TRIM($D36))),CsDJ[Debit])))+(SUM(IF((CRDJ[Date]=$A$4)*(CRDJ[Ofc Code]=(TRIM(F$7)))*(CRDJ[Account Code]=(TRIM($D36))),CRDJ[Debit])))+(SUM(IF((GJ[Date]=$A$4)*(GJ[Ofc Code]=(TRIM(F$7)))*(GJ[Account Code]=(TRIM($D36))),GJ[Debit])))-(SUM(IF((CkDJ[Date]=$A$4)*(CkDJ[Ofc Code]=(TRIM(F$7)))*(CkDJ[Account Code]=(TRIM($D36))),CkDJ[Credit])))+(SUM(IF((CsDJ[Date]=$A$4)*(CsDJ[Ofc Code]=(TRIM(F$7)))*(CsDJ[Account Code]=(TRIM($D36))),CsDJ[Credit])))+(SUM(IF((CRDJ[Date]=$A$4)*(CRDJ[Ofc Code]=(TRIM(F$7)))*(CRDJ[Account Code]=(TRIM($D36))),CRDJ[Credit])))+(SUM(IF((GJ[Date]=$A$4)*(GJ[Ofc Code]=(TRIM(F$7)))*(GJ[Account Code]=(TRIM($D36))),GJ[Credit])))</f>
        <v>0</v>
      </c>
      <c r="G36" s="211">
        <f t="array" ref="G36">(SUM(IF((CkDJ[Date]=$A$4)*(CkDJ[Ofc Code]=(TRIM(G$7)))*(CkDJ[Account Code]=(TRIM($D36))),CkDJ[Debit])))+(SUM(IF((CsDJ[Date]=$A$4)*(CsDJ[Ofc Code]=(TRIM(G$7)))*(CsDJ[Account Code]=(TRIM($D36))),CsDJ[Debit])))+(SUM(IF((CRDJ[Date]=$A$4)*(CRDJ[Ofc Code]=(TRIM(G$7)))*(CRDJ[Account Code]=(TRIM($D36))),CRDJ[Debit])))+(SUM(IF((GJ[Date]=$A$4)*(GJ[Ofc Code]=(TRIM(G$7)))*(GJ[Account Code]=(TRIM($D36))),GJ[Debit])))-(SUM(IF((CkDJ[Date]=$A$4)*(CkDJ[Ofc Code]=(TRIM(G$7)))*(CkDJ[Account Code]=(TRIM($D36))),CkDJ[Credit])))+(SUM(IF((CsDJ[Date]=$A$4)*(CsDJ[Ofc Code]=(TRIM(G$7)))*(CsDJ[Account Code]=(TRIM($D36))),CsDJ[Credit])))+(SUM(IF((CRDJ[Date]=$A$4)*(CRDJ[Ofc Code]=(TRIM(G$7)))*(CRDJ[Account Code]=(TRIM($D36))),CRDJ[Credit])))+(SUM(IF((GJ[Date]=$A$4)*(GJ[Ofc Code]=(TRIM(G$7)))*(GJ[Account Code]=(TRIM($D36))),GJ[Credit])))</f>
        <v>0</v>
      </c>
      <c r="H36" s="211">
        <f t="array" ref="H36">(SUM(IF((CkDJ[Date]=$A$4)*(CkDJ[Ofc Code]=(TRIM(H$7)))*(CkDJ[Account Code]=(TRIM($D36))),CkDJ[Debit])))+(SUM(IF((CsDJ[Date]=$A$4)*(CsDJ[Ofc Code]=(TRIM(H$7)))*(CsDJ[Account Code]=(TRIM($D36))),CsDJ[Debit])))+(SUM(IF((CRDJ[Date]=$A$4)*(CRDJ[Ofc Code]=(TRIM(H$7)))*(CRDJ[Account Code]=(TRIM($D36))),CRDJ[Debit])))+(SUM(IF((GJ[Date]=$A$4)*(GJ[Ofc Code]=(TRIM(H$7)))*(GJ[Account Code]=(TRIM($D36))),GJ[Debit])))-(SUM(IF((CkDJ[Date]=$A$4)*(CkDJ[Ofc Code]=(TRIM(H$7)))*(CkDJ[Account Code]=(TRIM($D36))),CkDJ[Credit])))+(SUM(IF((CsDJ[Date]=$A$4)*(CsDJ[Ofc Code]=(TRIM(H$7)))*(CsDJ[Account Code]=(TRIM($D36))),CsDJ[Credit])))+(SUM(IF((CRDJ[Date]=$A$4)*(CRDJ[Ofc Code]=(TRIM(H$7)))*(CRDJ[Account Code]=(TRIM($D36))),CRDJ[Credit])))+(SUM(IF((GJ[Date]=$A$4)*(GJ[Ofc Code]=(TRIM(H$7)))*(GJ[Account Code]=(TRIM($D36))),GJ[Credit])))</f>
        <v>0</v>
      </c>
      <c r="I36" s="211">
        <f t="shared" si="8"/>
        <v>0</v>
      </c>
      <c r="J36" s="211">
        <f t="array" ref="J36">(SUM(IF((CkDJ[Date]=$A$4)*(CkDJ[Ofc Code]=(TRIM(J$7)))*(CkDJ[Account Code]=(TRIM($D36))),CkDJ[Debit])))+(SUM(IF((CsDJ[Date]=$A$4)*(CsDJ[Ofc Code]=(TRIM(J$7)))*(CsDJ[Account Code]=(TRIM($D36))),CsDJ[Debit])))+(SUM(IF((CRDJ[Date]=$A$4)*(CRDJ[Ofc Code]=(TRIM(J$7)))*(CRDJ[Account Code]=(TRIM($D36))),CRDJ[Debit])))+(SUM(IF((GJ[Date]=$A$4)*(GJ[Ofc Code]=(TRIM(J$7)))*(GJ[Account Code]=(TRIM($D36))),GJ[Debit])))-(SUM(IF((CkDJ[Date]=$A$4)*(CkDJ[Ofc Code]=(TRIM(J$7)))*(CkDJ[Account Code]=(TRIM($D36))),CkDJ[Credit])))+(SUM(IF((CsDJ[Date]=$A$4)*(CsDJ[Ofc Code]=(TRIM(J$7)))*(CsDJ[Account Code]=(TRIM($D36))),CsDJ[Credit])))+(SUM(IF((CRDJ[Date]=$A$4)*(CRDJ[Ofc Code]=(TRIM(J$7)))*(CRDJ[Account Code]=(TRIM($D36))),CRDJ[Credit])))+(SUM(IF((GJ[Date]=$A$4)*(GJ[Ofc Code]=(TRIM(J$7)))*(GJ[Account Code]=(TRIM($D36))),GJ[Credit])))</f>
        <v>0</v>
      </c>
      <c r="K36" s="211">
        <f t="array" ref="K36">(SUM(IF((CkDJ[Date]=$A$4)*(CkDJ[Ofc Code]=(TRIM(K$7)))*(CkDJ[Account Code]=(TRIM($D36))),CkDJ[Debit])))+(SUM(IF((CsDJ[Date]=$A$4)*(CsDJ[Ofc Code]=(TRIM(K$7)))*(CsDJ[Account Code]=(TRIM($D36))),CsDJ[Debit])))+(SUM(IF((CRDJ[Date]=$A$4)*(CRDJ[Ofc Code]=(TRIM(K$7)))*(CRDJ[Account Code]=(TRIM($D36))),CRDJ[Debit])))+(SUM(IF((GJ[Date]=$A$4)*(GJ[Ofc Code]=(TRIM(K$7)))*(GJ[Account Code]=(TRIM($D36))),GJ[Debit])))-(SUM(IF((CkDJ[Date]=$A$4)*(CkDJ[Ofc Code]=(TRIM(K$7)))*(CkDJ[Account Code]=(TRIM($D36))),CkDJ[Credit])))+(SUM(IF((CsDJ[Date]=$A$4)*(CsDJ[Ofc Code]=(TRIM(K$7)))*(CsDJ[Account Code]=(TRIM($D36))),CsDJ[Credit])))+(SUM(IF((CRDJ[Date]=$A$4)*(CRDJ[Ofc Code]=(TRIM(K$7)))*(CRDJ[Account Code]=(TRIM($D36))),CRDJ[Credit])))+(SUM(IF((GJ[Date]=$A$4)*(GJ[Ofc Code]=(TRIM(K$7)))*(GJ[Account Code]=(TRIM($D36))),GJ[Credit])))</f>
        <v>0</v>
      </c>
      <c r="L36" s="211">
        <f t="array" ref="L36">(SUM(IF((CkDJ[Date]=$A$4)*(CkDJ[Ofc Code]=(TRIM(L$7)))*(CkDJ[Account Code]=(TRIM($D36))),CkDJ[Debit])))+(SUM(IF((CsDJ[Date]=$A$4)*(CsDJ[Ofc Code]=(TRIM(L$7)))*(CsDJ[Account Code]=(TRIM($D36))),CsDJ[Debit])))+(SUM(IF((CRDJ[Date]=$A$4)*(CRDJ[Ofc Code]=(TRIM(L$7)))*(CRDJ[Account Code]=(TRIM($D36))),CRDJ[Debit])))+(SUM(IF((GJ[Date]=$A$4)*(GJ[Ofc Code]=(TRIM(L$7)))*(GJ[Account Code]=(TRIM($D36))),GJ[Debit])))-(SUM(IF((CkDJ[Date]=$A$4)*(CkDJ[Ofc Code]=(TRIM(L$7)))*(CkDJ[Account Code]=(TRIM($D36))),CkDJ[Credit])))+(SUM(IF((CsDJ[Date]=$A$4)*(CsDJ[Ofc Code]=(TRIM(L$7)))*(CsDJ[Account Code]=(TRIM($D36))),CsDJ[Credit])))+(SUM(IF((CRDJ[Date]=$A$4)*(CRDJ[Ofc Code]=(TRIM(L$7)))*(CRDJ[Account Code]=(TRIM($D36))),CRDJ[Credit])))+(SUM(IF((GJ[Date]=$A$4)*(GJ[Ofc Code]=(TRIM(L$7)))*(GJ[Account Code]=(TRIM($D36))),GJ[Credit])))</f>
        <v>0</v>
      </c>
      <c r="M36" s="211">
        <f t="array" ref="M36">(SUM(IF((CkDJ[Date]=$A$4)*(CkDJ[Ofc Code]=(TRIM(M$7)))*(CkDJ[Account Code]=(TRIM($D36))),CkDJ[Debit])))+(SUM(IF((CsDJ[Date]=$A$4)*(CsDJ[Ofc Code]=(TRIM(M$7)))*(CsDJ[Account Code]=(TRIM($D36))),CsDJ[Debit])))+(SUM(IF((CRDJ[Date]=$A$4)*(CRDJ[Ofc Code]=(TRIM(M$7)))*(CRDJ[Account Code]=(TRIM($D36))),CRDJ[Debit])))+(SUM(IF((GJ[Date]=$A$4)*(GJ[Ofc Code]=(TRIM(M$7)))*(GJ[Account Code]=(TRIM($D36))),GJ[Debit])))-(SUM(IF((CkDJ[Date]=$A$4)*(CkDJ[Ofc Code]=(TRIM(M$7)))*(CkDJ[Account Code]=(TRIM($D36))),CkDJ[Credit])))+(SUM(IF((CsDJ[Date]=$A$4)*(CsDJ[Ofc Code]=(TRIM(M$7)))*(CsDJ[Account Code]=(TRIM($D36))),CsDJ[Credit])))+(SUM(IF((CRDJ[Date]=$A$4)*(CRDJ[Ofc Code]=(TRIM(M$7)))*(CRDJ[Account Code]=(TRIM($D36))),CRDJ[Credit])))+(SUM(IF((GJ[Date]=$A$4)*(GJ[Ofc Code]=(TRIM(M$7)))*(GJ[Account Code]=(TRIM($D36))),GJ[Credit])))</f>
        <v>0</v>
      </c>
      <c r="N36" s="211">
        <f t="shared" si="9"/>
        <v>0</v>
      </c>
      <c r="O36" s="211">
        <f t="array" ref="O36">(SUM(IF((CkDJ[Date]=$A$4)*(CkDJ[Ofc Code]=(TRIM(O$7)))*(CkDJ[Account Code]=(TRIM($D36))),CkDJ[Debit])))+(SUM(IF((CsDJ[Date]=$A$4)*(CsDJ[Ofc Code]=(TRIM(O$7)))*(CsDJ[Account Code]=(TRIM($D36))),CsDJ[Debit])))+(SUM(IF((CRDJ[Date]=$A$4)*(CRDJ[Ofc Code]=(TRIM(O$7)))*(CRDJ[Account Code]=(TRIM($D36))),CRDJ[Debit])))+(SUM(IF((GJ[Date]=$A$4)*(GJ[Ofc Code]=(TRIM(O$7)))*(GJ[Account Code]=(TRIM($D36))),GJ[Debit])))-(SUM(IF((CkDJ[Date]=$A$4)*(CkDJ[Ofc Code]=(TRIM(O$7)))*(CkDJ[Account Code]=(TRIM($D36))),CkDJ[Credit])))+(SUM(IF((CsDJ[Date]=$A$4)*(CsDJ[Ofc Code]=(TRIM(O$7)))*(CsDJ[Account Code]=(TRIM($D36))),CsDJ[Credit])))+(SUM(IF((CRDJ[Date]=$A$4)*(CRDJ[Ofc Code]=(TRIM(O$7)))*(CRDJ[Account Code]=(TRIM($D36))),CRDJ[Credit])))+(SUM(IF((GJ[Date]=$A$4)*(GJ[Ofc Code]=(TRIM(O$7)))*(GJ[Account Code]=(TRIM($D36))),GJ[Credit])))</f>
        <v>0</v>
      </c>
      <c r="P36" s="211">
        <f t="array" ref="P36">(SUM(IF((CkDJ[Date]=$A$4)*(CkDJ[Ofc Code]=(TRIM(P$7)))*(CkDJ[Account Code]=(TRIM($D36))),CkDJ[Debit])))+(SUM(IF((CsDJ[Date]=$A$4)*(CsDJ[Ofc Code]=(TRIM(P$7)))*(CsDJ[Account Code]=(TRIM($D36))),CsDJ[Debit])))+(SUM(IF((CRDJ[Date]=$A$4)*(CRDJ[Ofc Code]=(TRIM(P$7)))*(CRDJ[Account Code]=(TRIM($D36))),CRDJ[Debit])))+(SUM(IF((GJ[Date]=$A$4)*(GJ[Ofc Code]=(TRIM(P$7)))*(GJ[Account Code]=(TRIM($D36))),GJ[Debit])))-(SUM(IF((CkDJ[Date]=$A$4)*(CkDJ[Ofc Code]=(TRIM(P$7)))*(CkDJ[Account Code]=(TRIM($D36))),CkDJ[Credit])))+(SUM(IF((CsDJ[Date]=$A$4)*(CsDJ[Ofc Code]=(TRIM(P$7)))*(CsDJ[Account Code]=(TRIM($D36))),CsDJ[Credit])))+(SUM(IF((CRDJ[Date]=$A$4)*(CRDJ[Ofc Code]=(TRIM(P$7)))*(CRDJ[Account Code]=(TRIM($D36))),CRDJ[Credit])))+(SUM(IF((GJ[Date]=$A$4)*(GJ[Ofc Code]=(TRIM(P$7)))*(GJ[Account Code]=(TRIM($D36))),GJ[Credit])))</f>
        <v>0</v>
      </c>
      <c r="Q36" s="211">
        <f t="array" ref="Q36">(SUM(IF((CkDJ[Date]=$A$4)*(CkDJ[Ofc Code]=(TRIM(Q$7)))*(CkDJ[Account Code]=(TRIM($D36))),CkDJ[Debit])))+(SUM(IF((CsDJ[Date]=$A$4)*(CsDJ[Ofc Code]=(TRIM(Q$7)))*(CsDJ[Account Code]=(TRIM($D36))),CsDJ[Debit])))+(SUM(IF((CRDJ[Date]=$A$4)*(CRDJ[Ofc Code]=(TRIM(Q$7)))*(CRDJ[Account Code]=(TRIM($D36))),CRDJ[Debit])))+(SUM(IF((GJ[Date]=$A$4)*(GJ[Ofc Code]=(TRIM(Q$7)))*(GJ[Account Code]=(TRIM($D36))),GJ[Debit])))-(SUM(IF((CkDJ[Date]=$A$4)*(CkDJ[Ofc Code]=(TRIM(Q$7)))*(CkDJ[Account Code]=(TRIM($D36))),CkDJ[Credit])))+(SUM(IF((CsDJ[Date]=$A$4)*(CsDJ[Ofc Code]=(TRIM(Q$7)))*(CsDJ[Account Code]=(TRIM($D36))),CsDJ[Credit])))+(SUM(IF((CRDJ[Date]=$A$4)*(CRDJ[Ofc Code]=(TRIM(Q$7)))*(CRDJ[Account Code]=(TRIM($D36))),CRDJ[Credit])))+(SUM(IF((GJ[Date]=$A$4)*(GJ[Ofc Code]=(TRIM(Q$7)))*(GJ[Account Code]=(TRIM($D36))),GJ[Credit])))</f>
        <v>0</v>
      </c>
      <c r="R36" s="211">
        <f t="array" ref="R36">(SUM(IF((CkDJ[Date]=$A$4)*(CkDJ[Ofc Code]=(TRIM(R$7)))*(CkDJ[Account Code]=(TRIM($D36))),CkDJ[Debit])))+(SUM(IF((CsDJ[Date]=$A$4)*(CsDJ[Ofc Code]=(TRIM(R$7)))*(CsDJ[Account Code]=(TRIM($D36))),CsDJ[Debit])))+(SUM(IF((CRDJ[Date]=$A$4)*(CRDJ[Ofc Code]=(TRIM(R$7)))*(CRDJ[Account Code]=(TRIM($D36))),CRDJ[Debit])))+(SUM(IF((GJ[Date]=$A$4)*(GJ[Ofc Code]=(TRIM(R$7)))*(GJ[Account Code]=(TRIM($D36))),GJ[Debit])))-(SUM(IF((CkDJ[Date]=$A$4)*(CkDJ[Ofc Code]=(TRIM(R$7)))*(CkDJ[Account Code]=(TRIM($D36))),CkDJ[Credit])))+(SUM(IF((CsDJ[Date]=$A$4)*(CsDJ[Ofc Code]=(TRIM(R$7)))*(CsDJ[Account Code]=(TRIM($D36))),CsDJ[Credit])))+(SUM(IF((CRDJ[Date]=$A$4)*(CRDJ[Ofc Code]=(TRIM(R$7)))*(CRDJ[Account Code]=(TRIM($D36))),CRDJ[Credit])))+(SUM(IF((GJ[Date]=$A$4)*(GJ[Ofc Code]=(TRIM(R$7)))*(GJ[Account Code]=(TRIM($D36))),GJ[Credit])))</f>
        <v>0</v>
      </c>
      <c r="S36" s="211">
        <f t="array" ref="S36">(SUM(IF((CkDJ[Date]=$A$4)*(CkDJ[Ofc Code]=(TRIM(S$7)))*(CkDJ[Account Code]=(TRIM($D36))),CkDJ[Debit])))+(SUM(IF((CsDJ[Date]=$A$4)*(CsDJ[Ofc Code]=(TRIM(S$7)))*(CsDJ[Account Code]=(TRIM($D36))),CsDJ[Debit])))+(SUM(IF((CRDJ[Date]=$A$4)*(CRDJ[Ofc Code]=(TRIM(S$7)))*(CRDJ[Account Code]=(TRIM($D36))),CRDJ[Debit])))+(SUM(IF((GJ[Date]=$A$4)*(GJ[Ofc Code]=(TRIM(S$7)))*(GJ[Account Code]=(TRIM($D36))),GJ[Debit])))-(SUM(IF((CkDJ[Date]=$A$4)*(CkDJ[Ofc Code]=(TRIM(S$7)))*(CkDJ[Account Code]=(TRIM($D36))),CkDJ[Credit])))+(SUM(IF((CsDJ[Date]=$A$4)*(CsDJ[Ofc Code]=(TRIM(S$7)))*(CsDJ[Account Code]=(TRIM($D36))),CsDJ[Credit])))+(SUM(IF((CRDJ[Date]=$A$4)*(CRDJ[Ofc Code]=(TRIM(S$7)))*(CRDJ[Account Code]=(TRIM($D36))),CRDJ[Credit])))+(SUM(IF((GJ[Date]=$A$4)*(GJ[Ofc Code]=(TRIM(S$7)))*(GJ[Account Code]=(TRIM($D36))),GJ[Credit])))</f>
        <v>0</v>
      </c>
      <c r="T36" s="211">
        <f t="shared" si="10"/>
        <v>0</v>
      </c>
      <c r="U36" s="211">
        <f t="shared" si="11"/>
        <v>0</v>
      </c>
    </row>
    <row r="37" spans="1:21" ht="15" x14ac:dyDescent="0.25">
      <c r="A37" s="212">
        <f t="shared" si="12"/>
        <v>4</v>
      </c>
      <c r="B37" s="214" t="s">
        <v>756</v>
      </c>
      <c r="C37" s="194" t="str">
        <f t="shared" si="7"/>
        <v>Representation Allowance (RA)</v>
      </c>
      <c r="D37" s="215">
        <v>713</v>
      </c>
      <c r="E37" s="211">
        <f t="array" ref="E37">(SUM(IF((CkDJ[Date]=$A$4)*(CkDJ[Ofc Code]=(TRIM(E$7)))*(CkDJ[Account Code]=(TRIM($D37))),CkDJ[Debit])))+(SUM(IF((CsDJ[Date]=$A$4)*(CsDJ[Ofc Code]=(TRIM(E$7)))*(CsDJ[Account Code]=(TRIM($D37))),CsDJ[Debit])))+(SUM(IF((CRDJ[Date]=$A$4)*(CRDJ[Ofc Code]=(TRIM(E$7)))*(CRDJ[Account Code]=(TRIM($D37))),CRDJ[Debit])))+(SUM(IF((GJ[Date]=$A$4)*(GJ[Ofc Code]=(TRIM(E$7)))*(GJ[Account Code]=(TRIM($D37))),GJ[Debit])))-(SUM(IF((CkDJ[Date]=$A$4)*(CkDJ[Ofc Code]=(TRIM(E$7)))*(CkDJ[Account Code]=(TRIM($D37))),CkDJ[Credit])))+(SUM(IF((CsDJ[Date]=$A$4)*(CsDJ[Ofc Code]=(TRIM(E$7)))*(CsDJ[Account Code]=(TRIM($D37))),CsDJ[Credit])))+(SUM(IF((CRDJ[Date]=$A$4)*(CRDJ[Ofc Code]=(TRIM(E$7)))*(CRDJ[Account Code]=(TRIM($D37))),CRDJ[Credit])))+(SUM(IF((GJ[Date]=$A$4)*(GJ[Ofc Code]=(TRIM(E$7)))*(GJ[Account Code]=(TRIM($D37))),GJ[Credit])))</f>
        <v>0</v>
      </c>
      <c r="F37" s="211">
        <f t="array" ref="F37">(SUM(IF((CkDJ[Date]=$A$4)*(CkDJ[Ofc Code]=(TRIM(F$7)))*(CkDJ[Account Code]=(TRIM($D37))),CkDJ[Debit])))+(SUM(IF((CsDJ[Date]=$A$4)*(CsDJ[Ofc Code]=(TRIM(F$7)))*(CsDJ[Account Code]=(TRIM($D37))),CsDJ[Debit])))+(SUM(IF((CRDJ[Date]=$A$4)*(CRDJ[Ofc Code]=(TRIM(F$7)))*(CRDJ[Account Code]=(TRIM($D37))),CRDJ[Debit])))+(SUM(IF((GJ[Date]=$A$4)*(GJ[Ofc Code]=(TRIM(F$7)))*(GJ[Account Code]=(TRIM($D37))),GJ[Debit])))-(SUM(IF((CkDJ[Date]=$A$4)*(CkDJ[Ofc Code]=(TRIM(F$7)))*(CkDJ[Account Code]=(TRIM($D37))),CkDJ[Credit])))+(SUM(IF((CsDJ[Date]=$A$4)*(CsDJ[Ofc Code]=(TRIM(F$7)))*(CsDJ[Account Code]=(TRIM($D37))),CsDJ[Credit])))+(SUM(IF((CRDJ[Date]=$A$4)*(CRDJ[Ofc Code]=(TRIM(F$7)))*(CRDJ[Account Code]=(TRIM($D37))),CRDJ[Credit])))+(SUM(IF((GJ[Date]=$A$4)*(GJ[Ofc Code]=(TRIM(F$7)))*(GJ[Account Code]=(TRIM($D37))),GJ[Credit])))</f>
        <v>0</v>
      </c>
      <c r="G37" s="211">
        <f t="array" ref="G37">(SUM(IF((CkDJ[Date]=$A$4)*(CkDJ[Ofc Code]=(TRIM(G$7)))*(CkDJ[Account Code]=(TRIM($D37))),CkDJ[Debit])))+(SUM(IF((CsDJ[Date]=$A$4)*(CsDJ[Ofc Code]=(TRIM(G$7)))*(CsDJ[Account Code]=(TRIM($D37))),CsDJ[Debit])))+(SUM(IF((CRDJ[Date]=$A$4)*(CRDJ[Ofc Code]=(TRIM(G$7)))*(CRDJ[Account Code]=(TRIM($D37))),CRDJ[Debit])))+(SUM(IF((GJ[Date]=$A$4)*(GJ[Ofc Code]=(TRIM(G$7)))*(GJ[Account Code]=(TRIM($D37))),GJ[Debit])))-(SUM(IF((CkDJ[Date]=$A$4)*(CkDJ[Ofc Code]=(TRIM(G$7)))*(CkDJ[Account Code]=(TRIM($D37))),CkDJ[Credit])))+(SUM(IF((CsDJ[Date]=$A$4)*(CsDJ[Ofc Code]=(TRIM(G$7)))*(CsDJ[Account Code]=(TRIM($D37))),CsDJ[Credit])))+(SUM(IF((CRDJ[Date]=$A$4)*(CRDJ[Ofc Code]=(TRIM(G$7)))*(CRDJ[Account Code]=(TRIM($D37))),CRDJ[Credit])))+(SUM(IF((GJ[Date]=$A$4)*(GJ[Ofc Code]=(TRIM(G$7)))*(GJ[Account Code]=(TRIM($D37))),GJ[Credit])))</f>
        <v>0</v>
      </c>
      <c r="H37" s="211">
        <f t="array" ref="H37">(SUM(IF((CkDJ[Date]=$A$4)*(CkDJ[Ofc Code]=(TRIM(H$7)))*(CkDJ[Account Code]=(TRIM($D37))),CkDJ[Debit])))+(SUM(IF((CsDJ[Date]=$A$4)*(CsDJ[Ofc Code]=(TRIM(H$7)))*(CsDJ[Account Code]=(TRIM($D37))),CsDJ[Debit])))+(SUM(IF((CRDJ[Date]=$A$4)*(CRDJ[Ofc Code]=(TRIM(H$7)))*(CRDJ[Account Code]=(TRIM($D37))),CRDJ[Debit])))+(SUM(IF((GJ[Date]=$A$4)*(GJ[Ofc Code]=(TRIM(H$7)))*(GJ[Account Code]=(TRIM($D37))),GJ[Debit])))-(SUM(IF((CkDJ[Date]=$A$4)*(CkDJ[Ofc Code]=(TRIM(H$7)))*(CkDJ[Account Code]=(TRIM($D37))),CkDJ[Credit])))+(SUM(IF((CsDJ[Date]=$A$4)*(CsDJ[Ofc Code]=(TRIM(H$7)))*(CsDJ[Account Code]=(TRIM($D37))),CsDJ[Credit])))+(SUM(IF((CRDJ[Date]=$A$4)*(CRDJ[Ofc Code]=(TRIM(H$7)))*(CRDJ[Account Code]=(TRIM($D37))),CRDJ[Credit])))+(SUM(IF((GJ[Date]=$A$4)*(GJ[Ofc Code]=(TRIM(H$7)))*(GJ[Account Code]=(TRIM($D37))),GJ[Credit])))</f>
        <v>0</v>
      </c>
      <c r="I37" s="211">
        <f t="shared" si="8"/>
        <v>0</v>
      </c>
      <c r="J37" s="211">
        <f t="array" ref="J37">(SUM(IF((CkDJ[Date]=$A$4)*(CkDJ[Ofc Code]=(TRIM(J$7)))*(CkDJ[Account Code]=(TRIM($D37))),CkDJ[Debit])))+(SUM(IF((CsDJ[Date]=$A$4)*(CsDJ[Ofc Code]=(TRIM(J$7)))*(CsDJ[Account Code]=(TRIM($D37))),CsDJ[Debit])))+(SUM(IF((CRDJ[Date]=$A$4)*(CRDJ[Ofc Code]=(TRIM(J$7)))*(CRDJ[Account Code]=(TRIM($D37))),CRDJ[Debit])))+(SUM(IF((GJ[Date]=$A$4)*(GJ[Ofc Code]=(TRIM(J$7)))*(GJ[Account Code]=(TRIM($D37))),GJ[Debit])))-(SUM(IF((CkDJ[Date]=$A$4)*(CkDJ[Ofc Code]=(TRIM(J$7)))*(CkDJ[Account Code]=(TRIM($D37))),CkDJ[Credit])))+(SUM(IF((CsDJ[Date]=$A$4)*(CsDJ[Ofc Code]=(TRIM(J$7)))*(CsDJ[Account Code]=(TRIM($D37))),CsDJ[Credit])))+(SUM(IF((CRDJ[Date]=$A$4)*(CRDJ[Ofc Code]=(TRIM(J$7)))*(CRDJ[Account Code]=(TRIM($D37))),CRDJ[Credit])))+(SUM(IF((GJ[Date]=$A$4)*(GJ[Ofc Code]=(TRIM(J$7)))*(GJ[Account Code]=(TRIM($D37))),GJ[Credit])))</f>
        <v>0</v>
      </c>
      <c r="K37" s="211">
        <f t="array" ref="K37">(SUM(IF((CkDJ[Date]=$A$4)*(CkDJ[Ofc Code]=(TRIM(K$7)))*(CkDJ[Account Code]=(TRIM($D37))),CkDJ[Debit])))+(SUM(IF((CsDJ[Date]=$A$4)*(CsDJ[Ofc Code]=(TRIM(K$7)))*(CsDJ[Account Code]=(TRIM($D37))),CsDJ[Debit])))+(SUM(IF((CRDJ[Date]=$A$4)*(CRDJ[Ofc Code]=(TRIM(K$7)))*(CRDJ[Account Code]=(TRIM($D37))),CRDJ[Debit])))+(SUM(IF((GJ[Date]=$A$4)*(GJ[Ofc Code]=(TRIM(K$7)))*(GJ[Account Code]=(TRIM($D37))),GJ[Debit])))-(SUM(IF((CkDJ[Date]=$A$4)*(CkDJ[Ofc Code]=(TRIM(K$7)))*(CkDJ[Account Code]=(TRIM($D37))),CkDJ[Credit])))+(SUM(IF((CsDJ[Date]=$A$4)*(CsDJ[Ofc Code]=(TRIM(K$7)))*(CsDJ[Account Code]=(TRIM($D37))),CsDJ[Credit])))+(SUM(IF((CRDJ[Date]=$A$4)*(CRDJ[Ofc Code]=(TRIM(K$7)))*(CRDJ[Account Code]=(TRIM($D37))),CRDJ[Credit])))+(SUM(IF((GJ[Date]=$A$4)*(GJ[Ofc Code]=(TRIM(K$7)))*(GJ[Account Code]=(TRIM($D37))),GJ[Credit])))</f>
        <v>0</v>
      </c>
      <c r="L37" s="211">
        <f t="array" ref="L37">(SUM(IF((CkDJ[Date]=$A$4)*(CkDJ[Ofc Code]=(TRIM(L$7)))*(CkDJ[Account Code]=(TRIM($D37))),CkDJ[Debit])))+(SUM(IF((CsDJ[Date]=$A$4)*(CsDJ[Ofc Code]=(TRIM(L$7)))*(CsDJ[Account Code]=(TRIM($D37))),CsDJ[Debit])))+(SUM(IF((CRDJ[Date]=$A$4)*(CRDJ[Ofc Code]=(TRIM(L$7)))*(CRDJ[Account Code]=(TRIM($D37))),CRDJ[Debit])))+(SUM(IF((GJ[Date]=$A$4)*(GJ[Ofc Code]=(TRIM(L$7)))*(GJ[Account Code]=(TRIM($D37))),GJ[Debit])))-(SUM(IF((CkDJ[Date]=$A$4)*(CkDJ[Ofc Code]=(TRIM(L$7)))*(CkDJ[Account Code]=(TRIM($D37))),CkDJ[Credit])))+(SUM(IF((CsDJ[Date]=$A$4)*(CsDJ[Ofc Code]=(TRIM(L$7)))*(CsDJ[Account Code]=(TRIM($D37))),CsDJ[Credit])))+(SUM(IF((CRDJ[Date]=$A$4)*(CRDJ[Ofc Code]=(TRIM(L$7)))*(CRDJ[Account Code]=(TRIM($D37))),CRDJ[Credit])))+(SUM(IF((GJ[Date]=$A$4)*(GJ[Ofc Code]=(TRIM(L$7)))*(GJ[Account Code]=(TRIM($D37))),GJ[Credit])))</f>
        <v>0</v>
      </c>
      <c r="M37" s="211">
        <f t="array" ref="M37">(SUM(IF((CkDJ[Date]=$A$4)*(CkDJ[Ofc Code]=(TRIM(M$7)))*(CkDJ[Account Code]=(TRIM($D37))),CkDJ[Debit])))+(SUM(IF((CsDJ[Date]=$A$4)*(CsDJ[Ofc Code]=(TRIM(M$7)))*(CsDJ[Account Code]=(TRIM($D37))),CsDJ[Debit])))+(SUM(IF((CRDJ[Date]=$A$4)*(CRDJ[Ofc Code]=(TRIM(M$7)))*(CRDJ[Account Code]=(TRIM($D37))),CRDJ[Debit])))+(SUM(IF((GJ[Date]=$A$4)*(GJ[Ofc Code]=(TRIM(M$7)))*(GJ[Account Code]=(TRIM($D37))),GJ[Debit])))-(SUM(IF((CkDJ[Date]=$A$4)*(CkDJ[Ofc Code]=(TRIM(M$7)))*(CkDJ[Account Code]=(TRIM($D37))),CkDJ[Credit])))+(SUM(IF((CsDJ[Date]=$A$4)*(CsDJ[Ofc Code]=(TRIM(M$7)))*(CsDJ[Account Code]=(TRIM($D37))),CsDJ[Credit])))+(SUM(IF((CRDJ[Date]=$A$4)*(CRDJ[Ofc Code]=(TRIM(M$7)))*(CRDJ[Account Code]=(TRIM($D37))),CRDJ[Credit])))+(SUM(IF((GJ[Date]=$A$4)*(GJ[Ofc Code]=(TRIM(M$7)))*(GJ[Account Code]=(TRIM($D37))),GJ[Credit])))</f>
        <v>0</v>
      </c>
      <c r="N37" s="211">
        <f t="shared" si="9"/>
        <v>0</v>
      </c>
      <c r="O37" s="211">
        <f t="array" ref="O37">(SUM(IF((CkDJ[Date]=$A$4)*(CkDJ[Ofc Code]=(TRIM(O$7)))*(CkDJ[Account Code]=(TRIM($D37))),CkDJ[Debit])))+(SUM(IF((CsDJ[Date]=$A$4)*(CsDJ[Ofc Code]=(TRIM(O$7)))*(CsDJ[Account Code]=(TRIM($D37))),CsDJ[Debit])))+(SUM(IF((CRDJ[Date]=$A$4)*(CRDJ[Ofc Code]=(TRIM(O$7)))*(CRDJ[Account Code]=(TRIM($D37))),CRDJ[Debit])))+(SUM(IF((GJ[Date]=$A$4)*(GJ[Ofc Code]=(TRIM(O$7)))*(GJ[Account Code]=(TRIM($D37))),GJ[Debit])))-(SUM(IF((CkDJ[Date]=$A$4)*(CkDJ[Ofc Code]=(TRIM(O$7)))*(CkDJ[Account Code]=(TRIM($D37))),CkDJ[Credit])))+(SUM(IF((CsDJ[Date]=$A$4)*(CsDJ[Ofc Code]=(TRIM(O$7)))*(CsDJ[Account Code]=(TRIM($D37))),CsDJ[Credit])))+(SUM(IF((CRDJ[Date]=$A$4)*(CRDJ[Ofc Code]=(TRIM(O$7)))*(CRDJ[Account Code]=(TRIM($D37))),CRDJ[Credit])))+(SUM(IF((GJ[Date]=$A$4)*(GJ[Ofc Code]=(TRIM(O$7)))*(GJ[Account Code]=(TRIM($D37))),GJ[Credit])))</f>
        <v>0</v>
      </c>
      <c r="P37" s="211">
        <f t="array" ref="P37">(SUM(IF((CkDJ[Date]=$A$4)*(CkDJ[Ofc Code]=(TRIM(P$7)))*(CkDJ[Account Code]=(TRIM($D37))),CkDJ[Debit])))+(SUM(IF((CsDJ[Date]=$A$4)*(CsDJ[Ofc Code]=(TRIM(P$7)))*(CsDJ[Account Code]=(TRIM($D37))),CsDJ[Debit])))+(SUM(IF((CRDJ[Date]=$A$4)*(CRDJ[Ofc Code]=(TRIM(P$7)))*(CRDJ[Account Code]=(TRIM($D37))),CRDJ[Debit])))+(SUM(IF((GJ[Date]=$A$4)*(GJ[Ofc Code]=(TRIM(P$7)))*(GJ[Account Code]=(TRIM($D37))),GJ[Debit])))-(SUM(IF((CkDJ[Date]=$A$4)*(CkDJ[Ofc Code]=(TRIM(P$7)))*(CkDJ[Account Code]=(TRIM($D37))),CkDJ[Credit])))+(SUM(IF((CsDJ[Date]=$A$4)*(CsDJ[Ofc Code]=(TRIM(P$7)))*(CsDJ[Account Code]=(TRIM($D37))),CsDJ[Credit])))+(SUM(IF((CRDJ[Date]=$A$4)*(CRDJ[Ofc Code]=(TRIM(P$7)))*(CRDJ[Account Code]=(TRIM($D37))),CRDJ[Credit])))+(SUM(IF((GJ[Date]=$A$4)*(GJ[Ofc Code]=(TRIM(P$7)))*(GJ[Account Code]=(TRIM($D37))),GJ[Credit])))</f>
        <v>0</v>
      </c>
      <c r="Q37" s="211">
        <f t="array" ref="Q37">(SUM(IF((CkDJ[Date]=$A$4)*(CkDJ[Ofc Code]=(TRIM(Q$7)))*(CkDJ[Account Code]=(TRIM($D37))),CkDJ[Debit])))+(SUM(IF((CsDJ[Date]=$A$4)*(CsDJ[Ofc Code]=(TRIM(Q$7)))*(CsDJ[Account Code]=(TRIM($D37))),CsDJ[Debit])))+(SUM(IF((CRDJ[Date]=$A$4)*(CRDJ[Ofc Code]=(TRIM(Q$7)))*(CRDJ[Account Code]=(TRIM($D37))),CRDJ[Debit])))+(SUM(IF((GJ[Date]=$A$4)*(GJ[Ofc Code]=(TRIM(Q$7)))*(GJ[Account Code]=(TRIM($D37))),GJ[Debit])))-(SUM(IF((CkDJ[Date]=$A$4)*(CkDJ[Ofc Code]=(TRIM(Q$7)))*(CkDJ[Account Code]=(TRIM($D37))),CkDJ[Credit])))+(SUM(IF((CsDJ[Date]=$A$4)*(CsDJ[Ofc Code]=(TRIM(Q$7)))*(CsDJ[Account Code]=(TRIM($D37))),CsDJ[Credit])))+(SUM(IF((CRDJ[Date]=$A$4)*(CRDJ[Ofc Code]=(TRIM(Q$7)))*(CRDJ[Account Code]=(TRIM($D37))),CRDJ[Credit])))+(SUM(IF((GJ[Date]=$A$4)*(GJ[Ofc Code]=(TRIM(Q$7)))*(GJ[Account Code]=(TRIM($D37))),GJ[Credit])))</f>
        <v>0</v>
      </c>
      <c r="R37" s="211">
        <f t="array" ref="R37">(SUM(IF((CkDJ[Date]=$A$4)*(CkDJ[Ofc Code]=(TRIM(R$7)))*(CkDJ[Account Code]=(TRIM($D37))),CkDJ[Debit])))+(SUM(IF((CsDJ[Date]=$A$4)*(CsDJ[Ofc Code]=(TRIM(R$7)))*(CsDJ[Account Code]=(TRIM($D37))),CsDJ[Debit])))+(SUM(IF((CRDJ[Date]=$A$4)*(CRDJ[Ofc Code]=(TRIM(R$7)))*(CRDJ[Account Code]=(TRIM($D37))),CRDJ[Debit])))+(SUM(IF((GJ[Date]=$A$4)*(GJ[Ofc Code]=(TRIM(R$7)))*(GJ[Account Code]=(TRIM($D37))),GJ[Debit])))-(SUM(IF((CkDJ[Date]=$A$4)*(CkDJ[Ofc Code]=(TRIM(R$7)))*(CkDJ[Account Code]=(TRIM($D37))),CkDJ[Credit])))+(SUM(IF((CsDJ[Date]=$A$4)*(CsDJ[Ofc Code]=(TRIM(R$7)))*(CsDJ[Account Code]=(TRIM($D37))),CsDJ[Credit])))+(SUM(IF((CRDJ[Date]=$A$4)*(CRDJ[Ofc Code]=(TRIM(R$7)))*(CRDJ[Account Code]=(TRIM($D37))),CRDJ[Credit])))+(SUM(IF((GJ[Date]=$A$4)*(GJ[Ofc Code]=(TRIM(R$7)))*(GJ[Account Code]=(TRIM($D37))),GJ[Credit])))</f>
        <v>0</v>
      </c>
      <c r="S37" s="211">
        <f t="array" ref="S37">(SUM(IF((CkDJ[Date]=$A$4)*(CkDJ[Ofc Code]=(TRIM(S$7)))*(CkDJ[Account Code]=(TRIM($D37))),CkDJ[Debit])))+(SUM(IF((CsDJ[Date]=$A$4)*(CsDJ[Ofc Code]=(TRIM(S$7)))*(CsDJ[Account Code]=(TRIM($D37))),CsDJ[Debit])))+(SUM(IF((CRDJ[Date]=$A$4)*(CRDJ[Ofc Code]=(TRIM(S$7)))*(CRDJ[Account Code]=(TRIM($D37))),CRDJ[Debit])))+(SUM(IF((GJ[Date]=$A$4)*(GJ[Ofc Code]=(TRIM(S$7)))*(GJ[Account Code]=(TRIM($D37))),GJ[Debit])))-(SUM(IF((CkDJ[Date]=$A$4)*(CkDJ[Ofc Code]=(TRIM(S$7)))*(CkDJ[Account Code]=(TRIM($D37))),CkDJ[Credit])))+(SUM(IF((CsDJ[Date]=$A$4)*(CsDJ[Ofc Code]=(TRIM(S$7)))*(CsDJ[Account Code]=(TRIM($D37))),CsDJ[Credit])))+(SUM(IF((CRDJ[Date]=$A$4)*(CRDJ[Ofc Code]=(TRIM(S$7)))*(CRDJ[Account Code]=(TRIM($D37))),CRDJ[Credit])))+(SUM(IF((GJ[Date]=$A$4)*(GJ[Ofc Code]=(TRIM(S$7)))*(GJ[Account Code]=(TRIM($D37))),GJ[Credit])))</f>
        <v>0</v>
      </c>
      <c r="T37" s="211">
        <f t="shared" si="10"/>
        <v>0</v>
      </c>
      <c r="U37" s="211">
        <f t="shared" si="11"/>
        <v>0</v>
      </c>
    </row>
    <row r="38" spans="1:21" ht="15" x14ac:dyDescent="0.25">
      <c r="A38" s="212">
        <f t="shared" si="12"/>
        <v>5</v>
      </c>
      <c r="B38" s="214" t="s">
        <v>756</v>
      </c>
      <c r="C38" s="194" t="str">
        <f t="shared" si="7"/>
        <v>Transportation Allowance (TA)</v>
      </c>
      <c r="D38" s="215">
        <v>714</v>
      </c>
      <c r="E38" s="211">
        <f t="array" ref="E38">(SUM(IF((CkDJ[Date]=$A$4)*(CkDJ[Ofc Code]=(TRIM(E$7)))*(CkDJ[Account Code]=(TRIM($D38))),CkDJ[Debit])))+(SUM(IF((CsDJ[Date]=$A$4)*(CsDJ[Ofc Code]=(TRIM(E$7)))*(CsDJ[Account Code]=(TRIM($D38))),CsDJ[Debit])))+(SUM(IF((CRDJ[Date]=$A$4)*(CRDJ[Ofc Code]=(TRIM(E$7)))*(CRDJ[Account Code]=(TRIM($D38))),CRDJ[Debit])))+(SUM(IF((GJ[Date]=$A$4)*(GJ[Ofc Code]=(TRIM(E$7)))*(GJ[Account Code]=(TRIM($D38))),GJ[Debit])))-(SUM(IF((CkDJ[Date]=$A$4)*(CkDJ[Ofc Code]=(TRIM(E$7)))*(CkDJ[Account Code]=(TRIM($D38))),CkDJ[Credit])))+(SUM(IF((CsDJ[Date]=$A$4)*(CsDJ[Ofc Code]=(TRIM(E$7)))*(CsDJ[Account Code]=(TRIM($D38))),CsDJ[Credit])))+(SUM(IF((CRDJ[Date]=$A$4)*(CRDJ[Ofc Code]=(TRIM(E$7)))*(CRDJ[Account Code]=(TRIM($D38))),CRDJ[Credit])))+(SUM(IF((GJ[Date]=$A$4)*(GJ[Ofc Code]=(TRIM(E$7)))*(GJ[Account Code]=(TRIM($D38))),GJ[Credit])))</f>
        <v>0</v>
      </c>
      <c r="F38" s="211">
        <f t="array" ref="F38">(SUM(IF((CkDJ[Date]=$A$4)*(CkDJ[Ofc Code]=(TRIM(F$7)))*(CkDJ[Account Code]=(TRIM($D38))),CkDJ[Debit])))+(SUM(IF((CsDJ[Date]=$A$4)*(CsDJ[Ofc Code]=(TRIM(F$7)))*(CsDJ[Account Code]=(TRIM($D38))),CsDJ[Debit])))+(SUM(IF((CRDJ[Date]=$A$4)*(CRDJ[Ofc Code]=(TRIM(F$7)))*(CRDJ[Account Code]=(TRIM($D38))),CRDJ[Debit])))+(SUM(IF((GJ[Date]=$A$4)*(GJ[Ofc Code]=(TRIM(F$7)))*(GJ[Account Code]=(TRIM($D38))),GJ[Debit])))-(SUM(IF((CkDJ[Date]=$A$4)*(CkDJ[Ofc Code]=(TRIM(F$7)))*(CkDJ[Account Code]=(TRIM($D38))),CkDJ[Credit])))+(SUM(IF((CsDJ[Date]=$A$4)*(CsDJ[Ofc Code]=(TRIM(F$7)))*(CsDJ[Account Code]=(TRIM($D38))),CsDJ[Credit])))+(SUM(IF((CRDJ[Date]=$A$4)*(CRDJ[Ofc Code]=(TRIM(F$7)))*(CRDJ[Account Code]=(TRIM($D38))),CRDJ[Credit])))+(SUM(IF((GJ[Date]=$A$4)*(GJ[Ofc Code]=(TRIM(F$7)))*(GJ[Account Code]=(TRIM($D38))),GJ[Credit])))</f>
        <v>0</v>
      </c>
      <c r="G38" s="211">
        <f t="array" ref="G38">(SUM(IF((CkDJ[Date]=$A$4)*(CkDJ[Ofc Code]=(TRIM(G$7)))*(CkDJ[Account Code]=(TRIM($D38))),CkDJ[Debit])))+(SUM(IF((CsDJ[Date]=$A$4)*(CsDJ[Ofc Code]=(TRIM(G$7)))*(CsDJ[Account Code]=(TRIM($D38))),CsDJ[Debit])))+(SUM(IF((CRDJ[Date]=$A$4)*(CRDJ[Ofc Code]=(TRIM(G$7)))*(CRDJ[Account Code]=(TRIM($D38))),CRDJ[Debit])))+(SUM(IF((GJ[Date]=$A$4)*(GJ[Ofc Code]=(TRIM(G$7)))*(GJ[Account Code]=(TRIM($D38))),GJ[Debit])))-(SUM(IF((CkDJ[Date]=$A$4)*(CkDJ[Ofc Code]=(TRIM(G$7)))*(CkDJ[Account Code]=(TRIM($D38))),CkDJ[Credit])))+(SUM(IF((CsDJ[Date]=$A$4)*(CsDJ[Ofc Code]=(TRIM(G$7)))*(CsDJ[Account Code]=(TRIM($D38))),CsDJ[Credit])))+(SUM(IF((CRDJ[Date]=$A$4)*(CRDJ[Ofc Code]=(TRIM(G$7)))*(CRDJ[Account Code]=(TRIM($D38))),CRDJ[Credit])))+(SUM(IF((GJ[Date]=$A$4)*(GJ[Ofc Code]=(TRIM(G$7)))*(GJ[Account Code]=(TRIM($D38))),GJ[Credit])))</f>
        <v>0</v>
      </c>
      <c r="H38" s="211">
        <f t="array" ref="H38">(SUM(IF((CkDJ[Date]=$A$4)*(CkDJ[Ofc Code]=(TRIM(H$7)))*(CkDJ[Account Code]=(TRIM($D38))),CkDJ[Debit])))+(SUM(IF((CsDJ[Date]=$A$4)*(CsDJ[Ofc Code]=(TRIM(H$7)))*(CsDJ[Account Code]=(TRIM($D38))),CsDJ[Debit])))+(SUM(IF((CRDJ[Date]=$A$4)*(CRDJ[Ofc Code]=(TRIM(H$7)))*(CRDJ[Account Code]=(TRIM($D38))),CRDJ[Debit])))+(SUM(IF((GJ[Date]=$A$4)*(GJ[Ofc Code]=(TRIM(H$7)))*(GJ[Account Code]=(TRIM($D38))),GJ[Debit])))-(SUM(IF((CkDJ[Date]=$A$4)*(CkDJ[Ofc Code]=(TRIM(H$7)))*(CkDJ[Account Code]=(TRIM($D38))),CkDJ[Credit])))+(SUM(IF((CsDJ[Date]=$A$4)*(CsDJ[Ofc Code]=(TRIM(H$7)))*(CsDJ[Account Code]=(TRIM($D38))),CsDJ[Credit])))+(SUM(IF((CRDJ[Date]=$A$4)*(CRDJ[Ofc Code]=(TRIM(H$7)))*(CRDJ[Account Code]=(TRIM($D38))),CRDJ[Credit])))+(SUM(IF((GJ[Date]=$A$4)*(GJ[Ofc Code]=(TRIM(H$7)))*(GJ[Account Code]=(TRIM($D38))),GJ[Credit])))</f>
        <v>0</v>
      </c>
      <c r="I38" s="211">
        <f t="shared" si="8"/>
        <v>0</v>
      </c>
      <c r="J38" s="211">
        <f t="array" ref="J38">(SUM(IF((CkDJ[Date]=$A$4)*(CkDJ[Ofc Code]=(TRIM(J$7)))*(CkDJ[Account Code]=(TRIM($D38))),CkDJ[Debit])))+(SUM(IF((CsDJ[Date]=$A$4)*(CsDJ[Ofc Code]=(TRIM(J$7)))*(CsDJ[Account Code]=(TRIM($D38))),CsDJ[Debit])))+(SUM(IF((CRDJ[Date]=$A$4)*(CRDJ[Ofc Code]=(TRIM(J$7)))*(CRDJ[Account Code]=(TRIM($D38))),CRDJ[Debit])))+(SUM(IF((GJ[Date]=$A$4)*(GJ[Ofc Code]=(TRIM(J$7)))*(GJ[Account Code]=(TRIM($D38))),GJ[Debit])))-(SUM(IF((CkDJ[Date]=$A$4)*(CkDJ[Ofc Code]=(TRIM(J$7)))*(CkDJ[Account Code]=(TRIM($D38))),CkDJ[Credit])))+(SUM(IF((CsDJ[Date]=$A$4)*(CsDJ[Ofc Code]=(TRIM(J$7)))*(CsDJ[Account Code]=(TRIM($D38))),CsDJ[Credit])))+(SUM(IF((CRDJ[Date]=$A$4)*(CRDJ[Ofc Code]=(TRIM(J$7)))*(CRDJ[Account Code]=(TRIM($D38))),CRDJ[Credit])))+(SUM(IF((GJ[Date]=$A$4)*(GJ[Ofc Code]=(TRIM(J$7)))*(GJ[Account Code]=(TRIM($D38))),GJ[Credit])))</f>
        <v>0</v>
      </c>
      <c r="K38" s="211">
        <f t="array" ref="K38">(SUM(IF((CkDJ[Date]=$A$4)*(CkDJ[Ofc Code]=(TRIM(K$7)))*(CkDJ[Account Code]=(TRIM($D38))),CkDJ[Debit])))+(SUM(IF((CsDJ[Date]=$A$4)*(CsDJ[Ofc Code]=(TRIM(K$7)))*(CsDJ[Account Code]=(TRIM($D38))),CsDJ[Debit])))+(SUM(IF((CRDJ[Date]=$A$4)*(CRDJ[Ofc Code]=(TRIM(K$7)))*(CRDJ[Account Code]=(TRIM($D38))),CRDJ[Debit])))+(SUM(IF((GJ[Date]=$A$4)*(GJ[Ofc Code]=(TRIM(K$7)))*(GJ[Account Code]=(TRIM($D38))),GJ[Debit])))-(SUM(IF((CkDJ[Date]=$A$4)*(CkDJ[Ofc Code]=(TRIM(K$7)))*(CkDJ[Account Code]=(TRIM($D38))),CkDJ[Credit])))+(SUM(IF((CsDJ[Date]=$A$4)*(CsDJ[Ofc Code]=(TRIM(K$7)))*(CsDJ[Account Code]=(TRIM($D38))),CsDJ[Credit])))+(SUM(IF((CRDJ[Date]=$A$4)*(CRDJ[Ofc Code]=(TRIM(K$7)))*(CRDJ[Account Code]=(TRIM($D38))),CRDJ[Credit])))+(SUM(IF((GJ[Date]=$A$4)*(GJ[Ofc Code]=(TRIM(K$7)))*(GJ[Account Code]=(TRIM($D38))),GJ[Credit])))</f>
        <v>0</v>
      </c>
      <c r="L38" s="211">
        <f t="array" ref="L38">(SUM(IF((CkDJ[Date]=$A$4)*(CkDJ[Ofc Code]=(TRIM(L$7)))*(CkDJ[Account Code]=(TRIM($D38))),CkDJ[Debit])))+(SUM(IF((CsDJ[Date]=$A$4)*(CsDJ[Ofc Code]=(TRIM(L$7)))*(CsDJ[Account Code]=(TRIM($D38))),CsDJ[Debit])))+(SUM(IF((CRDJ[Date]=$A$4)*(CRDJ[Ofc Code]=(TRIM(L$7)))*(CRDJ[Account Code]=(TRIM($D38))),CRDJ[Debit])))+(SUM(IF((GJ[Date]=$A$4)*(GJ[Ofc Code]=(TRIM(L$7)))*(GJ[Account Code]=(TRIM($D38))),GJ[Debit])))-(SUM(IF((CkDJ[Date]=$A$4)*(CkDJ[Ofc Code]=(TRIM(L$7)))*(CkDJ[Account Code]=(TRIM($D38))),CkDJ[Credit])))+(SUM(IF((CsDJ[Date]=$A$4)*(CsDJ[Ofc Code]=(TRIM(L$7)))*(CsDJ[Account Code]=(TRIM($D38))),CsDJ[Credit])))+(SUM(IF((CRDJ[Date]=$A$4)*(CRDJ[Ofc Code]=(TRIM(L$7)))*(CRDJ[Account Code]=(TRIM($D38))),CRDJ[Credit])))+(SUM(IF((GJ[Date]=$A$4)*(GJ[Ofc Code]=(TRIM(L$7)))*(GJ[Account Code]=(TRIM($D38))),GJ[Credit])))</f>
        <v>0</v>
      </c>
      <c r="M38" s="211">
        <f t="array" ref="M38">(SUM(IF((CkDJ[Date]=$A$4)*(CkDJ[Ofc Code]=(TRIM(M$7)))*(CkDJ[Account Code]=(TRIM($D38))),CkDJ[Debit])))+(SUM(IF((CsDJ[Date]=$A$4)*(CsDJ[Ofc Code]=(TRIM(M$7)))*(CsDJ[Account Code]=(TRIM($D38))),CsDJ[Debit])))+(SUM(IF((CRDJ[Date]=$A$4)*(CRDJ[Ofc Code]=(TRIM(M$7)))*(CRDJ[Account Code]=(TRIM($D38))),CRDJ[Debit])))+(SUM(IF((GJ[Date]=$A$4)*(GJ[Ofc Code]=(TRIM(M$7)))*(GJ[Account Code]=(TRIM($D38))),GJ[Debit])))-(SUM(IF((CkDJ[Date]=$A$4)*(CkDJ[Ofc Code]=(TRIM(M$7)))*(CkDJ[Account Code]=(TRIM($D38))),CkDJ[Credit])))+(SUM(IF((CsDJ[Date]=$A$4)*(CsDJ[Ofc Code]=(TRIM(M$7)))*(CsDJ[Account Code]=(TRIM($D38))),CsDJ[Credit])))+(SUM(IF((CRDJ[Date]=$A$4)*(CRDJ[Ofc Code]=(TRIM(M$7)))*(CRDJ[Account Code]=(TRIM($D38))),CRDJ[Credit])))+(SUM(IF((GJ[Date]=$A$4)*(GJ[Ofc Code]=(TRIM(M$7)))*(GJ[Account Code]=(TRIM($D38))),GJ[Credit])))</f>
        <v>0</v>
      </c>
      <c r="N38" s="211">
        <f t="shared" si="9"/>
        <v>0</v>
      </c>
      <c r="O38" s="211">
        <f t="array" ref="O38">(SUM(IF((CkDJ[Date]=$A$4)*(CkDJ[Ofc Code]=(TRIM(O$7)))*(CkDJ[Account Code]=(TRIM($D38))),CkDJ[Debit])))+(SUM(IF((CsDJ[Date]=$A$4)*(CsDJ[Ofc Code]=(TRIM(O$7)))*(CsDJ[Account Code]=(TRIM($D38))),CsDJ[Debit])))+(SUM(IF((CRDJ[Date]=$A$4)*(CRDJ[Ofc Code]=(TRIM(O$7)))*(CRDJ[Account Code]=(TRIM($D38))),CRDJ[Debit])))+(SUM(IF((GJ[Date]=$A$4)*(GJ[Ofc Code]=(TRIM(O$7)))*(GJ[Account Code]=(TRIM($D38))),GJ[Debit])))-(SUM(IF((CkDJ[Date]=$A$4)*(CkDJ[Ofc Code]=(TRIM(O$7)))*(CkDJ[Account Code]=(TRIM($D38))),CkDJ[Credit])))+(SUM(IF((CsDJ[Date]=$A$4)*(CsDJ[Ofc Code]=(TRIM(O$7)))*(CsDJ[Account Code]=(TRIM($D38))),CsDJ[Credit])))+(SUM(IF((CRDJ[Date]=$A$4)*(CRDJ[Ofc Code]=(TRIM(O$7)))*(CRDJ[Account Code]=(TRIM($D38))),CRDJ[Credit])))+(SUM(IF((GJ[Date]=$A$4)*(GJ[Ofc Code]=(TRIM(O$7)))*(GJ[Account Code]=(TRIM($D38))),GJ[Credit])))</f>
        <v>0</v>
      </c>
      <c r="P38" s="211">
        <f t="array" ref="P38">(SUM(IF((CkDJ[Date]=$A$4)*(CkDJ[Ofc Code]=(TRIM(P$7)))*(CkDJ[Account Code]=(TRIM($D38))),CkDJ[Debit])))+(SUM(IF((CsDJ[Date]=$A$4)*(CsDJ[Ofc Code]=(TRIM(P$7)))*(CsDJ[Account Code]=(TRIM($D38))),CsDJ[Debit])))+(SUM(IF((CRDJ[Date]=$A$4)*(CRDJ[Ofc Code]=(TRIM(P$7)))*(CRDJ[Account Code]=(TRIM($D38))),CRDJ[Debit])))+(SUM(IF((GJ[Date]=$A$4)*(GJ[Ofc Code]=(TRIM(P$7)))*(GJ[Account Code]=(TRIM($D38))),GJ[Debit])))-(SUM(IF((CkDJ[Date]=$A$4)*(CkDJ[Ofc Code]=(TRIM(P$7)))*(CkDJ[Account Code]=(TRIM($D38))),CkDJ[Credit])))+(SUM(IF((CsDJ[Date]=$A$4)*(CsDJ[Ofc Code]=(TRIM(P$7)))*(CsDJ[Account Code]=(TRIM($D38))),CsDJ[Credit])))+(SUM(IF((CRDJ[Date]=$A$4)*(CRDJ[Ofc Code]=(TRIM(P$7)))*(CRDJ[Account Code]=(TRIM($D38))),CRDJ[Credit])))+(SUM(IF((GJ[Date]=$A$4)*(GJ[Ofc Code]=(TRIM(P$7)))*(GJ[Account Code]=(TRIM($D38))),GJ[Credit])))</f>
        <v>0</v>
      </c>
      <c r="Q38" s="211">
        <f t="array" ref="Q38">(SUM(IF((CkDJ[Date]=$A$4)*(CkDJ[Ofc Code]=(TRIM(Q$7)))*(CkDJ[Account Code]=(TRIM($D38))),CkDJ[Debit])))+(SUM(IF((CsDJ[Date]=$A$4)*(CsDJ[Ofc Code]=(TRIM(Q$7)))*(CsDJ[Account Code]=(TRIM($D38))),CsDJ[Debit])))+(SUM(IF((CRDJ[Date]=$A$4)*(CRDJ[Ofc Code]=(TRIM(Q$7)))*(CRDJ[Account Code]=(TRIM($D38))),CRDJ[Debit])))+(SUM(IF((GJ[Date]=$A$4)*(GJ[Ofc Code]=(TRIM(Q$7)))*(GJ[Account Code]=(TRIM($D38))),GJ[Debit])))-(SUM(IF((CkDJ[Date]=$A$4)*(CkDJ[Ofc Code]=(TRIM(Q$7)))*(CkDJ[Account Code]=(TRIM($D38))),CkDJ[Credit])))+(SUM(IF((CsDJ[Date]=$A$4)*(CsDJ[Ofc Code]=(TRIM(Q$7)))*(CsDJ[Account Code]=(TRIM($D38))),CsDJ[Credit])))+(SUM(IF((CRDJ[Date]=$A$4)*(CRDJ[Ofc Code]=(TRIM(Q$7)))*(CRDJ[Account Code]=(TRIM($D38))),CRDJ[Credit])))+(SUM(IF((GJ[Date]=$A$4)*(GJ[Ofc Code]=(TRIM(Q$7)))*(GJ[Account Code]=(TRIM($D38))),GJ[Credit])))</f>
        <v>0</v>
      </c>
      <c r="R38" s="211">
        <f t="array" ref="R38">(SUM(IF((CkDJ[Date]=$A$4)*(CkDJ[Ofc Code]=(TRIM(R$7)))*(CkDJ[Account Code]=(TRIM($D38))),CkDJ[Debit])))+(SUM(IF((CsDJ[Date]=$A$4)*(CsDJ[Ofc Code]=(TRIM(R$7)))*(CsDJ[Account Code]=(TRIM($D38))),CsDJ[Debit])))+(SUM(IF((CRDJ[Date]=$A$4)*(CRDJ[Ofc Code]=(TRIM(R$7)))*(CRDJ[Account Code]=(TRIM($D38))),CRDJ[Debit])))+(SUM(IF((GJ[Date]=$A$4)*(GJ[Ofc Code]=(TRIM(R$7)))*(GJ[Account Code]=(TRIM($D38))),GJ[Debit])))-(SUM(IF((CkDJ[Date]=$A$4)*(CkDJ[Ofc Code]=(TRIM(R$7)))*(CkDJ[Account Code]=(TRIM($D38))),CkDJ[Credit])))+(SUM(IF((CsDJ[Date]=$A$4)*(CsDJ[Ofc Code]=(TRIM(R$7)))*(CsDJ[Account Code]=(TRIM($D38))),CsDJ[Credit])))+(SUM(IF((CRDJ[Date]=$A$4)*(CRDJ[Ofc Code]=(TRIM(R$7)))*(CRDJ[Account Code]=(TRIM($D38))),CRDJ[Credit])))+(SUM(IF((GJ[Date]=$A$4)*(GJ[Ofc Code]=(TRIM(R$7)))*(GJ[Account Code]=(TRIM($D38))),GJ[Credit])))</f>
        <v>0</v>
      </c>
      <c r="S38" s="211">
        <f t="array" ref="S38">(SUM(IF((CkDJ[Date]=$A$4)*(CkDJ[Ofc Code]=(TRIM(S$7)))*(CkDJ[Account Code]=(TRIM($D38))),CkDJ[Debit])))+(SUM(IF((CsDJ[Date]=$A$4)*(CsDJ[Ofc Code]=(TRIM(S$7)))*(CsDJ[Account Code]=(TRIM($D38))),CsDJ[Debit])))+(SUM(IF((CRDJ[Date]=$A$4)*(CRDJ[Ofc Code]=(TRIM(S$7)))*(CRDJ[Account Code]=(TRIM($D38))),CRDJ[Debit])))+(SUM(IF((GJ[Date]=$A$4)*(GJ[Ofc Code]=(TRIM(S$7)))*(GJ[Account Code]=(TRIM($D38))),GJ[Debit])))-(SUM(IF((CkDJ[Date]=$A$4)*(CkDJ[Ofc Code]=(TRIM(S$7)))*(CkDJ[Account Code]=(TRIM($D38))),CkDJ[Credit])))+(SUM(IF((CsDJ[Date]=$A$4)*(CsDJ[Ofc Code]=(TRIM(S$7)))*(CsDJ[Account Code]=(TRIM($D38))),CsDJ[Credit])))+(SUM(IF((CRDJ[Date]=$A$4)*(CRDJ[Ofc Code]=(TRIM(S$7)))*(CRDJ[Account Code]=(TRIM($D38))),CRDJ[Credit])))+(SUM(IF((GJ[Date]=$A$4)*(GJ[Ofc Code]=(TRIM(S$7)))*(GJ[Account Code]=(TRIM($D38))),GJ[Credit])))</f>
        <v>0</v>
      </c>
      <c r="T38" s="211">
        <f t="shared" si="10"/>
        <v>0</v>
      </c>
      <c r="U38" s="211">
        <f t="shared" si="11"/>
        <v>0</v>
      </c>
    </row>
    <row r="39" spans="1:21" ht="15" x14ac:dyDescent="0.25">
      <c r="A39" s="212">
        <f t="shared" si="12"/>
        <v>6</v>
      </c>
      <c r="B39" s="214" t="s">
        <v>756</v>
      </c>
      <c r="C39" s="194" t="str">
        <f t="shared" si="7"/>
        <v>Clothing/Uniform Allowance</v>
      </c>
      <c r="D39" s="215">
        <v>715</v>
      </c>
      <c r="E39" s="211">
        <f t="array" ref="E39">(SUM(IF((CkDJ[Date]=$A$4)*(CkDJ[Ofc Code]=(TRIM(E$7)))*(CkDJ[Account Code]=(TRIM($D39))),CkDJ[Debit])))+(SUM(IF((CsDJ[Date]=$A$4)*(CsDJ[Ofc Code]=(TRIM(E$7)))*(CsDJ[Account Code]=(TRIM($D39))),CsDJ[Debit])))+(SUM(IF((CRDJ[Date]=$A$4)*(CRDJ[Ofc Code]=(TRIM(E$7)))*(CRDJ[Account Code]=(TRIM($D39))),CRDJ[Debit])))+(SUM(IF((GJ[Date]=$A$4)*(GJ[Ofc Code]=(TRIM(E$7)))*(GJ[Account Code]=(TRIM($D39))),GJ[Debit])))-(SUM(IF((CkDJ[Date]=$A$4)*(CkDJ[Ofc Code]=(TRIM(E$7)))*(CkDJ[Account Code]=(TRIM($D39))),CkDJ[Credit])))+(SUM(IF((CsDJ[Date]=$A$4)*(CsDJ[Ofc Code]=(TRIM(E$7)))*(CsDJ[Account Code]=(TRIM($D39))),CsDJ[Credit])))+(SUM(IF((CRDJ[Date]=$A$4)*(CRDJ[Ofc Code]=(TRIM(E$7)))*(CRDJ[Account Code]=(TRIM($D39))),CRDJ[Credit])))+(SUM(IF((GJ[Date]=$A$4)*(GJ[Ofc Code]=(TRIM(E$7)))*(GJ[Account Code]=(TRIM($D39))),GJ[Credit])))</f>
        <v>0</v>
      </c>
      <c r="F39" s="211">
        <f t="array" ref="F39">(SUM(IF((CkDJ[Date]=$A$4)*(CkDJ[Ofc Code]=(TRIM(F$7)))*(CkDJ[Account Code]=(TRIM($D39))),CkDJ[Debit])))+(SUM(IF((CsDJ[Date]=$A$4)*(CsDJ[Ofc Code]=(TRIM(F$7)))*(CsDJ[Account Code]=(TRIM($D39))),CsDJ[Debit])))+(SUM(IF((CRDJ[Date]=$A$4)*(CRDJ[Ofc Code]=(TRIM(F$7)))*(CRDJ[Account Code]=(TRIM($D39))),CRDJ[Debit])))+(SUM(IF((GJ[Date]=$A$4)*(GJ[Ofc Code]=(TRIM(F$7)))*(GJ[Account Code]=(TRIM($D39))),GJ[Debit])))-(SUM(IF((CkDJ[Date]=$A$4)*(CkDJ[Ofc Code]=(TRIM(F$7)))*(CkDJ[Account Code]=(TRIM($D39))),CkDJ[Credit])))+(SUM(IF((CsDJ[Date]=$A$4)*(CsDJ[Ofc Code]=(TRIM(F$7)))*(CsDJ[Account Code]=(TRIM($D39))),CsDJ[Credit])))+(SUM(IF((CRDJ[Date]=$A$4)*(CRDJ[Ofc Code]=(TRIM(F$7)))*(CRDJ[Account Code]=(TRIM($D39))),CRDJ[Credit])))+(SUM(IF((GJ[Date]=$A$4)*(GJ[Ofc Code]=(TRIM(F$7)))*(GJ[Account Code]=(TRIM($D39))),GJ[Credit])))</f>
        <v>0</v>
      </c>
      <c r="G39" s="211">
        <f t="array" ref="G39">(SUM(IF((CkDJ[Date]=$A$4)*(CkDJ[Ofc Code]=(TRIM(G$7)))*(CkDJ[Account Code]=(TRIM($D39))),CkDJ[Debit])))+(SUM(IF((CsDJ[Date]=$A$4)*(CsDJ[Ofc Code]=(TRIM(G$7)))*(CsDJ[Account Code]=(TRIM($D39))),CsDJ[Debit])))+(SUM(IF((CRDJ[Date]=$A$4)*(CRDJ[Ofc Code]=(TRIM(G$7)))*(CRDJ[Account Code]=(TRIM($D39))),CRDJ[Debit])))+(SUM(IF((GJ[Date]=$A$4)*(GJ[Ofc Code]=(TRIM(G$7)))*(GJ[Account Code]=(TRIM($D39))),GJ[Debit])))-(SUM(IF((CkDJ[Date]=$A$4)*(CkDJ[Ofc Code]=(TRIM(G$7)))*(CkDJ[Account Code]=(TRIM($D39))),CkDJ[Credit])))+(SUM(IF((CsDJ[Date]=$A$4)*(CsDJ[Ofc Code]=(TRIM(G$7)))*(CsDJ[Account Code]=(TRIM($D39))),CsDJ[Credit])))+(SUM(IF((CRDJ[Date]=$A$4)*(CRDJ[Ofc Code]=(TRIM(G$7)))*(CRDJ[Account Code]=(TRIM($D39))),CRDJ[Credit])))+(SUM(IF((GJ[Date]=$A$4)*(GJ[Ofc Code]=(TRIM(G$7)))*(GJ[Account Code]=(TRIM($D39))),GJ[Credit])))</f>
        <v>0</v>
      </c>
      <c r="H39" s="211">
        <f t="array" ref="H39">(SUM(IF((CkDJ[Date]=$A$4)*(CkDJ[Ofc Code]=(TRIM(H$7)))*(CkDJ[Account Code]=(TRIM($D39))),CkDJ[Debit])))+(SUM(IF((CsDJ[Date]=$A$4)*(CsDJ[Ofc Code]=(TRIM(H$7)))*(CsDJ[Account Code]=(TRIM($D39))),CsDJ[Debit])))+(SUM(IF((CRDJ[Date]=$A$4)*(CRDJ[Ofc Code]=(TRIM(H$7)))*(CRDJ[Account Code]=(TRIM($D39))),CRDJ[Debit])))+(SUM(IF((GJ[Date]=$A$4)*(GJ[Ofc Code]=(TRIM(H$7)))*(GJ[Account Code]=(TRIM($D39))),GJ[Debit])))-(SUM(IF((CkDJ[Date]=$A$4)*(CkDJ[Ofc Code]=(TRIM(H$7)))*(CkDJ[Account Code]=(TRIM($D39))),CkDJ[Credit])))+(SUM(IF((CsDJ[Date]=$A$4)*(CsDJ[Ofc Code]=(TRIM(H$7)))*(CsDJ[Account Code]=(TRIM($D39))),CsDJ[Credit])))+(SUM(IF((CRDJ[Date]=$A$4)*(CRDJ[Ofc Code]=(TRIM(H$7)))*(CRDJ[Account Code]=(TRIM($D39))),CRDJ[Credit])))+(SUM(IF((GJ[Date]=$A$4)*(GJ[Ofc Code]=(TRIM(H$7)))*(GJ[Account Code]=(TRIM($D39))),GJ[Credit])))</f>
        <v>0</v>
      </c>
      <c r="I39" s="211">
        <f t="shared" si="8"/>
        <v>0</v>
      </c>
      <c r="J39" s="211">
        <f t="array" ref="J39">(SUM(IF((CkDJ[Date]=$A$4)*(CkDJ[Ofc Code]=(TRIM(J$7)))*(CkDJ[Account Code]=(TRIM($D39))),CkDJ[Debit])))+(SUM(IF((CsDJ[Date]=$A$4)*(CsDJ[Ofc Code]=(TRIM(J$7)))*(CsDJ[Account Code]=(TRIM($D39))),CsDJ[Debit])))+(SUM(IF((CRDJ[Date]=$A$4)*(CRDJ[Ofc Code]=(TRIM(J$7)))*(CRDJ[Account Code]=(TRIM($D39))),CRDJ[Debit])))+(SUM(IF((GJ[Date]=$A$4)*(GJ[Ofc Code]=(TRIM(J$7)))*(GJ[Account Code]=(TRIM($D39))),GJ[Debit])))-(SUM(IF((CkDJ[Date]=$A$4)*(CkDJ[Ofc Code]=(TRIM(J$7)))*(CkDJ[Account Code]=(TRIM($D39))),CkDJ[Credit])))+(SUM(IF((CsDJ[Date]=$A$4)*(CsDJ[Ofc Code]=(TRIM(J$7)))*(CsDJ[Account Code]=(TRIM($D39))),CsDJ[Credit])))+(SUM(IF((CRDJ[Date]=$A$4)*(CRDJ[Ofc Code]=(TRIM(J$7)))*(CRDJ[Account Code]=(TRIM($D39))),CRDJ[Credit])))+(SUM(IF((GJ[Date]=$A$4)*(GJ[Ofc Code]=(TRIM(J$7)))*(GJ[Account Code]=(TRIM($D39))),GJ[Credit])))</f>
        <v>0</v>
      </c>
      <c r="K39" s="211">
        <f t="array" ref="K39">(SUM(IF((CkDJ[Date]=$A$4)*(CkDJ[Ofc Code]=(TRIM(K$7)))*(CkDJ[Account Code]=(TRIM($D39))),CkDJ[Debit])))+(SUM(IF((CsDJ[Date]=$A$4)*(CsDJ[Ofc Code]=(TRIM(K$7)))*(CsDJ[Account Code]=(TRIM($D39))),CsDJ[Debit])))+(SUM(IF((CRDJ[Date]=$A$4)*(CRDJ[Ofc Code]=(TRIM(K$7)))*(CRDJ[Account Code]=(TRIM($D39))),CRDJ[Debit])))+(SUM(IF((GJ[Date]=$A$4)*(GJ[Ofc Code]=(TRIM(K$7)))*(GJ[Account Code]=(TRIM($D39))),GJ[Debit])))-(SUM(IF((CkDJ[Date]=$A$4)*(CkDJ[Ofc Code]=(TRIM(K$7)))*(CkDJ[Account Code]=(TRIM($D39))),CkDJ[Credit])))+(SUM(IF((CsDJ[Date]=$A$4)*(CsDJ[Ofc Code]=(TRIM(K$7)))*(CsDJ[Account Code]=(TRIM($D39))),CsDJ[Credit])))+(SUM(IF((CRDJ[Date]=$A$4)*(CRDJ[Ofc Code]=(TRIM(K$7)))*(CRDJ[Account Code]=(TRIM($D39))),CRDJ[Credit])))+(SUM(IF((GJ[Date]=$A$4)*(GJ[Ofc Code]=(TRIM(K$7)))*(GJ[Account Code]=(TRIM($D39))),GJ[Credit])))</f>
        <v>0</v>
      </c>
      <c r="L39" s="211">
        <f t="array" ref="L39">(SUM(IF((CkDJ[Date]=$A$4)*(CkDJ[Ofc Code]=(TRIM(L$7)))*(CkDJ[Account Code]=(TRIM($D39))),CkDJ[Debit])))+(SUM(IF((CsDJ[Date]=$A$4)*(CsDJ[Ofc Code]=(TRIM(L$7)))*(CsDJ[Account Code]=(TRIM($D39))),CsDJ[Debit])))+(SUM(IF((CRDJ[Date]=$A$4)*(CRDJ[Ofc Code]=(TRIM(L$7)))*(CRDJ[Account Code]=(TRIM($D39))),CRDJ[Debit])))+(SUM(IF((GJ[Date]=$A$4)*(GJ[Ofc Code]=(TRIM(L$7)))*(GJ[Account Code]=(TRIM($D39))),GJ[Debit])))-(SUM(IF((CkDJ[Date]=$A$4)*(CkDJ[Ofc Code]=(TRIM(L$7)))*(CkDJ[Account Code]=(TRIM($D39))),CkDJ[Credit])))+(SUM(IF((CsDJ[Date]=$A$4)*(CsDJ[Ofc Code]=(TRIM(L$7)))*(CsDJ[Account Code]=(TRIM($D39))),CsDJ[Credit])))+(SUM(IF((CRDJ[Date]=$A$4)*(CRDJ[Ofc Code]=(TRIM(L$7)))*(CRDJ[Account Code]=(TRIM($D39))),CRDJ[Credit])))+(SUM(IF((GJ[Date]=$A$4)*(GJ[Ofc Code]=(TRIM(L$7)))*(GJ[Account Code]=(TRIM($D39))),GJ[Credit])))</f>
        <v>0</v>
      </c>
      <c r="M39" s="211">
        <f t="array" ref="M39">(SUM(IF((CkDJ[Date]=$A$4)*(CkDJ[Ofc Code]=(TRIM(M$7)))*(CkDJ[Account Code]=(TRIM($D39))),CkDJ[Debit])))+(SUM(IF((CsDJ[Date]=$A$4)*(CsDJ[Ofc Code]=(TRIM(M$7)))*(CsDJ[Account Code]=(TRIM($D39))),CsDJ[Debit])))+(SUM(IF((CRDJ[Date]=$A$4)*(CRDJ[Ofc Code]=(TRIM(M$7)))*(CRDJ[Account Code]=(TRIM($D39))),CRDJ[Debit])))+(SUM(IF((GJ[Date]=$A$4)*(GJ[Ofc Code]=(TRIM(M$7)))*(GJ[Account Code]=(TRIM($D39))),GJ[Debit])))-(SUM(IF((CkDJ[Date]=$A$4)*(CkDJ[Ofc Code]=(TRIM(M$7)))*(CkDJ[Account Code]=(TRIM($D39))),CkDJ[Credit])))+(SUM(IF((CsDJ[Date]=$A$4)*(CsDJ[Ofc Code]=(TRIM(M$7)))*(CsDJ[Account Code]=(TRIM($D39))),CsDJ[Credit])))+(SUM(IF((CRDJ[Date]=$A$4)*(CRDJ[Ofc Code]=(TRIM(M$7)))*(CRDJ[Account Code]=(TRIM($D39))),CRDJ[Credit])))+(SUM(IF((GJ[Date]=$A$4)*(GJ[Ofc Code]=(TRIM(M$7)))*(GJ[Account Code]=(TRIM($D39))),GJ[Credit])))</f>
        <v>0</v>
      </c>
      <c r="N39" s="211">
        <f t="shared" si="9"/>
        <v>0</v>
      </c>
      <c r="O39" s="211">
        <f t="array" ref="O39">(SUM(IF((CkDJ[Date]=$A$4)*(CkDJ[Ofc Code]=(TRIM(O$7)))*(CkDJ[Account Code]=(TRIM($D39))),CkDJ[Debit])))+(SUM(IF((CsDJ[Date]=$A$4)*(CsDJ[Ofc Code]=(TRIM(O$7)))*(CsDJ[Account Code]=(TRIM($D39))),CsDJ[Debit])))+(SUM(IF((CRDJ[Date]=$A$4)*(CRDJ[Ofc Code]=(TRIM(O$7)))*(CRDJ[Account Code]=(TRIM($D39))),CRDJ[Debit])))+(SUM(IF((GJ[Date]=$A$4)*(GJ[Ofc Code]=(TRIM(O$7)))*(GJ[Account Code]=(TRIM($D39))),GJ[Debit])))-(SUM(IF((CkDJ[Date]=$A$4)*(CkDJ[Ofc Code]=(TRIM(O$7)))*(CkDJ[Account Code]=(TRIM($D39))),CkDJ[Credit])))+(SUM(IF((CsDJ[Date]=$A$4)*(CsDJ[Ofc Code]=(TRIM(O$7)))*(CsDJ[Account Code]=(TRIM($D39))),CsDJ[Credit])))+(SUM(IF((CRDJ[Date]=$A$4)*(CRDJ[Ofc Code]=(TRIM(O$7)))*(CRDJ[Account Code]=(TRIM($D39))),CRDJ[Credit])))+(SUM(IF((GJ[Date]=$A$4)*(GJ[Ofc Code]=(TRIM(O$7)))*(GJ[Account Code]=(TRIM($D39))),GJ[Credit])))</f>
        <v>0</v>
      </c>
      <c r="P39" s="211">
        <f t="array" ref="P39">(SUM(IF((CkDJ[Date]=$A$4)*(CkDJ[Ofc Code]=(TRIM(P$7)))*(CkDJ[Account Code]=(TRIM($D39))),CkDJ[Debit])))+(SUM(IF((CsDJ[Date]=$A$4)*(CsDJ[Ofc Code]=(TRIM(P$7)))*(CsDJ[Account Code]=(TRIM($D39))),CsDJ[Debit])))+(SUM(IF((CRDJ[Date]=$A$4)*(CRDJ[Ofc Code]=(TRIM(P$7)))*(CRDJ[Account Code]=(TRIM($D39))),CRDJ[Debit])))+(SUM(IF((GJ[Date]=$A$4)*(GJ[Ofc Code]=(TRIM(P$7)))*(GJ[Account Code]=(TRIM($D39))),GJ[Debit])))-(SUM(IF((CkDJ[Date]=$A$4)*(CkDJ[Ofc Code]=(TRIM(P$7)))*(CkDJ[Account Code]=(TRIM($D39))),CkDJ[Credit])))+(SUM(IF((CsDJ[Date]=$A$4)*(CsDJ[Ofc Code]=(TRIM(P$7)))*(CsDJ[Account Code]=(TRIM($D39))),CsDJ[Credit])))+(SUM(IF((CRDJ[Date]=$A$4)*(CRDJ[Ofc Code]=(TRIM(P$7)))*(CRDJ[Account Code]=(TRIM($D39))),CRDJ[Credit])))+(SUM(IF((GJ[Date]=$A$4)*(GJ[Ofc Code]=(TRIM(P$7)))*(GJ[Account Code]=(TRIM($D39))),GJ[Credit])))</f>
        <v>0</v>
      </c>
      <c r="Q39" s="211">
        <f t="array" ref="Q39">(SUM(IF((CkDJ[Date]=$A$4)*(CkDJ[Ofc Code]=(TRIM(Q$7)))*(CkDJ[Account Code]=(TRIM($D39))),CkDJ[Debit])))+(SUM(IF((CsDJ[Date]=$A$4)*(CsDJ[Ofc Code]=(TRIM(Q$7)))*(CsDJ[Account Code]=(TRIM($D39))),CsDJ[Debit])))+(SUM(IF((CRDJ[Date]=$A$4)*(CRDJ[Ofc Code]=(TRIM(Q$7)))*(CRDJ[Account Code]=(TRIM($D39))),CRDJ[Debit])))+(SUM(IF((GJ[Date]=$A$4)*(GJ[Ofc Code]=(TRIM(Q$7)))*(GJ[Account Code]=(TRIM($D39))),GJ[Debit])))-(SUM(IF((CkDJ[Date]=$A$4)*(CkDJ[Ofc Code]=(TRIM(Q$7)))*(CkDJ[Account Code]=(TRIM($D39))),CkDJ[Credit])))+(SUM(IF((CsDJ[Date]=$A$4)*(CsDJ[Ofc Code]=(TRIM(Q$7)))*(CsDJ[Account Code]=(TRIM($D39))),CsDJ[Credit])))+(SUM(IF((CRDJ[Date]=$A$4)*(CRDJ[Ofc Code]=(TRIM(Q$7)))*(CRDJ[Account Code]=(TRIM($D39))),CRDJ[Credit])))+(SUM(IF((GJ[Date]=$A$4)*(GJ[Ofc Code]=(TRIM(Q$7)))*(GJ[Account Code]=(TRIM($D39))),GJ[Credit])))</f>
        <v>0</v>
      </c>
      <c r="R39" s="211">
        <f t="array" ref="R39">(SUM(IF((CkDJ[Date]=$A$4)*(CkDJ[Ofc Code]=(TRIM(R$7)))*(CkDJ[Account Code]=(TRIM($D39))),CkDJ[Debit])))+(SUM(IF((CsDJ[Date]=$A$4)*(CsDJ[Ofc Code]=(TRIM(R$7)))*(CsDJ[Account Code]=(TRIM($D39))),CsDJ[Debit])))+(SUM(IF((CRDJ[Date]=$A$4)*(CRDJ[Ofc Code]=(TRIM(R$7)))*(CRDJ[Account Code]=(TRIM($D39))),CRDJ[Debit])))+(SUM(IF((GJ[Date]=$A$4)*(GJ[Ofc Code]=(TRIM(R$7)))*(GJ[Account Code]=(TRIM($D39))),GJ[Debit])))-(SUM(IF((CkDJ[Date]=$A$4)*(CkDJ[Ofc Code]=(TRIM(R$7)))*(CkDJ[Account Code]=(TRIM($D39))),CkDJ[Credit])))+(SUM(IF((CsDJ[Date]=$A$4)*(CsDJ[Ofc Code]=(TRIM(R$7)))*(CsDJ[Account Code]=(TRIM($D39))),CsDJ[Credit])))+(SUM(IF((CRDJ[Date]=$A$4)*(CRDJ[Ofc Code]=(TRIM(R$7)))*(CRDJ[Account Code]=(TRIM($D39))),CRDJ[Credit])))+(SUM(IF((GJ[Date]=$A$4)*(GJ[Ofc Code]=(TRIM(R$7)))*(GJ[Account Code]=(TRIM($D39))),GJ[Credit])))</f>
        <v>0</v>
      </c>
      <c r="S39" s="211">
        <f t="array" ref="S39">(SUM(IF((CkDJ[Date]=$A$4)*(CkDJ[Ofc Code]=(TRIM(S$7)))*(CkDJ[Account Code]=(TRIM($D39))),CkDJ[Debit])))+(SUM(IF((CsDJ[Date]=$A$4)*(CsDJ[Ofc Code]=(TRIM(S$7)))*(CsDJ[Account Code]=(TRIM($D39))),CsDJ[Debit])))+(SUM(IF((CRDJ[Date]=$A$4)*(CRDJ[Ofc Code]=(TRIM(S$7)))*(CRDJ[Account Code]=(TRIM($D39))),CRDJ[Debit])))+(SUM(IF((GJ[Date]=$A$4)*(GJ[Ofc Code]=(TRIM(S$7)))*(GJ[Account Code]=(TRIM($D39))),GJ[Debit])))-(SUM(IF((CkDJ[Date]=$A$4)*(CkDJ[Ofc Code]=(TRIM(S$7)))*(CkDJ[Account Code]=(TRIM($D39))),CkDJ[Credit])))+(SUM(IF((CsDJ[Date]=$A$4)*(CsDJ[Ofc Code]=(TRIM(S$7)))*(CsDJ[Account Code]=(TRIM($D39))),CsDJ[Credit])))+(SUM(IF((CRDJ[Date]=$A$4)*(CRDJ[Ofc Code]=(TRIM(S$7)))*(CRDJ[Account Code]=(TRIM($D39))),CRDJ[Credit])))+(SUM(IF((GJ[Date]=$A$4)*(GJ[Ofc Code]=(TRIM(S$7)))*(GJ[Account Code]=(TRIM($D39))),GJ[Credit])))</f>
        <v>0</v>
      </c>
      <c r="T39" s="211">
        <f t="shared" si="10"/>
        <v>0</v>
      </c>
      <c r="U39" s="211">
        <f t="shared" si="11"/>
        <v>0</v>
      </c>
    </row>
    <row r="40" spans="1:21" ht="15" x14ac:dyDescent="0.25">
      <c r="A40" s="212">
        <f t="shared" si="12"/>
        <v>7</v>
      </c>
      <c r="B40" s="214" t="s">
        <v>756</v>
      </c>
      <c r="C40" s="194" t="str">
        <f t="shared" si="7"/>
        <v>Productivity Incentive Allowance</v>
      </c>
      <c r="D40" s="215">
        <v>717</v>
      </c>
      <c r="E40" s="211">
        <f t="array" ref="E40">(SUM(IF((CkDJ[Date]=$A$4)*(CkDJ[Ofc Code]=(TRIM(E$7)))*(CkDJ[Account Code]=(TRIM($D40))),CkDJ[Debit])))+(SUM(IF((CsDJ[Date]=$A$4)*(CsDJ[Ofc Code]=(TRIM(E$7)))*(CsDJ[Account Code]=(TRIM($D40))),CsDJ[Debit])))+(SUM(IF((CRDJ[Date]=$A$4)*(CRDJ[Ofc Code]=(TRIM(E$7)))*(CRDJ[Account Code]=(TRIM($D40))),CRDJ[Debit])))+(SUM(IF((GJ[Date]=$A$4)*(GJ[Ofc Code]=(TRIM(E$7)))*(GJ[Account Code]=(TRIM($D40))),GJ[Debit])))-(SUM(IF((CkDJ[Date]=$A$4)*(CkDJ[Ofc Code]=(TRIM(E$7)))*(CkDJ[Account Code]=(TRIM($D40))),CkDJ[Credit])))+(SUM(IF((CsDJ[Date]=$A$4)*(CsDJ[Ofc Code]=(TRIM(E$7)))*(CsDJ[Account Code]=(TRIM($D40))),CsDJ[Credit])))+(SUM(IF((CRDJ[Date]=$A$4)*(CRDJ[Ofc Code]=(TRIM(E$7)))*(CRDJ[Account Code]=(TRIM($D40))),CRDJ[Credit])))+(SUM(IF((GJ[Date]=$A$4)*(GJ[Ofc Code]=(TRIM(E$7)))*(GJ[Account Code]=(TRIM($D40))),GJ[Credit])))</f>
        <v>0</v>
      </c>
      <c r="F40" s="211">
        <f t="array" ref="F40">(SUM(IF((CkDJ[Date]=$A$4)*(CkDJ[Ofc Code]=(TRIM(F$7)))*(CkDJ[Account Code]=(TRIM($D40))),CkDJ[Debit])))+(SUM(IF((CsDJ[Date]=$A$4)*(CsDJ[Ofc Code]=(TRIM(F$7)))*(CsDJ[Account Code]=(TRIM($D40))),CsDJ[Debit])))+(SUM(IF((CRDJ[Date]=$A$4)*(CRDJ[Ofc Code]=(TRIM(F$7)))*(CRDJ[Account Code]=(TRIM($D40))),CRDJ[Debit])))+(SUM(IF((GJ[Date]=$A$4)*(GJ[Ofc Code]=(TRIM(F$7)))*(GJ[Account Code]=(TRIM($D40))),GJ[Debit])))-(SUM(IF((CkDJ[Date]=$A$4)*(CkDJ[Ofc Code]=(TRIM(F$7)))*(CkDJ[Account Code]=(TRIM($D40))),CkDJ[Credit])))+(SUM(IF((CsDJ[Date]=$A$4)*(CsDJ[Ofc Code]=(TRIM(F$7)))*(CsDJ[Account Code]=(TRIM($D40))),CsDJ[Credit])))+(SUM(IF((CRDJ[Date]=$A$4)*(CRDJ[Ofc Code]=(TRIM(F$7)))*(CRDJ[Account Code]=(TRIM($D40))),CRDJ[Credit])))+(SUM(IF((GJ[Date]=$A$4)*(GJ[Ofc Code]=(TRIM(F$7)))*(GJ[Account Code]=(TRIM($D40))),GJ[Credit])))</f>
        <v>0</v>
      </c>
      <c r="G40" s="211">
        <f t="array" ref="G40">(SUM(IF((CkDJ[Date]=$A$4)*(CkDJ[Ofc Code]=(TRIM(G$7)))*(CkDJ[Account Code]=(TRIM($D40))),CkDJ[Debit])))+(SUM(IF((CsDJ[Date]=$A$4)*(CsDJ[Ofc Code]=(TRIM(G$7)))*(CsDJ[Account Code]=(TRIM($D40))),CsDJ[Debit])))+(SUM(IF((CRDJ[Date]=$A$4)*(CRDJ[Ofc Code]=(TRIM(G$7)))*(CRDJ[Account Code]=(TRIM($D40))),CRDJ[Debit])))+(SUM(IF((GJ[Date]=$A$4)*(GJ[Ofc Code]=(TRIM(G$7)))*(GJ[Account Code]=(TRIM($D40))),GJ[Debit])))-(SUM(IF((CkDJ[Date]=$A$4)*(CkDJ[Ofc Code]=(TRIM(G$7)))*(CkDJ[Account Code]=(TRIM($D40))),CkDJ[Credit])))+(SUM(IF((CsDJ[Date]=$A$4)*(CsDJ[Ofc Code]=(TRIM(G$7)))*(CsDJ[Account Code]=(TRIM($D40))),CsDJ[Credit])))+(SUM(IF((CRDJ[Date]=$A$4)*(CRDJ[Ofc Code]=(TRIM(G$7)))*(CRDJ[Account Code]=(TRIM($D40))),CRDJ[Credit])))+(SUM(IF((GJ[Date]=$A$4)*(GJ[Ofc Code]=(TRIM(G$7)))*(GJ[Account Code]=(TRIM($D40))),GJ[Credit])))</f>
        <v>0</v>
      </c>
      <c r="H40" s="211">
        <f t="array" ref="H40">(SUM(IF((CkDJ[Date]=$A$4)*(CkDJ[Ofc Code]=(TRIM(H$7)))*(CkDJ[Account Code]=(TRIM($D40))),CkDJ[Debit])))+(SUM(IF((CsDJ[Date]=$A$4)*(CsDJ[Ofc Code]=(TRIM(H$7)))*(CsDJ[Account Code]=(TRIM($D40))),CsDJ[Debit])))+(SUM(IF((CRDJ[Date]=$A$4)*(CRDJ[Ofc Code]=(TRIM(H$7)))*(CRDJ[Account Code]=(TRIM($D40))),CRDJ[Debit])))+(SUM(IF((GJ[Date]=$A$4)*(GJ[Ofc Code]=(TRIM(H$7)))*(GJ[Account Code]=(TRIM($D40))),GJ[Debit])))-(SUM(IF((CkDJ[Date]=$A$4)*(CkDJ[Ofc Code]=(TRIM(H$7)))*(CkDJ[Account Code]=(TRIM($D40))),CkDJ[Credit])))+(SUM(IF((CsDJ[Date]=$A$4)*(CsDJ[Ofc Code]=(TRIM(H$7)))*(CsDJ[Account Code]=(TRIM($D40))),CsDJ[Credit])))+(SUM(IF((CRDJ[Date]=$A$4)*(CRDJ[Ofc Code]=(TRIM(H$7)))*(CRDJ[Account Code]=(TRIM($D40))),CRDJ[Credit])))+(SUM(IF((GJ[Date]=$A$4)*(GJ[Ofc Code]=(TRIM(H$7)))*(GJ[Account Code]=(TRIM($D40))),GJ[Credit])))</f>
        <v>0</v>
      </c>
      <c r="I40" s="211">
        <f t="shared" si="8"/>
        <v>0</v>
      </c>
      <c r="J40" s="211">
        <f t="array" ref="J40">(SUM(IF((CkDJ[Date]=$A$4)*(CkDJ[Ofc Code]=(TRIM(J$7)))*(CkDJ[Account Code]=(TRIM($D40))),CkDJ[Debit])))+(SUM(IF((CsDJ[Date]=$A$4)*(CsDJ[Ofc Code]=(TRIM(J$7)))*(CsDJ[Account Code]=(TRIM($D40))),CsDJ[Debit])))+(SUM(IF((CRDJ[Date]=$A$4)*(CRDJ[Ofc Code]=(TRIM(J$7)))*(CRDJ[Account Code]=(TRIM($D40))),CRDJ[Debit])))+(SUM(IF((GJ[Date]=$A$4)*(GJ[Ofc Code]=(TRIM(J$7)))*(GJ[Account Code]=(TRIM($D40))),GJ[Debit])))-(SUM(IF((CkDJ[Date]=$A$4)*(CkDJ[Ofc Code]=(TRIM(J$7)))*(CkDJ[Account Code]=(TRIM($D40))),CkDJ[Credit])))+(SUM(IF((CsDJ[Date]=$A$4)*(CsDJ[Ofc Code]=(TRIM(J$7)))*(CsDJ[Account Code]=(TRIM($D40))),CsDJ[Credit])))+(SUM(IF((CRDJ[Date]=$A$4)*(CRDJ[Ofc Code]=(TRIM(J$7)))*(CRDJ[Account Code]=(TRIM($D40))),CRDJ[Credit])))+(SUM(IF((GJ[Date]=$A$4)*(GJ[Ofc Code]=(TRIM(J$7)))*(GJ[Account Code]=(TRIM($D40))),GJ[Credit])))</f>
        <v>0</v>
      </c>
      <c r="K40" s="211">
        <f t="array" ref="K40">(SUM(IF((CkDJ[Date]=$A$4)*(CkDJ[Ofc Code]=(TRIM(K$7)))*(CkDJ[Account Code]=(TRIM($D40))),CkDJ[Debit])))+(SUM(IF((CsDJ[Date]=$A$4)*(CsDJ[Ofc Code]=(TRIM(K$7)))*(CsDJ[Account Code]=(TRIM($D40))),CsDJ[Debit])))+(SUM(IF((CRDJ[Date]=$A$4)*(CRDJ[Ofc Code]=(TRIM(K$7)))*(CRDJ[Account Code]=(TRIM($D40))),CRDJ[Debit])))+(SUM(IF((GJ[Date]=$A$4)*(GJ[Ofc Code]=(TRIM(K$7)))*(GJ[Account Code]=(TRIM($D40))),GJ[Debit])))-(SUM(IF((CkDJ[Date]=$A$4)*(CkDJ[Ofc Code]=(TRIM(K$7)))*(CkDJ[Account Code]=(TRIM($D40))),CkDJ[Credit])))+(SUM(IF((CsDJ[Date]=$A$4)*(CsDJ[Ofc Code]=(TRIM(K$7)))*(CsDJ[Account Code]=(TRIM($D40))),CsDJ[Credit])))+(SUM(IF((CRDJ[Date]=$A$4)*(CRDJ[Ofc Code]=(TRIM(K$7)))*(CRDJ[Account Code]=(TRIM($D40))),CRDJ[Credit])))+(SUM(IF((GJ[Date]=$A$4)*(GJ[Ofc Code]=(TRIM(K$7)))*(GJ[Account Code]=(TRIM($D40))),GJ[Credit])))</f>
        <v>0</v>
      </c>
      <c r="L40" s="211">
        <f t="array" ref="L40">(SUM(IF((CkDJ[Date]=$A$4)*(CkDJ[Ofc Code]=(TRIM(L$7)))*(CkDJ[Account Code]=(TRIM($D40))),CkDJ[Debit])))+(SUM(IF((CsDJ[Date]=$A$4)*(CsDJ[Ofc Code]=(TRIM(L$7)))*(CsDJ[Account Code]=(TRIM($D40))),CsDJ[Debit])))+(SUM(IF((CRDJ[Date]=$A$4)*(CRDJ[Ofc Code]=(TRIM(L$7)))*(CRDJ[Account Code]=(TRIM($D40))),CRDJ[Debit])))+(SUM(IF((GJ[Date]=$A$4)*(GJ[Ofc Code]=(TRIM(L$7)))*(GJ[Account Code]=(TRIM($D40))),GJ[Debit])))-(SUM(IF((CkDJ[Date]=$A$4)*(CkDJ[Ofc Code]=(TRIM(L$7)))*(CkDJ[Account Code]=(TRIM($D40))),CkDJ[Credit])))+(SUM(IF((CsDJ[Date]=$A$4)*(CsDJ[Ofc Code]=(TRIM(L$7)))*(CsDJ[Account Code]=(TRIM($D40))),CsDJ[Credit])))+(SUM(IF((CRDJ[Date]=$A$4)*(CRDJ[Ofc Code]=(TRIM(L$7)))*(CRDJ[Account Code]=(TRIM($D40))),CRDJ[Credit])))+(SUM(IF((GJ[Date]=$A$4)*(GJ[Ofc Code]=(TRIM(L$7)))*(GJ[Account Code]=(TRIM($D40))),GJ[Credit])))</f>
        <v>0</v>
      </c>
      <c r="M40" s="211">
        <f t="array" ref="M40">(SUM(IF((CkDJ[Date]=$A$4)*(CkDJ[Ofc Code]=(TRIM(M$7)))*(CkDJ[Account Code]=(TRIM($D40))),CkDJ[Debit])))+(SUM(IF((CsDJ[Date]=$A$4)*(CsDJ[Ofc Code]=(TRIM(M$7)))*(CsDJ[Account Code]=(TRIM($D40))),CsDJ[Debit])))+(SUM(IF((CRDJ[Date]=$A$4)*(CRDJ[Ofc Code]=(TRIM(M$7)))*(CRDJ[Account Code]=(TRIM($D40))),CRDJ[Debit])))+(SUM(IF((GJ[Date]=$A$4)*(GJ[Ofc Code]=(TRIM(M$7)))*(GJ[Account Code]=(TRIM($D40))),GJ[Debit])))-(SUM(IF((CkDJ[Date]=$A$4)*(CkDJ[Ofc Code]=(TRIM(M$7)))*(CkDJ[Account Code]=(TRIM($D40))),CkDJ[Credit])))+(SUM(IF((CsDJ[Date]=$A$4)*(CsDJ[Ofc Code]=(TRIM(M$7)))*(CsDJ[Account Code]=(TRIM($D40))),CsDJ[Credit])))+(SUM(IF((CRDJ[Date]=$A$4)*(CRDJ[Ofc Code]=(TRIM(M$7)))*(CRDJ[Account Code]=(TRIM($D40))),CRDJ[Credit])))+(SUM(IF((GJ[Date]=$A$4)*(GJ[Ofc Code]=(TRIM(M$7)))*(GJ[Account Code]=(TRIM($D40))),GJ[Credit])))</f>
        <v>0</v>
      </c>
      <c r="N40" s="211">
        <f t="shared" si="9"/>
        <v>0</v>
      </c>
      <c r="O40" s="211">
        <f t="array" ref="O40">(SUM(IF((CkDJ[Date]=$A$4)*(CkDJ[Ofc Code]=(TRIM(O$7)))*(CkDJ[Account Code]=(TRIM($D40))),CkDJ[Debit])))+(SUM(IF((CsDJ[Date]=$A$4)*(CsDJ[Ofc Code]=(TRIM(O$7)))*(CsDJ[Account Code]=(TRIM($D40))),CsDJ[Debit])))+(SUM(IF((CRDJ[Date]=$A$4)*(CRDJ[Ofc Code]=(TRIM(O$7)))*(CRDJ[Account Code]=(TRIM($D40))),CRDJ[Debit])))+(SUM(IF((GJ[Date]=$A$4)*(GJ[Ofc Code]=(TRIM(O$7)))*(GJ[Account Code]=(TRIM($D40))),GJ[Debit])))-(SUM(IF((CkDJ[Date]=$A$4)*(CkDJ[Ofc Code]=(TRIM(O$7)))*(CkDJ[Account Code]=(TRIM($D40))),CkDJ[Credit])))+(SUM(IF((CsDJ[Date]=$A$4)*(CsDJ[Ofc Code]=(TRIM(O$7)))*(CsDJ[Account Code]=(TRIM($D40))),CsDJ[Credit])))+(SUM(IF((CRDJ[Date]=$A$4)*(CRDJ[Ofc Code]=(TRIM(O$7)))*(CRDJ[Account Code]=(TRIM($D40))),CRDJ[Credit])))+(SUM(IF((GJ[Date]=$A$4)*(GJ[Ofc Code]=(TRIM(O$7)))*(GJ[Account Code]=(TRIM($D40))),GJ[Credit])))</f>
        <v>0</v>
      </c>
      <c r="P40" s="211">
        <f t="array" ref="P40">(SUM(IF((CkDJ[Date]=$A$4)*(CkDJ[Ofc Code]=(TRIM(P$7)))*(CkDJ[Account Code]=(TRIM($D40))),CkDJ[Debit])))+(SUM(IF((CsDJ[Date]=$A$4)*(CsDJ[Ofc Code]=(TRIM(P$7)))*(CsDJ[Account Code]=(TRIM($D40))),CsDJ[Debit])))+(SUM(IF((CRDJ[Date]=$A$4)*(CRDJ[Ofc Code]=(TRIM(P$7)))*(CRDJ[Account Code]=(TRIM($D40))),CRDJ[Debit])))+(SUM(IF((GJ[Date]=$A$4)*(GJ[Ofc Code]=(TRIM(P$7)))*(GJ[Account Code]=(TRIM($D40))),GJ[Debit])))-(SUM(IF((CkDJ[Date]=$A$4)*(CkDJ[Ofc Code]=(TRIM(P$7)))*(CkDJ[Account Code]=(TRIM($D40))),CkDJ[Credit])))+(SUM(IF((CsDJ[Date]=$A$4)*(CsDJ[Ofc Code]=(TRIM(P$7)))*(CsDJ[Account Code]=(TRIM($D40))),CsDJ[Credit])))+(SUM(IF((CRDJ[Date]=$A$4)*(CRDJ[Ofc Code]=(TRIM(P$7)))*(CRDJ[Account Code]=(TRIM($D40))),CRDJ[Credit])))+(SUM(IF((GJ[Date]=$A$4)*(GJ[Ofc Code]=(TRIM(P$7)))*(GJ[Account Code]=(TRIM($D40))),GJ[Credit])))</f>
        <v>0</v>
      </c>
      <c r="Q40" s="211">
        <f t="array" ref="Q40">(SUM(IF((CkDJ[Date]=$A$4)*(CkDJ[Ofc Code]=(TRIM(Q$7)))*(CkDJ[Account Code]=(TRIM($D40))),CkDJ[Debit])))+(SUM(IF((CsDJ[Date]=$A$4)*(CsDJ[Ofc Code]=(TRIM(Q$7)))*(CsDJ[Account Code]=(TRIM($D40))),CsDJ[Debit])))+(SUM(IF((CRDJ[Date]=$A$4)*(CRDJ[Ofc Code]=(TRIM(Q$7)))*(CRDJ[Account Code]=(TRIM($D40))),CRDJ[Debit])))+(SUM(IF((GJ[Date]=$A$4)*(GJ[Ofc Code]=(TRIM(Q$7)))*(GJ[Account Code]=(TRIM($D40))),GJ[Debit])))-(SUM(IF((CkDJ[Date]=$A$4)*(CkDJ[Ofc Code]=(TRIM(Q$7)))*(CkDJ[Account Code]=(TRIM($D40))),CkDJ[Credit])))+(SUM(IF((CsDJ[Date]=$A$4)*(CsDJ[Ofc Code]=(TRIM(Q$7)))*(CsDJ[Account Code]=(TRIM($D40))),CsDJ[Credit])))+(SUM(IF((CRDJ[Date]=$A$4)*(CRDJ[Ofc Code]=(TRIM(Q$7)))*(CRDJ[Account Code]=(TRIM($D40))),CRDJ[Credit])))+(SUM(IF((GJ[Date]=$A$4)*(GJ[Ofc Code]=(TRIM(Q$7)))*(GJ[Account Code]=(TRIM($D40))),GJ[Credit])))</f>
        <v>0</v>
      </c>
      <c r="R40" s="211">
        <f t="array" ref="R40">(SUM(IF((CkDJ[Date]=$A$4)*(CkDJ[Ofc Code]=(TRIM(R$7)))*(CkDJ[Account Code]=(TRIM($D40))),CkDJ[Debit])))+(SUM(IF((CsDJ[Date]=$A$4)*(CsDJ[Ofc Code]=(TRIM(R$7)))*(CsDJ[Account Code]=(TRIM($D40))),CsDJ[Debit])))+(SUM(IF((CRDJ[Date]=$A$4)*(CRDJ[Ofc Code]=(TRIM(R$7)))*(CRDJ[Account Code]=(TRIM($D40))),CRDJ[Debit])))+(SUM(IF((GJ[Date]=$A$4)*(GJ[Ofc Code]=(TRIM(R$7)))*(GJ[Account Code]=(TRIM($D40))),GJ[Debit])))-(SUM(IF((CkDJ[Date]=$A$4)*(CkDJ[Ofc Code]=(TRIM(R$7)))*(CkDJ[Account Code]=(TRIM($D40))),CkDJ[Credit])))+(SUM(IF((CsDJ[Date]=$A$4)*(CsDJ[Ofc Code]=(TRIM(R$7)))*(CsDJ[Account Code]=(TRIM($D40))),CsDJ[Credit])))+(SUM(IF((CRDJ[Date]=$A$4)*(CRDJ[Ofc Code]=(TRIM(R$7)))*(CRDJ[Account Code]=(TRIM($D40))),CRDJ[Credit])))+(SUM(IF((GJ[Date]=$A$4)*(GJ[Ofc Code]=(TRIM(R$7)))*(GJ[Account Code]=(TRIM($D40))),GJ[Credit])))</f>
        <v>0</v>
      </c>
      <c r="S40" s="211">
        <f t="array" ref="S40">(SUM(IF((CkDJ[Date]=$A$4)*(CkDJ[Ofc Code]=(TRIM(S$7)))*(CkDJ[Account Code]=(TRIM($D40))),CkDJ[Debit])))+(SUM(IF((CsDJ[Date]=$A$4)*(CsDJ[Ofc Code]=(TRIM(S$7)))*(CsDJ[Account Code]=(TRIM($D40))),CsDJ[Debit])))+(SUM(IF((CRDJ[Date]=$A$4)*(CRDJ[Ofc Code]=(TRIM(S$7)))*(CRDJ[Account Code]=(TRIM($D40))),CRDJ[Debit])))+(SUM(IF((GJ[Date]=$A$4)*(GJ[Ofc Code]=(TRIM(S$7)))*(GJ[Account Code]=(TRIM($D40))),GJ[Debit])))-(SUM(IF((CkDJ[Date]=$A$4)*(CkDJ[Ofc Code]=(TRIM(S$7)))*(CkDJ[Account Code]=(TRIM($D40))),CkDJ[Credit])))+(SUM(IF((CsDJ[Date]=$A$4)*(CsDJ[Ofc Code]=(TRIM(S$7)))*(CsDJ[Account Code]=(TRIM($D40))),CsDJ[Credit])))+(SUM(IF((CRDJ[Date]=$A$4)*(CRDJ[Ofc Code]=(TRIM(S$7)))*(CRDJ[Account Code]=(TRIM($D40))),CRDJ[Credit])))+(SUM(IF((GJ[Date]=$A$4)*(GJ[Ofc Code]=(TRIM(S$7)))*(GJ[Account Code]=(TRIM($D40))),GJ[Credit])))</f>
        <v>0</v>
      </c>
      <c r="T40" s="211">
        <f t="shared" si="10"/>
        <v>0</v>
      </c>
      <c r="U40" s="211">
        <f t="shared" si="11"/>
        <v>0</v>
      </c>
    </row>
    <row r="41" spans="1:21" ht="15" x14ac:dyDescent="0.25">
      <c r="A41" s="212">
        <f t="shared" si="12"/>
        <v>8</v>
      </c>
      <c r="B41" s="214" t="s">
        <v>756</v>
      </c>
      <c r="C41" s="194" t="str">
        <f t="shared" si="7"/>
        <v>Other Bonuses and Allowances - Medical Allowance</v>
      </c>
      <c r="D41" s="215" t="s">
        <v>5</v>
      </c>
      <c r="E41" s="211">
        <f t="array" ref="E41">(SUM(IF((CkDJ[Date]=$A$4)*(CkDJ[Ofc Code]=(TRIM(E$7)))*(CkDJ[Account Code]=(TRIM($D41))),CkDJ[Debit])))+(SUM(IF((CsDJ[Date]=$A$4)*(CsDJ[Ofc Code]=(TRIM(E$7)))*(CsDJ[Account Code]=(TRIM($D41))),CsDJ[Debit])))+(SUM(IF((CRDJ[Date]=$A$4)*(CRDJ[Ofc Code]=(TRIM(E$7)))*(CRDJ[Account Code]=(TRIM($D41))),CRDJ[Debit])))+(SUM(IF((GJ[Date]=$A$4)*(GJ[Ofc Code]=(TRIM(E$7)))*(GJ[Account Code]=(TRIM($D41))),GJ[Debit])))-(SUM(IF((CkDJ[Date]=$A$4)*(CkDJ[Ofc Code]=(TRIM(E$7)))*(CkDJ[Account Code]=(TRIM($D41))),CkDJ[Credit])))+(SUM(IF((CsDJ[Date]=$A$4)*(CsDJ[Ofc Code]=(TRIM(E$7)))*(CsDJ[Account Code]=(TRIM($D41))),CsDJ[Credit])))+(SUM(IF((CRDJ[Date]=$A$4)*(CRDJ[Ofc Code]=(TRIM(E$7)))*(CRDJ[Account Code]=(TRIM($D41))),CRDJ[Credit])))+(SUM(IF((GJ[Date]=$A$4)*(GJ[Ofc Code]=(TRIM(E$7)))*(GJ[Account Code]=(TRIM($D41))),GJ[Credit])))</f>
        <v>0</v>
      </c>
      <c r="F41" s="211">
        <f t="array" ref="F41">(SUM(IF((CkDJ[Date]=$A$4)*(CkDJ[Ofc Code]=(TRIM(F$7)))*(CkDJ[Account Code]=(TRIM($D41))),CkDJ[Debit])))+(SUM(IF((CsDJ[Date]=$A$4)*(CsDJ[Ofc Code]=(TRIM(F$7)))*(CsDJ[Account Code]=(TRIM($D41))),CsDJ[Debit])))+(SUM(IF((CRDJ[Date]=$A$4)*(CRDJ[Ofc Code]=(TRIM(F$7)))*(CRDJ[Account Code]=(TRIM($D41))),CRDJ[Debit])))+(SUM(IF((GJ[Date]=$A$4)*(GJ[Ofc Code]=(TRIM(F$7)))*(GJ[Account Code]=(TRIM($D41))),GJ[Debit])))-(SUM(IF((CkDJ[Date]=$A$4)*(CkDJ[Ofc Code]=(TRIM(F$7)))*(CkDJ[Account Code]=(TRIM($D41))),CkDJ[Credit])))+(SUM(IF((CsDJ[Date]=$A$4)*(CsDJ[Ofc Code]=(TRIM(F$7)))*(CsDJ[Account Code]=(TRIM($D41))),CsDJ[Credit])))+(SUM(IF((CRDJ[Date]=$A$4)*(CRDJ[Ofc Code]=(TRIM(F$7)))*(CRDJ[Account Code]=(TRIM($D41))),CRDJ[Credit])))+(SUM(IF((GJ[Date]=$A$4)*(GJ[Ofc Code]=(TRIM(F$7)))*(GJ[Account Code]=(TRIM($D41))),GJ[Credit])))</f>
        <v>0</v>
      </c>
      <c r="G41" s="211">
        <f t="array" ref="G41">(SUM(IF((CkDJ[Date]=$A$4)*(CkDJ[Ofc Code]=(TRIM(G$7)))*(CkDJ[Account Code]=(TRIM($D41))),CkDJ[Debit])))+(SUM(IF((CsDJ[Date]=$A$4)*(CsDJ[Ofc Code]=(TRIM(G$7)))*(CsDJ[Account Code]=(TRIM($D41))),CsDJ[Debit])))+(SUM(IF((CRDJ[Date]=$A$4)*(CRDJ[Ofc Code]=(TRIM(G$7)))*(CRDJ[Account Code]=(TRIM($D41))),CRDJ[Debit])))+(SUM(IF((GJ[Date]=$A$4)*(GJ[Ofc Code]=(TRIM(G$7)))*(GJ[Account Code]=(TRIM($D41))),GJ[Debit])))-(SUM(IF((CkDJ[Date]=$A$4)*(CkDJ[Ofc Code]=(TRIM(G$7)))*(CkDJ[Account Code]=(TRIM($D41))),CkDJ[Credit])))+(SUM(IF((CsDJ[Date]=$A$4)*(CsDJ[Ofc Code]=(TRIM(G$7)))*(CsDJ[Account Code]=(TRIM($D41))),CsDJ[Credit])))+(SUM(IF((CRDJ[Date]=$A$4)*(CRDJ[Ofc Code]=(TRIM(G$7)))*(CRDJ[Account Code]=(TRIM($D41))),CRDJ[Credit])))+(SUM(IF((GJ[Date]=$A$4)*(GJ[Ofc Code]=(TRIM(G$7)))*(GJ[Account Code]=(TRIM($D41))),GJ[Credit])))</f>
        <v>0</v>
      </c>
      <c r="H41" s="211">
        <f t="array" ref="H41">(SUM(IF((CkDJ[Date]=$A$4)*(CkDJ[Ofc Code]=(TRIM(H$7)))*(CkDJ[Account Code]=(TRIM($D41))),CkDJ[Debit])))+(SUM(IF((CsDJ[Date]=$A$4)*(CsDJ[Ofc Code]=(TRIM(H$7)))*(CsDJ[Account Code]=(TRIM($D41))),CsDJ[Debit])))+(SUM(IF((CRDJ[Date]=$A$4)*(CRDJ[Ofc Code]=(TRIM(H$7)))*(CRDJ[Account Code]=(TRIM($D41))),CRDJ[Debit])))+(SUM(IF((GJ[Date]=$A$4)*(GJ[Ofc Code]=(TRIM(H$7)))*(GJ[Account Code]=(TRIM($D41))),GJ[Debit])))-(SUM(IF((CkDJ[Date]=$A$4)*(CkDJ[Ofc Code]=(TRIM(H$7)))*(CkDJ[Account Code]=(TRIM($D41))),CkDJ[Credit])))+(SUM(IF((CsDJ[Date]=$A$4)*(CsDJ[Ofc Code]=(TRIM(H$7)))*(CsDJ[Account Code]=(TRIM($D41))),CsDJ[Credit])))+(SUM(IF((CRDJ[Date]=$A$4)*(CRDJ[Ofc Code]=(TRIM(H$7)))*(CRDJ[Account Code]=(TRIM($D41))),CRDJ[Credit])))+(SUM(IF((GJ[Date]=$A$4)*(GJ[Ofc Code]=(TRIM(H$7)))*(GJ[Account Code]=(TRIM($D41))),GJ[Credit])))</f>
        <v>0</v>
      </c>
      <c r="I41" s="211">
        <f t="shared" si="8"/>
        <v>0</v>
      </c>
      <c r="J41" s="211">
        <f t="array" ref="J41">(SUM(IF((CkDJ[Date]=$A$4)*(CkDJ[Ofc Code]=(TRIM(J$7)))*(CkDJ[Account Code]=(TRIM($D41))),CkDJ[Debit])))+(SUM(IF((CsDJ[Date]=$A$4)*(CsDJ[Ofc Code]=(TRIM(J$7)))*(CsDJ[Account Code]=(TRIM($D41))),CsDJ[Debit])))+(SUM(IF((CRDJ[Date]=$A$4)*(CRDJ[Ofc Code]=(TRIM(J$7)))*(CRDJ[Account Code]=(TRIM($D41))),CRDJ[Debit])))+(SUM(IF((GJ[Date]=$A$4)*(GJ[Ofc Code]=(TRIM(J$7)))*(GJ[Account Code]=(TRIM($D41))),GJ[Debit])))-(SUM(IF((CkDJ[Date]=$A$4)*(CkDJ[Ofc Code]=(TRIM(J$7)))*(CkDJ[Account Code]=(TRIM($D41))),CkDJ[Credit])))+(SUM(IF((CsDJ[Date]=$A$4)*(CsDJ[Ofc Code]=(TRIM(J$7)))*(CsDJ[Account Code]=(TRIM($D41))),CsDJ[Credit])))+(SUM(IF((CRDJ[Date]=$A$4)*(CRDJ[Ofc Code]=(TRIM(J$7)))*(CRDJ[Account Code]=(TRIM($D41))),CRDJ[Credit])))+(SUM(IF((GJ[Date]=$A$4)*(GJ[Ofc Code]=(TRIM(J$7)))*(GJ[Account Code]=(TRIM($D41))),GJ[Credit])))</f>
        <v>0</v>
      </c>
      <c r="K41" s="211">
        <f t="array" ref="K41">(SUM(IF((CkDJ[Date]=$A$4)*(CkDJ[Ofc Code]=(TRIM(K$7)))*(CkDJ[Account Code]=(TRIM($D41))),CkDJ[Debit])))+(SUM(IF((CsDJ[Date]=$A$4)*(CsDJ[Ofc Code]=(TRIM(K$7)))*(CsDJ[Account Code]=(TRIM($D41))),CsDJ[Debit])))+(SUM(IF((CRDJ[Date]=$A$4)*(CRDJ[Ofc Code]=(TRIM(K$7)))*(CRDJ[Account Code]=(TRIM($D41))),CRDJ[Debit])))+(SUM(IF((GJ[Date]=$A$4)*(GJ[Ofc Code]=(TRIM(K$7)))*(GJ[Account Code]=(TRIM($D41))),GJ[Debit])))-(SUM(IF((CkDJ[Date]=$A$4)*(CkDJ[Ofc Code]=(TRIM(K$7)))*(CkDJ[Account Code]=(TRIM($D41))),CkDJ[Credit])))+(SUM(IF((CsDJ[Date]=$A$4)*(CsDJ[Ofc Code]=(TRIM(K$7)))*(CsDJ[Account Code]=(TRIM($D41))),CsDJ[Credit])))+(SUM(IF((CRDJ[Date]=$A$4)*(CRDJ[Ofc Code]=(TRIM(K$7)))*(CRDJ[Account Code]=(TRIM($D41))),CRDJ[Credit])))+(SUM(IF((GJ[Date]=$A$4)*(GJ[Ofc Code]=(TRIM(K$7)))*(GJ[Account Code]=(TRIM($D41))),GJ[Credit])))</f>
        <v>0</v>
      </c>
      <c r="L41" s="211">
        <f t="array" ref="L41">(SUM(IF((CkDJ[Date]=$A$4)*(CkDJ[Ofc Code]=(TRIM(L$7)))*(CkDJ[Account Code]=(TRIM($D41))),CkDJ[Debit])))+(SUM(IF((CsDJ[Date]=$A$4)*(CsDJ[Ofc Code]=(TRIM(L$7)))*(CsDJ[Account Code]=(TRIM($D41))),CsDJ[Debit])))+(SUM(IF((CRDJ[Date]=$A$4)*(CRDJ[Ofc Code]=(TRIM(L$7)))*(CRDJ[Account Code]=(TRIM($D41))),CRDJ[Debit])))+(SUM(IF((GJ[Date]=$A$4)*(GJ[Ofc Code]=(TRIM(L$7)))*(GJ[Account Code]=(TRIM($D41))),GJ[Debit])))-(SUM(IF((CkDJ[Date]=$A$4)*(CkDJ[Ofc Code]=(TRIM(L$7)))*(CkDJ[Account Code]=(TRIM($D41))),CkDJ[Credit])))+(SUM(IF((CsDJ[Date]=$A$4)*(CsDJ[Ofc Code]=(TRIM(L$7)))*(CsDJ[Account Code]=(TRIM($D41))),CsDJ[Credit])))+(SUM(IF((CRDJ[Date]=$A$4)*(CRDJ[Ofc Code]=(TRIM(L$7)))*(CRDJ[Account Code]=(TRIM($D41))),CRDJ[Credit])))+(SUM(IF((GJ[Date]=$A$4)*(GJ[Ofc Code]=(TRIM(L$7)))*(GJ[Account Code]=(TRIM($D41))),GJ[Credit])))</f>
        <v>0</v>
      </c>
      <c r="M41" s="211">
        <f t="array" ref="M41">(SUM(IF((CkDJ[Date]=$A$4)*(CkDJ[Ofc Code]=(TRIM(M$7)))*(CkDJ[Account Code]=(TRIM($D41))),CkDJ[Debit])))+(SUM(IF((CsDJ[Date]=$A$4)*(CsDJ[Ofc Code]=(TRIM(M$7)))*(CsDJ[Account Code]=(TRIM($D41))),CsDJ[Debit])))+(SUM(IF((CRDJ[Date]=$A$4)*(CRDJ[Ofc Code]=(TRIM(M$7)))*(CRDJ[Account Code]=(TRIM($D41))),CRDJ[Debit])))+(SUM(IF((GJ[Date]=$A$4)*(GJ[Ofc Code]=(TRIM(M$7)))*(GJ[Account Code]=(TRIM($D41))),GJ[Debit])))-(SUM(IF((CkDJ[Date]=$A$4)*(CkDJ[Ofc Code]=(TRIM(M$7)))*(CkDJ[Account Code]=(TRIM($D41))),CkDJ[Credit])))+(SUM(IF((CsDJ[Date]=$A$4)*(CsDJ[Ofc Code]=(TRIM(M$7)))*(CsDJ[Account Code]=(TRIM($D41))),CsDJ[Credit])))+(SUM(IF((CRDJ[Date]=$A$4)*(CRDJ[Ofc Code]=(TRIM(M$7)))*(CRDJ[Account Code]=(TRIM($D41))),CRDJ[Credit])))+(SUM(IF((GJ[Date]=$A$4)*(GJ[Ofc Code]=(TRIM(M$7)))*(GJ[Account Code]=(TRIM($D41))),GJ[Credit])))</f>
        <v>0</v>
      </c>
      <c r="N41" s="211">
        <f t="shared" si="9"/>
        <v>0</v>
      </c>
      <c r="O41" s="211">
        <f t="array" ref="O41">(SUM(IF((CkDJ[Date]=$A$4)*(CkDJ[Ofc Code]=(TRIM(O$7)))*(CkDJ[Account Code]=(TRIM($D41))),CkDJ[Debit])))+(SUM(IF((CsDJ[Date]=$A$4)*(CsDJ[Ofc Code]=(TRIM(O$7)))*(CsDJ[Account Code]=(TRIM($D41))),CsDJ[Debit])))+(SUM(IF((CRDJ[Date]=$A$4)*(CRDJ[Ofc Code]=(TRIM(O$7)))*(CRDJ[Account Code]=(TRIM($D41))),CRDJ[Debit])))+(SUM(IF((GJ[Date]=$A$4)*(GJ[Ofc Code]=(TRIM(O$7)))*(GJ[Account Code]=(TRIM($D41))),GJ[Debit])))-(SUM(IF((CkDJ[Date]=$A$4)*(CkDJ[Ofc Code]=(TRIM(O$7)))*(CkDJ[Account Code]=(TRIM($D41))),CkDJ[Credit])))+(SUM(IF((CsDJ[Date]=$A$4)*(CsDJ[Ofc Code]=(TRIM(O$7)))*(CsDJ[Account Code]=(TRIM($D41))),CsDJ[Credit])))+(SUM(IF((CRDJ[Date]=$A$4)*(CRDJ[Ofc Code]=(TRIM(O$7)))*(CRDJ[Account Code]=(TRIM($D41))),CRDJ[Credit])))+(SUM(IF((GJ[Date]=$A$4)*(GJ[Ofc Code]=(TRIM(O$7)))*(GJ[Account Code]=(TRIM($D41))),GJ[Credit])))</f>
        <v>0</v>
      </c>
      <c r="P41" s="211">
        <f t="array" ref="P41">(SUM(IF((CkDJ[Date]=$A$4)*(CkDJ[Ofc Code]=(TRIM(P$7)))*(CkDJ[Account Code]=(TRIM($D41))),CkDJ[Debit])))+(SUM(IF((CsDJ[Date]=$A$4)*(CsDJ[Ofc Code]=(TRIM(P$7)))*(CsDJ[Account Code]=(TRIM($D41))),CsDJ[Debit])))+(SUM(IF((CRDJ[Date]=$A$4)*(CRDJ[Ofc Code]=(TRIM(P$7)))*(CRDJ[Account Code]=(TRIM($D41))),CRDJ[Debit])))+(SUM(IF((GJ[Date]=$A$4)*(GJ[Ofc Code]=(TRIM(P$7)))*(GJ[Account Code]=(TRIM($D41))),GJ[Debit])))-(SUM(IF((CkDJ[Date]=$A$4)*(CkDJ[Ofc Code]=(TRIM(P$7)))*(CkDJ[Account Code]=(TRIM($D41))),CkDJ[Credit])))+(SUM(IF((CsDJ[Date]=$A$4)*(CsDJ[Ofc Code]=(TRIM(P$7)))*(CsDJ[Account Code]=(TRIM($D41))),CsDJ[Credit])))+(SUM(IF((CRDJ[Date]=$A$4)*(CRDJ[Ofc Code]=(TRIM(P$7)))*(CRDJ[Account Code]=(TRIM($D41))),CRDJ[Credit])))+(SUM(IF((GJ[Date]=$A$4)*(GJ[Ofc Code]=(TRIM(P$7)))*(GJ[Account Code]=(TRIM($D41))),GJ[Credit])))</f>
        <v>0</v>
      </c>
      <c r="Q41" s="211">
        <f t="array" ref="Q41">(SUM(IF((CkDJ[Date]=$A$4)*(CkDJ[Ofc Code]=(TRIM(Q$7)))*(CkDJ[Account Code]=(TRIM($D41))),CkDJ[Debit])))+(SUM(IF((CsDJ[Date]=$A$4)*(CsDJ[Ofc Code]=(TRIM(Q$7)))*(CsDJ[Account Code]=(TRIM($D41))),CsDJ[Debit])))+(SUM(IF((CRDJ[Date]=$A$4)*(CRDJ[Ofc Code]=(TRIM(Q$7)))*(CRDJ[Account Code]=(TRIM($D41))),CRDJ[Debit])))+(SUM(IF((GJ[Date]=$A$4)*(GJ[Ofc Code]=(TRIM(Q$7)))*(GJ[Account Code]=(TRIM($D41))),GJ[Debit])))-(SUM(IF((CkDJ[Date]=$A$4)*(CkDJ[Ofc Code]=(TRIM(Q$7)))*(CkDJ[Account Code]=(TRIM($D41))),CkDJ[Credit])))+(SUM(IF((CsDJ[Date]=$A$4)*(CsDJ[Ofc Code]=(TRIM(Q$7)))*(CsDJ[Account Code]=(TRIM($D41))),CsDJ[Credit])))+(SUM(IF((CRDJ[Date]=$A$4)*(CRDJ[Ofc Code]=(TRIM(Q$7)))*(CRDJ[Account Code]=(TRIM($D41))),CRDJ[Credit])))+(SUM(IF((GJ[Date]=$A$4)*(GJ[Ofc Code]=(TRIM(Q$7)))*(GJ[Account Code]=(TRIM($D41))),GJ[Credit])))</f>
        <v>0</v>
      </c>
      <c r="R41" s="211">
        <f t="array" ref="R41">(SUM(IF((CkDJ[Date]=$A$4)*(CkDJ[Ofc Code]=(TRIM(R$7)))*(CkDJ[Account Code]=(TRIM($D41))),CkDJ[Debit])))+(SUM(IF((CsDJ[Date]=$A$4)*(CsDJ[Ofc Code]=(TRIM(R$7)))*(CsDJ[Account Code]=(TRIM($D41))),CsDJ[Debit])))+(SUM(IF((CRDJ[Date]=$A$4)*(CRDJ[Ofc Code]=(TRIM(R$7)))*(CRDJ[Account Code]=(TRIM($D41))),CRDJ[Debit])))+(SUM(IF((GJ[Date]=$A$4)*(GJ[Ofc Code]=(TRIM(R$7)))*(GJ[Account Code]=(TRIM($D41))),GJ[Debit])))-(SUM(IF((CkDJ[Date]=$A$4)*(CkDJ[Ofc Code]=(TRIM(R$7)))*(CkDJ[Account Code]=(TRIM($D41))),CkDJ[Credit])))+(SUM(IF((CsDJ[Date]=$A$4)*(CsDJ[Ofc Code]=(TRIM(R$7)))*(CsDJ[Account Code]=(TRIM($D41))),CsDJ[Credit])))+(SUM(IF((CRDJ[Date]=$A$4)*(CRDJ[Ofc Code]=(TRIM(R$7)))*(CRDJ[Account Code]=(TRIM($D41))),CRDJ[Credit])))+(SUM(IF((GJ[Date]=$A$4)*(GJ[Ofc Code]=(TRIM(R$7)))*(GJ[Account Code]=(TRIM($D41))),GJ[Credit])))</f>
        <v>0</v>
      </c>
      <c r="S41" s="211">
        <f t="array" ref="S41">(SUM(IF((CkDJ[Date]=$A$4)*(CkDJ[Ofc Code]=(TRIM(S$7)))*(CkDJ[Account Code]=(TRIM($D41))),CkDJ[Debit])))+(SUM(IF((CsDJ[Date]=$A$4)*(CsDJ[Ofc Code]=(TRIM(S$7)))*(CsDJ[Account Code]=(TRIM($D41))),CsDJ[Debit])))+(SUM(IF((CRDJ[Date]=$A$4)*(CRDJ[Ofc Code]=(TRIM(S$7)))*(CRDJ[Account Code]=(TRIM($D41))),CRDJ[Debit])))+(SUM(IF((GJ[Date]=$A$4)*(GJ[Ofc Code]=(TRIM(S$7)))*(GJ[Account Code]=(TRIM($D41))),GJ[Debit])))-(SUM(IF((CkDJ[Date]=$A$4)*(CkDJ[Ofc Code]=(TRIM(S$7)))*(CkDJ[Account Code]=(TRIM($D41))),CkDJ[Credit])))+(SUM(IF((CsDJ[Date]=$A$4)*(CsDJ[Ofc Code]=(TRIM(S$7)))*(CsDJ[Account Code]=(TRIM($D41))),CsDJ[Credit])))+(SUM(IF((CRDJ[Date]=$A$4)*(CRDJ[Ofc Code]=(TRIM(S$7)))*(CRDJ[Account Code]=(TRIM($D41))),CRDJ[Credit])))+(SUM(IF((GJ[Date]=$A$4)*(GJ[Ofc Code]=(TRIM(S$7)))*(GJ[Account Code]=(TRIM($D41))),GJ[Credit])))</f>
        <v>0</v>
      </c>
      <c r="T41" s="211">
        <f t="shared" si="10"/>
        <v>0</v>
      </c>
      <c r="U41" s="211">
        <f t="shared" si="11"/>
        <v>0</v>
      </c>
    </row>
    <row r="42" spans="1:21" ht="15" x14ac:dyDescent="0.25">
      <c r="A42" s="212">
        <f t="shared" si="12"/>
        <v>9</v>
      </c>
      <c r="B42" s="214" t="s">
        <v>756</v>
      </c>
      <c r="C42" s="194" t="str">
        <f t="shared" si="7"/>
        <v>Other Bonuses and Allowances - Meal Allowance</v>
      </c>
      <c r="D42" s="215" t="s">
        <v>6</v>
      </c>
      <c r="E42" s="211">
        <f t="array" ref="E42">(SUM(IF((CkDJ[Date]=$A$4)*(CkDJ[Ofc Code]=(TRIM(E$7)))*(CkDJ[Account Code]=(TRIM($D42))),CkDJ[Debit])))+(SUM(IF((CsDJ[Date]=$A$4)*(CsDJ[Ofc Code]=(TRIM(E$7)))*(CsDJ[Account Code]=(TRIM($D42))),CsDJ[Debit])))+(SUM(IF((CRDJ[Date]=$A$4)*(CRDJ[Ofc Code]=(TRIM(E$7)))*(CRDJ[Account Code]=(TRIM($D42))),CRDJ[Debit])))+(SUM(IF((GJ[Date]=$A$4)*(GJ[Ofc Code]=(TRIM(E$7)))*(GJ[Account Code]=(TRIM($D42))),GJ[Debit])))-(SUM(IF((CkDJ[Date]=$A$4)*(CkDJ[Ofc Code]=(TRIM(E$7)))*(CkDJ[Account Code]=(TRIM($D42))),CkDJ[Credit])))+(SUM(IF((CsDJ[Date]=$A$4)*(CsDJ[Ofc Code]=(TRIM(E$7)))*(CsDJ[Account Code]=(TRIM($D42))),CsDJ[Credit])))+(SUM(IF((CRDJ[Date]=$A$4)*(CRDJ[Ofc Code]=(TRIM(E$7)))*(CRDJ[Account Code]=(TRIM($D42))),CRDJ[Credit])))+(SUM(IF((GJ[Date]=$A$4)*(GJ[Ofc Code]=(TRIM(E$7)))*(GJ[Account Code]=(TRIM($D42))),GJ[Credit])))</f>
        <v>0</v>
      </c>
      <c r="F42" s="211">
        <f t="array" ref="F42">(SUM(IF((CkDJ[Date]=$A$4)*(CkDJ[Ofc Code]=(TRIM(F$7)))*(CkDJ[Account Code]=(TRIM($D42))),CkDJ[Debit])))+(SUM(IF((CsDJ[Date]=$A$4)*(CsDJ[Ofc Code]=(TRIM(F$7)))*(CsDJ[Account Code]=(TRIM($D42))),CsDJ[Debit])))+(SUM(IF((CRDJ[Date]=$A$4)*(CRDJ[Ofc Code]=(TRIM(F$7)))*(CRDJ[Account Code]=(TRIM($D42))),CRDJ[Debit])))+(SUM(IF((GJ[Date]=$A$4)*(GJ[Ofc Code]=(TRIM(F$7)))*(GJ[Account Code]=(TRIM($D42))),GJ[Debit])))-(SUM(IF((CkDJ[Date]=$A$4)*(CkDJ[Ofc Code]=(TRIM(F$7)))*(CkDJ[Account Code]=(TRIM($D42))),CkDJ[Credit])))+(SUM(IF((CsDJ[Date]=$A$4)*(CsDJ[Ofc Code]=(TRIM(F$7)))*(CsDJ[Account Code]=(TRIM($D42))),CsDJ[Credit])))+(SUM(IF((CRDJ[Date]=$A$4)*(CRDJ[Ofc Code]=(TRIM(F$7)))*(CRDJ[Account Code]=(TRIM($D42))),CRDJ[Credit])))+(SUM(IF((GJ[Date]=$A$4)*(GJ[Ofc Code]=(TRIM(F$7)))*(GJ[Account Code]=(TRIM($D42))),GJ[Credit])))</f>
        <v>0</v>
      </c>
      <c r="G42" s="211">
        <f t="array" ref="G42">(SUM(IF((CkDJ[Date]=$A$4)*(CkDJ[Ofc Code]=(TRIM(G$7)))*(CkDJ[Account Code]=(TRIM($D42))),CkDJ[Debit])))+(SUM(IF((CsDJ[Date]=$A$4)*(CsDJ[Ofc Code]=(TRIM(G$7)))*(CsDJ[Account Code]=(TRIM($D42))),CsDJ[Debit])))+(SUM(IF((CRDJ[Date]=$A$4)*(CRDJ[Ofc Code]=(TRIM(G$7)))*(CRDJ[Account Code]=(TRIM($D42))),CRDJ[Debit])))+(SUM(IF((GJ[Date]=$A$4)*(GJ[Ofc Code]=(TRIM(G$7)))*(GJ[Account Code]=(TRIM($D42))),GJ[Debit])))-(SUM(IF((CkDJ[Date]=$A$4)*(CkDJ[Ofc Code]=(TRIM(G$7)))*(CkDJ[Account Code]=(TRIM($D42))),CkDJ[Credit])))+(SUM(IF((CsDJ[Date]=$A$4)*(CsDJ[Ofc Code]=(TRIM(G$7)))*(CsDJ[Account Code]=(TRIM($D42))),CsDJ[Credit])))+(SUM(IF((CRDJ[Date]=$A$4)*(CRDJ[Ofc Code]=(TRIM(G$7)))*(CRDJ[Account Code]=(TRIM($D42))),CRDJ[Credit])))+(SUM(IF((GJ[Date]=$A$4)*(GJ[Ofc Code]=(TRIM(G$7)))*(GJ[Account Code]=(TRIM($D42))),GJ[Credit])))</f>
        <v>0</v>
      </c>
      <c r="H42" s="211">
        <f t="array" ref="H42">(SUM(IF((CkDJ[Date]=$A$4)*(CkDJ[Ofc Code]=(TRIM(H$7)))*(CkDJ[Account Code]=(TRIM($D42))),CkDJ[Debit])))+(SUM(IF((CsDJ[Date]=$A$4)*(CsDJ[Ofc Code]=(TRIM(H$7)))*(CsDJ[Account Code]=(TRIM($D42))),CsDJ[Debit])))+(SUM(IF((CRDJ[Date]=$A$4)*(CRDJ[Ofc Code]=(TRIM(H$7)))*(CRDJ[Account Code]=(TRIM($D42))),CRDJ[Debit])))+(SUM(IF((GJ[Date]=$A$4)*(GJ[Ofc Code]=(TRIM(H$7)))*(GJ[Account Code]=(TRIM($D42))),GJ[Debit])))-(SUM(IF((CkDJ[Date]=$A$4)*(CkDJ[Ofc Code]=(TRIM(H$7)))*(CkDJ[Account Code]=(TRIM($D42))),CkDJ[Credit])))+(SUM(IF((CsDJ[Date]=$A$4)*(CsDJ[Ofc Code]=(TRIM(H$7)))*(CsDJ[Account Code]=(TRIM($D42))),CsDJ[Credit])))+(SUM(IF((CRDJ[Date]=$A$4)*(CRDJ[Ofc Code]=(TRIM(H$7)))*(CRDJ[Account Code]=(TRIM($D42))),CRDJ[Credit])))+(SUM(IF((GJ[Date]=$A$4)*(GJ[Ofc Code]=(TRIM(H$7)))*(GJ[Account Code]=(TRIM($D42))),GJ[Credit])))</f>
        <v>0</v>
      </c>
      <c r="I42" s="211">
        <f t="shared" si="8"/>
        <v>0</v>
      </c>
      <c r="J42" s="211">
        <f t="array" ref="J42">(SUM(IF((CkDJ[Date]=$A$4)*(CkDJ[Ofc Code]=(TRIM(J$7)))*(CkDJ[Account Code]=(TRIM($D42))),CkDJ[Debit])))+(SUM(IF((CsDJ[Date]=$A$4)*(CsDJ[Ofc Code]=(TRIM(J$7)))*(CsDJ[Account Code]=(TRIM($D42))),CsDJ[Debit])))+(SUM(IF((CRDJ[Date]=$A$4)*(CRDJ[Ofc Code]=(TRIM(J$7)))*(CRDJ[Account Code]=(TRIM($D42))),CRDJ[Debit])))+(SUM(IF((GJ[Date]=$A$4)*(GJ[Ofc Code]=(TRIM(J$7)))*(GJ[Account Code]=(TRIM($D42))),GJ[Debit])))-(SUM(IF((CkDJ[Date]=$A$4)*(CkDJ[Ofc Code]=(TRIM(J$7)))*(CkDJ[Account Code]=(TRIM($D42))),CkDJ[Credit])))+(SUM(IF((CsDJ[Date]=$A$4)*(CsDJ[Ofc Code]=(TRIM(J$7)))*(CsDJ[Account Code]=(TRIM($D42))),CsDJ[Credit])))+(SUM(IF((CRDJ[Date]=$A$4)*(CRDJ[Ofc Code]=(TRIM(J$7)))*(CRDJ[Account Code]=(TRIM($D42))),CRDJ[Credit])))+(SUM(IF((GJ[Date]=$A$4)*(GJ[Ofc Code]=(TRIM(J$7)))*(GJ[Account Code]=(TRIM($D42))),GJ[Credit])))</f>
        <v>0</v>
      </c>
      <c r="K42" s="211">
        <f t="array" ref="K42">(SUM(IF((CkDJ[Date]=$A$4)*(CkDJ[Ofc Code]=(TRIM(K$7)))*(CkDJ[Account Code]=(TRIM($D42))),CkDJ[Debit])))+(SUM(IF((CsDJ[Date]=$A$4)*(CsDJ[Ofc Code]=(TRIM(K$7)))*(CsDJ[Account Code]=(TRIM($D42))),CsDJ[Debit])))+(SUM(IF((CRDJ[Date]=$A$4)*(CRDJ[Ofc Code]=(TRIM(K$7)))*(CRDJ[Account Code]=(TRIM($D42))),CRDJ[Debit])))+(SUM(IF((GJ[Date]=$A$4)*(GJ[Ofc Code]=(TRIM(K$7)))*(GJ[Account Code]=(TRIM($D42))),GJ[Debit])))-(SUM(IF((CkDJ[Date]=$A$4)*(CkDJ[Ofc Code]=(TRIM(K$7)))*(CkDJ[Account Code]=(TRIM($D42))),CkDJ[Credit])))+(SUM(IF((CsDJ[Date]=$A$4)*(CsDJ[Ofc Code]=(TRIM(K$7)))*(CsDJ[Account Code]=(TRIM($D42))),CsDJ[Credit])))+(SUM(IF((CRDJ[Date]=$A$4)*(CRDJ[Ofc Code]=(TRIM(K$7)))*(CRDJ[Account Code]=(TRIM($D42))),CRDJ[Credit])))+(SUM(IF((GJ[Date]=$A$4)*(GJ[Ofc Code]=(TRIM(K$7)))*(GJ[Account Code]=(TRIM($D42))),GJ[Credit])))</f>
        <v>0</v>
      </c>
      <c r="L42" s="211">
        <f t="array" ref="L42">(SUM(IF((CkDJ[Date]=$A$4)*(CkDJ[Ofc Code]=(TRIM(L$7)))*(CkDJ[Account Code]=(TRIM($D42))),CkDJ[Debit])))+(SUM(IF((CsDJ[Date]=$A$4)*(CsDJ[Ofc Code]=(TRIM(L$7)))*(CsDJ[Account Code]=(TRIM($D42))),CsDJ[Debit])))+(SUM(IF((CRDJ[Date]=$A$4)*(CRDJ[Ofc Code]=(TRIM(L$7)))*(CRDJ[Account Code]=(TRIM($D42))),CRDJ[Debit])))+(SUM(IF((GJ[Date]=$A$4)*(GJ[Ofc Code]=(TRIM(L$7)))*(GJ[Account Code]=(TRIM($D42))),GJ[Debit])))-(SUM(IF((CkDJ[Date]=$A$4)*(CkDJ[Ofc Code]=(TRIM(L$7)))*(CkDJ[Account Code]=(TRIM($D42))),CkDJ[Credit])))+(SUM(IF((CsDJ[Date]=$A$4)*(CsDJ[Ofc Code]=(TRIM(L$7)))*(CsDJ[Account Code]=(TRIM($D42))),CsDJ[Credit])))+(SUM(IF((CRDJ[Date]=$A$4)*(CRDJ[Ofc Code]=(TRIM(L$7)))*(CRDJ[Account Code]=(TRIM($D42))),CRDJ[Credit])))+(SUM(IF((GJ[Date]=$A$4)*(GJ[Ofc Code]=(TRIM(L$7)))*(GJ[Account Code]=(TRIM($D42))),GJ[Credit])))</f>
        <v>0</v>
      </c>
      <c r="M42" s="211">
        <f t="array" ref="M42">(SUM(IF((CkDJ[Date]=$A$4)*(CkDJ[Ofc Code]=(TRIM(M$7)))*(CkDJ[Account Code]=(TRIM($D42))),CkDJ[Debit])))+(SUM(IF((CsDJ[Date]=$A$4)*(CsDJ[Ofc Code]=(TRIM(M$7)))*(CsDJ[Account Code]=(TRIM($D42))),CsDJ[Debit])))+(SUM(IF((CRDJ[Date]=$A$4)*(CRDJ[Ofc Code]=(TRIM(M$7)))*(CRDJ[Account Code]=(TRIM($D42))),CRDJ[Debit])))+(SUM(IF((GJ[Date]=$A$4)*(GJ[Ofc Code]=(TRIM(M$7)))*(GJ[Account Code]=(TRIM($D42))),GJ[Debit])))-(SUM(IF((CkDJ[Date]=$A$4)*(CkDJ[Ofc Code]=(TRIM(M$7)))*(CkDJ[Account Code]=(TRIM($D42))),CkDJ[Credit])))+(SUM(IF((CsDJ[Date]=$A$4)*(CsDJ[Ofc Code]=(TRIM(M$7)))*(CsDJ[Account Code]=(TRIM($D42))),CsDJ[Credit])))+(SUM(IF((CRDJ[Date]=$A$4)*(CRDJ[Ofc Code]=(TRIM(M$7)))*(CRDJ[Account Code]=(TRIM($D42))),CRDJ[Credit])))+(SUM(IF((GJ[Date]=$A$4)*(GJ[Ofc Code]=(TRIM(M$7)))*(GJ[Account Code]=(TRIM($D42))),GJ[Credit])))</f>
        <v>0</v>
      </c>
      <c r="N42" s="211">
        <f t="shared" si="9"/>
        <v>0</v>
      </c>
      <c r="O42" s="211">
        <f t="array" ref="O42">(SUM(IF((CkDJ[Date]=$A$4)*(CkDJ[Ofc Code]=(TRIM(O$7)))*(CkDJ[Account Code]=(TRIM($D42))),CkDJ[Debit])))+(SUM(IF((CsDJ[Date]=$A$4)*(CsDJ[Ofc Code]=(TRIM(O$7)))*(CsDJ[Account Code]=(TRIM($D42))),CsDJ[Debit])))+(SUM(IF((CRDJ[Date]=$A$4)*(CRDJ[Ofc Code]=(TRIM(O$7)))*(CRDJ[Account Code]=(TRIM($D42))),CRDJ[Debit])))+(SUM(IF((GJ[Date]=$A$4)*(GJ[Ofc Code]=(TRIM(O$7)))*(GJ[Account Code]=(TRIM($D42))),GJ[Debit])))-(SUM(IF((CkDJ[Date]=$A$4)*(CkDJ[Ofc Code]=(TRIM(O$7)))*(CkDJ[Account Code]=(TRIM($D42))),CkDJ[Credit])))+(SUM(IF((CsDJ[Date]=$A$4)*(CsDJ[Ofc Code]=(TRIM(O$7)))*(CsDJ[Account Code]=(TRIM($D42))),CsDJ[Credit])))+(SUM(IF((CRDJ[Date]=$A$4)*(CRDJ[Ofc Code]=(TRIM(O$7)))*(CRDJ[Account Code]=(TRIM($D42))),CRDJ[Credit])))+(SUM(IF((GJ[Date]=$A$4)*(GJ[Ofc Code]=(TRIM(O$7)))*(GJ[Account Code]=(TRIM($D42))),GJ[Credit])))</f>
        <v>0</v>
      </c>
      <c r="P42" s="211">
        <f t="array" ref="P42">(SUM(IF((CkDJ[Date]=$A$4)*(CkDJ[Ofc Code]=(TRIM(P$7)))*(CkDJ[Account Code]=(TRIM($D42))),CkDJ[Debit])))+(SUM(IF((CsDJ[Date]=$A$4)*(CsDJ[Ofc Code]=(TRIM(P$7)))*(CsDJ[Account Code]=(TRIM($D42))),CsDJ[Debit])))+(SUM(IF((CRDJ[Date]=$A$4)*(CRDJ[Ofc Code]=(TRIM(P$7)))*(CRDJ[Account Code]=(TRIM($D42))),CRDJ[Debit])))+(SUM(IF((GJ[Date]=$A$4)*(GJ[Ofc Code]=(TRIM(P$7)))*(GJ[Account Code]=(TRIM($D42))),GJ[Debit])))-(SUM(IF((CkDJ[Date]=$A$4)*(CkDJ[Ofc Code]=(TRIM(P$7)))*(CkDJ[Account Code]=(TRIM($D42))),CkDJ[Credit])))+(SUM(IF((CsDJ[Date]=$A$4)*(CsDJ[Ofc Code]=(TRIM(P$7)))*(CsDJ[Account Code]=(TRIM($D42))),CsDJ[Credit])))+(SUM(IF((CRDJ[Date]=$A$4)*(CRDJ[Ofc Code]=(TRIM(P$7)))*(CRDJ[Account Code]=(TRIM($D42))),CRDJ[Credit])))+(SUM(IF((GJ[Date]=$A$4)*(GJ[Ofc Code]=(TRIM(P$7)))*(GJ[Account Code]=(TRIM($D42))),GJ[Credit])))</f>
        <v>0</v>
      </c>
      <c r="Q42" s="211">
        <f t="array" ref="Q42">(SUM(IF((CkDJ[Date]=$A$4)*(CkDJ[Ofc Code]=(TRIM(Q$7)))*(CkDJ[Account Code]=(TRIM($D42))),CkDJ[Debit])))+(SUM(IF((CsDJ[Date]=$A$4)*(CsDJ[Ofc Code]=(TRIM(Q$7)))*(CsDJ[Account Code]=(TRIM($D42))),CsDJ[Debit])))+(SUM(IF((CRDJ[Date]=$A$4)*(CRDJ[Ofc Code]=(TRIM(Q$7)))*(CRDJ[Account Code]=(TRIM($D42))),CRDJ[Debit])))+(SUM(IF((GJ[Date]=$A$4)*(GJ[Ofc Code]=(TRIM(Q$7)))*(GJ[Account Code]=(TRIM($D42))),GJ[Debit])))-(SUM(IF((CkDJ[Date]=$A$4)*(CkDJ[Ofc Code]=(TRIM(Q$7)))*(CkDJ[Account Code]=(TRIM($D42))),CkDJ[Credit])))+(SUM(IF((CsDJ[Date]=$A$4)*(CsDJ[Ofc Code]=(TRIM(Q$7)))*(CsDJ[Account Code]=(TRIM($D42))),CsDJ[Credit])))+(SUM(IF((CRDJ[Date]=$A$4)*(CRDJ[Ofc Code]=(TRIM(Q$7)))*(CRDJ[Account Code]=(TRIM($D42))),CRDJ[Credit])))+(SUM(IF((GJ[Date]=$A$4)*(GJ[Ofc Code]=(TRIM(Q$7)))*(GJ[Account Code]=(TRIM($D42))),GJ[Credit])))</f>
        <v>0</v>
      </c>
      <c r="R42" s="211">
        <f t="array" ref="R42">(SUM(IF((CkDJ[Date]=$A$4)*(CkDJ[Ofc Code]=(TRIM(R$7)))*(CkDJ[Account Code]=(TRIM($D42))),CkDJ[Debit])))+(SUM(IF((CsDJ[Date]=$A$4)*(CsDJ[Ofc Code]=(TRIM(R$7)))*(CsDJ[Account Code]=(TRIM($D42))),CsDJ[Debit])))+(SUM(IF((CRDJ[Date]=$A$4)*(CRDJ[Ofc Code]=(TRIM(R$7)))*(CRDJ[Account Code]=(TRIM($D42))),CRDJ[Debit])))+(SUM(IF((GJ[Date]=$A$4)*(GJ[Ofc Code]=(TRIM(R$7)))*(GJ[Account Code]=(TRIM($D42))),GJ[Debit])))-(SUM(IF((CkDJ[Date]=$A$4)*(CkDJ[Ofc Code]=(TRIM(R$7)))*(CkDJ[Account Code]=(TRIM($D42))),CkDJ[Credit])))+(SUM(IF((CsDJ[Date]=$A$4)*(CsDJ[Ofc Code]=(TRIM(R$7)))*(CsDJ[Account Code]=(TRIM($D42))),CsDJ[Credit])))+(SUM(IF((CRDJ[Date]=$A$4)*(CRDJ[Ofc Code]=(TRIM(R$7)))*(CRDJ[Account Code]=(TRIM($D42))),CRDJ[Credit])))+(SUM(IF((GJ[Date]=$A$4)*(GJ[Ofc Code]=(TRIM(R$7)))*(GJ[Account Code]=(TRIM($D42))),GJ[Credit])))</f>
        <v>0</v>
      </c>
      <c r="S42" s="211">
        <f t="array" ref="S42">(SUM(IF((CkDJ[Date]=$A$4)*(CkDJ[Ofc Code]=(TRIM(S$7)))*(CkDJ[Account Code]=(TRIM($D42))),CkDJ[Debit])))+(SUM(IF((CsDJ[Date]=$A$4)*(CsDJ[Ofc Code]=(TRIM(S$7)))*(CsDJ[Account Code]=(TRIM($D42))),CsDJ[Debit])))+(SUM(IF((CRDJ[Date]=$A$4)*(CRDJ[Ofc Code]=(TRIM(S$7)))*(CRDJ[Account Code]=(TRIM($D42))),CRDJ[Debit])))+(SUM(IF((GJ[Date]=$A$4)*(GJ[Ofc Code]=(TRIM(S$7)))*(GJ[Account Code]=(TRIM($D42))),GJ[Debit])))-(SUM(IF((CkDJ[Date]=$A$4)*(CkDJ[Ofc Code]=(TRIM(S$7)))*(CkDJ[Account Code]=(TRIM($D42))),CkDJ[Credit])))+(SUM(IF((CsDJ[Date]=$A$4)*(CsDJ[Ofc Code]=(TRIM(S$7)))*(CsDJ[Account Code]=(TRIM($D42))),CsDJ[Credit])))+(SUM(IF((CRDJ[Date]=$A$4)*(CRDJ[Ofc Code]=(TRIM(S$7)))*(CRDJ[Account Code]=(TRIM($D42))),CRDJ[Credit])))+(SUM(IF((GJ[Date]=$A$4)*(GJ[Ofc Code]=(TRIM(S$7)))*(GJ[Account Code]=(TRIM($D42))),GJ[Credit])))</f>
        <v>0</v>
      </c>
      <c r="T42" s="211">
        <f t="shared" si="10"/>
        <v>0</v>
      </c>
      <c r="U42" s="211">
        <f t="shared" si="11"/>
        <v>0</v>
      </c>
    </row>
    <row r="43" spans="1:21" ht="15" x14ac:dyDescent="0.25">
      <c r="A43" s="212">
        <f t="shared" si="12"/>
        <v>10</v>
      </c>
      <c r="B43" s="214" t="s">
        <v>756</v>
      </c>
      <c r="C43" s="194" t="str">
        <f t="shared" si="7"/>
        <v>Other Bonuses and Allowances - Children Allowance</v>
      </c>
      <c r="D43" s="215" t="s">
        <v>7</v>
      </c>
      <c r="E43" s="211">
        <f t="array" ref="E43">(SUM(IF((CkDJ[Date]=$A$4)*(CkDJ[Ofc Code]=(TRIM(E$7)))*(CkDJ[Account Code]=(TRIM($D43))),CkDJ[Debit])))+(SUM(IF((CsDJ[Date]=$A$4)*(CsDJ[Ofc Code]=(TRIM(E$7)))*(CsDJ[Account Code]=(TRIM($D43))),CsDJ[Debit])))+(SUM(IF((CRDJ[Date]=$A$4)*(CRDJ[Ofc Code]=(TRIM(E$7)))*(CRDJ[Account Code]=(TRIM($D43))),CRDJ[Debit])))+(SUM(IF((GJ[Date]=$A$4)*(GJ[Ofc Code]=(TRIM(E$7)))*(GJ[Account Code]=(TRIM($D43))),GJ[Debit])))-(SUM(IF((CkDJ[Date]=$A$4)*(CkDJ[Ofc Code]=(TRIM(E$7)))*(CkDJ[Account Code]=(TRIM($D43))),CkDJ[Credit])))+(SUM(IF((CsDJ[Date]=$A$4)*(CsDJ[Ofc Code]=(TRIM(E$7)))*(CsDJ[Account Code]=(TRIM($D43))),CsDJ[Credit])))+(SUM(IF((CRDJ[Date]=$A$4)*(CRDJ[Ofc Code]=(TRIM(E$7)))*(CRDJ[Account Code]=(TRIM($D43))),CRDJ[Credit])))+(SUM(IF((GJ[Date]=$A$4)*(GJ[Ofc Code]=(TRIM(E$7)))*(GJ[Account Code]=(TRIM($D43))),GJ[Credit])))</f>
        <v>0</v>
      </c>
      <c r="F43" s="211">
        <f t="array" ref="F43">(SUM(IF((CkDJ[Date]=$A$4)*(CkDJ[Ofc Code]=(TRIM(F$7)))*(CkDJ[Account Code]=(TRIM($D43))),CkDJ[Debit])))+(SUM(IF((CsDJ[Date]=$A$4)*(CsDJ[Ofc Code]=(TRIM(F$7)))*(CsDJ[Account Code]=(TRIM($D43))),CsDJ[Debit])))+(SUM(IF((CRDJ[Date]=$A$4)*(CRDJ[Ofc Code]=(TRIM(F$7)))*(CRDJ[Account Code]=(TRIM($D43))),CRDJ[Debit])))+(SUM(IF((GJ[Date]=$A$4)*(GJ[Ofc Code]=(TRIM(F$7)))*(GJ[Account Code]=(TRIM($D43))),GJ[Debit])))-(SUM(IF((CkDJ[Date]=$A$4)*(CkDJ[Ofc Code]=(TRIM(F$7)))*(CkDJ[Account Code]=(TRIM($D43))),CkDJ[Credit])))+(SUM(IF((CsDJ[Date]=$A$4)*(CsDJ[Ofc Code]=(TRIM(F$7)))*(CsDJ[Account Code]=(TRIM($D43))),CsDJ[Credit])))+(SUM(IF((CRDJ[Date]=$A$4)*(CRDJ[Ofc Code]=(TRIM(F$7)))*(CRDJ[Account Code]=(TRIM($D43))),CRDJ[Credit])))+(SUM(IF((GJ[Date]=$A$4)*(GJ[Ofc Code]=(TRIM(F$7)))*(GJ[Account Code]=(TRIM($D43))),GJ[Credit])))</f>
        <v>0</v>
      </c>
      <c r="G43" s="211">
        <f t="array" ref="G43">(SUM(IF((CkDJ[Date]=$A$4)*(CkDJ[Ofc Code]=(TRIM(G$7)))*(CkDJ[Account Code]=(TRIM($D43))),CkDJ[Debit])))+(SUM(IF((CsDJ[Date]=$A$4)*(CsDJ[Ofc Code]=(TRIM(G$7)))*(CsDJ[Account Code]=(TRIM($D43))),CsDJ[Debit])))+(SUM(IF((CRDJ[Date]=$A$4)*(CRDJ[Ofc Code]=(TRIM(G$7)))*(CRDJ[Account Code]=(TRIM($D43))),CRDJ[Debit])))+(SUM(IF((GJ[Date]=$A$4)*(GJ[Ofc Code]=(TRIM(G$7)))*(GJ[Account Code]=(TRIM($D43))),GJ[Debit])))-(SUM(IF((CkDJ[Date]=$A$4)*(CkDJ[Ofc Code]=(TRIM(G$7)))*(CkDJ[Account Code]=(TRIM($D43))),CkDJ[Credit])))+(SUM(IF((CsDJ[Date]=$A$4)*(CsDJ[Ofc Code]=(TRIM(G$7)))*(CsDJ[Account Code]=(TRIM($D43))),CsDJ[Credit])))+(SUM(IF((CRDJ[Date]=$A$4)*(CRDJ[Ofc Code]=(TRIM(G$7)))*(CRDJ[Account Code]=(TRIM($D43))),CRDJ[Credit])))+(SUM(IF((GJ[Date]=$A$4)*(GJ[Ofc Code]=(TRIM(G$7)))*(GJ[Account Code]=(TRIM($D43))),GJ[Credit])))</f>
        <v>0</v>
      </c>
      <c r="H43" s="211">
        <f t="array" ref="H43">(SUM(IF((CkDJ[Date]=$A$4)*(CkDJ[Ofc Code]=(TRIM(H$7)))*(CkDJ[Account Code]=(TRIM($D43))),CkDJ[Debit])))+(SUM(IF((CsDJ[Date]=$A$4)*(CsDJ[Ofc Code]=(TRIM(H$7)))*(CsDJ[Account Code]=(TRIM($D43))),CsDJ[Debit])))+(SUM(IF((CRDJ[Date]=$A$4)*(CRDJ[Ofc Code]=(TRIM(H$7)))*(CRDJ[Account Code]=(TRIM($D43))),CRDJ[Debit])))+(SUM(IF((GJ[Date]=$A$4)*(GJ[Ofc Code]=(TRIM(H$7)))*(GJ[Account Code]=(TRIM($D43))),GJ[Debit])))-(SUM(IF((CkDJ[Date]=$A$4)*(CkDJ[Ofc Code]=(TRIM(H$7)))*(CkDJ[Account Code]=(TRIM($D43))),CkDJ[Credit])))+(SUM(IF((CsDJ[Date]=$A$4)*(CsDJ[Ofc Code]=(TRIM(H$7)))*(CsDJ[Account Code]=(TRIM($D43))),CsDJ[Credit])))+(SUM(IF((CRDJ[Date]=$A$4)*(CRDJ[Ofc Code]=(TRIM(H$7)))*(CRDJ[Account Code]=(TRIM($D43))),CRDJ[Credit])))+(SUM(IF((GJ[Date]=$A$4)*(GJ[Ofc Code]=(TRIM(H$7)))*(GJ[Account Code]=(TRIM($D43))),GJ[Credit])))</f>
        <v>0</v>
      </c>
      <c r="I43" s="211">
        <f t="shared" si="8"/>
        <v>0</v>
      </c>
      <c r="J43" s="211">
        <f t="array" ref="J43">(SUM(IF((CkDJ[Date]=$A$4)*(CkDJ[Ofc Code]=(TRIM(J$7)))*(CkDJ[Account Code]=(TRIM($D43))),CkDJ[Debit])))+(SUM(IF((CsDJ[Date]=$A$4)*(CsDJ[Ofc Code]=(TRIM(J$7)))*(CsDJ[Account Code]=(TRIM($D43))),CsDJ[Debit])))+(SUM(IF((CRDJ[Date]=$A$4)*(CRDJ[Ofc Code]=(TRIM(J$7)))*(CRDJ[Account Code]=(TRIM($D43))),CRDJ[Debit])))+(SUM(IF((GJ[Date]=$A$4)*(GJ[Ofc Code]=(TRIM(J$7)))*(GJ[Account Code]=(TRIM($D43))),GJ[Debit])))-(SUM(IF((CkDJ[Date]=$A$4)*(CkDJ[Ofc Code]=(TRIM(J$7)))*(CkDJ[Account Code]=(TRIM($D43))),CkDJ[Credit])))+(SUM(IF((CsDJ[Date]=$A$4)*(CsDJ[Ofc Code]=(TRIM(J$7)))*(CsDJ[Account Code]=(TRIM($D43))),CsDJ[Credit])))+(SUM(IF((CRDJ[Date]=$A$4)*(CRDJ[Ofc Code]=(TRIM(J$7)))*(CRDJ[Account Code]=(TRIM($D43))),CRDJ[Credit])))+(SUM(IF((GJ[Date]=$A$4)*(GJ[Ofc Code]=(TRIM(J$7)))*(GJ[Account Code]=(TRIM($D43))),GJ[Credit])))</f>
        <v>0</v>
      </c>
      <c r="K43" s="211">
        <f t="array" ref="K43">(SUM(IF((CkDJ[Date]=$A$4)*(CkDJ[Ofc Code]=(TRIM(K$7)))*(CkDJ[Account Code]=(TRIM($D43))),CkDJ[Debit])))+(SUM(IF((CsDJ[Date]=$A$4)*(CsDJ[Ofc Code]=(TRIM(K$7)))*(CsDJ[Account Code]=(TRIM($D43))),CsDJ[Debit])))+(SUM(IF((CRDJ[Date]=$A$4)*(CRDJ[Ofc Code]=(TRIM(K$7)))*(CRDJ[Account Code]=(TRIM($D43))),CRDJ[Debit])))+(SUM(IF((GJ[Date]=$A$4)*(GJ[Ofc Code]=(TRIM(K$7)))*(GJ[Account Code]=(TRIM($D43))),GJ[Debit])))-(SUM(IF((CkDJ[Date]=$A$4)*(CkDJ[Ofc Code]=(TRIM(K$7)))*(CkDJ[Account Code]=(TRIM($D43))),CkDJ[Credit])))+(SUM(IF((CsDJ[Date]=$A$4)*(CsDJ[Ofc Code]=(TRIM(K$7)))*(CsDJ[Account Code]=(TRIM($D43))),CsDJ[Credit])))+(SUM(IF((CRDJ[Date]=$A$4)*(CRDJ[Ofc Code]=(TRIM(K$7)))*(CRDJ[Account Code]=(TRIM($D43))),CRDJ[Credit])))+(SUM(IF((GJ[Date]=$A$4)*(GJ[Ofc Code]=(TRIM(K$7)))*(GJ[Account Code]=(TRIM($D43))),GJ[Credit])))</f>
        <v>0</v>
      </c>
      <c r="L43" s="211">
        <f t="array" ref="L43">(SUM(IF((CkDJ[Date]=$A$4)*(CkDJ[Ofc Code]=(TRIM(L$7)))*(CkDJ[Account Code]=(TRIM($D43))),CkDJ[Debit])))+(SUM(IF((CsDJ[Date]=$A$4)*(CsDJ[Ofc Code]=(TRIM(L$7)))*(CsDJ[Account Code]=(TRIM($D43))),CsDJ[Debit])))+(SUM(IF((CRDJ[Date]=$A$4)*(CRDJ[Ofc Code]=(TRIM(L$7)))*(CRDJ[Account Code]=(TRIM($D43))),CRDJ[Debit])))+(SUM(IF((GJ[Date]=$A$4)*(GJ[Ofc Code]=(TRIM(L$7)))*(GJ[Account Code]=(TRIM($D43))),GJ[Debit])))-(SUM(IF((CkDJ[Date]=$A$4)*(CkDJ[Ofc Code]=(TRIM(L$7)))*(CkDJ[Account Code]=(TRIM($D43))),CkDJ[Credit])))+(SUM(IF((CsDJ[Date]=$A$4)*(CsDJ[Ofc Code]=(TRIM(L$7)))*(CsDJ[Account Code]=(TRIM($D43))),CsDJ[Credit])))+(SUM(IF((CRDJ[Date]=$A$4)*(CRDJ[Ofc Code]=(TRIM(L$7)))*(CRDJ[Account Code]=(TRIM($D43))),CRDJ[Credit])))+(SUM(IF((GJ[Date]=$A$4)*(GJ[Ofc Code]=(TRIM(L$7)))*(GJ[Account Code]=(TRIM($D43))),GJ[Credit])))</f>
        <v>0</v>
      </c>
      <c r="M43" s="211">
        <f t="array" ref="M43">(SUM(IF((CkDJ[Date]=$A$4)*(CkDJ[Ofc Code]=(TRIM(M$7)))*(CkDJ[Account Code]=(TRIM($D43))),CkDJ[Debit])))+(SUM(IF((CsDJ[Date]=$A$4)*(CsDJ[Ofc Code]=(TRIM(M$7)))*(CsDJ[Account Code]=(TRIM($D43))),CsDJ[Debit])))+(SUM(IF((CRDJ[Date]=$A$4)*(CRDJ[Ofc Code]=(TRIM(M$7)))*(CRDJ[Account Code]=(TRIM($D43))),CRDJ[Debit])))+(SUM(IF((GJ[Date]=$A$4)*(GJ[Ofc Code]=(TRIM(M$7)))*(GJ[Account Code]=(TRIM($D43))),GJ[Debit])))-(SUM(IF((CkDJ[Date]=$A$4)*(CkDJ[Ofc Code]=(TRIM(M$7)))*(CkDJ[Account Code]=(TRIM($D43))),CkDJ[Credit])))+(SUM(IF((CsDJ[Date]=$A$4)*(CsDJ[Ofc Code]=(TRIM(M$7)))*(CsDJ[Account Code]=(TRIM($D43))),CsDJ[Credit])))+(SUM(IF((CRDJ[Date]=$A$4)*(CRDJ[Ofc Code]=(TRIM(M$7)))*(CRDJ[Account Code]=(TRIM($D43))),CRDJ[Credit])))+(SUM(IF((GJ[Date]=$A$4)*(GJ[Ofc Code]=(TRIM(M$7)))*(GJ[Account Code]=(TRIM($D43))),GJ[Credit])))</f>
        <v>0</v>
      </c>
      <c r="N43" s="211">
        <f t="shared" si="9"/>
        <v>0</v>
      </c>
      <c r="O43" s="211">
        <f t="array" ref="O43">(SUM(IF((CkDJ[Date]=$A$4)*(CkDJ[Ofc Code]=(TRIM(O$7)))*(CkDJ[Account Code]=(TRIM($D43))),CkDJ[Debit])))+(SUM(IF((CsDJ[Date]=$A$4)*(CsDJ[Ofc Code]=(TRIM(O$7)))*(CsDJ[Account Code]=(TRIM($D43))),CsDJ[Debit])))+(SUM(IF((CRDJ[Date]=$A$4)*(CRDJ[Ofc Code]=(TRIM(O$7)))*(CRDJ[Account Code]=(TRIM($D43))),CRDJ[Debit])))+(SUM(IF((GJ[Date]=$A$4)*(GJ[Ofc Code]=(TRIM(O$7)))*(GJ[Account Code]=(TRIM($D43))),GJ[Debit])))-(SUM(IF((CkDJ[Date]=$A$4)*(CkDJ[Ofc Code]=(TRIM(O$7)))*(CkDJ[Account Code]=(TRIM($D43))),CkDJ[Credit])))+(SUM(IF((CsDJ[Date]=$A$4)*(CsDJ[Ofc Code]=(TRIM(O$7)))*(CsDJ[Account Code]=(TRIM($D43))),CsDJ[Credit])))+(SUM(IF((CRDJ[Date]=$A$4)*(CRDJ[Ofc Code]=(TRIM(O$7)))*(CRDJ[Account Code]=(TRIM($D43))),CRDJ[Credit])))+(SUM(IF((GJ[Date]=$A$4)*(GJ[Ofc Code]=(TRIM(O$7)))*(GJ[Account Code]=(TRIM($D43))),GJ[Credit])))</f>
        <v>0</v>
      </c>
      <c r="P43" s="211">
        <f t="array" ref="P43">(SUM(IF((CkDJ[Date]=$A$4)*(CkDJ[Ofc Code]=(TRIM(P$7)))*(CkDJ[Account Code]=(TRIM($D43))),CkDJ[Debit])))+(SUM(IF((CsDJ[Date]=$A$4)*(CsDJ[Ofc Code]=(TRIM(P$7)))*(CsDJ[Account Code]=(TRIM($D43))),CsDJ[Debit])))+(SUM(IF((CRDJ[Date]=$A$4)*(CRDJ[Ofc Code]=(TRIM(P$7)))*(CRDJ[Account Code]=(TRIM($D43))),CRDJ[Debit])))+(SUM(IF((GJ[Date]=$A$4)*(GJ[Ofc Code]=(TRIM(P$7)))*(GJ[Account Code]=(TRIM($D43))),GJ[Debit])))-(SUM(IF((CkDJ[Date]=$A$4)*(CkDJ[Ofc Code]=(TRIM(P$7)))*(CkDJ[Account Code]=(TRIM($D43))),CkDJ[Credit])))+(SUM(IF((CsDJ[Date]=$A$4)*(CsDJ[Ofc Code]=(TRIM(P$7)))*(CsDJ[Account Code]=(TRIM($D43))),CsDJ[Credit])))+(SUM(IF((CRDJ[Date]=$A$4)*(CRDJ[Ofc Code]=(TRIM(P$7)))*(CRDJ[Account Code]=(TRIM($D43))),CRDJ[Credit])))+(SUM(IF((GJ[Date]=$A$4)*(GJ[Ofc Code]=(TRIM(P$7)))*(GJ[Account Code]=(TRIM($D43))),GJ[Credit])))</f>
        <v>0</v>
      </c>
      <c r="Q43" s="211">
        <f t="array" ref="Q43">(SUM(IF((CkDJ[Date]=$A$4)*(CkDJ[Ofc Code]=(TRIM(Q$7)))*(CkDJ[Account Code]=(TRIM($D43))),CkDJ[Debit])))+(SUM(IF((CsDJ[Date]=$A$4)*(CsDJ[Ofc Code]=(TRIM(Q$7)))*(CsDJ[Account Code]=(TRIM($D43))),CsDJ[Debit])))+(SUM(IF((CRDJ[Date]=$A$4)*(CRDJ[Ofc Code]=(TRIM(Q$7)))*(CRDJ[Account Code]=(TRIM($D43))),CRDJ[Debit])))+(SUM(IF((GJ[Date]=$A$4)*(GJ[Ofc Code]=(TRIM(Q$7)))*(GJ[Account Code]=(TRIM($D43))),GJ[Debit])))-(SUM(IF((CkDJ[Date]=$A$4)*(CkDJ[Ofc Code]=(TRIM(Q$7)))*(CkDJ[Account Code]=(TRIM($D43))),CkDJ[Credit])))+(SUM(IF((CsDJ[Date]=$A$4)*(CsDJ[Ofc Code]=(TRIM(Q$7)))*(CsDJ[Account Code]=(TRIM($D43))),CsDJ[Credit])))+(SUM(IF((CRDJ[Date]=$A$4)*(CRDJ[Ofc Code]=(TRIM(Q$7)))*(CRDJ[Account Code]=(TRIM($D43))),CRDJ[Credit])))+(SUM(IF((GJ[Date]=$A$4)*(GJ[Ofc Code]=(TRIM(Q$7)))*(GJ[Account Code]=(TRIM($D43))),GJ[Credit])))</f>
        <v>0</v>
      </c>
      <c r="R43" s="211">
        <f t="array" ref="R43">(SUM(IF((CkDJ[Date]=$A$4)*(CkDJ[Ofc Code]=(TRIM(R$7)))*(CkDJ[Account Code]=(TRIM($D43))),CkDJ[Debit])))+(SUM(IF((CsDJ[Date]=$A$4)*(CsDJ[Ofc Code]=(TRIM(R$7)))*(CsDJ[Account Code]=(TRIM($D43))),CsDJ[Debit])))+(SUM(IF((CRDJ[Date]=$A$4)*(CRDJ[Ofc Code]=(TRIM(R$7)))*(CRDJ[Account Code]=(TRIM($D43))),CRDJ[Debit])))+(SUM(IF((GJ[Date]=$A$4)*(GJ[Ofc Code]=(TRIM(R$7)))*(GJ[Account Code]=(TRIM($D43))),GJ[Debit])))-(SUM(IF((CkDJ[Date]=$A$4)*(CkDJ[Ofc Code]=(TRIM(R$7)))*(CkDJ[Account Code]=(TRIM($D43))),CkDJ[Credit])))+(SUM(IF((CsDJ[Date]=$A$4)*(CsDJ[Ofc Code]=(TRIM(R$7)))*(CsDJ[Account Code]=(TRIM($D43))),CsDJ[Credit])))+(SUM(IF((CRDJ[Date]=$A$4)*(CRDJ[Ofc Code]=(TRIM(R$7)))*(CRDJ[Account Code]=(TRIM($D43))),CRDJ[Credit])))+(SUM(IF((GJ[Date]=$A$4)*(GJ[Ofc Code]=(TRIM(R$7)))*(GJ[Account Code]=(TRIM($D43))),GJ[Credit])))</f>
        <v>0</v>
      </c>
      <c r="S43" s="211">
        <f t="array" ref="S43">(SUM(IF((CkDJ[Date]=$A$4)*(CkDJ[Ofc Code]=(TRIM(S$7)))*(CkDJ[Account Code]=(TRIM($D43))),CkDJ[Debit])))+(SUM(IF((CsDJ[Date]=$A$4)*(CsDJ[Ofc Code]=(TRIM(S$7)))*(CsDJ[Account Code]=(TRIM($D43))),CsDJ[Debit])))+(SUM(IF((CRDJ[Date]=$A$4)*(CRDJ[Ofc Code]=(TRIM(S$7)))*(CRDJ[Account Code]=(TRIM($D43))),CRDJ[Debit])))+(SUM(IF((GJ[Date]=$A$4)*(GJ[Ofc Code]=(TRIM(S$7)))*(GJ[Account Code]=(TRIM($D43))),GJ[Debit])))-(SUM(IF((CkDJ[Date]=$A$4)*(CkDJ[Ofc Code]=(TRIM(S$7)))*(CkDJ[Account Code]=(TRIM($D43))),CkDJ[Credit])))+(SUM(IF((CsDJ[Date]=$A$4)*(CsDJ[Ofc Code]=(TRIM(S$7)))*(CsDJ[Account Code]=(TRIM($D43))),CsDJ[Credit])))+(SUM(IF((CRDJ[Date]=$A$4)*(CRDJ[Ofc Code]=(TRIM(S$7)))*(CRDJ[Account Code]=(TRIM($D43))),CRDJ[Credit])))+(SUM(IF((GJ[Date]=$A$4)*(GJ[Ofc Code]=(TRIM(S$7)))*(GJ[Account Code]=(TRIM($D43))),GJ[Credit])))</f>
        <v>0</v>
      </c>
      <c r="T43" s="211">
        <f t="shared" si="10"/>
        <v>0</v>
      </c>
      <c r="U43" s="211">
        <f t="shared" si="11"/>
        <v>0</v>
      </c>
    </row>
    <row r="44" spans="1:21" ht="15" x14ac:dyDescent="0.25">
      <c r="A44" s="212">
        <f t="shared" si="12"/>
        <v>11</v>
      </c>
      <c r="B44" s="214" t="s">
        <v>756</v>
      </c>
      <c r="C44" s="194" t="str">
        <f t="shared" si="7"/>
        <v>Other Bonuses and Allowances - Collective Negotiation Agreement Incentive-Civilian</v>
      </c>
      <c r="D44" s="215" t="s">
        <v>168</v>
      </c>
      <c r="E44" s="211">
        <f t="array" ref="E44">(SUM(IF((CkDJ[Date]=$A$4)*(CkDJ[Ofc Code]=(TRIM(E$7)))*(CkDJ[Account Code]=(TRIM($D44))),CkDJ[Debit])))+(SUM(IF((CsDJ[Date]=$A$4)*(CsDJ[Ofc Code]=(TRIM(E$7)))*(CsDJ[Account Code]=(TRIM($D44))),CsDJ[Debit])))+(SUM(IF((CRDJ[Date]=$A$4)*(CRDJ[Ofc Code]=(TRIM(E$7)))*(CRDJ[Account Code]=(TRIM($D44))),CRDJ[Debit])))+(SUM(IF((GJ[Date]=$A$4)*(GJ[Ofc Code]=(TRIM(E$7)))*(GJ[Account Code]=(TRIM($D44))),GJ[Debit])))-(SUM(IF((CkDJ[Date]=$A$4)*(CkDJ[Ofc Code]=(TRIM(E$7)))*(CkDJ[Account Code]=(TRIM($D44))),CkDJ[Credit])))+(SUM(IF((CsDJ[Date]=$A$4)*(CsDJ[Ofc Code]=(TRIM(E$7)))*(CsDJ[Account Code]=(TRIM($D44))),CsDJ[Credit])))+(SUM(IF((CRDJ[Date]=$A$4)*(CRDJ[Ofc Code]=(TRIM(E$7)))*(CRDJ[Account Code]=(TRIM($D44))),CRDJ[Credit])))+(SUM(IF((GJ[Date]=$A$4)*(GJ[Ofc Code]=(TRIM(E$7)))*(GJ[Account Code]=(TRIM($D44))),GJ[Credit])))</f>
        <v>0</v>
      </c>
      <c r="F44" s="211">
        <f t="array" ref="F44">(SUM(IF((CkDJ[Date]=$A$4)*(CkDJ[Ofc Code]=(TRIM(F$7)))*(CkDJ[Account Code]=(TRIM($D44))),CkDJ[Debit])))+(SUM(IF((CsDJ[Date]=$A$4)*(CsDJ[Ofc Code]=(TRIM(F$7)))*(CsDJ[Account Code]=(TRIM($D44))),CsDJ[Debit])))+(SUM(IF((CRDJ[Date]=$A$4)*(CRDJ[Ofc Code]=(TRIM(F$7)))*(CRDJ[Account Code]=(TRIM($D44))),CRDJ[Debit])))+(SUM(IF((GJ[Date]=$A$4)*(GJ[Ofc Code]=(TRIM(F$7)))*(GJ[Account Code]=(TRIM($D44))),GJ[Debit])))-(SUM(IF((CkDJ[Date]=$A$4)*(CkDJ[Ofc Code]=(TRIM(F$7)))*(CkDJ[Account Code]=(TRIM($D44))),CkDJ[Credit])))+(SUM(IF((CsDJ[Date]=$A$4)*(CsDJ[Ofc Code]=(TRIM(F$7)))*(CsDJ[Account Code]=(TRIM($D44))),CsDJ[Credit])))+(SUM(IF((CRDJ[Date]=$A$4)*(CRDJ[Ofc Code]=(TRIM(F$7)))*(CRDJ[Account Code]=(TRIM($D44))),CRDJ[Credit])))+(SUM(IF((GJ[Date]=$A$4)*(GJ[Ofc Code]=(TRIM(F$7)))*(GJ[Account Code]=(TRIM($D44))),GJ[Credit])))</f>
        <v>0</v>
      </c>
      <c r="G44" s="211">
        <f t="array" ref="G44">(SUM(IF((CkDJ[Date]=$A$4)*(CkDJ[Ofc Code]=(TRIM(G$7)))*(CkDJ[Account Code]=(TRIM($D44))),CkDJ[Debit])))+(SUM(IF((CsDJ[Date]=$A$4)*(CsDJ[Ofc Code]=(TRIM(G$7)))*(CsDJ[Account Code]=(TRIM($D44))),CsDJ[Debit])))+(SUM(IF((CRDJ[Date]=$A$4)*(CRDJ[Ofc Code]=(TRIM(G$7)))*(CRDJ[Account Code]=(TRIM($D44))),CRDJ[Debit])))+(SUM(IF((GJ[Date]=$A$4)*(GJ[Ofc Code]=(TRIM(G$7)))*(GJ[Account Code]=(TRIM($D44))),GJ[Debit])))-(SUM(IF((CkDJ[Date]=$A$4)*(CkDJ[Ofc Code]=(TRIM(G$7)))*(CkDJ[Account Code]=(TRIM($D44))),CkDJ[Credit])))+(SUM(IF((CsDJ[Date]=$A$4)*(CsDJ[Ofc Code]=(TRIM(G$7)))*(CsDJ[Account Code]=(TRIM($D44))),CsDJ[Credit])))+(SUM(IF((CRDJ[Date]=$A$4)*(CRDJ[Ofc Code]=(TRIM(G$7)))*(CRDJ[Account Code]=(TRIM($D44))),CRDJ[Credit])))+(SUM(IF((GJ[Date]=$A$4)*(GJ[Ofc Code]=(TRIM(G$7)))*(GJ[Account Code]=(TRIM($D44))),GJ[Credit])))</f>
        <v>0</v>
      </c>
      <c r="H44" s="211">
        <f t="array" ref="H44">(SUM(IF((CkDJ[Date]=$A$4)*(CkDJ[Ofc Code]=(TRIM(H$7)))*(CkDJ[Account Code]=(TRIM($D44))),CkDJ[Debit])))+(SUM(IF((CsDJ[Date]=$A$4)*(CsDJ[Ofc Code]=(TRIM(H$7)))*(CsDJ[Account Code]=(TRIM($D44))),CsDJ[Debit])))+(SUM(IF((CRDJ[Date]=$A$4)*(CRDJ[Ofc Code]=(TRIM(H$7)))*(CRDJ[Account Code]=(TRIM($D44))),CRDJ[Debit])))+(SUM(IF((GJ[Date]=$A$4)*(GJ[Ofc Code]=(TRIM(H$7)))*(GJ[Account Code]=(TRIM($D44))),GJ[Debit])))-(SUM(IF((CkDJ[Date]=$A$4)*(CkDJ[Ofc Code]=(TRIM(H$7)))*(CkDJ[Account Code]=(TRIM($D44))),CkDJ[Credit])))+(SUM(IF((CsDJ[Date]=$A$4)*(CsDJ[Ofc Code]=(TRIM(H$7)))*(CsDJ[Account Code]=(TRIM($D44))),CsDJ[Credit])))+(SUM(IF((CRDJ[Date]=$A$4)*(CRDJ[Ofc Code]=(TRIM(H$7)))*(CRDJ[Account Code]=(TRIM($D44))),CRDJ[Credit])))+(SUM(IF((GJ[Date]=$A$4)*(GJ[Ofc Code]=(TRIM(H$7)))*(GJ[Account Code]=(TRIM($D44))),GJ[Credit])))</f>
        <v>0</v>
      </c>
      <c r="I44" s="211">
        <f t="shared" si="8"/>
        <v>0</v>
      </c>
      <c r="J44" s="211">
        <f t="array" ref="J44">(SUM(IF((CkDJ[Date]=$A$4)*(CkDJ[Ofc Code]=(TRIM(J$7)))*(CkDJ[Account Code]=(TRIM($D44))),CkDJ[Debit])))+(SUM(IF((CsDJ[Date]=$A$4)*(CsDJ[Ofc Code]=(TRIM(J$7)))*(CsDJ[Account Code]=(TRIM($D44))),CsDJ[Debit])))+(SUM(IF((CRDJ[Date]=$A$4)*(CRDJ[Ofc Code]=(TRIM(J$7)))*(CRDJ[Account Code]=(TRIM($D44))),CRDJ[Debit])))+(SUM(IF((GJ[Date]=$A$4)*(GJ[Ofc Code]=(TRIM(J$7)))*(GJ[Account Code]=(TRIM($D44))),GJ[Debit])))-(SUM(IF((CkDJ[Date]=$A$4)*(CkDJ[Ofc Code]=(TRIM(J$7)))*(CkDJ[Account Code]=(TRIM($D44))),CkDJ[Credit])))+(SUM(IF((CsDJ[Date]=$A$4)*(CsDJ[Ofc Code]=(TRIM(J$7)))*(CsDJ[Account Code]=(TRIM($D44))),CsDJ[Credit])))+(SUM(IF((CRDJ[Date]=$A$4)*(CRDJ[Ofc Code]=(TRIM(J$7)))*(CRDJ[Account Code]=(TRIM($D44))),CRDJ[Credit])))+(SUM(IF((GJ[Date]=$A$4)*(GJ[Ofc Code]=(TRIM(J$7)))*(GJ[Account Code]=(TRIM($D44))),GJ[Credit])))</f>
        <v>0</v>
      </c>
      <c r="K44" s="211">
        <f t="array" ref="K44">(SUM(IF((CkDJ[Date]=$A$4)*(CkDJ[Ofc Code]=(TRIM(K$7)))*(CkDJ[Account Code]=(TRIM($D44))),CkDJ[Debit])))+(SUM(IF((CsDJ[Date]=$A$4)*(CsDJ[Ofc Code]=(TRIM(K$7)))*(CsDJ[Account Code]=(TRIM($D44))),CsDJ[Debit])))+(SUM(IF((CRDJ[Date]=$A$4)*(CRDJ[Ofc Code]=(TRIM(K$7)))*(CRDJ[Account Code]=(TRIM($D44))),CRDJ[Debit])))+(SUM(IF((GJ[Date]=$A$4)*(GJ[Ofc Code]=(TRIM(K$7)))*(GJ[Account Code]=(TRIM($D44))),GJ[Debit])))-(SUM(IF((CkDJ[Date]=$A$4)*(CkDJ[Ofc Code]=(TRIM(K$7)))*(CkDJ[Account Code]=(TRIM($D44))),CkDJ[Credit])))+(SUM(IF((CsDJ[Date]=$A$4)*(CsDJ[Ofc Code]=(TRIM(K$7)))*(CsDJ[Account Code]=(TRIM($D44))),CsDJ[Credit])))+(SUM(IF((CRDJ[Date]=$A$4)*(CRDJ[Ofc Code]=(TRIM(K$7)))*(CRDJ[Account Code]=(TRIM($D44))),CRDJ[Credit])))+(SUM(IF((GJ[Date]=$A$4)*(GJ[Ofc Code]=(TRIM(K$7)))*(GJ[Account Code]=(TRIM($D44))),GJ[Credit])))</f>
        <v>0</v>
      </c>
      <c r="L44" s="211">
        <f t="array" ref="L44">(SUM(IF((CkDJ[Date]=$A$4)*(CkDJ[Ofc Code]=(TRIM(L$7)))*(CkDJ[Account Code]=(TRIM($D44))),CkDJ[Debit])))+(SUM(IF((CsDJ[Date]=$A$4)*(CsDJ[Ofc Code]=(TRIM(L$7)))*(CsDJ[Account Code]=(TRIM($D44))),CsDJ[Debit])))+(SUM(IF((CRDJ[Date]=$A$4)*(CRDJ[Ofc Code]=(TRIM(L$7)))*(CRDJ[Account Code]=(TRIM($D44))),CRDJ[Debit])))+(SUM(IF((GJ[Date]=$A$4)*(GJ[Ofc Code]=(TRIM(L$7)))*(GJ[Account Code]=(TRIM($D44))),GJ[Debit])))-(SUM(IF((CkDJ[Date]=$A$4)*(CkDJ[Ofc Code]=(TRIM(L$7)))*(CkDJ[Account Code]=(TRIM($D44))),CkDJ[Credit])))+(SUM(IF((CsDJ[Date]=$A$4)*(CsDJ[Ofc Code]=(TRIM(L$7)))*(CsDJ[Account Code]=(TRIM($D44))),CsDJ[Credit])))+(SUM(IF((CRDJ[Date]=$A$4)*(CRDJ[Ofc Code]=(TRIM(L$7)))*(CRDJ[Account Code]=(TRIM($D44))),CRDJ[Credit])))+(SUM(IF((GJ[Date]=$A$4)*(GJ[Ofc Code]=(TRIM(L$7)))*(GJ[Account Code]=(TRIM($D44))),GJ[Credit])))</f>
        <v>0</v>
      </c>
      <c r="M44" s="211">
        <f t="array" ref="M44">(SUM(IF((CkDJ[Date]=$A$4)*(CkDJ[Ofc Code]=(TRIM(M$7)))*(CkDJ[Account Code]=(TRIM($D44))),CkDJ[Debit])))+(SUM(IF((CsDJ[Date]=$A$4)*(CsDJ[Ofc Code]=(TRIM(M$7)))*(CsDJ[Account Code]=(TRIM($D44))),CsDJ[Debit])))+(SUM(IF((CRDJ[Date]=$A$4)*(CRDJ[Ofc Code]=(TRIM(M$7)))*(CRDJ[Account Code]=(TRIM($D44))),CRDJ[Debit])))+(SUM(IF((GJ[Date]=$A$4)*(GJ[Ofc Code]=(TRIM(M$7)))*(GJ[Account Code]=(TRIM($D44))),GJ[Debit])))-(SUM(IF((CkDJ[Date]=$A$4)*(CkDJ[Ofc Code]=(TRIM(M$7)))*(CkDJ[Account Code]=(TRIM($D44))),CkDJ[Credit])))+(SUM(IF((CsDJ[Date]=$A$4)*(CsDJ[Ofc Code]=(TRIM(M$7)))*(CsDJ[Account Code]=(TRIM($D44))),CsDJ[Credit])))+(SUM(IF((CRDJ[Date]=$A$4)*(CRDJ[Ofc Code]=(TRIM(M$7)))*(CRDJ[Account Code]=(TRIM($D44))),CRDJ[Credit])))+(SUM(IF((GJ[Date]=$A$4)*(GJ[Ofc Code]=(TRIM(M$7)))*(GJ[Account Code]=(TRIM($D44))),GJ[Credit])))</f>
        <v>0</v>
      </c>
      <c r="N44" s="211">
        <f t="shared" si="9"/>
        <v>0</v>
      </c>
      <c r="O44" s="211">
        <f t="array" ref="O44">(SUM(IF((CkDJ[Date]=$A$4)*(CkDJ[Ofc Code]=(TRIM(O$7)))*(CkDJ[Account Code]=(TRIM($D44))),CkDJ[Debit])))+(SUM(IF((CsDJ[Date]=$A$4)*(CsDJ[Ofc Code]=(TRIM(O$7)))*(CsDJ[Account Code]=(TRIM($D44))),CsDJ[Debit])))+(SUM(IF((CRDJ[Date]=$A$4)*(CRDJ[Ofc Code]=(TRIM(O$7)))*(CRDJ[Account Code]=(TRIM($D44))),CRDJ[Debit])))+(SUM(IF((GJ[Date]=$A$4)*(GJ[Ofc Code]=(TRIM(O$7)))*(GJ[Account Code]=(TRIM($D44))),GJ[Debit])))-(SUM(IF((CkDJ[Date]=$A$4)*(CkDJ[Ofc Code]=(TRIM(O$7)))*(CkDJ[Account Code]=(TRIM($D44))),CkDJ[Credit])))+(SUM(IF((CsDJ[Date]=$A$4)*(CsDJ[Ofc Code]=(TRIM(O$7)))*(CsDJ[Account Code]=(TRIM($D44))),CsDJ[Credit])))+(SUM(IF((CRDJ[Date]=$A$4)*(CRDJ[Ofc Code]=(TRIM(O$7)))*(CRDJ[Account Code]=(TRIM($D44))),CRDJ[Credit])))+(SUM(IF((GJ[Date]=$A$4)*(GJ[Ofc Code]=(TRIM(O$7)))*(GJ[Account Code]=(TRIM($D44))),GJ[Credit])))</f>
        <v>0</v>
      </c>
      <c r="P44" s="211">
        <f t="array" ref="P44">(SUM(IF((CkDJ[Date]=$A$4)*(CkDJ[Ofc Code]=(TRIM(P$7)))*(CkDJ[Account Code]=(TRIM($D44))),CkDJ[Debit])))+(SUM(IF((CsDJ[Date]=$A$4)*(CsDJ[Ofc Code]=(TRIM(P$7)))*(CsDJ[Account Code]=(TRIM($D44))),CsDJ[Debit])))+(SUM(IF((CRDJ[Date]=$A$4)*(CRDJ[Ofc Code]=(TRIM(P$7)))*(CRDJ[Account Code]=(TRIM($D44))),CRDJ[Debit])))+(SUM(IF((GJ[Date]=$A$4)*(GJ[Ofc Code]=(TRIM(P$7)))*(GJ[Account Code]=(TRIM($D44))),GJ[Debit])))-(SUM(IF((CkDJ[Date]=$A$4)*(CkDJ[Ofc Code]=(TRIM(P$7)))*(CkDJ[Account Code]=(TRIM($D44))),CkDJ[Credit])))+(SUM(IF((CsDJ[Date]=$A$4)*(CsDJ[Ofc Code]=(TRIM(P$7)))*(CsDJ[Account Code]=(TRIM($D44))),CsDJ[Credit])))+(SUM(IF((CRDJ[Date]=$A$4)*(CRDJ[Ofc Code]=(TRIM(P$7)))*(CRDJ[Account Code]=(TRIM($D44))),CRDJ[Credit])))+(SUM(IF((GJ[Date]=$A$4)*(GJ[Ofc Code]=(TRIM(P$7)))*(GJ[Account Code]=(TRIM($D44))),GJ[Credit])))</f>
        <v>0</v>
      </c>
      <c r="Q44" s="211">
        <f t="array" ref="Q44">(SUM(IF((CkDJ[Date]=$A$4)*(CkDJ[Ofc Code]=(TRIM(Q$7)))*(CkDJ[Account Code]=(TRIM($D44))),CkDJ[Debit])))+(SUM(IF((CsDJ[Date]=$A$4)*(CsDJ[Ofc Code]=(TRIM(Q$7)))*(CsDJ[Account Code]=(TRIM($D44))),CsDJ[Debit])))+(SUM(IF((CRDJ[Date]=$A$4)*(CRDJ[Ofc Code]=(TRIM(Q$7)))*(CRDJ[Account Code]=(TRIM($D44))),CRDJ[Debit])))+(SUM(IF((GJ[Date]=$A$4)*(GJ[Ofc Code]=(TRIM(Q$7)))*(GJ[Account Code]=(TRIM($D44))),GJ[Debit])))-(SUM(IF((CkDJ[Date]=$A$4)*(CkDJ[Ofc Code]=(TRIM(Q$7)))*(CkDJ[Account Code]=(TRIM($D44))),CkDJ[Credit])))+(SUM(IF((CsDJ[Date]=$A$4)*(CsDJ[Ofc Code]=(TRIM(Q$7)))*(CsDJ[Account Code]=(TRIM($D44))),CsDJ[Credit])))+(SUM(IF((CRDJ[Date]=$A$4)*(CRDJ[Ofc Code]=(TRIM(Q$7)))*(CRDJ[Account Code]=(TRIM($D44))),CRDJ[Credit])))+(SUM(IF((GJ[Date]=$A$4)*(GJ[Ofc Code]=(TRIM(Q$7)))*(GJ[Account Code]=(TRIM($D44))),GJ[Credit])))</f>
        <v>0</v>
      </c>
      <c r="R44" s="211">
        <f t="array" ref="R44">(SUM(IF((CkDJ[Date]=$A$4)*(CkDJ[Ofc Code]=(TRIM(R$7)))*(CkDJ[Account Code]=(TRIM($D44))),CkDJ[Debit])))+(SUM(IF((CsDJ[Date]=$A$4)*(CsDJ[Ofc Code]=(TRIM(R$7)))*(CsDJ[Account Code]=(TRIM($D44))),CsDJ[Debit])))+(SUM(IF((CRDJ[Date]=$A$4)*(CRDJ[Ofc Code]=(TRIM(R$7)))*(CRDJ[Account Code]=(TRIM($D44))),CRDJ[Debit])))+(SUM(IF((GJ[Date]=$A$4)*(GJ[Ofc Code]=(TRIM(R$7)))*(GJ[Account Code]=(TRIM($D44))),GJ[Debit])))-(SUM(IF((CkDJ[Date]=$A$4)*(CkDJ[Ofc Code]=(TRIM(R$7)))*(CkDJ[Account Code]=(TRIM($D44))),CkDJ[Credit])))+(SUM(IF((CsDJ[Date]=$A$4)*(CsDJ[Ofc Code]=(TRIM(R$7)))*(CsDJ[Account Code]=(TRIM($D44))),CsDJ[Credit])))+(SUM(IF((CRDJ[Date]=$A$4)*(CRDJ[Ofc Code]=(TRIM(R$7)))*(CRDJ[Account Code]=(TRIM($D44))),CRDJ[Credit])))+(SUM(IF((GJ[Date]=$A$4)*(GJ[Ofc Code]=(TRIM(R$7)))*(GJ[Account Code]=(TRIM($D44))),GJ[Credit])))</f>
        <v>0</v>
      </c>
      <c r="S44" s="211">
        <f t="array" ref="S44">(SUM(IF((CkDJ[Date]=$A$4)*(CkDJ[Ofc Code]=(TRIM(S$7)))*(CkDJ[Account Code]=(TRIM($D44))),CkDJ[Debit])))+(SUM(IF((CsDJ[Date]=$A$4)*(CsDJ[Ofc Code]=(TRIM(S$7)))*(CsDJ[Account Code]=(TRIM($D44))),CsDJ[Debit])))+(SUM(IF((CRDJ[Date]=$A$4)*(CRDJ[Ofc Code]=(TRIM(S$7)))*(CRDJ[Account Code]=(TRIM($D44))),CRDJ[Debit])))+(SUM(IF((GJ[Date]=$A$4)*(GJ[Ofc Code]=(TRIM(S$7)))*(GJ[Account Code]=(TRIM($D44))),GJ[Debit])))-(SUM(IF((CkDJ[Date]=$A$4)*(CkDJ[Ofc Code]=(TRIM(S$7)))*(CkDJ[Account Code]=(TRIM($D44))),CkDJ[Credit])))+(SUM(IF((CsDJ[Date]=$A$4)*(CsDJ[Ofc Code]=(TRIM(S$7)))*(CsDJ[Account Code]=(TRIM($D44))),CsDJ[Credit])))+(SUM(IF((CRDJ[Date]=$A$4)*(CRDJ[Ofc Code]=(TRIM(S$7)))*(CRDJ[Account Code]=(TRIM($D44))),CRDJ[Credit])))+(SUM(IF((GJ[Date]=$A$4)*(GJ[Ofc Code]=(TRIM(S$7)))*(GJ[Account Code]=(TRIM($D44))),GJ[Credit])))</f>
        <v>0</v>
      </c>
      <c r="T44" s="211">
        <f t="shared" si="10"/>
        <v>0</v>
      </c>
      <c r="U44" s="211">
        <f t="shared" si="11"/>
        <v>0</v>
      </c>
    </row>
    <row r="45" spans="1:21" ht="15" x14ac:dyDescent="0.25">
      <c r="A45" s="212">
        <f t="shared" si="12"/>
        <v>12</v>
      </c>
      <c r="B45" s="214" t="s">
        <v>756</v>
      </c>
      <c r="C45" s="194" t="str">
        <f t="shared" si="7"/>
        <v>Other Bonuses and Allowances - Productivity Enhancement Incentive-Civilian</v>
      </c>
      <c r="D45" s="215" t="s">
        <v>170</v>
      </c>
      <c r="E45" s="211">
        <f t="array" ref="E45">(SUM(IF((CkDJ[Date]=$A$4)*(CkDJ[Ofc Code]=(TRIM(E$7)))*(CkDJ[Account Code]=(TRIM($D45))),CkDJ[Debit])))+(SUM(IF((CsDJ[Date]=$A$4)*(CsDJ[Ofc Code]=(TRIM(E$7)))*(CsDJ[Account Code]=(TRIM($D45))),CsDJ[Debit])))+(SUM(IF((CRDJ[Date]=$A$4)*(CRDJ[Ofc Code]=(TRIM(E$7)))*(CRDJ[Account Code]=(TRIM($D45))),CRDJ[Debit])))+(SUM(IF((GJ[Date]=$A$4)*(GJ[Ofc Code]=(TRIM(E$7)))*(GJ[Account Code]=(TRIM($D45))),GJ[Debit])))-(SUM(IF((CkDJ[Date]=$A$4)*(CkDJ[Ofc Code]=(TRIM(E$7)))*(CkDJ[Account Code]=(TRIM($D45))),CkDJ[Credit])))+(SUM(IF((CsDJ[Date]=$A$4)*(CsDJ[Ofc Code]=(TRIM(E$7)))*(CsDJ[Account Code]=(TRIM($D45))),CsDJ[Credit])))+(SUM(IF((CRDJ[Date]=$A$4)*(CRDJ[Ofc Code]=(TRIM(E$7)))*(CRDJ[Account Code]=(TRIM($D45))),CRDJ[Credit])))+(SUM(IF((GJ[Date]=$A$4)*(GJ[Ofc Code]=(TRIM(E$7)))*(GJ[Account Code]=(TRIM($D45))),GJ[Credit])))</f>
        <v>0</v>
      </c>
      <c r="F45" s="211">
        <f t="array" ref="F45">(SUM(IF((CkDJ[Date]=$A$4)*(CkDJ[Ofc Code]=(TRIM(F$7)))*(CkDJ[Account Code]=(TRIM($D45))),CkDJ[Debit])))+(SUM(IF((CsDJ[Date]=$A$4)*(CsDJ[Ofc Code]=(TRIM(F$7)))*(CsDJ[Account Code]=(TRIM($D45))),CsDJ[Debit])))+(SUM(IF((CRDJ[Date]=$A$4)*(CRDJ[Ofc Code]=(TRIM(F$7)))*(CRDJ[Account Code]=(TRIM($D45))),CRDJ[Debit])))+(SUM(IF((GJ[Date]=$A$4)*(GJ[Ofc Code]=(TRIM(F$7)))*(GJ[Account Code]=(TRIM($D45))),GJ[Debit])))-(SUM(IF((CkDJ[Date]=$A$4)*(CkDJ[Ofc Code]=(TRIM(F$7)))*(CkDJ[Account Code]=(TRIM($D45))),CkDJ[Credit])))+(SUM(IF((CsDJ[Date]=$A$4)*(CsDJ[Ofc Code]=(TRIM(F$7)))*(CsDJ[Account Code]=(TRIM($D45))),CsDJ[Credit])))+(SUM(IF((CRDJ[Date]=$A$4)*(CRDJ[Ofc Code]=(TRIM(F$7)))*(CRDJ[Account Code]=(TRIM($D45))),CRDJ[Credit])))+(SUM(IF((GJ[Date]=$A$4)*(GJ[Ofc Code]=(TRIM(F$7)))*(GJ[Account Code]=(TRIM($D45))),GJ[Credit])))</f>
        <v>0</v>
      </c>
      <c r="G45" s="211">
        <f t="array" ref="G45">(SUM(IF((CkDJ[Date]=$A$4)*(CkDJ[Ofc Code]=(TRIM(G$7)))*(CkDJ[Account Code]=(TRIM($D45))),CkDJ[Debit])))+(SUM(IF((CsDJ[Date]=$A$4)*(CsDJ[Ofc Code]=(TRIM(G$7)))*(CsDJ[Account Code]=(TRIM($D45))),CsDJ[Debit])))+(SUM(IF((CRDJ[Date]=$A$4)*(CRDJ[Ofc Code]=(TRIM(G$7)))*(CRDJ[Account Code]=(TRIM($D45))),CRDJ[Debit])))+(SUM(IF((GJ[Date]=$A$4)*(GJ[Ofc Code]=(TRIM(G$7)))*(GJ[Account Code]=(TRIM($D45))),GJ[Debit])))-(SUM(IF((CkDJ[Date]=$A$4)*(CkDJ[Ofc Code]=(TRIM(G$7)))*(CkDJ[Account Code]=(TRIM($D45))),CkDJ[Credit])))+(SUM(IF((CsDJ[Date]=$A$4)*(CsDJ[Ofc Code]=(TRIM(G$7)))*(CsDJ[Account Code]=(TRIM($D45))),CsDJ[Credit])))+(SUM(IF((CRDJ[Date]=$A$4)*(CRDJ[Ofc Code]=(TRIM(G$7)))*(CRDJ[Account Code]=(TRIM($D45))),CRDJ[Credit])))+(SUM(IF((GJ[Date]=$A$4)*(GJ[Ofc Code]=(TRIM(G$7)))*(GJ[Account Code]=(TRIM($D45))),GJ[Credit])))</f>
        <v>0</v>
      </c>
      <c r="H45" s="211">
        <f t="array" ref="H45">(SUM(IF((CkDJ[Date]=$A$4)*(CkDJ[Ofc Code]=(TRIM(H$7)))*(CkDJ[Account Code]=(TRIM($D45))),CkDJ[Debit])))+(SUM(IF((CsDJ[Date]=$A$4)*(CsDJ[Ofc Code]=(TRIM(H$7)))*(CsDJ[Account Code]=(TRIM($D45))),CsDJ[Debit])))+(SUM(IF((CRDJ[Date]=$A$4)*(CRDJ[Ofc Code]=(TRIM(H$7)))*(CRDJ[Account Code]=(TRIM($D45))),CRDJ[Debit])))+(SUM(IF((GJ[Date]=$A$4)*(GJ[Ofc Code]=(TRIM(H$7)))*(GJ[Account Code]=(TRIM($D45))),GJ[Debit])))-(SUM(IF((CkDJ[Date]=$A$4)*(CkDJ[Ofc Code]=(TRIM(H$7)))*(CkDJ[Account Code]=(TRIM($D45))),CkDJ[Credit])))+(SUM(IF((CsDJ[Date]=$A$4)*(CsDJ[Ofc Code]=(TRIM(H$7)))*(CsDJ[Account Code]=(TRIM($D45))),CsDJ[Credit])))+(SUM(IF((CRDJ[Date]=$A$4)*(CRDJ[Ofc Code]=(TRIM(H$7)))*(CRDJ[Account Code]=(TRIM($D45))),CRDJ[Credit])))+(SUM(IF((GJ[Date]=$A$4)*(GJ[Ofc Code]=(TRIM(H$7)))*(GJ[Account Code]=(TRIM($D45))),GJ[Credit])))</f>
        <v>0</v>
      </c>
      <c r="I45" s="211">
        <f t="shared" si="8"/>
        <v>0</v>
      </c>
      <c r="J45" s="211">
        <f t="array" ref="J45">(SUM(IF((CkDJ[Date]=$A$4)*(CkDJ[Ofc Code]=(TRIM(J$7)))*(CkDJ[Account Code]=(TRIM($D45))),CkDJ[Debit])))+(SUM(IF((CsDJ[Date]=$A$4)*(CsDJ[Ofc Code]=(TRIM(J$7)))*(CsDJ[Account Code]=(TRIM($D45))),CsDJ[Debit])))+(SUM(IF((CRDJ[Date]=$A$4)*(CRDJ[Ofc Code]=(TRIM(J$7)))*(CRDJ[Account Code]=(TRIM($D45))),CRDJ[Debit])))+(SUM(IF((GJ[Date]=$A$4)*(GJ[Ofc Code]=(TRIM(J$7)))*(GJ[Account Code]=(TRIM($D45))),GJ[Debit])))-(SUM(IF((CkDJ[Date]=$A$4)*(CkDJ[Ofc Code]=(TRIM(J$7)))*(CkDJ[Account Code]=(TRIM($D45))),CkDJ[Credit])))+(SUM(IF((CsDJ[Date]=$A$4)*(CsDJ[Ofc Code]=(TRIM(J$7)))*(CsDJ[Account Code]=(TRIM($D45))),CsDJ[Credit])))+(SUM(IF((CRDJ[Date]=$A$4)*(CRDJ[Ofc Code]=(TRIM(J$7)))*(CRDJ[Account Code]=(TRIM($D45))),CRDJ[Credit])))+(SUM(IF((GJ[Date]=$A$4)*(GJ[Ofc Code]=(TRIM(J$7)))*(GJ[Account Code]=(TRIM($D45))),GJ[Credit])))</f>
        <v>0</v>
      </c>
      <c r="K45" s="211">
        <f t="array" ref="K45">(SUM(IF((CkDJ[Date]=$A$4)*(CkDJ[Ofc Code]=(TRIM(K$7)))*(CkDJ[Account Code]=(TRIM($D45))),CkDJ[Debit])))+(SUM(IF((CsDJ[Date]=$A$4)*(CsDJ[Ofc Code]=(TRIM(K$7)))*(CsDJ[Account Code]=(TRIM($D45))),CsDJ[Debit])))+(SUM(IF((CRDJ[Date]=$A$4)*(CRDJ[Ofc Code]=(TRIM(K$7)))*(CRDJ[Account Code]=(TRIM($D45))),CRDJ[Debit])))+(SUM(IF((GJ[Date]=$A$4)*(GJ[Ofc Code]=(TRIM(K$7)))*(GJ[Account Code]=(TRIM($D45))),GJ[Debit])))-(SUM(IF((CkDJ[Date]=$A$4)*(CkDJ[Ofc Code]=(TRIM(K$7)))*(CkDJ[Account Code]=(TRIM($D45))),CkDJ[Credit])))+(SUM(IF((CsDJ[Date]=$A$4)*(CsDJ[Ofc Code]=(TRIM(K$7)))*(CsDJ[Account Code]=(TRIM($D45))),CsDJ[Credit])))+(SUM(IF((CRDJ[Date]=$A$4)*(CRDJ[Ofc Code]=(TRIM(K$7)))*(CRDJ[Account Code]=(TRIM($D45))),CRDJ[Credit])))+(SUM(IF((GJ[Date]=$A$4)*(GJ[Ofc Code]=(TRIM(K$7)))*(GJ[Account Code]=(TRIM($D45))),GJ[Credit])))</f>
        <v>0</v>
      </c>
      <c r="L45" s="211">
        <f t="array" ref="L45">(SUM(IF((CkDJ[Date]=$A$4)*(CkDJ[Ofc Code]=(TRIM(L$7)))*(CkDJ[Account Code]=(TRIM($D45))),CkDJ[Debit])))+(SUM(IF((CsDJ[Date]=$A$4)*(CsDJ[Ofc Code]=(TRIM(L$7)))*(CsDJ[Account Code]=(TRIM($D45))),CsDJ[Debit])))+(SUM(IF((CRDJ[Date]=$A$4)*(CRDJ[Ofc Code]=(TRIM(L$7)))*(CRDJ[Account Code]=(TRIM($D45))),CRDJ[Debit])))+(SUM(IF((GJ[Date]=$A$4)*(GJ[Ofc Code]=(TRIM(L$7)))*(GJ[Account Code]=(TRIM($D45))),GJ[Debit])))-(SUM(IF((CkDJ[Date]=$A$4)*(CkDJ[Ofc Code]=(TRIM(L$7)))*(CkDJ[Account Code]=(TRIM($D45))),CkDJ[Credit])))+(SUM(IF((CsDJ[Date]=$A$4)*(CsDJ[Ofc Code]=(TRIM(L$7)))*(CsDJ[Account Code]=(TRIM($D45))),CsDJ[Credit])))+(SUM(IF((CRDJ[Date]=$A$4)*(CRDJ[Ofc Code]=(TRIM(L$7)))*(CRDJ[Account Code]=(TRIM($D45))),CRDJ[Credit])))+(SUM(IF((GJ[Date]=$A$4)*(GJ[Ofc Code]=(TRIM(L$7)))*(GJ[Account Code]=(TRIM($D45))),GJ[Credit])))</f>
        <v>0</v>
      </c>
      <c r="M45" s="211">
        <f t="array" ref="M45">(SUM(IF((CkDJ[Date]=$A$4)*(CkDJ[Ofc Code]=(TRIM(M$7)))*(CkDJ[Account Code]=(TRIM($D45))),CkDJ[Debit])))+(SUM(IF((CsDJ[Date]=$A$4)*(CsDJ[Ofc Code]=(TRIM(M$7)))*(CsDJ[Account Code]=(TRIM($D45))),CsDJ[Debit])))+(SUM(IF((CRDJ[Date]=$A$4)*(CRDJ[Ofc Code]=(TRIM(M$7)))*(CRDJ[Account Code]=(TRIM($D45))),CRDJ[Debit])))+(SUM(IF((GJ[Date]=$A$4)*(GJ[Ofc Code]=(TRIM(M$7)))*(GJ[Account Code]=(TRIM($D45))),GJ[Debit])))-(SUM(IF((CkDJ[Date]=$A$4)*(CkDJ[Ofc Code]=(TRIM(M$7)))*(CkDJ[Account Code]=(TRIM($D45))),CkDJ[Credit])))+(SUM(IF((CsDJ[Date]=$A$4)*(CsDJ[Ofc Code]=(TRIM(M$7)))*(CsDJ[Account Code]=(TRIM($D45))),CsDJ[Credit])))+(SUM(IF((CRDJ[Date]=$A$4)*(CRDJ[Ofc Code]=(TRIM(M$7)))*(CRDJ[Account Code]=(TRIM($D45))),CRDJ[Credit])))+(SUM(IF((GJ[Date]=$A$4)*(GJ[Ofc Code]=(TRIM(M$7)))*(GJ[Account Code]=(TRIM($D45))),GJ[Credit])))</f>
        <v>0</v>
      </c>
      <c r="N45" s="211">
        <f t="shared" si="9"/>
        <v>0</v>
      </c>
      <c r="O45" s="211">
        <f t="array" ref="O45">(SUM(IF((CkDJ[Date]=$A$4)*(CkDJ[Ofc Code]=(TRIM(O$7)))*(CkDJ[Account Code]=(TRIM($D45))),CkDJ[Debit])))+(SUM(IF((CsDJ[Date]=$A$4)*(CsDJ[Ofc Code]=(TRIM(O$7)))*(CsDJ[Account Code]=(TRIM($D45))),CsDJ[Debit])))+(SUM(IF((CRDJ[Date]=$A$4)*(CRDJ[Ofc Code]=(TRIM(O$7)))*(CRDJ[Account Code]=(TRIM($D45))),CRDJ[Debit])))+(SUM(IF((GJ[Date]=$A$4)*(GJ[Ofc Code]=(TRIM(O$7)))*(GJ[Account Code]=(TRIM($D45))),GJ[Debit])))-(SUM(IF((CkDJ[Date]=$A$4)*(CkDJ[Ofc Code]=(TRIM(O$7)))*(CkDJ[Account Code]=(TRIM($D45))),CkDJ[Credit])))+(SUM(IF((CsDJ[Date]=$A$4)*(CsDJ[Ofc Code]=(TRIM(O$7)))*(CsDJ[Account Code]=(TRIM($D45))),CsDJ[Credit])))+(SUM(IF((CRDJ[Date]=$A$4)*(CRDJ[Ofc Code]=(TRIM(O$7)))*(CRDJ[Account Code]=(TRIM($D45))),CRDJ[Credit])))+(SUM(IF((GJ[Date]=$A$4)*(GJ[Ofc Code]=(TRIM(O$7)))*(GJ[Account Code]=(TRIM($D45))),GJ[Credit])))</f>
        <v>0</v>
      </c>
      <c r="P45" s="211">
        <f t="array" ref="P45">(SUM(IF((CkDJ[Date]=$A$4)*(CkDJ[Ofc Code]=(TRIM(P$7)))*(CkDJ[Account Code]=(TRIM($D45))),CkDJ[Debit])))+(SUM(IF((CsDJ[Date]=$A$4)*(CsDJ[Ofc Code]=(TRIM(P$7)))*(CsDJ[Account Code]=(TRIM($D45))),CsDJ[Debit])))+(SUM(IF((CRDJ[Date]=$A$4)*(CRDJ[Ofc Code]=(TRIM(P$7)))*(CRDJ[Account Code]=(TRIM($D45))),CRDJ[Debit])))+(SUM(IF((GJ[Date]=$A$4)*(GJ[Ofc Code]=(TRIM(P$7)))*(GJ[Account Code]=(TRIM($D45))),GJ[Debit])))-(SUM(IF((CkDJ[Date]=$A$4)*(CkDJ[Ofc Code]=(TRIM(P$7)))*(CkDJ[Account Code]=(TRIM($D45))),CkDJ[Credit])))+(SUM(IF((CsDJ[Date]=$A$4)*(CsDJ[Ofc Code]=(TRIM(P$7)))*(CsDJ[Account Code]=(TRIM($D45))),CsDJ[Credit])))+(SUM(IF((CRDJ[Date]=$A$4)*(CRDJ[Ofc Code]=(TRIM(P$7)))*(CRDJ[Account Code]=(TRIM($D45))),CRDJ[Credit])))+(SUM(IF((GJ[Date]=$A$4)*(GJ[Ofc Code]=(TRIM(P$7)))*(GJ[Account Code]=(TRIM($D45))),GJ[Credit])))</f>
        <v>0</v>
      </c>
      <c r="Q45" s="211">
        <f t="array" ref="Q45">(SUM(IF((CkDJ[Date]=$A$4)*(CkDJ[Ofc Code]=(TRIM(Q$7)))*(CkDJ[Account Code]=(TRIM($D45))),CkDJ[Debit])))+(SUM(IF((CsDJ[Date]=$A$4)*(CsDJ[Ofc Code]=(TRIM(Q$7)))*(CsDJ[Account Code]=(TRIM($D45))),CsDJ[Debit])))+(SUM(IF((CRDJ[Date]=$A$4)*(CRDJ[Ofc Code]=(TRIM(Q$7)))*(CRDJ[Account Code]=(TRIM($D45))),CRDJ[Debit])))+(SUM(IF((GJ[Date]=$A$4)*(GJ[Ofc Code]=(TRIM(Q$7)))*(GJ[Account Code]=(TRIM($D45))),GJ[Debit])))-(SUM(IF((CkDJ[Date]=$A$4)*(CkDJ[Ofc Code]=(TRIM(Q$7)))*(CkDJ[Account Code]=(TRIM($D45))),CkDJ[Credit])))+(SUM(IF((CsDJ[Date]=$A$4)*(CsDJ[Ofc Code]=(TRIM(Q$7)))*(CsDJ[Account Code]=(TRIM($D45))),CsDJ[Credit])))+(SUM(IF((CRDJ[Date]=$A$4)*(CRDJ[Ofc Code]=(TRIM(Q$7)))*(CRDJ[Account Code]=(TRIM($D45))),CRDJ[Credit])))+(SUM(IF((GJ[Date]=$A$4)*(GJ[Ofc Code]=(TRIM(Q$7)))*(GJ[Account Code]=(TRIM($D45))),GJ[Credit])))</f>
        <v>0</v>
      </c>
      <c r="R45" s="211">
        <f t="array" ref="R45">(SUM(IF((CkDJ[Date]=$A$4)*(CkDJ[Ofc Code]=(TRIM(R$7)))*(CkDJ[Account Code]=(TRIM($D45))),CkDJ[Debit])))+(SUM(IF((CsDJ[Date]=$A$4)*(CsDJ[Ofc Code]=(TRIM(R$7)))*(CsDJ[Account Code]=(TRIM($D45))),CsDJ[Debit])))+(SUM(IF((CRDJ[Date]=$A$4)*(CRDJ[Ofc Code]=(TRIM(R$7)))*(CRDJ[Account Code]=(TRIM($D45))),CRDJ[Debit])))+(SUM(IF((GJ[Date]=$A$4)*(GJ[Ofc Code]=(TRIM(R$7)))*(GJ[Account Code]=(TRIM($D45))),GJ[Debit])))-(SUM(IF((CkDJ[Date]=$A$4)*(CkDJ[Ofc Code]=(TRIM(R$7)))*(CkDJ[Account Code]=(TRIM($D45))),CkDJ[Credit])))+(SUM(IF((CsDJ[Date]=$A$4)*(CsDJ[Ofc Code]=(TRIM(R$7)))*(CsDJ[Account Code]=(TRIM($D45))),CsDJ[Credit])))+(SUM(IF((CRDJ[Date]=$A$4)*(CRDJ[Ofc Code]=(TRIM(R$7)))*(CRDJ[Account Code]=(TRIM($D45))),CRDJ[Credit])))+(SUM(IF((GJ[Date]=$A$4)*(GJ[Ofc Code]=(TRIM(R$7)))*(GJ[Account Code]=(TRIM($D45))),GJ[Credit])))</f>
        <v>0</v>
      </c>
      <c r="S45" s="211">
        <f t="array" ref="S45">(SUM(IF((CkDJ[Date]=$A$4)*(CkDJ[Ofc Code]=(TRIM(S$7)))*(CkDJ[Account Code]=(TRIM($D45))),CkDJ[Debit])))+(SUM(IF((CsDJ[Date]=$A$4)*(CsDJ[Ofc Code]=(TRIM(S$7)))*(CsDJ[Account Code]=(TRIM($D45))),CsDJ[Debit])))+(SUM(IF((CRDJ[Date]=$A$4)*(CRDJ[Ofc Code]=(TRIM(S$7)))*(CRDJ[Account Code]=(TRIM($D45))),CRDJ[Debit])))+(SUM(IF((GJ[Date]=$A$4)*(GJ[Ofc Code]=(TRIM(S$7)))*(GJ[Account Code]=(TRIM($D45))),GJ[Debit])))-(SUM(IF((CkDJ[Date]=$A$4)*(CkDJ[Ofc Code]=(TRIM(S$7)))*(CkDJ[Account Code]=(TRIM($D45))),CkDJ[Credit])))+(SUM(IF((CsDJ[Date]=$A$4)*(CsDJ[Ofc Code]=(TRIM(S$7)))*(CsDJ[Account Code]=(TRIM($D45))),CsDJ[Credit])))+(SUM(IF((CRDJ[Date]=$A$4)*(CRDJ[Ofc Code]=(TRIM(S$7)))*(CRDJ[Account Code]=(TRIM($D45))),CRDJ[Credit])))+(SUM(IF((GJ[Date]=$A$4)*(GJ[Ofc Code]=(TRIM(S$7)))*(GJ[Account Code]=(TRIM($D45))),GJ[Credit])))</f>
        <v>0</v>
      </c>
      <c r="T45" s="211">
        <f t="shared" si="10"/>
        <v>0</v>
      </c>
      <c r="U45" s="211">
        <f t="shared" si="11"/>
        <v>0</v>
      </c>
    </row>
    <row r="46" spans="1:21" ht="15" x14ac:dyDescent="0.25">
      <c r="A46" s="212">
        <f t="shared" si="12"/>
        <v>13</v>
      </c>
      <c r="B46" s="214" t="s">
        <v>756</v>
      </c>
      <c r="C46" s="194" t="str">
        <f t="shared" si="7"/>
        <v>Honoraria</v>
      </c>
      <c r="D46" s="215">
        <v>720</v>
      </c>
      <c r="E46" s="211">
        <f t="array" ref="E46">(SUM(IF((CkDJ[Date]=$A$4)*(CkDJ[Ofc Code]=(TRIM(E$7)))*(CkDJ[Account Code]=(TRIM($D46))),CkDJ[Debit])))+(SUM(IF((CsDJ[Date]=$A$4)*(CsDJ[Ofc Code]=(TRIM(E$7)))*(CsDJ[Account Code]=(TRIM($D46))),CsDJ[Debit])))+(SUM(IF((CRDJ[Date]=$A$4)*(CRDJ[Ofc Code]=(TRIM(E$7)))*(CRDJ[Account Code]=(TRIM($D46))),CRDJ[Debit])))+(SUM(IF((GJ[Date]=$A$4)*(GJ[Ofc Code]=(TRIM(E$7)))*(GJ[Account Code]=(TRIM($D46))),GJ[Debit])))-(SUM(IF((CkDJ[Date]=$A$4)*(CkDJ[Ofc Code]=(TRIM(E$7)))*(CkDJ[Account Code]=(TRIM($D46))),CkDJ[Credit])))+(SUM(IF((CsDJ[Date]=$A$4)*(CsDJ[Ofc Code]=(TRIM(E$7)))*(CsDJ[Account Code]=(TRIM($D46))),CsDJ[Credit])))+(SUM(IF((CRDJ[Date]=$A$4)*(CRDJ[Ofc Code]=(TRIM(E$7)))*(CRDJ[Account Code]=(TRIM($D46))),CRDJ[Credit])))+(SUM(IF((GJ[Date]=$A$4)*(GJ[Ofc Code]=(TRIM(E$7)))*(GJ[Account Code]=(TRIM($D46))),GJ[Credit])))</f>
        <v>0</v>
      </c>
      <c r="F46" s="211">
        <f t="array" ref="F46">(SUM(IF((CkDJ[Date]=$A$4)*(CkDJ[Ofc Code]=(TRIM(F$7)))*(CkDJ[Account Code]=(TRIM($D46))),CkDJ[Debit])))+(SUM(IF((CsDJ[Date]=$A$4)*(CsDJ[Ofc Code]=(TRIM(F$7)))*(CsDJ[Account Code]=(TRIM($D46))),CsDJ[Debit])))+(SUM(IF((CRDJ[Date]=$A$4)*(CRDJ[Ofc Code]=(TRIM(F$7)))*(CRDJ[Account Code]=(TRIM($D46))),CRDJ[Debit])))+(SUM(IF((GJ[Date]=$A$4)*(GJ[Ofc Code]=(TRIM(F$7)))*(GJ[Account Code]=(TRIM($D46))),GJ[Debit])))-(SUM(IF((CkDJ[Date]=$A$4)*(CkDJ[Ofc Code]=(TRIM(F$7)))*(CkDJ[Account Code]=(TRIM($D46))),CkDJ[Credit])))+(SUM(IF((CsDJ[Date]=$A$4)*(CsDJ[Ofc Code]=(TRIM(F$7)))*(CsDJ[Account Code]=(TRIM($D46))),CsDJ[Credit])))+(SUM(IF((CRDJ[Date]=$A$4)*(CRDJ[Ofc Code]=(TRIM(F$7)))*(CRDJ[Account Code]=(TRIM($D46))),CRDJ[Credit])))+(SUM(IF((GJ[Date]=$A$4)*(GJ[Ofc Code]=(TRIM(F$7)))*(GJ[Account Code]=(TRIM($D46))),GJ[Credit])))</f>
        <v>0</v>
      </c>
      <c r="G46" s="211">
        <f t="array" ref="G46">(SUM(IF((CkDJ[Date]=$A$4)*(CkDJ[Ofc Code]=(TRIM(G$7)))*(CkDJ[Account Code]=(TRIM($D46))),CkDJ[Debit])))+(SUM(IF((CsDJ[Date]=$A$4)*(CsDJ[Ofc Code]=(TRIM(G$7)))*(CsDJ[Account Code]=(TRIM($D46))),CsDJ[Debit])))+(SUM(IF((CRDJ[Date]=$A$4)*(CRDJ[Ofc Code]=(TRIM(G$7)))*(CRDJ[Account Code]=(TRIM($D46))),CRDJ[Debit])))+(SUM(IF((GJ[Date]=$A$4)*(GJ[Ofc Code]=(TRIM(G$7)))*(GJ[Account Code]=(TRIM($D46))),GJ[Debit])))-(SUM(IF((CkDJ[Date]=$A$4)*(CkDJ[Ofc Code]=(TRIM(G$7)))*(CkDJ[Account Code]=(TRIM($D46))),CkDJ[Credit])))+(SUM(IF((CsDJ[Date]=$A$4)*(CsDJ[Ofc Code]=(TRIM(G$7)))*(CsDJ[Account Code]=(TRIM($D46))),CsDJ[Credit])))+(SUM(IF((CRDJ[Date]=$A$4)*(CRDJ[Ofc Code]=(TRIM(G$7)))*(CRDJ[Account Code]=(TRIM($D46))),CRDJ[Credit])))+(SUM(IF((GJ[Date]=$A$4)*(GJ[Ofc Code]=(TRIM(G$7)))*(GJ[Account Code]=(TRIM($D46))),GJ[Credit])))</f>
        <v>0</v>
      </c>
      <c r="H46" s="211">
        <f t="array" ref="H46">(SUM(IF((CkDJ[Date]=$A$4)*(CkDJ[Ofc Code]=(TRIM(H$7)))*(CkDJ[Account Code]=(TRIM($D46))),CkDJ[Debit])))+(SUM(IF((CsDJ[Date]=$A$4)*(CsDJ[Ofc Code]=(TRIM(H$7)))*(CsDJ[Account Code]=(TRIM($D46))),CsDJ[Debit])))+(SUM(IF((CRDJ[Date]=$A$4)*(CRDJ[Ofc Code]=(TRIM(H$7)))*(CRDJ[Account Code]=(TRIM($D46))),CRDJ[Debit])))+(SUM(IF((GJ[Date]=$A$4)*(GJ[Ofc Code]=(TRIM(H$7)))*(GJ[Account Code]=(TRIM($D46))),GJ[Debit])))-(SUM(IF((CkDJ[Date]=$A$4)*(CkDJ[Ofc Code]=(TRIM(H$7)))*(CkDJ[Account Code]=(TRIM($D46))),CkDJ[Credit])))+(SUM(IF((CsDJ[Date]=$A$4)*(CsDJ[Ofc Code]=(TRIM(H$7)))*(CsDJ[Account Code]=(TRIM($D46))),CsDJ[Credit])))+(SUM(IF((CRDJ[Date]=$A$4)*(CRDJ[Ofc Code]=(TRIM(H$7)))*(CRDJ[Account Code]=(TRIM($D46))),CRDJ[Credit])))+(SUM(IF((GJ[Date]=$A$4)*(GJ[Ofc Code]=(TRIM(H$7)))*(GJ[Account Code]=(TRIM($D46))),GJ[Credit])))</f>
        <v>0</v>
      </c>
      <c r="I46" s="211">
        <f t="shared" si="8"/>
        <v>0</v>
      </c>
      <c r="J46" s="211">
        <f t="array" ref="J46">(SUM(IF((CkDJ[Date]=$A$4)*(CkDJ[Ofc Code]=(TRIM(J$7)))*(CkDJ[Account Code]=(TRIM($D46))),CkDJ[Debit])))+(SUM(IF((CsDJ[Date]=$A$4)*(CsDJ[Ofc Code]=(TRIM(J$7)))*(CsDJ[Account Code]=(TRIM($D46))),CsDJ[Debit])))+(SUM(IF((CRDJ[Date]=$A$4)*(CRDJ[Ofc Code]=(TRIM(J$7)))*(CRDJ[Account Code]=(TRIM($D46))),CRDJ[Debit])))+(SUM(IF((GJ[Date]=$A$4)*(GJ[Ofc Code]=(TRIM(J$7)))*(GJ[Account Code]=(TRIM($D46))),GJ[Debit])))-(SUM(IF((CkDJ[Date]=$A$4)*(CkDJ[Ofc Code]=(TRIM(J$7)))*(CkDJ[Account Code]=(TRIM($D46))),CkDJ[Credit])))+(SUM(IF((CsDJ[Date]=$A$4)*(CsDJ[Ofc Code]=(TRIM(J$7)))*(CsDJ[Account Code]=(TRIM($D46))),CsDJ[Credit])))+(SUM(IF((CRDJ[Date]=$A$4)*(CRDJ[Ofc Code]=(TRIM(J$7)))*(CRDJ[Account Code]=(TRIM($D46))),CRDJ[Credit])))+(SUM(IF((GJ[Date]=$A$4)*(GJ[Ofc Code]=(TRIM(J$7)))*(GJ[Account Code]=(TRIM($D46))),GJ[Credit])))</f>
        <v>0</v>
      </c>
      <c r="K46" s="211">
        <f t="array" ref="K46">(SUM(IF((CkDJ[Date]=$A$4)*(CkDJ[Ofc Code]=(TRIM(K$7)))*(CkDJ[Account Code]=(TRIM($D46))),CkDJ[Debit])))+(SUM(IF((CsDJ[Date]=$A$4)*(CsDJ[Ofc Code]=(TRIM(K$7)))*(CsDJ[Account Code]=(TRIM($D46))),CsDJ[Debit])))+(SUM(IF((CRDJ[Date]=$A$4)*(CRDJ[Ofc Code]=(TRIM(K$7)))*(CRDJ[Account Code]=(TRIM($D46))),CRDJ[Debit])))+(SUM(IF((GJ[Date]=$A$4)*(GJ[Ofc Code]=(TRIM(K$7)))*(GJ[Account Code]=(TRIM($D46))),GJ[Debit])))-(SUM(IF((CkDJ[Date]=$A$4)*(CkDJ[Ofc Code]=(TRIM(K$7)))*(CkDJ[Account Code]=(TRIM($D46))),CkDJ[Credit])))+(SUM(IF((CsDJ[Date]=$A$4)*(CsDJ[Ofc Code]=(TRIM(K$7)))*(CsDJ[Account Code]=(TRIM($D46))),CsDJ[Credit])))+(SUM(IF((CRDJ[Date]=$A$4)*(CRDJ[Ofc Code]=(TRIM(K$7)))*(CRDJ[Account Code]=(TRIM($D46))),CRDJ[Credit])))+(SUM(IF((GJ[Date]=$A$4)*(GJ[Ofc Code]=(TRIM(K$7)))*(GJ[Account Code]=(TRIM($D46))),GJ[Credit])))</f>
        <v>0</v>
      </c>
      <c r="L46" s="211">
        <f t="array" ref="L46">(SUM(IF((CkDJ[Date]=$A$4)*(CkDJ[Ofc Code]=(TRIM(L$7)))*(CkDJ[Account Code]=(TRIM($D46))),CkDJ[Debit])))+(SUM(IF((CsDJ[Date]=$A$4)*(CsDJ[Ofc Code]=(TRIM(L$7)))*(CsDJ[Account Code]=(TRIM($D46))),CsDJ[Debit])))+(SUM(IF((CRDJ[Date]=$A$4)*(CRDJ[Ofc Code]=(TRIM(L$7)))*(CRDJ[Account Code]=(TRIM($D46))),CRDJ[Debit])))+(SUM(IF((GJ[Date]=$A$4)*(GJ[Ofc Code]=(TRIM(L$7)))*(GJ[Account Code]=(TRIM($D46))),GJ[Debit])))-(SUM(IF((CkDJ[Date]=$A$4)*(CkDJ[Ofc Code]=(TRIM(L$7)))*(CkDJ[Account Code]=(TRIM($D46))),CkDJ[Credit])))+(SUM(IF((CsDJ[Date]=$A$4)*(CsDJ[Ofc Code]=(TRIM(L$7)))*(CsDJ[Account Code]=(TRIM($D46))),CsDJ[Credit])))+(SUM(IF((CRDJ[Date]=$A$4)*(CRDJ[Ofc Code]=(TRIM(L$7)))*(CRDJ[Account Code]=(TRIM($D46))),CRDJ[Credit])))+(SUM(IF((GJ[Date]=$A$4)*(GJ[Ofc Code]=(TRIM(L$7)))*(GJ[Account Code]=(TRIM($D46))),GJ[Credit])))</f>
        <v>0</v>
      </c>
      <c r="M46" s="211">
        <f t="array" ref="M46">(SUM(IF((CkDJ[Date]=$A$4)*(CkDJ[Ofc Code]=(TRIM(M$7)))*(CkDJ[Account Code]=(TRIM($D46))),CkDJ[Debit])))+(SUM(IF((CsDJ[Date]=$A$4)*(CsDJ[Ofc Code]=(TRIM(M$7)))*(CsDJ[Account Code]=(TRIM($D46))),CsDJ[Debit])))+(SUM(IF((CRDJ[Date]=$A$4)*(CRDJ[Ofc Code]=(TRIM(M$7)))*(CRDJ[Account Code]=(TRIM($D46))),CRDJ[Debit])))+(SUM(IF((GJ[Date]=$A$4)*(GJ[Ofc Code]=(TRIM(M$7)))*(GJ[Account Code]=(TRIM($D46))),GJ[Debit])))-(SUM(IF((CkDJ[Date]=$A$4)*(CkDJ[Ofc Code]=(TRIM(M$7)))*(CkDJ[Account Code]=(TRIM($D46))),CkDJ[Credit])))+(SUM(IF((CsDJ[Date]=$A$4)*(CsDJ[Ofc Code]=(TRIM(M$7)))*(CsDJ[Account Code]=(TRIM($D46))),CsDJ[Credit])))+(SUM(IF((CRDJ[Date]=$A$4)*(CRDJ[Ofc Code]=(TRIM(M$7)))*(CRDJ[Account Code]=(TRIM($D46))),CRDJ[Credit])))+(SUM(IF((GJ[Date]=$A$4)*(GJ[Ofc Code]=(TRIM(M$7)))*(GJ[Account Code]=(TRIM($D46))),GJ[Credit])))</f>
        <v>0</v>
      </c>
      <c r="N46" s="211">
        <f t="shared" si="9"/>
        <v>0</v>
      </c>
      <c r="O46" s="211">
        <f t="array" ref="O46">(SUM(IF((CkDJ[Date]=$A$4)*(CkDJ[Ofc Code]=(TRIM(O$7)))*(CkDJ[Account Code]=(TRIM($D46))),CkDJ[Debit])))+(SUM(IF((CsDJ[Date]=$A$4)*(CsDJ[Ofc Code]=(TRIM(O$7)))*(CsDJ[Account Code]=(TRIM($D46))),CsDJ[Debit])))+(SUM(IF((CRDJ[Date]=$A$4)*(CRDJ[Ofc Code]=(TRIM(O$7)))*(CRDJ[Account Code]=(TRIM($D46))),CRDJ[Debit])))+(SUM(IF((GJ[Date]=$A$4)*(GJ[Ofc Code]=(TRIM(O$7)))*(GJ[Account Code]=(TRIM($D46))),GJ[Debit])))-(SUM(IF((CkDJ[Date]=$A$4)*(CkDJ[Ofc Code]=(TRIM(O$7)))*(CkDJ[Account Code]=(TRIM($D46))),CkDJ[Credit])))+(SUM(IF((CsDJ[Date]=$A$4)*(CsDJ[Ofc Code]=(TRIM(O$7)))*(CsDJ[Account Code]=(TRIM($D46))),CsDJ[Credit])))+(SUM(IF((CRDJ[Date]=$A$4)*(CRDJ[Ofc Code]=(TRIM(O$7)))*(CRDJ[Account Code]=(TRIM($D46))),CRDJ[Credit])))+(SUM(IF((GJ[Date]=$A$4)*(GJ[Ofc Code]=(TRIM(O$7)))*(GJ[Account Code]=(TRIM($D46))),GJ[Credit])))</f>
        <v>0</v>
      </c>
      <c r="P46" s="211">
        <f t="array" ref="P46">(SUM(IF((CkDJ[Date]=$A$4)*(CkDJ[Ofc Code]=(TRIM(P$7)))*(CkDJ[Account Code]=(TRIM($D46))),CkDJ[Debit])))+(SUM(IF((CsDJ[Date]=$A$4)*(CsDJ[Ofc Code]=(TRIM(P$7)))*(CsDJ[Account Code]=(TRIM($D46))),CsDJ[Debit])))+(SUM(IF((CRDJ[Date]=$A$4)*(CRDJ[Ofc Code]=(TRIM(P$7)))*(CRDJ[Account Code]=(TRIM($D46))),CRDJ[Debit])))+(SUM(IF((GJ[Date]=$A$4)*(GJ[Ofc Code]=(TRIM(P$7)))*(GJ[Account Code]=(TRIM($D46))),GJ[Debit])))-(SUM(IF((CkDJ[Date]=$A$4)*(CkDJ[Ofc Code]=(TRIM(P$7)))*(CkDJ[Account Code]=(TRIM($D46))),CkDJ[Credit])))+(SUM(IF((CsDJ[Date]=$A$4)*(CsDJ[Ofc Code]=(TRIM(P$7)))*(CsDJ[Account Code]=(TRIM($D46))),CsDJ[Credit])))+(SUM(IF((CRDJ[Date]=$A$4)*(CRDJ[Ofc Code]=(TRIM(P$7)))*(CRDJ[Account Code]=(TRIM($D46))),CRDJ[Credit])))+(SUM(IF((GJ[Date]=$A$4)*(GJ[Ofc Code]=(TRIM(P$7)))*(GJ[Account Code]=(TRIM($D46))),GJ[Credit])))</f>
        <v>0</v>
      </c>
      <c r="Q46" s="211">
        <f t="array" ref="Q46">(SUM(IF((CkDJ[Date]=$A$4)*(CkDJ[Ofc Code]=(TRIM(Q$7)))*(CkDJ[Account Code]=(TRIM($D46))),CkDJ[Debit])))+(SUM(IF((CsDJ[Date]=$A$4)*(CsDJ[Ofc Code]=(TRIM(Q$7)))*(CsDJ[Account Code]=(TRIM($D46))),CsDJ[Debit])))+(SUM(IF((CRDJ[Date]=$A$4)*(CRDJ[Ofc Code]=(TRIM(Q$7)))*(CRDJ[Account Code]=(TRIM($D46))),CRDJ[Debit])))+(SUM(IF((GJ[Date]=$A$4)*(GJ[Ofc Code]=(TRIM(Q$7)))*(GJ[Account Code]=(TRIM($D46))),GJ[Debit])))-(SUM(IF((CkDJ[Date]=$A$4)*(CkDJ[Ofc Code]=(TRIM(Q$7)))*(CkDJ[Account Code]=(TRIM($D46))),CkDJ[Credit])))+(SUM(IF((CsDJ[Date]=$A$4)*(CsDJ[Ofc Code]=(TRIM(Q$7)))*(CsDJ[Account Code]=(TRIM($D46))),CsDJ[Credit])))+(SUM(IF((CRDJ[Date]=$A$4)*(CRDJ[Ofc Code]=(TRIM(Q$7)))*(CRDJ[Account Code]=(TRIM($D46))),CRDJ[Credit])))+(SUM(IF((GJ[Date]=$A$4)*(GJ[Ofc Code]=(TRIM(Q$7)))*(GJ[Account Code]=(TRIM($D46))),GJ[Credit])))</f>
        <v>0</v>
      </c>
      <c r="R46" s="211">
        <f t="array" ref="R46">(SUM(IF((CkDJ[Date]=$A$4)*(CkDJ[Ofc Code]=(TRIM(R$7)))*(CkDJ[Account Code]=(TRIM($D46))),CkDJ[Debit])))+(SUM(IF((CsDJ[Date]=$A$4)*(CsDJ[Ofc Code]=(TRIM(R$7)))*(CsDJ[Account Code]=(TRIM($D46))),CsDJ[Debit])))+(SUM(IF((CRDJ[Date]=$A$4)*(CRDJ[Ofc Code]=(TRIM(R$7)))*(CRDJ[Account Code]=(TRIM($D46))),CRDJ[Debit])))+(SUM(IF((GJ[Date]=$A$4)*(GJ[Ofc Code]=(TRIM(R$7)))*(GJ[Account Code]=(TRIM($D46))),GJ[Debit])))-(SUM(IF((CkDJ[Date]=$A$4)*(CkDJ[Ofc Code]=(TRIM(R$7)))*(CkDJ[Account Code]=(TRIM($D46))),CkDJ[Credit])))+(SUM(IF((CsDJ[Date]=$A$4)*(CsDJ[Ofc Code]=(TRIM(R$7)))*(CsDJ[Account Code]=(TRIM($D46))),CsDJ[Credit])))+(SUM(IF((CRDJ[Date]=$A$4)*(CRDJ[Ofc Code]=(TRIM(R$7)))*(CRDJ[Account Code]=(TRIM($D46))),CRDJ[Credit])))+(SUM(IF((GJ[Date]=$A$4)*(GJ[Ofc Code]=(TRIM(R$7)))*(GJ[Account Code]=(TRIM($D46))),GJ[Credit])))</f>
        <v>0</v>
      </c>
      <c r="S46" s="211">
        <f t="array" ref="S46">(SUM(IF((CkDJ[Date]=$A$4)*(CkDJ[Ofc Code]=(TRIM(S$7)))*(CkDJ[Account Code]=(TRIM($D46))),CkDJ[Debit])))+(SUM(IF((CsDJ[Date]=$A$4)*(CsDJ[Ofc Code]=(TRIM(S$7)))*(CsDJ[Account Code]=(TRIM($D46))),CsDJ[Debit])))+(SUM(IF((CRDJ[Date]=$A$4)*(CRDJ[Ofc Code]=(TRIM(S$7)))*(CRDJ[Account Code]=(TRIM($D46))),CRDJ[Debit])))+(SUM(IF((GJ[Date]=$A$4)*(GJ[Ofc Code]=(TRIM(S$7)))*(GJ[Account Code]=(TRIM($D46))),GJ[Debit])))-(SUM(IF((CkDJ[Date]=$A$4)*(CkDJ[Ofc Code]=(TRIM(S$7)))*(CkDJ[Account Code]=(TRIM($D46))),CkDJ[Credit])))+(SUM(IF((CsDJ[Date]=$A$4)*(CsDJ[Ofc Code]=(TRIM(S$7)))*(CsDJ[Account Code]=(TRIM($D46))),CsDJ[Credit])))+(SUM(IF((CRDJ[Date]=$A$4)*(CRDJ[Ofc Code]=(TRIM(S$7)))*(CRDJ[Account Code]=(TRIM($D46))),CRDJ[Credit])))+(SUM(IF((GJ[Date]=$A$4)*(GJ[Ofc Code]=(TRIM(S$7)))*(GJ[Account Code]=(TRIM($D46))),GJ[Credit])))</f>
        <v>0</v>
      </c>
      <c r="T46" s="211">
        <f t="shared" si="10"/>
        <v>0</v>
      </c>
      <c r="U46" s="211">
        <f t="shared" si="11"/>
        <v>0</v>
      </c>
    </row>
    <row r="47" spans="1:21" ht="15" x14ac:dyDescent="0.25">
      <c r="A47" s="212">
        <f t="shared" si="12"/>
        <v>14</v>
      </c>
      <c r="B47" s="214" t="s">
        <v>756</v>
      </c>
      <c r="C47" s="194" t="str">
        <f t="shared" si="7"/>
        <v>Longevity Pay</v>
      </c>
      <c r="D47" s="215">
        <v>722</v>
      </c>
      <c r="E47" s="211">
        <f t="array" ref="E47">(SUM(IF((CkDJ[Date]=$A$4)*(CkDJ[Ofc Code]=(TRIM(E$7)))*(CkDJ[Account Code]=(TRIM($D47))),CkDJ[Debit])))+(SUM(IF((CsDJ[Date]=$A$4)*(CsDJ[Ofc Code]=(TRIM(E$7)))*(CsDJ[Account Code]=(TRIM($D47))),CsDJ[Debit])))+(SUM(IF((CRDJ[Date]=$A$4)*(CRDJ[Ofc Code]=(TRIM(E$7)))*(CRDJ[Account Code]=(TRIM($D47))),CRDJ[Debit])))+(SUM(IF((GJ[Date]=$A$4)*(GJ[Ofc Code]=(TRIM(E$7)))*(GJ[Account Code]=(TRIM($D47))),GJ[Debit])))-(SUM(IF((CkDJ[Date]=$A$4)*(CkDJ[Ofc Code]=(TRIM(E$7)))*(CkDJ[Account Code]=(TRIM($D47))),CkDJ[Credit])))+(SUM(IF((CsDJ[Date]=$A$4)*(CsDJ[Ofc Code]=(TRIM(E$7)))*(CsDJ[Account Code]=(TRIM($D47))),CsDJ[Credit])))+(SUM(IF((CRDJ[Date]=$A$4)*(CRDJ[Ofc Code]=(TRIM(E$7)))*(CRDJ[Account Code]=(TRIM($D47))),CRDJ[Credit])))+(SUM(IF((GJ[Date]=$A$4)*(GJ[Ofc Code]=(TRIM(E$7)))*(GJ[Account Code]=(TRIM($D47))),GJ[Credit])))</f>
        <v>0</v>
      </c>
      <c r="F47" s="211">
        <f t="array" ref="F47">(SUM(IF((CkDJ[Date]=$A$4)*(CkDJ[Ofc Code]=(TRIM(F$7)))*(CkDJ[Account Code]=(TRIM($D47))),CkDJ[Debit])))+(SUM(IF((CsDJ[Date]=$A$4)*(CsDJ[Ofc Code]=(TRIM(F$7)))*(CsDJ[Account Code]=(TRIM($D47))),CsDJ[Debit])))+(SUM(IF((CRDJ[Date]=$A$4)*(CRDJ[Ofc Code]=(TRIM(F$7)))*(CRDJ[Account Code]=(TRIM($D47))),CRDJ[Debit])))+(SUM(IF((GJ[Date]=$A$4)*(GJ[Ofc Code]=(TRIM(F$7)))*(GJ[Account Code]=(TRIM($D47))),GJ[Debit])))-(SUM(IF((CkDJ[Date]=$A$4)*(CkDJ[Ofc Code]=(TRIM(F$7)))*(CkDJ[Account Code]=(TRIM($D47))),CkDJ[Credit])))+(SUM(IF((CsDJ[Date]=$A$4)*(CsDJ[Ofc Code]=(TRIM(F$7)))*(CsDJ[Account Code]=(TRIM($D47))),CsDJ[Credit])))+(SUM(IF((CRDJ[Date]=$A$4)*(CRDJ[Ofc Code]=(TRIM(F$7)))*(CRDJ[Account Code]=(TRIM($D47))),CRDJ[Credit])))+(SUM(IF((GJ[Date]=$A$4)*(GJ[Ofc Code]=(TRIM(F$7)))*(GJ[Account Code]=(TRIM($D47))),GJ[Credit])))</f>
        <v>0</v>
      </c>
      <c r="G47" s="211">
        <f t="array" ref="G47">(SUM(IF((CkDJ[Date]=$A$4)*(CkDJ[Ofc Code]=(TRIM(G$7)))*(CkDJ[Account Code]=(TRIM($D47))),CkDJ[Debit])))+(SUM(IF((CsDJ[Date]=$A$4)*(CsDJ[Ofc Code]=(TRIM(G$7)))*(CsDJ[Account Code]=(TRIM($D47))),CsDJ[Debit])))+(SUM(IF((CRDJ[Date]=$A$4)*(CRDJ[Ofc Code]=(TRIM(G$7)))*(CRDJ[Account Code]=(TRIM($D47))),CRDJ[Debit])))+(SUM(IF((GJ[Date]=$A$4)*(GJ[Ofc Code]=(TRIM(G$7)))*(GJ[Account Code]=(TRIM($D47))),GJ[Debit])))-(SUM(IF((CkDJ[Date]=$A$4)*(CkDJ[Ofc Code]=(TRIM(G$7)))*(CkDJ[Account Code]=(TRIM($D47))),CkDJ[Credit])))+(SUM(IF((CsDJ[Date]=$A$4)*(CsDJ[Ofc Code]=(TRIM(G$7)))*(CsDJ[Account Code]=(TRIM($D47))),CsDJ[Credit])))+(SUM(IF((CRDJ[Date]=$A$4)*(CRDJ[Ofc Code]=(TRIM(G$7)))*(CRDJ[Account Code]=(TRIM($D47))),CRDJ[Credit])))+(SUM(IF((GJ[Date]=$A$4)*(GJ[Ofc Code]=(TRIM(G$7)))*(GJ[Account Code]=(TRIM($D47))),GJ[Credit])))</f>
        <v>0</v>
      </c>
      <c r="H47" s="211">
        <f t="array" ref="H47">(SUM(IF((CkDJ[Date]=$A$4)*(CkDJ[Ofc Code]=(TRIM(H$7)))*(CkDJ[Account Code]=(TRIM($D47))),CkDJ[Debit])))+(SUM(IF((CsDJ[Date]=$A$4)*(CsDJ[Ofc Code]=(TRIM(H$7)))*(CsDJ[Account Code]=(TRIM($D47))),CsDJ[Debit])))+(SUM(IF((CRDJ[Date]=$A$4)*(CRDJ[Ofc Code]=(TRIM(H$7)))*(CRDJ[Account Code]=(TRIM($D47))),CRDJ[Debit])))+(SUM(IF((GJ[Date]=$A$4)*(GJ[Ofc Code]=(TRIM(H$7)))*(GJ[Account Code]=(TRIM($D47))),GJ[Debit])))-(SUM(IF((CkDJ[Date]=$A$4)*(CkDJ[Ofc Code]=(TRIM(H$7)))*(CkDJ[Account Code]=(TRIM($D47))),CkDJ[Credit])))+(SUM(IF((CsDJ[Date]=$A$4)*(CsDJ[Ofc Code]=(TRIM(H$7)))*(CsDJ[Account Code]=(TRIM($D47))),CsDJ[Credit])))+(SUM(IF((CRDJ[Date]=$A$4)*(CRDJ[Ofc Code]=(TRIM(H$7)))*(CRDJ[Account Code]=(TRIM($D47))),CRDJ[Credit])))+(SUM(IF((GJ[Date]=$A$4)*(GJ[Ofc Code]=(TRIM(H$7)))*(GJ[Account Code]=(TRIM($D47))),GJ[Credit])))</f>
        <v>0</v>
      </c>
      <c r="I47" s="211">
        <f t="shared" si="8"/>
        <v>0</v>
      </c>
      <c r="J47" s="211">
        <f t="array" ref="J47">(SUM(IF((CkDJ[Date]=$A$4)*(CkDJ[Ofc Code]=(TRIM(J$7)))*(CkDJ[Account Code]=(TRIM($D47))),CkDJ[Debit])))+(SUM(IF((CsDJ[Date]=$A$4)*(CsDJ[Ofc Code]=(TRIM(J$7)))*(CsDJ[Account Code]=(TRIM($D47))),CsDJ[Debit])))+(SUM(IF((CRDJ[Date]=$A$4)*(CRDJ[Ofc Code]=(TRIM(J$7)))*(CRDJ[Account Code]=(TRIM($D47))),CRDJ[Debit])))+(SUM(IF((GJ[Date]=$A$4)*(GJ[Ofc Code]=(TRIM(J$7)))*(GJ[Account Code]=(TRIM($D47))),GJ[Debit])))-(SUM(IF((CkDJ[Date]=$A$4)*(CkDJ[Ofc Code]=(TRIM(J$7)))*(CkDJ[Account Code]=(TRIM($D47))),CkDJ[Credit])))+(SUM(IF((CsDJ[Date]=$A$4)*(CsDJ[Ofc Code]=(TRIM(J$7)))*(CsDJ[Account Code]=(TRIM($D47))),CsDJ[Credit])))+(SUM(IF((CRDJ[Date]=$A$4)*(CRDJ[Ofc Code]=(TRIM(J$7)))*(CRDJ[Account Code]=(TRIM($D47))),CRDJ[Credit])))+(SUM(IF((GJ[Date]=$A$4)*(GJ[Ofc Code]=(TRIM(J$7)))*(GJ[Account Code]=(TRIM($D47))),GJ[Credit])))</f>
        <v>0</v>
      </c>
      <c r="K47" s="211">
        <f t="array" ref="K47">(SUM(IF((CkDJ[Date]=$A$4)*(CkDJ[Ofc Code]=(TRIM(K$7)))*(CkDJ[Account Code]=(TRIM($D47))),CkDJ[Debit])))+(SUM(IF((CsDJ[Date]=$A$4)*(CsDJ[Ofc Code]=(TRIM(K$7)))*(CsDJ[Account Code]=(TRIM($D47))),CsDJ[Debit])))+(SUM(IF((CRDJ[Date]=$A$4)*(CRDJ[Ofc Code]=(TRIM(K$7)))*(CRDJ[Account Code]=(TRIM($D47))),CRDJ[Debit])))+(SUM(IF((GJ[Date]=$A$4)*(GJ[Ofc Code]=(TRIM(K$7)))*(GJ[Account Code]=(TRIM($D47))),GJ[Debit])))-(SUM(IF((CkDJ[Date]=$A$4)*(CkDJ[Ofc Code]=(TRIM(K$7)))*(CkDJ[Account Code]=(TRIM($D47))),CkDJ[Credit])))+(SUM(IF((CsDJ[Date]=$A$4)*(CsDJ[Ofc Code]=(TRIM(K$7)))*(CsDJ[Account Code]=(TRIM($D47))),CsDJ[Credit])))+(SUM(IF((CRDJ[Date]=$A$4)*(CRDJ[Ofc Code]=(TRIM(K$7)))*(CRDJ[Account Code]=(TRIM($D47))),CRDJ[Credit])))+(SUM(IF((GJ[Date]=$A$4)*(GJ[Ofc Code]=(TRIM(K$7)))*(GJ[Account Code]=(TRIM($D47))),GJ[Credit])))</f>
        <v>0</v>
      </c>
      <c r="L47" s="211">
        <f t="array" ref="L47">(SUM(IF((CkDJ[Date]=$A$4)*(CkDJ[Ofc Code]=(TRIM(L$7)))*(CkDJ[Account Code]=(TRIM($D47))),CkDJ[Debit])))+(SUM(IF((CsDJ[Date]=$A$4)*(CsDJ[Ofc Code]=(TRIM(L$7)))*(CsDJ[Account Code]=(TRIM($D47))),CsDJ[Debit])))+(SUM(IF((CRDJ[Date]=$A$4)*(CRDJ[Ofc Code]=(TRIM(L$7)))*(CRDJ[Account Code]=(TRIM($D47))),CRDJ[Debit])))+(SUM(IF((GJ[Date]=$A$4)*(GJ[Ofc Code]=(TRIM(L$7)))*(GJ[Account Code]=(TRIM($D47))),GJ[Debit])))-(SUM(IF((CkDJ[Date]=$A$4)*(CkDJ[Ofc Code]=(TRIM(L$7)))*(CkDJ[Account Code]=(TRIM($D47))),CkDJ[Credit])))+(SUM(IF((CsDJ[Date]=$A$4)*(CsDJ[Ofc Code]=(TRIM(L$7)))*(CsDJ[Account Code]=(TRIM($D47))),CsDJ[Credit])))+(SUM(IF((CRDJ[Date]=$A$4)*(CRDJ[Ofc Code]=(TRIM(L$7)))*(CRDJ[Account Code]=(TRIM($D47))),CRDJ[Credit])))+(SUM(IF((GJ[Date]=$A$4)*(GJ[Ofc Code]=(TRIM(L$7)))*(GJ[Account Code]=(TRIM($D47))),GJ[Credit])))</f>
        <v>0</v>
      </c>
      <c r="M47" s="211">
        <f t="array" ref="M47">(SUM(IF((CkDJ[Date]=$A$4)*(CkDJ[Ofc Code]=(TRIM(M$7)))*(CkDJ[Account Code]=(TRIM($D47))),CkDJ[Debit])))+(SUM(IF((CsDJ[Date]=$A$4)*(CsDJ[Ofc Code]=(TRIM(M$7)))*(CsDJ[Account Code]=(TRIM($D47))),CsDJ[Debit])))+(SUM(IF((CRDJ[Date]=$A$4)*(CRDJ[Ofc Code]=(TRIM(M$7)))*(CRDJ[Account Code]=(TRIM($D47))),CRDJ[Debit])))+(SUM(IF((GJ[Date]=$A$4)*(GJ[Ofc Code]=(TRIM(M$7)))*(GJ[Account Code]=(TRIM($D47))),GJ[Debit])))-(SUM(IF((CkDJ[Date]=$A$4)*(CkDJ[Ofc Code]=(TRIM(M$7)))*(CkDJ[Account Code]=(TRIM($D47))),CkDJ[Credit])))+(SUM(IF((CsDJ[Date]=$A$4)*(CsDJ[Ofc Code]=(TRIM(M$7)))*(CsDJ[Account Code]=(TRIM($D47))),CsDJ[Credit])))+(SUM(IF((CRDJ[Date]=$A$4)*(CRDJ[Ofc Code]=(TRIM(M$7)))*(CRDJ[Account Code]=(TRIM($D47))),CRDJ[Credit])))+(SUM(IF((GJ[Date]=$A$4)*(GJ[Ofc Code]=(TRIM(M$7)))*(GJ[Account Code]=(TRIM($D47))),GJ[Credit])))</f>
        <v>0</v>
      </c>
      <c r="N47" s="211">
        <f t="shared" si="9"/>
        <v>0</v>
      </c>
      <c r="O47" s="211">
        <f t="array" ref="O47">(SUM(IF((CkDJ[Date]=$A$4)*(CkDJ[Ofc Code]=(TRIM(O$7)))*(CkDJ[Account Code]=(TRIM($D47))),CkDJ[Debit])))+(SUM(IF((CsDJ[Date]=$A$4)*(CsDJ[Ofc Code]=(TRIM(O$7)))*(CsDJ[Account Code]=(TRIM($D47))),CsDJ[Debit])))+(SUM(IF((CRDJ[Date]=$A$4)*(CRDJ[Ofc Code]=(TRIM(O$7)))*(CRDJ[Account Code]=(TRIM($D47))),CRDJ[Debit])))+(SUM(IF((GJ[Date]=$A$4)*(GJ[Ofc Code]=(TRIM(O$7)))*(GJ[Account Code]=(TRIM($D47))),GJ[Debit])))-(SUM(IF((CkDJ[Date]=$A$4)*(CkDJ[Ofc Code]=(TRIM(O$7)))*(CkDJ[Account Code]=(TRIM($D47))),CkDJ[Credit])))+(SUM(IF((CsDJ[Date]=$A$4)*(CsDJ[Ofc Code]=(TRIM(O$7)))*(CsDJ[Account Code]=(TRIM($D47))),CsDJ[Credit])))+(SUM(IF((CRDJ[Date]=$A$4)*(CRDJ[Ofc Code]=(TRIM(O$7)))*(CRDJ[Account Code]=(TRIM($D47))),CRDJ[Credit])))+(SUM(IF((GJ[Date]=$A$4)*(GJ[Ofc Code]=(TRIM(O$7)))*(GJ[Account Code]=(TRIM($D47))),GJ[Credit])))</f>
        <v>0</v>
      </c>
      <c r="P47" s="211">
        <f t="array" ref="P47">(SUM(IF((CkDJ[Date]=$A$4)*(CkDJ[Ofc Code]=(TRIM(P$7)))*(CkDJ[Account Code]=(TRIM($D47))),CkDJ[Debit])))+(SUM(IF((CsDJ[Date]=$A$4)*(CsDJ[Ofc Code]=(TRIM(P$7)))*(CsDJ[Account Code]=(TRIM($D47))),CsDJ[Debit])))+(SUM(IF((CRDJ[Date]=$A$4)*(CRDJ[Ofc Code]=(TRIM(P$7)))*(CRDJ[Account Code]=(TRIM($D47))),CRDJ[Debit])))+(SUM(IF((GJ[Date]=$A$4)*(GJ[Ofc Code]=(TRIM(P$7)))*(GJ[Account Code]=(TRIM($D47))),GJ[Debit])))-(SUM(IF((CkDJ[Date]=$A$4)*(CkDJ[Ofc Code]=(TRIM(P$7)))*(CkDJ[Account Code]=(TRIM($D47))),CkDJ[Credit])))+(SUM(IF((CsDJ[Date]=$A$4)*(CsDJ[Ofc Code]=(TRIM(P$7)))*(CsDJ[Account Code]=(TRIM($D47))),CsDJ[Credit])))+(SUM(IF((CRDJ[Date]=$A$4)*(CRDJ[Ofc Code]=(TRIM(P$7)))*(CRDJ[Account Code]=(TRIM($D47))),CRDJ[Credit])))+(SUM(IF((GJ[Date]=$A$4)*(GJ[Ofc Code]=(TRIM(P$7)))*(GJ[Account Code]=(TRIM($D47))),GJ[Credit])))</f>
        <v>0</v>
      </c>
      <c r="Q47" s="211">
        <f t="array" ref="Q47">(SUM(IF((CkDJ[Date]=$A$4)*(CkDJ[Ofc Code]=(TRIM(Q$7)))*(CkDJ[Account Code]=(TRIM($D47))),CkDJ[Debit])))+(SUM(IF((CsDJ[Date]=$A$4)*(CsDJ[Ofc Code]=(TRIM(Q$7)))*(CsDJ[Account Code]=(TRIM($D47))),CsDJ[Debit])))+(SUM(IF((CRDJ[Date]=$A$4)*(CRDJ[Ofc Code]=(TRIM(Q$7)))*(CRDJ[Account Code]=(TRIM($D47))),CRDJ[Debit])))+(SUM(IF((GJ[Date]=$A$4)*(GJ[Ofc Code]=(TRIM(Q$7)))*(GJ[Account Code]=(TRIM($D47))),GJ[Debit])))-(SUM(IF((CkDJ[Date]=$A$4)*(CkDJ[Ofc Code]=(TRIM(Q$7)))*(CkDJ[Account Code]=(TRIM($D47))),CkDJ[Credit])))+(SUM(IF((CsDJ[Date]=$A$4)*(CsDJ[Ofc Code]=(TRIM(Q$7)))*(CsDJ[Account Code]=(TRIM($D47))),CsDJ[Credit])))+(SUM(IF((CRDJ[Date]=$A$4)*(CRDJ[Ofc Code]=(TRIM(Q$7)))*(CRDJ[Account Code]=(TRIM($D47))),CRDJ[Credit])))+(SUM(IF((GJ[Date]=$A$4)*(GJ[Ofc Code]=(TRIM(Q$7)))*(GJ[Account Code]=(TRIM($D47))),GJ[Credit])))</f>
        <v>0</v>
      </c>
      <c r="R47" s="211">
        <f t="array" ref="R47">(SUM(IF((CkDJ[Date]=$A$4)*(CkDJ[Ofc Code]=(TRIM(R$7)))*(CkDJ[Account Code]=(TRIM($D47))),CkDJ[Debit])))+(SUM(IF((CsDJ[Date]=$A$4)*(CsDJ[Ofc Code]=(TRIM(R$7)))*(CsDJ[Account Code]=(TRIM($D47))),CsDJ[Debit])))+(SUM(IF((CRDJ[Date]=$A$4)*(CRDJ[Ofc Code]=(TRIM(R$7)))*(CRDJ[Account Code]=(TRIM($D47))),CRDJ[Debit])))+(SUM(IF((GJ[Date]=$A$4)*(GJ[Ofc Code]=(TRIM(R$7)))*(GJ[Account Code]=(TRIM($D47))),GJ[Debit])))-(SUM(IF((CkDJ[Date]=$A$4)*(CkDJ[Ofc Code]=(TRIM(R$7)))*(CkDJ[Account Code]=(TRIM($D47))),CkDJ[Credit])))+(SUM(IF((CsDJ[Date]=$A$4)*(CsDJ[Ofc Code]=(TRIM(R$7)))*(CsDJ[Account Code]=(TRIM($D47))),CsDJ[Credit])))+(SUM(IF((CRDJ[Date]=$A$4)*(CRDJ[Ofc Code]=(TRIM(R$7)))*(CRDJ[Account Code]=(TRIM($D47))),CRDJ[Credit])))+(SUM(IF((GJ[Date]=$A$4)*(GJ[Ofc Code]=(TRIM(R$7)))*(GJ[Account Code]=(TRIM($D47))),GJ[Credit])))</f>
        <v>0</v>
      </c>
      <c r="S47" s="211">
        <f t="array" ref="S47">(SUM(IF((CkDJ[Date]=$A$4)*(CkDJ[Ofc Code]=(TRIM(S$7)))*(CkDJ[Account Code]=(TRIM($D47))),CkDJ[Debit])))+(SUM(IF((CsDJ[Date]=$A$4)*(CsDJ[Ofc Code]=(TRIM(S$7)))*(CsDJ[Account Code]=(TRIM($D47))),CsDJ[Debit])))+(SUM(IF((CRDJ[Date]=$A$4)*(CRDJ[Ofc Code]=(TRIM(S$7)))*(CRDJ[Account Code]=(TRIM($D47))),CRDJ[Debit])))+(SUM(IF((GJ[Date]=$A$4)*(GJ[Ofc Code]=(TRIM(S$7)))*(GJ[Account Code]=(TRIM($D47))),GJ[Debit])))-(SUM(IF((CkDJ[Date]=$A$4)*(CkDJ[Ofc Code]=(TRIM(S$7)))*(CkDJ[Account Code]=(TRIM($D47))),CkDJ[Credit])))+(SUM(IF((CsDJ[Date]=$A$4)*(CsDJ[Ofc Code]=(TRIM(S$7)))*(CsDJ[Account Code]=(TRIM($D47))),CsDJ[Credit])))+(SUM(IF((CRDJ[Date]=$A$4)*(CRDJ[Ofc Code]=(TRIM(S$7)))*(CRDJ[Account Code]=(TRIM($D47))),CRDJ[Credit])))+(SUM(IF((GJ[Date]=$A$4)*(GJ[Ofc Code]=(TRIM(S$7)))*(GJ[Account Code]=(TRIM($D47))),GJ[Credit])))</f>
        <v>0</v>
      </c>
      <c r="T47" s="211">
        <f t="shared" si="10"/>
        <v>0</v>
      </c>
      <c r="U47" s="211">
        <f t="shared" si="11"/>
        <v>0</v>
      </c>
    </row>
    <row r="48" spans="1:21" ht="15" x14ac:dyDescent="0.25">
      <c r="A48" s="212">
        <f t="shared" si="12"/>
        <v>15</v>
      </c>
      <c r="B48" s="214" t="s">
        <v>756</v>
      </c>
      <c r="C48" s="194" t="str">
        <f t="shared" si="7"/>
        <v>Overtime and Night Pay</v>
      </c>
      <c r="D48" s="215">
        <v>723</v>
      </c>
      <c r="E48" s="211">
        <f t="array" ref="E48">(SUM(IF((CkDJ[Date]=$A$4)*(CkDJ[Ofc Code]=(TRIM(E$7)))*(CkDJ[Account Code]=(TRIM($D48))),CkDJ[Debit])))+(SUM(IF((CsDJ[Date]=$A$4)*(CsDJ[Ofc Code]=(TRIM(E$7)))*(CsDJ[Account Code]=(TRIM($D48))),CsDJ[Debit])))+(SUM(IF((CRDJ[Date]=$A$4)*(CRDJ[Ofc Code]=(TRIM(E$7)))*(CRDJ[Account Code]=(TRIM($D48))),CRDJ[Debit])))+(SUM(IF((GJ[Date]=$A$4)*(GJ[Ofc Code]=(TRIM(E$7)))*(GJ[Account Code]=(TRIM($D48))),GJ[Debit])))-(SUM(IF((CkDJ[Date]=$A$4)*(CkDJ[Ofc Code]=(TRIM(E$7)))*(CkDJ[Account Code]=(TRIM($D48))),CkDJ[Credit])))+(SUM(IF((CsDJ[Date]=$A$4)*(CsDJ[Ofc Code]=(TRIM(E$7)))*(CsDJ[Account Code]=(TRIM($D48))),CsDJ[Credit])))+(SUM(IF((CRDJ[Date]=$A$4)*(CRDJ[Ofc Code]=(TRIM(E$7)))*(CRDJ[Account Code]=(TRIM($D48))),CRDJ[Credit])))+(SUM(IF((GJ[Date]=$A$4)*(GJ[Ofc Code]=(TRIM(E$7)))*(GJ[Account Code]=(TRIM($D48))),GJ[Credit])))</f>
        <v>0</v>
      </c>
      <c r="F48" s="211">
        <f t="array" ref="F48">(SUM(IF((CkDJ[Date]=$A$4)*(CkDJ[Ofc Code]=(TRIM(F$7)))*(CkDJ[Account Code]=(TRIM($D48))),CkDJ[Debit])))+(SUM(IF((CsDJ[Date]=$A$4)*(CsDJ[Ofc Code]=(TRIM(F$7)))*(CsDJ[Account Code]=(TRIM($D48))),CsDJ[Debit])))+(SUM(IF((CRDJ[Date]=$A$4)*(CRDJ[Ofc Code]=(TRIM(F$7)))*(CRDJ[Account Code]=(TRIM($D48))),CRDJ[Debit])))+(SUM(IF((GJ[Date]=$A$4)*(GJ[Ofc Code]=(TRIM(F$7)))*(GJ[Account Code]=(TRIM($D48))),GJ[Debit])))-(SUM(IF((CkDJ[Date]=$A$4)*(CkDJ[Ofc Code]=(TRIM(F$7)))*(CkDJ[Account Code]=(TRIM($D48))),CkDJ[Credit])))+(SUM(IF((CsDJ[Date]=$A$4)*(CsDJ[Ofc Code]=(TRIM(F$7)))*(CsDJ[Account Code]=(TRIM($D48))),CsDJ[Credit])))+(SUM(IF((CRDJ[Date]=$A$4)*(CRDJ[Ofc Code]=(TRIM(F$7)))*(CRDJ[Account Code]=(TRIM($D48))),CRDJ[Credit])))+(SUM(IF((GJ[Date]=$A$4)*(GJ[Ofc Code]=(TRIM(F$7)))*(GJ[Account Code]=(TRIM($D48))),GJ[Credit])))</f>
        <v>0</v>
      </c>
      <c r="G48" s="211">
        <f t="array" ref="G48">(SUM(IF((CkDJ[Date]=$A$4)*(CkDJ[Ofc Code]=(TRIM(G$7)))*(CkDJ[Account Code]=(TRIM($D48))),CkDJ[Debit])))+(SUM(IF((CsDJ[Date]=$A$4)*(CsDJ[Ofc Code]=(TRIM(G$7)))*(CsDJ[Account Code]=(TRIM($D48))),CsDJ[Debit])))+(SUM(IF((CRDJ[Date]=$A$4)*(CRDJ[Ofc Code]=(TRIM(G$7)))*(CRDJ[Account Code]=(TRIM($D48))),CRDJ[Debit])))+(SUM(IF((GJ[Date]=$A$4)*(GJ[Ofc Code]=(TRIM(G$7)))*(GJ[Account Code]=(TRIM($D48))),GJ[Debit])))-(SUM(IF((CkDJ[Date]=$A$4)*(CkDJ[Ofc Code]=(TRIM(G$7)))*(CkDJ[Account Code]=(TRIM($D48))),CkDJ[Credit])))+(SUM(IF((CsDJ[Date]=$A$4)*(CsDJ[Ofc Code]=(TRIM(G$7)))*(CsDJ[Account Code]=(TRIM($D48))),CsDJ[Credit])))+(SUM(IF((CRDJ[Date]=$A$4)*(CRDJ[Ofc Code]=(TRIM(G$7)))*(CRDJ[Account Code]=(TRIM($D48))),CRDJ[Credit])))+(SUM(IF((GJ[Date]=$A$4)*(GJ[Ofc Code]=(TRIM(G$7)))*(GJ[Account Code]=(TRIM($D48))),GJ[Credit])))</f>
        <v>0</v>
      </c>
      <c r="H48" s="211">
        <f t="array" ref="H48">(SUM(IF((CkDJ[Date]=$A$4)*(CkDJ[Ofc Code]=(TRIM(H$7)))*(CkDJ[Account Code]=(TRIM($D48))),CkDJ[Debit])))+(SUM(IF((CsDJ[Date]=$A$4)*(CsDJ[Ofc Code]=(TRIM(H$7)))*(CsDJ[Account Code]=(TRIM($D48))),CsDJ[Debit])))+(SUM(IF((CRDJ[Date]=$A$4)*(CRDJ[Ofc Code]=(TRIM(H$7)))*(CRDJ[Account Code]=(TRIM($D48))),CRDJ[Debit])))+(SUM(IF((GJ[Date]=$A$4)*(GJ[Ofc Code]=(TRIM(H$7)))*(GJ[Account Code]=(TRIM($D48))),GJ[Debit])))-(SUM(IF((CkDJ[Date]=$A$4)*(CkDJ[Ofc Code]=(TRIM(H$7)))*(CkDJ[Account Code]=(TRIM($D48))),CkDJ[Credit])))+(SUM(IF((CsDJ[Date]=$A$4)*(CsDJ[Ofc Code]=(TRIM(H$7)))*(CsDJ[Account Code]=(TRIM($D48))),CsDJ[Credit])))+(SUM(IF((CRDJ[Date]=$A$4)*(CRDJ[Ofc Code]=(TRIM(H$7)))*(CRDJ[Account Code]=(TRIM($D48))),CRDJ[Credit])))+(SUM(IF((GJ[Date]=$A$4)*(GJ[Ofc Code]=(TRIM(H$7)))*(GJ[Account Code]=(TRIM($D48))),GJ[Credit])))</f>
        <v>0</v>
      </c>
      <c r="I48" s="211">
        <f t="shared" si="8"/>
        <v>0</v>
      </c>
      <c r="J48" s="211">
        <f t="array" ref="J48">(SUM(IF((CkDJ[Date]=$A$4)*(CkDJ[Ofc Code]=(TRIM(J$7)))*(CkDJ[Account Code]=(TRIM($D48))),CkDJ[Debit])))+(SUM(IF((CsDJ[Date]=$A$4)*(CsDJ[Ofc Code]=(TRIM(J$7)))*(CsDJ[Account Code]=(TRIM($D48))),CsDJ[Debit])))+(SUM(IF((CRDJ[Date]=$A$4)*(CRDJ[Ofc Code]=(TRIM(J$7)))*(CRDJ[Account Code]=(TRIM($D48))),CRDJ[Debit])))+(SUM(IF((GJ[Date]=$A$4)*(GJ[Ofc Code]=(TRIM(J$7)))*(GJ[Account Code]=(TRIM($D48))),GJ[Debit])))-(SUM(IF((CkDJ[Date]=$A$4)*(CkDJ[Ofc Code]=(TRIM(J$7)))*(CkDJ[Account Code]=(TRIM($D48))),CkDJ[Credit])))+(SUM(IF((CsDJ[Date]=$A$4)*(CsDJ[Ofc Code]=(TRIM(J$7)))*(CsDJ[Account Code]=(TRIM($D48))),CsDJ[Credit])))+(SUM(IF((CRDJ[Date]=$A$4)*(CRDJ[Ofc Code]=(TRIM(J$7)))*(CRDJ[Account Code]=(TRIM($D48))),CRDJ[Credit])))+(SUM(IF((GJ[Date]=$A$4)*(GJ[Ofc Code]=(TRIM(J$7)))*(GJ[Account Code]=(TRIM($D48))),GJ[Credit])))</f>
        <v>0</v>
      </c>
      <c r="K48" s="211">
        <f t="array" ref="K48">(SUM(IF((CkDJ[Date]=$A$4)*(CkDJ[Ofc Code]=(TRIM(K$7)))*(CkDJ[Account Code]=(TRIM($D48))),CkDJ[Debit])))+(SUM(IF((CsDJ[Date]=$A$4)*(CsDJ[Ofc Code]=(TRIM(K$7)))*(CsDJ[Account Code]=(TRIM($D48))),CsDJ[Debit])))+(SUM(IF((CRDJ[Date]=$A$4)*(CRDJ[Ofc Code]=(TRIM(K$7)))*(CRDJ[Account Code]=(TRIM($D48))),CRDJ[Debit])))+(SUM(IF((GJ[Date]=$A$4)*(GJ[Ofc Code]=(TRIM(K$7)))*(GJ[Account Code]=(TRIM($D48))),GJ[Debit])))-(SUM(IF((CkDJ[Date]=$A$4)*(CkDJ[Ofc Code]=(TRIM(K$7)))*(CkDJ[Account Code]=(TRIM($D48))),CkDJ[Credit])))+(SUM(IF((CsDJ[Date]=$A$4)*(CsDJ[Ofc Code]=(TRIM(K$7)))*(CsDJ[Account Code]=(TRIM($D48))),CsDJ[Credit])))+(SUM(IF((CRDJ[Date]=$A$4)*(CRDJ[Ofc Code]=(TRIM(K$7)))*(CRDJ[Account Code]=(TRIM($D48))),CRDJ[Credit])))+(SUM(IF((GJ[Date]=$A$4)*(GJ[Ofc Code]=(TRIM(K$7)))*(GJ[Account Code]=(TRIM($D48))),GJ[Credit])))</f>
        <v>0</v>
      </c>
      <c r="L48" s="211">
        <f t="array" ref="L48">(SUM(IF((CkDJ[Date]=$A$4)*(CkDJ[Ofc Code]=(TRIM(L$7)))*(CkDJ[Account Code]=(TRIM($D48))),CkDJ[Debit])))+(SUM(IF((CsDJ[Date]=$A$4)*(CsDJ[Ofc Code]=(TRIM(L$7)))*(CsDJ[Account Code]=(TRIM($D48))),CsDJ[Debit])))+(SUM(IF((CRDJ[Date]=$A$4)*(CRDJ[Ofc Code]=(TRIM(L$7)))*(CRDJ[Account Code]=(TRIM($D48))),CRDJ[Debit])))+(SUM(IF((GJ[Date]=$A$4)*(GJ[Ofc Code]=(TRIM(L$7)))*(GJ[Account Code]=(TRIM($D48))),GJ[Debit])))-(SUM(IF((CkDJ[Date]=$A$4)*(CkDJ[Ofc Code]=(TRIM(L$7)))*(CkDJ[Account Code]=(TRIM($D48))),CkDJ[Credit])))+(SUM(IF((CsDJ[Date]=$A$4)*(CsDJ[Ofc Code]=(TRIM(L$7)))*(CsDJ[Account Code]=(TRIM($D48))),CsDJ[Credit])))+(SUM(IF((CRDJ[Date]=$A$4)*(CRDJ[Ofc Code]=(TRIM(L$7)))*(CRDJ[Account Code]=(TRIM($D48))),CRDJ[Credit])))+(SUM(IF((GJ[Date]=$A$4)*(GJ[Ofc Code]=(TRIM(L$7)))*(GJ[Account Code]=(TRIM($D48))),GJ[Credit])))</f>
        <v>0</v>
      </c>
      <c r="M48" s="211">
        <f t="array" ref="M48">(SUM(IF((CkDJ[Date]=$A$4)*(CkDJ[Ofc Code]=(TRIM(M$7)))*(CkDJ[Account Code]=(TRIM($D48))),CkDJ[Debit])))+(SUM(IF((CsDJ[Date]=$A$4)*(CsDJ[Ofc Code]=(TRIM(M$7)))*(CsDJ[Account Code]=(TRIM($D48))),CsDJ[Debit])))+(SUM(IF((CRDJ[Date]=$A$4)*(CRDJ[Ofc Code]=(TRIM(M$7)))*(CRDJ[Account Code]=(TRIM($D48))),CRDJ[Debit])))+(SUM(IF((GJ[Date]=$A$4)*(GJ[Ofc Code]=(TRIM(M$7)))*(GJ[Account Code]=(TRIM($D48))),GJ[Debit])))-(SUM(IF((CkDJ[Date]=$A$4)*(CkDJ[Ofc Code]=(TRIM(M$7)))*(CkDJ[Account Code]=(TRIM($D48))),CkDJ[Credit])))+(SUM(IF((CsDJ[Date]=$A$4)*(CsDJ[Ofc Code]=(TRIM(M$7)))*(CsDJ[Account Code]=(TRIM($D48))),CsDJ[Credit])))+(SUM(IF((CRDJ[Date]=$A$4)*(CRDJ[Ofc Code]=(TRIM(M$7)))*(CRDJ[Account Code]=(TRIM($D48))),CRDJ[Credit])))+(SUM(IF((GJ[Date]=$A$4)*(GJ[Ofc Code]=(TRIM(M$7)))*(GJ[Account Code]=(TRIM($D48))),GJ[Credit])))</f>
        <v>0</v>
      </c>
      <c r="N48" s="211">
        <f t="shared" si="9"/>
        <v>0</v>
      </c>
      <c r="O48" s="211">
        <f t="array" ref="O48">(SUM(IF((CkDJ[Date]=$A$4)*(CkDJ[Ofc Code]=(TRIM(O$7)))*(CkDJ[Account Code]=(TRIM($D48))),CkDJ[Debit])))+(SUM(IF((CsDJ[Date]=$A$4)*(CsDJ[Ofc Code]=(TRIM(O$7)))*(CsDJ[Account Code]=(TRIM($D48))),CsDJ[Debit])))+(SUM(IF((CRDJ[Date]=$A$4)*(CRDJ[Ofc Code]=(TRIM(O$7)))*(CRDJ[Account Code]=(TRIM($D48))),CRDJ[Debit])))+(SUM(IF((GJ[Date]=$A$4)*(GJ[Ofc Code]=(TRIM(O$7)))*(GJ[Account Code]=(TRIM($D48))),GJ[Debit])))-(SUM(IF((CkDJ[Date]=$A$4)*(CkDJ[Ofc Code]=(TRIM(O$7)))*(CkDJ[Account Code]=(TRIM($D48))),CkDJ[Credit])))+(SUM(IF((CsDJ[Date]=$A$4)*(CsDJ[Ofc Code]=(TRIM(O$7)))*(CsDJ[Account Code]=(TRIM($D48))),CsDJ[Credit])))+(SUM(IF((CRDJ[Date]=$A$4)*(CRDJ[Ofc Code]=(TRIM(O$7)))*(CRDJ[Account Code]=(TRIM($D48))),CRDJ[Credit])))+(SUM(IF((GJ[Date]=$A$4)*(GJ[Ofc Code]=(TRIM(O$7)))*(GJ[Account Code]=(TRIM($D48))),GJ[Credit])))</f>
        <v>0</v>
      </c>
      <c r="P48" s="211">
        <f t="array" ref="P48">(SUM(IF((CkDJ[Date]=$A$4)*(CkDJ[Ofc Code]=(TRIM(P$7)))*(CkDJ[Account Code]=(TRIM($D48))),CkDJ[Debit])))+(SUM(IF((CsDJ[Date]=$A$4)*(CsDJ[Ofc Code]=(TRIM(P$7)))*(CsDJ[Account Code]=(TRIM($D48))),CsDJ[Debit])))+(SUM(IF((CRDJ[Date]=$A$4)*(CRDJ[Ofc Code]=(TRIM(P$7)))*(CRDJ[Account Code]=(TRIM($D48))),CRDJ[Debit])))+(SUM(IF((GJ[Date]=$A$4)*(GJ[Ofc Code]=(TRIM(P$7)))*(GJ[Account Code]=(TRIM($D48))),GJ[Debit])))-(SUM(IF((CkDJ[Date]=$A$4)*(CkDJ[Ofc Code]=(TRIM(P$7)))*(CkDJ[Account Code]=(TRIM($D48))),CkDJ[Credit])))+(SUM(IF((CsDJ[Date]=$A$4)*(CsDJ[Ofc Code]=(TRIM(P$7)))*(CsDJ[Account Code]=(TRIM($D48))),CsDJ[Credit])))+(SUM(IF((CRDJ[Date]=$A$4)*(CRDJ[Ofc Code]=(TRIM(P$7)))*(CRDJ[Account Code]=(TRIM($D48))),CRDJ[Credit])))+(SUM(IF((GJ[Date]=$A$4)*(GJ[Ofc Code]=(TRIM(P$7)))*(GJ[Account Code]=(TRIM($D48))),GJ[Credit])))</f>
        <v>0</v>
      </c>
      <c r="Q48" s="211">
        <f t="array" ref="Q48">(SUM(IF((CkDJ[Date]=$A$4)*(CkDJ[Ofc Code]=(TRIM(Q$7)))*(CkDJ[Account Code]=(TRIM($D48))),CkDJ[Debit])))+(SUM(IF((CsDJ[Date]=$A$4)*(CsDJ[Ofc Code]=(TRIM(Q$7)))*(CsDJ[Account Code]=(TRIM($D48))),CsDJ[Debit])))+(SUM(IF((CRDJ[Date]=$A$4)*(CRDJ[Ofc Code]=(TRIM(Q$7)))*(CRDJ[Account Code]=(TRIM($D48))),CRDJ[Debit])))+(SUM(IF((GJ[Date]=$A$4)*(GJ[Ofc Code]=(TRIM(Q$7)))*(GJ[Account Code]=(TRIM($D48))),GJ[Debit])))-(SUM(IF((CkDJ[Date]=$A$4)*(CkDJ[Ofc Code]=(TRIM(Q$7)))*(CkDJ[Account Code]=(TRIM($D48))),CkDJ[Credit])))+(SUM(IF((CsDJ[Date]=$A$4)*(CsDJ[Ofc Code]=(TRIM(Q$7)))*(CsDJ[Account Code]=(TRIM($D48))),CsDJ[Credit])))+(SUM(IF((CRDJ[Date]=$A$4)*(CRDJ[Ofc Code]=(TRIM(Q$7)))*(CRDJ[Account Code]=(TRIM($D48))),CRDJ[Credit])))+(SUM(IF((GJ[Date]=$A$4)*(GJ[Ofc Code]=(TRIM(Q$7)))*(GJ[Account Code]=(TRIM($D48))),GJ[Credit])))</f>
        <v>0</v>
      </c>
      <c r="R48" s="211">
        <f t="array" ref="R48">(SUM(IF((CkDJ[Date]=$A$4)*(CkDJ[Ofc Code]=(TRIM(R$7)))*(CkDJ[Account Code]=(TRIM($D48))),CkDJ[Debit])))+(SUM(IF((CsDJ[Date]=$A$4)*(CsDJ[Ofc Code]=(TRIM(R$7)))*(CsDJ[Account Code]=(TRIM($D48))),CsDJ[Debit])))+(SUM(IF((CRDJ[Date]=$A$4)*(CRDJ[Ofc Code]=(TRIM(R$7)))*(CRDJ[Account Code]=(TRIM($D48))),CRDJ[Debit])))+(SUM(IF((GJ[Date]=$A$4)*(GJ[Ofc Code]=(TRIM(R$7)))*(GJ[Account Code]=(TRIM($D48))),GJ[Debit])))-(SUM(IF((CkDJ[Date]=$A$4)*(CkDJ[Ofc Code]=(TRIM(R$7)))*(CkDJ[Account Code]=(TRIM($D48))),CkDJ[Credit])))+(SUM(IF((CsDJ[Date]=$A$4)*(CsDJ[Ofc Code]=(TRIM(R$7)))*(CsDJ[Account Code]=(TRIM($D48))),CsDJ[Credit])))+(SUM(IF((CRDJ[Date]=$A$4)*(CRDJ[Ofc Code]=(TRIM(R$7)))*(CRDJ[Account Code]=(TRIM($D48))),CRDJ[Credit])))+(SUM(IF((GJ[Date]=$A$4)*(GJ[Ofc Code]=(TRIM(R$7)))*(GJ[Account Code]=(TRIM($D48))),GJ[Credit])))</f>
        <v>0</v>
      </c>
      <c r="S48" s="211">
        <f t="array" ref="S48">(SUM(IF((CkDJ[Date]=$A$4)*(CkDJ[Ofc Code]=(TRIM(S$7)))*(CkDJ[Account Code]=(TRIM($D48))),CkDJ[Debit])))+(SUM(IF((CsDJ[Date]=$A$4)*(CsDJ[Ofc Code]=(TRIM(S$7)))*(CsDJ[Account Code]=(TRIM($D48))),CsDJ[Debit])))+(SUM(IF((CRDJ[Date]=$A$4)*(CRDJ[Ofc Code]=(TRIM(S$7)))*(CRDJ[Account Code]=(TRIM($D48))),CRDJ[Debit])))+(SUM(IF((GJ[Date]=$A$4)*(GJ[Ofc Code]=(TRIM(S$7)))*(GJ[Account Code]=(TRIM($D48))),GJ[Debit])))-(SUM(IF((CkDJ[Date]=$A$4)*(CkDJ[Ofc Code]=(TRIM(S$7)))*(CkDJ[Account Code]=(TRIM($D48))),CkDJ[Credit])))+(SUM(IF((CsDJ[Date]=$A$4)*(CsDJ[Ofc Code]=(TRIM(S$7)))*(CsDJ[Account Code]=(TRIM($D48))),CsDJ[Credit])))+(SUM(IF((CRDJ[Date]=$A$4)*(CRDJ[Ofc Code]=(TRIM(S$7)))*(CRDJ[Account Code]=(TRIM($D48))),CRDJ[Credit])))+(SUM(IF((GJ[Date]=$A$4)*(GJ[Ofc Code]=(TRIM(S$7)))*(GJ[Account Code]=(TRIM($D48))),GJ[Credit])))</f>
        <v>0</v>
      </c>
      <c r="T48" s="211">
        <f t="shared" si="10"/>
        <v>0</v>
      </c>
      <c r="U48" s="211">
        <f t="shared" si="11"/>
        <v>0</v>
      </c>
    </row>
    <row r="49" spans="1:21" ht="15" x14ac:dyDescent="0.25">
      <c r="A49" s="212">
        <f t="shared" si="12"/>
        <v>16</v>
      </c>
      <c r="B49" s="214" t="s">
        <v>756</v>
      </c>
      <c r="C49" s="194" t="str">
        <f t="shared" si="7"/>
        <v>Cash Gift</v>
      </c>
      <c r="D49" s="215">
        <v>724</v>
      </c>
      <c r="E49" s="211">
        <f t="array" ref="E49">(SUM(IF((CkDJ[Date]=$A$4)*(CkDJ[Ofc Code]=(TRIM(E$7)))*(CkDJ[Account Code]=(TRIM($D49))),CkDJ[Debit])))+(SUM(IF((CsDJ[Date]=$A$4)*(CsDJ[Ofc Code]=(TRIM(E$7)))*(CsDJ[Account Code]=(TRIM($D49))),CsDJ[Debit])))+(SUM(IF((CRDJ[Date]=$A$4)*(CRDJ[Ofc Code]=(TRIM(E$7)))*(CRDJ[Account Code]=(TRIM($D49))),CRDJ[Debit])))+(SUM(IF((GJ[Date]=$A$4)*(GJ[Ofc Code]=(TRIM(E$7)))*(GJ[Account Code]=(TRIM($D49))),GJ[Debit])))-(SUM(IF((CkDJ[Date]=$A$4)*(CkDJ[Ofc Code]=(TRIM(E$7)))*(CkDJ[Account Code]=(TRIM($D49))),CkDJ[Credit])))+(SUM(IF((CsDJ[Date]=$A$4)*(CsDJ[Ofc Code]=(TRIM(E$7)))*(CsDJ[Account Code]=(TRIM($D49))),CsDJ[Credit])))+(SUM(IF((CRDJ[Date]=$A$4)*(CRDJ[Ofc Code]=(TRIM(E$7)))*(CRDJ[Account Code]=(TRIM($D49))),CRDJ[Credit])))+(SUM(IF((GJ[Date]=$A$4)*(GJ[Ofc Code]=(TRIM(E$7)))*(GJ[Account Code]=(TRIM($D49))),GJ[Credit])))</f>
        <v>0</v>
      </c>
      <c r="F49" s="211">
        <f t="array" ref="F49">(SUM(IF((CkDJ[Date]=$A$4)*(CkDJ[Ofc Code]=(TRIM(F$7)))*(CkDJ[Account Code]=(TRIM($D49))),CkDJ[Debit])))+(SUM(IF((CsDJ[Date]=$A$4)*(CsDJ[Ofc Code]=(TRIM(F$7)))*(CsDJ[Account Code]=(TRIM($D49))),CsDJ[Debit])))+(SUM(IF((CRDJ[Date]=$A$4)*(CRDJ[Ofc Code]=(TRIM(F$7)))*(CRDJ[Account Code]=(TRIM($D49))),CRDJ[Debit])))+(SUM(IF((GJ[Date]=$A$4)*(GJ[Ofc Code]=(TRIM(F$7)))*(GJ[Account Code]=(TRIM($D49))),GJ[Debit])))-(SUM(IF((CkDJ[Date]=$A$4)*(CkDJ[Ofc Code]=(TRIM(F$7)))*(CkDJ[Account Code]=(TRIM($D49))),CkDJ[Credit])))+(SUM(IF((CsDJ[Date]=$A$4)*(CsDJ[Ofc Code]=(TRIM(F$7)))*(CsDJ[Account Code]=(TRIM($D49))),CsDJ[Credit])))+(SUM(IF((CRDJ[Date]=$A$4)*(CRDJ[Ofc Code]=(TRIM(F$7)))*(CRDJ[Account Code]=(TRIM($D49))),CRDJ[Credit])))+(SUM(IF((GJ[Date]=$A$4)*(GJ[Ofc Code]=(TRIM(F$7)))*(GJ[Account Code]=(TRIM($D49))),GJ[Credit])))</f>
        <v>0</v>
      </c>
      <c r="G49" s="211">
        <f t="array" ref="G49">(SUM(IF((CkDJ[Date]=$A$4)*(CkDJ[Ofc Code]=(TRIM(G$7)))*(CkDJ[Account Code]=(TRIM($D49))),CkDJ[Debit])))+(SUM(IF((CsDJ[Date]=$A$4)*(CsDJ[Ofc Code]=(TRIM(G$7)))*(CsDJ[Account Code]=(TRIM($D49))),CsDJ[Debit])))+(SUM(IF((CRDJ[Date]=$A$4)*(CRDJ[Ofc Code]=(TRIM(G$7)))*(CRDJ[Account Code]=(TRIM($D49))),CRDJ[Debit])))+(SUM(IF((GJ[Date]=$A$4)*(GJ[Ofc Code]=(TRIM(G$7)))*(GJ[Account Code]=(TRIM($D49))),GJ[Debit])))-(SUM(IF((CkDJ[Date]=$A$4)*(CkDJ[Ofc Code]=(TRIM(G$7)))*(CkDJ[Account Code]=(TRIM($D49))),CkDJ[Credit])))+(SUM(IF((CsDJ[Date]=$A$4)*(CsDJ[Ofc Code]=(TRIM(G$7)))*(CsDJ[Account Code]=(TRIM($D49))),CsDJ[Credit])))+(SUM(IF((CRDJ[Date]=$A$4)*(CRDJ[Ofc Code]=(TRIM(G$7)))*(CRDJ[Account Code]=(TRIM($D49))),CRDJ[Credit])))+(SUM(IF((GJ[Date]=$A$4)*(GJ[Ofc Code]=(TRIM(G$7)))*(GJ[Account Code]=(TRIM($D49))),GJ[Credit])))</f>
        <v>0</v>
      </c>
      <c r="H49" s="211">
        <f t="array" ref="H49">(SUM(IF((CkDJ[Date]=$A$4)*(CkDJ[Ofc Code]=(TRIM(H$7)))*(CkDJ[Account Code]=(TRIM($D49))),CkDJ[Debit])))+(SUM(IF((CsDJ[Date]=$A$4)*(CsDJ[Ofc Code]=(TRIM(H$7)))*(CsDJ[Account Code]=(TRIM($D49))),CsDJ[Debit])))+(SUM(IF((CRDJ[Date]=$A$4)*(CRDJ[Ofc Code]=(TRIM(H$7)))*(CRDJ[Account Code]=(TRIM($D49))),CRDJ[Debit])))+(SUM(IF((GJ[Date]=$A$4)*(GJ[Ofc Code]=(TRIM(H$7)))*(GJ[Account Code]=(TRIM($D49))),GJ[Debit])))-(SUM(IF((CkDJ[Date]=$A$4)*(CkDJ[Ofc Code]=(TRIM(H$7)))*(CkDJ[Account Code]=(TRIM($D49))),CkDJ[Credit])))+(SUM(IF((CsDJ[Date]=$A$4)*(CsDJ[Ofc Code]=(TRIM(H$7)))*(CsDJ[Account Code]=(TRIM($D49))),CsDJ[Credit])))+(SUM(IF((CRDJ[Date]=$A$4)*(CRDJ[Ofc Code]=(TRIM(H$7)))*(CRDJ[Account Code]=(TRIM($D49))),CRDJ[Credit])))+(SUM(IF((GJ[Date]=$A$4)*(GJ[Ofc Code]=(TRIM(H$7)))*(GJ[Account Code]=(TRIM($D49))),GJ[Credit])))</f>
        <v>0</v>
      </c>
      <c r="I49" s="211">
        <f t="shared" si="8"/>
        <v>0</v>
      </c>
      <c r="J49" s="211">
        <f t="array" ref="J49">(SUM(IF((CkDJ[Date]=$A$4)*(CkDJ[Ofc Code]=(TRIM(J$7)))*(CkDJ[Account Code]=(TRIM($D49))),CkDJ[Debit])))+(SUM(IF((CsDJ[Date]=$A$4)*(CsDJ[Ofc Code]=(TRIM(J$7)))*(CsDJ[Account Code]=(TRIM($D49))),CsDJ[Debit])))+(SUM(IF((CRDJ[Date]=$A$4)*(CRDJ[Ofc Code]=(TRIM(J$7)))*(CRDJ[Account Code]=(TRIM($D49))),CRDJ[Debit])))+(SUM(IF((GJ[Date]=$A$4)*(GJ[Ofc Code]=(TRIM(J$7)))*(GJ[Account Code]=(TRIM($D49))),GJ[Debit])))-(SUM(IF((CkDJ[Date]=$A$4)*(CkDJ[Ofc Code]=(TRIM(J$7)))*(CkDJ[Account Code]=(TRIM($D49))),CkDJ[Credit])))+(SUM(IF((CsDJ[Date]=$A$4)*(CsDJ[Ofc Code]=(TRIM(J$7)))*(CsDJ[Account Code]=(TRIM($D49))),CsDJ[Credit])))+(SUM(IF((CRDJ[Date]=$A$4)*(CRDJ[Ofc Code]=(TRIM(J$7)))*(CRDJ[Account Code]=(TRIM($D49))),CRDJ[Credit])))+(SUM(IF((GJ[Date]=$A$4)*(GJ[Ofc Code]=(TRIM(J$7)))*(GJ[Account Code]=(TRIM($D49))),GJ[Credit])))</f>
        <v>0</v>
      </c>
      <c r="K49" s="211">
        <f t="array" ref="K49">(SUM(IF((CkDJ[Date]=$A$4)*(CkDJ[Ofc Code]=(TRIM(K$7)))*(CkDJ[Account Code]=(TRIM($D49))),CkDJ[Debit])))+(SUM(IF((CsDJ[Date]=$A$4)*(CsDJ[Ofc Code]=(TRIM(K$7)))*(CsDJ[Account Code]=(TRIM($D49))),CsDJ[Debit])))+(SUM(IF((CRDJ[Date]=$A$4)*(CRDJ[Ofc Code]=(TRIM(K$7)))*(CRDJ[Account Code]=(TRIM($D49))),CRDJ[Debit])))+(SUM(IF((GJ[Date]=$A$4)*(GJ[Ofc Code]=(TRIM(K$7)))*(GJ[Account Code]=(TRIM($D49))),GJ[Debit])))-(SUM(IF((CkDJ[Date]=$A$4)*(CkDJ[Ofc Code]=(TRIM(K$7)))*(CkDJ[Account Code]=(TRIM($D49))),CkDJ[Credit])))+(SUM(IF((CsDJ[Date]=$A$4)*(CsDJ[Ofc Code]=(TRIM(K$7)))*(CsDJ[Account Code]=(TRIM($D49))),CsDJ[Credit])))+(SUM(IF((CRDJ[Date]=$A$4)*(CRDJ[Ofc Code]=(TRIM(K$7)))*(CRDJ[Account Code]=(TRIM($D49))),CRDJ[Credit])))+(SUM(IF((GJ[Date]=$A$4)*(GJ[Ofc Code]=(TRIM(K$7)))*(GJ[Account Code]=(TRIM($D49))),GJ[Credit])))</f>
        <v>0</v>
      </c>
      <c r="L49" s="211">
        <f t="array" ref="L49">(SUM(IF((CkDJ[Date]=$A$4)*(CkDJ[Ofc Code]=(TRIM(L$7)))*(CkDJ[Account Code]=(TRIM($D49))),CkDJ[Debit])))+(SUM(IF((CsDJ[Date]=$A$4)*(CsDJ[Ofc Code]=(TRIM(L$7)))*(CsDJ[Account Code]=(TRIM($D49))),CsDJ[Debit])))+(SUM(IF((CRDJ[Date]=$A$4)*(CRDJ[Ofc Code]=(TRIM(L$7)))*(CRDJ[Account Code]=(TRIM($D49))),CRDJ[Debit])))+(SUM(IF((GJ[Date]=$A$4)*(GJ[Ofc Code]=(TRIM(L$7)))*(GJ[Account Code]=(TRIM($D49))),GJ[Debit])))-(SUM(IF((CkDJ[Date]=$A$4)*(CkDJ[Ofc Code]=(TRIM(L$7)))*(CkDJ[Account Code]=(TRIM($D49))),CkDJ[Credit])))+(SUM(IF((CsDJ[Date]=$A$4)*(CsDJ[Ofc Code]=(TRIM(L$7)))*(CsDJ[Account Code]=(TRIM($D49))),CsDJ[Credit])))+(SUM(IF((CRDJ[Date]=$A$4)*(CRDJ[Ofc Code]=(TRIM(L$7)))*(CRDJ[Account Code]=(TRIM($D49))),CRDJ[Credit])))+(SUM(IF((GJ[Date]=$A$4)*(GJ[Ofc Code]=(TRIM(L$7)))*(GJ[Account Code]=(TRIM($D49))),GJ[Credit])))</f>
        <v>0</v>
      </c>
      <c r="M49" s="211">
        <f t="array" ref="M49">(SUM(IF((CkDJ[Date]=$A$4)*(CkDJ[Ofc Code]=(TRIM(M$7)))*(CkDJ[Account Code]=(TRIM($D49))),CkDJ[Debit])))+(SUM(IF((CsDJ[Date]=$A$4)*(CsDJ[Ofc Code]=(TRIM(M$7)))*(CsDJ[Account Code]=(TRIM($D49))),CsDJ[Debit])))+(SUM(IF((CRDJ[Date]=$A$4)*(CRDJ[Ofc Code]=(TRIM(M$7)))*(CRDJ[Account Code]=(TRIM($D49))),CRDJ[Debit])))+(SUM(IF((GJ[Date]=$A$4)*(GJ[Ofc Code]=(TRIM(M$7)))*(GJ[Account Code]=(TRIM($D49))),GJ[Debit])))-(SUM(IF((CkDJ[Date]=$A$4)*(CkDJ[Ofc Code]=(TRIM(M$7)))*(CkDJ[Account Code]=(TRIM($D49))),CkDJ[Credit])))+(SUM(IF((CsDJ[Date]=$A$4)*(CsDJ[Ofc Code]=(TRIM(M$7)))*(CsDJ[Account Code]=(TRIM($D49))),CsDJ[Credit])))+(SUM(IF((CRDJ[Date]=$A$4)*(CRDJ[Ofc Code]=(TRIM(M$7)))*(CRDJ[Account Code]=(TRIM($D49))),CRDJ[Credit])))+(SUM(IF((GJ[Date]=$A$4)*(GJ[Ofc Code]=(TRIM(M$7)))*(GJ[Account Code]=(TRIM($D49))),GJ[Credit])))</f>
        <v>0</v>
      </c>
      <c r="N49" s="211">
        <f t="shared" si="9"/>
        <v>0</v>
      </c>
      <c r="O49" s="211">
        <f t="array" ref="O49">(SUM(IF((CkDJ[Date]=$A$4)*(CkDJ[Ofc Code]=(TRIM(O$7)))*(CkDJ[Account Code]=(TRIM($D49))),CkDJ[Debit])))+(SUM(IF((CsDJ[Date]=$A$4)*(CsDJ[Ofc Code]=(TRIM(O$7)))*(CsDJ[Account Code]=(TRIM($D49))),CsDJ[Debit])))+(SUM(IF((CRDJ[Date]=$A$4)*(CRDJ[Ofc Code]=(TRIM(O$7)))*(CRDJ[Account Code]=(TRIM($D49))),CRDJ[Debit])))+(SUM(IF((GJ[Date]=$A$4)*(GJ[Ofc Code]=(TRIM(O$7)))*(GJ[Account Code]=(TRIM($D49))),GJ[Debit])))-(SUM(IF((CkDJ[Date]=$A$4)*(CkDJ[Ofc Code]=(TRIM(O$7)))*(CkDJ[Account Code]=(TRIM($D49))),CkDJ[Credit])))+(SUM(IF((CsDJ[Date]=$A$4)*(CsDJ[Ofc Code]=(TRIM(O$7)))*(CsDJ[Account Code]=(TRIM($D49))),CsDJ[Credit])))+(SUM(IF((CRDJ[Date]=$A$4)*(CRDJ[Ofc Code]=(TRIM(O$7)))*(CRDJ[Account Code]=(TRIM($D49))),CRDJ[Credit])))+(SUM(IF((GJ[Date]=$A$4)*(GJ[Ofc Code]=(TRIM(O$7)))*(GJ[Account Code]=(TRIM($D49))),GJ[Credit])))</f>
        <v>0</v>
      </c>
      <c r="P49" s="211">
        <f t="array" ref="P49">(SUM(IF((CkDJ[Date]=$A$4)*(CkDJ[Ofc Code]=(TRIM(P$7)))*(CkDJ[Account Code]=(TRIM($D49))),CkDJ[Debit])))+(SUM(IF((CsDJ[Date]=$A$4)*(CsDJ[Ofc Code]=(TRIM(P$7)))*(CsDJ[Account Code]=(TRIM($D49))),CsDJ[Debit])))+(SUM(IF((CRDJ[Date]=$A$4)*(CRDJ[Ofc Code]=(TRIM(P$7)))*(CRDJ[Account Code]=(TRIM($D49))),CRDJ[Debit])))+(SUM(IF((GJ[Date]=$A$4)*(GJ[Ofc Code]=(TRIM(P$7)))*(GJ[Account Code]=(TRIM($D49))),GJ[Debit])))-(SUM(IF((CkDJ[Date]=$A$4)*(CkDJ[Ofc Code]=(TRIM(P$7)))*(CkDJ[Account Code]=(TRIM($D49))),CkDJ[Credit])))+(SUM(IF((CsDJ[Date]=$A$4)*(CsDJ[Ofc Code]=(TRIM(P$7)))*(CsDJ[Account Code]=(TRIM($D49))),CsDJ[Credit])))+(SUM(IF((CRDJ[Date]=$A$4)*(CRDJ[Ofc Code]=(TRIM(P$7)))*(CRDJ[Account Code]=(TRIM($D49))),CRDJ[Credit])))+(SUM(IF((GJ[Date]=$A$4)*(GJ[Ofc Code]=(TRIM(P$7)))*(GJ[Account Code]=(TRIM($D49))),GJ[Credit])))</f>
        <v>0</v>
      </c>
      <c r="Q49" s="211">
        <f t="array" ref="Q49">(SUM(IF((CkDJ[Date]=$A$4)*(CkDJ[Ofc Code]=(TRIM(Q$7)))*(CkDJ[Account Code]=(TRIM($D49))),CkDJ[Debit])))+(SUM(IF((CsDJ[Date]=$A$4)*(CsDJ[Ofc Code]=(TRIM(Q$7)))*(CsDJ[Account Code]=(TRIM($D49))),CsDJ[Debit])))+(SUM(IF((CRDJ[Date]=$A$4)*(CRDJ[Ofc Code]=(TRIM(Q$7)))*(CRDJ[Account Code]=(TRIM($D49))),CRDJ[Debit])))+(SUM(IF((GJ[Date]=$A$4)*(GJ[Ofc Code]=(TRIM(Q$7)))*(GJ[Account Code]=(TRIM($D49))),GJ[Debit])))-(SUM(IF((CkDJ[Date]=$A$4)*(CkDJ[Ofc Code]=(TRIM(Q$7)))*(CkDJ[Account Code]=(TRIM($D49))),CkDJ[Credit])))+(SUM(IF((CsDJ[Date]=$A$4)*(CsDJ[Ofc Code]=(TRIM(Q$7)))*(CsDJ[Account Code]=(TRIM($D49))),CsDJ[Credit])))+(SUM(IF((CRDJ[Date]=$A$4)*(CRDJ[Ofc Code]=(TRIM(Q$7)))*(CRDJ[Account Code]=(TRIM($D49))),CRDJ[Credit])))+(SUM(IF((GJ[Date]=$A$4)*(GJ[Ofc Code]=(TRIM(Q$7)))*(GJ[Account Code]=(TRIM($D49))),GJ[Credit])))</f>
        <v>0</v>
      </c>
      <c r="R49" s="211">
        <f t="array" ref="R49">(SUM(IF((CkDJ[Date]=$A$4)*(CkDJ[Ofc Code]=(TRIM(R$7)))*(CkDJ[Account Code]=(TRIM($D49))),CkDJ[Debit])))+(SUM(IF((CsDJ[Date]=$A$4)*(CsDJ[Ofc Code]=(TRIM(R$7)))*(CsDJ[Account Code]=(TRIM($D49))),CsDJ[Debit])))+(SUM(IF((CRDJ[Date]=$A$4)*(CRDJ[Ofc Code]=(TRIM(R$7)))*(CRDJ[Account Code]=(TRIM($D49))),CRDJ[Debit])))+(SUM(IF((GJ[Date]=$A$4)*(GJ[Ofc Code]=(TRIM(R$7)))*(GJ[Account Code]=(TRIM($D49))),GJ[Debit])))-(SUM(IF((CkDJ[Date]=$A$4)*(CkDJ[Ofc Code]=(TRIM(R$7)))*(CkDJ[Account Code]=(TRIM($D49))),CkDJ[Credit])))+(SUM(IF((CsDJ[Date]=$A$4)*(CsDJ[Ofc Code]=(TRIM(R$7)))*(CsDJ[Account Code]=(TRIM($D49))),CsDJ[Credit])))+(SUM(IF((CRDJ[Date]=$A$4)*(CRDJ[Ofc Code]=(TRIM(R$7)))*(CRDJ[Account Code]=(TRIM($D49))),CRDJ[Credit])))+(SUM(IF((GJ[Date]=$A$4)*(GJ[Ofc Code]=(TRIM(R$7)))*(GJ[Account Code]=(TRIM($D49))),GJ[Credit])))</f>
        <v>0</v>
      </c>
      <c r="S49" s="211">
        <f t="array" ref="S49">(SUM(IF((CkDJ[Date]=$A$4)*(CkDJ[Ofc Code]=(TRIM(S$7)))*(CkDJ[Account Code]=(TRIM($D49))),CkDJ[Debit])))+(SUM(IF((CsDJ[Date]=$A$4)*(CsDJ[Ofc Code]=(TRIM(S$7)))*(CsDJ[Account Code]=(TRIM($D49))),CsDJ[Debit])))+(SUM(IF((CRDJ[Date]=$A$4)*(CRDJ[Ofc Code]=(TRIM(S$7)))*(CRDJ[Account Code]=(TRIM($D49))),CRDJ[Debit])))+(SUM(IF((GJ[Date]=$A$4)*(GJ[Ofc Code]=(TRIM(S$7)))*(GJ[Account Code]=(TRIM($D49))),GJ[Debit])))-(SUM(IF((CkDJ[Date]=$A$4)*(CkDJ[Ofc Code]=(TRIM(S$7)))*(CkDJ[Account Code]=(TRIM($D49))),CkDJ[Credit])))+(SUM(IF((CsDJ[Date]=$A$4)*(CsDJ[Ofc Code]=(TRIM(S$7)))*(CsDJ[Account Code]=(TRIM($D49))),CsDJ[Credit])))+(SUM(IF((CRDJ[Date]=$A$4)*(CRDJ[Ofc Code]=(TRIM(S$7)))*(CRDJ[Account Code]=(TRIM($D49))),CRDJ[Credit])))+(SUM(IF((GJ[Date]=$A$4)*(GJ[Ofc Code]=(TRIM(S$7)))*(GJ[Account Code]=(TRIM($D49))),GJ[Credit])))</f>
        <v>0</v>
      </c>
      <c r="T49" s="211">
        <f t="shared" si="10"/>
        <v>0</v>
      </c>
      <c r="U49" s="211">
        <f t="shared" si="11"/>
        <v>0</v>
      </c>
    </row>
    <row r="50" spans="1:21" ht="15" x14ac:dyDescent="0.25">
      <c r="A50" s="212">
        <f t="shared" si="12"/>
        <v>17</v>
      </c>
      <c r="B50" s="214" t="s">
        <v>756</v>
      </c>
      <c r="C50" s="194" t="str">
        <f t="shared" si="7"/>
        <v>Mid-Year/Year End Bonus</v>
      </c>
      <c r="D50" s="215">
        <v>725</v>
      </c>
      <c r="E50" s="211">
        <f t="array" ref="E50">(SUM(IF((CkDJ[Date]=$A$4)*(CkDJ[Ofc Code]=(TRIM(E$7)))*(CkDJ[Account Code]=(TRIM($D50))),CkDJ[Debit])))+(SUM(IF((CsDJ[Date]=$A$4)*(CsDJ[Ofc Code]=(TRIM(E$7)))*(CsDJ[Account Code]=(TRIM($D50))),CsDJ[Debit])))+(SUM(IF((CRDJ[Date]=$A$4)*(CRDJ[Ofc Code]=(TRIM(E$7)))*(CRDJ[Account Code]=(TRIM($D50))),CRDJ[Debit])))+(SUM(IF((GJ[Date]=$A$4)*(GJ[Ofc Code]=(TRIM(E$7)))*(GJ[Account Code]=(TRIM($D50))),GJ[Debit])))-(SUM(IF((CkDJ[Date]=$A$4)*(CkDJ[Ofc Code]=(TRIM(E$7)))*(CkDJ[Account Code]=(TRIM($D50))),CkDJ[Credit])))+(SUM(IF((CsDJ[Date]=$A$4)*(CsDJ[Ofc Code]=(TRIM(E$7)))*(CsDJ[Account Code]=(TRIM($D50))),CsDJ[Credit])))+(SUM(IF((CRDJ[Date]=$A$4)*(CRDJ[Ofc Code]=(TRIM(E$7)))*(CRDJ[Account Code]=(TRIM($D50))),CRDJ[Credit])))+(SUM(IF((GJ[Date]=$A$4)*(GJ[Ofc Code]=(TRIM(E$7)))*(GJ[Account Code]=(TRIM($D50))),GJ[Credit])))</f>
        <v>0</v>
      </c>
      <c r="F50" s="211">
        <f t="array" ref="F50">(SUM(IF((CkDJ[Date]=$A$4)*(CkDJ[Ofc Code]=(TRIM(F$7)))*(CkDJ[Account Code]=(TRIM($D50))),CkDJ[Debit])))+(SUM(IF((CsDJ[Date]=$A$4)*(CsDJ[Ofc Code]=(TRIM(F$7)))*(CsDJ[Account Code]=(TRIM($D50))),CsDJ[Debit])))+(SUM(IF((CRDJ[Date]=$A$4)*(CRDJ[Ofc Code]=(TRIM(F$7)))*(CRDJ[Account Code]=(TRIM($D50))),CRDJ[Debit])))+(SUM(IF((GJ[Date]=$A$4)*(GJ[Ofc Code]=(TRIM(F$7)))*(GJ[Account Code]=(TRIM($D50))),GJ[Debit])))-(SUM(IF((CkDJ[Date]=$A$4)*(CkDJ[Ofc Code]=(TRIM(F$7)))*(CkDJ[Account Code]=(TRIM($D50))),CkDJ[Credit])))+(SUM(IF((CsDJ[Date]=$A$4)*(CsDJ[Ofc Code]=(TRIM(F$7)))*(CsDJ[Account Code]=(TRIM($D50))),CsDJ[Credit])))+(SUM(IF((CRDJ[Date]=$A$4)*(CRDJ[Ofc Code]=(TRIM(F$7)))*(CRDJ[Account Code]=(TRIM($D50))),CRDJ[Credit])))+(SUM(IF((GJ[Date]=$A$4)*(GJ[Ofc Code]=(TRIM(F$7)))*(GJ[Account Code]=(TRIM($D50))),GJ[Credit])))</f>
        <v>0</v>
      </c>
      <c r="G50" s="211">
        <f t="array" ref="G50">(SUM(IF((CkDJ[Date]=$A$4)*(CkDJ[Ofc Code]=(TRIM(G$7)))*(CkDJ[Account Code]=(TRIM($D50))),CkDJ[Debit])))+(SUM(IF((CsDJ[Date]=$A$4)*(CsDJ[Ofc Code]=(TRIM(G$7)))*(CsDJ[Account Code]=(TRIM($D50))),CsDJ[Debit])))+(SUM(IF((CRDJ[Date]=$A$4)*(CRDJ[Ofc Code]=(TRIM(G$7)))*(CRDJ[Account Code]=(TRIM($D50))),CRDJ[Debit])))+(SUM(IF((GJ[Date]=$A$4)*(GJ[Ofc Code]=(TRIM(G$7)))*(GJ[Account Code]=(TRIM($D50))),GJ[Debit])))-(SUM(IF((CkDJ[Date]=$A$4)*(CkDJ[Ofc Code]=(TRIM(G$7)))*(CkDJ[Account Code]=(TRIM($D50))),CkDJ[Credit])))+(SUM(IF((CsDJ[Date]=$A$4)*(CsDJ[Ofc Code]=(TRIM(G$7)))*(CsDJ[Account Code]=(TRIM($D50))),CsDJ[Credit])))+(SUM(IF((CRDJ[Date]=$A$4)*(CRDJ[Ofc Code]=(TRIM(G$7)))*(CRDJ[Account Code]=(TRIM($D50))),CRDJ[Credit])))+(SUM(IF((GJ[Date]=$A$4)*(GJ[Ofc Code]=(TRIM(G$7)))*(GJ[Account Code]=(TRIM($D50))),GJ[Credit])))</f>
        <v>0</v>
      </c>
      <c r="H50" s="211">
        <f t="array" ref="H50">(SUM(IF((CkDJ[Date]=$A$4)*(CkDJ[Ofc Code]=(TRIM(H$7)))*(CkDJ[Account Code]=(TRIM($D50))),CkDJ[Debit])))+(SUM(IF((CsDJ[Date]=$A$4)*(CsDJ[Ofc Code]=(TRIM(H$7)))*(CsDJ[Account Code]=(TRIM($D50))),CsDJ[Debit])))+(SUM(IF((CRDJ[Date]=$A$4)*(CRDJ[Ofc Code]=(TRIM(H$7)))*(CRDJ[Account Code]=(TRIM($D50))),CRDJ[Debit])))+(SUM(IF((GJ[Date]=$A$4)*(GJ[Ofc Code]=(TRIM(H$7)))*(GJ[Account Code]=(TRIM($D50))),GJ[Debit])))-(SUM(IF((CkDJ[Date]=$A$4)*(CkDJ[Ofc Code]=(TRIM(H$7)))*(CkDJ[Account Code]=(TRIM($D50))),CkDJ[Credit])))+(SUM(IF((CsDJ[Date]=$A$4)*(CsDJ[Ofc Code]=(TRIM(H$7)))*(CsDJ[Account Code]=(TRIM($D50))),CsDJ[Credit])))+(SUM(IF((CRDJ[Date]=$A$4)*(CRDJ[Ofc Code]=(TRIM(H$7)))*(CRDJ[Account Code]=(TRIM($D50))),CRDJ[Credit])))+(SUM(IF((GJ[Date]=$A$4)*(GJ[Ofc Code]=(TRIM(H$7)))*(GJ[Account Code]=(TRIM($D50))),GJ[Credit])))</f>
        <v>0</v>
      </c>
      <c r="I50" s="211">
        <f t="shared" si="8"/>
        <v>0</v>
      </c>
      <c r="J50" s="211">
        <f t="array" ref="J50">(SUM(IF((CkDJ[Date]=$A$4)*(CkDJ[Ofc Code]=(TRIM(J$7)))*(CkDJ[Account Code]=(TRIM($D50))),CkDJ[Debit])))+(SUM(IF((CsDJ[Date]=$A$4)*(CsDJ[Ofc Code]=(TRIM(J$7)))*(CsDJ[Account Code]=(TRIM($D50))),CsDJ[Debit])))+(SUM(IF((CRDJ[Date]=$A$4)*(CRDJ[Ofc Code]=(TRIM(J$7)))*(CRDJ[Account Code]=(TRIM($D50))),CRDJ[Debit])))+(SUM(IF((GJ[Date]=$A$4)*(GJ[Ofc Code]=(TRIM(J$7)))*(GJ[Account Code]=(TRIM($D50))),GJ[Debit])))-(SUM(IF((CkDJ[Date]=$A$4)*(CkDJ[Ofc Code]=(TRIM(J$7)))*(CkDJ[Account Code]=(TRIM($D50))),CkDJ[Credit])))+(SUM(IF((CsDJ[Date]=$A$4)*(CsDJ[Ofc Code]=(TRIM(J$7)))*(CsDJ[Account Code]=(TRIM($D50))),CsDJ[Credit])))+(SUM(IF((CRDJ[Date]=$A$4)*(CRDJ[Ofc Code]=(TRIM(J$7)))*(CRDJ[Account Code]=(TRIM($D50))),CRDJ[Credit])))+(SUM(IF((GJ[Date]=$A$4)*(GJ[Ofc Code]=(TRIM(J$7)))*(GJ[Account Code]=(TRIM($D50))),GJ[Credit])))</f>
        <v>0</v>
      </c>
      <c r="K50" s="211">
        <f t="array" ref="K50">(SUM(IF((CkDJ[Date]=$A$4)*(CkDJ[Ofc Code]=(TRIM(K$7)))*(CkDJ[Account Code]=(TRIM($D50))),CkDJ[Debit])))+(SUM(IF((CsDJ[Date]=$A$4)*(CsDJ[Ofc Code]=(TRIM(K$7)))*(CsDJ[Account Code]=(TRIM($D50))),CsDJ[Debit])))+(SUM(IF((CRDJ[Date]=$A$4)*(CRDJ[Ofc Code]=(TRIM(K$7)))*(CRDJ[Account Code]=(TRIM($D50))),CRDJ[Debit])))+(SUM(IF((GJ[Date]=$A$4)*(GJ[Ofc Code]=(TRIM(K$7)))*(GJ[Account Code]=(TRIM($D50))),GJ[Debit])))-(SUM(IF((CkDJ[Date]=$A$4)*(CkDJ[Ofc Code]=(TRIM(K$7)))*(CkDJ[Account Code]=(TRIM($D50))),CkDJ[Credit])))+(SUM(IF((CsDJ[Date]=$A$4)*(CsDJ[Ofc Code]=(TRIM(K$7)))*(CsDJ[Account Code]=(TRIM($D50))),CsDJ[Credit])))+(SUM(IF((CRDJ[Date]=$A$4)*(CRDJ[Ofc Code]=(TRIM(K$7)))*(CRDJ[Account Code]=(TRIM($D50))),CRDJ[Credit])))+(SUM(IF((GJ[Date]=$A$4)*(GJ[Ofc Code]=(TRIM(K$7)))*(GJ[Account Code]=(TRIM($D50))),GJ[Credit])))</f>
        <v>0</v>
      </c>
      <c r="L50" s="211">
        <f t="array" ref="L50">(SUM(IF((CkDJ[Date]=$A$4)*(CkDJ[Ofc Code]=(TRIM(L$7)))*(CkDJ[Account Code]=(TRIM($D50))),CkDJ[Debit])))+(SUM(IF((CsDJ[Date]=$A$4)*(CsDJ[Ofc Code]=(TRIM(L$7)))*(CsDJ[Account Code]=(TRIM($D50))),CsDJ[Debit])))+(SUM(IF((CRDJ[Date]=$A$4)*(CRDJ[Ofc Code]=(TRIM(L$7)))*(CRDJ[Account Code]=(TRIM($D50))),CRDJ[Debit])))+(SUM(IF((GJ[Date]=$A$4)*(GJ[Ofc Code]=(TRIM(L$7)))*(GJ[Account Code]=(TRIM($D50))),GJ[Debit])))-(SUM(IF((CkDJ[Date]=$A$4)*(CkDJ[Ofc Code]=(TRIM(L$7)))*(CkDJ[Account Code]=(TRIM($D50))),CkDJ[Credit])))+(SUM(IF((CsDJ[Date]=$A$4)*(CsDJ[Ofc Code]=(TRIM(L$7)))*(CsDJ[Account Code]=(TRIM($D50))),CsDJ[Credit])))+(SUM(IF((CRDJ[Date]=$A$4)*(CRDJ[Ofc Code]=(TRIM(L$7)))*(CRDJ[Account Code]=(TRIM($D50))),CRDJ[Credit])))+(SUM(IF((GJ[Date]=$A$4)*(GJ[Ofc Code]=(TRIM(L$7)))*(GJ[Account Code]=(TRIM($D50))),GJ[Credit])))</f>
        <v>0</v>
      </c>
      <c r="M50" s="211">
        <f t="array" ref="M50">(SUM(IF((CkDJ[Date]=$A$4)*(CkDJ[Ofc Code]=(TRIM(M$7)))*(CkDJ[Account Code]=(TRIM($D50))),CkDJ[Debit])))+(SUM(IF((CsDJ[Date]=$A$4)*(CsDJ[Ofc Code]=(TRIM(M$7)))*(CsDJ[Account Code]=(TRIM($D50))),CsDJ[Debit])))+(SUM(IF((CRDJ[Date]=$A$4)*(CRDJ[Ofc Code]=(TRIM(M$7)))*(CRDJ[Account Code]=(TRIM($D50))),CRDJ[Debit])))+(SUM(IF((GJ[Date]=$A$4)*(GJ[Ofc Code]=(TRIM(M$7)))*(GJ[Account Code]=(TRIM($D50))),GJ[Debit])))-(SUM(IF((CkDJ[Date]=$A$4)*(CkDJ[Ofc Code]=(TRIM(M$7)))*(CkDJ[Account Code]=(TRIM($D50))),CkDJ[Credit])))+(SUM(IF((CsDJ[Date]=$A$4)*(CsDJ[Ofc Code]=(TRIM(M$7)))*(CsDJ[Account Code]=(TRIM($D50))),CsDJ[Credit])))+(SUM(IF((CRDJ[Date]=$A$4)*(CRDJ[Ofc Code]=(TRIM(M$7)))*(CRDJ[Account Code]=(TRIM($D50))),CRDJ[Credit])))+(SUM(IF((GJ[Date]=$A$4)*(GJ[Ofc Code]=(TRIM(M$7)))*(GJ[Account Code]=(TRIM($D50))),GJ[Credit])))</f>
        <v>0</v>
      </c>
      <c r="N50" s="211">
        <f t="shared" si="9"/>
        <v>0</v>
      </c>
      <c r="O50" s="211">
        <f t="array" ref="O50">(SUM(IF((CkDJ[Date]=$A$4)*(CkDJ[Ofc Code]=(TRIM(O$7)))*(CkDJ[Account Code]=(TRIM($D50))),CkDJ[Debit])))+(SUM(IF((CsDJ[Date]=$A$4)*(CsDJ[Ofc Code]=(TRIM(O$7)))*(CsDJ[Account Code]=(TRIM($D50))),CsDJ[Debit])))+(SUM(IF((CRDJ[Date]=$A$4)*(CRDJ[Ofc Code]=(TRIM(O$7)))*(CRDJ[Account Code]=(TRIM($D50))),CRDJ[Debit])))+(SUM(IF((GJ[Date]=$A$4)*(GJ[Ofc Code]=(TRIM(O$7)))*(GJ[Account Code]=(TRIM($D50))),GJ[Debit])))-(SUM(IF((CkDJ[Date]=$A$4)*(CkDJ[Ofc Code]=(TRIM(O$7)))*(CkDJ[Account Code]=(TRIM($D50))),CkDJ[Credit])))+(SUM(IF((CsDJ[Date]=$A$4)*(CsDJ[Ofc Code]=(TRIM(O$7)))*(CsDJ[Account Code]=(TRIM($D50))),CsDJ[Credit])))+(SUM(IF((CRDJ[Date]=$A$4)*(CRDJ[Ofc Code]=(TRIM(O$7)))*(CRDJ[Account Code]=(TRIM($D50))),CRDJ[Credit])))+(SUM(IF((GJ[Date]=$A$4)*(GJ[Ofc Code]=(TRIM(O$7)))*(GJ[Account Code]=(TRIM($D50))),GJ[Credit])))</f>
        <v>0</v>
      </c>
      <c r="P50" s="211">
        <f t="array" ref="P50">(SUM(IF((CkDJ[Date]=$A$4)*(CkDJ[Ofc Code]=(TRIM(P$7)))*(CkDJ[Account Code]=(TRIM($D50))),CkDJ[Debit])))+(SUM(IF((CsDJ[Date]=$A$4)*(CsDJ[Ofc Code]=(TRIM(P$7)))*(CsDJ[Account Code]=(TRIM($D50))),CsDJ[Debit])))+(SUM(IF((CRDJ[Date]=$A$4)*(CRDJ[Ofc Code]=(TRIM(P$7)))*(CRDJ[Account Code]=(TRIM($D50))),CRDJ[Debit])))+(SUM(IF((GJ[Date]=$A$4)*(GJ[Ofc Code]=(TRIM(P$7)))*(GJ[Account Code]=(TRIM($D50))),GJ[Debit])))-(SUM(IF((CkDJ[Date]=$A$4)*(CkDJ[Ofc Code]=(TRIM(P$7)))*(CkDJ[Account Code]=(TRIM($D50))),CkDJ[Credit])))+(SUM(IF((CsDJ[Date]=$A$4)*(CsDJ[Ofc Code]=(TRIM(P$7)))*(CsDJ[Account Code]=(TRIM($D50))),CsDJ[Credit])))+(SUM(IF((CRDJ[Date]=$A$4)*(CRDJ[Ofc Code]=(TRIM(P$7)))*(CRDJ[Account Code]=(TRIM($D50))),CRDJ[Credit])))+(SUM(IF((GJ[Date]=$A$4)*(GJ[Ofc Code]=(TRIM(P$7)))*(GJ[Account Code]=(TRIM($D50))),GJ[Credit])))</f>
        <v>0</v>
      </c>
      <c r="Q50" s="211">
        <f t="array" ref="Q50">(SUM(IF((CkDJ[Date]=$A$4)*(CkDJ[Ofc Code]=(TRIM(Q$7)))*(CkDJ[Account Code]=(TRIM($D50))),CkDJ[Debit])))+(SUM(IF((CsDJ[Date]=$A$4)*(CsDJ[Ofc Code]=(TRIM(Q$7)))*(CsDJ[Account Code]=(TRIM($D50))),CsDJ[Debit])))+(SUM(IF((CRDJ[Date]=$A$4)*(CRDJ[Ofc Code]=(TRIM(Q$7)))*(CRDJ[Account Code]=(TRIM($D50))),CRDJ[Debit])))+(SUM(IF((GJ[Date]=$A$4)*(GJ[Ofc Code]=(TRIM(Q$7)))*(GJ[Account Code]=(TRIM($D50))),GJ[Debit])))-(SUM(IF((CkDJ[Date]=$A$4)*(CkDJ[Ofc Code]=(TRIM(Q$7)))*(CkDJ[Account Code]=(TRIM($D50))),CkDJ[Credit])))+(SUM(IF((CsDJ[Date]=$A$4)*(CsDJ[Ofc Code]=(TRIM(Q$7)))*(CsDJ[Account Code]=(TRIM($D50))),CsDJ[Credit])))+(SUM(IF((CRDJ[Date]=$A$4)*(CRDJ[Ofc Code]=(TRIM(Q$7)))*(CRDJ[Account Code]=(TRIM($D50))),CRDJ[Credit])))+(SUM(IF((GJ[Date]=$A$4)*(GJ[Ofc Code]=(TRIM(Q$7)))*(GJ[Account Code]=(TRIM($D50))),GJ[Credit])))</f>
        <v>0</v>
      </c>
      <c r="R50" s="211">
        <f t="array" ref="R50">(SUM(IF((CkDJ[Date]=$A$4)*(CkDJ[Ofc Code]=(TRIM(R$7)))*(CkDJ[Account Code]=(TRIM($D50))),CkDJ[Debit])))+(SUM(IF((CsDJ[Date]=$A$4)*(CsDJ[Ofc Code]=(TRIM(R$7)))*(CsDJ[Account Code]=(TRIM($D50))),CsDJ[Debit])))+(SUM(IF((CRDJ[Date]=$A$4)*(CRDJ[Ofc Code]=(TRIM(R$7)))*(CRDJ[Account Code]=(TRIM($D50))),CRDJ[Debit])))+(SUM(IF((GJ[Date]=$A$4)*(GJ[Ofc Code]=(TRIM(R$7)))*(GJ[Account Code]=(TRIM($D50))),GJ[Debit])))-(SUM(IF((CkDJ[Date]=$A$4)*(CkDJ[Ofc Code]=(TRIM(R$7)))*(CkDJ[Account Code]=(TRIM($D50))),CkDJ[Credit])))+(SUM(IF((CsDJ[Date]=$A$4)*(CsDJ[Ofc Code]=(TRIM(R$7)))*(CsDJ[Account Code]=(TRIM($D50))),CsDJ[Credit])))+(SUM(IF((CRDJ[Date]=$A$4)*(CRDJ[Ofc Code]=(TRIM(R$7)))*(CRDJ[Account Code]=(TRIM($D50))),CRDJ[Credit])))+(SUM(IF((GJ[Date]=$A$4)*(GJ[Ofc Code]=(TRIM(R$7)))*(GJ[Account Code]=(TRIM($D50))),GJ[Credit])))</f>
        <v>0</v>
      </c>
      <c r="S50" s="211">
        <f t="array" ref="S50">(SUM(IF((CkDJ[Date]=$A$4)*(CkDJ[Ofc Code]=(TRIM(S$7)))*(CkDJ[Account Code]=(TRIM($D50))),CkDJ[Debit])))+(SUM(IF((CsDJ[Date]=$A$4)*(CsDJ[Ofc Code]=(TRIM(S$7)))*(CsDJ[Account Code]=(TRIM($D50))),CsDJ[Debit])))+(SUM(IF((CRDJ[Date]=$A$4)*(CRDJ[Ofc Code]=(TRIM(S$7)))*(CRDJ[Account Code]=(TRIM($D50))),CRDJ[Debit])))+(SUM(IF((GJ[Date]=$A$4)*(GJ[Ofc Code]=(TRIM(S$7)))*(GJ[Account Code]=(TRIM($D50))),GJ[Debit])))-(SUM(IF((CkDJ[Date]=$A$4)*(CkDJ[Ofc Code]=(TRIM(S$7)))*(CkDJ[Account Code]=(TRIM($D50))),CkDJ[Credit])))+(SUM(IF((CsDJ[Date]=$A$4)*(CsDJ[Ofc Code]=(TRIM(S$7)))*(CsDJ[Account Code]=(TRIM($D50))),CsDJ[Credit])))+(SUM(IF((CRDJ[Date]=$A$4)*(CRDJ[Ofc Code]=(TRIM(S$7)))*(CRDJ[Account Code]=(TRIM($D50))),CRDJ[Credit])))+(SUM(IF((GJ[Date]=$A$4)*(GJ[Ofc Code]=(TRIM(S$7)))*(GJ[Account Code]=(TRIM($D50))),GJ[Credit])))</f>
        <v>0</v>
      </c>
      <c r="T50" s="211">
        <f t="shared" si="10"/>
        <v>0</v>
      </c>
      <c r="U50" s="211">
        <f t="shared" si="11"/>
        <v>0</v>
      </c>
    </row>
    <row r="51" spans="1:21" ht="15" x14ac:dyDescent="0.25">
      <c r="A51" s="212">
        <f t="shared" si="12"/>
        <v>18</v>
      </c>
      <c r="B51" s="214" t="s">
        <v>756</v>
      </c>
      <c r="C51" s="194" t="str">
        <f t="shared" si="7"/>
        <v>Retirement and Life Insurance Premiums</v>
      </c>
      <c r="D51" s="215">
        <v>731</v>
      </c>
      <c r="E51" s="211">
        <f t="array" ref="E51">(SUM(IF((CkDJ[Date]=$A$4)*(CkDJ[Ofc Code]=(TRIM(E$7)))*(CkDJ[Account Code]=(TRIM($D51))),CkDJ[Debit])))+(SUM(IF((CsDJ[Date]=$A$4)*(CsDJ[Ofc Code]=(TRIM(E$7)))*(CsDJ[Account Code]=(TRIM($D51))),CsDJ[Debit])))+(SUM(IF((CRDJ[Date]=$A$4)*(CRDJ[Ofc Code]=(TRIM(E$7)))*(CRDJ[Account Code]=(TRIM($D51))),CRDJ[Debit])))+(SUM(IF((GJ[Date]=$A$4)*(GJ[Ofc Code]=(TRIM(E$7)))*(GJ[Account Code]=(TRIM($D51))),GJ[Debit])))-(SUM(IF((CkDJ[Date]=$A$4)*(CkDJ[Ofc Code]=(TRIM(E$7)))*(CkDJ[Account Code]=(TRIM($D51))),CkDJ[Credit])))+(SUM(IF((CsDJ[Date]=$A$4)*(CsDJ[Ofc Code]=(TRIM(E$7)))*(CsDJ[Account Code]=(TRIM($D51))),CsDJ[Credit])))+(SUM(IF((CRDJ[Date]=$A$4)*(CRDJ[Ofc Code]=(TRIM(E$7)))*(CRDJ[Account Code]=(TRIM($D51))),CRDJ[Credit])))+(SUM(IF((GJ[Date]=$A$4)*(GJ[Ofc Code]=(TRIM(E$7)))*(GJ[Account Code]=(TRIM($D51))),GJ[Credit])))</f>
        <v>0</v>
      </c>
      <c r="F51" s="211">
        <f t="array" ref="F51">(SUM(IF((CkDJ[Date]=$A$4)*(CkDJ[Ofc Code]=(TRIM(F$7)))*(CkDJ[Account Code]=(TRIM($D51))),CkDJ[Debit])))+(SUM(IF((CsDJ[Date]=$A$4)*(CsDJ[Ofc Code]=(TRIM(F$7)))*(CsDJ[Account Code]=(TRIM($D51))),CsDJ[Debit])))+(SUM(IF((CRDJ[Date]=$A$4)*(CRDJ[Ofc Code]=(TRIM(F$7)))*(CRDJ[Account Code]=(TRIM($D51))),CRDJ[Debit])))+(SUM(IF((GJ[Date]=$A$4)*(GJ[Ofc Code]=(TRIM(F$7)))*(GJ[Account Code]=(TRIM($D51))),GJ[Debit])))-(SUM(IF((CkDJ[Date]=$A$4)*(CkDJ[Ofc Code]=(TRIM(F$7)))*(CkDJ[Account Code]=(TRIM($D51))),CkDJ[Credit])))+(SUM(IF((CsDJ[Date]=$A$4)*(CsDJ[Ofc Code]=(TRIM(F$7)))*(CsDJ[Account Code]=(TRIM($D51))),CsDJ[Credit])))+(SUM(IF((CRDJ[Date]=$A$4)*(CRDJ[Ofc Code]=(TRIM(F$7)))*(CRDJ[Account Code]=(TRIM($D51))),CRDJ[Credit])))+(SUM(IF((GJ[Date]=$A$4)*(GJ[Ofc Code]=(TRIM(F$7)))*(GJ[Account Code]=(TRIM($D51))),GJ[Credit])))</f>
        <v>0</v>
      </c>
      <c r="G51" s="211">
        <f t="array" ref="G51">(SUM(IF((CkDJ[Date]=$A$4)*(CkDJ[Ofc Code]=(TRIM(G$7)))*(CkDJ[Account Code]=(TRIM($D51))),CkDJ[Debit])))+(SUM(IF((CsDJ[Date]=$A$4)*(CsDJ[Ofc Code]=(TRIM(G$7)))*(CsDJ[Account Code]=(TRIM($D51))),CsDJ[Debit])))+(SUM(IF((CRDJ[Date]=$A$4)*(CRDJ[Ofc Code]=(TRIM(G$7)))*(CRDJ[Account Code]=(TRIM($D51))),CRDJ[Debit])))+(SUM(IF((GJ[Date]=$A$4)*(GJ[Ofc Code]=(TRIM(G$7)))*(GJ[Account Code]=(TRIM($D51))),GJ[Debit])))-(SUM(IF((CkDJ[Date]=$A$4)*(CkDJ[Ofc Code]=(TRIM(G$7)))*(CkDJ[Account Code]=(TRIM($D51))),CkDJ[Credit])))+(SUM(IF((CsDJ[Date]=$A$4)*(CsDJ[Ofc Code]=(TRIM(G$7)))*(CsDJ[Account Code]=(TRIM($D51))),CsDJ[Credit])))+(SUM(IF((CRDJ[Date]=$A$4)*(CRDJ[Ofc Code]=(TRIM(G$7)))*(CRDJ[Account Code]=(TRIM($D51))),CRDJ[Credit])))+(SUM(IF((GJ[Date]=$A$4)*(GJ[Ofc Code]=(TRIM(G$7)))*(GJ[Account Code]=(TRIM($D51))),GJ[Credit])))</f>
        <v>0</v>
      </c>
      <c r="H51" s="211">
        <f t="array" ref="H51">(SUM(IF((CkDJ[Date]=$A$4)*(CkDJ[Ofc Code]=(TRIM(H$7)))*(CkDJ[Account Code]=(TRIM($D51))),CkDJ[Debit])))+(SUM(IF((CsDJ[Date]=$A$4)*(CsDJ[Ofc Code]=(TRIM(H$7)))*(CsDJ[Account Code]=(TRIM($D51))),CsDJ[Debit])))+(SUM(IF((CRDJ[Date]=$A$4)*(CRDJ[Ofc Code]=(TRIM(H$7)))*(CRDJ[Account Code]=(TRIM($D51))),CRDJ[Debit])))+(SUM(IF((GJ[Date]=$A$4)*(GJ[Ofc Code]=(TRIM(H$7)))*(GJ[Account Code]=(TRIM($D51))),GJ[Debit])))-(SUM(IF((CkDJ[Date]=$A$4)*(CkDJ[Ofc Code]=(TRIM(H$7)))*(CkDJ[Account Code]=(TRIM($D51))),CkDJ[Credit])))+(SUM(IF((CsDJ[Date]=$A$4)*(CsDJ[Ofc Code]=(TRIM(H$7)))*(CsDJ[Account Code]=(TRIM($D51))),CsDJ[Credit])))+(SUM(IF((CRDJ[Date]=$A$4)*(CRDJ[Ofc Code]=(TRIM(H$7)))*(CRDJ[Account Code]=(TRIM($D51))),CRDJ[Credit])))+(SUM(IF((GJ[Date]=$A$4)*(GJ[Ofc Code]=(TRIM(H$7)))*(GJ[Account Code]=(TRIM($D51))),GJ[Credit])))</f>
        <v>0</v>
      </c>
      <c r="I51" s="211">
        <f t="shared" si="8"/>
        <v>0</v>
      </c>
      <c r="J51" s="211">
        <f t="array" ref="J51">(SUM(IF((CkDJ[Date]=$A$4)*(CkDJ[Ofc Code]=(TRIM(J$7)))*(CkDJ[Account Code]=(TRIM($D51))),CkDJ[Debit])))+(SUM(IF((CsDJ[Date]=$A$4)*(CsDJ[Ofc Code]=(TRIM(J$7)))*(CsDJ[Account Code]=(TRIM($D51))),CsDJ[Debit])))+(SUM(IF((CRDJ[Date]=$A$4)*(CRDJ[Ofc Code]=(TRIM(J$7)))*(CRDJ[Account Code]=(TRIM($D51))),CRDJ[Debit])))+(SUM(IF((GJ[Date]=$A$4)*(GJ[Ofc Code]=(TRIM(J$7)))*(GJ[Account Code]=(TRIM($D51))),GJ[Debit])))-(SUM(IF((CkDJ[Date]=$A$4)*(CkDJ[Ofc Code]=(TRIM(J$7)))*(CkDJ[Account Code]=(TRIM($D51))),CkDJ[Credit])))+(SUM(IF((CsDJ[Date]=$A$4)*(CsDJ[Ofc Code]=(TRIM(J$7)))*(CsDJ[Account Code]=(TRIM($D51))),CsDJ[Credit])))+(SUM(IF((CRDJ[Date]=$A$4)*(CRDJ[Ofc Code]=(TRIM(J$7)))*(CRDJ[Account Code]=(TRIM($D51))),CRDJ[Credit])))+(SUM(IF((GJ[Date]=$A$4)*(GJ[Ofc Code]=(TRIM(J$7)))*(GJ[Account Code]=(TRIM($D51))),GJ[Credit])))</f>
        <v>0</v>
      </c>
      <c r="K51" s="211">
        <f t="array" ref="K51">(SUM(IF((CkDJ[Date]=$A$4)*(CkDJ[Ofc Code]=(TRIM(K$7)))*(CkDJ[Account Code]=(TRIM($D51))),CkDJ[Debit])))+(SUM(IF((CsDJ[Date]=$A$4)*(CsDJ[Ofc Code]=(TRIM(K$7)))*(CsDJ[Account Code]=(TRIM($D51))),CsDJ[Debit])))+(SUM(IF((CRDJ[Date]=$A$4)*(CRDJ[Ofc Code]=(TRIM(K$7)))*(CRDJ[Account Code]=(TRIM($D51))),CRDJ[Debit])))+(SUM(IF((GJ[Date]=$A$4)*(GJ[Ofc Code]=(TRIM(K$7)))*(GJ[Account Code]=(TRIM($D51))),GJ[Debit])))-(SUM(IF((CkDJ[Date]=$A$4)*(CkDJ[Ofc Code]=(TRIM(K$7)))*(CkDJ[Account Code]=(TRIM($D51))),CkDJ[Credit])))+(SUM(IF((CsDJ[Date]=$A$4)*(CsDJ[Ofc Code]=(TRIM(K$7)))*(CsDJ[Account Code]=(TRIM($D51))),CsDJ[Credit])))+(SUM(IF((CRDJ[Date]=$A$4)*(CRDJ[Ofc Code]=(TRIM(K$7)))*(CRDJ[Account Code]=(TRIM($D51))),CRDJ[Credit])))+(SUM(IF((GJ[Date]=$A$4)*(GJ[Ofc Code]=(TRIM(K$7)))*(GJ[Account Code]=(TRIM($D51))),GJ[Credit])))</f>
        <v>0</v>
      </c>
      <c r="L51" s="211">
        <f t="array" ref="L51">(SUM(IF((CkDJ[Date]=$A$4)*(CkDJ[Ofc Code]=(TRIM(L$7)))*(CkDJ[Account Code]=(TRIM($D51))),CkDJ[Debit])))+(SUM(IF((CsDJ[Date]=$A$4)*(CsDJ[Ofc Code]=(TRIM(L$7)))*(CsDJ[Account Code]=(TRIM($D51))),CsDJ[Debit])))+(SUM(IF((CRDJ[Date]=$A$4)*(CRDJ[Ofc Code]=(TRIM(L$7)))*(CRDJ[Account Code]=(TRIM($D51))),CRDJ[Debit])))+(SUM(IF((GJ[Date]=$A$4)*(GJ[Ofc Code]=(TRIM(L$7)))*(GJ[Account Code]=(TRIM($D51))),GJ[Debit])))-(SUM(IF((CkDJ[Date]=$A$4)*(CkDJ[Ofc Code]=(TRIM(L$7)))*(CkDJ[Account Code]=(TRIM($D51))),CkDJ[Credit])))+(SUM(IF((CsDJ[Date]=$A$4)*(CsDJ[Ofc Code]=(TRIM(L$7)))*(CsDJ[Account Code]=(TRIM($D51))),CsDJ[Credit])))+(SUM(IF((CRDJ[Date]=$A$4)*(CRDJ[Ofc Code]=(TRIM(L$7)))*(CRDJ[Account Code]=(TRIM($D51))),CRDJ[Credit])))+(SUM(IF((GJ[Date]=$A$4)*(GJ[Ofc Code]=(TRIM(L$7)))*(GJ[Account Code]=(TRIM($D51))),GJ[Credit])))</f>
        <v>0</v>
      </c>
      <c r="M51" s="211">
        <f t="array" ref="M51">(SUM(IF((CkDJ[Date]=$A$4)*(CkDJ[Ofc Code]=(TRIM(M$7)))*(CkDJ[Account Code]=(TRIM($D51))),CkDJ[Debit])))+(SUM(IF((CsDJ[Date]=$A$4)*(CsDJ[Ofc Code]=(TRIM(M$7)))*(CsDJ[Account Code]=(TRIM($D51))),CsDJ[Debit])))+(SUM(IF((CRDJ[Date]=$A$4)*(CRDJ[Ofc Code]=(TRIM(M$7)))*(CRDJ[Account Code]=(TRIM($D51))),CRDJ[Debit])))+(SUM(IF((GJ[Date]=$A$4)*(GJ[Ofc Code]=(TRIM(M$7)))*(GJ[Account Code]=(TRIM($D51))),GJ[Debit])))-(SUM(IF((CkDJ[Date]=$A$4)*(CkDJ[Ofc Code]=(TRIM(M$7)))*(CkDJ[Account Code]=(TRIM($D51))),CkDJ[Credit])))+(SUM(IF((CsDJ[Date]=$A$4)*(CsDJ[Ofc Code]=(TRIM(M$7)))*(CsDJ[Account Code]=(TRIM($D51))),CsDJ[Credit])))+(SUM(IF((CRDJ[Date]=$A$4)*(CRDJ[Ofc Code]=(TRIM(M$7)))*(CRDJ[Account Code]=(TRIM($D51))),CRDJ[Credit])))+(SUM(IF((GJ[Date]=$A$4)*(GJ[Ofc Code]=(TRIM(M$7)))*(GJ[Account Code]=(TRIM($D51))),GJ[Credit])))</f>
        <v>0</v>
      </c>
      <c r="N51" s="211">
        <f t="shared" si="9"/>
        <v>0</v>
      </c>
      <c r="O51" s="211">
        <f t="array" ref="O51">(SUM(IF((CkDJ[Date]=$A$4)*(CkDJ[Ofc Code]=(TRIM(O$7)))*(CkDJ[Account Code]=(TRIM($D51))),CkDJ[Debit])))+(SUM(IF((CsDJ[Date]=$A$4)*(CsDJ[Ofc Code]=(TRIM(O$7)))*(CsDJ[Account Code]=(TRIM($D51))),CsDJ[Debit])))+(SUM(IF((CRDJ[Date]=$A$4)*(CRDJ[Ofc Code]=(TRIM(O$7)))*(CRDJ[Account Code]=(TRIM($D51))),CRDJ[Debit])))+(SUM(IF((GJ[Date]=$A$4)*(GJ[Ofc Code]=(TRIM(O$7)))*(GJ[Account Code]=(TRIM($D51))),GJ[Debit])))-(SUM(IF((CkDJ[Date]=$A$4)*(CkDJ[Ofc Code]=(TRIM(O$7)))*(CkDJ[Account Code]=(TRIM($D51))),CkDJ[Credit])))+(SUM(IF((CsDJ[Date]=$A$4)*(CsDJ[Ofc Code]=(TRIM(O$7)))*(CsDJ[Account Code]=(TRIM($D51))),CsDJ[Credit])))+(SUM(IF((CRDJ[Date]=$A$4)*(CRDJ[Ofc Code]=(TRIM(O$7)))*(CRDJ[Account Code]=(TRIM($D51))),CRDJ[Credit])))+(SUM(IF((GJ[Date]=$A$4)*(GJ[Ofc Code]=(TRIM(O$7)))*(GJ[Account Code]=(TRIM($D51))),GJ[Credit])))</f>
        <v>0</v>
      </c>
      <c r="P51" s="211">
        <f t="array" ref="P51">(SUM(IF((CkDJ[Date]=$A$4)*(CkDJ[Ofc Code]=(TRIM(P$7)))*(CkDJ[Account Code]=(TRIM($D51))),CkDJ[Debit])))+(SUM(IF((CsDJ[Date]=$A$4)*(CsDJ[Ofc Code]=(TRIM(P$7)))*(CsDJ[Account Code]=(TRIM($D51))),CsDJ[Debit])))+(SUM(IF((CRDJ[Date]=$A$4)*(CRDJ[Ofc Code]=(TRIM(P$7)))*(CRDJ[Account Code]=(TRIM($D51))),CRDJ[Debit])))+(SUM(IF((GJ[Date]=$A$4)*(GJ[Ofc Code]=(TRIM(P$7)))*(GJ[Account Code]=(TRIM($D51))),GJ[Debit])))-(SUM(IF((CkDJ[Date]=$A$4)*(CkDJ[Ofc Code]=(TRIM(P$7)))*(CkDJ[Account Code]=(TRIM($D51))),CkDJ[Credit])))+(SUM(IF((CsDJ[Date]=$A$4)*(CsDJ[Ofc Code]=(TRIM(P$7)))*(CsDJ[Account Code]=(TRIM($D51))),CsDJ[Credit])))+(SUM(IF((CRDJ[Date]=$A$4)*(CRDJ[Ofc Code]=(TRIM(P$7)))*(CRDJ[Account Code]=(TRIM($D51))),CRDJ[Credit])))+(SUM(IF((GJ[Date]=$A$4)*(GJ[Ofc Code]=(TRIM(P$7)))*(GJ[Account Code]=(TRIM($D51))),GJ[Credit])))</f>
        <v>0</v>
      </c>
      <c r="Q51" s="211">
        <f t="array" ref="Q51">(SUM(IF((CkDJ[Date]=$A$4)*(CkDJ[Ofc Code]=(TRIM(Q$7)))*(CkDJ[Account Code]=(TRIM($D51))),CkDJ[Debit])))+(SUM(IF((CsDJ[Date]=$A$4)*(CsDJ[Ofc Code]=(TRIM(Q$7)))*(CsDJ[Account Code]=(TRIM($D51))),CsDJ[Debit])))+(SUM(IF((CRDJ[Date]=$A$4)*(CRDJ[Ofc Code]=(TRIM(Q$7)))*(CRDJ[Account Code]=(TRIM($D51))),CRDJ[Debit])))+(SUM(IF((GJ[Date]=$A$4)*(GJ[Ofc Code]=(TRIM(Q$7)))*(GJ[Account Code]=(TRIM($D51))),GJ[Debit])))-(SUM(IF((CkDJ[Date]=$A$4)*(CkDJ[Ofc Code]=(TRIM(Q$7)))*(CkDJ[Account Code]=(TRIM($D51))),CkDJ[Credit])))+(SUM(IF((CsDJ[Date]=$A$4)*(CsDJ[Ofc Code]=(TRIM(Q$7)))*(CsDJ[Account Code]=(TRIM($D51))),CsDJ[Credit])))+(SUM(IF((CRDJ[Date]=$A$4)*(CRDJ[Ofc Code]=(TRIM(Q$7)))*(CRDJ[Account Code]=(TRIM($D51))),CRDJ[Credit])))+(SUM(IF((GJ[Date]=$A$4)*(GJ[Ofc Code]=(TRIM(Q$7)))*(GJ[Account Code]=(TRIM($D51))),GJ[Credit])))</f>
        <v>0</v>
      </c>
      <c r="R51" s="211">
        <f t="array" ref="R51">(SUM(IF((CkDJ[Date]=$A$4)*(CkDJ[Ofc Code]=(TRIM(R$7)))*(CkDJ[Account Code]=(TRIM($D51))),CkDJ[Debit])))+(SUM(IF((CsDJ[Date]=$A$4)*(CsDJ[Ofc Code]=(TRIM(R$7)))*(CsDJ[Account Code]=(TRIM($D51))),CsDJ[Debit])))+(SUM(IF((CRDJ[Date]=$A$4)*(CRDJ[Ofc Code]=(TRIM(R$7)))*(CRDJ[Account Code]=(TRIM($D51))),CRDJ[Debit])))+(SUM(IF((GJ[Date]=$A$4)*(GJ[Ofc Code]=(TRIM(R$7)))*(GJ[Account Code]=(TRIM($D51))),GJ[Debit])))-(SUM(IF((CkDJ[Date]=$A$4)*(CkDJ[Ofc Code]=(TRIM(R$7)))*(CkDJ[Account Code]=(TRIM($D51))),CkDJ[Credit])))+(SUM(IF((CsDJ[Date]=$A$4)*(CsDJ[Ofc Code]=(TRIM(R$7)))*(CsDJ[Account Code]=(TRIM($D51))),CsDJ[Credit])))+(SUM(IF((CRDJ[Date]=$A$4)*(CRDJ[Ofc Code]=(TRIM(R$7)))*(CRDJ[Account Code]=(TRIM($D51))),CRDJ[Credit])))+(SUM(IF((GJ[Date]=$A$4)*(GJ[Ofc Code]=(TRIM(R$7)))*(GJ[Account Code]=(TRIM($D51))),GJ[Credit])))</f>
        <v>0</v>
      </c>
      <c r="S51" s="211">
        <f t="array" ref="S51">(SUM(IF((CkDJ[Date]=$A$4)*(CkDJ[Ofc Code]=(TRIM(S$7)))*(CkDJ[Account Code]=(TRIM($D51))),CkDJ[Debit])))+(SUM(IF((CsDJ[Date]=$A$4)*(CsDJ[Ofc Code]=(TRIM(S$7)))*(CsDJ[Account Code]=(TRIM($D51))),CsDJ[Debit])))+(SUM(IF((CRDJ[Date]=$A$4)*(CRDJ[Ofc Code]=(TRIM(S$7)))*(CRDJ[Account Code]=(TRIM($D51))),CRDJ[Debit])))+(SUM(IF((GJ[Date]=$A$4)*(GJ[Ofc Code]=(TRIM(S$7)))*(GJ[Account Code]=(TRIM($D51))),GJ[Debit])))-(SUM(IF((CkDJ[Date]=$A$4)*(CkDJ[Ofc Code]=(TRIM(S$7)))*(CkDJ[Account Code]=(TRIM($D51))),CkDJ[Credit])))+(SUM(IF((CsDJ[Date]=$A$4)*(CsDJ[Ofc Code]=(TRIM(S$7)))*(CsDJ[Account Code]=(TRIM($D51))),CsDJ[Credit])))+(SUM(IF((CRDJ[Date]=$A$4)*(CRDJ[Ofc Code]=(TRIM(S$7)))*(CRDJ[Account Code]=(TRIM($D51))),CRDJ[Credit])))+(SUM(IF((GJ[Date]=$A$4)*(GJ[Ofc Code]=(TRIM(S$7)))*(GJ[Account Code]=(TRIM($D51))),GJ[Credit])))</f>
        <v>0</v>
      </c>
      <c r="T51" s="211">
        <f t="shared" si="10"/>
        <v>0</v>
      </c>
      <c r="U51" s="211">
        <f t="shared" si="11"/>
        <v>0</v>
      </c>
    </row>
    <row r="52" spans="1:21" ht="15" x14ac:dyDescent="0.25">
      <c r="A52" s="212">
        <f t="shared" si="12"/>
        <v>19</v>
      </c>
      <c r="B52" s="214" t="s">
        <v>756</v>
      </c>
      <c r="C52" s="194" t="str">
        <f t="shared" si="7"/>
        <v>Pag-IBIG Contributions</v>
      </c>
      <c r="D52" s="215">
        <v>732</v>
      </c>
      <c r="E52" s="211">
        <f t="array" ref="E52">(SUM(IF((CkDJ[Date]=$A$4)*(CkDJ[Ofc Code]=(TRIM(E$7)))*(CkDJ[Account Code]=(TRIM($D52))),CkDJ[Debit])))+(SUM(IF((CsDJ[Date]=$A$4)*(CsDJ[Ofc Code]=(TRIM(E$7)))*(CsDJ[Account Code]=(TRIM($D52))),CsDJ[Debit])))+(SUM(IF((CRDJ[Date]=$A$4)*(CRDJ[Ofc Code]=(TRIM(E$7)))*(CRDJ[Account Code]=(TRIM($D52))),CRDJ[Debit])))+(SUM(IF((GJ[Date]=$A$4)*(GJ[Ofc Code]=(TRIM(E$7)))*(GJ[Account Code]=(TRIM($D52))),GJ[Debit])))-(SUM(IF((CkDJ[Date]=$A$4)*(CkDJ[Ofc Code]=(TRIM(E$7)))*(CkDJ[Account Code]=(TRIM($D52))),CkDJ[Credit])))+(SUM(IF((CsDJ[Date]=$A$4)*(CsDJ[Ofc Code]=(TRIM(E$7)))*(CsDJ[Account Code]=(TRIM($D52))),CsDJ[Credit])))+(SUM(IF((CRDJ[Date]=$A$4)*(CRDJ[Ofc Code]=(TRIM(E$7)))*(CRDJ[Account Code]=(TRIM($D52))),CRDJ[Credit])))+(SUM(IF((GJ[Date]=$A$4)*(GJ[Ofc Code]=(TRIM(E$7)))*(GJ[Account Code]=(TRIM($D52))),GJ[Credit])))</f>
        <v>0</v>
      </c>
      <c r="F52" s="211">
        <f t="array" ref="F52">(SUM(IF((CkDJ[Date]=$A$4)*(CkDJ[Ofc Code]=(TRIM(F$7)))*(CkDJ[Account Code]=(TRIM($D52))),CkDJ[Debit])))+(SUM(IF((CsDJ[Date]=$A$4)*(CsDJ[Ofc Code]=(TRIM(F$7)))*(CsDJ[Account Code]=(TRIM($D52))),CsDJ[Debit])))+(SUM(IF((CRDJ[Date]=$A$4)*(CRDJ[Ofc Code]=(TRIM(F$7)))*(CRDJ[Account Code]=(TRIM($D52))),CRDJ[Debit])))+(SUM(IF((GJ[Date]=$A$4)*(GJ[Ofc Code]=(TRIM(F$7)))*(GJ[Account Code]=(TRIM($D52))),GJ[Debit])))-(SUM(IF((CkDJ[Date]=$A$4)*(CkDJ[Ofc Code]=(TRIM(F$7)))*(CkDJ[Account Code]=(TRIM($D52))),CkDJ[Credit])))+(SUM(IF((CsDJ[Date]=$A$4)*(CsDJ[Ofc Code]=(TRIM(F$7)))*(CsDJ[Account Code]=(TRIM($D52))),CsDJ[Credit])))+(SUM(IF((CRDJ[Date]=$A$4)*(CRDJ[Ofc Code]=(TRIM(F$7)))*(CRDJ[Account Code]=(TRIM($D52))),CRDJ[Credit])))+(SUM(IF((GJ[Date]=$A$4)*(GJ[Ofc Code]=(TRIM(F$7)))*(GJ[Account Code]=(TRIM($D52))),GJ[Credit])))</f>
        <v>0</v>
      </c>
      <c r="G52" s="211">
        <f t="array" ref="G52">(SUM(IF((CkDJ[Date]=$A$4)*(CkDJ[Ofc Code]=(TRIM(G$7)))*(CkDJ[Account Code]=(TRIM($D52))),CkDJ[Debit])))+(SUM(IF((CsDJ[Date]=$A$4)*(CsDJ[Ofc Code]=(TRIM(G$7)))*(CsDJ[Account Code]=(TRIM($D52))),CsDJ[Debit])))+(SUM(IF((CRDJ[Date]=$A$4)*(CRDJ[Ofc Code]=(TRIM(G$7)))*(CRDJ[Account Code]=(TRIM($D52))),CRDJ[Debit])))+(SUM(IF((GJ[Date]=$A$4)*(GJ[Ofc Code]=(TRIM(G$7)))*(GJ[Account Code]=(TRIM($D52))),GJ[Debit])))-(SUM(IF((CkDJ[Date]=$A$4)*(CkDJ[Ofc Code]=(TRIM(G$7)))*(CkDJ[Account Code]=(TRIM($D52))),CkDJ[Credit])))+(SUM(IF((CsDJ[Date]=$A$4)*(CsDJ[Ofc Code]=(TRIM(G$7)))*(CsDJ[Account Code]=(TRIM($D52))),CsDJ[Credit])))+(SUM(IF((CRDJ[Date]=$A$4)*(CRDJ[Ofc Code]=(TRIM(G$7)))*(CRDJ[Account Code]=(TRIM($D52))),CRDJ[Credit])))+(SUM(IF((GJ[Date]=$A$4)*(GJ[Ofc Code]=(TRIM(G$7)))*(GJ[Account Code]=(TRIM($D52))),GJ[Credit])))</f>
        <v>0</v>
      </c>
      <c r="H52" s="211">
        <f t="array" ref="H52">(SUM(IF((CkDJ[Date]=$A$4)*(CkDJ[Ofc Code]=(TRIM(H$7)))*(CkDJ[Account Code]=(TRIM($D52))),CkDJ[Debit])))+(SUM(IF((CsDJ[Date]=$A$4)*(CsDJ[Ofc Code]=(TRIM(H$7)))*(CsDJ[Account Code]=(TRIM($D52))),CsDJ[Debit])))+(SUM(IF((CRDJ[Date]=$A$4)*(CRDJ[Ofc Code]=(TRIM(H$7)))*(CRDJ[Account Code]=(TRIM($D52))),CRDJ[Debit])))+(SUM(IF((GJ[Date]=$A$4)*(GJ[Ofc Code]=(TRIM(H$7)))*(GJ[Account Code]=(TRIM($D52))),GJ[Debit])))-(SUM(IF((CkDJ[Date]=$A$4)*(CkDJ[Ofc Code]=(TRIM(H$7)))*(CkDJ[Account Code]=(TRIM($D52))),CkDJ[Credit])))+(SUM(IF((CsDJ[Date]=$A$4)*(CsDJ[Ofc Code]=(TRIM(H$7)))*(CsDJ[Account Code]=(TRIM($D52))),CsDJ[Credit])))+(SUM(IF((CRDJ[Date]=$A$4)*(CRDJ[Ofc Code]=(TRIM(H$7)))*(CRDJ[Account Code]=(TRIM($D52))),CRDJ[Credit])))+(SUM(IF((GJ[Date]=$A$4)*(GJ[Ofc Code]=(TRIM(H$7)))*(GJ[Account Code]=(TRIM($D52))),GJ[Credit])))</f>
        <v>0</v>
      </c>
      <c r="I52" s="211">
        <f t="shared" si="8"/>
        <v>0</v>
      </c>
      <c r="J52" s="211">
        <f t="array" ref="J52">(SUM(IF((CkDJ[Date]=$A$4)*(CkDJ[Ofc Code]=(TRIM(J$7)))*(CkDJ[Account Code]=(TRIM($D52))),CkDJ[Debit])))+(SUM(IF((CsDJ[Date]=$A$4)*(CsDJ[Ofc Code]=(TRIM(J$7)))*(CsDJ[Account Code]=(TRIM($D52))),CsDJ[Debit])))+(SUM(IF((CRDJ[Date]=$A$4)*(CRDJ[Ofc Code]=(TRIM(J$7)))*(CRDJ[Account Code]=(TRIM($D52))),CRDJ[Debit])))+(SUM(IF((GJ[Date]=$A$4)*(GJ[Ofc Code]=(TRIM(J$7)))*(GJ[Account Code]=(TRIM($D52))),GJ[Debit])))-(SUM(IF((CkDJ[Date]=$A$4)*(CkDJ[Ofc Code]=(TRIM(J$7)))*(CkDJ[Account Code]=(TRIM($D52))),CkDJ[Credit])))+(SUM(IF((CsDJ[Date]=$A$4)*(CsDJ[Ofc Code]=(TRIM(J$7)))*(CsDJ[Account Code]=(TRIM($D52))),CsDJ[Credit])))+(SUM(IF((CRDJ[Date]=$A$4)*(CRDJ[Ofc Code]=(TRIM(J$7)))*(CRDJ[Account Code]=(TRIM($D52))),CRDJ[Credit])))+(SUM(IF((GJ[Date]=$A$4)*(GJ[Ofc Code]=(TRIM(J$7)))*(GJ[Account Code]=(TRIM($D52))),GJ[Credit])))</f>
        <v>0</v>
      </c>
      <c r="K52" s="211">
        <f t="array" ref="K52">(SUM(IF((CkDJ[Date]=$A$4)*(CkDJ[Ofc Code]=(TRIM(K$7)))*(CkDJ[Account Code]=(TRIM($D52))),CkDJ[Debit])))+(SUM(IF((CsDJ[Date]=$A$4)*(CsDJ[Ofc Code]=(TRIM(K$7)))*(CsDJ[Account Code]=(TRIM($D52))),CsDJ[Debit])))+(SUM(IF((CRDJ[Date]=$A$4)*(CRDJ[Ofc Code]=(TRIM(K$7)))*(CRDJ[Account Code]=(TRIM($D52))),CRDJ[Debit])))+(SUM(IF((GJ[Date]=$A$4)*(GJ[Ofc Code]=(TRIM(K$7)))*(GJ[Account Code]=(TRIM($D52))),GJ[Debit])))-(SUM(IF((CkDJ[Date]=$A$4)*(CkDJ[Ofc Code]=(TRIM(K$7)))*(CkDJ[Account Code]=(TRIM($D52))),CkDJ[Credit])))+(SUM(IF((CsDJ[Date]=$A$4)*(CsDJ[Ofc Code]=(TRIM(K$7)))*(CsDJ[Account Code]=(TRIM($D52))),CsDJ[Credit])))+(SUM(IF((CRDJ[Date]=$A$4)*(CRDJ[Ofc Code]=(TRIM(K$7)))*(CRDJ[Account Code]=(TRIM($D52))),CRDJ[Credit])))+(SUM(IF((GJ[Date]=$A$4)*(GJ[Ofc Code]=(TRIM(K$7)))*(GJ[Account Code]=(TRIM($D52))),GJ[Credit])))</f>
        <v>0</v>
      </c>
      <c r="L52" s="211">
        <f t="array" ref="L52">(SUM(IF((CkDJ[Date]=$A$4)*(CkDJ[Ofc Code]=(TRIM(L$7)))*(CkDJ[Account Code]=(TRIM($D52))),CkDJ[Debit])))+(SUM(IF((CsDJ[Date]=$A$4)*(CsDJ[Ofc Code]=(TRIM(L$7)))*(CsDJ[Account Code]=(TRIM($D52))),CsDJ[Debit])))+(SUM(IF((CRDJ[Date]=$A$4)*(CRDJ[Ofc Code]=(TRIM(L$7)))*(CRDJ[Account Code]=(TRIM($D52))),CRDJ[Debit])))+(SUM(IF((GJ[Date]=$A$4)*(GJ[Ofc Code]=(TRIM(L$7)))*(GJ[Account Code]=(TRIM($D52))),GJ[Debit])))-(SUM(IF((CkDJ[Date]=$A$4)*(CkDJ[Ofc Code]=(TRIM(L$7)))*(CkDJ[Account Code]=(TRIM($D52))),CkDJ[Credit])))+(SUM(IF((CsDJ[Date]=$A$4)*(CsDJ[Ofc Code]=(TRIM(L$7)))*(CsDJ[Account Code]=(TRIM($D52))),CsDJ[Credit])))+(SUM(IF((CRDJ[Date]=$A$4)*(CRDJ[Ofc Code]=(TRIM(L$7)))*(CRDJ[Account Code]=(TRIM($D52))),CRDJ[Credit])))+(SUM(IF((GJ[Date]=$A$4)*(GJ[Ofc Code]=(TRIM(L$7)))*(GJ[Account Code]=(TRIM($D52))),GJ[Credit])))</f>
        <v>0</v>
      </c>
      <c r="M52" s="211">
        <f t="array" ref="M52">(SUM(IF((CkDJ[Date]=$A$4)*(CkDJ[Ofc Code]=(TRIM(M$7)))*(CkDJ[Account Code]=(TRIM($D52))),CkDJ[Debit])))+(SUM(IF((CsDJ[Date]=$A$4)*(CsDJ[Ofc Code]=(TRIM(M$7)))*(CsDJ[Account Code]=(TRIM($D52))),CsDJ[Debit])))+(SUM(IF((CRDJ[Date]=$A$4)*(CRDJ[Ofc Code]=(TRIM(M$7)))*(CRDJ[Account Code]=(TRIM($D52))),CRDJ[Debit])))+(SUM(IF((GJ[Date]=$A$4)*(GJ[Ofc Code]=(TRIM(M$7)))*(GJ[Account Code]=(TRIM($D52))),GJ[Debit])))-(SUM(IF((CkDJ[Date]=$A$4)*(CkDJ[Ofc Code]=(TRIM(M$7)))*(CkDJ[Account Code]=(TRIM($D52))),CkDJ[Credit])))+(SUM(IF((CsDJ[Date]=$A$4)*(CsDJ[Ofc Code]=(TRIM(M$7)))*(CsDJ[Account Code]=(TRIM($D52))),CsDJ[Credit])))+(SUM(IF((CRDJ[Date]=$A$4)*(CRDJ[Ofc Code]=(TRIM(M$7)))*(CRDJ[Account Code]=(TRIM($D52))),CRDJ[Credit])))+(SUM(IF((GJ[Date]=$A$4)*(GJ[Ofc Code]=(TRIM(M$7)))*(GJ[Account Code]=(TRIM($D52))),GJ[Credit])))</f>
        <v>0</v>
      </c>
      <c r="N52" s="211">
        <f t="shared" si="9"/>
        <v>0</v>
      </c>
      <c r="O52" s="211">
        <f t="array" ref="O52">(SUM(IF((CkDJ[Date]=$A$4)*(CkDJ[Ofc Code]=(TRIM(O$7)))*(CkDJ[Account Code]=(TRIM($D52))),CkDJ[Debit])))+(SUM(IF((CsDJ[Date]=$A$4)*(CsDJ[Ofc Code]=(TRIM(O$7)))*(CsDJ[Account Code]=(TRIM($D52))),CsDJ[Debit])))+(SUM(IF((CRDJ[Date]=$A$4)*(CRDJ[Ofc Code]=(TRIM(O$7)))*(CRDJ[Account Code]=(TRIM($D52))),CRDJ[Debit])))+(SUM(IF((GJ[Date]=$A$4)*(GJ[Ofc Code]=(TRIM(O$7)))*(GJ[Account Code]=(TRIM($D52))),GJ[Debit])))-(SUM(IF((CkDJ[Date]=$A$4)*(CkDJ[Ofc Code]=(TRIM(O$7)))*(CkDJ[Account Code]=(TRIM($D52))),CkDJ[Credit])))+(SUM(IF((CsDJ[Date]=$A$4)*(CsDJ[Ofc Code]=(TRIM(O$7)))*(CsDJ[Account Code]=(TRIM($D52))),CsDJ[Credit])))+(SUM(IF((CRDJ[Date]=$A$4)*(CRDJ[Ofc Code]=(TRIM(O$7)))*(CRDJ[Account Code]=(TRIM($D52))),CRDJ[Credit])))+(SUM(IF((GJ[Date]=$A$4)*(GJ[Ofc Code]=(TRIM(O$7)))*(GJ[Account Code]=(TRIM($D52))),GJ[Credit])))</f>
        <v>0</v>
      </c>
      <c r="P52" s="211">
        <f t="array" ref="P52">(SUM(IF((CkDJ[Date]=$A$4)*(CkDJ[Ofc Code]=(TRIM(P$7)))*(CkDJ[Account Code]=(TRIM($D52))),CkDJ[Debit])))+(SUM(IF((CsDJ[Date]=$A$4)*(CsDJ[Ofc Code]=(TRIM(P$7)))*(CsDJ[Account Code]=(TRIM($D52))),CsDJ[Debit])))+(SUM(IF((CRDJ[Date]=$A$4)*(CRDJ[Ofc Code]=(TRIM(P$7)))*(CRDJ[Account Code]=(TRIM($D52))),CRDJ[Debit])))+(SUM(IF((GJ[Date]=$A$4)*(GJ[Ofc Code]=(TRIM(P$7)))*(GJ[Account Code]=(TRIM($D52))),GJ[Debit])))-(SUM(IF((CkDJ[Date]=$A$4)*(CkDJ[Ofc Code]=(TRIM(P$7)))*(CkDJ[Account Code]=(TRIM($D52))),CkDJ[Credit])))+(SUM(IF((CsDJ[Date]=$A$4)*(CsDJ[Ofc Code]=(TRIM(P$7)))*(CsDJ[Account Code]=(TRIM($D52))),CsDJ[Credit])))+(SUM(IF((CRDJ[Date]=$A$4)*(CRDJ[Ofc Code]=(TRIM(P$7)))*(CRDJ[Account Code]=(TRIM($D52))),CRDJ[Credit])))+(SUM(IF((GJ[Date]=$A$4)*(GJ[Ofc Code]=(TRIM(P$7)))*(GJ[Account Code]=(TRIM($D52))),GJ[Credit])))</f>
        <v>0</v>
      </c>
      <c r="Q52" s="211">
        <f t="array" ref="Q52">(SUM(IF((CkDJ[Date]=$A$4)*(CkDJ[Ofc Code]=(TRIM(Q$7)))*(CkDJ[Account Code]=(TRIM($D52))),CkDJ[Debit])))+(SUM(IF((CsDJ[Date]=$A$4)*(CsDJ[Ofc Code]=(TRIM(Q$7)))*(CsDJ[Account Code]=(TRIM($D52))),CsDJ[Debit])))+(SUM(IF((CRDJ[Date]=$A$4)*(CRDJ[Ofc Code]=(TRIM(Q$7)))*(CRDJ[Account Code]=(TRIM($D52))),CRDJ[Debit])))+(SUM(IF((GJ[Date]=$A$4)*(GJ[Ofc Code]=(TRIM(Q$7)))*(GJ[Account Code]=(TRIM($D52))),GJ[Debit])))-(SUM(IF((CkDJ[Date]=$A$4)*(CkDJ[Ofc Code]=(TRIM(Q$7)))*(CkDJ[Account Code]=(TRIM($D52))),CkDJ[Credit])))+(SUM(IF((CsDJ[Date]=$A$4)*(CsDJ[Ofc Code]=(TRIM(Q$7)))*(CsDJ[Account Code]=(TRIM($D52))),CsDJ[Credit])))+(SUM(IF((CRDJ[Date]=$A$4)*(CRDJ[Ofc Code]=(TRIM(Q$7)))*(CRDJ[Account Code]=(TRIM($D52))),CRDJ[Credit])))+(SUM(IF((GJ[Date]=$A$4)*(GJ[Ofc Code]=(TRIM(Q$7)))*(GJ[Account Code]=(TRIM($D52))),GJ[Credit])))</f>
        <v>0</v>
      </c>
      <c r="R52" s="211">
        <f t="array" ref="R52">(SUM(IF((CkDJ[Date]=$A$4)*(CkDJ[Ofc Code]=(TRIM(R$7)))*(CkDJ[Account Code]=(TRIM($D52))),CkDJ[Debit])))+(SUM(IF((CsDJ[Date]=$A$4)*(CsDJ[Ofc Code]=(TRIM(R$7)))*(CsDJ[Account Code]=(TRIM($D52))),CsDJ[Debit])))+(SUM(IF((CRDJ[Date]=$A$4)*(CRDJ[Ofc Code]=(TRIM(R$7)))*(CRDJ[Account Code]=(TRIM($D52))),CRDJ[Debit])))+(SUM(IF((GJ[Date]=$A$4)*(GJ[Ofc Code]=(TRIM(R$7)))*(GJ[Account Code]=(TRIM($D52))),GJ[Debit])))-(SUM(IF((CkDJ[Date]=$A$4)*(CkDJ[Ofc Code]=(TRIM(R$7)))*(CkDJ[Account Code]=(TRIM($D52))),CkDJ[Credit])))+(SUM(IF((CsDJ[Date]=$A$4)*(CsDJ[Ofc Code]=(TRIM(R$7)))*(CsDJ[Account Code]=(TRIM($D52))),CsDJ[Credit])))+(SUM(IF((CRDJ[Date]=$A$4)*(CRDJ[Ofc Code]=(TRIM(R$7)))*(CRDJ[Account Code]=(TRIM($D52))),CRDJ[Credit])))+(SUM(IF((GJ[Date]=$A$4)*(GJ[Ofc Code]=(TRIM(R$7)))*(GJ[Account Code]=(TRIM($D52))),GJ[Credit])))</f>
        <v>0</v>
      </c>
      <c r="S52" s="211">
        <f t="array" ref="S52">(SUM(IF((CkDJ[Date]=$A$4)*(CkDJ[Ofc Code]=(TRIM(S$7)))*(CkDJ[Account Code]=(TRIM($D52))),CkDJ[Debit])))+(SUM(IF((CsDJ[Date]=$A$4)*(CsDJ[Ofc Code]=(TRIM(S$7)))*(CsDJ[Account Code]=(TRIM($D52))),CsDJ[Debit])))+(SUM(IF((CRDJ[Date]=$A$4)*(CRDJ[Ofc Code]=(TRIM(S$7)))*(CRDJ[Account Code]=(TRIM($D52))),CRDJ[Debit])))+(SUM(IF((GJ[Date]=$A$4)*(GJ[Ofc Code]=(TRIM(S$7)))*(GJ[Account Code]=(TRIM($D52))),GJ[Debit])))-(SUM(IF((CkDJ[Date]=$A$4)*(CkDJ[Ofc Code]=(TRIM(S$7)))*(CkDJ[Account Code]=(TRIM($D52))),CkDJ[Credit])))+(SUM(IF((CsDJ[Date]=$A$4)*(CsDJ[Ofc Code]=(TRIM(S$7)))*(CsDJ[Account Code]=(TRIM($D52))),CsDJ[Credit])))+(SUM(IF((CRDJ[Date]=$A$4)*(CRDJ[Ofc Code]=(TRIM(S$7)))*(CRDJ[Account Code]=(TRIM($D52))),CRDJ[Credit])))+(SUM(IF((GJ[Date]=$A$4)*(GJ[Ofc Code]=(TRIM(S$7)))*(GJ[Account Code]=(TRIM($D52))),GJ[Credit])))</f>
        <v>0</v>
      </c>
      <c r="T52" s="211">
        <f t="shared" si="10"/>
        <v>0</v>
      </c>
      <c r="U52" s="211">
        <f t="shared" si="11"/>
        <v>0</v>
      </c>
    </row>
    <row r="53" spans="1:21" ht="15" x14ac:dyDescent="0.25">
      <c r="A53" s="212">
        <f t="shared" si="12"/>
        <v>20</v>
      </c>
      <c r="B53" s="214" t="s">
        <v>756</v>
      </c>
      <c r="C53" s="194" t="str">
        <f t="shared" si="7"/>
        <v>PhilHealth Contributions</v>
      </c>
      <c r="D53" s="215">
        <v>733</v>
      </c>
      <c r="E53" s="211">
        <f t="array" ref="E53">(SUM(IF((CkDJ[Date]=$A$4)*(CkDJ[Ofc Code]=(TRIM(E$7)))*(CkDJ[Account Code]=(TRIM($D53))),CkDJ[Debit])))+(SUM(IF((CsDJ[Date]=$A$4)*(CsDJ[Ofc Code]=(TRIM(E$7)))*(CsDJ[Account Code]=(TRIM($D53))),CsDJ[Debit])))+(SUM(IF((CRDJ[Date]=$A$4)*(CRDJ[Ofc Code]=(TRIM(E$7)))*(CRDJ[Account Code]=(TRIM($D53))),CRDJ[Debit])))+(SUM(IF((GJ[Date]=$A$4)*(GJ[Ofc Code]=(TRIM(E$7)))*(GJ[Account Code]=(TRIM($D53))),GJ[Debit])))-(SUM(IF((CkDJ[Date]=$A$4)*(CkDJ[Ofc Code]=(TRIM(E$7)))*(CkDJ[Account Code]=(TRIM($D53))),CkDJ[Credit])))+(SUM(IF((CsDJ[Date]=$A$4)*(CsDJ[Ofc Code]=(TRIM(E$7)))*(CsDJ[Account Code]=(TRIM($D53))),CsDJ[Credit])))+(SUM(IF((CRDJ[Date]=$A$4)*(CRDJ[Ofc Code]=(TRIM(E$7)))*(CRDJ[Account Code]=(TRIM($D53))),CRDJ[Credit])))+(SUM(IF((GJ[Date]=$A$4)*(GJ[Ofc Code]=(TRIM(E$7)))*(GJ[Account Code]=(TRIM($D53))),GJ[Credit])))</f>
        <v>0</v>
      </c>
      <c r="F53" s="211">
        <f t="array" ref="F53">(SUM(IF((CkDJ[Date]=$A$4)*(CkDJ[Ofc Code]=(TRIM(F$7)))*(CkDJ[Account Code]=(TRIM($D53))),CkDJ[Debit])))+(SUM(IF((CsDJ[Date]=$A$4)*(CsDJ[Ofc Code]=(TRIM(F$7)))*(CsDJ[Account Code]=(TRIM($D53))),CsDJ[Debit])))+(SUM(IF((CRDJ[Date]=$A$4)*(CRDJ[Ofc Code]=(TRIM(F$7)))*(CRDJ[Account Code]=(TRIM($D53))),CRDJ[Debit])))+(SUM(IF((GJ[Date]=$A$4)*(GJ[Ofc Code]=(TRIM(F$7)))*(GJ[Account Code]=(TRIM($D53))),GJ[Debit])))-(SUM(IF((CkDJ[Date]=$A$4)*(CkDJ[Ofc Code]=(TRIM(F$7)))*(CkDJ[Account Code]=(TRIM($D53))),CkDJ[Credit])))+(SUM(IF((CsDJ[Date]=$A$4)*(CsDJ[Ofc Code]=(TRIM(F$7)))*(CsDJ[Account Code]=(TRIM($D53))),CsDJ[Credit])))+(SUM(IF((CRDJ[Date]=$A$4)*(CRDJ[Ofc Code]=(TRIM(F$7)))*(CRDJ[Account Code]=(TRIM($D53))),CRDJ[Credit])))+(SUM(IF((GJ[Date]=$A$4)*(GJ[Ofc Code]=(TRIM(F$7)))*(GJ[Account Code]=(TRIM($D53))),GJ[Credit])))</f>
        <v>0</v>
      </c>
      <c r="G53" s="211">
        <f t="array" ref="G53">(SUM(IF((CkDJ[Date]=$A$4)*(CkDJ[Ofc Code]=(TRIM(G$7)))*(CkDJ[Account Code]=(TRIM($D53))),CkDJ[Debit])))+(SUM(IF((CsDJ[Date]=$A$4)*(CsDJ[Ofc Code]=(TRIM(G$7)))*(CsDJ[Account Code]=(TRIM($D53))),CsDJ[Debit])))+(SUM(IF((CRDJ[Date]=$A$4)*(CRDJ[Ofc Code]=(TRIM(G$7)))*(CRDJ[Account Code]=(TRIM($D53))),CRDJ[Debit])))+(SUM(IF((GJ[Date]=$A$4)*(GJ[Ofc Code]=(TRIM(G$7)))*(GJ[Account Code]=(TRIM($D53))),GJ[Debit])))-(SUM(IF((CkDJ[Date]=$A$4)*(CkDJ[Ofc Code]=(TRIM(G$7)))*(CkDJ[Account Code]=(TRIM($D53))),CkDJ[Credit])))+(SUM(IF((CsDJ[Date]=$A$4)*(CsDJ[Ofc Code]=(TRIM(G$7)))*(CsDJ[Account Code]=(TRIM($D53))),CsDJ[Credit])))+(SUM(IF((CRDJ[Date]=$A$4)*(CRDJ[Ofc Code]=(TRIM(G$7)))*(CRDJ[Account Code]=(TRIM($D53))),CRDJ[Credit])))+(SUM(IF((GJ[Date]=$A$4)*(GJ[Ofc Code]=(TRIM(G$7)))*(GJ[Account Code]=(TRIM($D53))),GJ[Credit])))</f>
        <v>0</v>
      </c>
      <c r="H53" s="211">
        <f t="array" ref="H53">(SUM(IF((CkDJ[Date]=$A$4)*(CkDJ[Ofc Code]=(TRIM(H$7)))*(CkDJ[Account Code]=(TRIM($D53))),CkDJ[Debit])))+(SUM(IF((CsDJ[Date]=$A$4)*(CsDJ[Ofc Code]=(TRIM(H$7)))*(CsDJ[Account Code]=(TRIM($D53))),CsDJ[Debit])))+(SUM(IF((CRDJ[Date]=$A$4)*(CRDJ[Ofc Code]=(TRIM(H$7)))*(CRDJ[Account Code]=(TRIM($D53))),CRDJ[Debit])))+(SUM(IF((GJ[Date]=$A$4)*(GJ[Ofc Code]=(TRIM(H$7)))*(GJ[Account Code]=(TRIM($D53))),GJ[Debit])))-(SUM(IF((CkDJ[Date]=$A$4)*(CkDJ[Ofc Code]=(TRIM(H$7)))*(CkDJ[Account Code]=(TRIM($D53))),CkDJ[Credit])))+(SUM(IF((CsDJ[Date]=$A$4)*(CsDJ[Ofc Code]=(TRIM(H$7)))*(CsDJ[Account Code]=(TRIM($D53))),CsDJ[Credit])))+(SUM(IF((CRDJ[Date]=$A$4)*(CRDJ[Ofc Code]=(TRIM(H$7)))*(CRDJ[Account Code]=(TRIM($D53))),CRDJ[Credit])))+(SUM(IF((GJ[Date]=$A$4)*(GJ[Ofc Code]=(TRIM(H$7)))*(GJ[Account Code]=(TRIM($D53))),GJ[Credit])))</f>
        <v>0</v>
      </c>
      <c r="I53" s="211">
        <f t="shared" si="8"/>
        <v>0</v>
      </c>
      <c r="J53" s="211">
        <f t="array" ref="J53">(SUM(IF((CkDJ[Date]=$A$4)*(CkDJ[Ofc Code]=(TRIM(J$7)))*(CkDJ[Account Code]=(TRIM($D53))),CkDJ[Debit])))+(SUM(IF((CsDJ[Date]=$A$4)*(CsDJ[Ofc Code]=(TRIM(J$7)))*(CsDJ[Account Code]=(TRIM($D53))),CsDJ[Debit])))+(SUM(IF((CRDJ[Date]=$A$4)*(CRDJ[Ofc Code]=(TRIM(J$7)))*(CRDJ[Account Code]=(TRIM($D53))),CRDJ[Debit])))+(SUM(IF((GJ[Date]=$A$4)*(GJ[Ofc Code]=(TRIM(J$7)))*(GJ[Account Code]=(TRIM($D53))),GJ[Debit])))-(SUM(IF((CkDJ[Date]=$A$4)*(CkDJ[Ofc Code]=(TRIM(J$7)))*(CkDJ[Account Code]=(TRIM($D53))),CkDJ[Credit])))+(SUM(IF((CsDJ[Date]=$A$4)*(CsDJ[Ofc Code]=(TRIM(J$7)))*(CsDJ[Account Code]=(TRIM($D53))),CsDJ[Credit])))+(SUM(IF((CRDJ[Date]=$A$4)*(CRDJ[Ofc Code]=(TRIM(J$7)))*(CRDJ[Account Code]=(TRIM($D53))),CRDJ[Credit])))+(SUM(IF((GJ[Date]=$A$4)*(GJ[Ofc Code]=(TRIM(J$7)))*(GJ[Account Code]=(TRIM($D53))),GJ[Credit])))</f>
        <v>0</v>
      </c>
      <c r="K53" s="211">
        <f t="array" ref="K53">(SUM(IF((CkDJ[Date]=$A$4)*(CkDJ[Ofc Code]=(TRIM(K$7)))*(CkDJ[Account Code]=(TRIM($D53))),CkDJ[Debit])))+(SUM(IF((CsDJ[Date]=$A$4)*(CsDJ[Ofc Code]=(TRIM(K$7)))*(CsDJ[Account Code]=(TRIM($D53))),CsDJ[Debit])))+(SUM(IF((CRDJ[Date]=$A$4)*(CRDJ[Ofc Code]=(TRIM(K$7)))*(CRDJ[Account Code]=(TRIM($D53))),CRDJ[Debit])))+(SUM(IF((GJ[Date]=$A$4)*(GJ[Ofc Code]=(TRIM(K$7)))*(GJ[Account Code]=(TRIM($D53))),GJ[Debit])))-(SUM(IF((CkDJ[Date]=$A$4)*(CkDJ[Ofc Code]=(TRIM(K$7)))*(CkDJ[Account Code]=(TRIM($D53))),CkDJ[Credit])))+(SUM(IF((CsDJ[Date]=$A$4)*(CsDJ[Ofc Code]=(TRIM(K$7)))*(CsDJ[Account Code]=(TRIM($D53))),CsDJ[Credit])))+(SUM(IF((CRDJ[Date]=$A$4)*(CRDJ[Ofc Code]=(TRIM(K$7)))*(CRDJ[Account Code]=(TRIM($D53))),CRDJ[Credit])))+(SUM(IF((GJ[Date]=$A$4)*(GJ[Ofc Code]=(TRIM(K$7)))*(GJ[Account Code]=(TRIM($D53))),GJ[Credit])))</f>
        <v>0</v>
      </c>
      <c r="L53" s="211">
        <f t="array" ref="L53">(SUM(IF((CkDJ[Date]=$A$4)*(CkDJ[Ofc Code]=(TRIM(L$7)))*(CkDJ[Account Code]=(TRIM($D53))),CkDJ[Debit])))+(SUM(IF((CsDJ[Date]=$A$4)*(CsDJ[Ofc Code]=(TRIM(L$7)))*(CsDJ[Account Code]=(TRIM($D53))),CsDJ[Debit])))+(SUM(IF((CRDJ[Date]=$A$4)*(CRDJ[Ofc Code]=(TRIM(L$7)))*(CRDJ[Account Code]=(TRIM($D53))),CRDJ[Debit])))+(SUM(IF((GJ[Date]=$A$4)*(GJ[Ofc Code]=(TRIM(L$7)))*(GJ[Account Code]=(TRIM($D53))),GJ[Debit])))-(SUM(IF((CkDJ[Date]=$A$4)*(CkDJ[Ofc Code]=(TRIM(L$7)))*(CkDJ[Account Code]=(TRIM($D53))),CkDJ[Credit])))+(SUM(IF((CsDJ[Date]=$A$4)*(CsDJ[Ofc Code]=(TRIM(L$7)))*(CsDJ[Account Code]=(TRIM($D53))),CsDJ[Credit])))+(SUM(IF((CRDJ[Date]=$A$4)*(CRDJ[Ofc Code]=(TRIM(L$7)))*(CRDJ[Account Code]=(TRIM($D53))),CRDJ[Credit])))+(SUM(IF((GJ[Date]=$A$4)*(GJ[Ofc Code]=(TRIM(L$7)))*(GJ[Account Code]=(TRIM($D53))),GJ[Credit])))</f>
        <v>0</v>
      </c>
      <c r="M53" s="211">
        <f t="array" ref="M53">(SUM(IF((CkDJ[Date]=$A$4)*(CkDJ[Ofc Code]=(TRIM(M$7)))*(CkDJ[Account Code]=(TRIM($D53))),CkDJ[Debit])))+(SUM(IF((CsDJ[Date]=$A$4)*(CsDJ[Ofc Code]=(TRIM(M$7)))*(CsDJ[Account Code]=(TRIM($D53))),CsDJ[Debit])))+(SUM(IF((CRDJ[Date]=$A$4)*(CRDJ[Ofc Code]=(TRIM(M$7)))*(CRDJ[Account Code]=(TRIM($D53))),CRDJ[Debit])))+(SUM(IF((GJ[Date]=$A$4)*(GJ[Ofc Code]=(TRIM(M$7)))*(GJ[Account Code]=(TRIM($D53))),GJ[Debit])))-(SUM(IF((CkDJ[Date]=$A$4)*(CkDJ[Ofc Code]=(TRIM(M$7)))*(CkDJ[Account Code]=(TRIM($D53))),CkDJ[Credit])))+(SUM(IF((CsDJ[Date]=$A$4)*(CsDJ[Ofc Code]=(TRIM(M$7)))*(CsDJ[Account Code]=(TRIM($D53))),CsDJ[Credit])))+(SUM(IF((CRDJ[Date]=$A$4)*(CRDJ[Ofc Code]=(TRIM(M$7)))*(CRDJ[Account Code]=(TRIM($D53))),CRDJ[Credit])))+(SUM(IF((GJ[Date]=$A$4)*(GJ[Ofc Code]=(TRIM(M$7)))*(GJ[Account Code]=(TRIM($D53))),GJ[Credit])))</f>
        <v>0</v>
      </c>
      <c r="N53" s="211">
        <f t="shared" si="9"/>
        <v>0</v>
      </c>
      <c r="O53" s="211">
        <f t="array" ref="O53">(SUM(IF((CkDJ[Date]=$A$4)*(CkDJ[Ofc Code]=(TRIM(O$7)))*(CkDJ[Account Code]=(TRIM($D53))),CkDJ[Debit])))+(SUM(IF((CsDJ[Date]=$A$4)*(CsDJ[Ofc Code]=(TRIM(O$7)))*(CsDJ[Account Code]=(TRIM($D53))),CsDJ[Debit])))+(SUM(IF((CRDJ[Date]=$A$4)*(CRDJ[Ofc Code]=(TRIM(O$7)))*(CRDJ[Account Code]=(TRIM($D53))),CRDJ[Debit])))+(SUM(IF((GJ[Date]=$A$4)*(GJ[Ofc Code]=(TRIM(O$7)))*(GJ[Account Code]=(TRIM($D53))),GJ[Debit])))-(SUM(IF((CkDJ[Date]=$A$4)*(CkDJ[Ofc Code]=(TRIM(O$7)))*(CkDJ[Account Code]=(TRIM($D53))),CkDJ[Credit])))+(SUM(IF((CsDJ[Date]=$A$4)*(CsDJ[Ofc Code]=(TRIM(O$7)))*(CsDJ[Account Code]=(TRIM($D53))),CsDJ[Credit])))+(SUM(IF((CRDJ[Date]=$A$4)*(CRDJ[Ofc Code]=(TRIM(O$7)))*(CRDJ[Account Code]=(TRIM($D53))),CRDJ[Credit])))+(SUM(IF((GJ[Date]=$A$4)*(GJ[Ofc Code]=(TRIM(O$7)))*(GJ[Account Code]=(TRIM($D53))),GJ[Credit])))</f>
        <v>0</v>
      </c>
      <c r="P53" s="211">
        <f t="array" ref="P53">(SUM(IF((CkDJ[Date]=$A$4)*(CkDJ[Ofc Code]=(TRIM(P$7)))*(CkDJ[Account Code]=(TRIM($D53))),CkDJ[Debit])))+(SUM(IF((CsDJ[Date]=$A$4)*(CsDJ[Ofc Code]=(TRIM(P$7)))*(CsDJ[Account Code]=(TRIM($D53))),CsDJ[Debit])))+(SUM(IF((CRDJ[Date]=$A$4)*(CRDJ[Ofc Code]=(TRIM(P$7)))*(CRDJ[Account Code]=(TRIM($D53))),CRDJ[Debit])))+(SUM(IF((GJ[Date]=$A$4)*(GJ[Ofc Code]=(TRIM(P$7)))*(GJ[Account Code]=(TRIM($D53))),GJ[Debit])))-(SUM(IF((CkDJ[Date]=$A$4)*(CkDJ[Ofc Code]=(TRIM(P$7)))*(CkDJ[Account Code]=(TRIM($D53))),CkDJ[Credit])))+(SUM(IF((CsDJ[Date]=$A$4)*(CsDJ[Ofc Code]=(TRIM(P$7)))*(CsDJ[Account Code]=(TRIM($D53))),CsDJ[Credit])))+(SUM(IF((CRDJ[Date]=$A$4)*(CRDJ[Ofc Code]=(TRIM(P$7)))*(CRDJ[Account Code]=(TRIM($D53))),CRDJ[Credit])))+(SUM(IF((GJ[Date]=$A$4)*(GJ[Ofc Code]=(TRIM(P$7)))*(GJ[Account Code]=(TRIM($D53))),GJ[Credit])))</f>
        <v>0</v>
      </c>
      <c r="Q53" s="211">
        <f t="array" ref="Q53">(SUM(IF((CkDJ[Date]=$A$4)*(CkDJ[Ofc Code]=(TRIM(Q$7)))*(CkDJ[Account Code]=(TRIM($D53))),CkDJ[Debit])))+(SUM(IF((CsDJ[Date]=$A$4)*(CsDJ[Ofc Code]=(TRIM(Q$7)))*(CsDJ[Account Code]=(TRIM($D53))),CsDJ[Debit])))+(SUM(IF((CRDJ[Date]=$A$4)*(CRDJ[Ofc Code]=(TRIM(Q$7)))*(CRDJ[Account Code]=(TRIM($D53))),CRDJ[Debit])))+(SUM(IF((GJ[Date]=$A$4)*(GJ[Ofc Code]=(TRIM(Q$7)))*(GJ[Account Code]=(TRIM($D53))),GJ[Debit])))-(SUM(IF((CkDJ[Date]=$A$4)*(CkDJ[Ofc Code]=(TRIM(Q$7)))*(CkDJ[Account Code]=(TRIM($D53))),CkDJ[Credit])))+(SUM(IF((CsDJ[Date]=$A$4)*(CsDJ[Ofc Code]=(TRIM(Q$7)))*(CsDJ[Account Code]=(TRIM($D53))),CsDJ[Credit])))+(SUM(IF((CRDJ[Date]=$A$4)*(CRDJ[Ofc Code]=(TRIM(Q$7)))*(CRDJ[Account Code]=(TRIM($D53))),CRDJ[Credit])))+(SUM(IF((GJ[Date]=$A$4)*(GJ[Ofc Code]=(TRIM(Q$7)))*(GJ[Account Code]=(TRIM($D53))),GJ[Credit])))</f>
        <v>0</v>
      </c>
      <c r="R53" s="211">
        <f t="array" ref="R53">(SUM(IF((CkDJ[Date]=$A$4)*(CkDJ[Ofc Code]=(TRIM(R$7)))*(CkDJ[Account Code]=(TRIM($D53))),CkDJ[Debit])))+(SUM(IF((CsDJ[Date]=$A$4)*(CsDJ[Ofc Code]=(TRIM(R$7)))*(CsDJ[Account Code]=(TRIM($D53))),CsDJ[Debit])))+(SUM(IF((CRDJ[Date]=$A$4)*(CRDJ[Ofc Code]=(TRIM(R$7)))*(CRDJ[Account Code]=(TRIM($D53))),CRDJ[Debit])))+(SUM(IF((GJ[Date]=$A$4)*(GJ[Ofc Code]=(TRIM(R$7)))*(GJ[Account Code]=(TRIM($D53))),GJ[Debit])))-(SUM(IF((CkDJ[Date]=$A$4)*(CkDJ[Ofc Code]=(TRIM(R$7)))*(CkDJ[Account Code]=(TRIM($D53))),CkDJ[Credit])))+(SUM(IF((CsDJ[Date]=$A$4)*(CsDJ[Ofc Code]=(TRIM(R$7)))*(CsDJ[Account Code]=(TRIM($D53))),CsDJ[Credit])))+(SUM(IF((CRDJ[Date]=$A$4)*(CRDJ[Ofc Code]=(TRIM(R$7)))*(CRDJ[Account Code]=(TRIM($D53))),CRDJ[Credit])))+(SUM(IF((GJ[Date]=$A$4)*(GJ[Ofc Code]=(TRIM(R$7)))*(GJ[Account Code]=(TRIM($D53))),GJ[Credit])))</f>
        <v>0</v>
      </c>
      <c r="S53" s="211">
        <f t="array" ref="S53">(SUM(IF((CkDJ[Date]=$A$4)*(CkDJ[Ofc Code]=(TRIM(S$7)))*(CkDJ[Account Code]=(TRIM($D53))),CkDJ[Debit])))+(SUM(IF((CsDJ[Date]=$A$4)*(CsDJ[Ofc Code]=(TRIM(S$7)))*(CsDJ[Account Code]=(TRIM($D53))),CsDJ[Debit])))+(SUM(IF((CRDJ[Date]=$A$4)*(CRDJ[Ofc Code]=(TRIM(S$7)))*(CRDJ[Account Code]=(TRIM($D53))),CRDJ[Debit])))+(SUM(IF((GJ[Date]=$A$4)*(GJ[Ofc Code]=(TRIM(S$7)))*(GJ[Account Code]=(TRIM($D53))),GJ[Debit])))-(SUM(IF((CkDJ[Date]=$A$4)*(CkDJ[Ofc Code]=(TRIM(S$7)))*(CkDJ[Account Code]=(TRIM($D53))),CkDJ[Credit])))+(SUM(IF((CsDJ[Date]=$A$4)*(CsDJ[Ofc Code]=(TRIM(S$7)))*(CsDJ[Account Code]=(TRIM($D53))),CsDJ[Credit])))+(SUM(IF((CRDJ[Date]=$A$4)*(CRDJ[Ofc Code]=(TRIM(S$7)))*(CRDJ[Account Code]=(TRIM($D53))),CRDJ[Credit])))+(SUM(IF((GJ[Date]=$A$4)*(GJ[Ofc Code]=(TRIM(S$7)))*(GJ[Account Code]=(TRIM($D53))),GJ[Credit])))</f>
        <v>0</v>
      </c>
      <c r="T53" s="211">
        <f t="shared" si="10"/>
        <v>0</v>
      </c>
      <c r="U53" s="211">
        <f t="shared" si="11"/>
        <v>0</v>
      </c>
    </row>
    <row r="54" spans="1:21" ht="15" x14ac:dyDescent="0.25">
      <c r="A54" s="212">
        <f t="shared" si="12"/>
        <v>21</v>
      </c>
      <c r="B54" s="214" t="s">
        <v>756</v>
      </c>
      <c r="C54" s="194" t="str">
        <f>IF(D54=0,"",(VLOOKUP((TRIM(D54)),Code,2,)))</f>
        <v>Employees Compensation Insurance Premiums</v>
      </c>
      <c r="D54" s="215">
        <v>734</v>
      </c>
      <c r="E54" s="211">
        <f t="array" ref="E54">(SUM(IF((CkDJ[Date]=$A$4)*(CkDJ[Ofc Code]=(TRIM(E$7)))*(CkDJ[Account Code]=(TRIM($D54))),CkDJ[Debit])))+(SUM(IF((CsDJ[Date]=$A$4)*(CsDJ[Ofc Code]=(TRIM(E$7)))*(CsDJ[Account Code]=(TRIM($D54))),CsDJ[Debit])))+(SUM(IF((CRDJ[Date]=$A$4)*(CRDJ[Ofc Code]=(TRIM(E$7)))*(CRDJ[Account Code]=(TRIM($D54))),CRDJ[Debit])))+(SUM(IF((GJ[Date]=$A$4)*(GJ[Ofc Code]=(TRIM(E$7)))*(GJ[Account Code]=(TRIM($D54))),GJ[Debit])))-(SUM(IF((CkDJ[Date]=$A$4)*(CkDJ[Ofc Code]=(TRIM(E$7)))*(CkDJ[Account Code]=(TRIM($D54))),CkDJ[Credit])))+(SUM(IF((CsDJ[Date]=$A$4)*(CsDJ[Ofc Code]=(TRIM(E$7)))*(CsDJ[Account Code]=(TRIM($D54))),CsDJ[Credit])))+(SUM(IF((CRDJ[Date]=$A$4)*(CRDJ[Ofc Code]=(TRIM(E$7)))*(CRDJ[Account Code]=(TRIM($D54))),CRDJ[Credit])))+(SUM(IF((GJ[Date]=$A$4)*(GJ[Ofc Code]=(TRIM(E$7)))*(GJ[Account Code]=(TRIM($D54))),GJ[Credit])))</f>
        <v>0</v>
      </c>
      <c r="F54" s="211">
        <f t="array" ref="F54">(SUM(IF((CkDJ[Date]=$A$4)*(CkDJ[Ofc Code]=(TRIM(F$7)))*(CkDJ[Account Code]=(TRIM($D54))),CkDJ[Debit])))+(SUM(IF((CsDJ[Date]=$A$4)*(CsDJ[Ofc Code]=(TRIM(F$7)))*(CsDJ[Account Code]=(TRIM($D54))),CsDJ[Debit])))+(SUM(IF((CRDJ[Date]=$A$4)*(CRDJ[Ofc Code]=(TRIM(F$7)))*(CRDJ[Account Code]=(TRIM($D54))),CRDJ[Debit])))+(SUM(IF((GJ[Date]=$A$4)*(GJ[Ofc Code]=(TRIM(F$7)))*(GJ[Account Code]=(TRIM($D54))),GJ[Debit])))-(SUM(IF((CkDJ[Date]=$A$4)*(CkDJ[Ofc Code]=(TRIM(F$7)))*(CkDJ[Account Code]=(TRIM($D54))),CkDJ[Credit])))+(SUM(IF((CsDJ[Date]=$A$4)*(CsDJ[Ofc Code]=(TRIM(F$7)))*(CsDJ[Account Code]=(TRIM($D54))),CsDJ[Credit])))+(SUM(IF((CRDJ[Date]=$A$4)*(CRDJ[Ofc Code]=(TRIM(F$7)))*(CRDJ[Account Code]=(TRIM($D54))),CRDJ[Credit])))+(SUM(IF((GJ[Date]=$A$4)*(GJ[Ofc Code]=(TRIM(F$7)))*(GJ[Account Code]=(TRIM($D54))),GJ[Credit])))</f>
        <v>0</v>
      </c>
      <c r="G54" s="211">
        <f t="array" ref="G54">(SUM(IF((CkDJ[Date]=$A$4)*(CkDJ[Ofc Code]=(TRIM(G$7)))*(CkDJ[Account Code]=(TRIM($D54))),CkDJ[Debit])))+(SUM(IF((CsDJ[Date]=$A$4)*(CsDJ[Ofc Code]=(TRIM(G$7)))*(CsDJ[Account Code]=(TRIM($D54))),CsDJ[Debit])))+(SUM(IF((CRDJ[Date]=$A$4)*(CRDJ[Ofc Code]=(TRIM(G$7)))*(CRDJ[Account Code]=(TRIM($D54))),CRDJ[Debit])))+(SUM(IF((GJ[Date]=$A$4)*(GJ[Ofc Code]=(TRIM(G$7)))*(GJ[Account Code]=(TRIM($D54))),GJ[Debit])))-(SUM(IF((CkDJ[Date]=$A$4)*(CkDJ[Ofc Code]=(TRIM(G$7)))*(CkDJ[Account Code]=(TRIM($D54))),CkDJ[Credit])))+(SUM(IF((CsDJ[Date]=$A$4)*(CsDJ[Ofc Code]=(TRIM(G$7)))*(CsDJ[Account Code]=(TRIM($D54))),CsDJ[Credit])))+(SUM(IF((CRDJ[Date]=$A$4)*(CRDJ[Ofc Code]=(TRIM(G$7)))*(CRDJ[Account Code]=(TRIM($D54))),CRDJ[Credit])))+(SUM(IF((GJ[Date]=$A$4)*(GJ[Ofc Code]=(TRIM(G$7)))*(GJ[Account Code]=(TRIM($D54))),GJ[Credit])))</f>
        <v>0</v>
      </c>
      <c r="H54" s="211">
        <f t="array" ref="H54">(SUM(IF((CkDJ[Date]=$A$4)*(CkDJ[Ofc Code]=(TRIM(H$7)))*(CkDJ[Account Code]=(TRIM($D54))),CkDJ[Debit])))+(SUM(IF((CsDJ[Date]=$A$4)*(CsDJ[Ofc Code]=(TRIM(H$7)))*(CsDJ[Account Code]=(TRIM($D54))),CsDJ[Debit])))+(SUM(IF((CRDJ[Date]=$A$4)*(CRDJ[Ofc Code]=(TRIM(H$7)))*(CRDJ[Account Code]=(TRIM($D54))),CRDJ[Debit])))+(SUM(IF((GJ[Date]=$A$4)*(GJ[Ofc Code]=(TRIM(H$7)))*(GJ[Account Code]=(TRIM($D54))),GJ[Debit])))-(SUM(IF((CkDJ[Date]=$A$4)*(CkDJ[Ofc Code]=(TRIM(H$7)))*(CkDJ[Account Code]=(TRIM($D54))),CkDJ[Credit])))+(SUM(IF((CsDJ[Date]=$A$4)*(CsDJ[Ofc Code]=(TRIM(H$7)))*(CsDJ[Account Code]=(TRIM($D54))),CsDJ[Credit])))+(SUM(IF((CRDJ[Date]=$A$4)*(CRDJ[Ofc Code]=(TRIM(H$7)))*(CRDJ[Account Code]=(TRIM($D54))),CRDJ[Credit])))+(SUM(IF((GJ[Date]=$A$4)*(GJ[Ofc Code]=(TRIM(H$7)))*(GJ[Account Code]=(TRIM($D54))),GJ[Credit])))</f>
        <v>0</v>
      </c>
      <c r="I54" s="211">
        <f>SUM(F54:H54)</f>
        <v>0</v>
      </c>
      <c r="J54" s="211">
        <f t="array" ref="J54">(SUM(IF((CkDJ[Date]=$A$4)*(CkDJ[Ofc Code]=(TRIM(J$7)))*(CkDJ[Account Code]=(TRIM($D54))),CkDJ[Debit])))+(SUM(IF((CsDJ[Date]=$A$4)*(CsDJ[Ofc Code]=(TRIM(J$7)))*(CsDJ[Account Code]=(TRIM($D54))),CsDJ[Debit])))+(SUM(IF((CRDJ[Date]=$A$4)*(CRDJ[Ofc Code]=(TRIM(J$7)))*(CRDJ[Account Code]=(TRIM($D54))),CRDJ[Debit])))+(SUM(IF((GJ[Date]=$A$4)*(GJ[Ofc Code]=(TRIM(J$7)))*(GJ[Account Code]=(TRIM($D54))),GJ[Debit])))-(SUM(IF((CkDJ[Date]=$A$4)*(CkDJ[Ofc Code]=(TRIM(J$7)))*(CkDJ[Account Code]=(TRIM($D54))),CkDJ[Credit])))+(SUM(IF((CsDJ[Date]=$A$4)*(CsDJ[Ofc Code]=(TRIM(J$7)))*(CsDJ[Account Code]=(TRIM($D54))),CsDJ[Credit])))+(SUM(IF((CRDJ[Date]=$A$4)*(CRDJ[Ofc Code]=(TRIM(J$7)))*(CRDJ[Account Code]=(TRIM($D54))),CRDJ[Credit])))+(SUM(IF((GJ[Date]=$A$4)*(GJ[Ofc Code]=(TRIM(J$7)))*(GJ[Account Code]=(TRIM($D54))),GJ[Credit])))</f>
        <v>0</v>
      </c>
      <c r="K54" s="211">
        <f t="array" ref="K54">(SUM(IF((CkDJ[Date]=$A$4)*(CkDJ[Ofc Code]=(TRIM(K$7)))*(CkDJ[Account Code]=(TRIM($D54))),CkDJ[Debit])))+(SUM(IF((CsDJ[Date]=$A$4)*(CsDJ[Ofc Code]=(TRIM(K$7)))*(CsDJ[Account Code]=(TRIM($D54))),CsDJ[Debit])))+(SUM(IF((CRDJ[Date]=$A$4)*(CRDJ[Ofc Code]=(TRIM(K$7)))*(CRDJ[Account Code]=(TRIM($D54))),CRDJ[Debit])))+(SUM(IF((GJ[Date]=$A$4)*(GJ[Ofc Code]=(TRIM(K$7)))*(GJ[Account Code]=(TRIM($D54))),GJ[Debit])))-(SUM(IF((CkDJ[Date]=$A$4)*(CkDJ[Ofc Code]=(TRIM(K$7)))*(CkDJ[Account Code]=(TRIM($D54))),CkDJ[Credit])))+(SUM(IF((CsDJ[Date]=$A$4)*(CsDJ[Ofc Code]=(TRIM(K$7)))*(CsDJ[Account Code]=(TRIM($D54))),CsDJ[Credit])))+(SUM(IF((CRDJ[Date]=$A$4)*(CRDJ[Ofc Code]=(TRIM(K$7)))*(CRDJ[Account Code]=(TRIM($D54))),CRDJ[Credit])))+(SUM(IF((GJ[Date]=$A$4)*(GJ[Ofc Code]=(TRIM(K$7)))*(GJ[Account Code]=(TRIM($D54))),GJ[Credit])))</f>
        <v>0</v>
      </c>
      <c r="L54" s="211">
        <f t="array" ref="L54">(SUM(IF((CkDJ[Date]=$A$4)*(CkDJ[Ofc Code]=(TRIM(L$7)))*(CkDJ[Account Code]=(TRIM($D54))),CkDJ[Debit])))+(SUM(IF((CsDJ[Date]=$A$4)*(CsDJ[Ofc Code]=(TRIM(L$7)))*(CsDJ[Account Code]=(TRIM($D54))),CsDJ[Debit])))+(SUM(IF((CRDJ[Date]=$A$4)*(CRDJ[Ofc Code]=(TRIM(L$7)))*(CRDJ[Account Code]=(TRIM($D54))),CRDJ[Debit])))+(SUM(IF((GJ[Date]=$A$4)*(GJ[Ofc Code]=(TRIM(L$7)))*(GJ[Account Code]=(TRIM($D54))),GJ[Debit])))-(SUM(IF((CkDJ[Date]=$A$4)*(CkDJ[Ofc Code]=(TRIM(L$7)))*(CkDJ[Account Code]=(TRIM($D54))),CkDJ[Credit])))+(SUM(IF((CsDJ[Date]=$A$4)*(CsDJ[Ofc Code]=(TRIM(L$7)))*(CsDJ[Account Code]=(TRIM($D54))),CsDJ[Credit])))+(SUM(IF((CRDJ[Date]=$A$4)*(CRDJ[Ofc Code]=(TRIM(L$7)))*(CRDJ[Account Code]=(TRIM($D54))),CRDJ[Credit])))+(SUM(IF((GJ[Date]=$A$4)*(GJ[Ofc Code]=(TRIM(L$7)))*(GJ[Account Code]=(TRIM($D54))),GJ[Credit])))</f>
        <v>0</v>
      </c>
      <c r="M54" s="211">
        <f t="array" ref="M54">(SUM(IF((CkDJ[Date]=$A$4)*(CkDJ[Ofc Code]=(TRIM(M$7)))*(CkDJ[Account Code]=(TRIM($D54))),CkDJ[Debit])))+(SUM(IF((CsDJ[Date]=$A$4)*(CsDJ[Ofc Code]=(TRIM(M$7)))*(CsDJ[Account Code]=(TRIM($D54))),CsDJ[Debit])))+(SUM(IF((CRDJ[Date]=$A$4)*(CRDJ[Ofc Code]=(TRIM(M$7)))*(CRDJ[Account Code]=(TRIM($D54))),CRDJ[Debit])))+(SUM(IF((GJ[Date]=$A$4)*(GJ[Ofc Code]=(TRIM(M$7)))*(GJ[Account Code]=(TRIM($D54))),GJ[Debit])))-(SUM(IF((CkDJ[Date]=$A$4)*(CkDJ[Ofc Code]=(TRIM(M$7)))*(CkDJ[Account Code]=(TRIM($D54))),CkDJ[Credit])))+(SUM(IF((CsDJ[Date]=$A$4)*(CsDJ[Ofc Code]=(TRIM(M$7)))*(CsDJ[Account Code]=(TRIM($D54))),CsDJ[Credit])))+(SUM(IF((CRDJ[Date]=$A$4)*(CRDJ[Ofc Code]=(TRIM(M$7)))*(CRDJ[Account Code]=(TRIM($D54))),CRDJ[Credit])))+(SUM(IF((GJ[Date]=$A$4)*(GJ[Ofc Code]=(TRIM(M$7)))*(GJ[Account Code]=(TRIM($D54))),GJ[Credit])))</f>
        <v>0</v>
      </c>
      <c r="N54" s="211">
        <f>SUM(J54:M54)</f>
        <v>0</v>
      </c>
      <c r="O54" s="211">
        <f t="array" ref="O54">(SUM(IF((CkDJ[Date]=$A$4)*(CkDJ[Ofc Code]=(TRIM(O$7)))*(CkDJ[Account Code]=(TRIM($D54))),CkDJ[Debit])))+(SUM(IF((CsDJ[Date]=$A$4)*(CsDJ[Ofc Code]=(TRIM(O$7)))*(CsDJ[Account Code]=(TRIM($D54))),CsDJ[Debit])))+(SUM(IF((CRDJ[Date]=$A$4)*(CRDJ[Ofc Code]=(TRIM(O$7)))*(CRDJ[Account Code]=(TRIM($D54))),CRDJ[Debit])))+(SUM(IF((GJ[Date]=$A$4)*(GJ[Ofc Code]=(TRIM(O$7)))*(GJ[Account Code]=(TRIM($D54))),GJ[Debit])))-(SUM(IF((CkDJ[Date]=$A$4)*(CkDJ[Ofc Code]=(TRIM(O$7)))*(CkDJ[Account Code]=(TRIM($D54))),CkDJ[Credit])))+(SUM(IF((CsDJ[Date]=$A$4)*(CsDJ[Ofc Code]=(TRIM(O$7)))*(CsDJ[Account Code]=(TRIM($D54))),CsDJ[Credit])))+(SUM(IF((CRDJ[Date]=$A$4)*(CRDJ[Ofc Code]=(TRIM(O$7)))*(CRDJ[Account Code]=(TRIM($D54))),CRDJ[Credit])))+(SUM(IF((GJ[Date]=$A$4)*(GJ[Ofc Code]=(TRIM(O$7)))*(GJ[Account Code]=(TRIM($D54))),GJ[Credit])))</f>
        <v>0</v>
      </c>
      <c r="P54" s="211">
        <f t="array" ref="P54">(SUM(IF((CkDJ[Date]=$A$4)*(CkDJ[Ofc Code]=(TRIM(P$7)))*(CkDJ[Account Code]=(TRIM($D54))),CkDJ[Debit])))+(SUM(IF((CsDJ[Date]=$A$4)*(CsDJ[Ofc Code]=(TRIM(P$7)))*(CsDJ[Account Code]=(TRIM($D54))),CsDJ[Debit])))+(SUM(IF((CRDJ[Date]=$A$4)*(CRDJ[Ofc Code]=(TRIM(P$7)))*(CRDJ[Account Code]=(TRIM($D54))),CRDJ[Debit])))+(SUM(IF((GJ[Date]=$A$4)*(GJ[Ofc Code]=(TRIM(P$7)))*(GJ[Account Code]=(TRIM($D54))),GJ[Debit])))-(SUM(IF((CkDJ[Date]=$A$4)*(CkDJ[Ofc Code]=(TRIM(P$7)))*(CkDJ[Account Code]=(TRIM($D54))),CkDJ[Credit])))+(SUM(IF((CsDJ[Date]=$A$4)*(CsDJ[Ofc Code]=(TRIM(P$7)))*(CsDJ[Account Code]=(TRIM($D54))),CsDJ[Credit])))+(SUM(IF((CRDJ[Date]=$A$4)*(CRDJ[Ofc Code]=(TRIM(P$7)))*(CRDJ[Account Code]=(TRIM($D54))),CRDJ[Credit])))+(SUM(IF((GJ[Date]=$A$4)*(GJ[Ofc Code]=(TRIM(P$7)))*(GJ[Account Code]=(TRIM($D54))),GJ[Credit])))</f>
        <v>0</v>
      </c>
      <c r="Q54" s="211">
        <f t="array" ref="Q54">(SUM(IF((CkDJ[Date]=$A$4)*(CkDJ[Ofc Code]=(TRIM(Q$7)))*(CkDJ[Account Code]=(TRIM($D54))),CkDJ[Debit])))+(SUM(IF((CsDJ[Date]=$A$4)*(CsDJ[Ofc Code]=(TRIM(Q$7)))*(CsDJ[Account Code]=(TRIM($D54))),CsDJ[Debit])))+(SUM(IF((CRDJ[Date]=$A$4)*(CRDJ[Ofc Code]=(TRIM(Q$7)))*(CRDJ[Account Code]=(TRIM($D54))),CRDJ[Debit])))+(SUM(IF((GJ[Date]=$A$4)*(GJ[Ofc Code]=(TRIM(Q$7)))*(GJ[Account Code]=(TRIM($D54))),GJ[Debit])))-(SUM(IF((CkDJ[Date]=$A$4)*(CkDJ[Ofc Code]=(TRIM(Q$7)))*(CkDJ[Account Code]=(TRIM($D54))),CkDJ[Credit])))+(SUM(IF((CsDJ[Date]=$A$4)*(CsDJ[Ofc Code]=(TRIM(Q$7)))*(CsDJ[Account Code]=(TRIM($D54))),CsDJ[Credit])))+(SUM(IF((CRDJ[Date]=$A$4)*(CRDJ[Ofc Code]=(TRIM(Q$7)))*(CRDJ[Account Code]=(TRIM($D54))),CRDJ[Credit])))+(SUM(IF((GJ[Date]=$A$4)*(GJ[Ofc Code]=(TRIM(Q$7)))*(GJ[Account Code]=(TRIM($D54))),GJ[Credit])))</f>
        <v>0</v>
      </c>
      <c r="R54" s="211">
        <f t="array" ref="R54">(SUM(IF((CkDJ[Date]=$A$4)*(CkDJ[Ofc Code]=(TRIM(R$7)))*(CkDJ[Account Code]=(TRIM($D54))),CkDJ[Debit])))+(SUM(IF((CsDJ[Date]=$A$4)*(CsDJ[Ofc Code]=(TRIM(R$7)))*(CsDJ[Account Code]=(TRIM($D54))),CsDJ[Debit])))+(SUM(IF((CRDJ[Date]=$A$4)*(CRDJ[Ofc Code]=(TRIM(R$7)))*(CRDJ[Account Code]=(TRIM($D54))),CRDJ[Debit])))+(SUM(IF((GJ[Date]=$A$4)*(GJ[Ofc Code]=(TRIM(R$7)))*(GJ[Account Code]=(TRIM($D54))),GJ[Debit])))-(SUM(IF((CkDJ[Date]=$A$4)*(CkDJ[Ofc Code]=(TRIM(R$7)))*(CkDJ[Account Code]=(TRIM($D54))),CkDJ[Credit])))+(SUM(IF((CsDJ[Date]=$A$4)*(CsDJ[Ofc Code]=(TRIM(R$7)))*(CsDJ[Account Code]=(TRIM($D54))),CsDJ[Credit])))+(SUM(IF((CRDJ[Date]=$A$4)*(CRDJ[Ofc Code]=(TRIM(R$7)))*(CRDJ[Account Code]=(TRIM($D54))),CRDJ[Credit])))+(SUM(IF((GJ[Date]=$A$4)*(GJ[Ofc Code]=(TRIM(R$7)))*(GJ[Account Code]=(TRIM($D54))),GJ[Credit])))</f>
        <v>0</v>
      </c>
      <c r="S54" s="211">
        <f t="array" ref="S54">(SUM(IF((CkDJ[Date]=$A$4)*(CkDJ[Ofc Code]=(TRIM(S$7)))*(CkDJ[Account Code]=(TRIM($D54))),CkDJ[Debit])))+(SUM(IF((CsDJ[Date]=$A$4)*(CsDJ[Ofc Code]=(TRIM(S$7)))*(CsDJ[Account Code]=(TRIM($D54))),CsDJ[Debit])))+(SUM(IF((CRDJ[Date]=$A$4)*(CRDJ[Ofc Code]=(TRIM(S$7)))*(CRDJ[Account Code]=(TRIM($D54))),CRDJ[Debit])))+(SUM(IF((GJ[Date]=$A$4)*(GJ[Ofc Code]=(TRIM(S$7)))*(GJ[Account Code]=(TRIM($D54))),GJ[Debit])))-(SUM(IF((CkDJ[Date]=$A$4)*(CkDJ[Ofc Code]=(TRIM(S$7)))*(CkDJ[Account Code]=(TRIM($D54))),CkDJ[Credit])))+(SUM(IF((CsDJ[Date]=$A$4)*(CsDJ[Ofc Code]=(TRIM(S$7)))*(CsDJ[Account Code]=(TRIM($D54))),CsDJ[Credit])))+(SUM(IF((CRDJ[Date]=$A$4)*(CRDJ[Ofc Code]=(TRIM(S$7)))*(CRDJ[Account Code]=(TRIM($D54))),CRDJ[Credit])))+(SUM(IF((GJ[Date]=$A$4)*(GJ[Ofc Code]=(TRIM(S$7)))*(GJ[Account Code]=(TRIM($D54))),GJ[Credit])))</f>
        <v>0</v>
      </c>
      <c r="T54" s="211">
        <f>SUM(O54:S54)</f>
        <v>0</v>
      </c>
      <c r="U54" s="211">
        <f>E54+I54+N54+T54</f>
        <v>0</v>
      </c>
    </row>
    <row r="55" spans="1:21" ht="15" x14ac:dyDescent="0.25">
      <c r="A55" s="212">
        <f t="shared" si="12"/>
        <v>22</v>
      </c>
      <c r="B55" s="214" t="s">
        <v>756</v>
      </c>
      <c r="C55" s="194" t="str">
        <f>IF(D55=0,"",(VLOOKUP((TRIM(D55)),Code,2,)))</f>
        <v>Terminal Leave Benefits</v>
      </c>
      <c r="D55" s="215">
        <v>742</v>
      </c>
      <c r="E55" s="211">
        <f t="array" ref="E55">(SUM(IF((CkDJ[Date]=$A$4)*(CkDJ[Ofc Code]=(TRIM(E$7)))*(CkDJ[Account Code]=(TRIM($D55))),CkDJ[Debit])))+(SUM(IF((CsDJ[Date]=$A$4)*(CsDJ[Ofc Code]=(TRIM(E$7)))*(CsDJ[Account Code]=(TRIM($D55))),CsDJ[Debit])))+(SUM(IF((CRDJ[Date]=$A$4)*(CRDJ[Ofc Code]=(TRIM(E$7)))*(CRDJ[Account Code]=(TRIM($D55))),CRDJ[Debit])))+(SUM(IF((GJ[Date]=$A$4)*(GJ[Ofc Code]=(TRIM(E$7)))*(GJ[Account Code]=(TRIM($D55))),GJ[Debit])))-(SUM(IF((CkDJ[Date]=$A$4)*(CkDJ[Ofc Code]=(TRIM(E$7)))*(CkDJ[Account Code]=(TRIM($D55))),CkDJ[Credit])))+(SUM(IF((CsDJ[Date]=$A$4)*(CsDJ[Ofc Code]=(TRIM(E$7)))*(CsDJ[Account Code]=(TRIM($D55))),CsDJ[Credit])))+(SUM(IF((CRDJ[Date]=$A$4)*(CRDJ[Ofc Code]=(TRIM(E$7)))*(CRDJ[Account Code]=(TRIM($D55))),CRDJ[Credit])))+(SUM(IF((GJ[Date]=$A$4)*(GJ[Ofc Code]=(TRIM(E$7)))*(GJ[Account Code]=(TRIM($D55))),GJ[Credit])))</f>
        <v>0</v>
      </c>
      <c r="F55" s="211">
        <f t="array" ref="F55">(SUM(IF((CkDJ[Date]=$A$4)*(CkDJ[Ofc Code]=(TRIM(F$7)))*(CkDJ[Account Code]=(TRIM($D55))),CkDJ[Debit])))+(SUM(IF((CsDJ[Date]=$A$4)*(CsDJ[Ofc Code]=(TRIM(F$7)))*(CsDJ[Account Code]=(TRIM($D55))),CsDJ[Debit])))+(SUM(IF((CRDJ[Date]=$A$4)*(CRDJ[Ofc Code]=(TRIM(F$7)))*(CRDJ[Account Code]=(TRIM($D55))),CRDJ[Debit])))+(SUM(IF((GJ[Date]=$A$4)*(GJ[Ofc Code]=(TRIM(F$7)))*(GJ[Account Code]=(TRIM($D55))),GJ[Debit])))-(SUM(IF((CkDJ[Date]=$A$4)*(CkDJ[Ofc Code]=(TRIM(F$7)))*(CkDJ[Account Code]=(TRIM($D55))),CkDJ[Credit])))+(SUM(IF((CsDJ[Date]=$A$4)*(CsDJ[Ofc Code]=(TRIM(F$7)))*(CsDJ[Account Code]=(TRIM($D55))),CsDJ[Credit])))+(SUM(IF((CRDJ[Date]=$A$4)*(CRDJ[Ofc Code]=(TRIM(F$7)))*(CRDJ[Account Code]=(TRIM($D55))),CRDJ[Credit])))+(SUM(IF((GJ[Date]=$A$4)*(GJ[Ofc Code]=(TRIM(F$7)))*(GJ[Account Code]=(TRIM($D55))),GJ[Credit])))</f>
        <v>0</v>
      </c>
      <c r="G55" s="211">
        <f t="array" ref="G55">(SUM(IF((CkDJ[Date]=$A$4)*(CkDJ[Ofc Code]=(TRIM(G$7)))*(CkDJ[Account Code]=(TRIM($D55))),CkDJ[Debit])))+(SUM(IF((CsDJ[Date]=$A$4)*(CsDJ[Ofc Code]=(TRIM(G$7)))*(CsDJ[Account Code]=(TRIM($D55))),CsDJ[Debit])))+(SUM(IF((CRDJ[Date]=$A$4)*(CRDJ[Ofc Code]=(TRIM(G$7)))*(CRDJ[Account Code]=(TRIM($D55))),CRDJ[Debit])))+(SUM(IF((GJ[Date]=$A$4)*(GJ[Ofc Code]=(TRIM(G$7)))*(GJ[Account Code]=(TRIM($D55))),GJ[Debit])))-(SUM(IF((CkDJ[Date]=$A$4)*(CkDJ[Ofc Code]=(TRIM(G$7)))*(CkDJ[Account Code]=(TRIM($D55))),CkDJ[Credit])))+(SUM(IF((CsDJ[Date]=$A$4)*(CsDJ[Ofc Code]=(TRIM(G$7)))*(CsDJ[Account Code]=(TRIM($D55))),CsDJ[Credit])))+(SUM(IF((CRDJ[Date]=$A$4)*(CRDJ[Ofc Code]=(TRIM(G$7)))*(CRDJ[Account Code]=(TRIM($D55))),CRDJ[Credit])))+(SUM(IF((GJ[Date]=$A$4)*(GJ[Ofc Code]=(TRIM(G$7)))*(GJ[Account Code]=(TRIM($D55))),GJ[Credit])))</f>
        <v>0</v>
      </c>
      <c r="H55" s="211">
        <f t="array" ref="H55">(SUM(IF((CkDJ[Date]=$A$4)*(CkDJ[Ofc Code]=(TRIM(H$7)))*(CkDJ[Account Code]=(TRIM($D55))),CkDJ[Debit])))+(SUM(IF((CsDJ[Date]=$A$4)*(CsDJ[Ofc Code]=(TRIM(H$7)))*(CsDJ[Account Code]=(TRIM($D55))),CsDJ[Debit])))+(SUM(IF((CRDJ[Date]=$A$4)*(CRDJ[Ofc Code]=(TRIM(H$7)))*(CRDJ[Account Code]=(TRIM($D55))),CRDJ[Debit])))+(SUM(IF((GJ[Date]=$A$4)*(GJ[Ofc Code]=(TRIM(H$7)))*(GJ[Account Code]=(TRIM($D55))),GJ[Debit])))-(SUM(IF((CkDJ[Date]=$A$4)*(CkDJ[Ofc Code]=(TRIM(H$7)))*(CkDJ[Account Code]=(TRIM($D55))),CkDJ[Credit])))+(SUM(IF((CsDJ[Date]=$A$4)*(CsDJ[Ofc Code]=(TRIM(H$7)))*(CsDJ[Account Code]=(TRIM($D55))),CsDJ[Credit])))+(SUM(IF((CRDJ[Date]=$A$4)*(CRDJ[Ofc Code]=(TRIM(H$7)))*(CRDJ[Account Code]=(TRIM($D55))),CRDJ[Credit])))+(SUM(IF((GJ[Date]=$A$4)*(GJ[Ofc Code]=(TRIM(H$7)))*(GJ[Account Code]=(TRIM($D55))),GJ[Credit])))</f>
        <v>0</v>
      </c>
      <c r="I55" s="211">
        <f>SUM(F55:H55)</f>
        <v>0</v>
      </c>
      <c r="J55" s="211">
        <f t="array" ref="J55">(SUM(IF((CkDJ[Date]=$A$4)*(CkDJ[Ofc Code]=(TRIM(J$7)))*(CkDJ[Account Code]=(TRIM($D55))),CkDJ[Debit])))+(SUM(IF((CsDJ[Date]=$A$4)*(CsDJ[Ofc Code]=(TRIM(J$7)))*(CsDJ[Account Code]=(TRIM($D55))),CsDJ[Debit])))+(SUM(IF((CRDJ[Date]=$A$4)*(CRDJ[Ofc Code]=(TRIM(J$7)))*(CRDJ[Account Code]=(TRIM($D55))),CRDJ[Debit])))+(SUM(IF((GJ[Date]=$A$4)*(GJ[Ofc Code]=(TRIM(J$7)))*(GJ[Account Code]=(TRIM($D55))),GJ[Debit])))-(SUM(IF((CkDJ[Date]=$A$4)*(CkDJ[Ofc Code]=(TRIM(J$7)))*(CkDJ[Account Code]=(TRIM($D55))),CkDJ[Credit])))+(SUM(IF((CsDJ[Date]=$A$4)*(CsDJ[Ofc Code]=(TRIM(J$7)))*(CsDJ[Account Code]=(TRIM($D55))),CsDJ[Credit])))+(SUM(IF((CRDJ[Date]=$A$4)*(CRDJ[Ofc Code]=(TRIM(J$7)))*(CRDJ[Account Code]=(TRIM($D55))),CRDJ[Credit])))+(SUM(IF((GJ[Date]=$A$4)*(GJ[Ofc Code]=(TRIM(J$7)))*(GJ[Account Code]=(TRIM($D55))),GJ[Credit])))</f>
        <v>0</v>
      </c>
      <c r="K55" s="211">
        <f t="array" ref="K55">(SUM(IF((CkDJ[Date]=$A$4)*(CkDJ[Ofc Code]=(TRIM(K$7)))*(CkDJ[Account Code]=(TRIM($D55))),CkDJ[Debit])))+(SUM(IF((CsDJ[Date]=$A$4)*(CsDJ[Ofc Code]=(TRIM(K$7)))*(CsDJ[Account Code]=(TRIM($D55))),CsDJ[Debit])))+(SUM(IF((CRDJ[Date]=$A$4)*(CRDJ[Ofc Code]=(TRIM(K$7)))*(CRDJ[Account Code]=(TRIM($D55))),CRDJ[Debit])))+(SUM(IF((GJ[Date]=$A$4)*(GJ[Ofc Code]=(TRIM(K$7)))*(GJ[Account Code]=(TRIM($D55))),GJ[Debit])))-(SUM(IF((CkDJ[Date]=$A$4)*(CkDJ[Ofc Code]=(TRIM(K$7)))*(CkDJ[Account Code]=(TRIM($D55))),CkDJ[Credit])))+(SUM(IF((CsDJ[Date]=$A$4)*(CsDJ[Ofc Code]=(TRIM(K$7)))*(CsDJ[Account Code]=(TRIM($D55))),CsDJ[Credit])))+(SUM(IF((CRDJ[Date]=$A$4)*(CRDJ[Ofc Code]=(TRIM(K$7)))*(CRDJ[Account Code]=(TRIM($D55))),CRDJ[Credit])))+(SUM(IF((GJ[Date]=$A$4)*(GJ[Ofc Code]=(TRIM(K$7)))*(GJ[Account Code]=(TRIM($D55))),GJ[Credit])))</f>
        <v>0</v>
      </c>
      <c r="L55" s="211">
        <f t="array" ref="L55">(SUM(IF((CkDJ[Date]=$A$4)*(CkDJ[Ofc Code]=(TRIM(L$7)))*(CkDJ[Account Code]=(TRIM($D55))),CkDJ[Debit])))+(SUM(IF((CsDJ[Date]=$A$4)*(CsDJ[Ofc Code]=(TRIM(L$7)))*(CsDJ[Account Code]=(TRIM($D55))),CsDJ[Debit])))+(SUM(IF((CRDJ[Date]=$A$4)*(CRDJ[Ofc Code]=(TRIM(L$7)))*(CRDJ[Account Code]=(TRIM($D55))),CRDJ[Debit])))+(SUM(IF((GJ[Date]=$A$4)*(GJ[Ofc Code]=(TRIM(L$7)))*(GJ[Account Code]=(TRIM($D55))),GJ[Debit])))-(SUM(IF((CkDJ[Date]=$A$4)*(CkDJ[Ofc Code]=(TRIM(L$7)))*(CkDJ[Account Code]=(TRIM($D55))),CkDJ[Credit])))+(SUM(IF((CsDJ[Date]=$A$4)*(CsDJ[Ofc Code]=(TRIM(L$7)))*(CsDJ[Account Code]=(TRIM($D55))),CsDJ[Credit])))+(SUM(IF((CRDJ[Date]=$A$4)*(CRDJ[Ofc Code]=(TRIM(L$7)))*(CRDJ[Account Code]=(TRIM($D55))),CRDJ[Credit])))+(SUM(IF((GJ[Date]=$A$4)*(GJ[Ofc Code]=(TRIM(L$7)))*(GJ[Account Code]=(TRIM($D55))),GJ[Credit])))</f>
        <v>0</v>
      </c>
      <c r="M55" s="211">
        <f t="array" ref="M55">(SUM(IF((CkDJ[Date]=$A$4)*(CkDJ[Ofc Code]=(TRIM(M$7)))*(CkDJ[Account Code]=(TRIM($D55))),CkDJ[Debit])))+(SUM(IF((CsDJ[Date]=$A$4)*(CsDJ[Ofc Code]=(TRIM(M$7)))*(CsDJ[Account Code]=(TRIM($D55))),CsDJ[Debit])))+(SUM(IF((CRDJ[Date]=$A$4)*(CRDJ[Ofc Code]=(TRIM(M$7)))*(CRDJ[Account Code]=(TRIM($D55))),CRDJ[Debit])))+(SUM(IF((GJ[Date]=$A$4)*(GJ[Ofc Code]=(TRIM(M$7)))*(GJ[Account Code]=(TRIM($D55))),GJ[Debit])))-(SUM(IF((CkDJ[Date]=$A$4)*(CkDJ[Ofc Code]=(TRIM(M$7)))*(CkDJ[Account Code]=(TRIM($D55))),CkDJ[Credit])))+(SUM(IF((CsDJ[Date]=$A$4)*(CsDJ[Ofc Code]=(TRIM(M$7)))*(CsDJ[Account Code]=(TRIM($D55))),CsDJ[Credit])))+(SUM(IF((CRDJ[Date]=$A$4)*(CRDJ[Ofc Code]=(TRIM(M$7)))*(CRDJ[Account Code]=(TRIM($D55))),CRDJ[Credit])))+(SUM(IF((GJ[Date]=$A$4)*(GJ[Ofc Code]=(TRIM(M$7)))*(GJ[Account Code]=(TRIM($D55))),GJ[Credit])))</f>
        <v>0</v>
      </c>
      <c r="N55" s="211">
        <f>SUM(J55:M55)</f>
        <v>0</v>
      </c>
      <c r="O55" s="211">
        <f t="array" ref="O55">(SUM(IF((CkDJ[Date]=$A$4)*(CkDJ[Ofc Code]=(TRIM(O$7)))*(CkDJ[Account Code]=(TRIM($D55))),CkDJ[Debit])))+(SUM(IF((CsDJ[Date]=$A$4)*(CsDJ[Ofc Code]=(TRIM(O$7)))*(CsDJ[Account Code]=(TRIM($D55))),CsDJ[Debit])))+(SUM(IF((CRDJ[Date]=$A$4)*(CRDJ[Ofc Code]=(TRIM(O$7)))*(CRDJ[Account Code]=(TRIM($D55))),CRDJ[Debit])))+(SUM(IF((GJ[Date]=$A$4)*(GJ[Ofc Code]=(TRIM(O$7)))*(GJ[Account Code]=(TRIM($D55))),GJ[Debit])))-(SUM(IF((CkDJ[Date]=$A$4)*(CkDJ[Ofc Code]=(TRIM(O$7)))*(CkDJ[Account Code]=(TRIM($D55))),CkDJ[Credit])))+(SUM(IF((CsDJ[Date]=$A$4)*(CsDJ[Ofc Code]=(TRIM(O$7)))*(CsDJ[Account Code]=(TRIM($D55))),CsDJ[Credit])))+(SUM(IF((CRDJ[Date]=$A$4)*(CRDJ[Ofc Code]=(TRIM(O$7)))*(CRDJ[Account Code]=(TRIM($D55))),CRDJ[Credit])))+(SUM(IF((GJ[Date]=$A$4)*(GJ[Ofc Code]=(TRIM(O$7)))*(GJ[Account Code]=(TRIM($D55))),GJ[Credit])))</f>
        <v>0</v>
      </c>
      <c r="P55" s="211">
        <f t="array" ref="P55">(SUM(IF((CkDJ[Date]=$A$4)*(CkDJ[Ofc Code]=(TRIM(P$7)))*(CkDJ[Account Code]=(TRIM($D55))),CkDJ[Debit])))+(SUM(IF((CsDJ[Date]=$A$4)*(CsDJ[Ofc Code]=(TRIM(P$7)))*(CsDJ[Account Code]=(TRIM($D55))),CsDJ[Debit])))+(SUM(IF((CRDJ[Date]=$A$4)*(CRDJ[Ofc Code]=(TRIM(P$7)))*(CRDJ[Account Code]=(TRIM($D55))),CRDJ[Debit])))+(SUM(IF((GJ[Date]=$A$4)*(GJ[Ofc Code]=(TRIM(P$7)))*(GJ[Account Code]=(TRIM($D55))),GJ[Debit])))-(SUM(IF((CkDJ[Date]=$A$4)*(CkDJ[Ofc Code]=(TRIM(P$7)))*(CkDJ[Account Code]=(TRIM($D55))),CkDJ[Credit])))+(SUM(IF((CsDJ[Date]=$A$4)*(CsDJ[Ofc Code]=(TRIM(P$7)))*(CsDJ[Account Code]=(TRIM($D55))),CsDJ[Credit])))+(SUM(IF((CRDJ[Date]=$A$4)*(CRDJ[Ofc Code]=(TRIM(P$7)))*(CRDJ[Account Code]=(TRIM($D55))),CRDJ[Credit])))+(SUM(IF((GJ[Date]=$A$4)*(GJ[Ofc Code]=(TRIM(P$7)))*(GJ[Account Code]=(TRIM($D55))),GJ[Credit])))</f>
        <v>0</v>
      </c>
      <c r="Q55" s="211">
        <f t="array" ref="Q55">(SUM(IF((CkDJ[Date]=$A$4)*(CkDJ[Ofc Code]=(TRIM(Q$7)))*(CkDJ[Account Code]=(TRIM($D55))),CkDJ[Debit])))+(SUM(IF((CsDJ[Date]=$A$4)*(CsDJ[Ofc Code]=(TRIM(Q$7)))*(CsDJ[Account Code]=(TRIM($D55))),CsDJ[Debit])))+(SUM(IF((CRDJ[Date]=$A$4)*(CRDJ[Ofc Code]=(TRIM(Q$7)))*(CRDJ[Account Code]=(TRIM($D55))),CRDJ[Debit])))+(SUM(IF((GJ[Date]=$A$4)*(GJ[Ofc Code]=(TRIM(Q$7)))*(GJ[Account Code]=(TRIM($D55))),GJ[Debit])))-(SUM(IF((CkDJ[Date]=$A$4)*(CkDJ[Ofc Code]=(TRIM(Q$7)))*(CkDJ[Account Code]=(TRIM($D55))),CkDJ[Credit])))+(SUM(IF((CsDJ[Date]=$A$4)*(CsDJ[Ofc Code]=(TRIM(Q$7)))*(CsDJ[Account Code]=(TRIM($D55))),CsDJ[Credit])))+(SUM(IF((CRDJ[Date]=$A$4)*(CRDJ[Ofc Code]=(TRIM(Q$7)))*(CRDJ[Account Code]=(TRIM($D55))),CRDJ[Credit])))+(SUM(IF((GJ[Date]=$A$4)*(GJ[Ofc Code]=(TRIM(Q$7)))*(GJ[Account Code]=(TRIM($D55))),GJ[Credit])))</f>
        <v>0</v>
      </c>
      <c r="R55" s="211">
        <f t="array" ref="R55">(SUM(IF((CkDJ[Date]=$A$4)*(CkDJ[Ofc Code]=(TRIM(R$7)))*(CkDJ[Account Code]=(TRIM($D55))),CkDJ[Debit])))+(SUM(IF((CsDJ[Date]=$A$4)*(CsDJ[Ofc Code]=(TRIM(R$7)))*(CsDJ[Account Code]=(TRIM($D55))),CsDJ[Debit])))+(SUM(IF((CRDJ[Date]=$A$4)*(CRDJ[Ofc Code]=(TRIM(R$7)))*(CRDJ[Account Code]=(TRIM($D55))),CRDJ[Debit])))+(SUM(IF((GJ[Date]=$A$4)*(GJ[Ofc Code]=(TRIM(R$7)))*(GJ[Account Code]=(TRIM($D55))),GJ[Debit])))-(SUM(IF((CkDJ[Date]=$A$4)*(CkDJ[Ofc Code]=(TRIM(R$7)))*(CkDJ[Account Code]=(TRIM($D55))),CkDJ[Credit])))+(SUM(IF((CsDJ[Date]=$A$4)*(CsDJ[Ofc Code]=(TRIM(R$7)))*(CsDJ[Account Code]=(TRIM($D55))),CsDJ[Credit])))+(SUM(IF((CRDJ[Date]=$A$4)*(CRDJ[Ofc Code]=(TRIM(R$7)))*(CRDJ[Account Code]=(TRIM($D55))),CRDJ[Credit])))+(SUM(IF((GJ[Date]=$A$4)*(GJ[Ofc Code]=(TRIM(R$7)))*(GJ[Account Code]=(TRIM($D55))),GJ[Credit])))</f>
        <v>0</v>
      </c>
      <c r="S55" s="211">
        <f t="array" ref="S55">(SUM(IF((CkDJ[Date]=$A$4)*(CkDJ[Ofc Code]=(TRIM(S$7)))*(CkDJ[Account Code]=(TRIM($D55))),CkDJ[Debit])))+(SUM(IF((CsDJ[Date]=$A$4)*(CsDJ[Ofc Code]=(TRIM(S$7)))*(CsDJ[Account Code]=(TRIM($D55))),CsDJ[Debit])))+(SUM(IF((CRDJ[Date]=$A$4)*(CRDJ[Ofc Code]=(TRIM(S$7)))*(CRDJ[Account Code]=(TRIM($D55))),CRDJ[Debit])))+(SUM(IF((GJ[Date]=$A$4)*(GJ[Ofc Code]=(TRIM(S$7)))*(GJ[Account Code]=(TRIM($D55))),GJ[Debit])))-(SUM(IF((CkDJ[Date]=$A$4)*(CkDJ[Ofc Code]=(TRIM(S$7)))*(CkDJ[Account Code]=(TRIM($D55))),CkDJ[Credit])))+(SUM(IF((CsDJ[Date]=$A$4)*(CsDJ[Ofc Code]=(TRIM(S$7)))*(CsDJ[Account Code]=(TRIM($D55))),CsDJ[Credit])))+(SUM(IF((CRDJ[Date]=$A$4)*(CRDJ[Ofc Code]=(TRIM(S$7)))*(CRDJ[Account Code]=(TRIM($D55))),CRDJ[Credit])))+(SUM(IF((GJ[Date]=$A$4)*(GJ[Ofc Code]=(TRIM(S$7)))*(GJ[Account Code]=(TRIM($D55))),GJ[Credit])))</f>
        <v>0</v>
      </c>
      <c r="T55" s="211">
        <f>SUM(O55:S55)</f>
        <v>0</v>
      </c>
      <c r="U55" s="211">
        <f>E55+I55+N55+T55</f>
        <v>0</v>
      </c>
    </row>
    <row r="56" spans="1:21" ht="15" x14ac:dyDescent="0.25">
      <c r="A56" s="212">
        <f t="shared" si="12"/>
        <v>23</v>
      </c>
      <c r="B56" s="214" t="s">
        <v>756</v>
      </c>
      <c r="C56" s="194" t="str">
        <f>IF(D56=0,"",(VLOOKUP((TRIM(D56)),Code,2,)))</f>
        <v>Other Personnel Benefits</v>
      </c>
      <c r="D56" s="215">
        <v>749</v>
      </c>
      <c r="E56" s="211">
        <f t="array" ref="E56">(SUM(IF((CkDJ[Date]=$A$4)*(CkDJ[Ofc Code]=(TRIM(E$7)))*(CkDJ[Account Code]=(TRIM($D56))),CkDJ[Debit])))+(SUM(IF((CsDJ[Date]=$A$4)*(CsDJ[Ofc Code]=(TRIM(E$7)))*(CsDJ[Account Code]=(TRIM($D56))),CsDJ[Debit])))+(SUM(IF((CRDJ[Date]=$A$4)*(CRDJ[Ofc Code]=(TRIM(E$7)))*(CRDJ[Account Code]=(TRIM($D56))),CRDJ[Debit])))+(SUM(IF((GJ[Date]=$A$4)*(GJ[Ofc Code]=(TRIM(E$7)))*(GJ[Account Code]=(TRIM($D56))),GJ[Debit])))-(SUM(IF((CkDJ[Date]=$A$4)*(CkDJ[Ofc Code]=(TRIM(E$7)))*(CkDJ[Account Code]=(TRIM($D56))),CkDJ[Credit])))+(SUM(IF((CsDJ[Date]=$A$4)*(CsDJ[Ofc Code]=(TRIM(E$7)))*(CsDJ[Account Code]=(TRIM($D56))),CsDJ[Credit])))+(SUM(IF((CRDJ[Date]=$A$4)*(CRDJ[Ofc Code]=(TRIM(E$7)))*(CRDJ[Account Code]=(TRIM($D56))),CRDJ[Credit])))+(SUM(IF((GJ[Date]=$A$4)*(GJ[Ofc Code]=(TRIM(E$7)))*(GJ[Account Code]=(TRIM($D56))),GJ[Credit])))</f>
        <v>0</v>
      </c>
      <c r="F56" s="211">
        <f t="array" ref="F56">(SUM(IF((CkDJ[Date]=$A$4)*(CkDJ[Ofc Code]=(TRIM(F$7)))*(CkDJ[Account Code]=(TRIM($D56))),CkDJ[Debit])))+(SUM(IF((CsDJ[Date]=$A$4)*(CsDJ[Ofc Code]=(TRIM(F$7)))*(CsDJ[Account Code]=(TRIM($D56))),CsDJ[Debit])))+(SUM(IF((CRDJ[Date]=$A$4)*(CRDJ[Ofc Code]=(TRIM(F$7)))*(CRDJ[Account Code]=(TRIM($D56))),CRDJ[Debit])))+(SUM(IF((GJ[Date]=$A$4)*(GJ[Ofc Code]=(TRIM(F$7)))*(GJ[Account Code]=(TRIM($D56))),GJ[Debit])))-(SUM(IF((CkDJ[Date]=$A$4)*(CkDJ[Ofc Code]=(TRIM(F$7)))*(CkDJ[Account Code]=(TRIM($D56))),CkDJ[Credit])))+(SUM(IF((CsDJ[Date]=$A$4)*(CsDJ[Ofc Code]=(TRIM(F$7)))*(CsDJ[Account Code]=(TRIM($D56))),CsDJ[Credit])))+(SUM(IF((CRDJ[Date]=$A$4)*(CRDJ[Ofc Code]=(TRIM(F$7)))*(CRDJ[Account Code]=(TRIM($D56))),CRDJ[Credit])))+(SUM(IF((GJ[Date]=$A$4)*(GJ[Ofc Code]=(TRIM(F$7)))*(GJ[Account Code]=(TRIM($D56))),GJ[Credit])))</f>
        <v>0</v>
      </c>
      <c r="G56" s="211">
        <f t="array" ref="G56">(SUM(IF((CkDJ[Date]=$A$4)*(CkDJ[Ofc Code]=(TRIM(G$7)))*(CkDJ[Account Code]=(TRIM($D56))),CkDJ[Debit])))+(SUM(IF((CsDJ[Date]=$A$4)*(CsDJ[Ofc Code]=(TRIM(G$7)))*(CsDJ[Account Code]=(TRIM($D56))),CsDJ[Debit])))+(SUM(IF((CRDJ[Date]=$A$4)*(CRDJ[Ofc Code]=(TRIM(G$7)))*(CRDJ[Account Code]=(TRIM($D56))),CRDJ[Debit])))+(SUM(IF((GJ[Date]=$A$4)*(GJ[Ofc Code]=(TRIM(G$7)))*(GJ[Account Code]=(TRIM($D56))),GJ[Debit])))-(SUM(IF((CkDJ[Date]=$A$4)*(CkDJ[Ofc Code]=(TRIM(G$7)))*(CkDJ[Account Code]=(TRIM($D56))),CkDJ[Credit])))+(SUM(IF((CsDJ[Date]=$A$4)*(CsDJ[Ofc Code]=(TRIM(G$7)))*(CsDJ[Account Code]=(TRIM($D56))),CsDJ[Credit])))+(SUM(IF((CRDJ[Date]=$A$4)*(CRDJ[Ofc Code]=(TRIM(G$7)))*(CRDJ[Account Code]=(TRIM($D56))),CRDJ[Credit])))+(SUM(IF((GJ[Date]=$A$4)*(GJ[Ofc Code]=(TRIM(G$7)))*(GJ[Account Code]=(TRIM($D56))),GJ[Credit])))</f>
        <v>0</v>
      </c>
      <c r="H56" s="211">
        <f t="array" ref="H56">(SUM(IF((CkDJ[Date]=$A$4)*(CkDJ[Ofc Code]=(TRIM(H$7)))*(CkDJ[Account Code]=(TRIM($D56))),CkDJ[Debit])))+(SUM(IF((CsDJ[Date]=$A$4)*(CsDJ[Ofc Code]=(TRIM(H$7)))*(CsDJ[Account Code]=(TRIM($D56))),CsDJ[Debit])))+(SUM(IF((CRDJ[Date]=$A$4)*(CRDJ[Ofc Code]=(TRIM(H$7)))*(CRDJ[Account Code]=(TRIM($D56))),CRDJ[Debit])))+(SUM(IF((GJ[Date]=$A$4)*(GJ[Ofc Code]=(TRIM(H$7)))*(GJ[Account Code]=(TRIM($D56))),GJ[Debit])))-(SUM(IF((CkDJ[Date]=$A$4)*(CkDJ[Ofc Code]=(TRIM(H$7)))*(CkDJ[Account Code]=(TRIM($D56))),CkDJ[Credit])))+(SUM(IF((CsDJ[Date]=$A$4)*(CsDJ[Ofc Code]=(TRIM(H$7)))*(CsDJ[Account Code]=(TRIM($D56))),CsDJ[Credit])))+(SUM(IF((CRDJ[Date]=$A$4)*(CRDJ[Ofc Code]=(TRIM(H$7)))*(CRDJ[Account Code]=(TRIM($D56))),CRDJ[Credit])))+(SUM(IF((GJ[Date]=$A$4)*(GJ[Ofc Code]=(TRIM(H$7)))*(GJ[Account Code]=(TRIM($D56))),GJ[Credit])))</f>
        <v>0</v>
      </c>
      <c r="I56" s="211">
        <f>SUM(F56:H56)</f>
        <v>0</v>
      </c>
      <c r="J56" s="211">
        <f t="array" ref="J56">(SUM(IF((CkDJ[Date]=$A$4)*(CkDJ[Ofc Code]=(TRIM(J$7)))*(CkDJ[Account Code]=(TRIM($D56))),CkDJ[Debit])))+(SUM(IF((CsDJ[Date]=$A$4)*(CsDJ[Ofc Code]=(TRIM(J$7)))*(CsDJ[Account Code]=(TRIM($D56))),CsDJ[Debit])))+(SUM(IF((CRDJ[Date]=$A$4)*(CRDJ[Ofc Code]=(TRIM(J$7)))*(CRDJ[Account Code]=(TRIM($D56))),CRDJ[Debit])))+(SUM(IF((GJ[Date]=$A$4)*(GJ[Ofc Code]=(TRIM(J$7)))*(GJ[Account Code]=(TRIM($D56))),GJ[Debit])))-(SUM(IF((CkDJ[Date]=$A$4)*(CkDJ[Ofc Code]=(TRIM(J$7)))*(CkDJ[Account Code]=(TRIM($D56))),CkDJ[Credit])))+(SUM(IF((CsDJ[Date]=$A$4)*(CsDJ[Ofc Code]=(TRIM(J$7)))*(CsDJ[Account Code]=(TRIM($D56))),CsDJ[Credit])))+(SUM(IF((CRDJ[Date]=$A$4)*(CRDJ[Ofc Code]=(TRIM(J$7)))*(CRDJ[Account Code]=(TRIM($D56))),CRDJ[Credit])))+(SUM(IF((GJ[Date]=$A$4)*(GJ[Ofc Code]=(TRIM(J$7)))*(GJ[Account Code]=(TRIM($D56))),GJ[Credit])))</f>
        <v>0</v>
      </c>
      <c r="K56" s="211">
        <f t="array" ref="K56">(SUM(IF((CkDJ[Date]=$A$4)*(CkDJ[Ofc Code]=(TRIM(K$7)))*(CkDJ[Account Code]=(TRIM($D56))),CkDJ[Debit])))+(SUM(IF((CsDJ[Date]=$A$4)*(CsDJ[Ofc Code]=(TRIM(K$7)))*(CsDJ[Account Code]=(TRIM($D56))),CsDJ[Debit])))+(SUM(IF((CRDJ[Date]=$A$4)*(CRDJ[Ofc Code]=(TRIM(K$7)))*(CRDJ[Account Code]=(TRIM($D56))),CRDJ[Debit])))+(SUM(IF((GJ[Date]=$A$4)*(GJ[Ofc Code]=(TRIM(K$7)))*(GJ[Account Code]=(TRIM($D56))),GJ[Debit])))-(SUM(IF((CkDJ[Date]=$A$4)*(CkDJ[Ofc Code]=(TRIM(K$7)))*(CkDJ[Account Code]=(TRIM($D56))),CkDJ[Credit])))+(SUM(IF((CsDJ[Date]=$A$4)*(CsDJ[Ofc Code]=(TRIM(K$7)))*(CsDJ[Account Code]=(TRIM($D56))),CsDJ[Credit])))+(SUM(IF((CRDJ[Date]=$A$4)*(CRDJ[Ofc Code]=(TRIM(K$7)))*(CRDJ[Account Code]=(TRIM($D56))),CRDJ[Credit])))+(SUM(IF((GJ[Date]=$A$4)*(GJ[Ofc Code]=(TRIM(K$7)))*(GJ[Account Code]=(TRIM($D56))),GJ[Credit])))</f>
        <v>0</v>
      </c>
      <c r="L56" s="211">
        <f t="array" ref="L56">(SUM(IF((CkDJ[Date]=$A$4)*(CkDJ[Ofc Code]=(TRIM(L$7)))*(CkDJ[Account Code]=(TRIM($D56))),CkDJ[Debit])))+(SUM(IF((CsDJ[Date]=$A$4)*(CsDJ[Ofc Code]=(TRIM(L$7)))*(CsDJ[Account Code]=(TRIM($D56))),CsDJ[Debit])))+(SUM(IF((CRDJ[Date]=$A$4)*(CRDJ[Ofc Code]=(TRIM(L$7)))*(CRDJ[Account Code]=(TRIM($D56))),CRDJ[Debit])))+(SUM(IF((GJ[Date]=$A$4)*(GJ[Ofc Code]=(TRIM(L$7)))*(GJ[Account Code]=(TRIM($D56))),GJ[Debit])))-(SUM(IF((CkDJ[Date]=$A$4)*(CkDJ[Ofc Code]=(TRIM(L$7)))*(CkDJ[Account Code]=(TRIM($D56))),CkDJ[Credit])))+(SUM(IF((CsDJ[Date]=$A$4)*(CsDJ[Ofc Code]=(TRIM(L$7)))*(CsDJ[Account Code]=(TRIM($D56))),CsDJ[Credit])))+(SUM(IF((CRDJ[Date]=$A$4)*(CRDJ[Ofc Code]=(TRIM(L$7)))*(CRDJ[Account Code]=(TRIM($D56))),CRDJ[Credit])))+(SUM(IF((GJ[Date]=$A$4)*(GJ[Ofc Code]=(TRIM(L$7)))*(GJ[Account Code]=(TRIM($D56))),GJ[Credit])))</f>
        <v>0</v>
      </c>
      <c r="M56" s="211">
        <f t="array" ref="M56">(SUM(IF((CkDJ[Date]=$A$4)*(CkDJ[Ofc Code]=(TRIM(M$7)))*(CkDJ[Account Code]=(TRIM($D56))),CkDJ[Debit])))+(SUM(IF((CsDJ[Date]=$A$4)*(CsDJ[Ofc Code]=(TRIM(M$7)))*(CsDJ[Account Code]=(TRIM($D56))),CsDJ[Debit])))+(SUM(IF((CRDJ[Date]=$A$4)*(CRDJ[Ofc Code]=(TRIM(M$7)))*(CRDJ[Account Code]=(TRIM($D56))),CRDJ[Debit])))+(SUM(IF((GJ[Date]=$A$4)*(GJ[Ofc Code]=(TRIM(M$7)))*(GJ[Account Code]=(TRIM($D56))),GJ[Debit])))-(SUM(IF((CkDJ[Date]=$A$4)*(CkDJ[Ofc Code]=(TRIM(M$7)))*(CkDJ[Account Code]=(TRIM($D56))),CkDJ[Credit])))+(SUM(IF((CsDJ[Date]=$A$4)*(CsDJ[Ofc Code]=(TRIM(M$7)))*(CsDJ[Account Code]=(TRIM($D56))),CsDJ[Credit])))+(SUM(IF((CRDJ[Date]=$A$4)*(CRDJ[Ofc Code]=(TRIM(M$7)))*(CRDJ[Account Code]=(TRIM($D56))),CRDJ[Credit])))+(SUM(IF((GJ[Date]=$A$4)*(GJ[Ofc Code]=(TRIM(M$7)))*(GJ[Account Code]=(TRIM($D56))),GJ[Credit])))</f>
        <v>0</v>
      </c>
      <c r="N56" s="211">
        <f>SUM(J56:M56)</f>
        <v>0</v>
      </c>
      <c r="O56" s="211">
        <f t="array" ref="O56">(SUM(IF((CkDJ[Date]=$A$4)*(CkDJ[Ofc Code]=(TRIM(O$7)))*(CkDJ[Account Code]=(TRIM($D56))),CkDJ[Debit])))+(SUM(IF((CsDJ[Date]=$A$4)*(CsDJ[Ofc Code]=(TRIM(O$7)))*(CsDJ[Account Code]=(TRIM($D56))),CsDJ[Debit])))+(SUM(IF((CRDJ[Date]=$A$4)*(CRDJ[Ofc Code]=(TRIM(O$7)))*(CRDJ[Account Code]=(TRIM($D56))),CRDJ[Debit])))+(SUM(IF((GJ[Date]=$A$4)*(GJ[Ofc Code]=(TRIM(O$7)))*(GJ[Account Code]=(TRIM($D56))),GJ[Debit])))-(SUM(IF((CkDJ[Date]=$A$4)*(CkDJ[Ofc Code]=(TRIM(O$7)))*(CkDJ[Account Code]=(TRIM($D56))),CkDJ[Credit])))+(SUM(IF((CsDJ[Date]=$A$4)*(CsDJ[Ofc Code]=(TRIM(O$7)))*(CsDJ[Account Code]=(TRIM($D56))),CsDJ[Credit])))+(SUM(IF((CRDJ[Date]=$A$4)*(CRDJ[Ofc Code]=(TRIM(O$7)))*(CRDJ[Account Code]=(TRIM($D56))),CRDJ[Credit])))+(SUM(IF((GJ[Date]=$A$4)*(GJ[Ofc Code]=(TRIM(O$7)))*(GJ[Account Code]=(TRIM($D56))),GJ[Credit])))</f>
        <v>0</v>
      </c>
      <c r="P56" s="211">
        <f t="array" ref="P56">(SUM(IF((CkDJ[Date]=$A$4)*(CkDJ[Ofc Code]=(TRIM(P$7)))*(CkDJ[Account Code]=(TRIM($D56))),CkDJ[Debit])))+(SUM(IF((CsDJ[Date]=$A$4)*(CsDJ[Ofc Code]=(TRIM(P$7)))*(CsDJ[Account Code]=(TRIM($D56))),CsDJ[Debit])))+(SUM(IF((CRDJ[Date]=$A$4)*(CRDJ[Ofc Code]=(TRIM(P$7)))*(CRDJ[Account Code]=(TRIM($D56))),CRDJ[Debit])))+(SUM(IF((GJ[Date]=$A$4)*(GJ[Ofc Code]=(TRIM(P$7)))*(GJ[Account Code]=(TRIM($D56))),GJ[Debit])))-(SUM(IF((CkDJ[Date]=$A$4)*(CkDJ[Ofc Code]=(TRIM(P$7)))*(CkDJ[Account Code]=(TRIM($D56))),CkDJ[Credit])))+(SUM(IF((CsDJ[Date]=$A$4)*(CsDJ[Ofc Code]=(TRIM(P$7)))*(CsDJ[Account Code]=(TRIM($D56))),CsDJ[Credit])))+(SUM(IF((CRDJ[Date]=$A$4)*(CRDJ[Ofc Code]=(TRIM(P$7)))*(CRDJ[Account Code]=(TRIM($D56))),CRDJ[Credit])))+(SUM(IF((GJ[Date]=$A$4)*(GJ[Ofc Code]=(TRIM(P$7)))*(GJ[Account Code]=(TRIM($D56))),GJ[Credit])))</f>
        <v>0</v>
      </c>
      <c r="Q56" s="211">
        <f t="array" ref="Q56">(SUM(IF((CkDJ[Date]=$A$4)*(CkDJ[Ofc Code]=(TRIM(Q$7)))*(CkDJ[Account Code]=(TRIM($D56))),CkDJ[Debit])))+(SUM(IF((CsDJ[Date]=$A$4)*(CsDJ[Ofc Code]=(TRIM(Q$7)))*(CsDJ[Account Code]=(TRIM($D56))),CsDJ[Debit])))+(SUM(IF((CRDJ[Date]=$A$4)*(CRDJ[Ofc Code]=(TRIM(Q$7)))*(CRDJ[Account Code]=(TRIM($D56))),CRDJ[Debit])))+(SUM(IF((GJ[Date]=$A$4)*(GJ[Ofc Code]=(TRIM(Q$7)))*(GJ[Account Code]=(TRIM($D56))),GJ[Debit])))-(SUM(IF((CkDJ[Date]=$A$4)*(CkDJ[Ofc Code]=(TRIM(Q$7)))*(CkDJ[Account Code]=(TRIM($D56))),CkDJ[Credit])))+(SUM(IF((CsDJ[Date]=$A$4)*(CsDJ[Ofc Code]=(TRIM(Q$7)))*(CsDJ[Account Code]=(TRIM($D56))),CsDJ[Credit])))+(SUM(IF((CRDJ[Date]=$A$4)*(CRDJ[Ofc Code]=(TRIM(Q$7)))*(CRDJ[Account Code]=(TRIM($D56))),CRDJ[Credit])))+(SUM(IF((GJ[Date]=$A$4)*(GJ[Ofc Code]=(TRIM(Q$7)))*(GJ[Account Code]=(TRIM($D56))),GJ[Credit])))</f>
        <v>0</v>
      </c>
      <c r="R56" s="211">
        <f t="array" ref="R56">(SUM(IF((CkDJ[Date]=$A$4)*(CkDJ[Ofc Code]=(TRIM(R$7)))*(CkDJ[Account Code]=(TRIM($D56))),CkDJ[Debit])))+(SUM(IF((CsDJ[Date]=$A$4)*(CsDJ[Ofc Code]=(TRIM(R$7)))*(CsDJ[Account Code]=(TRIM($D56))),CsDJ[Debit])))+(SUM(IF((CRDJ[Date]=$A$4)*(CRDJ[Ofc Code]=(TRIM(R$7)))*(CRDJ[Account Code]=(TRIM($D56))),CRDJ[Debit])))+(SUM(IF((GJ[Date]=$A$4)*(GJ[Ofc Code]=(TRIM(R$7)))*(GJ[Account Code]=(TRIM($D56))),GJ[Debit])))-(SUM(IF((CkDJ[Date]=$A$4)*(CkDJ[Ofc Code]=(TRIM(R$7)))*(CkDJ[Account Code]=(TRIM($D56))),CkDJ[Credit])))+(SUM(IF((CsDJ[Date]=$A$4)*(CsDJ[Ofc Code]=(TRIM(R$7)))*(CsDJ[Account Code]=(TRIM($D56))),CsDJ[Credit])))+(SUM(IF((CRDJ[Date]=$A$4)*(CRDJ[Ofc Code]=(TRIM(R$7)))*(CRDJ[Account Code]=(TRIM($D56))),CRDJ[Credit])))+(SUM(IF((GJ[Date]=$A$4)*(GJ[Ofc Code]=(TRIM(R$7)))*(GJ[Account Code]=(TRIM($D56))),GJ[Credit])))</f>
        <v>0</v>
      </c>
      <c r="S56" s="211">
        <f t="array" ref="S56">(SUM(IF((CkDJ[Date]=$A$4)*(CkDJ[Ofc Code]=(TRIM(S$7)))*(CkDJ[Account Code]=(TRIM($D56))),CkDJ[Debit])))+(SUM(IF((CsDJ[Date]=$A$4)*(CsDJ[Ofc Code]=(TRIM(S$7)))*(CsDJ[Account Code]=(TRIM($D56))),CsDJ[Debit])))+(SUM(IF((CRDJ[Date]=$A$4)*(CRDJ[Ofc Code]=(TRIM(S$7)))*(CRDJ[Account Code]=(TRIM($D56))),CRDJ[Debit])))+(SUM(IF((GJ[Date]=$A$4)*(GJ[Ofc Code]=(TRIM(S$7)))*(GJ[Account Code]=(TRIM($D56))),GJ[Debit])))-(SUM(IF((CkDJ[Date]=$A$4)*(CkDJ[Ofc Code]=(TRIM(S$7)))*(CkDJ[Account Code]=(TRIM($D56))),CkDJ[Credit])))+(SUM(IF((CsDJ[Date]=$A$4)*(CsDJ[Ofc Code]=(TRIM(S$7)))*(CsDJ[Account Code]=(TRIM($D56))),CsDJ[Credit])))+(SUM(IF((CRDJ[Date]=$A$4)*(CRDJ[Ofc Code]=(TRIM(S$7)))*(CRDJ[Account Code]=(TRIM($D56))),CRDJ[Credit])))+(SUM(IF((GJ[Date]=$A$4)*(GJ[Ofc Code]=(TRIM(S$7)))*(GJ[Account Code]=(TRIM($D56))),GJ[Credit])))</f>
        <v>0</v>
      </c>
      <c r="T56" s="211">
        <f>SUM(O56:S56)</f>
        <v>0</v>
      </c>
      <c r="U56" s="211">
        <f>E56+I56+N56+T56</f>
        <v>0</v>
      </c>
    </row>
    <row r="57" spans="1:21" ht="15" x14ac:dyDescent="0.25">
      <c r="A57" s="1167" t="s">
        <v>758</v>
      </c>
      <c r="B57" s="1168"/>
      <c r="C57" s="1168"/>
      <c r="D57" s="209"/>
      <c r="E57" s="208">
        <f t="shared" ref="E57:U57" si="13">SUM(E34:E56)</f>
        <v>0</v>
      </c>
      <c r="F57" s="208">
        <f t="shared" si="13"/>
        <v>0</v>
      </c>
      <c r="G57" s="208">
        <f t="shared" si="13"/>
        <v>0</v>
      </c>
      <c r="H57" s="208">
        <f t="shared" si="13"/>
        <v>0</v>
      </c>
      <c r="I57" s="208">
        <f t="shared" si="13"/>
        <v>0</v>
      </c>
      <c r="J57" s="208">
        <f t="shared" si="13"/>
        <v>0</v>
      </c>
      <c r="K57" s="208">
        <f t="shared" si="13"/>
        <v>0</v>
      </c>
      <c r="L57" s="208">
        <f t="shared" si="13"/>
        <v>0</v>
      </c>
      <c r="M57" s="208">
        <f t="shared" si="13"/>
        <v>0</v>
      </c>
      <c r="N57" s="208">
        <f t="shared" si="13"/>
        <v>0</v>
      </c>
      <c r="O57" s="208">
        <f t="shared" si="13"/>
        <v>0</v>
      </c>
      <c r="P57" s="208">
        <f t="shared" si="13"/>
        <v>0</v>
      </c>
      <c r="Q57" s="208">
        <f t="shared" si="13"/>
        <v>0</v>
      </c>
      <c r="R57" s="208">
        <f t="shared" si="13"/>
        <v>0</v>
      </c>
      <c r="S57" s="208">
        <f t="shared" si="13"/>
        <v>0</v>
      </c>
      <c r="T57" s="208">
        <f t="shared" si="13"/>
        <v>0</v>
      </c>
      <c r="U57" s="208">
        <f t="shared" si="13"/>
        <v>0</v>
      </c>
    </row>
    <row r="58" spans="1:21" ht="15" x14ac:dyDescent="0.25">
      <c r="A58" s="1183" t="s">
        <v>757</v>
      </c>
      <c r="B58" s="1184"/>
      <c r="C58" s="1184"/>
      <c r="D58" s="207"/>
      <c r="E58" s="211"/>
      <c r="F58" s="211"/>
      <c r="G58" s="211"/>
      <c r="H58" s="211"/>
      <c r="I58" s="211"/>
      <c r="J58" s="211"/>
      <c r="K58" s="211"/>
      <c r="L58" s="211"/>
      <c r="M58" s="211"/>
      <c r="N58" s="211"/>
      <c r="O58" s="211"/>
      <c r="P58" s="211"/>
      <c r="Q58" s="211"/>
      <c r="R58" s="211"/>
      <c r="S58" s="211"/>
      <c r="T58" s="211"/>
      <c r="U58" s="211"/>
    </row>
    <row r="59" spans="1:21" ht="15" x14ac:dyDescent="0.25">
      <c r="A59" s="212">
        <v>1</v>
      </c>
      <c r="B59" s="214" t="s">
        <v>756</v>
      </c>
      <c r="C59" s="194" t="str">
        <f t="shared" ref="C59:C96" si="14">IF(D59=0,"",(VLOOKUP((TRIM(D59)),Code,2,)))</f>
        <v>Traveling Expenses-Local</v>
      </c>
      <c r="D59" s="207">
        <v>751</v>
      </c>
      <c r="E59" s="211">
        <f t="array" ref="E59">(SUM(IF((CkDJ[Date]=$A$4)*(CkDJ[Ofc Code]=(TRIM(E$7)))*(CkDJ[Account Code]=(TRIM($D59))),CkDJ[Debit])))+(SUM(IF((CsDJ[Date]=$A$4)*(CsDJ[Ofc Code]=(TRIM(E$7)))*(CsDJ[Account Code]=(TRIM($D59))),CsDJ[Debit])))+(SUM(IF((CRDJ[Date]=$A$4)*(CRDJ[Ofc Code]=(TRIM(E$7)))*(CRDJ[Account Code]=(TRIM($D59))),CRDJ[Debit])))+(SUM(IF((GJ[Date]=$A$4)*(GJ[Ofc Code]=(TRIM(E$7)))*(GJ[Account Code]=(TRIM($D59))),GJ[Debit])))-(SUM(IF((CkDJ[Date]=$A$4)*(CkDJ[Ofc Code]=(TRIM(E$7)))*(CkDJ[Account Code]=(TRIM($D59))),CkDJ[Credit])))+(SUM(IF((CsDJ[Date]=$A$4)*(CsDJ[Ofc Code]=(TRIM(E$7)))*(CsDJ[Account Code]=(TRIM($D59))),CsDJ[Credit])))+(SUM(IF((CRDJ[Date]=$A$4)*(CRDJ[Ofc Code]=(TRIM(E$7)))*(CRDJ[Account Code]=(TRIM($D59))),CRDJ[Credit])))+(SUM(IF((GJ[Date]=$A$4)*(GJ[Ofc Code]=(TRIM(E$7)))*(GJ[Account Code]=(TRIM($D59))),GJ[Credit])))</f>
        <v>0</v>
      </c>
      <c r="F59" s="211">
        <f t="array" ref="F59">(SUM(IF((CkDJ[Date]=$A$4)*(CkDJ[Ofc Code]=(TRIM(F$7)))*(CkDJ[Account Code]=(TRIM($D59))),CkDJ[Debit])))+(SUM(IF((CsDJ[Date]=$A$4)*(CsDJ[Ofc Code]=(TRIM(F$7)))*(CsDJ[Account Code]=(TRIM($D59))),CsDJ[Debit])))+(SUM(IF((CRDJ[Date]=$A$4)*(CRDJ[Ofc Code]=(TRIM(F$7)))*(CRDJ[Account Code]=(TRIM($D59))),CRDJ[Debit])))+(SUM(IF((GJ[Date]=$A$4)*(GJ[Ofc Code]=(TRIM(F$7)))*(GJ[Account Code]=(TRIM($D59))),GJ[Debit])))-(SUM(IF((CkDJ[Date]=$A$4)*(CkDJ[Ofc Code]=(TRIM(F$7)))*(CkDJ[Account Code]=(TRIM($D59))),CkDJ[Credit])))+(SUM(IF((CsDJ[Date]=$A$4)*(CsDJ[Ofc Code]=(TRIM(F$7)))*(CsDJ[Account Code]=(TRIM($D59))),CsDJ[Credit])))+(SUM(IF((CRDJ[Date]=$A$4)*(CRDJ[Ofc Code]=(TRIM(F$7)))*(CRDJ[Account Code]=(TRIM($D59))),CRDJ[Credit])))+(SUM(IF((GJ[Date]=$A$4)*(GJ[Ofc Code]=(TRIM(F$7)))*(GJ[Account Code]=(TRIM($D59))),GJ[Credit])))</f>
        <v>0</v>
      </c>
      <c r="G59" s="211">
        <f t="array" ref="G59">(SUM(IF((CkDJ[Date]=$A$4)*(CkDJ[Ofc Code]=(TRIM(G$7)))*(CkDJ[Account Code]=(TRIM($D59))),CkDJ[Debit])))+(SUM(IF((CsDJ[Date]=$A$4)*(CsDJ[Ofc Code]=(TRIM(G$7)))*(CsDJ[Account Code]=(TRIM($D59))),CsDJ[Debit])))+(SUM(IF((CRDJ[Date]=$A$4)*(CRDJ[Ofc Code]=(TRIM(G$7)))*(CRDJ[Account Code]=(TRIM($D59))),CRDJ[Debit])))+(SUM(IF((GJ[Date]=$A$4)*(GJ[Ofc Code]=(TRIM(G$7)))*(GJ[Account Code]=(TRIM($D59))),GJ[Debit])))-(SUM(IF((CkDJ[Date]=$A$4)*(CkDJ[Ofc Code]=(TRIM(G$7)))*(CkDJ[Account Code]=(TRIM($D59))),CkDJ[Credit])))+(SUM(IF((CsDJ[Date]=$A$4)*(CsDJ[Ofc Code]=(TRIM(G$7)))*(CsDJ[Account Code]=(TRIM($D59))),CsDJ[Credit])))+(SUM(IF((CRDJ[Date]=$A$4)*(CRDJ[Ofc Code]=(TRIM(G$7)))*(CRDJ[Account Code]=(TRIM($D59))),CRDJ[Credit])))+(SUM(IF((GJ[Date]=$A$4)*(GJ[Ofc Code]=(TRIM(G$7)))*(GJ[Account Code]=(TRIM($D59))),GJ[Credit])))</f>
        <v>0</v>
      </c>
      <c r="H59" s="211">
        <f t="array" ref="H59">(SUM(IF((CkDJ[Date]=$A$4)*(CkDJ[Ofc Code]=(TRIM(H$7)))*(CkDJ[Account Code]=(TRIM($D59))),CkDJ[Debit])))+(SUM(IF((CsDJ[Date]=$A$4)*(CsDJ[Ofc Code]=(TRIM(H$7)))*(CsDJ[Account Code]=(TRIM($D59))),CsDJ[Debit])))+(SUM(IF((CRDJ[Date]=$A$4)*(CRDJ[Ofc Code]=(TRIM(H$7)))*(CRDJ[Account Code]=(TRIM($D59))),CRDJ[Debit])))+(SUM(IF((GJ[Date]=$A$4)*(GJ[Ofc Code]=(TRIM(H$7)))*(GJ[Account Code]=(TRIM($D59))),GJ[Debit])))-(SUM(IF((CkDJ[Date]=$A$4)*(CkDJ[Ofc Code]=(TRIM(H$7)))*(CkDJ[Account Code]=(TRIM($D59))),CkDJ[Credit])))+(SUM(IF((CsDJ[Date]=$A$4)*(CsDJ[Ofc Code]=(TRIM(H$7)))*(CsDJ[Account Code]=(TRIM($D59))),CsDJ[Credit])))+(SUM(IF((CRDJ[Date]=$A$4)*(CRDJ[Ofc Code]=(TRIM(H$7)))*(CRDJ[Account Code]=(TRIM($D59))),CRDJ[Credit])))+(SUM(IF((GJ[Date]=$A$4)*(GJ[Ofc Code]=(TRIM(H$7)))*(GJ[Account Code]=(TRIM($D59))),GJ[Credit])))</f>
        <v>0</v>
      </c>
      <c r="I59" s="211">
        <f t="shared" ref="I59:I96" si="15">SUM(F59:H59)</f>
        <v>0</v>
      </c>
      <c r="J59" s="211">
        <f t="array" ref="J59">(SUM(IF((CkDJ[Date]=$A$4)*(CkDJ[Ofc Code]=(TRIM(J$7)))*(CkDJ[Account Code]=(TRIM($D59))),CkDJ[Debit])))+(SUM(IF((CsDJ[Date]=$A$4)*(CsDJ[Ofc Code]=(TRIM(J$7)))*(CsDJ[Account Code]=(TRIM($D59))),CsDJ[Debit])))+(SUM(IF((CRDJ[Date]=$A$4)*(CRDJ[Ofc Code]=(TRIM(J$7)))*(CRDJ[Account Code]=(TRIM($D59))),CRDJ[Debit])))+(SUM(IF((GJ[Date]=$A$4)*(GJ[Ofc Code]=(TRIM(J$7)))*(GJ[Account Code]=(TRIM($D59))),GJ[Debit])))-(SUM(IF((CkDJ[Date]=$A$4)*(CkDJ[Ofc Code]=(TRIM(J$7)))*(CkDJ[Account Code]=(TRIM($D59))),CkDJ[Credit])))+(SUM(IF((CsDJ[Date]=$A$4)*(CsDJ[Ofc Code]=(TRIM(J$7)))*(CsDJ[Account Code]=(TRIM($D59))),CsDJ[Credit])))+(SUM(IF((CRDJ[Date]=$A$4)*(CRDJ[Ofc Code]=(TRIM(J$7)))*(CRDJ[Account Code]=(TRIM($D59))),CRDJ[Credit])))+(SUM(IF((GJ[Date]=$A$4)*(GJ[Ofc Code]=(TRIM(J$7)))*(GJ[Account Code]=(TRIM($D59))),GJ[Credit])))</f>
        <v>0</v>
      </c>
      <c r="K59" s="211">
        <f t="array" ref="K59">(SUM(IF((CkDJ[Date]=$A$4)*(CkDJ[Ofc Code]=(TRIM(K$7)))*(CkDJ[Account Code]=(TRIM($D59))),CkDJ[Debit])))+(SUM(IF((CsDJ[Date]=$A$4)*(CsDJ[Ofc Code]=(TRIM(K$7)))*(CsDJ[Account Code]=(TRIM($D59))),CsDJ[Debit])))+(SUM(IF((CRDJ[Date]=$A$4)*(CRDJ[Ofc Code]=(TRIM(K$7)))*(CRDJ[Account Code]=(TRIM($D59))),CRDJ[Debit])))+(SUM(IF((GJ[Date]=$A$4)*(GJ[Ofc Code]=(TRIM(K$7)))*(GJ[Account Code]=(TRIM($D59))),GJ[Debit])))-(SUM(IF((CkDJ[Date]=$A$4)*(CkDJ[Ofc Code]=(TRIM(K$7)))*(CkDJ[Account Code]=(TRIM($D59))),CkDJ[Credit])))+(SUM(IF((CsDJ[Date]=$A$4)*(CsDJ[Ofc Code]=(TRIM(K$7)))*(CsDJ[Account Code]=(TRIM($D59))),CsDJ[Credit])))+(SUM(IF((CRDJ[Date]=$A$4)*(CRDJ[Ofc Code]=(TRIM(K$7)))*(CRDJ[Account Code]=(TRIM($D59))),CRDJ[Credit])))+(SUM(IF((GJ[Date]=$A$4)*(GJ[Ofc Code]=(TRIM(K$7)))*(GJ[Account Code]=(TRIM($D59))),GJ[Credit])))</f>
        <v>0</v>
      </c>
      <c r="L59" s="211">
        <f t="array" ref="L59">(SUM(IF((CkDJ[Date]=$A$4)*(CkDJ[Ofc Code]=(TRIM(L$7)))*(CkDJ[Account Code]=(TRIM($D59))),CkDJ[Debit])))+(SUM(IF((CsDJ[Date]=$A$4)*(CsDJ[Ofc Code]=(TRIM(L$7)))*(CsDJ[Account Code]=(TRIM($D59))),CsDJ[Debit])))+(SUM(IF((CRDJ[Date]=$A$4)*(CRDJ[Ofc Code]=(TRIM(L$7)))*(CRDJ[Account Code]=(TRIM($D59))),CRDJ[Debit])))+(SUM(IF((GJ[Date]=$A$4)*(GJ[Ofc Code]=(TRIM(L$7)))*(GJ[Account Code]=(TRIM($D59))),GJ[Debit])))-(SUM(IF((CkDJ[Date]=$A$4)*(CkDJ[Ofc Code]=(TRIM(L$7)))*(CkDJ[Account Code]=(TRIM($D59))),CkDJ[Credit])))+(SUM(IF((CsDJ[Date]=$A$4)*(CsDJ[Ofc Code]=(TRIM(L$7)))*(CsDJ[Account Code]=(TRIM($D59))),CsDJ[Credit])))+(SUM(IF((CRDJ[Date]=$A$4)*(CRDJ[Ofc Code]=(TRIM(L$7)))*(CRDJ[Account Code]=(TRIM($D59))),CRDJ[Credit])))+(SUM(IF((GJ[Date]=$A$4)*(GJ[Ofc Code]=(TRIM(L$7)))*(GJ[Account Code]=(TRIM($D59))),GJ[Credit])))</f>
        <v>0</v>
      </c>
      <c r="M59" s="211">
        <f t="array" ref="M59">(SUM(IF((CkDJ[Date]=$A$4)*(CkDJ[Ofc Code]=(TRIM(M$7)))*(CkDJ[Account Code]=(TRIM($D59))),CkDJ[Debit])))+(SUM(IF((CsDJ[Date]=$A$4)*(CsDJ[Ofc Code]=(TRIM(M$7)))*(CsDJ[Account Code]=(TRIM($D59))),CsDJ[Debit])))+(SUM(IF((CRDJ[Date]=$A$4)*(CRDJ[Ofc Code]=(TRIM(M$7)))*(CRDJ[Account Code]=(TRIM($D59))),CRDJ[Debit])))+(SUM(IF((GJ[Date]=$A$4)*(GJ[Ofc Code]=(TRIM(M$7)))*(GJ[Account Code]=(TRIM($D59))),GJ[Debit])))-(SUM(IF((CkDJ[Date]=$A$4)*(CkDJ[Ofc Code]=(TRIM(M$7)))*(CkDJ[Account Code]=(TRIM($D59))),CkDJ[Credit])))+(SUM(IF((CsDJ[Date]=$A$4)*(CsDJ[Ofc Code]=(TRIM(M$7)))*(CsDJ[Account Code]=(TRIM($D59))),CsDJ[Credit])))+(SUM(IF((CRDJ[Date]=$A$4)*(CRDJ[Ofc Code]=(TRIM(M$7)))*(CRDJ[Account Code]=(TRIM($D59))),CRDJ[Credit])))+(SUM(IF((GJ[Date]=$A$4)*(GJ[Ofc Code]=(TRIM(M$7)))*(GJ[Account Code]=(TRIM($D59))),GJ[Credit])))</f>
        <v>0</v>
      </c>
      <c r="N59" s="211">
        <f t="shared" ref="N59:N96" si="16">SUM(J59:M59)</f>
        <v>0</v>
      </c>
      <c r="O59" s="211">
        <f t="array" ref="O59">(SUM(IF((CkDJ[Date]=$A$4)*(CkDJ[Ofc Code]=(TRIM(O$7)))*(CkDJ[Account Code]=(TRIM($D59))),CkDJ[Debit])))+(SUM(IF((CsDJ[Date]=$A$4)*(CsDJ[Ofc Code]=(TRIM(O$7)))*(CsDJ[Account Code]=(TRIM($D59))),CsDJ[Debit])))+(SUM(IF((CRDJ[Date]=$A$4)*(CRDJ[Ofc Code]=(TRIM(O$7)))*(CRDJ[Account Code]=(TRIM($D59))),CRDJ[Debit])))+(SUM(IF((GJ[Date]=$A$4)*(GJ[Ofc Code]=(TRIM(O$7)))*(GJ[Account Code]=(TRIM($D59))),GJ[Debit])))-(SUM(IF((CkDJ[Date]=$A$4)*(CkDJ[Ofc Code]=(TRIM(O$7)))*(CkDJ[Account Code]=(TRIM($D59))),CkDJ[Credit])))+(SUM(IF((CsDJ[Date]=$A$4)*(CsDJ[Ofc Code]=(TRIM(O$7)))*(CsDJ[Account Code]=(TRIM($D59))),CsDJ[Credit])))+(SUM(IF((CRDJ[Date]=$A$4)*(CRDJ[Ofc Code]=(TRIM(O$7)))*(CRDJ[Account Code]=(TRIM($D59))),CRDJ[Credit])))+(SUM(IF((GJ[Date]=$A$4)*(GJ[Ofc Code]=(TRIM(O$7)))*(GJ[Account Code]=(TRIM($D59))),GJ[Credit])))</f>
        <v>0</v>
      </c>
      <c r="P59" s="211">
        <f t="array" ref="P59">(SUM(IF((CkDJ[Date]=$A$4)*(CkDJ[Ofc Code]=(TRIM(P$7)))*(CkDJ[Account Code]=(TRIM($D59))),CkDJ[Debit])))+(SUM(IF((CsDJ[Date]=$A$4)*(CsDJ[Ofc Code]=(TRIM(P$7)))*(CsDJ[Account Code]=(TRIM($D59))),CsDJ[Debit])))+(SUM(IF((CRDJ[Date]=$A$4)*(CRDJ[Ofc Code]=(TRIM(P$7)))*(CRDJ[Account Code]=(TRIM($D59))),CRDJ[Debit])))+(SUM(IF((GJ[Date]=$A$4)*(GJ[Ofc Code]=(TRIM(P$7)))*(GJ[Account Code]=(TRIM($D59))),GJ[Debit])))-(SUM(IF((CkDJ[Date]=$A$4)*(CkDJ[Ofc Code]=(TRIM(P$7)))*(CkDJ[Account Code]=(TRIM($D59))),CkDJ[Credit])))+(SUM(IF((CsDJ[Date]=$A$4)*(CsDJ[Ofc Code]=(TRIM(P$7)))*(CsDJ[Account Code]=(TRIM($D59))),CsDJ[Credit])))+(SUM(IF((CRDJ[Date]=$A$4)*(CRDJ[Ofc Code]=(TRIM(P$7)))*(CRDJ[Account Code]=(TRIM($D59))),CRDJ[Credit])))+(SUM(IF((GJ[Date]=$A$4)*(GJ[Ofc Code]=(TRIM(P$7)))*(GJ[Account Code]=(TRIM($D59))),GJ[Credit])))</f>
        <v>0</v>
      </c>
      <c r="Q59" s="211">
        <f t="array" ref="Q59">(SUM(IF((CkDJ[Date]=$A$4)*(CkDJ[Ofc Code]=(TRIM(Q$7)))*(CkDJ[Account Code]=(TRIM($D59))),CkDJ[Debit])))+(SUM(IF((CsDJ[Date]=$A$4)*(CsDJ[Ofc Code]=(TRIM(Q$7)))*(CsDJ[Account Code]=(TRIM($D59))),CsDJ[Debit])))+(SUM(IF((CRDJ[Date]=$A$4)*(CRDJ[Ofc Code]=(TRIM(Q$7)))*(CRDJ[Account Code]=(TRIM($D59))),CRDJ[Debit])))+(SUM(IF((GJ[Date]=$A$4)*(GJ[Ofc Code]=(TRIM(Q$7)))*(GJ[Account Code]=(TRIM($D59))),GJ[Debit])))-(SUM(IF((CkDJ[Date]=$A$4)*(CkDJ[Ofc Code]=(TRIM(Q$7)))*(CkDJ[Account Code]=(TRIM($D59))),CkDJ[Credit])))+(SUM(IF((CsDJ[Date]=$A$4)*(CsDJ[Ofc Code]=(TRIM(Q$7)))*(CsDJ[Account Code]=(TRIM($D59))),CsDJ[Credit])))+(SUM(IF((CRDJ[Date]=$A$4)*(CRDJ[Ofc Code]=(TRIM(Q$7)))*(CRDJ[Account Code]=(TRIM($D59))),CRDJ[Credit])))+(SUM(IF((GJ[Date]=$A$4)*(GJ[Ofc Code]=(TRIM(Q$7)))*(GJ[Account Code]=(TRIM($D59))),GJ[Credit])))</f>
        <v>0</v>
      </c>
      <c r="R59" s="211">
        <f t="array" ref="R59">(SUM(IF((CkDJ[Date]=$A$4)*(CkDJ[Ofc Code]=(TRIM(R$7)))*(CkDJ[Account Code]=(TRIM($D59))),CkDJ[Debit])))+(SUM(IF((CsDJ[Date]=$A$4)*(CsDJ[Ofc Code]=(TRIM(R$7)))*(CsDJ[Account Code]=(TRIM($D59))),CsDJ[Debit])))+(SUM(IF((CRDJ[Date]=$A$4)*(CRDJ[Ofc Code]=(TRIM(R$7)))*(CRDJ[Account Code]=(TRIM($D59))),CRDJ[Debit])))+(SUM(IF((GJ[Date]=$A$4)*(GJ[Ofc Code]=(TRIM(R$7)))*(GJ[Account Code]=(TRIM($D59))),GJ[Debit])))-(SUM(IF((CkDJ[Date]=$A$4)*(CkDJ[Ofc Code]=(TRIM(R$7)))*(CkDJ[Account Code]=(TRIM($D59))),CkDJ[Credit])))+(SUM(IF((CsDJ[Date]=$A$4)*(CsDJ[Ofc Code]=(TRIM(R$7)))*(CsDJ[Account Code]=(TRIM($D59))),CsDJ[Credit])))+(SUM(IF((CRDJ[Date]=$A$4)*(CRDJ[Ofc Code]=(TRIM(R$7)))*(CRDJ[Account Code]=(TRIM($D59))),CRDJ[Credit])))+(SUM(IF((GJ[Date]=$A$4)*(GJ[Ofc Code]=(TRIM(R$7)))*(GJ[Account Code]=(TRIM($D59))),GJ[Credit])))</f>
        <v>0</v>
      </c>
      <c r="S59" s="211">
        <f t="array" ref="S59">(SUM(IF((CkDJ[Date]=$A$4)*(CkDJ[Ofc Code]=(TRIM(S$7)))*(CkDJ[Account Code]=(TRIM($D59))),CkDJ[Debit])))+(SUM(IF((CsDJ[Date]=$A$4)*(CsDJ[Ofc Code]=(TRIM(S$7)))*(CsDJ[Account Code]=(TRIM($D59))),CsDJ[Debit])))+(SUM(IF((CRDJ[Date]=$A$4)*(CRDJ[Ofc Code]=(TRIM(S$7)))*(CRDJ[Account Code]=(TRIM($D59))),CRDJ[Debit])))+(SUM(IF((GJ[Date]=$A$4)*(GJ[Ofc Code]=(TRIM(S$7)))*(GJ[Account Code]=(TRIM($D59))),GJ[Debit])))-(SUM(IF((CkDJ[Date]=$A$4)*(CkDJ[Ofc Code]=(TRIM(S$7)))*(CkDJ[Account Code]=(TRIM($D59))),CkDJ[Credit])))+(SUM(IF((CsDJ[Date]=$A$4)*(CsDJ[Ofc Code]=(TRIM(S$7)))*(CsDJ[Account Code]=(TRIM($D59))),CsDJ[Credit])))+(SUM(IF((CRDJ[Date]=$A$4)*(CRDJ[Ofc Code]=(TRIM(S$7)))*(CRDJ[Account Code]=(TRIM($D59))),CRDJ[Credit])))+(SUM(IF((GJ[Date]=$A$4)*(GJ[Ofc Code]=(TRIM(S$7)))*(GJ[Account Code]=(TRIM($D59))),GJ[Credit])))</f>
        <v>0</v>
      </c>
      <c r="T59" s="211">
        <f t="shared" ref="T59:T96" si="17">SUM(O59:S59)</f>
        <v>0</v>
      </c>
      <c r="U59" s="211">
        <f t="shared" ref="U59:U96" si="18">E59+I59+N59+T59</f>
        <v>0</v>
      </c>
    </row>
    <row r="60" spans="1:21" ht="15" x14ac:dyDescent="0.25">
      <c r="A60" s="212">
        <f t="shared" ref="A60:A96" si="19">1+A59</f>
        <v>2</v>
      </c>
      <c r="B60" s="214" t="s">
        <v>756</v>
      </c>
      <c r="C60" s="194" t="str">
        <f t="shared" si="14"/>
        <v>Training Expenses</v>
      </c>
      <c r="D60" s="207">
        <v>753</v>
      </c>
      <c r="E60" s="211">
        <f t="array" ref="E60">(SUM(IF((CkDJ[Date]=$A$4)*(CkDJ[Ofc Code]=(TRIM(E$7)))*(CkDJ[Account Code]=(TRIM($D60))),CkDJ[Debit])))+(SUM(IF((CsDJ[Date]=$A$4)*(CsDJ[Ofc Code]=(TRIM(E$7)))*(CsDJ[Account Code]=(TRIM($D60))),CsDJ[Debit])))+(SUM(IF((CRDJ[Date]=$A$4)*(CRDJ[Ofc Code]=(TRIM(E$7)))*(CRDJ[Account Code]=(TRIM($D60))),CRDJ[Debit])))+(SUM(IF((GJ[Date]=$A$4)*(GJ[Ofc Code]=(TRIM(E$7)))*(GJ[Account Code]=(TRIM($D60))),GJ[Debit])))-(SUM(IF((CkDJ[Date]=$A$4)*(CkDJ[Ofc Code]=(TRIM(E$7)))*(CkDJ[Account Code]=(TRIM($D60))),CkDJ[Credit])))+(SUM(IF((CsDJ[Date]=$A$4)*(CsDJ[Ofc Code]=(TRIM(E$7)))*(CsDJ[Account Code]=(TRIM($D60))),CsDJ[Credit])))+(SUM(IF((CRDJ[Date]=$A$4)*(CRDJ[Ofc Code]=(TRIM(E$7)))*(CRDJ[Account Code]=(TRIM($D60))),CRDJ[Credit])))+(SUM(IF((GJ[Date]=$A$4)*(GJ[Ofc Code]=(TRIM(E$7)))*(GJ[Account Code]=(TRIM($D60))),GJ[Credit])))</f>
        <v>0</v>
      </c>
      <c r="F60" s="211">
        <f t="array" ref="F60">(SUM(IF((CkDJ[Date]=$A$4)*(CkDJ[Ofc Code]=(TRIM(F$7)))*(CkDJ[Account Code]=(TRIM($D60))),CkDJ[Debit])))+(SUM(IF((CsDJ[Date]=$A$4)*(CsDJ[Ofc Code]=(TRIM(F$7)))*(CsDJ[Account Code]=(TRIM($D60))),CsDJ[Debit])))+(SUM(IF((CRDJ[Date]=$A$4)*(CRDJ[Ofc Code]=(TRIM(F$7)))*(CRDJ[Account Code]=(TRIM($D60))),CRDJ[Debit])))+(SUM(IF((GJ[Date]=$A$4)*(GJ[Ofc Code]=(TRIM(F$7)))*(GJ[Account Code]=(TRIM($D60))),GJ[Debit])))-(SUM(IF((CkDJ[Date]=$A$4)*(CkDJ[Ofc Code]=(TRIM(F$7)))*(CkDJ[Account Code]=(TRIM($D60))),CkDJ[Credit])))+(SUM(IF((CsDJ[Date]=$A$4)*(CsDJ[Ofc Code]=(TRIM(F$7)))*(CsDJ[Account Code]=(TRIM($D60))),CsDJ[Credit])))+(SUM(IF((CRDJ[Date]=$A$4)*(CRDJ[Ofc Code]=(TRIM(F$7)))*(CRDJ[Account Code]=(TRIM($D60))),CRDJ[Credit])))+(SUM(IF((GJ[Date]=$A$4)*(GJ[Ofc Code]=(TRIM(F$7)))*(GJ[Account Code]=(TRIM($D60))),GJ[Credit])))</f>
        <v>0</v>
      </c>
      <c r="G60" s="211">
        <f t="array" ref="G60">(SUM(IF((CkDJ[Date]=$A$4)*(CkDJ[Ofc Code]=(TRIM(G$7)))*(CkDJ[Account Code]=(TRIM($D60))),CkDJ[Debit])))+(SUM(IF((CsDJ[Date]=$A$4)*(CsDJ[Ofc Code]=(TRIM(G$7)))*(CsDJ[Account Code]=(TRIM($D60))),CsDJ[Debit])))+(SUM(IF((CRDJ[Date]=$A$4)*(CRDJ[Ofc Code]=(TRIM(G$7)))*(CRDJ[Account Code]=(TRIM($D60))),CRDJ[Debit])))+(SUM(IF((GJ[Date]=$A$4)*(GJ[Ofc Code]=(TRIM(G$7)))*(GJ[Account Code]=(TRIM($D60))),GJ[Debit])))-(SUM(IF((CkDJ[Date]=$A$4)*(CkDJ[Ofc Code]=(TRIM(G$7)))*(CkDJ[Account Code]=(TRIM($D60))),CkDJ[Credit])))+(SUM(IF((CsDJ[Date]=$A$4)*(CsDJ[Ofc Code]=(TRIM(G$7)))*(CsDJ[Account Code]=(TRIM($D60))),CsDJ[Credit])))+(SUM(IF((CRDJ[Date]=$A$4)*(CRDJ[Ofc Code]=(TRIM(G$7)))*(CRDJ[Account Code]=(TRIM($D60))),CRDJ[Credit])))+(SUM(IF((GJ[Date]=$A$4)*(GJ[Ofc Code]=(TRIM(G$7)))*(GJ[Account Code]=(TRIM($D60))),GJ[Credit])))</f>
        <v>0</v>
      </c>
      <c r="H60" s="211">
        <f t="array" ref="H60">(SUM(IF((CkDJ[Date]=$A$4)*(CkDJ[Ofc Code]=(TRIM(H$7)))*(CkDJ[Account Code]=(TRIM($D60))),CkDJ[Debit])))+(SUM(IF((CsDJ[Date]=$A$4)*(CsDJ[Ofc Code]=(TRIM(H$7)))*(CsDJ[Account Code]=(TRIM($D60))),CsDJ[Debit])))+(SUM(IF((CRDJ[Date]=$A$4)*(CRDJ[Ofc Code]=(TRIM(H$7)))*(CRDJ[Account Code]=(TRIM($D60))),CRDJ[Debit])))+(SUM(IF((GJ[Date]=$A$4)*(GJ[Ofc Code]=(TRIM(H$7)))*(GJ[Account Code]=(TRIM($D60))),GJ[Debit])))-(SUM(IF((CkDJ[Date]=$A$4)*(CkDJ[Ofc Code]=(TRIM(H$7)))*(CkDJ[Account Code]=(TRIM($D60))),CkDJ[Credit])))+(SUM(IF((CsDJ[Date]=$A$4)*(CsDJ[Ofc Code]=(TRIM(H$7)))*(CsDJ[Account Code]=(TRIM($D60))),CsDJ[Credit])))+(SUM(IF((CRDJ[Date]=$A$4)*(CRDJ[Ofc Code]=(TRIM(H$7)))*(CRDJ[Account Code]=(TRIM($D60))),CRDJ[Credit])))+(SUM(IF((GJ[Date]=$A$4)*(GJ[Ofc Code]=(TRIM(H$7)))*(GJ[Account Code]=(TRIM($D60))),GJ[Credit])))</f>
        <v>0</v>
      </c>
      <c r="I60" s="211">
        <f t="shared" si="15"/>
        <v>0</v>
      </c>
      <c r="J60" s="211">
        <f t="array" ref="J60">(SUM(IF((CkDJ[Date]=$A$4)*(CkDJ[Ofc Code]=(TRIM(J$7)))*(CkDJ[Account Code]=(TRIM($D60))),CkDJ[Debit])))+(SUM(IF((CsDJ[Date]=$A$4)*(CsDJ[Ofc Code]=(TRIM(J$7)))*(CsDJ[Account Code]=(TRIM($D60))),CsDJ[Debit])))+(SUM(IF((CRDJ[Date]=$A$4)*(CRDJ[Ofc Code]=(TRIM(J$7)))*(CRDJ[Account Code]=(TRIM($D60))),CRDJ[Debit])))+(SUM(IF((GJ[Date]=$A$4)*(GJ[Ofc Code]=(TRIM(J$7)))*(GJ[Account Code]=(TRIM($D60))),GJ[Debit])))-(SUM(IF((CkDJ[Date]=$A$4)*(CkDJ[Ofc Code]=(TRIM(J$7)))*(CkDJ[Account Code]=(TRIM($D60))),CkDJ[Credit])))+(SUM(IF((CsDJ[Date]=$A$4)*(CsDJ[Ofc Code]=(TRIM(J$7)))*(CsDJ[Account Code]=(TRIM($D60))),CsDJ[Credit])))+(SUM(IF((CRDJ[Date]=$A$4)*(CRDJ[Ofc Code]=(TRIM(J$7)))*(CRDJ[Account Code]=(TRIM($D60))),CRDJ[Credit])))+(SUM(IF((GJ[Date]=$A$4)*(GJ[Ofc Code]=(TRIM(J$7)))*(GJ[Account Code]=(TRIM($D60))),GJ[Credit])))</f>
        <v>0</v>
      </c>
      <c r="K60" s="211">
        <f t="array" ref="K60">(SUM(IF((CkDJ[Date]=$A$4)*(CkDJ[Ofc Code]=(TRIM(K$7)))*(CkDJ[Account Code]=(TRIM($D60))),CkDJ[Debit])))+(SUM(IF((CsDJ[Date]=$A$4)*(CsDJ[Ofc Code]=(TRIM(K$7)))*(CsDJ[Account Code]=(TRIM($D60))),CsDJ[Debit])))+(SUM(IF((CRDJ[Date]=$A$4)*(CRDJ[Ofc Code]=(TRIM(K$7)))*(CRDJ[Account Code]=(TRIM($D60))),CRDJ[Debit])))+(SUM(IF((GJ[Date]=$A$4)*(GJ[Ofc Code]=(TRIM(K$7)))*(GJ[Account Code]=(TRIM($D60))),GJ[Debit])))-(SUM(IF((CkDJ[Date]=$A$4)*(CkDJ[Ofc Code]=(TRIM(K$7)))*(CkDJ[Account Code]=(TRIM($D60))),CkDJ[Credit])))+(SUM(IF((CsDJ[Date]=$A$4)*(CsDJ[Ofc Code]=(TRIM(K$7)))*(CsDJ[Account Code]=(TRIM($D60))),CsDJ[Credit])))+(SUM(IF((CRDJ[Date]=$A$4)*(CRDJ[Ofc Code]=(TRIM(K$7)))*(CRDJ[Account Code]=(TRIM($D60))),CRDJ[Credit])))+(SUM(IF((GJ[Date]=$A$4)*(GJ[Ofc Code]=(TRIM(K$7)))*(GJ[Account Code]=(TRIM($D60))),GJ[Credit])))</f>
        <v>0</v>
      </c>
      <c r="L60" s="211">
        <f t="array" ref="L60">(SUM(IF((CkDJ[Date]=$A$4)*(CkDJ[Ofc Code]=(TRIM(L$7)))*(CkDJ[Account Code]=(TRIM($D60))),CkDJ[Debit])))+(SUM(IF((CsDJ[Date]=$A$4)*(CsDJ[Ofc Code]=(TRIM(L$7)))*(CsDJ[Account Code]=(TRIM($D60))),CsDJ[Debit])))+(SUM(IF((CRDJ[Date]=$A$4)*(CRDJ[Ofc Code]=(TRIM(L$7)))*(CRDJ[Account Code]=(TRIM($D60))),CRDJ[Debit])))+(SUM(IF((GJ[Date]=$A$4)*(GJ[Ofc Code]=(TRIM(L$7)))*(GJ[Account Code]=(TRIM($D60))),GJ[Debit])))-(SUM(IF((CkDJ[Date]=$A$4)*(CkDJ[Ofc Code]=(TRIM(L$7)))*(CkDJ[Account Code]=(TRIM($D60))),CkDJ[Credit])))+(SUM(IF((CsDJ[Date]=$A$4)*(CsDJ[Ofc Code]=(TRIM(L$7)))*(CsDJ[Account Code]=(TRIM($D60))),CsDJ[Credit])))+(SUM(IF((CRDJ[Date]=$A$4)*(CRDJ[Ofc Code]=(TRIM(L$7)))*(CRDJ[Account Code]=(TRIM($D60))),CRDJ[Credit])))+(SUM(IF((GJ[Date]=$A$4)*(GJ[Ofc Code]=(TRIM(L$7)))*(GJ[Account Code]=(TRIM($D60))),GJ[Credit])))</f>
        <v>0</v>
      </c>
      <c r="M60" s="211">
        <f t="array" ref="M60">(SUM(IF((CkDJ[Date]=$A$4)*(CkDJ[Ofc Code]=(TRIM(M$7)))*(CkDJ[Account Code]=(TRIM($D60))),CkDJ[Debit])))+(SUM(IF((CsDJ[Date]=$A$4)*(CsDJ[Ofc Code]=(TRIM(M$7)))*(CsDJ[Account Code]=(TRIM($D60))),CsDJ[Debit])))+(SUM(IF((CRDJ[Date]=$A$4)*(CRDJ[Ofc Code]=(TRIM(M$7)))*(CRDJ[Account Code]=(TRIM($D60))),CRDJ[Debit])))+(SUM(IF((GJ[Date]=$A$4)*(GJ[Ofc Code]=(TRIM(M$7)))*(GJ[Account Code]=(TRIM($D60))),GJ[Debit])))-(SUM(IF((CkDJ[Date]=$A$4)*(CkDJ[Ofc Code]=(TRIM(M$7)))*(CkDJ[Account Code]=(TRIM($D60))),CkDJ[Credit])))+(SUM(IF((CsDJ[Date]=$A$4)*(CsDJ[Ofc Code]=(TRIM(M$7)))*(CsDJ[Account Code]=(TRIM($D60))),CsDJ[Credit])))+(SUM(IF((CRDJ[Date]=$A$4)*(CRDJ[Ofc Code]=(TRIM(M$7)))*(CRDJ[Account Code]=(TRIM($D60))),CRDJ[Credit])))+(SUM(IF((GJ[Date]=$A$4)*(GJ[Ofc Code]=(TRIM(M$7)))*(GJ[Account Code]=(TRIM($D60))),GJ[Credit])))</f>
        <v>0</v>
      </c>
      <c r="N60" s="211">
        <f t="shared" si="16"/>
        <v>0</v>
      </c>
      <c r="O60" s="211">
        <f t="array" ref="O60">(SUM(IF((CkDJ[Date]=$A$4)*(CkDJ[Ofc Code]=(TRIM(O$7)))*(CkDJ[Account Code]=(TRIM($D60))),CkDJ[Debit])))+(SUM(IF((CsDJ[Date]=$A$4)*(CsDJ[Ofc Code]=(TRIM(O$7)))*(CsDJ[Account Code]=(TRIM($D60))),CsDJ[Debit])))+(SUM(IF((CRDJ[Date]=$A$4)*(CRDJ[Ofc Code]=(TRIM(O$7)))*(CRDJ[Account Code]=(TRIM($D60))),CRDJ[Debit])))+(SUM(IF((GJ[Date]=$A$4)*(GJ[Ofc Code]=(TRIM(O$7)))*(GJ[Account Code]=(TRIM($D60))),GJ[Debit])))-(SUM(IF((CkDJ[Date]=$A$4)*(CkDJ[Ofc Code]=(TRIM(O$7)))*(CkDJ[Account Code]=(TRIM($D60))),CkDJ[Credit])))+(SUM(IF((CsDJ[Date]=$A$4)*(CsDJ[Ofc Code]=(TRIM(O$7)))*(CsDJ[Account Code]=(TRIM($D60))),CsDJ[Credit])))+(SUM(IF((CRDJ[Date]=$A$4)*(CRDJ[Ofc Code]=(TRIM(O$7)))*(CRDJ[Account Code]=(TRIM($D60))),CRDJ[Credit])))+(SUM(IF((GJ[Date]=$A$4)*(GJ[Ofc Code]=(TRIM(O$7)))*(GJ[Account Code]=(TRIM($D60))),GJ[Credit])))</f>
        <v>0</v>
      </c>
      <c r="P60" s="211">
        <f t="array" ref="P60">(SUM(IF((CkDJ[Date]=$A$4)*(CkDJ[Ofc Code]=(TRIM(P$7)))*(CkDJ[Account Code]=(TRIM($D60))),CkDJ[Debit])))+(SUM(IF((CsDJ[Date]=$A$4)*(CsDJ[Ofc Code]=(TRIM(P$7)))*(CsDJ[Account Code]=(TRIM($D60))),CsDJ[Debit])))+(SUM(IF((CRDJ[Date]=$A$4)*(CRDJ[Ofc Code]=(TRIM(P$7)))*(CRDJ[Account Code]=(TRIM($D60))),CRDJ[Debit])))+(SUM(IF((GJ[Date]=$A$4)*(GJ[Ofc Code]=(TRIM(P$7)))*(GJ[Account Code]=(TRIM($D60))),GJ[Debit])))-(SUM(IF((CkDJ[Date]=$A$4)*(CkDJ[Ofc Code]=(TRIM(P$7)))*(CkDJ[Account Code]=(TRIM($D60))),CkDJ[Credit])))+(SUM(IF((CsDJ[Date]=$A$4)*(CsDJ[Ofc Code]=(TRIM(P$7)))*(CsDJ[Account Code]=(TRIM($D60))),CsDJ[Credit])))+(SUM(IF((CRDJ[Date]=$A$4)*(CRDJ[Ofc Code]=(TRIM(P$7)))*(CRDJ[Account Code]=(TRIM($D60))),CRDJ[Credit])))+(SUM(IF((GJ[Date]=$A$4)*(GJ[Ofc Code]=(TRIM(P$7)))*(GJ[Account Code]=(TRIM($D60))),GJ[Credit])))</f>
        <v>0</v>
      </c>
      <c r="Q60" s="211">
        <f t="array" ref="Q60">(SUM(IF((CkDJ[Date]=$A$4)*(CkDJ[Ofc Code]=(TRIM(Q$7)))*(CkDJ[Account Code]=(TRIM($D60))),CkDJ[Debit])))+(SUM(IF((CsDJ[Date]=$A$4)*(CsDJ[Ofc Code]=(TRIM(Q$7)))*(CsDJ[Account Code]=(TRIM($D60))),CsDJ[Debit])))+(SUM(IF((CRDJ[Date]=$A$4)*(CRDJ[Ofc Code]=(TRIM(Q$7)))*(CRDJ[Account Code]=(TRIM($D60))),CRDJ[Debit])))+(SUM(IF((GJ[Date]=$A$4)*(GJ[Ofc Code]=(TRIM(Q$7)))*(GJ[Account Code]=(TRIM($D60))),GJ[Debit])))-(SUM(IF((CkDJ[Date]=$A$4)*(CkDJ[Ofc Code]=(TRIM(Q$7)))*(CkDJ[Account Code]=(TRIM($D60))),CkDJ[Credit])))+(SUM(IF((CsDJ[Date]=$A$4)*(CsDJ[Ofc Code]=(TRIM(Q$7)))*(CsDJ[Account Code]=(TRIM($D60))),CsDJ[Credit])))+(SUM(IF((CRDJ[Date]=$A$4)*(CRDJ[Ofc Code]=(TRIM(Q$7)))*(CRDJ[Account Code]=(TRIM($D60))),CRDJ[Credit])))+(SUM(IF((GJ[Date]=$A$4)*(GJ[Ofc Code]=(TRIM(Q$7)))*(GJ[Account Code]=(TRIM($D60))),GJ[Credit])))</f>
        <v>0</v>
      </c>
      <c r="R60" s="211">
        <f t="array" ref="R60">(SUM(IF((CkDJ[Date]=$A$4)*(CkDJ[Ofc Code]=(TRIM(R$7)))*(CkDJ[Account Code]=(TRIM($D60))),CkDJ[Debit])))+(SUM(IF((CsDJ[Date]=$A$4)*(CsDJ[Ofc Code]=(TRIM(R$7)))*(CsDJ[Account Code]=(TRIM($D60))),CsDJ[Debit])))+(SUM(IF((CRDJ[Date]=$A$4)*(CRDJ[Ofc Code]=(TRIM(R$7)))*(CRDJ[Account Code]=(TRIM($D60))),CRDJ[Debit])))+(SUM(IF((GJ[Date]=$A$4)*(GJ[Ofc Code]=(TRIM(R$7)))*(GJ[Account Code]=(TRIM($D60))),GJ[Debit])))-(SUM(IF((CkDJ[Date]=$A$4)*(CkDJ[Ofc Code]=(TRIM(R$7)))*(CkDJ[Account Code]=(TRIM($D60))),CkDJ[Credit])))+(SUM(IF((CsDJ[Date]=$A$4)*(CsDJ[Ofc Code]=(TRIM(R$7)))*(CsDJ[Account Code]=(TRIM($D60))),CsDJ[Credit])))+(SUM(IF((CRDJ[Date]=$A$4)*(CRDJ[Ofc Code]=(TRIM(R$7)))*(CRDJ[Account Code]=(TRIM($D60))),CRDJ[Credit])))+(SUM(IF((GJ[Date]=$A$4)*(GJ[Ofc Code]=(TRIM(R$7)))*(GJ[Account Code]=(TRIM($D60))),GJ[Credit])))</f>
        <v>0</v>
      </c>
      <c r="S60" s="211">
        <f t="array" ref="S60">(SUM(IF((CkDJ[Date]=$A$4)*(CkDJ[Ofc Code]=(TRIM(S$7)))*(CkDJ[Account Code]=(TRIM($D60))),CkDJ[Debit])))+(SUM(IF((CsDJ[Date]=$A$4)*(CsDJ[Ofc Code]=(TRIM(S$7)))*(CsDJ[Account Code]=(TRIM($D60))),CsDJ[Debit])))+(SUM(IF((CRDJ[Date]=$A$4)*(CRDJ[Ofc Code]=(TRIM(S$7)))*(CRDJ[Account Code]=(TRIM($D60))),CRDJ[Debit])))+(SUM(IF((GJ[Date]=$A$4)*(GJ[Ofc Code]=(TRIM(S$7)))*(GJ[Account Code]=(TRIM($D60))),GJ[Debit])))-(SUM(IF((CkDJ[Date]=$A$4)*(CkDJ[Ofc Code]=(TRIM(S$7)))*(CkDJ[Account Code]=(TRIM($D60))),CkDJ[Credit])))+(SUM(IF((CsDJ[Date]=$A$4)*(CsDJ[Ofc Code]=(TRIM(S$7)))*(CsDJ[Account Code]=(TRIM($D60))),CsDJ[Credit])))+(SUM(IF((CRDJ[Date]=$A$4)*(CRDJ[Ofc Code]=(TRIM(S$7)))*(CRDJ[Account Code]=(TRIM($D60))),CRDJ[Credit])))+(SUM(IF((GJ[Date]=$A$4)*(GJ[Ofc Code]=(TRIM(S$7)))*(GJ[Account Code]=(TRIM($D60))),GJ[Credit])))</f>
        <v>0</v>
      </c>
      <c r="T60" s="211">
        <f t="shared" si="17"/>
        <v>0</v>
      </c>
      <c r="U60" s="211">
        <f t="shared" si="18"/>
        <v>0</v>
      </c>
    </row>
    <row r="61" spans="1:21" ht="15" x14ac:dyDescent="0.25">
      <c r="A61" s="212">
        <f t="shared" si="19"/>
        <v>3</v>
      </c>
      <c r="B61" s="214" t="s">
        <v>756</v>
      </c>
      <c r="C61" s="194" t="str">
        <f t="shared" si="14"/>
        <v>Office Supplies Expenses</v>
      </c>
      <c r="D61" s="207">
        <v>755</v>
      </c>
      <c r="E61" s="211">
        <f t="array" ref="E61">(SUM(IF((CkDJ[Date]=$A$4)*(CkDJ[Ofc Code]=(TRIM(E$7)))*(CkDJ[Account Code]=(TRIM($D61))),CkDJ[Debit])))+(SUM(IF((CsDJ[Date]=$A$4)*(CsDJ[Ofc Code]=(TRIM(E$7)))*(CsDJ[Account Code]=(TRIM($D61))),CsDJ[Debit])))+(SUM(IF((CRDJ[Date]=$A$4)*(CRDJ[Ofc Code]=(TRIM(E$7)))*(CRDJ[Account Code]=(TRIM($D61))),CRDJ[Debit])))+(SUM(IF((GJ[Date]=$A$4)*(GJ[Ofc Code]=(TRIM(E$7)))*(GJ[Account Code]=(TRIM($D61))),GJ[Debit])))-(SUM(IF((CkDJ[Date]=$A$4)*(CkDJ[Ofc Code]=(TRIM(E$7)))*(CkDJ[Account Code]=(TRIM($D61))),CkDJ[Credit])))+(SUM(IF((CsDJ[Date]=$A$4)*(CsDJ[Ofc Code]=(TRIM(E$7)))*(CsDJ[Account Code]=(TRIM($D61))),CsDJ[Credit])))+(SUM(IF((CRDJ[Date]=$A$4)*(CRDJ[Ofc Code]=(TRIM(E$7)))*(CRDJ[Account Code]=(TRIM($D61))),CRDJ[Credit])))+(SUM(IF((GJ[Date]=$A$4)*(GJ[Ofc Code]=(TRIM(E$7)))*(GJ[Account Code]=(TRIM($D61))),GJ[Credit])))</f>
        <v>0</v>
      </c>
      <c r="F61" s="211">
        <f t="array" ref="F61">(SUM(IF((CkDJ[Date]=$A$4)*(CkDJ[Ofc Code]=(TRIM(F$7)))*(CkDJ[Account Code]=(TRIM($D61))),CkDJ[Debit])))+(SUM(IF((CsDJ[Date]=$A$4)*(CsDJ[Ofc Code]=(TRIM(F$7)))*(CsDJ[Account Code]=(TRIM($D61))),CsDJ[Debit])))+(SUM(IF((CRDJ[Date]=$A$4)*(CRDJ[Ofc Code]=(TRIM(F$7)))*(CRDJ[Account Code]=(TRIM($D61))),CRDJ[Debit])))+(SUM(IF((GJ[Date]=$A$4)*(GJ[Ofc Code]=(TRIM(F$7)))*(GJ[Account Code]=(TRIM($D61))),GJ[Debit])))-(SUM(IF((CkDJ[Date]=$A$4)*(CkDJ[Ofc Code]=(TRIM(F$7)))*(CkDJ[Account Code]=(TRIM($D61))),CkDJ[Credit])))+(SUM(IF((CsDJ[Date]=$A$4)*(CsDJ[Ofc Code]=(TRIM(F$7)))*(CsDJ[Account Code]=(TRIM($D61))),CsDJ[Credit])))+(SUM(IF((CRDJ[Date]=$A$4)*(CRDJ[Ofc Code]=(TRIM(F$7)))*(CRDJ[Account Code]=(TRIM($D61))),CRDJ[Credit])))+(SUM(IF((GJ[Date]=$A$4)*(GJ[Ofc Code]=(TRIM(F$7)))*(GJ[Account Code]=(TRIM($D61))),GJ[Credit])))</f>
        <v>0</v>
      </c>
      <c r="G61" s="211">
        <f t="array" ref="G61">(SUM(IF((CkDJ[Date]=$A$4)*(CkDJ[Ofc Code]=(TRIM(G$7)))*(CkDJ[Account Code]=(TRIM($D61))),CkDJ[Debit])))+(SUM(IF((CsDJ[Date]=$A$4)*(CsDJ[Ofc Code]=(TRIM(G$7)))*(CsDJ[Account Code]=(TRIM($D61))),CsDJ[Debit])))+(SUM(IF((CRDJ[Date]=$A$4)*(CRDJ[Ofc Code]=(TRIM(G$7)))*(CRDJ[Account Code]=(TRIM($D61))),CRDJ[Debit])))+(SUM(IF((GJ[Date]=$A$4)*(GJ[Ofc Code]=(TRIM(G$7)))*(GJ[Account Code]=(TRIM($D61))),GJ[Debit])))-(SUM(IF((CkDJ[Date]=$A$4)*(CkDJ[Ofc Code]=(TRIM(G$7)))*(CkDJ[Account Code]=(TRIM($D61))),CkDJ[Credit])))+(SUM(IF((CsDJ[Date]=$A$4)*(CsDJ[Ofc Code]=(TRIM(G$7)))*(CsDJ[Account Code]=(TRIM($D61))),CsDJ[Credit])))+(SUM(IF((CRDJ[Date]=$A$4)*(CRDJ[Ofc Code]=(TRIM(G$7)))*(CRDJ[Account Code]=(TRIM($D61))),CRDJ[Credit])))+(SUM(IF((GJ[Date]=$A$4)*(GJ[Ofc Code]=(TRIM(G$7)))*(GJ[Account Code]=(TRIM($D61))),GJ[Credit])))</f>
        <v>0</v>
      </c>
      <c r="H61" s="211">
        <f t="array" ref="H61">(SUM(IF((CkDJ[Date]=$A$4)*(CkDJ[Ofc Code]=(TRIM(H$7)))*(CkDJ[Account Code]=(TRIM($D61))),CkDJ[Debit])))+(SUM(IF((CsDJ[Date]=$A$4)*(CsDJ[Ofc Code]=(TRIM(H$7)))*(CsDJ[Account Code]=(TRIM($D61))),CsDJ[Debit])))+(SUM(IF((CRDJ[Date]=$A$4)*(CRDJ[Ofc Code]=(TRIM(H$7)))*(CRDJ[Account Code]=(TRIM($D61))),CRDJ[Debit])))+(SUM(IF((GJ[Date]=$A$4)*(GJ[Ofc Code]=(TRIM(H$7)))*(GJ[Account Code]=(TRIM($D61))),GJ[Debit])))-(SUM(IF((CkDJ[Date]=$A$4)*(CkDJ[Ofc Code]=(TRIM(H$7)))*(CkDJ[Account Code]=(TRIM($D61))),CkDJ[Credit])))+(SUM(IF((CsDJ[Date]=$A$4)*(CsDJ[Ofc Code]=(TRIM(H$7)))*(CsDJ[Account Code]=(TRIM($D61))),CsDJ[Credit])))+(SUM(IF((CRDJ[Date]=$A$4)*(CRDJ[Ofc Code]=(TRIM(H$7)))*(CRDJ[Account Code]=(TRIM($D61))),CRDJ[Credit])))+(SUM(IF((GJ[Date]=$A$4)*(GJ[Ofc Code]=(TRIM(H$7)))*(GJ[Account Code]=(TRIM($D61))),GJ[Credit])))</f>
        <v>0</v>
      </c>
      <c r="I61" s="211">
        <f t="shared" si="15"/>
        <v>0</v>
      </c>
      <c r="J61" s="211">
        <f t="array" ref="J61">(SUM(IF((CkDJ[Date]=$A$4)*(CkDJ[Ofc Code]=(TRIM(J$7)))*(CkDJ[Account Code]=(TRIM($D61))),CkDJ[Debit])))+(SUM(IF((CsDJ[Date]=$A$4)*(CsDJ[Ofc Code]=(TRIM(J$7)))*(CsDJ[Account Code]=(TRIM($D61))),CsDJ[Debit])))+(SUM(IF((CRDJ[Date]=$A$4)*(CRDJ[Ofc Code]=(TRIM(J$7)))*(CRDJ[Account Code]=(TRIM($D61))),CRDJ[Debit])))+(SUM(IF((GJ[Date]=$A$4)*(GJ[Ofc Code]=(TRIM(J$7)))*(GJ[Account Code]=(TRIM($D61))),GJ[Debit])))-(SUM(IF((CkDJ[Date]=$A$4)*(CkDJ[Ofc Code]=(TRIM(J$7)))*(CkDJ[Account Code]=(TRIM($D61))),CkDJ[Credit])))+(SUM(IF((CsDJ[Date]=$A$4)*(CsDJ[Ofc Code]=(TRIM(J$7)))*(CsDJ[Account Code]=(TRIM($D61))),CsDJ[Credit])))+(SUM(IF((CRDJ[Date]=$A$4)*(CRDJ[Ofc Code]=(TRIM(J$7)))*(CRDJ[Account Code]=(TRIM($D61))),CRDJ[Credit])))+(SUM(IF((GJ[Date]=$A$4)*(GJ[Ofc Code]=(TRIM(J$7)))*(GJ[Account Code]=(TRIM($D61))),GJ[Credit])))</f>
        <v>0</v>
      </c>
      <c r="K61" s="211">
        <f t="array" ref="K61">(SUM(IF((CkDJ[Date]=$A$4)*(CkDJ[Ofc Code]=(TRIM(K$7)))*(CkDJ[Account Code]=(TRIM($D61))),CkDJ[Debit])))+(SUM(IF((CsDJ[Date]=$A$4)*(CsDJ[Ofc Code]=(TRIM(K$7)))*(CsDJ[Account Code]=(TRIM($D61))),CsDJ[Debit])))+(SUM(IF((CRDJ[Date]=$A$4)*(CRDJ[Ofc Code]=(TRIM(K$7)))*(CRDJ[Account Code]=(TRIM($D61))),CRDJ[Debit])))+(SUM(IF((GJ[Date]=$A$4)*(GJ[Ofc Code]=(TRIM(K$7)))*(GJ[Account Code]=(TRIM($D61))),GJ[Debit])))-(SUM(IF((CkDJ[Date]=$A$4)*(CkDJ[Ofc Code]=(TRIM(K$7)))*(CkDJ[Account Code]=(TRIM($D61))),CkDJ[Credit])))+(SUM(IF((CsDJ[Date]=$A$4)*(CsDJ[Ofc Code]=(TRIM(K$7)))*(CsDJ[Account Code]=(TRIM($D61))),CsDJ[Credit])))+(SUM(IF((CRDJ[Date]=$A$4)*(CRDJ[Ofc Code]=(TRIM(K$7)))*(CRDJ[Account Code]=(TRIM($D61))),CRDJ[Credit])))+(SUM(IF((GJ[Date]=$A$4)*(GJ[Ofc Code]=(TRIM(K$7)))*(GJ[Account Code]=(TRIM($D61))),GJ[Credit])))</f>
        <v>0</v>
      </c>
      <c r="L61" s="211">
        <f t="array" ref="L61">(SUM(IF((CkDJ[Date]=$A$4)*(CkDJ[Ofc Code]=(TRIM(L$7)))*(CkDJ[Account Code]=(TRIM($D61))),CkDJ[Debit])))+(SUM(IF((CsDJ[Date]=$A$4)*(CsDJ[Ofc Code]=(TRIM(L$7)))*(CsDJ[Account Code]=(TRIM($D61))),CsDJ[Debit])))+(SUM(IF((CRDJ[Date]=$A$4)*(CRDJ[Ofc Code]=(TRIM(L$7)))*(CRDJ[Account Code]=(TRIM($D61))),CRDJ[Debit])))+(SUM(IF((GJ[Date]=$A$4)*(GJ[Ofc Code]=(TRIM(L$7)))*(GJ[Account Code]=(TRIM($D61))),GJ[Debit])))-(SUM(IF((CkDJ[Date]=$A$4)*(CkDJ[Ofc Code]=(TRIM(L$7)))*(CkDJ[Account Code]=(TRIM($D61))),CkDJ[Credit])))+(SUM(IF((CsDJ[Date]=$A$4)*(CsDJ[Ofc Code]=(TRIM(L$7)))*(CsDJ[Account Code]=(TRIM($D61))),CsDJ[Credit])))+(SUM(IF((CRDJ[Date]=$A$4)*(CRDJ[Ofc Code]=(TRIM(L$7)))*(CRDJ[Account Code]=(TRIM($D61))),CRDJ[Credit])))+(SUM(IF((GJ[Date]=$A$4)*(GJ[Ofc Code]=(TRIM(L$7)))*(GJ[Account Code]=(TRIM($D61))),GJ[Credit])))</f>
        <v>0</v>
      </c>
      <c r="M61" s="211">
        <f t="array" ref="M61">(SUM(IF((CkDJ[Date]=$A$4)*(CkDJ[Ofc Code]=(TRIM(M$7)))*(CkDJ[Account Code]=(TRIM($D61))),CkDJ[Debit])))+(SUM(IF((CsDJ[Date]=$A$4)*(CsDJ[Ofc Code]=(TRIM(M$7)))*(CsDJ[Account Code]=(TRIM($D61))),CsDJ[Debit])))+(SUM(IF((CRDJ[Date]=$A$4)*(CRDJ[Ofc Code]=(TRIM(M$7)))*(CRDJ[Account Code]=(TRIM($D61))),CRDJ[Debit])))+(SUM(IF((GJ[Date]=$A$4)*(GJ[Ofc Code]=(TRIM(M$7)))*(GJ[Account Code]=(TRIM($D61))),GJ[Debit])))-(SUM(IF((CkDJ[Date]=$A$4)*(CkDJ[Ofc Code]=(TRIM(M$7)))*(CkDJ[Account Code]=(TRIM($D61))),CkDJ[Credit])))+(SUM(IF((CsDJ[Date]=$A$4)*(CsDJ[Ofc Code]=(TRIM(M$7)))*(CsDJ[Account Code]=(TRIM($D61))),CsDJ[Credit])))+(SUM(IF((CRDJ[Date]=$A$4)*(CRDJ[Ofc Code]=(TRIM(M$7)))*(CRDJ[Account Code]=(TRIM($D61))),CRDJ[Credit])))+(SUM(IF((GJ[Date]=$A$4)*(GJ[Ofc Code]=(TRIM(M$7)))*(GJ[Account Code]=(TRIM($D61))),GJ[Credit])))</f>
        <v>0</v>
      </c>
      <c r="N61" s="211">
        <f t="shared" si="16"/>
        <v>0</v>
      </c>
      <c r="O61" s="211">
        <f t="array" ref="O61">(SUM(IF((CkDJ[Date]=$A$4)*(CkDJ[Ofc Code]=(TRIM(O$7)))*(CkDJ[Account Code]=(TRIM($D61))),CkDJ[Debit])))+(SUM(IF((CsDJ[Date]=$A$4)*(CsDJ[Ofc Code]=(TRIM(O$7)))*(CsDJ[Account Code]=(TRIM($D61))),CsDJ[Debit])))+(SUM(IF((CRDJ[Date]=$A$4)*(CRDJ[Ofc Code]=(TRIM(O$7)))*(CRDJ[Account Code]=(TRIM($D61))),CRDJ[Debit])))+(SUM(IF((GJ[Date]=$A$4)*(GJ[Ofc Code]=(TRIM(O$7)))*(GJ[Account Code]=(TRIM($D61))),GJ[Debit])))-(SUM(IF((CkDJ[Date]=$A$4)*(CkDJ[Ofc Code]=(TRIM(O$7)))*(CkDJ[Account Code]=(TRIM($D61))),CkDJ[Credit])))+(SUM(IF((CsDJ[Date]=$A$4)*(CsDJ[Ofc Code]=(TRIM(O$7)))*(CsDJ[Account Code]=(TRIM($D61))),CsDJ[Credit])))+(SUM(IF((CRDJ[Date]=$A$4)*(CRDJ[Ofc Code]=(TRIM(O$7)))*(CRDJ[Account Code]=(TRIM($D61))),CRDJ[Credit])))+(SUM(IF((GJ[Date]=$A$4)*(GJ[Ofc Code]=(TRIM(O$7)))*(GJ[Account Code]=(TRIM($D61))),GJ[Credit])))</f>
        <v>0</v>
      </c>
      <c r="P61" s="211">
        <f t="array" ref="P61">(SUM(IF((CkDJ[Date]=$A$4)*(CkDJ[Ofc Code]=(TRIM(P$7)))*(CkDJ[Account Code]=(TRIM($D61))),CkDJ[Debit])))+(SUM(IF((CsDJ[Date]=$A$4)*(CsDJ[Ofc Code]=(TRIM(P$7)))*(CsDJ[Account Code]=(TRIM($D61))),CsDJ[Debit])))+(SUM(IF((CRDJ[Date]=$A$4)*(CRDJ[Ofc Code]=(TRIM(P$7)))*(CRDJ[Account Code]=(TRIM($D61))),CRDJ[Debit])))+(SUM(IF((GJ[Date]=$A$4)*(GJ[Ofc Code]=(TRIM(P$7)))*(GJ[Account Code]=(TRIM($D61))),GJ[Debit])))-(SUM(IF((CkDJ[Date]=$A$4)*(CkDJ[Ofc Code]=(TRIM(P$7)))*(CkDJ[Account Code]=(TRIM($D61))),CkDJ[Credit])))+(SUM(IF((CsDJ[Date]=$A$4)*(CsDJ[Ofc Code]=(TRIM(P$7)))*(CsDJ[Account Code]=(TRIM($D61))),CsDJ[Credit])))+(SUM(IF((CRDJ[Date]=$A$4)*(CRDJ[Ofc Code]=(TRIM(P$7)))*(CRDJ[Account Code]=(TRIM($D61))),CRDJ[Credit])))+(SUM(IF((GJ[Date]=$A$4)*(GJ[Ofc Code]=(TRIM(P$7)))*(GJ[Account Code]=(TRIM($D61))),GJ[Credit])))</f>
        <v>0</v>
      </c>
      <c r="Q61" s="211">
        <f t="array" ref="Q61">(SUM(IF((CkDJ[Date]=$A$4)*(CkDJ[Ofc Code]=(TRIM(Q$7)))*(CkDJ[Account Code]=(TRIM($D61))),CkDJ[Debit])))+(SUM(IF((CsDJ[Date]=$A$4)*(CsDJ[Ofc Code]=(TRIM(Q$7)))*(CsDJ[Account Code]=(TRIM($D61))),CsDJ[Debit])))+(SUM(IF((CRDJ[Date]=$A$4)*(CRDJ[Ofc Code]=(TRIM(Q$7)))*(CRDJ[Account Code]=(TRIM($D61))),CRDJ[Debit])))+(SUM(IF((GJ[Date]=$A$4)*(GJ[Ofc Code]=(TRIM(Q$7)))*(GJ[Account Code]=(TRIM($D61))),GJ[Debit])))-(SUM(IF((CkDJ[Date]=$A$4)*(CkDJ[Ofc Code]=(TRIM(Q$7)))*(CkDJ[Account Code]=(TRIM($D61))),CkDJ[Credit])))+(SUM(IF((CsDJ[Date]=$A$4)*(CsDJ[Ofc Code]=(TRIM(Q$7)))*(CsDJ[Account Code]=(TRIM($D61))),CsDJ[Credit])))+(SUM(IF((CRDJ[Date]=$A$4)*(CRDJ[Ofc Code]=(TRIM(Q$7)))*(CRDJ[Account Code]=(TRIM($D61))),CRDJ[Credit])))+(SUM(IF((GJ[Date]=$A$4)*(GJ[Ofc Code]=(TRIM(Q$7)))*(GJ[Account Code]=(TRIM($D61))),GJ[Credit])))</f>
        <v>0</v>
      </c>
      <c r="R61" s="211">
        <f t="array" ref="R61">(SUM(IF((CkDJ[Date]=$A$4)*(CkDJ[Ofc Code]=(TRIM(R$7)))*(CkDJ[Account Code]=(TRIM($D61))),CkDJ[Debit])))+(SUM(IF((CsDJ[Date]=$A$4)*(CsDJ[Ofc Code]=(TRIM(R$7)))*(CsDJ[Account Code]=(TRIM($D61))),CsDJ[Debit])))+(SUM(IF((CRDJ[Date]=$A$4)*(CRDJ[Ofc Code]=(TRIM(R$7)))*(CRDJ[Account Code]=(TRIM($D61))),CRDJ[Debit])))+(SUM(IF((GJ[Date]=$A$4)*(GJ[Ofc Code]=(TRIM(R$7)))*(GJ[Account Code]=(TRIM($D61))),GJ[Debit])))-(SUM(IF((CkDJ[Date]=$A$4)*(CkDJ[Ofc Code]=(TRIM(R$7)))*(CkDJ[Account Code]=(TRIM($D61))),CkDJ[Credit])))+(SUM(IF((CsDJ[Date]=$A$4)*(CsDJ[Ofc Code]=(TRIM(R$7)))*(CsDJ[Account Code]=(TRIM($D61))),CsDJ[Credit])))+(SUM(IF((CRDJ[Date]=$A$4)*(CRDJ[Ofc Code]=(TRIM(R$7)))*(CRDJ[Account Code]=(TRIM($D61))),CRDJ[Credit])))+(SUM(IF((GJ[Date]=$A$4)*(GJ[Ofc Code]=(TRIM(R$7)))*(GJ[Account Code]=(TRIM($D61))),GJ[Credit])))</f>
        <v>0</v>
      </c>
      <c r="S61" s="211">
        <f t="array" ref="S61">(SUM(IF((CkDJ[Date]=$A$4)*(CkDJ[Ofc Code]=(TRIM(S$7)))*(CkDJ[Account Code]=(TRIM($D61))),CkDJ[Debit])))+(SUM(IF((CsDJ[Date]=$A$4)*(CsDJ[Ofc Code]=(TRIM(S$7)))*(CsDJ[Account Code]=(TRIM($D61))),CsDJ[Debit])))+(SUM(IF((CRDJ[Date]=$A$4)*(CRDJ[Ofc Code]=(TRIM(S$7)))*(CRDJ[Account Code]=(TRIM($D61))),CRDJ[Debit])))+(SUM(IF((GJ[Date]=$A$4)*(GJ[Ofc Code]=(TRIM(S$7)))*(GJ[Account Code]=(TRIM($D61))),GJ[Debit])))-(SUM(IF((CkDJ[Date]=$A$4)*(CkDJ[Ofc Code]=(TRIM(S$7)))*(CkDJ[Account Code]=(TRIM($D61))),CkDJ[Credit])))+(SUM(IF((CsDJ[Date]=$A$4)*(CsDJ[Ofc Code]=(TRIM(S$7)))*(CsDJ[Account Code]=(TRIM($D61))),CsDJ[Credit])))+(SUM(IF((CRDJ[Date]=$A$4)*(CRDJ[Ofc Code]=(TRIM(S$7)))*(CRDJ[Account Code]=(TRIM($D61))),CRDJ[Credit])))+(SUM(IF((GJ[Date]=$A$4)*(GJ[Ofc Code]=(TRIM(S$7)))*(GJ[Account Code]=(TRIM($D61))),GJ[Credit])))</f>
        <v>0</v>
      </c>
      <c r="T61" s="211">
        <f t="shared" si="17"/>
        <v>0</v>
      </c>
      <c r="U61" s="211">
        <f t="shared" si="18"/>
        <v>0</v>
      </c>
    </row>
    <row r="62" spans="1:21" ht="15" x14ac:dyDescent="0.25">
      <c r="A62" s="212">
        <f t="shared" si="19"/>
        <v>4</v>
      </c>
      <c r="B62" s="214" t="s">
        <v>756</v>
      </c>
      <c r="C62" s="194" t="str">
        <f t="shared" si="14"/>
        <v>Accountable Forms Expenses</v>
      </c>
      <c r="D62" s="207">
        <v>756</v>
      </c>
      <c r="E62" s="211">
        <f t="array" ref="E62">(SUM(IF((CkDJ[Date]=$A$4)*(CkDJ[Ofc Code]=(TRIM(E$7)))*(CkDJ[Account Code]=(TRIM($D62))),CkDJ[Debit])))+(SUM(IF((CsDJ[Date]=$A$4)*(CsDJ[Ofc Code]=(TRIM(E$7)))*(CsDJ[Account Code]=(TRIM($D62))),CsDJ[Debit])))+(SUM(IF((CRDJ[Date]=$A$4)*(CRDJ[Ofc Code]=(TRIM(E$7)))*(CRDJ[Account Code]=(TRIM($D62))),CRDJ[Debit])))+(SUM(IF((GJ[Date]=$A$4)*(GJ[Ofc Code]=(TRIM(E$7)))*(GJ[Account Code]=(TRIM($D62))),GJ[Debit])))-(SUM(IF((CkDJ[Date]=$A$4)*(CkDJ[Ofc Code]=(TRIM(E$7)))*(CkDJ[Account Code]=(TRIM($D62))),CkDJ[Credit])))+(SUM(IF((CsDJ[Date]=$A$4)*(CsDJ[Ofc Code]=(TRIM(E$7)))*(CsDJ[Account Code]=(TRIM($D62))),CsDJ[Credit])))+(SUM(IF((CRDJ[Date]=$A$4)*(CRDJ[Ofc Code]=(TRIM(E$7)))*(CRDJ[Account Code]=(TRIM($D62))),CRDJ[Credit])))+(SUM(IF((GJ[Date]=$A$4)*(GJ[Ofc Code]=(TRIM(E$7)))*(GJ[Account Code]=(TRIM($D62))),GJ[Credit])))</f>
        <v>0</v>
      </c>
      <c r="F62" s="211">
        <f t="array" ref="F62">(SUM(IF((CkDJ[Date]=$A$4)*(CkDJ[Ofc Code]=(TRIM(F$7)))*(CkDJ[Account Code]=(TRIM($D62))),CkDJ[Debit])))+(SUM(IF((CsDJ[Date]=$A$4)*(CsDJ[Ofc Code]=(TRIM(F$7)))*(CsDJ[Account Code]=(TRIM($D62))),CsDJ[Debit])))+(SUM(IF((CRDJ[Date]=$A$4)*(CRDJ[Ofc Code]=(TRIM(F$7)))*(CRDJ[Account Code]=(TRIM($D62))),CRDJ[Debit])))+(SUM(IF((GJ[Date]=$A$4)*(GJ[Ofc Code]=(TRIM(F$7)))*(GJ[Account Code]=(TRIM($D62))),GJ[Debit])))-(SUM(IF((CkDJ[Date]=$A$4)*(CkDJ[Ofc Code]=(TRIM(F$7)))*(CkDJ[Account Code]=(TRIM($D62))),CkDJ[Credit])))+(SUM(IF((CsDJ[Date]=$A$4)*(CsDJ[Ofc Code]=(TRIM(F$7)))*(CsDJ[Account Code]=(TRIM($D62))),CsDJ[Credit])))+(SUM(IF((CRDJ[Date]=$A$4)*(CRDJ[Ofc Code]=(TRIM(F$7)))*(CRDJ[Account Code]=(TRIM($D62))),CRDJ[Credit])))+(SUM(IF((GJ[Date]=$A$4)*(GJ[Ofc Code]=(TRIM(F$7)))*(GJ[Account Code]=(TRIM($D62))),GJ[Credit])))</f>
        <v>0</v>
      </c>
      <c r="G62" s="211">
        <f t="array" ref="G62">(SUM(IF((CkDJ[Date]=$A$4)*(CkDJ[Ofc Code]=(TRIM(G$7)))*(CkDJ[Account Code]=(TRIM($D62))),CkDJ[Debit])))+(SUM(IF((CsDJ[Date]=$A$4)*(CsDJ[Ofc Code]=(TRIM(G$7)))*(CsDJ[Account Code]=(TRIM($D62))),CsDJ[Debit])))+(SUM(IF((CRDJ[Date]=$A$4)*(CRDJ[Ofc Code]=(TRIM(G$7)))*(CRDJ[Account Code]=(TRIM($D62))),CRDJ[Debit])))+(SUM(IF((GJ[Date]=$A$4)*(GJ[Ofc Code]=(TRIM(G$7)))*(GJ[Account Code]=(TRIM($D62))),GJ[Debit])))-(SUM(IF((CkDJ[Date]=$A$4)*(CkDJ[Ofc Code]=(TRIM(G$7)))*(CkDJ[Account Code]=(TRIM($D62))),CkDJ[Credit])))+(SUM(IF((CsDJ[Date]=$A$4)*(CsDJ[Ofc Code]=(TRIM(G$7)))*(CsDJ[Account Code]=(TRIM($D62))),CsDJ[Credit])))+(SUM(IF((CRDJ[Date]=$A$4)*(CRDJ[Ofc Code]=(TRIM(G$7)))*(CRDJ[Account Code]=(TRIM($D62))),CRDJ[Credit])))+(SUM(IF((GJ[Date]=$A$4)*(GJ[Ofc Code]=(TRIM(G$7)))*(GJ[Account Code]=(TRIM($D62))),GJ[Credit])))</f>
        <v>0</v>
      </c>
      <c r="H62" s="211">
        <f t="array" ref="H62">(SUM(IF((CkDJ[Date]=$A$4)*(CkDJ[Ofc Code]=(TRIM(H$7)))*(CkDJ[Account Code]=(TRIM($D62))),CkDJ[Debit])))+(SUM(IF((CsDJ[Date]=$A$4)*(CsDJ[Ofc Code]=(TRIM(H$7)))*(CsDJ[Account Code]=(TRIM($D62))),CsDJ[Debit])))+(SUM(IF((CRDJ[Date]=$A$4)*(CRDJ[Ofc Code]=(TRIM(H$7)))*(CRDJ[Account Code]=(TRIM($D62))),CRDJ[Debit])))+(SUM(IF((GJ[Date]=$A$4)*(GJ[Ofc Code]=(TRIM(H$7)))*(GJ[Account Code]=(TRIM($D62))),GJ[Debit])))-(SUM(IF((CkDJ[Date]=$A$4)*(CkDJ[Ofc Code]=(TRIM(H$7)))*(CkDJ[Account Code]=(TRIM($D62))),CkDJ[Credit])))+(SUM(IF((CsDJ[Date]=$A$4)*(CsDJ[Ofc Code]=(TRIM(H$7)))*(CsDJ[Account Code]=(TRIM($D62))),CsDJ[Credit])))+(SUM(IF((CRDJ[Date]=$A$4)*(CRDJ[Ofc Code]=(TRIM(H$7)))*(CRDJ[Account Code]=(TRIM($D62))),CRDJ[Credit])))+(SUM(IF((GJ[Date]=$A$4)*(GJ[Ofc Code]=(TRIM(H$7)))*(GJ[Account Code]=(TRIM($D62))),GJ[Credit])))</f>
        <v>0</v>
      </c>
      <c r="I62" s="211">
        <f t="shared" si="15"/>
        <v>0</v>
      </c>
      <c r="J62" s="211">
        <f t="array" ref="J62">(SUM(IF((CkDJ[Date]=$A$4)*(CkDJ[Ofc Code]=(TRIM(J$7)))*(CkDJ[Account Code]=(TRIM($D62))),CkDJ[Debit])))+(SUM(IF((CsDJ[Date]=$A$4)*(CsDJ[Ofc Code]=(TRIM(J$7)))*(CsDJ[Account Code]=(TRIM($D62))),CsDJ[Debit])))+(SUM(IF((CRDJ[Date]=$A$4)*(CRDJ[Ofc Code]=(TRIM(J$7)))*(CRDJ[Account Code]=(TRIM($D62))),CRDJ[Debit])))+(SUM(IF((GJ[Date]=$A$4)*(GJ[Ofc Code]=(TRIM(J$7)))*(GJ[Account Code]=(TRIM($D62))),GJ[Debit])))-(SUM(IF((CkDJ[Date]=$A$4)*(CkDJ[Ofc Code]=(TRIM(J$7)))*(CkDJ[Account Code]=(TRIM($D62))),CkDJ[Credit])))+(SUM(IF((CsDJ[Date]=$A$4)*(CsDJ[Ofc Code]=(TRIM(J$7)))*(CsDJ[Account Code]=(TRIM($D62))),CsDJ[Credit])))+(SUM(IF((CRDJ[Date]=$A$4)*(CRDJ[Ofc Code]=(TRIM(J$7)))*(CRDJ[Account Code]=(TRIM($D62))),CRDJ[Credit])))+(SUM(IF((GJ[Date]=$A$4)*(GJ[Ofc Code]=(TRIM(J$7)))*(GJ[Account Code]=(TRIM($D62))),GJ[Credit])))</f>
        <v>0</v>
      </c>
      <c r="K62" s="211">
        <f t="array" ref="K62">(SUM(IF((CkDJ[Date]=$A$4)*(CkDJ[Ofc Code]=(TRIM(K$7)))*(CkDJ[Account Code]=(TRIM($D62))),CkDJ[Debit])))+(SUM(IF((CsDJ[Date]=$A$4)*(CsDJ[Ofc Code]=(TRIM(K$7)))*(CsDJ[Account Code]=(TRIM($D62))),CsDJ[Debit])))+(SUM(IF((CRDJ[Date]=$A$4)*(CRDJ[Ofc Code]=(TRIM(K$7)))*(CRDJ[Account Code]=(TRIM($D62))),CRDJ[Debit])))+(SUM(IF((GJ[Date]=$A$4)*(GJ[Ofc Code]=(TRIM(K$7)))*(GJ[Account Code]=(TRIM($D62))),GJ[Debit])))-(SUM(IF((CkDJ[Date]=$A$4)*(CkDJ[Ofc Code]=(TRIM(K$7)))*(CkDJ[Account Code]=(TRIM($D62))),CkDJ[Credit])))+(SUM(IF((CsDJ[Date]=$A$4)*(CsDJ[Ofc Code]=(TRIM(K$7)))*(CsDJ[Account Code]=(TRIM($D62))),CsDJ[Credit])))+(SUM(IF((CRDJ[Date]=$A$4)*(CRDJ[Ofc Code]=(TRIM(K$7)))*(CRDJ[Account Code]=(TRIM($D62))),CRDJ[Credit])))+(SUM(IF((GJ[Date]=$A$4)*(GJ[Ofc Code]=(TRIM(K$7)))*(GJ[Account Code]=(TRIM($D62))),GJ[Credit])))</f>
        <v>0</v>
      </c>
      <c r="L62" s="211">
        <f t="array" ref="L62">(SUM(IF((CkDJ[Date]=$A$4)*(CkDJ[Ofc Code]=(TRIM(L$7)))*(CkDJ[Account Code]=(TRIM($D62))),CkDJ[Debit])))+(SUM(IF((CsDJ[Date]=$A$4)*(CsDJ[Ofc Code]=(TRIM(L$7)))*(CsDJ[Account Code]=(TRIM($D62))),CsDJ[Debit])))+(SUM(IF((CRDJ[Date]=$A$4)*(CRDJ[Ofc Code]=(TRIM(L$7)))*(CRDJ[Account Code]=(TRIM($D62))),CRDJ[Debit])))+(SUM(IF((GJ[Date]=$A$4)*(GJ[Ofc Code]=(TRIM(L$7)))*(GJ[Account Code]=(TRIM($D62))),GJ[Debit])))-(SUM(IF((CkDJ[Date]=$A$4)*(CkDJ[Ofc Code]=(TRIM(L$7)))*(CkDJ[Account Code]=(TRIM($D62))),CkDJ[Credit])))+(SUM(IF((CsDJ[Date]=$A$4)*(CsDJ[Ofc Code]=(TRIM(L$7)))*(CsDJ[Account Code]=(TRIM($D62))),CsDJ[Credit])))+(SUM(IF((CRDJ[Date]=$A$4)*(CRDJ[Ofc Code]=(TRIM(L$7)))*(CRDJ[Account Code]=(TRIM($D62))),CRDJ[Credit])))+(SUM(IF((GJ[Date]=$A$4)*(GJ[Ofc Code]=(TRIM(L$7)))*(GJ[Account Code]=(TRIM($D62))),GJ[Credit])))</f>
        <v>0</v>
      </c>
      <c r="M62" s="211">
        <f t="array" ref="M62">(SUM(IF((CkDJ[Date]=$A$4)*(CkDJ[Ofc Code]=(TRIM(M$7)))*(CkDJ[Account Code]=(TRIM($D62))),CkDJ[Debit])))+(SUM(IF((CsDJ[Date]=$A$4)*(CsDJ[Ofc Code]=(TRIM(M$7)))*(CsDJ[Account Code]=(TRIM($D62))),CsDJ[Debit])))+(SUM(IF((CRDJ[Date]=$A$4)*(CRDJ[Ofc Code]=(TRIM(M$7)))*(CRDJ[Account Code]=(TRIM($D62))),CRDJ[Debit])))+(SUM(IF((GJ[Date]=$A$4)*(GJ[Ofc Code]=(TRIM(M$7)))*(GJ[Account Code]=(TRIM($D62))),GJ[Debit])))-(SUM(IF((CkDJ[Date]=$A$4)*(CkDJ[Ofc Code]=(TRIM(M$7)))*(CkDJ[Account Code]=(TRIM($D62))),CkDJ[Credit])))+(SUM(IF((CsDJ[Date]=$A$4)*(CsDJ[Ofc Code]=(TRIM(M$7)))*(CsDJ[Account Code]=(TRIM($D62))),CsDJ[Credit])))+(SUM(IF((CRDJ[Date]=$A$4)*(CRDJ[Ofc Code]=(TRIM(M$7)))*(CRDJ[Account Code]=(TRIM($D62))),CRDJ[Credit])))+(SUM(IF((GJ[Date]=$A$4)*(GJ[Ofc Code]=(TRIM(M$7)))*(GJ[Account Code]=(TRIM($D62))),GJ[Credit])))</f>
        <v>0</v>
      </c>
      <c r="N62" s="211">
        <f t="shared" si="16"/>
        <v>0</v>
      </c>
      <c r="O62" s="211">
        <f t="array" ref="O62">(SUM(IF((CkDJ[Date]=$A$4)*(CkDJ[Ofc Code]=(TRIM(O$7)))*(CkDJ[Account Code]=(TRIM($D62))),CkDJ[Debit])))+(SUM(IF((CsDJ[Date]=$A$4)*(CsDJ[Ofc Code]=(TRIM(O$7)))*(CsDJ[Account Code]=(TRIM($D62))),CsDJ[Debit])))+(SUM(IF((CRDJ[Date]=$A$4)*(CRDJ[Ofc Code]=(TRIM(O$7)))*(CRDJ[Account Code]=(TRIM($D62))),CRDJ[Debit])))+(SUM(IF((GJ[Date]=$A$4)*(GJ[Ofc Code]=(TRIM(O$7)))*(GJ[Account Code]=(TRIM($D62))),GJ[Debit])))-(SUM(IF((CkDJ[Date]=$A$4)*(CkDJ[Ofc Code]=(TRIM(O$7)))*(CkDJ[Account Code]=(TRIM($D62))),CkDJ[Credit])))+(SUM(IF((CsDJ[Date]=$A$4)*(CsDJ[Ofc Code]=(TRIM(O$7)))*(CsDJ[Account Code]=(TRIM($D62))),CsDJ[Credit])))+(SUM(IF((CRDJ[Date]=$A$4)*(CRDJ[Ofc Code]=(TRIM(O$7)))*(CRDJ[Account Code]=(TRIM($D62))),CRDJ[Credit])))+(SUM(IF((GJ[Date]=$A$4)*(GJ[Ofc Code]=(TRIM(O$7)))*(GJ[Account Code]=(TRIM($D62))),GJ[Credit])))</f>
        <v>0</v>
      </c>
      <c r="P62" s="211">
        <f t="array" ref="P62">(SUM(IF((CkDJ[Date]=$A$4)*(CkDJ[Ofc Code]=(TRIM(P$7)))*(CkDJ[Account Code]=(TRIM($D62))),CkDJ[Debit])))+(SUM(IF((CsDJ[Date]=$A$4)*(CsDJ[Ofc Code]=(TRIM(P$7)))*(CsDJ[Account Code]=(TRIM($D62))),CsDJ[Debit])))+(SUM(IF((CRDJ[Date]=$A$4)*(CRDJ[Ofc Code]=(TRIM(P$7)))*(CRDJ[Account Code]=(TRIM($D62))),CRDJ[Debit])))+(SUM(IF((GJ[Date]=$A$4)*(GJ[Ofc Code]=(TRIM(P$7)))*(GJ[Account Code]=(TRIM($D62))),GJ[Debit])))-(SUM(IF((CkDJ[Date]=$A$4)*(CkDJ[Ofc Code]=(TRIM(P$7)))*(CkDJ[Account Code]=(TRIM($D62))),CkDJ[Credit])))+(SUM(IF((CsDJ[Date]=$A$4)*(CsDJ[Ofc Code]=(TRIM(P$7)))*(CsDJ[Account Code]=(TRIM($D62))),CsDJ[Credit])))+(SUM(IF((CRDJ[Date]=$A$4)*(CRDJ[Ofc Code]=(TRIM(P$7)))*(CRDJ[Account Code]=(TRIM($D62))),CRDJ[Credit])))+(SUM(IF((GJ[Date]=$A$4)*(GJ[Ofc Code]=(TRIM(P$7)))*(GJ[Account Code]=(TRIM($D62))),GJ[Credit])))</f>
        <v>0</v>
      </c>
      <c r="Q62" s="211">
        <f t="array" ref="Q62">(SUM(IF((CkDJ[Date]=$A$4)*(CkDJ[Ofc Code]=(TRIM(Q$7)))*(CkDJ[Account Code]=(TRIM($D62))),CkDJ[Debit])))+(SUM(IF((CsDJ[Date]=$A$4)*(CsDJ[Ofc Code]=(TRIM(Q$7)))*(CsDJ[Account Code]=(TRIM($D62))),CsDJ[Debit])))+(SUM(IF((CRDJ[Date]=$A$4)*(CRDJ[Ofc Code]=(TRIM(Q$7)))*(CRDJ[Account Code]=(TRIM($D62))),CRDJ[Debit])))+(SUM(IF((GJ[Date]=$A$4)*(GJ[Ofc Code]=(TRIM(Q$7)))*(GJ[Account Code]=(TRIM($D62))),GJ[Debit])))-(SUM(IF((CkDJ[Date]=$A$4)*(CkDJ[Ofc Code]=(TRIM(Q$7)))*(CkDJ[Account Code]=(TRIM($D62))),CkDJ[Credit])))+(SUM(IF((CsDJ[Date]=$A$4)*(CsDJ[Ofc Code]=(TRIM(Q$7)))*(CsDJ[Account Code]=(TRIM($D62))),CsDJ[Credit])))+(SUM(IF((CRDJ[Date]=$A$4)*(CRDJ[Ofc Code]=(TRIM(Q$7)))*(CRDJ[Account Code]=(TRIM($D62))),CRDJ[Credit])))+(SUM(IF((GJ[Date]=$A$4)*(GJ[Ofc Code]=(TRIM(Q$7)))*(GJ[Account Code]=(TRIM($D62))),GJ[Credit])))</f>
        <v>0</v>
      </c>
      <c r="R62" s="211">
        <f t="array" ref="R62">(SUM(IF((CkDJ[Date]=$A$4)*(CkDJ[Ofc Code]=(TRIM(R$7)))*(CkDJ[Account Code]=(TRIM($D62))),CkDJ[Debit])))+(SUM(IF((CsDJ[Date]=$A$4)*(CsDJ[Ofc Code]=(TRIM(R$7)))*(CsDJ[Account Code]=(TRIM($D62))),CsDJ[Debit])))+(SUM(IF((CRDJ[Date]=$A$4)*(CRDJ[Ofc Code]=(TRIM(R$7)))*(CRDJ[Account Code]=(TRIM($D62))),CRDJ[Debit])))+(SUM(IF((GJ[Date]=$A$4)*(GJ[Ofc Code]=(TRIM(R$7)))*(GJ[Account Code]=(TRIM($D62))),GJ[Debit])))-(SUM(IF((CkDJ[Date]=$A$4)*(CkDJ[Ofc Code]=(TRIM(R$7)))*(CkDJ[Account Code]=(TRIM($D62))),CkDJ[Credit])))+(SUM(IF((CsDJ[Date]=$A$4)*(CsDJ[Ofc Code]=(TRIM(R$7)))*(CsDJ[Account Code]=(TRIM($D62))),CsDJ[Credit])))+(SUM(IF((CRDJ[Date]=$A$4)*(CRDJ[Ofc Code]=(TRIM(R$7)))*(CRDJ[Account Code]=(TRIM($D62))),CRDJ[Credit])))+(SUM(IF((GJ[Date]=$A$4)*(GJ[Ofc Code]=(TRIM(R$7)))*(GJ[Account Code]=(TRIM($D62))),GJ[Credit])))</f>
        <v>0</v>
      </c>
      <c r="S62" s="211">
        <f t="array" ref="S62">(SUM(IF((CkDJ[Date]=$A$4)*(CkDJ[Ofc Code]=(TRIM(S$7)))*(CkDJ[Account Code]=(TRIM($D62))),CkDJ[Debit])))+(SUM(IF((CsDJ[Date]=$A$4)*(CsDJ[Ofc Code]=(TRIM(S$7)))*(CsDJ[Account Code]=(TRIM($D62))),CsDJ[Debit])))+(SUM(IF((CRDJ[Date]=$A$4)*(CRDJ[Ofc Code]=(TRIM(S$7)))*(CRDJ[Account Code]=(TRIM($D62))),CRDJ[Debit])))+(SUM(IF((GJ[Date]=$A$4)*(GJ[Ofc Code]=(TRIM(S$7)))*(GJ[Account Code]=(TRIM($D62))),GJ[Debit])))-(SUM(IF((CkDJ[Date]=$A$4)*(CkDJ[Ofc Code]=(TRIM(S$7)))*(CkDJ[Account Code]=(TRIM($D62))),CkDJ[Credit])))+(SUM(IF((CsDJ[Date]=$A$4)*(CsDJ[Ofc Code]=(TRIM(S$7)))*(CsDJ[Account Code]=(TRIM($D62))),CsDJ[Credit])))+(SUM(IF((CRDJ[Date]=$A$4)*(CRDJ[Ofc Code]=(TRIM(S$7)))*(CRDJ[Account Code]=(TRIM($D62))),CRDJ[Credit])))+(SUM(IF((GJ[Date]=$A$4)*(GJ[Ofc Code]=(TRIM(S$7)))*(GJ[Account Code]=(TRIM($D62))),GJ[Credit])))</f>
        <v>0</v>
      </c>
      <c r="T62" s="211">
        <f t="shared" si="17"/>
        <v>0</v>
      </c>
      <c r="U62" s="211">
        <f t="shared" si="18"/>
        <v>0</v>
      </c>
    </row>
    <row r="63" spans="1:21" ht="15" x14ac:dyDescent="0.25">
      <c r="A63" s="212">
        <f t="shared" si="19"/>
        <v>5</v>
      </c>
      <c r="B63" s="214" t="s">
        <v>756</v>
      </c>
      <c r="C63" s="194" t="str">
        <f t="shared" si="14"/>
        <v>Fuel, Oil and Lubricants Expenses</v>
      </c>
      <c r="D63" s="207">
        <v>761</v>
      </c>
      <c r="E63" s="211">
        <f t="array" ref="E63">(SUM(IF((CkDJ[Date]=$A$4)*(CkDJ[Ofc Code]=(TRIM(E$7)))*(CkDJ[Account Code]=(TRIM($D63))),CkDJ[Debit])))+(SUM(IF((CsDJ[Date]=$A$4)*(CsDJ[Ofc Code]=(TRIM(E$7)))*(CsDJ[Account Code]=(TRIM($D63))),CsDJ[Debit])))+(SUM(IF((CRDJ[Date]=$A$4)*(CRDJ[Ofc Code]=(TRIM(E$7)))*(CRDJ[Account Code]=(TRIM($D63))),CRDJ[Debit])))+(SUM(IF((GJ[Date]=$A$4)*(GJ[Ofc Code]=(TRIM(E$7)))*(GJ[Account Code]=(TRIM($D63))),GJ[Debit])))-(SUM(IF((CkDJ[Date]=$A$4)*(CkDJ[Ofc Code]=(TRIM(E$7)))*(CkDJ[Account Code]=(TRIM($D63))),CkDJ[Credit])))+(SUM(IF((CsDJ[Date]=$A$4)*(CsDJ[Ofc Code]=(TRIM(E$7)))*(CsDJ[Account Code]=(TRIM($D63))),CsDJ[Credit])))+(SUM(IF((CRDJ[Date]=$A$4)*(CRDJ[Ofc Code]=(TRIM(E$7)))*(CRDJ[Account Code]=(TRIM($D63))),CRDJ[Credit])))+(SUM(IF((GJ[Date]=$A$4)*(GJ[Ofc Code]=(TRIM(E$7)))*(GJ[Account Code]=(TRIM($D63))),GJ[Credit])))</f>
        <v>0</v>
      </c>
      <c r="F63" s="211">
        <f t="array" ref="F63">(SUM(IF((CkDJ[Date]=$A$4)*(CkDJ[Ofc Code]=(TRIM(F$7)))*(CkDJ[Account Code]=(TRIM($D63))),CkDJ[Debit])))+(SUM(IF((CsDJ[Date]=$A$4)*(CsDJ[Ofc Code]=(TRIM(F$7)))*(CsDJ[Account Code]=(TRIM($D63))),CsDJ[Debit])))+(SUM(IF((CRDJ[Date]=$A$4)*(CRDJ[Ofc Code]=(TRIM(F$7)))*(CRDJ[Account Code]=(TRIM($D63))),CRDJ[Debit])))+(SUM(IF((GJ[Date]=$A$4)*(GJ[Ofc Code]=(TRIM(F$7)))*(GJ[Account Code]=(TRIM($D63))),GJ[Debit])))-(SUM(IF((CkDJ[Date]=$A$4)*(CkDJ[Ofc Code]=(TRIM(F$7)))*(CkDJ[Account Code]=(TRIM($D63))),CkDJ[Credit])))+(SUM(IF((CsDJ[Date]=$A$4)*(CsDJ[Ofc Code]=(TRIM(F$7)))*(CsDJ[Account Code]=(TRIM($D63))),CsDJ[Credit])))+(SUM(IF((CRDJ[Date]=$A$4)*(CRDJ[Ofc Code]=(TRIM(F$7)))*(CRDJ[Account Code]=(TRIM($D63))),CRDJ[Credit])))+(SUM(IF((GJ[Date]=$A$4)*(GJ[Ofc Code]=(TRIM(F$7)))*(GJ[Account Code]=(TRIM($D63))),GJ[Credit])))</f>
        <v>0</v>
      </c>
      <c r="G63" s="211">
        <f t="array" ref="G63">(SUM(IF((CkDJ[Date]=$A$4)*(CkDJ[Ofc Code]=(TRIM(G$7)))*(CkDJ[Account Code]=(TRIM($D63))),CkDJ[Debit])))+(SUM(IF((CsDJ[Date]=$A$4)*(CsDJ[Ofc Code]=(TRIM(G$7)))*(CsDJ[Account Code]=(TRIM($D63))),CsDJ[Debit])))+(SUM(IF((CRDJ[Date]=$A$4)*(CRDJ[Ofc Code]=(TRIM(G$7)))*(CRDJ[Account Code]=(TRIM($D63))),CRDJ[Debit])))+(SUM(IF((GJ[Date]=$A$4)*(GJ[Ofc Code]=(TRIM(G$7)))*(GJ[Account Code]=(TRIM($D63))),GJ[Debit])))-(SUM(IF((CkDJ[Date]=$A$4)*(CkDJ[Ofc Code]=(TRIM(G$7)))*(CkDJ[Account Code]=(TRIM($D63))),CkDJ[Credit])))+(SUM(IF((CsDJ[Date]=$A$4)*(CsDJ[Ofc Code]=(TRIM(G$7)))*(CsDJ[Account Code]=(TRIM($D63))),CsDJ[Credit])))+(SUM(IF((CRDJ[Date]=$A$4)*(CRDJ[Ofc Code]=(TRIM(G$7)))*(CRDJ[Account Code]=(TRIM($D63))),CRDJ[Credit])))+(SUM(IF((GJ[Date]=$A$4)*(GJ[Ofc Code]=(TRIM(G$7)))*(GJ[Account Code]=(TRIM($D63))),GJ[Credit])))</f>
        <v>0</v>
      </c>
      <c r="H63" s="211">
        <f t="array" ref="H63">(SUM(IF((CkDJ[Date]=$A$4)*(CkDJ[Ofc Code]=(TRIM(H$7)))*(CkDJ[Account Code]=(TRIM($D63))),CkDJ[Debit])))+(SUM(IF((CsDJ[Date]=$A$4)*(CsDJ[Ofc Code]=(TRIM(H$7)))*(CsDJ[Account Code]=(TRIM($D63))),CsDJ[Debit])))+(SUM(IF((CRDJ[Date]=$A$4)*(CRDJ[Ofc Code]=(TRIM(H$7)))*(CRDJ[Account Code]=(TRIM($D63))),CRDJ[Debit])))+(SUM(IF((GJ[Date]=$A$4)*(GJ[Ofc Code]=(TRIM(H$7)))*(GJ[Account Code]=(TRIM($D63))),GJ[Debit])))-(SUM(IF((CkDJ[Date]=$A$4)*(CkDJ[Ofc Code]=(TRIM(H$7)))*(CkDJ[Account Code]=(TRIM($D63))),CkDJ[Credit])))+(SUM(IF((CsDJ[Date]=$A$4)*(CsDJ[Ofc Code]=(TRIM(H$7)))*(CsDJ[Account Code]=(TRIM($D63))),CsDJ[Credit])))+(SUM(IF((CRDJ[Date]=$A$4)*(CRDJ[Ofc Code]=(TRIM(H$7)))*(CRDJ[Account Code]=(TRIM($D63))),CRDJ[Credit])))+(SUM(IF((GJ[Date]=$A$4)*(GJ[Ofc Code]=(TRIM(H$7)))*(GJ[Account Code]=(TRIM($D63))),GJ[Credit])))</f>
        <v>0</v>
      </c>
      <c r="I63" s="211">
        <f t="shared" si="15"/>
        <v>0</v>
      </c>
      <c r="J63" s="211">
        <f t="array" ref="J63">(SUM(IF((CkDJ[Date]=$A$4)*(CkDJ[Ofc Code]=(TRIM(J$7)))*(CkDJ[Account Code]=(TRIM($D63))),CkDJ[Debit])))+(SUM(IF((CsDJ[Date]=$A$4)*(CsDJ[Ofc Code]=(TRIM(J$7)))*(CsDJ[Account Code]=(TRIM($D63))),CsDJ[Debit])))+(SUM(IF((CRDJ[Date]=$A$4)*(CRDJ[Ofc Code]=(TRIM(J$7)))*(CRDJ[Account Code]=(TRIM($D63))),CRDJ[Debit])))+(SUM(IF((GJ[Date]=$A$4)*(GJ[Ofc Code]=(TRIM(J$7)))*(GJ[Account Code]=(TRIM($D63))),GJ[Debit])))-(SUM(IF((CkDJ[Date]=$A$4)*(CkDJ[Ofc Code]=(TRIM(J$7)))*(CkDJ[Account Code]=(TRIM($D63))),CkDJ[Credit])))+(SUM(IF((CsDJ[Date]=$A$4)*(CsDJ[Ofc Code]=(TRIM(J$7)))*(CsDJ[Account Code]=(TRIM($D63))),CsDJ[Credit])))+(SUM(IF((CRDJ[Date]=$A$4)*(CRDJ[Ofc Code]=(TRIM(J$7)))*(CRDJ[Account Code]=(TRIM($D63))),CRDJ[Credit])))+(SUM(IF((GJ[Date]=$A$4)*(GJ[Ofc Code]=(TRIM(J$7)))*(GJ[Account Code]=(TRIM($D63))),GJ[Credit])))</f>
        <v>0</v>
      </c>
      <c r="K63" s="211">
        <f t="array" ref="K63">(SUM(IF((CkDJ[Date]=$A$4)*(CkDJ[Ofc Code]=(TRIM(K$7)))*(CkDJ[Account Code]=(TRIM($D63))),CkDJ[Debit])))+(SUM(IF((CsDJ[Date]=$A$4)*(CsDJ[Ofc Code]=(TRIM(K$7)))*(CsDJ[Account Code]=(TRIM($D63))),CsDJ[Debit])))+(SUM(IF((CRDJ[Date]=$A$4)*(CRDJ[Ofc Code]=(TRIM(K$7)))*(CRDJ[Account Code]=(TRIM($D63))),CRDJ[Debit])))+(SUM(IF((GJ[Date]=$A$4)*(GJ[Ofc Code]=(TRIM(K$7)))*(GJ[Account Code]=(TRIM($D63))),GJ[Debit])))-(SUM(IF((CkDJ[Date]=$A$4)*(CkDJ[Ofc Code]=(TRIM(K$7)))*(CkDJ[Account Code]=(TRIM($D63))),CkDJ[Credit])))+(SUM(IF((CsDJ[Date]=$A$4)*(CsDJ[Ofc Code]=(TRIM(K$7)))*(CsDJ[Account Code]=(TRIM($D63))),CsDJ[Credit])))+(SUM(IF((CRDJ[Date]=$A$4)*(CRDJ[Ofc Code]=(TRIM(K$7)))*(CRDJ[Account Code]=(TRIM($D63))),CRDJ[Credit])))+(SUM(IF((GJ[Date]=$A$4)*(GJ[Ofc Code]=(TRIM(K$7)))*(GJ[Account Code]=(TRIM($D63))),GJ[Credit])))</f>
        <v>0</v>
      </c>
      <c r="L63" s="211">
        <f t="array" ref="L63">(SUM(IF((CkDJ[Date]=$A$4)*(CkDJ[Ofc Code]=(TRIM(L$7)))*(CkDJ[Account Code]=(TRIM($D63))),CkDJ[Debit])))+(SUM(IF((CsDJ[Date]=$A$4)*(CsDJ[Ofc Code]=(TRIM(L$7)))*(CsDJ[Account Code]=(TRIM($D63))),CsDJ[Debit])))+(SUM(IF((CRDJ[Date]=$A$4)*(CRDJ[Ofc Code]=(TRIM(L$7)))*(CRDJ[Account Code]=(TRIM($D63))),CRDJ[Debit])))+(SUM(IF((GJ[Date]=$A$4)*(GJ[Ofc Code]=(TRIM(L$7)))*(GJ[Account Code]=(TRIM($D63))),GJ[Debit])))-(SUM(IF((CkDJ[Date]=$A$4)*(CkDJ[Ofc Code]=(TRIM(L$7)))*(CkDJ[Account Code]=(TRIM($D63))),CkDJ[Credit])))+(SUM(IF((CsDJ[Date]=$A$4)*(CsDJ[Ofc Code]=(TRIM(L$7)))*(CsDJ[Account Code]=(TRIM($D63))),CsDJ[Credit])))+(SUM(IF((CRDJ[Date]=$A$4)*(CRDJ[Ofc Code]=(TRIM(L$7)))*(CRDJ[Account Code]=(TRIM($D63))),CRDJ[Credit])))+(SUM(IF((GJ[Date]=$A$4)*(GJ[Ofc Code]=(TRIM(L$7)))*(GJ[Account Code]=(TRIM($D63))),GJ[Credit])))</f>
        <v>0</v>
      </c>
      <c r="M63" s="211">
        <f t="array" ref="M63">(SUM(IF((CkDJ[Date]=$A$4)*(CkDJ[Ofc Code]=(TRIM(M$7)))*(CkDJ[Account Code]=(TRIM($D63))),CkDJ[Debit])))+(SUM(IF((CsDJ[Date]=$A$4)*(CsDJ[Ofc Code]=(TRIM(M$7)))*(CsDJ[Account Code]=(TRIM($D63))),CsDJ[Debit])))+(SUM(IF((CRDJ[Date]=$A$4)*(CRDJ[Ofc Code]=(TRIM(M$7)))*(CRDJ[Account Code]=(TRIM($D63))),CRDJ[Debit])))+(SUM(IF((GJ[Date]=$A$4)*(GJ[Ofc Code]=(TRIM(M$7)))*(GJ[Account Code]=(TRIM($D63))),GJ[Debit])))-(SUM(IF((CkDJ[Date]=$A$4)*(CkDJ[Ofc Code]=(TRIM(M$7)))*(CkDJ[Account Code]=(TRIM($D63))),CkDJ[Credit])))+(SUM(IF((CsDJ[Date]=$A$4)*(CsDJ[Ofc Code]=(TRIM(M$7)))*(CsDJ[Account Code]=(TRIM($D63))),CsDJ[Credit])))+(SUM(IF((CRDJ[Date]=$A$4)*(CRDJ[Ofc Code]=(TRIM(M$7)))*(CRDJ[Account Code]=(TRIM($D63))),CRDJ[Credit])))+(SUM(IF((GJ[Date]=$A$4)*(GJ[Ofc Code]=(TRIM(M$7)))*(GJ[Account Code]=(TRIM($D63))),GJ[Credit])))</f>
        <v>0</v>
      </c>
      <c r="N63" s="211">
        <f t="shared" si="16"/>
        <v>0</v>
      </c>
      <c r="O63" s="211">
        <f t="array" ref="O63">(SUM(IF((CkDJ[Date]=$A$4)*(CkDJ[Ofc Code]=(TRIM(O$7)))*(CkDJ[Account Code]=(TRIM($D63))),CkDJ[Debit])))+(SUM(IF((CsDJ[Date]=$A$4)*(CsDJ[Ofc Code]=(TRIM(O$7)))*(CsDJ[Account Code]=(TRIM($D63))),CsDJ[Debit])))+(SUM(IF((CRDJ[Date]=$A$4)*(CRDJ[Ofc Code]=(TRIM(O$7)))*(CRDJ[Account Code]=(TRIM($D63))),CRDJ[Debit])))+(SUM(IF((GJ[Date]=$A$4)*(GJ[Ofc Code]=(TRIM(O$7)))*(GJ[Account Code]=(TRIM($D63))),GJ[Debit])))-(SUM(IF((CkDJ[Date]=$A$4)*(CkDJ[Ofc Code]=(TRIM(O$7)))*(CkDJ[Account Code]=(TRIM($D63))),CkDJ[Credit])))+(SUM(IF((CsDJ[Date]=$A$4)*(CsDJ[Ofc Code]=(TRIM(O$7)))*(CsDJ[Account Code]=(TRIM($D63))),CsDJ[Credit])))+(SUM(IF((CRDJ[Date]=$A$4)*(CRDJ[Ofc Code]=(TRIM(O$7)))*(CRDJ[Account Code]=(TRIM($D63))),CRDJ[Credit])))+(SUM(IF((GJ[Date]=$A$4)*(GJ[Ofc Code]=(TRIM(O$7)))*(GJ[Account Code]=(TRIM($D63))),GJ[Credit])))</f>
        <v>0</v>
      </c>
      <c r="P63" s="211">
        <f t="array" ref="P63">(SUM(IF((CkDJ[Date]=$A$4)*(CkDJ[Ofc Code]=(TRIM(P$7)))*(CkDJ[Account Code]=(TRIM($D63))),CkDJ[Debit])))+(SUM(IF((CsDJ[Date]=$A$4)*(CsDJ[Ofc Code]=(TRIM(P$7)))*(CsDJ[Account Code]=(TRIM($D63))),CsDJ[Debit])))+(SUM(IF((CRDJ[Date]=$A$4)*(CRDJ[Ofc Code]=(TRIM(P$7)))*(CRDJ[Account Code]=(TRIM($D63))),CRDJ[Debit])))+(SUM(IF((GJ[Date]=$A$4)*(GJ[Ofc Code]=(TRIM(P$7)))*(GJ[Account Code]=(TRIM($D63))),GJ[Debit])))-(SUM(IF((CkDJ[Date]=$A$4)*(CkDJ[Ofc Code]=(TRIM(P$7)))*(CkDJ[Account Code]=(TRIM($D63))),CkDJ[Credit])))+(SUM(IF((CsDJ[Date]=$A$4)*(CsDJ[Ofc Code]=(TRIM(P$7)))*(CsDJ[Account Code]=(TRIM($D63))),CsDJ[Credit])))+(SUM(IF((CRDJ[Date]=$A$4)*(CRDJ[Ofc Code]=(TRIM(P$7)))*(CRDJ[Account Code]=(TRIM($D63))),CRDJ[Credit])))+(SUM(IF((GJ[Date]=$A$4)*(GJ[Ofc Code]=(TRIM(P$7)))*(GJ[Account Code]=(TRIM($D63))),GJ[Credit])))</f>
        <v>0</v>
      </c>
      <c r="Q63" s="211">
        <f t="array" ref="Q63">(SUM(IF((CkDJ[Date]=$A$4)*(CkDJ[Ofc Code]=(TRIM(Q$7)))*(CkDJ[Account Code]=(TRIM($D63))),CkDJ[Debit])))+(SUM(IF((CsDJ[Date]=$A$4)*(CsDJ[Ofc Code]=(TRIM(Q$7)))*(CsDJ[Account Code]=(TRIM($D63))),CsDJ[Debit])))+(SUM(IF((CRDJ[Date]=$A$4)*(CRDJ[Ofc Code]=(TRIM(Q$7)))*(CRDJ[Account Code]=(TRIM($D63))),CRDJ[Debit])))+(SUM(IF((GJ[Date]=$A$4)*(GJ[Ofc Code]=(TRIM(Q$7)))*(GJ[Account Code]=(TRIM($D63))),GJ[Debit])))-(SUM(IF((CkDJ[Date]=$A$4)*(CkDJ[Ofc Code]=(TRIM(Q$7)))*(CkDJ[Account Code]=(TRIM($D63))),CkDJ[Credit])))+(SUM(IF((CsDJ[Date]=$A$4)*(CsDJ[Ofc Code]=(TRIM(Q$7)))*(CsDJ[Account Code]=(TRIM($D63))),CsDJ[Credit])))+(SUM(IF((CRDJ[Date]=$A$4)*(CRDJ[Ofc Code]=(TRIM(Q$7)))*(CRDJ[Account Code]=(TRIM($D63))),CRDJ[Credit])))+(SUM(IF((GJ[Date]=$A$4)*(GJ[Ofc Code]=(TRIM(Q$7)))*(GJ[Account Code]=(TRIM($D63))),GJ[Credit])))</f>
        <v>0</v>
      </c>
      <c r="R63" s="211">
        <f t="array" ref="R63">(SUM(IF((CkDJ[Date]=$A$4)*(CkDJ[Ofc Code]=(TRIM(R$7)))*(CkDJ[Account Code]=(TRIM($D63))),CkDJ[Debit])))+(SUM(IF((CsDJ[Date]=$A$4)*(CsDJ[Ofc Code]=(TRIM(R$7)))*(CsDJ[Account Code]=(TRIM($D63))),CsDJ[Debit])))+(SUM(IF((CRDJ[Date]=$A$4)*(CRDJ[Ofc Code]=(TRIM(R$7)))*(CRDJ[Account Code]=(TRIM($D63))),CRDJ[Debit])))+(SUM(IF((GJ[Date]=$A$4)*(GJ[Ofc Code]=(TRIM(R$7)))*(GJ[Account Code]=(TRIM($D63))),GJ[Debit])))-(SUM(IF((CkDJ[Date]=$A$4)*(CkDJ[Ofc Code]=(TRIM(R$7)))*(CkDJ[Account Code]=(TRIM($D63))),CkDJ[Credit])))+(SUM(IF((CsDJ[Date]=$A$4)*(CsDJ[Ofc Code]=(TRIM(R$7)))*(CsDJ[Account Code]=(TRIM($D63))),CsDJ[Credit])))+(SUM(IF((CRDJ[Date]=$A$4)*(CRDJ[Ofc Code]=(TRIM(R$7)))*(CRDJ[Account Code]=(TRIM($D63))),CRDJ[Credit])))+(SUM(IF((GJ[Date]=$A$4)*(GJ[Ofc Code]=(TRIM(R$7)))*(GJ[Account Code]=(TRIM($D63))),GJ[Credit])))</f>
        <v>0</v>
      </c>
      <c r="S63" s="211">
        <f t="array" ref="S63">(SUM(IF((CkDJ[Date]=$A$4)*(CkDJ[Ofc Code]=(TRIM(S$7)))*(CkDJ[Account Code]=(TRIM($D63))),CkDJ[Debit])))+(SUM(IF((CsDJ[Date]=$A$4)*(CsDJ[Ofc Code]=(TRIM(S$7)))*(CsDJ[Account Code]=(TRIM($D63))),CsDJ[Debit])))+(SUM(IF((CRDJ[Date]=$A$4)*(CRDJ[Ofc Code]=(TRIM(S$7)))*(CRDJ[Account Code]=(TRIM($D63))),CRDJ[Debit])))+(SUM(IF((GJ[Date]=$A$4)*(GJ[Ofc Code]=(TRIM(S$7)))*(GJ[Account Code]=(TRIM($D63))),GJ[Debit])))-(SUM(IF((CkDJ[Date]=$A$4)*(CkDJ[Ofc Code]=(TRIM(S$7)))*(CkDJ[Account Code]=(TRIM($D63))),CkDJ[Credit])))+(SUM(IF((CsDJ[Date]=$A$4)*(CsDJ[Ofc Code]=(TRIM(S$7)))*(CsDJ[Account Code]=(TRIM($D63))),CsDJ[Credit])))+(SUM(IF((CRDJ[Date]=$A$4)*(CRDJ[Ofc Code]=(TRIM(S$7)))*(CRDJ[Account Code]=(TRIM($D63))),CRDJ[Credit])))+(SUM(IF((GJ[Date]=$A$4)*(GJ[Ofc Code]=(TRIM(S$7)))*(GJ[Account Code]=(TRIM($D63))),GJ[Credit])))</f>
        <v>0</v>
      </c>
      <c r="T63" s="211">
        <f t="shared" si="17"/>
        <v>0</v>
      </c>
      <c r="U63" s="211">
        <f t="shared" si="18"/>
        <v>0</v>
      </c>
    </row>
    <row r="64" spans="1:21" ht="15" x14ac:dyDescent="0.25">
      <c r="A64" s="212">
        <f t="shared" si="19"/>
        <v>6</v>
      </c>
      <c r="B64" s="214" t="s">
        <v>756</v>
      </c>
      <c r="C64" s="194" t="str">
        <f t="shared" si="14"/>
        <v>Textbooks and Instructional Materials Expenses</v>
      </c>
      <c r="D64" s="207">
        <v>763</v>
      </c>
      <c r="E64" s="211">
        <f t="array" ref="E64">(SUM(IF((CkDJ[Date]=$A$4)*(CkDJ[Ofc Code]=(TRIM(E$7)))*(CkDJ[Account Code]=(TRIM($D64))),CkDJ[Debit])))+(SUM(IF((CsDJ[Date]=$A$4)*(CsDJ[Ofc Code]=(TRIM(E$7)))*(CsDJ[Account Code]=(TRIM($D64))),CsDJ[Debit])))+(SUM(IF((CRDJ[Date]=$A$4)*(CRDJ[Ofc Code]=(TRIM(E$7)))*(CRDJ[Account Code]=(TRIM($D64))),CRDJ[Debit])))+(SUM(IF((GJ[Date]=$A$4)*(GJ[Ofc Code]=(TRIM(E$7)))*(GJ[Account Code]=(TRIM($D64))),GJ[Debit])))-(SUM(IF((CkDJ[Date]=$A$4)*(CkDJ[Ofc Code]=(TRIM(E$7)))*(CkDJ[Account Code]=(TRIM($D64))),CkDJ[Credit])))+(SUM(IF((CsDJ[Date]=$A$4)*(CsDJ[Ofc Code]=(TRIM(E$7)))*(CsDJ[Account Code]=(TRIM($D64))),CsDJ[Credit])))+(SUM(IF((CRDJ[Date]=$A$4)*(CRDJ[Ofc Code]=(TRIM(E$7)))*(CRDJ[Account Code]=(TRIM($D64))),CRDJ[Credit])))+(SUM(IF((GJ[Date]=$A$4)*(GJ[Ofc Code]=(TRIM(E$7)))*(GJ[Account Code]=(TRIM($D64))),GJ[Credit])))</f>
        <v>0</v>
      </c>
      <c r="F64" s="211">
        <f t="array" ref="F64">(SUM(IF((CkDJ[Date]=$A$4)*(CkDJ[Ofc Code]=(TRIM(F$7)))*(CkDJ[Account Code]=(TRIM($D64))),CkDJ[Debit])))+(SUM(IF((CsDJ[Date]=$A$4)*(CsDJ[Ofc Code]=(TRIM(F$7)))*(CsDJ[Account Code]=(TRIM($D64))),CsDJ[Debit])))+(SUM(IF((CRDJ[Date]=$A$4)*(CRDJ[Ofc Code]=(TRIM(F$7)))*(CRDJ[Account Code]=(TRIM($D64))),CRDJ[Debit])))+(SUM(IF((GJ[Date]=$A$4)*(GJ[Ofc Code]=(TRIM(F$7)))*(GJ[Account Code]=(TRIM($D64))),GJ[Debit])))-(SUM(IF((CkDJ[Date]=$A$4)*(CkDJ[Ofc Code]=(TRIM(F$7)))*(CkDJ[Account Code]=(TRIM($D64))),CkDJ[Credit])))+(SUM(IF((CsDJ[Date]=$A$4)*(CsDJ[Ofc Code]=(TRIM(F$7)))*(CsDJ[Account Code]=(TRIM($D64))),CsDJ[Credit])))+(SUM(IF((CRDJ[Date]=$A$4)*(CRDJ[Ofc Code]=(TRIM(F$7)))*(CRDJ[Account Code]=(TRIM($D64))),CRDJ[Credit])))+(SUM(IF((GJ[Date]=$A$4)*(GJ[Ofc Code]=(TRIM(F$7)))*(GJ[Account Code]=(TRIM($D64))),GJ[Credit])))</f>
        <v>0</v>
      </c>
      <c r="G64" s="211">
        <f t="array" ref="G64">(SUM(IF((CkDJ[Date]=$A$4)*(CkDJ[Ofc Code]=(TRIM(G$7)))*(CkDJ[Account Code]=(TRIM($D64))),CkDJ[Debit])))+(SUM(IF((CsDJ[Date]=$A$4)*(CsDJ[Ofc Code]=(TRIM(G$7)))*(CsDJ[Account Code]=(TRIM($D64))),CsDJ[Debit])))+(SUM(IF((CRDJ[Date]=$A$4)*(CRDJ[Ofc Code]=(TRIM(G$7)))*(CRDJ[Account Code]=(TRIM($D64))),CRDJ[Debit])))+(SUM(IF((GJ[Date]=$A$4)*(GJ[Ofc Code]=(TRIM(G$7)))*(GJ[Account Code]=(TRIM($D64))),GJ[Debit])))-(SUM(IF((CkDJ[Date]=$A$4)*(CkDJ[Ofc Code]=(TRIM(G$7)))*(CkDJ[Account Code]=(TRIM($D64))),CkDJ[Credit])))+(SUM(IF((CsDJ[Date]=$A$4)*(CsDJ[Ofc Code]=(TRIM(G$7)))*(CsDJ[Account Code]=(TRIM($D64))),CsDJ[Credit])))+(SUM(IF((CRDJ[Date]=$A$4)*(CRDJ[Ofc Code]=(TRIM(G$7)))*(CRDJ[Account Code]=(TRIM($D64))),CRDJ[Credit])))+(SUM(IF((GJ[Date]=$A$4)*(GJ[Ofc Code]=(TRIM(G$7)))*(GJ[Account Code]=(TRIM($D64))),GJ[Credit])))</f>
        <v>0</v>
      </c>
      <c r="H64" s="211">
        <f t="array" ref="H64">(SUM(IF((CkDJ[Date]=$A$4)*(CkDJ[Ofc Code]=(TRIM(H$7)))*(CkDJ[Account Code]=(TRIM($D64))),CkDJ[Debit])))+(SUM(IF((CsDJ[Date]=$A$4)*(CsDJ[Ofc Code]=(TRIM(H$7)))*(CsDJ[Account Code]=(TRIM($D64))),CsDJ[Debit])))+(SUM(IF((CRDJ[Date]=$A$4)*(CRDJ[Ofc Code]=(TRIM(H$7)))*(CRDJ[Account Code]=(TRIM($D64))),CRDJ[Debit])))+(SUM(IF((GJ[Date]=$A$4)*(GJ[Ofc Code]=(TRIM(H$7)))*(GJ[Account Code]=(TRIM($D64))),GJ[Debit])))-(SUM(IF((CkDJ[Date]=$A$4)*(CkDJ[Ofc Code]=(TRIM(H$7)))*(CkDJ[Account Code]=(TRIM($D64))),CkDJ[Credit])))+(SUM(IF((CsDJ[Date]=$A$4)*(CsDJ[Ofc Code]=(TRIM(H$7)))*(CsDJ[Account Code]=(TRIM($D64))),CsDJ[Credit])))+(SUM(IF((CRDJ[Date]=$A$4)*(CRDJ[Ofc Code]=(TRIM(H$7)))*(CRDJ[Account Code]=(TRIM($D64))),CRDJ[Credit])))+(SUM(IF((GJ[Date]=$A$4)*(GJ[Ofc Code]=(TRIM(H$7)))*(GJ[Account Code]=(TRIM($D64))),GJ[Credit])))</f>
        <v>0</v>
      </c>
      <c r="I64" s="211">
        <f t="shared" si="15"/>
        <v>0</v>
      </c>
      <c r="J64" s="211">
        <f t="array" ref="J64">(SUM(IF((CkDJ[Date]=$A$4)*(CkDJ[Ofc Code]=(TRIM(J$7)))*(CkDJ[Account Code]=(TRIM($D64))),CkDJ[Debit])))+(SUM(IF((CsDJ[Date]=$A$4)*(CsDJ[Ofc Code]=(TRIM(J$7)))*(CsDJ[Account Code]=(TRIM($D64))),CsDJ[Debit])))+(SUM(IF((CRDJ[Date]=$A$4)*(CRDJ[Ofc Code]=(TRIM(J$7)))*(CRDJ[Account Code]=(TRIM($D64))),CRDJ[Debit])))+(SUM(IF((GJ[Date]=$A$4)*(GJ[Ofc Code]=(TRIM(J$7)))*(GJ[Account Code]=(TRIM($D64))),GJ[Debit])))-(SUM(IF((CkDJ[Date]=$A$4)*(CkDJ[Ofc Code]=(TRIM(J$7)))*(CkDJ[Account Code]=(TRIM($D64))),CkDJ[Credit])))+(SUM(IF((CsDJ[Date]=$A$4)*(CsDJ[Ofc Code]=(TRIM(J$7)))*(CsDJ[Account Code]=(TRIM($D64))),CsDJ[Credit])))+(SUM(IF((CRDJ[Date]=$A$4)*(CRDJ[Ofc Code]=(TRIM(J$7)))*(CRDJ[Account Code]=(TRIM($D64))),CRDJ[Credit])))+(SUM(IF((GJ[Date]=$A$4)*(GJ[Ofc Code]=(TRIM(J$7)))*(GJ[Account Code]=(TRIM($D64))),GJ[Credit])))</f>
        <v>0</v>
      </c>
      <c r="K64" s="211">
        <f t="array" ref="K64">(SUM(IF((CkDJ[Date]=$A$4)*(CkDJ[Ofc Code]=(TRIM(K$7)))*(CkDJ[Account Code]=(TRIM($D64))),CkDJ[Debit])))+(SUM(IF((CsDJ[Date]=$A$4)*(CsDJ[Ofc Code]=(TRIM(K$7)))*(CsDJ[Account Code]=(TRIM($D64))),CsDJ[Debit])))+(SUM(IF((CRDJ[Date]=$A$4)*(CRDJ[Ofc Code]=(TRIM(K$7)))*(CRDJ[Account Code]=(TRIM($D64))),CRDJ[Debit])))+(SUM(IF((GJ[Date]=$A$4)*(GJ[Ofc Code]=(TRIM(K$7)))*(GJ[Account Code]=(TRIM($D64))),GJ[Debit])))-(SUM(IF((CkDJ[Date]=$A$4)*(CkDJ[Ofc Code]=(TRIM(K$7)))*(CkDJ[Account Code]=(TRIM($D64))),CkDJ[Credit])))+(SUM(IF((CsDJ[Date]=$A$4)*(CsDJ[Ofc Code]=(TRIM(K$7)))*(CsDJ[Account Code]=(TRIM($D64))),CsDJ[Credit])))+(SUM(IF((CRDJ[Date]=$A$4)*(CRDJ[Ofc Code]=(TRIM(K$7)))*(CRDJ[Account Code]=(TRIM($D64))),CRDJ[Credit])))+(SUM(IF((GJ[Date]=$A$4)*(GJ[Ofc Code]=(TRIM(K$7)))*(GJ[Account Code]=(TRIM($D64))),GJ[Credit])))</f>
        <v>0</v>
      </c>
      <c r="L64" s="211">
        <f t="array" ref="L64">(SUM(IF((CkDJ[Date]=$A$4)*(CkDJ[Ofc Code]=(TRIM(L$7)))*(CkDJ[Account Code]=(TRIM($D64))),CkDJ[Debit])))+(SUM(IF((CsDJ[Date]=$A$4)*(CsDJ[Ofc Code]=(TRIM(L$7)))*(CsDJ[Account Code]=(TRIM($D64))),CsDJ[Debit])))+(SUM(IF((CRDJ[Date]=$A$4)*(CRDJ[Ofc Code]=(TRIM(L$7)))*(CRDJ[Account Code]=(TRIM($D64))),CRDJ[Debit])))+(SUM(IF((GJ[Date]=$A$4)*(GJ[Ofc Code]=(TRIM(L$7)))*(GJ[Account Code]=(TRIM($D64))),GJ[Debit])))-(SUM(IF((CkDJ[Date]=$A$4)*(CkDJ[Ofc Code]=(TRIM(L$7)))*(CkDJ[Account Code]=(TRIM($D64))),CkDJ[Credit])))+(SUM(IF((CsDJ[Date]=$A$4)*(CsDJ[Ofc Code]=(TRIM(L$7)))*(CsDJ[Account Code]=(TRIM($D64))),CsDJ[Credit])))+(SUM(IF((CRDJ[Date]=$A$4)*(CRDJ[Ofc Code]=(TRIM(L$7)))*(CRDJ[Account Code]=(TRIM($D64))),CRDJ[Credit])))+(SUM(IF((GJ[Date]=$A$4)*(GJ[Ofc Code]=(TRIM(L$7)))*(GJ[Account Code]=(TRIM($D64))),GJ[Credit])))</f>
        <v>0</v>
      </c>
      <c r="M64" s="211">
        <f t="array" ref="M64">(SUM(IF((CkDJ[Date]=$A$4)*(CkDJ[Ofc Code]=(TRIM(M$7)))*(CkDJ[Account Code]=(TRIM($D64))),CkDJ[Debit])))+(SUM(IF((CsDJ[Date]=$A$4)*(CsDJ[Ofc Code]=(TRIM(M$7)))*(CsDJ[Account Code]=(TRIM($D64))),CsDJ[Debit])))+(SUM(IF((CRDJ[Date]=$A$4)*(CRDJ[Ofc Code]=(TRIM(M$7)))*(CRDJ[Account Code]=(TRIM($D64))),CRDJ[Debit])))+(SUM(IF((GJ[Date]=$A$4)*(GJ[Ofc Code]=(TRIM(M$7)))*(GJ[Account Code]=(TRIM($D64))),GJ[Debit])))-(SUM(IF((CkDJ[Date]=$A$4)*(CkDJ[Ofc Code]=(TRIM(M$7)))*(CkDJ[Account Code]=(TRIM($D64))),CkDJ[Credit])))+(SUM(IF((CsDJ[Date]=$A$4)*(CsDJ[Ofc Code]=(TRIM(M$7)))*(CsDJ[Account Code]=(TRIM($D64))),CsDJ[Credit])))+(SUM(IF((CRDJ[Date]=$A$4)*(CRDJ[Ofc Code]=(TRIM(M$7)))*(CRDJ[Account Code]=(TRIM($D64))),CRDJ[Credit])))+(SUM(IF((GJ[Date]=$A$4)*(GJ[Ofc Code]=(TRIM(M$7)))*(GJ[Account Code]=(TRIM($D64))),GJ[Credit])))</f>
        <v>0</v>
      </c>
      <c r="N64" s="211">
        <f t="shared" si="16"/>
        <v>0</v>
      </c>
      <c r="O64" s="211">
        <f t="array" ref="O64">(SUM(IF((CkDJ[Date]=$A$4)*(CkDJ[Ofc Code]=(TRIM(O$7)))*(CkDJ[Account Code]=(TRIM($D64))),CkDJ[Debit])))+(SUM(IF((CsDJ[Date]=$A$4)*(CsDJ[Ofc Code]=(TRIM(O$7)))*(CsDJ[Account Code]=(TRIM($D64))),CsDJ[Debit])))+(SUM(IF((CRDJ[Date]=$A$4)*(CRDJ[Ofc Code]=(TRIM(O$7)))*(CRDJ[Account Code]=(TRIM($D64))),CRDJ[Debit])))+(SUM(IF((GJ[Date]=$A$4)*(GJ[Ofc Code]=(TRIM(O$7)))*(GJ[Account Code]=(TRIM($D64))),GJ[Debit])))-(SUM(IF((CkDJ[Date]=$A$4)*(CkDJ[Ofc Code]=(TRIM(O$7)))*(CkDJ[Account Code]=(TRIM($D64))),CkDJ[Credit])))+(SUM(IF((CsDJ[Date]=$A$4)*(CsDJ[Ofc Code]=(TRIM(O$7)))*(CsDJ[Account Code]=(TRIM($D64))),CsDJ[Credit])))+(SUM(IF((CRDJ[Date]=$A$4)*(CRDJ[Ofc Code]=(TRIM(O$7)))*(CRDJ[Account Code]=(TRIM($D64))),CRDJ[Credit])))+(SUM(IF((GJ[Date]=$A$4)*(GJ[Ofc Code]=(TRIM(O$7)))*(GJ[Account Code]=(TRIM($D64))),GJ[Credit])))</f>
        <v>0</v>
      </c>
      <c r="P64" s="211">
        <f t="array" ref="P64">(SUM(IF((CkDJ[Date]=$A$4)*(CkDJ[Ofc Code]=(TRIM(P$7)))*(CkDJ[Account Code]=(TRIM($D64))),CkDJ[Debit])))+(SUM(IF((CsDJ[Date]=$A$4)*(CsDJ[Ofc Code]=(TRIM(P$7)))*(CsDJ[Account Code]=(TRIM($D64))),CsDJ[Debit])))+(SUM(IF((CRDJ[Date]=$A$4)*(CRDJ[Ofc Code]=(TRIM(P$7)))*(CRDJ[Account Code]=(TRIM($D64))),CRDJ[Debit])))+(SUM(IF((GJ[Date]=$A$4)*(GJ[Ofc Code]=(TRIM(P$7)))*(GJ[Account Code]=(TRIM($D64))),GJ[Debit])))-(SUM(IF((CkDJ[Date]=$A$4)*(CkDJ[Ofc Code]=(TRIM(P$7)))*(CkDJ[Account Code]=(TRIM($D64))),CkDJ[Credit])))+(SUM(IF((CsDJ[Date]=$A$4)*(CsDJ[Ofc Code]=(TRIM(P$7)))*(CsDJ[Account Code]=(TRIM($D64))),CsDJ[Credit])))+(SUM(IF((CRDJ[Date]=$A$4)*(CRDJ[Ofc Code]=(TRIM(P$7)))*(CRDJ[Account Code]=(TRIM($D64))),CRDJ[Credit])))+(SUM(IF((GJ[Date]=$A$4)*(GJ[Ofc Code]=(TRIM(P$7)))*(GJ[Account Code]=(TRIM($D64))),GJ[Credit])))</f>
        <v>0</v>
      </c>
      <c r="Q64" s="211">
        <f t="array" ref="Q64">(SUM(IF((CkDJ[Date]=$A$4)*(CkDJ[Ofc Code]=(TRIM(Q$7)))*(CkDJ[Account Code]=(TRIM($D64))),CkDJ[Debit])))+(SUM(IF((CsDJ[Date]=$A$4)*(CsDJ[Ofc Code]=(TRIM(Q$7)))*(CsDJ[Account Code]=(TRIM($D64))),CsDJ[Debit])))+(SUM(IF((CRDJ[Date]=$A$4)*(CRDJ[Ofc Code]=(TRIM(Q$7)))*(CRDJ[Account Code]=(TRIM($D64))),CRDJ[Debit])))+(SUM(IF((GJ[Date]=$A$4)*(GJ[Ofc Code]=(TRIM(Q$7)))*(GJ[Account Code]=(TRIM($D64))),GJ[Debit])))-(SUM(IF((CkDJ[Date]=$A$4)*(CkDJ[Ofc Code]=(TRIM(Q$7)))*(CkDJ[Account Code]=(TRIM($D64))),CkDJ[Credit])))+(SUM(IF((CsDJ[Date]=$A$4)*(CsDJ[Ofc Code]=(TRIM(Q$7)))*(CsDJ[Account Code]=(TRIM($D64))),CsDJ[Credit])))+(SUM(IF((CRDJ[Date]=$A$4)*(CRDJ[Ofc Code]=(TRIM(Q$7)))*(CRDJ[Account Code]=(TRIM($D64))),CRDJ[Credit])))+(SUM(IF((GJ[Date]=$A$4)*(GJ[Ofc Code]=(TRIM(Q$7)))*(GJ[Account Code]=(TRIM($D64))),GJ[Credit])))</f>
        <v>0</v>
      </c>
      <c r="R64" s="211">
        <f t="array" ref="R64">(SUM(IF((CkDJ[Date]=$A$4)*(CkDJ[Ofc Code]=(TRIM(R$7)))*(CkDJ[Account Code]=(TRIM($D64))),CkDJ[Debit])))+(SUM(IF((CsDJ[Date]=$A$4)*(CsDJ[Ofc Code]=(TRIM(R$7)))*(CsDJ[Account Code]=(TRIM($D64))),CsDJ[Debit])))+(SUM(IF((CRDJ[Date]=$A$4)*(CRDJ[Ofc Code]=(TRIM(R$7)))*(CRDJ[Account Code]=(TRIM($D64))),CRDJ[Debit])))+(SUM(IF((GJ[Date]=$A$4)*(GJ[Ofc Code]=(TRIM(R$7)))*(GJ[Account Code]=(TRIM($D64))),GJ[Debit])))-(SUM(IF((CkDJ[Date]=$A$4)*(CkDJ[Ofc Code]=(TRIM(R$7)))*(CkDJ[Account Code]=(TRIM($D64))),CkDJ[Credit])))+(SUM(IF((CsDJ[Date]=$A$4)*(CsDJ[Ofc Code]=(TRIM(R$7)))*(CsDJ[Account Code]=(TRIM($D64))),CsDJ[Credit])))+(SUM(IF((CRDJ[Date]=$A$4)*(CRDJ[Ofc Code]=(TRIM(R$7)))*(CRDJ[Account Code]=(TRIM($D64))),CRDJ[Credit])))+(SUM(IF((GJ[Date]=$A$4)*(GJ[Ofc Code]=(TRIM(R$7)))*(GJ[Account Code]=(TRIM($D64))),GJ[Credit])))</f>
        <v>0</v>
      </c>
      <c r="S64" s="211">
        <f t="array" ref="S64">(SUM(IF((CkDJ[Date]=$A$4)*(CkDJ[Ofc Code]=(TRIM(S$7)))*(CkDJ[Account Code]=(TRIM($D64))),CkDJ[Debit])))+(SUM(IF((CsDJ[Date]=$A$4)*(CsDJ[Ofc Code]=(TRIM(S$7)))*(CsDJ[Account Code]=(TRIM($D64))),CsDJ[Debit])))+(SUM(IF((CRDJ[Date]=$A$4)*(CRDJ[Ofc Code]=(TRIM(S$7)))*(CRDJ[Account Code]=(TRIM($D64))),CRDJ[Debit])))+(SUM(IF((GJ[Date]=$A$4)*(GJ[Ofc Code]=(TRIM(S$7)))*(GJ[Account Code]=(TRIM($D64))),GJ[Debit])))-(SUM(IF((CkDJ[Date]=$A$4)*(CkDJ[Ofc Code]=(TRIM(S$7)))*(CkDJ[Account Code]=(TRIM($D64))),CkDJ[Credit])))+(SUM(IF((CsDJ[Date]=$A$4)*(CsDJ[Ofc Code]=(TRIM(S$7)))*(CsDJ[Account Code]=(TRIM($D64))),CsDJ[Credit])))+(SUM(IF((CRDJ[Date]=$A$4)*(CRDJ[Ofc Code]=(TRIM(S$7)))*(CRDJ[Account Code]=(TRIM($D64))),CRDJ[Credit])))+(SUM(IF((GJ[Date]=$A$4)*(GJ[Ofc Code]=(TRIM(S$7)))*(GJ[Account Code]=(TRIM($D64))),GJ[Credit])))</f>
        <v>0</v>
      </c>
      <c r="T64" s="211">
        <f t="shared" si="17"/>
        <v>0</v>
      </c>
      <c r="U64" s="211">
        <f t="shared" si="18"/>
        <v>0</v>
      </c>
    </row>
    <row r="65" spans="1:22" ht="15" x14ac:dyDescent="0.25">
      <c r="A65" s="212">
        <f t="shared" si="19"/>
        <v>7</v>
      </c>
      <c r="B65" s="214" t="s">
        <v>756</v>
      </c>
      <c r="C65" s="194" t="str">
        <f t="shared" si="14"/>
        <v>Other Supplies and Materials Expenses</v>
      </c>
      <c r="D65" s="207">
        <v>765</v>
      </c>
      <c r="E65" s="211">
        <f t="array" ref="E65">(SUM(IF((CkDJ[Date]=$A$4)*(CkDJ[Ofc Code]=(TRIM(E$7)))*(CkDJ[Account Code]=(TRIM($D65))),CkDJ[Debit])))+(SUM(IF((CsDJ[Date]=$A$4)*(CsDJ[Ofc Code]=(TRIM(E$7)))*(CsDJ[Account Code]=(TRIM($D65))),CsDJ[Debit])))+(SUM(IF((CRDJ[Date]=$A$4)*(CRDJ[Ofc Code]=(TRIM(E$7)))*(CRDJ[Account Code]=(TRIM($D65))),CRDJ[Debit])))+(SUM(IF((GJ[Date]=$A$4)*(GJ[Ofc Code]=(TRIM(E$7)))*(GJ[Account Code]=(TRIM($D65))),GJ[Debit])))-(SUM(IF((CkDJ[Date]=$A$4)*(CkDJ[Ofc Code]=(TRIM(E$7)))*(CkDJ[Account Code]=(TRIM($D65))),CkDJ[Credit])))+(SUM(IF((CsDJ[Date]=$A$4)*(CsDJ[Ofc Code]=(TRIM(E$7)))*(CsDJ[Account Code]=(TRIM($D65))),CsDJ[Credit])))+(SUM(IF((CRDJ[Date]=$A$4)*(CRDJ[Ofc Code]=(TRIM(E$7)))*(CRDJ[Account Code]=(TRIM($D65))),CRDJ[Credit])))+(SUM(IF((GJ[Date]=$A$4)*(GJ[Ofc Code]=(TRIM(E$7)))*(GJ[Account Code]=(TRIM($D65))),GJ[Credit])))</f>
        <v>0</v>
      </c>
      <c r="F65" s="211">
        <f t="array" ref="F65">(SUM(IF((CkDJ[Date]=$A$4)*(CkDJ[Ofc Code]=(TRIM(F$7)))*(CkDJ[Account Code]=(TRIM($D65))),CkDJ[Debit])))+(SUM(IF((CsDJ[Date]=$A$4)*(CsDJ[Ofc Code]=(TRIM(F$7)))*(CsDJ[Account Code]=(TRIM($D65))),CsDJ[Debit])))+(SUM(IF((CRDJ[Date]=$A$4)*(CRDJ[Ofc Code]=(TRIM(F$7)))*(CRDJ[Account Code]=(TRIM($D65))),CRDJ[Debit])))+(SUM(IF((GJ[Date]=$A$4)*(GJ[Ofc Code]=(TRIM(F$7)))*(GJ[Account Code]=(TRIM($D65))),GJ[Debit])))-(SUM(IF((CkDJ[Date]=$A$4)*(CkDJ[Ofc Code]=(TRIM(F$7)))*(CkDJ[Account Code]=(TRIM($D65))),CkDJ[Credit])))+(SUM(IF((CsDJ[Date]=$A$4)*(CsDJ[Ofc Code]=(TRIM(F$7)))*(CsDJ[Account Code]=(TRIM($D65))),CsDJ[Credit])))+(SUM(IF((CRDJ[Date]=$A$4)*(CRDJ[Ofc Code]=(TRIM(F$7)))*(CRDJ[Account Code]=(TRIM($D65))),CRDJ[Credit])))+(SUM(IF((GJ[Date]=$A$4)*(GJ[Ofc Code]=(TRIM(F$7)))*(GJ[Account Code]=(TRIM($D65))),GJ[Credit])))</f>
        <v>0</v>
      </c>
      <c r="G65" s="211">
        <f t="array" ref="G65">(SUM(IF((CkDJ[Date]=$A$4)*(CkDJ[Ofc Code]=(TRIM(G$7)))*(CkDJ[Account Code]=(TRIM($D65))),CkDJ[Debit])))+(SUM(IF((CsDJ[Date]=$A$4)*(CsDJ[Ofc Code]=(TRIM(G$7)))*(CsDJ[Account Code]=(TRIM($D65))),CsDJ[Debit])))+(SUM(IF((CRDJ[Date]=$A$4)*(CRDJ[Ofc Code]=(TRIM(G$7)))*(CRDJ[Account Code]=(TRIM($D65))),CRDJ[Debit])))+(SUM(IF((GJ[Date]=$A$4)*(GJ[Ofc Code]=(TRIM(G$7)))*(GJ[Account Code]=(TRIM($D65))),GJ[Debit])))-(SUM(IF((CkDJ[Date]=$A$4)*(CkDJ[Ofc Code]=(TRIM(G$7)))*(CkDJ[Account Code]=(TRIM($D65))),CkDJ[Credit])))+(SUM(IF((CsDJ[Date]=$A$4)*(CsDJ[Ofc Code]=(TRIM(G$7)))*(CsDJ[Account Code]=(TRIM($D65))),CsDJ[Credit])))+(SUM(IF((CRDJ[Date]=$A$4)*(CRDJ[Ofc Code]=(TRIM(G$7)))*(CRDJ[Account Code]=(TRIM($D65))),CRDJ[Credit])))+(SUM(IF((GJ[Date]=$A$4)*(GJ[Ofc Code]=(TRIM(G$7)))*(GJ[Account Code]=(TRIM($D65))),GJ[Credit])))</f>
        <v>0</v>
      </c>
      <c r="H65" s="211">
        <f t="array" ref="H65">(SUM(IF((CkDJ[Date]=$A$4)*(CkDJ[Ofc Code]=(TRIM(H$7)))*(CkDJ[Account Code]=(TRIM($D65))),CkDJ[Debit])))+(SUM(IF((CsDJ[Date]=$A$4)*(CsDJ[Ofc Code]=(TRIM(H$7)))*(CsDJ[Account Code]=(TRIM($D65))),CsDJ[Debit])))+(SUM(IF((CRDJ[Date]=$A$4)*(CRDJ[Ofc Code]=(TRIM(H$7)))*(CRDJ[Account Code]=(TRIM($D65))),CRDJ[Debit])))+(SUM(IF((GJ[Date]=$A$4)*(GJ[Ofc Code]=(TRIM(H$7)))*(GJ[Account Code]=(TRIM($D65))),GJ[Debit])))-(SUM(IF((CkDJ[Date]=$A$4)*(CkDJ[Ofc Code]=(TRIM(H$7)))*(CkDJ[Account Code]=(TRIM($D65))),CkDJ[Credit])))+(SUM(IF((CsDJ[Date]=$A$4)*(CsDJ[Ofc Code]=(TRIM(H$7)))*(CsDJ[Account Code]=(TRIM($D65))),CsDJ[Credit])))+(SUM(IF((CRDJ[Date]=$A$4)*(CRDJ[Ofc Code]=(TRIM(H$7)))*(CRDJ[Account Code]=(TRIM($D65))),CRDJ[Credit])))+(SUM(IF((GJ[Date]=$A$4)*(GJ[Ofc Code]=(TRIM(H$7)))*(GJ[Account Code]=(TRIM($D65))),GJ[Credit])))</f>
        <v>0</v>
      </c>
      <c r="I65" s="211">
        <f t="shared" si="15"/>
        <v>0</v>
      </c>
      <c r="J65" s="211">
        <f t="array" ref="J65">(SUM(IF((CkDJ[Date]=$A$4)*(CkDJ[Ofc Code]=(TRIM(J$7)))*(CkDJ[Account Code]=(TRIM($D65))),CkDJ[Debit])))+(SUM(IF((CsDJ[Date]=$A$4)*(CsDJ[Ofc Code]=(TRIM(J$7)))*(CsDJ[Account Code]=(TRIM($D65))),CsDJ[Debit])))+(SUM(IF((CRDJ[Date]=$A$4)*(CRDJ[Ofc Code]=(TRIM(J$7)))*(CRDJ[Account Code]=(TRIM($D65))),CRDJ[Debit])))+(SUM(IF((GJ[Date]=$A$4)*(GJ[Ofc Code]=(TRIM(J$7)))*(GJ[Account Code]=(TRIM($D65))),GJ[Debit])))-(SUM(IF((CkDJ[Date]=$A$4)*(CkDJ[Ofc Code]=(TRIM(J$7)))*(CkDJ[Account Code]=(TRIM($D65))),CkDJ[Credit])))+(SUM(IF((CsDJ[Date]=$A$4)*(CsDJ[Ofc Code]=(TRIM(J$7)))*(CsDJ[Account Code]=(TRIM($D65))),CsDJ[Credit])))+(SUM(IF((CRDJ[Date]=$A$4)*(CRDJ[Ofc Code]=(TRIM(J$7)))*(CRDJ[Account Code]=(TRIM($D65))),CRDJ[Credit])))+(SUM(IF((GJ[Date]=$A$4)*(GJ[Ofc Code]=(TRIM(J$7)))*(GJ[Account Code]=(TRIM($D65))),GJ[Credit])))</f>
        <v>0</v>
      </c>
      <c r="K65" s="211">
        <f t="array" ref="K65">(SUM(IF((CkDJ[Date]=$A$4)*(CkDJ[Ofc Code]=(TRIM(K$7)))*(CkDJ[Account Code]=(TRIM($D65))),CkDJ[Debit])))+(SUM(IF((CsDJ[Date]=$A$4)*(CsDJ[Ofc Code]=(TRIM(K$7)))*(CsDJ[Account Code]=(TRIM($D65))),CsDJ[Debit])))+(SUM(IF((CRDJ[Date]=$A$4)*(CRDJ[Ofc Code]=(TRIM(K$7)))*(CRDJ[Account Code]=(TRIM($D65))),CRDJ[Debit])))+(SUM(IF((GJ[Date]=$A$4)*(GJ[Ofc Code]=(TRIM(K$7)))*(GJ[Account Code]=(TRIM($D65))),GJ[Debit])))-(SUM(IF((CkDJ[Date]=$A$4)*(CkDJ[Ofc Code]=(TRIM(K$7)))*(CkDJ[Account Code]=(TRIM($D65))),CkDJ[Credit])))+(SUM(IF((CsDJ[Date]=$A$4)*(CsDJ[Ofc Code]=(TRIM(K$7)))*(CsDJ[Account Code]=(TRIM($D65))),CsDJ[Credit])))+(SUM(IF((CRDJ[Date]=$A$4)*(CRDJ[Ofc Code]=(TRIM(K$7)))*(CRDJ[Account Code]=(TRIM($D65))),CRDJ[Credit])))+(SUM(IF((GJ[Date]=$A$4)*(GJ[Ofc Code]=(TRIM(K$7)))*(GJ[Account Code]=(TRIM($D65))),GJ[Credit])))</f>
        <v>0</v>
      </c>
      <c r="L65" s="211">
        <f t="array" ref="L65">(SUM(IF((CkDJ[Date]=$A$4)*(CkDJ[Ofc Code]=(TRIM(L$7)))*(CkDJ[Account Code]=(TRIM($D65))),CkDJ[Debit])))+(SUM(IF((CsDJ[Date]=$A$4)*(CsDJ[Ofc Code]=(TRIM(L$7)))*(CsDJ[Account Code]=(TRIM($D65))),CsDJ[Debit])))+(SUM(IF((CRDJ[Date]=$A$4)*(CRDJ[Ofc Code]=(TRIM(L$7)))*(CRDJ[Account Code]=(TRIM($D65))),CRDJ[Debit])))+(SUM(IF((GJ[Date]=$A$4)*(GJ[Ofc Code]=(TRIM(L$7)))*(GJ[Account Code]=(TRIM($D65))),GJ[Debit])))-(SUM(IF((CkDJ[Date]=$A$4)*(CkDJ[Ofc Code]=(TRIM(L$7)))*(CkDJ[Account Code]=(TRIM($D65))),CkDJ[Credit])))+(SUM(IF((CsDJ[Date]=$A$4)*(CsDJ[Ofc Code]=(TRIM(L$7)))*(CsDJ[Account Code]=(TRIM($D65))),CsDJ[Credit])))+(SUM(IF((CRDJ[Date]=$A$4)*(CRDJ[Ofc Code]=(TRIM(L$7)))*(CRDJ[Account Code]=(TRIM($D65))),CRDJ[Credit])))+(SUM(IF((GJ[Date]=$A$4)*(GJ[Ofc Code]=(TRIM(L$7)))*(GJ[Account Code]=(TRIM($D65))),GJ[Credit])))</f>
        <v>0</v>
      </c>
      <c r="M65" s="211">
        <f t="array" ref="M65">(SUM(IF((CkDJ[Date]=$A$4)*(CkDJ[Ofc Code]=(TRIM(M$7)))*(CkDJ[Account Code]=(TRIM($D65))),CkDJ[Debit])))+(SUM(IF((CsDJ[Date]=$A$4)*(CsDJ[Ofc Code]=(TRIM(M$7)))*(CsDJ[Account Code]=(TRIM($D65))),CsDJ[Debit])))+(SUM(IF((CRDJ[Date]=$A$4)*(CRDJ[Ofc Code]=(TRIM(M$7)))*(CRDJ[Account Code]=(TRIM($D65))),CRDJ[Debit])))+(SUM(IF((GJ[Date]=$A$4)*(GJ[Ofc Code]=(TRIM(M$7)))*(GJ[Account Code]=(TRIM($D65))),GJ[Debit])))-(SUM(IF((CkDJ[Date]=$A$4)*(CkDJ[Ofc Code]=(TRIM(M$7)))*(CkDJ[Account Code]=(TRIM($D65))),CkDJ[Credit])))+(SUM(IF((CsDJ[Date]=$A$4)*(CsDJ[Ofc Code]=(TRIM(M$7)))*(CsDJ[Account Code]=(TRIM($D65))),CsDJ[Credit])))+(SUM(IF((CRDJ[Date]=$A$4)*(CRDJ[Ofc Code]=(TRIM(M$7)))*(CRDJ[Account Code]=(TRIM($D65))),CRDJ[Credit])))+(SUM(IF((GJ[Date]=$A$4)*(GJ[Ofc Code]=(TRIM(M$7)))*(GJ[Account Code]=(TRIM($D65))),GJ[Credit])))</f>
        <v>0</v>
      </c>
      <c r="N65" s="211">
        <f t="shared" si="16"/>
        <v>0</v>
      </c>
      <c r="O65" s="211">
        <f t="array" ref="O65">(SUM(IF((CkDJ[Date]=$A$4)*(CkDJ[Ofc Code]=(TRIM(O$7)))*(CkDJ[Account Code]=(TRIM($D65))),CkDJ[Debit])))+(SUM(IF((CsDJ[Date]=$A$4)*(CsDJ[Ofc Code]=(TRIM(O$7)))*(CsDJ[Account Code]=(TRIM($D65))),CsDJ[Debit])))+(SUM(IF((CRDJ[Date]=$A$4)*(CRDJ[Ofc Code]=(TRIM(O$7)))*(CRDJ[Account Code]=(TRIM($D65))),CRDJ[Debit])))+(SUM(IF((GJ[Date]=$A$4)*(GJ[Ofc Code]=(TRIM(O$7)))*(GJ[Account Code]=(TRIM($D65))),GJ[Debit])))-(SUM(IF((CkDJ[Date]=$A$4)*(CkDJ[Ofc Code]=(TRIM(O$7)))*(CkDJ[Account Code]=(TRIM($D65))),CkDJ[Credit])))+(SUM(IF((CsDJ[Date]=$A$4)*(CsDJ[Ofc Code]=(TRIM(O$7)))*(CsDJ[Account Code]=(TRIM($D65))),CsDJ[Credit])))+(SUM(IF((CRDJ[Date]=$A$4)*(CRDJ[Ofc Code]=(TRIM(O$7)))*(CRDJ[Account Code]=(TRIM($D65))),CRDJ[Credit])))+(SUM(IF((GJ[Date]=$A$4)*(GJ[Ofc Code]=(TRIM(O$7)))*(GJ[Account Code]=(TRIM($D65))),GJ[Credit])))</f>
        <v>0</v>
      </c>
      <c r="P65" s="211">
        <f t="array" ref="P65">(SUM(IF((CkDJ[Date]=$A$4)*(CkDJ[Ofc Code]=(TRIM(P$7)))*(CkDJ[Account Code]=(TRIM($D65))),CkDJ[Debit])))+(SUM(IF((CsDJ[Date]=$A$4)*(CsDJ[Ofc Code]=(TRIM(P$7)))*(CsDJ[Account Code]=(TRIM($D65))),CsDJ[Debit])))+(SUM(IF((CRDJ[Date]=$A$4)*(CRDJ[Ofc Code]=(TRIM(P$7)))*(CRDJ[Account Code]=(TRIM($D65))),CRDJ[Debit])))+(SUM(IF((GJ[Date]=$A$4)*(GJ[Ofc Code]=(TRIM(P$7)))*(GJ[Account Code]=(TRIM($D65))),GJ[Debit])))-(SUM(IF((CkDJ[Date]=$A$4)*(CkDJ[Ofc Code]=(TRIM(P$7)))*(CkDJ[Account Code]=(TRIM($D65))),CkDJ[Credit])))+(SUM(IF((CsDJ[Date]=$A$4)*(CsDJ[Ofc Code]=(TRIM(P$7)))*(CsDJ[Account Code]=(TRIM($D65))),CsDJ[Credit])))+(SUM(IF((CRDJ[Date]=$A$4)*(CRDJ[Ofc Code]=(TRIM(P$7)))*(CRDJ[Account Code]=(TRIM($D65))),CRDJ[Credit])))+(SUM(IF((GJ[Date]=$A$4)*(GJ[Ofc Code]=(TRIM(P$7)))*(GJ[Account Code]=(TRIM($D65))),GJ[Credit])))</f>
        <v>0</v>
      </c>
      <c r="Q65" s="211">
        <f t="array" ref="Q65">(SUM(IF((CkDJ[Date]=$A$4)*(CkDJ[Ofc Code]=(TRIM(Q$7)))*(CkDJ[Account Code]=(TRIM($D65))),CkDJ[Debit])))+(SUM(IF((CsDJ[Date]=$A$4)*(CsDJ[Ofc Code]=(TRIM(Q$7)))*(CsDJ[Account Code]=(TRIM($D65))),CsDJ[Debit])))+(SUM(IF((CRDJ[Date]=$A$4)*(CRDJ[Ofc Code]=(TRIM(Q$7)))*(CRDJ[Account Code]=(TRIM($D65))),CRDJ[Debit])))+(SUM(IF((GJ[Date]=$A$4)*(GJ[Ofc Code]=(TRIM(Q$7)))*(GJ[Account Code]=(TRIM($D65))),GJ[Debit])))-(SUM(IF((CkDJ[Date]=$A$4)*(CkDJ[Ofc Code]=(TRIM(Q$7)))*(CkDJ[Account Code]=(TRIM($D65))),CkDJ[Credit])))+(SUM(IF((CsDJ[Date]=$A$4)*(CsDJ[Ofc Code]=(TRIM(Q$7)))*(CsDJ[Account Code]=(TRIM($D65))),CsDJ[Credit])))+(SUM(IF((CRDJ[Date]=$A$4)*(CRDJ[Ofc Code]=(TRIM(Q$7)))*(CRDJ[Account Code]=(TRIM($D65))),CRDJ[Credit])))+(SUM(IF((GJ[Date]=$A$4)*(GJ[Ofc Code]=(TRIM(Q$7)))*(GJ[Account Code]=(TRIM($D65))),GJ[Credit])))</f>
        <v>0</v>
      </c>
      <c r="R65" s="211">
        <f t="array" ref="R65">(SUM(IF((CkDJ[Date]=$A$4)*(CkDJ[Ofc Code]=(TRIM(R$7)))*(CkDJ[Account Code]=(TRIM($D65))),CkDJ[Debit])))+(SUM(IF((CsDJ[Date]=$A$4)*(CsDJ[Ofc Code]=(TRIM(R$7)))*(CsDJ[Account Code]=(TRIM($D65))),CsDJ[Debit])))+(SUM(IF((CRDJ[Date]=$A$4)*(CRDJ[Ofc Code]=(TRIM(R$7)))*(CRDJ[Account Code]=(TRIM($D65))),CRDJ[Debit])))+(SUM(IF((GJ[Date]=$A$4)*(GJ[Ofc Code]=(TRIM(R$7)))*(GJ[Account Code]=(TRIM($D65))),GJ[Debit])))-(SUM(IF((CkDJ[Date]=$A$4)*(CkDJ[Ofc Code]=(TRIM(R$7)))*(CkDJ[Account Code]=(TRIM($D65))),CkDJ[Credit])))+(SUM(IF((CsDJ[Date]=$A$4)*(CsDJ[Ofc Code]=(TRIM(R$7)))*(CsDJ[Account Code]=(TRIM($D65))),CsDJ[Credit])))+(SUM(IF((CRDJ[Date]=$A$4)*(CRDJ[Ofc Code]=(TRIM(R$7)))*(CRDJ[Account Code]=(TRIM($D65))),CRDJ[Credit])))+(SUM(IF((GJ[Date]=$A$4)*(GJ[Ofc Code]=(TRIM(R$7)))*(GJ[Account Code]=(TRIM($D65))),GJ[Credit])))</f>
        <v>0</v>
      </c>
      <c r="S65" s="211">
        <f t="array" ref="S65">(SUM(IF((CkDJ[Date]=$A$4)*(CkDJ[Ofc Code]=(TRIM(S$7)))*(CkDJ[Account Code]=(TRIM($D65))),CkDJ[Debit])))+(SUM(IF((CsDJ[Date]=$A$4)*(CsDJ[Ofc Code]=(TRIM(S$7)))*(CsDJ[Account Code]=(TRIM($D65))),CsDJ[Debit])))+(SUM(IF((CRDJ[Date]=$A$4)*(CRDJ[Ofc Code]=(TRIM(S$7)))*(CRDJ[Account Code]=(TRIM($D65))),CRDJ[Debit])))+(SUM(IF((GJ[Date]=$A$4)*(GJ[Ofc Code]=(TRIM(S$7)))*(GJ[Account Code]=(TRIM($D65))),GJ[Debit])))-(SUM(IF((CkDJ[Date]=$A$4)*(CkDJ[Ofc Code]=(TRIM(S$7)))*(CkDJ[Account Code]=(TRIM($D65))),CkDJ[Credit])))+(SUM(IF((CsDJ[Date]=$A$4)*(CsDJ[Ofc Code]=(TRIM(S$7)))*(CsDJ[Account Code]=(TRIM($D65))),CsDJ[Credit])))+(SUM(IF((CRDJ[Date]=$A$4)*(CRDJ[Ofc Code]=(TRIM(S$7)))*(CRDJ[Account Code]=(TRIM($D65))),CRDJ[Credit])))+(SUM(IF((GJ[Date]=$A$4)*(GJ[Ofc Code]=(TRIM(S$7)))*(GJ[Account Code]=(TRIM($D65))),GJ[Credit])))</f>
        <v>0</v>
      </c>
      <c r="T65" s="211">
        <f t="shared" si="17"/>
        <v>0</v>
      </c>
      <c r="U65" s="211">
        <f t="shared" si="18"/>
        <v>0</v>
      </c>
    </row>
    <row r="66" spans="1:22" ht="15" x14ac:dyDescent="0.25">
      <c r="A66" s="212">
        <f t="shared" si="19"/>
        <v>8</v>
      </c>
      <c r="B66" s="214" t="s">
        <v>756</v>
      </c>
      <c r="C66" s="194" t="str">
        <f t="shared" si="14"/>
        <v>Water Expenses</v>
      </c>
      <c r="D66" s="207">
        <v>766</v>
      </c>
      <c r="E66" s="211">
        <f t="array" ref="E66">(SUM(IF((CkDJ[Date]=$A$4)*(CkDJ[Ofc Code]=(TRIM(E$7)))*(CkDJ[Account Code]=(TRIM($D66))),CkDJ[Debit])))+(SUM(IF((CsDJ[Date]=$A$4)*(CsDJ[Ofc Code]=(TRIM(E$7)))*(CsDJ[Account Code]=(TRIM($D66))),CsDJ[Debit])))+(SUM(IF((CRDJ[Date]=$A$4)*(CRDJ[Ofc Code]=(TRIM(E$7)))*(CRDJ[Account Code]=(TRIM($D66))),CRDJ[Debit])))+(SUM(IF((GJ[Date]=$A$4)*(GJ[Ofc Code]=(TRIM(E$7)))*(GJ[Account Code]=(TRIM($D66))),GJ[Debit])))-(SUM(IF((CkDJ[Date]=$A$4)*(CkDJ[Ofc Code]=(TRIM(E$7)))*(CkDJ[Account Code]=(TRIM($D66))),CkDJ[Credit])))+(SUM(IF((CsDJ[Date]=$A$4)*(CsDJ[Ofc Code]=(TRIM(E$7)))*(CsDJ[Account Code]=(TRIM($D66))),CsDJ[Credit])))+(SUM(IF((CRDJ[Date]=$A$4)*(CRDJ[Ofc Code]=(TRIM(E$7)))*(CRDJ[Account Code]=(TRIM($D66))),CRDJ[Credit])))+(SUM(IF((GJ[Date]=$A$4)*(GJ[Ofc Code]=(TRIM(E$7)))*(GJ[Account Code]=(TRIM($D66))),GJ[Credit])))</f>
        <v>0</v>
      </c>
      <c r="F66" s="211">
        <f t="array" ref="F66">(SUM(IF((CkDJ[Date]=$A$4)*(CkDJ[Ofc Code]=(TRIM(F$7)))*(CkDJ[Account Code]=(TRIM($D66))),CkDJ[Debit])))+(SUM(IF((CsDJ[Date]=$A$4)*(CsDJ[Ofc Code]=(TRIM(F$7)))*(CsDJ[Account Code]=(TRIM($D66))),CsDJ[Debit])))+(SUM(IF((CRDJ[Date]=$A$4)*(CRDJ[Ofc Code]=(TRIM(F$7)))*(CRDJ[Account Code]=(TRIM($D66))),CRDJ[Debit])))+(SUM(IF((GJ[Date]=$A$4)*(GJ[Ofc Code]=(TRIM(F$7)))*(GJ[Account Code]=(TRIM($D66))),GJ[Debit])))-(SUM(IF((CkDJ[Date]=$A$4)*(CkDJ[Ofc Code]=(TRIM(F$7)))*(CkDJ[Account Code]=(TRIM($D66))),CkDJ[Credit])))+(SUM(IF((CsDJ[Date]=$A$4)*(CsDJ[Ofc Code]=(TRIM(F$7)))*(CsDJ[Account Code]=(TRIM($D66))),CsDJ[Credit])))+(SUM(IF((CRDJ[Date]=$A$4)*(CRDJ[Ofc Code]=(TRIM(F$7)))*(CRDJ[Account Code]=(TRIM($D66))),CRDJ[Credit])))+(SUM(IF((GJ[Date]=$A$4)*(GJ[Ofc Code]=(TRIM(F$7)))*(GJ[Account Code]=(TRIM($D66))),GJ[Credit])))</f>
        <v>0</v>
      </c>
      <c r="G66" s="211">
        <f t="array" ref="G66">(SUM(IF((CkDJ[Date]=$A$4)*(CkDJ[Ofc Code]=(TRIM(G$7)))*(CkDJ[Account Code]=(TRIM($D66))),CkDJ[Debit])))+(SUM(IF((CsDJ[Date]=$A$4)*(CsDJ[Ofc Code]=(TRIM(G$7)))*(CsDJ[Account Code]=(TRIM($D66))),CsDJ[Debit])))+(SUM(IF((CRDJ[Date]=$A$4)*(CRDJ[Ofc Code]=(TRIM(G$7)))*(CRDJ[Account Code]=(TRIM($D66))),CRDJ[Debit])))+(SUM(IF((GJ[Date]=$A$4)*(GJ[Ofc Code]=(TRIM(G$7)))*(GJ[Account Code]=(TRIM($D66))),GJ[Debit])))-(SUM(IF((CkDJ[Date]=$A$4)*(CkDJ[Ofc Code]=(TRIM(G$7)))*(CkDJ[Account Code]=(TRIM($D66))),CkDJ[Credit])))+(SUM(IF((CsDJ[Date]=$A$4)*(CsDJ[Ofc Code]=(TRIM(G$7)))*(CsDJ[Account Code]=(TRIM($D66))),CsDJ[Credit])))+(SUM(IF((CRDJ[Date]=$A$4)*(CRDJ[Ofc Code]=(TRIM(G$7)))*(CRDJ[Account Code]=(TRIM($D66))),CRDJ[Credit])))+(SUM(IF((GJ[Date]=$A$4)*(GJ[Ofc Code]=(TRIM(G$7)))*(GJ[Account Code]=(TRIM($D66))),GJ[Credit])))</f>
        <v>0</v>
      </c>
      <c r="H66" s="211">
        <f t="array" ref="H66">(SUM(IF((CkDJ[Date]=$A$4)*(CkDJ[Ofc Code]=(TRIM(H$7)))*(CkDJ[Account Code]=(TRIM($D66))),CkDJ[Debit])))+(SUM(IF((CsDJ[Date]=$A$4)*(CsDJ[Ofc Code]=(TRIM(H$7)))*(CsDJ[Account Code]=(TRIM($D66))),CsDJ[Debit])))+(SUM(IF((CRDJ[Date]=$A$4)*(CRDJ[Ofc Code]=(TRIM(H$7)))*(CRDJ[Account Code]=(TRIM($D66))),CRDJ[Debit])))+(SUM(IF((GJ[Date]=$A$4)*(GJ[Ofc Code]=(TRIM(H$7)))*(GJ[Account Code]=(TRIM($D66))),GJ[Debit])))-(SUM(IF((CkDJ[Date]=$A$4)*(CkDJ[Ofc Code]=(TRIM(H$7)))*(CkDJ[Account Code]=(TRIM($D66))),CkDJ[Credit])))+(SUM(IF((CsDJ[Date]=$A$4)*(CsDJ[Ofc Code]=(TRIM(H$7)))*(CsDJ[Account Code]=(TRIM($D66))),CsDJ[Credit])))+(SUM(IF((CRDJ[Date]=$A$4)*(CRDJ[Ofc Code]=(TRIM(H$7)))*(CRDJ[Account Code]=(TRIM($D66))),CRDJ[Credit])))+(SUM(IF((GJ[Date]=$A$4)*(GJ[Ofc Code]=(TRIM(H$7)))*(GJ[Account Code]=(TRIM($D66))),GJ[Credit])))</f>
        <v>0</v>
      </c>
      <c r="I66" s="211">
        <f t="shared" si="15"/>
        <v>0</v>
      </c>
      <c r="J66" s="211">
        <f t="array" ref="J66">(SUM(IF((CkDJ[Date]=$A$4)*(CkDJ[Ofc Code]=(TRIM(J$7)))*(CkDJ[Account Code]=(TRIM($D66))),CkDJ[Debit])))+(SUM(IF((CsDJ[Date]=$A$4)*(CsDJ[Ofc Code]=(TRIM(J$7)))*(CsDJ[Account Code]=(TRIM($D66))),CsDJ[Debit])))+(SUM(IF((CRDJ[Date]=$A$4)*(CRDJ[Ofc Code]=(TRIM(J$7)))*(CRDJ[Account Code]=(TRIM($D66))),CRDJ[Debit])))+(SUM(IF((GJ[Date]=$A$4)*(GJ[Ofc Code]=(TRIM(J$7)))*(GJ[Account Code]=(TRIM($D66))),GJ[Debit])))-(SUM(IF((CkDJ[Date]=$A$4)*(CkDJ[Ofc Code]=(TRIM(J$7)))*(CkDJ[Account Code]=(TRIM($D66))),CkDJ[Credit])))+(SUM(IF((CsDJ[Date]=$A$4)*(CsDJ[Ofc Code]=(TRIM(J$7)))*(CsDJ[Account Code]=(TRIM($D66))),CsDJ[Credit])))+(SUM(IF((CRDJ[Date]=$A$4)*(CRDJ[Ofc Code]=(TRIM(J$7)))*(CRDJ[Account Code]=(TRIM($D66))),CRDJ[Credit])))+(SUM(IF((GJ[Date]=$A$4)*(GJ[Ofc Code]=(TRIM(J$7)))*(GJ[Account Code]=(TRIM($D66))),GJ[Credit])))</f>
        <v>0</v>
      </c>
      <c r="K66" s="211">
        <f t="array" ref="K66">(SUM(IF((CkDJ[Date]=$A$4)*(CkDJ[Ofc Code]=(TRIM(K$7)))*(CkDJ[Account Code]=(TRIM($D66))),CkDJ[Debit])))+(SUM(IF((CsDJ[Date]=$A$4)*(CsDJ[Ofc Code]=(TRIM(K$7)))*(CsDJ[Account Code]=(TRIM($D66))),CsDJ[Debit])))+(SUM(IF((CRDJ[Date]=$A$4)*(CRDJ[Ofc Code]=(TRIM(K$7)))*(CRDJ[Account Code]=(TRIM($D66))),CRDJ[Debit])))+(SUM(IF((GJ[Date]=$A$4)*(GJ[Ofc Code]=(TRIM(K$7)))*(GJ[Account Code]=(TRIM($D66))),GJ[Debit])))-(SUM(IF((CkDJ[Date]=$A$4)*(CkDJ[Ofc Code]=(TRIM(K$7)))*(CkDJ[Account Code]=(TRIM($D66))),CkDJ[Credit])))+(SUM(IF((CsDJ[Date]=$A$4)*(CsDJ[Ofc Code]=(TRIM(K$7)))*(CsDJ[Account Code]=(TRIM($D66))),CsDJ[Credit])))+(SUM(IF((CRDJ[Date]=$A$4)*(CRDJ[Ofc Code]=(TRIM(K$7)))*(CRDJ[Account Code]=(TRIM($D66))),CRDJ[Credit])))+(SUM(IF((GJ[Date]=$A$4)*(GJ[Ofc Code]=(TRIM(K$7)))*(GJ[Account Code]=(TRIM($D66))),GJ[Credit])))</f>
        <v>0</v>
      </c>
      <c r="L66" s="211">
        <f t="array" ref="L66">(SUM(IF((CkDJ[Date]=$A$4)*(CkDJ[Ofc Code]=(TRIM(L$7)))*(CkDJ[Account Code]=(TRIM($D66))),CkDJ[Debit])))+(SUM(IF((CsDJ[Date]=$A$4)*(CsDJ[Ofc Code]=(TRIM(L$7)))*(CsDJ[Account Code]=(TRIM($D66))),CsDJ[Debit])))+(SUM(IF((CRDJ[Date]=$A$4)*(CRDJ[Ofc Code]=(TRIM(L$7)))*(CRDJ[Account Code]=(TRIM($D66))),CRDJ[Debit])))+(SUM(IF((GJ[Date]=$A$4)*(GJ[Ofc Code]=(TRIM(L$7)))*(GJ[Account Code]=(TRIM($D66))),GJ[Debit])))-(SUM(IF((CkDJ[Date]=$A$4)*(CkDJ[Ofc Code]=(TRIM(L$7)))*(CkDJ[Account Code]=(TRIM($D66))),CkDJ[Credit])))+(SUM(IF((CsDJ[Date]=$A$4)*(CsDJ[Ofc Code]=(TRIM(L$7)))*(CsDJ[Account Code]=(TRIM($D66))),CsDJ[Credit])))+(SUM(IF((CRDJ[Date]=$A$4)*(CRDJ[Ofc Code]=(TRIM(L$7)))*(CRDJ[Account Code]=(TRIM($D66))),CRDJ[Credit])))+(SUM(IF((GJ[Date]=$A$4)*(GJ[Ofc Code]=(TRIM(L$7)))*(GJ[Account Code]=(TRIM($D66))),GJ[Credit])))</f>
        <v>0</v>
      </c>
      <c r="M66" s="211">
        <f t="array" ref="M66">(SUM(IF((CkDJ[Date]=$A$4)*(CkDJ[Ofc Code]=(TRIM(M$7)))*(CkDJ[Account Code]=(TRIM($D66))),CkDJ[Debit])))+(SUM(IF((CsDJ[Date]=$A$4)*(CsDJ[Ofc Code]=(TRIM(M$7)))*(CsDJ[Account Code]=(TRIM($D66))),CsDJ[Debit])))+(SUM(IF((CRDJ[Date]=$A$4)*(CRDJ[Ofc Code]=(TRIM(M$7)))*(CRDJ[Account Code]=(TRIM($D66))),CRDJ[Debit])))+(SUM(IF((GJ[Date]=$A$4)*(GJ[Ofc Code]=(TRIM(M$7)))*(GJ[Account Code]=(TRIM($D66))),GJ[Debit])))-(SUM(IF((CkDJ[Date]=$A$4)*(CkDJ[Ofc Code]=(TRIM(M$7)))*(CkDJ[Account Code]=(TRIM($D66))),CkDJ[Credit])))+(SUM(IF((CsDJ[Date]=$A$4)*(CsDJ[Ofc Code]=(TRIM(M$7)))*(CsDJ[Account Code]=(TRIM($D66))),CsDJ[Credit])))+(SUM(IF((CRDJ[Date]=$A$4)*(CRDJ[Ofc Code]=(TRIM(M$7)))*(CRDJ[Account Code]=(TRIM($D66))),CRDJ[Credit])))+(SUM(IF((GJ[Date]=$A$4)*(GJ[Ofc Code]=(TRIM(M$7)))*(GJ[Account Code]=(TRIM($D66))),GJ[Credit])))</f>
        <v>0</v>
      </c>
      <c r="N66" s="211">
        <f t="shared" si="16"/>
        <v>0</v>
      </c>
      <c r="O66" s="211">
        <f t="array" ref="O66">(SUM(IF((CkDJ[Date]=$A$4)*(CkDJ[Ofc Code]=(TRIM(O$7)))*(CkDJ[Account Code]=(TRIM($D66))),CkDJ[Debit])))+(SUM(IF((CsDJ[Date]=$A$4)*(CsDJ[Ofc Code]=(TRIM(O$7)))*(CsDJ[Account Code]=(TRIM($D66))),CsDJ[Debit])))+(SUM(IF((CRDJ[Date]=$A$4)*(CRDJ[Ofc Code]=(TRIM(O$7)))*(CRDJ[Account Code]=(TRIM($D66))),CRDJ[Debit])))+(SUM(IF((GJ[Date]=$A$4)*(GJ[Ofc Code]=(TRIM(O$7)))*(GJ[Account Code]=(TRIM($D66))),GJ[Debit])))-(SUM(IF((CkDJ[Date]=$A$4)*(CkDJ[Ofc Code]=(TRIM(O$7)))*(CkDJ[Account Code]=(TRIM($D66))),CkDJ[Credit])))+(SUM(IF((CsDJ[Date]=$A$4)*(CsDJ[Ofc Code]=(TRIM(O$7)))*(CsDJ[Account Code]=(TRIM($D66))),CsDJ[Credit])))+(SUM(IF((CRDJ[Date]=$A$4)*(CRDJ[Ofc Code]=(TRIM(O$7)))*(CRDJ[Account Code]=(TRIM($D66))),CRDJ[Credit])))+(SUM(IF((GJ[Date]=$A$4)*(GJ[Ofc Code]=(TRIM(O$7)))*(GJ[Account Code]=(TRIM($D66))),GJ[Credit])))</f>
        <v>0</v>
      </c>
      <c r="P66" s="211">
        <f t="array" ref="P66">(SUM(IF((CkDJ[Date]=$A$4)*(CkDJ[Ofc Code]=(TRIM(P$7)))*(CkDJ[Account Code]=(TRIM($D66))),CkDJ[Debit])))+(SUM(IF((CsDJ[Date]=$A$4)*(CsDJ[Ofc Code]=(TRIM(P$7)))*(CsDJ[Account Code]=(TRIM($D66))),CsDJ[Debit])))+(SUM(IF((CRDJ[Date]=$A$4)*(CRDJ[Ofc Code]=(TRIM(P$7)))*(CRDJ[Account Code]=(TRIM($D66))),CRDJ[Debit])))+(SUM(IF((GJ[Date]=$A$4)*(GJ[Ofc Code]=(TRIM(P$7)))*(GJ[Account Code]=(TRIM($D66))),GJ[Debit])))-(SUM(IF((CkDJ[Date]=$A$4)*(CkDJ[Ofc Code]=(TRIM(P$7)))*(CkDJ[Account Code]=(TRIM($D66))),CkDJ[Credit])))+(SUM(IF((CsDJ[Date]=$A$4)*(CsDJ[Ofc Code]=(TRIM(P$7)))*(CsDJ[Account Code]=(TRIM($D66))),CsDJ[Credit])))+(SUM(IF((CRDJ[Date]=$A$4)*(CRDJ[Ofc Code]=(TRIM(P$7)))*(CRDJ[Account Code]=(TRIM($D66))),CRDJ[Credit])))+(SUM(IF((GJ[Date]=$A$4)*(GJ[Ofc Code]=(TRIM(P$7)))*(GJ[Account Code]=(TRIM($D66))),GJ[Credit])))</f>
        <v>0</v>
      </c>
      <c r="Q66" s="211">
        <f t="array" ref="Q66">(SUM(IF((CkDJ[Date]=$A$4)*(CkDJ[Ofc Code]=(TRIM(Q$7)))*(CkDJ[Account Code]=(TRIM($D66))),CkDJ[Debit])))+(SUM(IF((CsDJ[Date]=$A$4)*(CsDJ[Ofc Code]=(TRIM(Q$7)))*(CsDJ[Account Code]=(TRIM($D66))),CsDJ[Debit])))+(SUM(IF((CRDJ[Date]=$A$4)*(CRDJ[Ofc Code]=(TRIM(Q$7)))*(CRDJ[Account Code]=(TRIM($D66))),CRDJ[Debit])))+(SUM(IF((GJ[Date]=$A$4)*(GJ[Ofc Code]=(TRIM(Q$7)))*(GJ[Account Code]=(TRIM($D66))),GJ[Debit])))-(SUM(IF((CkDJ[Date]=$A$4)*(CkDJ[Ofc Code]=(TRIM(Q$7)))*(CkDJ[Account Code]=(TRIM($D66))),CkDJ[Credit])))+(SUM(IF((CsDJ[Date]=$A$4)*(CsDJ[Ofc Code]=(TRIM(Q$7)))*(CsDJ[Account Code]=(TRIM($D66))),CsDJ[Credit])))+(SUM(IF((CRDJ[Date]=$A$4)*(CRDJ[Ofc Code]=(TRIM(Q$7)))*(CRDJ[Account Code]=(TRIM($D66))),CRDJ[Credit])))+(SUM(IF((GJ[Date]=$A$4)*(GJ[Ofc Code]=(TRIM(Q$7)))*(GJ[Account Code]=(TRIM($D66))),GJ[Credit])))</f>
        <v>0</v>
      </c>
      <c r="R66" s="211">
        <f t="array" ref="R66">(SUM(IF((CkDJ[Date]=$A$4)*(CkDJ[Ofc Code]=(TRIM(R$7)))*(CkDJ[Account Code]=(TRIM($D66))),CkDJ[Debit])))+(SUM(IF((CsDJ[Date]=$A$4)*(CsDJ[Ofc Code]=(TRIM(R$7)))*(CsDJ[Account Code]=(TRIM($D66))),CsDJ[Debit])))+(SUM(IF((CRDJ[Date]=$A$4)*(CRDJ[Ofc Code]=(TRIM(R$7)))*(CRDJ[Account Code]=(TRIM($D66))),CRDJ[Debit])))+(SUM(IF((GJ[Date]=$A$4)*(GJ[Ofc Code]=(TRIM(R$7)))*(GJ[Account Code]=(TRIM($D66))),GJ[Debit])))-(SUM(IF((CkDJ[Date]=$A$4)*(CkDJ[Ofc Code]=(TRIM(R$7)))*(CkDJ[Account Code]=(TRIM($D66))),CkDJ[Credit])))+(SUM(IF((CsDJ[Date]=$A$4)*(CsDJ[Ofc Code]=(TRIM(R$7)))*(CsDJ[Account Code]=(TRIM($D66))),CsDJ[Credit])))+(SUM(IF((CRDJ[Date]=$A$4)*(CRDJ[Ofc Code]=(TRIM(R$7)))*(CRDJ[Account Code]=(TRIM($D66))),CRDJ[Credit])))+(SUM(IF((GJ[Date]=$A$4)*(GJ[Ofc Code]=(TRIM(R$7)))*(GJ[Account Code]=(TRIM($D66))),GJ[Credit])))</f>
        <v>0</v>
      </c>
      <c r="S66" s="211">
        <f t="array" ref="S66">(SUM(IF((CkDJ[Date]=$A$4)*(CkDJ[Ofc Code]=(TRIM(S$7)))*(CkDJ[Account Code]=(TRIM($D66))),CkDJ[Debit])))+(SUM(IF((CsDJ[Date]=$A$4)*(CsDJ[Ofc Code]=(TRIM(S$7)))*(CsDJ[Account Code]=(TRIM($D66))),CsDJ[Debit])))+(SUM(IF((CRDJ[Date]=$A$4)*(CRDJ[Ofc Code]=(TRIM(S$7)))*(CRDJ[Account Code]=(TRIM($D66))),CRDJ[Debit])))+(SUM(IF((GJ[Date]=$A$4)*(GJ[Ofc Code]=(TRIM(S$7)))*(GJ[Account Code]=(TRIM($D66))),GJ[Debit])))-(SUM(IF((CkDJ[Date]=$A$4)*(CkDJ[Ofc Code]=(TRIM(S$7)))*(CkDJ[Account Code]=(TRIM($D66))),CkDJ[Credit])))+(SUM(IF((CsDJ[Date]=$A$4)*(CsDJ[Ofc Code]=(TRIM(S$7)))*(CsDJ[Account Code]=(TRIM($D66))),CsDJ[Credit])))+(SUM(IF((CRDJ[Date]=$A$4)*(CRDJ[Ofc Code]=(TRIM(S$7)))*(CRDJ[Account Code]=(TRIM($D66))),CRDJ[Credit])))+(SUM(IF((GJ[Date]=$A$4)*(GJ[Ofc Code]=(TRIM(S$7)))*(GJ[Account Code]=(TRIM($D66))),GJ[Credit])))</f>
        <v>0</v>
      </c>
      <c r="T66" s="211">
        <f t="shared" si="17"/>
        <v>0</v>
      </c>
      <c r="U66" s="211">
        <f t="shared" si="18"/>
        <v>0</v>
      </c>
    </row>
    <row r="67" spans="1:22" ht="15" x14ac:dyDescent="0.25">
      <c r="A67" s="212">
        <f t="shared" si="19"/>
        <v>9</v>
      </c>
      <c r="B67" s="214" t="s">
        <v>756</v>
      </c>
      <c r="C67" s="194" t="str">
        <f t="shared" si="14"/>
        <v>Electricity Expenses</v>
      </c>
      <c r="D67" s="207">
        <v>767</v>
      </c>
      <c r="E67" s="211">
        <f t="array" ref="E67">(SUM(IF((CkDJ[Date]=$A$4)*(CkDJ[Ofc Code]=(TRIM(E$7)))*(CkDJ[Account Code]=(TRIM($D67))),CkDJ[Debit])))+(SUM(IF((CsDJ[Date]=$A$4)*(CsDJ[Ofc Code]=(TRIM(E$7)))*(CsDJ[Account Code]=(TRIM($D67))),CsDJ[Debit])))+(SUM(IF((CRDJ[Date]=$A$4)*(CRDJ[Ofc Code]=(TRIM(E$7)))*(CRDJ[Account Code]=(TRIM($D67))),CRDJ[Debit])))+(SUM(IF((GJ[Date]=$A$4)*(GJ[Ofc Code]=(TRIM(E$7)))*(GJ[Account Code]=(TRIM($D67))),GJ[Debit])))-(SUM(IF((CkDJ[Date]=$A$4)*(CkDJ[Ofc Code]=(TRIM(E$7)))*(CkDJ[Account Code]=(TRIM($D67))),CkDJ[Credit])))+(SUM(IF((CsDJ[Date]=$A$4)*(CsDJ[Ofc Code]=(TRIM(E$7)))*(CsDJ[Account Code]=(TRIM($D67))),CsDJ[Credit])))+(SUM(IF((CRDJ[Date]=$A$4)*(CRDJ[Ofc Code]=(TRIM(E$7)))*(CRDJ[Account Code]=(TRIM($D67))),CRDJ[Credit])))+(SUM(IF((GJ[Date]=$A$4)*(GJ[Ofc Code]=(TRIM(E$7)))*(GJ[Account Code]=(TRIM($D67))),GJ[Credit])))</f>
        <v>0</v>
      </c>
      <c r="F67" s="211">
        <f t="array" ref="F67">(SUM(IF((CkDJ[Date]=$A$4)*(CkDJ[Ofc Code]=(TRIM(F$7)))*(CkDJ[Account Code]=(TRIM($D67))),CkDJ[Debit])))+(SUM(IF((CsDJ[Date]=$A$4)*(CsDJ[Ofc Code]=(TRIM(F$7)))*(CsDJ[Account Code]=(TRIM($D67))),CsDJ[Debit])))+(SUM(IF((CRDJ[Date]=$A$4)*(CRDJ[Ofc Code]=(TRIM(F$7)))*(CRDJ[Account Code]=(TRIM($D67))),CRDJ[Debit])))+(SUM(IF((GJ[Date]=$A$4)*(GJ[Ofc Code]=(TRIM(F$7)))*(GJ[Account Code]=(TRIM($D67))),GJ[Debit])))-(SUM(IF((CkDJ[Date]=$A$4)*(CkDJ[Ofc Code]=(TRIM(F$7)))*(CkDJ[Account Code]=(TRIM($D67))),CkDJ[Credit])))+(SUM(IF((CsDJ[Date]=$A$4)*(CsDJ[Ofc Code]=(TRIM(F$7)))*(CsDJ[Account Code]=(TRIM($D67))),CsDJ[Credit])))+(SUM(IF((CRDJ[Date]=$A$4)*(CRDJ[Ofc Code]=(TRIM(F$7)))*(CRDJ[Account Code]=(TRIM($D67))),CRDJ[Credit])))+(SUM(IF((GJ[Date]=$A$4)*(GJ[Ofc Code]=(TRIM(F$7)))*(GJ[Account Code]=(TRIM($D67))),GJ[Credit])))</f>
        <v>0</v>
      </c>
      <c r="G67" s="211">
        <f t="array" ref="G67">(SUM(IF((CkDJ[Date]=$A$4)*(CkDJ[Ofc Code]=(TRIM(G$7)))*(CkDJ[Account Code]=(TRIM($D67))),CkDJ[Debit])))+(SUM(IF((CsDJ[Date]=$A$4)*(CsDJ[Ofc Code]=(TRIM(G$7)))*(CsDJ[Account Code]=(TRIM($D67))),CsDJ[Debit])))+(SUM(IF((CRDJ[Date]=$A$4)*(CRDJ[Ofc Code]=(TRIM(G$7)))*(CRDJ[Account Code]=(TRIM($D67))),CRDJ[Debit])))+(SUM(IF((GJ[Date]=$A$4)*(GJ[Ofc Code]=(TRIM(G$7)))*(GJ[Account Code]=(TRIM($D67))),GJ[Debit])))-(SUM(IF((CkDJ[Date]=$A$4)*(CkDJ[Ofc Code]=(TRIM(G$7)))*(CkDJ[Account Code]=(TRIM($D67))),CkDJ[Credit])))+(SUM(IF((CsDJ[Date]=$A$4)*(CsDJ[Ofc Code]=(TRIM(G$7)))*(CsDJ[Account Code]=(TRIM($D67))),CsDJ[Credit])))+(SUM(IF((CRDJ[Date]=$A$4)*(CRDJ[Ofc Code]=(TRIM(G$7)))*(CRDJ[Account Code]=(TRIM($D67))),CRDJ[Credit])))+(SUM(IF((GJ[Date]=$A$4)*(GJ[Ofc Code]=(TRIM(G$7)))*(GJ[Account Code]=(TRIM($D67))),GJ[Credit])))</f>
        <v>0</v>
      </c>
      <c r="H67" s="211">
        <f t="array" ref="H67">(SUM(IF((CkDJ[Date]=$A$4)*(CkDJ[Ofc Code]=(TRIM(H$7)))*(CkDJ[Account Code]=(TRIM($D67))),CkDJ[Debit])))+(SUM(IF((CsDJ[Date]=$A$4)*(CsDJ[Ofc Code]=(TRIM(H$7)))*(CsDJ[Account Code]=(TRIM($D67))),CsDJ[Debit])))+(SUM(IF((CRDJ[Date]=$A$4)*(CRDJ[Ofc Code]=(TRIM(H$7)))*(CRDJ[Account Code]=(TRIM($D67))),CRDJ[Debit])))+(SUM(IF((GJ[Date]=$A$4)*(GJ[Ofc Code]=(TRIM(H$7)))*(GJ[Account Code]=(TRIM($D67))),GJ[Debit])))-(SUM(IF((CkDJ[Date]=$A$4)*(CkDJ[Ofc Code]=(TRIM(H$7)))*(CkDJ[Account Code]=(TRIM($D67))),CkDJ[Credit])))+(SUM(IF((CsDJ[Date]=$A$4)*(CsDJ[Ofc Code]=(TRIM(H$7)))*(CsDJ[Account Code]=(TRIM($D67))),CsDJ[Credit])))+(SUM(IF((CRDJ[Date]=$A$4)*(CRDJ[Ofc Code]=(TRIM(H$7)))*(CRDJ[Account Code]=(TRIM($D67))),CRDJ[Credit])))+(SUM(IF((GJ[Date]=$A$4)*(GJ[Ofc Code]=(TRIM(H$7)))*(GJ[Account Code]=(TRIM($D67))),GJ[Credit])))</f>
        <v>0</v>
      </c>
      <c r="I67" s="211">
        <f t="shared" si="15"/>
        <v>0</v>
      </c>
      <c r="J67" s="211">
        <f t="array" ref="J67">(SUM(IF((CkDJ[Date]=$A$4)*(CkDJ[Ofc Code]=(TRIM(J$7)))*(CkDJ[Account Code]=(TRIM($D67))),CkDJ[Debit])))+(SUM(IF((CsDJ[Date]=$A$4)*(CsDJ[Ofc Code]=(TRIM(J$7)))*(CsDJ[Account Code]=(TRIM($D67))),CsDJ[Debit])))+(SUM(IF((CRDJ[Date]=$A$4)*(CRDJ[Ofc Code]=(TRIM(J$7)))*(CRDJ[Account Code]=(TRIM($D67))),CRDJ[Debit])))+(SUM(IF((GJ[Date]=$A$4)*(GJ[Ofc Code]=(TRIM(J$7)))*(GJ[Account Code]=(TRIM($D67))),GJ[Debit])))-(SUM(IF((CkDJ[Date]=$A$4)*(CkDJ[Ofc Code]=(TRIM(J$7)))*(CkDJ[Account Code]=(TRIM($D67))),CkDJ[Credit])))+(SUM(IF((CsDJ[Date]=$A$4)*(CsDJ[Ofc Code]=(TRIM(J$7)))*(CsDJ[Account Code]=(TRIM($D67))),CsDJ[Credit])))+(SUM(IF((CRDJ[Date]=$A$4)*(CRDJ[Ofc Code]=(TRIM(J$7)))*(CRDJ[Account Code]=(TRIM($D67))),CRDJ[Credit])))+(SUM(IF((GJ[Date]=$A$4)*(GJ[Ofc Code]=(TRIM(J$7)))*(GJ[Account Code]=(TRIM($D67))),GJ[Credit])))</f>
        <v>0</v>
      </c>
      <c r="K67" s="211">
        <f t="array" ref="K67">(SUM(IF((CkDJ[Date]=$A$4)*(CkDJ[Ofc Code]=(TRIM(K$7)))*(CkDJ[Account Code]=(TRIM($D67))),CkDJ[Debit])))+(SUM(IF((CsDJ[Date]=$A$4)*(CsDJ[Ofc Code]=(TRIM(K$7)))*(CsDJ[Account Code]=(TRIM($D67))),CsDJ[Debit])))+(SUM(IF((CRDJ[Date]=$A$4)*(CRDJ[Ofc Code]=(TRIM(K$7)))*(CRDJ[Account Code]=(TRIM($D67))),CRDJ[Debit])))+(SUM(IF((GJ[Date]=$A$4)*(GJ[Ofc Code]=(TRIM(K$7)))*(GJ[Account Code]=(TRIM($D67))),GJ[Debit])))-(SUM(IF((CkDJ[Date]=$A$4)*(CkDJ[Ofc Code]=(TRIM(K$7)))*(CkDJ[Account Code]=(TRIM($D67))),CkDJ[Credit])))+(SUM(IF((CsDJ[Date]=$A$4)*(CsDJ[Ofc Code]=(TRIM(K$7)))*(CsDJ[Account Code]=(TRIM($D67))),CsDJ[Credit])))+(SUM(IF((CRDJ[Date]=$A$4)*(CRDJ[Ofc Code]=(TRIM(K$7)))*(CRDJ[Account Code]=(TRIM($D67))),CRDJ[Credit])))+(SUM(IF((GJ[Date]=$A$4)*(GJ[Ofc Code]=(TRIM(K$7)))*(GJ[Account Code]=(TRIM($D67))),GJ[Credit])))</f>
        <v>0</v>
      </c>
      <c r="L67" s="211">
        <f t="array" ref="L67">(SUM(IF((CkDJ[Date]=$A$4)*(CkDJ[Ofc Code]=(TRIM(L$7)))*(CkDJ[Account Code]=(TRIM($D67))),CkDJ[Debit])))+(SUM(IF((CsDJ[Date]=$A$4)*(CsDJ[Ofc Code]=(TRIM(L$7)))*(CsDJ[Account Code]=(TRIM($D67))),CsDJ[Debit])))+(SUM(IF((CRDJ[Date]=$A$4)*(CRDJ[Ofc Code]=(TRIM(L$7)))*(CRDJ[Account Code]=(TRIM($D67))),CRDJ[Debit])))+(SUM(IF((GJ[Date]=$A$4)*(GJ[Ofc Code]=(TRIM(L$7)))*(GJ[Account Code]=(TRIM($D67))),GJ[Debit])))-(SUM(IF((CkDJ[Date]=$A$4)*(CkDJ[Ofc Code]=(TRIM(L$7)))*(CkDJ[Account Code]=(TRIM($D67))),CkDJ[Credit])))+(SUM(IF((CsDJ[Date]=$A$4)*(CsDJ[Ofc Code]=(TRIM(L$7)))*(CsDJ[Account Code]=(TRIM($D67))),CsDJ[Credit])))+(SUM(IF((CRDJ[Date]=$A$4)*(CRDJ[Ofc Code]=(TRIM(L$7)))*(CRDJ[Account Code]=(TRIM($D67))),CRDJ[Credit])))+(SUM(IF((GJ[Date]=$A$4)*(GJ[Ofc Code]=(TRIM(L$7)))*(GJ[Account Code]=(TRIM($D67))),GJ[Credit])))</f>
        <v>0</v>
      </c>
      <c r="M67" s="211">
        <f t="array" ref="M67">(SUM(IF((CkDJ[Date]=$A$4)*(CkDJ[Ofc Code]=(TRIM(M$7)))*(CkDJ[Account Code]=(TRIM($D67))),CkDJ[Debit])))+(SUM(IF((CsDJ[Date]=$A$4)*(CsDJ[Ofc Code]=(TRIM(M$7)))*(CsDJ[Account Code]=(TRIM($D67))),CsDJ[Debit])))+(SUM(IF((CRDJ[Date]=$A$4)*(CRDJ[Ofc Code]=(TRIM(M$7)))*(CRDJ[Account Code]=(TRIM($D67))),CRDJ[Debit])))+(SUM(IF((GJ[Date]=$A$4)*(GJ[Ofc Code]=(TRIM(M$7)))*(GJ[Account Code]=(TRIM($D67))),GJ[Debit])))-(SUM(IF((CkDJ[Date]=$A$4)*(CkDJ[Ofc Code]=(TRIM(M$7)))*(CkDJ[Account Code]=(TRIM($D67))),CkDJ[Credit])))+(SUM(IF((CsDJ[Date]=$A$4)*(CsDJ[Ofc Code]=(TRIM(M$7)))*(CsDJ[Account Code]=(TRIM($D67))),CsDJ[Credit])))+(SUM(IF((CRDJ[Date]=$A$4)*(CRDJ[Ofc Code]=(TRIM(M$7)))*(CRDJ[Account Code]=(TRIM($D67))),CRDJ[Credit])))+(SUM(IF((GJ[Date]=$A$4)*(GJ[Ofc Code]=(TRIM(M$7)))*(GJ[Account Code]=(TRIM($D67))),GJ[Credit])))</f>
        <v>0</v>
      </c>
      <c r="N67" s="211">
        <f t="shared" si="16"/>
        <v>0</v>
      </c>
      <c r="O67" s="211">
        <f t="array" ref="O67">(SUM(IF((CkDJ[Date]=$A$4)*(CkDJ[Ofc Code]=(TRIM(O$7)))*(CkDJ[Account Code]=(TRIM($D67))),CkDJ[Debit])))+(SUM(IF((CsDJ[Date]=$A$4)*(CsDJ[Ofc Code]=(TRIM(O$7)))*(CsDJ[Account Code]=(TRIM($D67))),CsDJ[Debit])))+(SUM(IF((CRDJ[Date]=$A$4)*(CRDJ[Ofc Code]=(TRIM(O$7)))*(CRDJ[Account Code]=(TRIM($D67))),CRDJ[Debit])))+(SUM(IF((GJ[Date]=$A$4)*(GJ[Ofc Code]=(TRIM(O$7)))*(GJ[Account Code]=(TRIM($D67))),GJ[Debit])))-(SUM(IF((CkDJ[Date]=$A$4)*(CkDJ[Ofc Code]=(TRIM(O$7)))*(CkDJ[Account Code]=(TRIM($D67))),CkDJ[Credit])))+(SUM(IF((CsDJ[Date]=$A$4)*(CsDJ[Ofc Code]=(TRIM(O$7)))*(CsDJ[Account Code]=(TRIM($D67))),CsDJ[Credit])))+(SUM(IF((CRDJ[Date]=$A$4)*(CRDJ[Ofc Code]=(TRIM(O$7)))*(CRDJ[Account Code]=(TRIM($D67))),CRDJ[Credit])))+(SUM(IF((GJ[Date]=$A$4)*(GJ[Ofc Code]=(TRIM(O$7)))*(GJ[Account Code]=(TRIM($D67))),GJ[Credit])))</f>
        <v>0</v>
      </c>
      <c r="P67" s="211">
        <f t="array" ref="P67">(SUM(IF((CkDJ[Date]=$A$4)*(CkDJ[Ofc Code]=(TRIM(P$7)))*(CkDJ[Account Code]=(TRIM($D67))),CkDJ[Debit])))+(SUM(IF((CsDJ[Date]=$A$4)*(CsDJ[Ofc Code]=(TRIM(P$7)))*(CsDJ[Account Code]=(TRIM($D67))),CsDJ[Debit])))+(SUM(IF((CRDJ[Date]=$A$4)*(CRDJ[Ofc Code]=(TRIM(P$7)))*(CRDJ[Account Code]=(TRIM($D67))),CRDJ[Debit])))+(SUM(IF((GJ[Date]=$A$4)*(GJ[Ofc Code]=(TRIM(P$7)))*(GJ[Account Code]=(TRIM($D67))),GJ[Debit])))-(SUM(IF((CkDJ[Date]=$A$4)*(CkDJ[Ofc Code]=(TRIM(P$7)))*(CkDJ[Account Code]=(TRIM($D67))),CkDJ[Credit])))+(SUM(IF((CsDJ[Date]=$A$4)*(CsDJ[Ofc Code]=(TRIM(P$7)))*(CsDJ[Account Code]=(TRIM($D67))),CsDJ[Credit])))+(SUM(IF((CRDJ[Date]=$A$4)*(CRDJ[Ofc Code]=(TRIM(P$7)))*(CRDJ[Account Code]=(TRIM($D67))),CRDJ[Credit])))+(SUM(IF((GJ[Date]=$A$4)*(GJ[Ofc Code]=(TRIM(P$7)))*(GJ[Account Code]=(TRIM($D67))),GJ[Credit])))</f>
        <v>0</v>
      </c>
      <c r="Q67" s="211">
        <f t="array" ref="Q67">(SUM(IF((CkDJ[Date]=$A$4)*(CkDJ[Ofc Code]=(TRIM(Q$7)))*(CkDJ[Account Code]=(TRIM($D67))),CkDJ[Debit])))+(SUM(IF((CsDJ[Date]=$A$4)*(CsDJ[Ofc Code]=(TRIM(Q$7)))*(CsDJ[Account Code]=(TRIM($D67))),CsDJ[Debit])))+(SUM(IF((CRDJ[Date]=$A$4)*(CRDJ[Ofc Code]=(TRIM(Q$7)))*(CRDJ[Account Code]=(TRIM($D67))),CRDJ[Debit])))+(SUM(IF((GJ[Date]=$A$4)*(GJ[Ofc Code]=(TRIM(Q$7)))*(GJ[Account Code]=(TRIM($D67))),GJ[Debit])))-(SUM(IF((CkDJ[Date]=$A$4)*(CkDJ[Ofc Code]=(TRIM(Q$7)))*(CkDJ[Account Code]=(TRIM($D67))),CkDJ[Credit])))+(SUM(IF((CsDJ[Date]=$A$4)*(CsDJ[Ofc Code]=(TRIM(Q$7)))*(CsDJ[Account Code]=(TRIM($D67))),CsDJ[Credit])))+(SUM(IF((CRDJ[Date]=$A$4)*(CRDJ[Ofc Code]=(TRIM(Q$7)))*(CRDJ[Account Code]=(TRIM($D67))),CRDJ[Credit])))+(SUM(IF((GJ[Date]=$A$4)*(GJ[Ofc Code]=(TRIM(Q$7)))*(GJ[Account Code]=(TRIM($D67))),GJ[Credit])))</f>
        <v>0</v>
      </c>
      <c r="R67" s="211">
        <f t="array" ref="R67">(SUM(IF((CkDJ[Date]=$A$4)*(CkDJ[Ofc Code]=(TRIM(R$7)))*(CkDJ[Account Code]=(TRIM($D67))),CkDJ[Debit])))+(SUM(IF((CsDJ[Date]=$A$4)*(CsDJ[Ofc Code]=(TRIM(R$7)))*(CsDJ[Account Code]=(TRIM($D67))),CsDJ[Debit])))+(SUM(IF((CRDJ[Date]=$A$4)*(CRDJ[Ofc Code]=(TRIM(R$7)))*(CRDJ[Account Code]=(TRIM($D67))),CRDJ[Debit])))+(SUM(IF((GJ[Date]=$A$4)*(GJ[Ofc Code]=(TRIM(R$7)))*(GJ[Account Code]=(TRIM($D67))),GJ[Debit])))-(SUM(IF((CkDJ[Date]=$A$4)*(CkDJ[Ofc Code]=(TRIM(R$7)))*(CkDJ[Account Code]=(TRIM($D67))),CkDJ[Credit])))+(SUM(IF((CsDJ[Date]=$A$4)*(CsDJ[Ofc Code]=(TRIM(R$7)))*(CsDJ[Account Code]=(TRIM($D67))),CsDJ[Credit])))+(SUM(IF((CRDJ[Date]=$A$4)*(CRDJ[Ofc Code]=(TRIM(R$7)))*(CRDJ[Account Code]=(TRIM($D67))),CRDJ[Credit])))+(SUM(IF((GJ[Date]=$A$4)*(GJ[Ofc Code]=(TRIM(R$7)))*(GJ[Account Code]=(TRIM($D67))),GJ[Credit])))</f>
        <v>0</v>
      </c>
      <c r="S67" s="211">
        <f t="array" ref="S67">(SUM(IF((CkDJ[Date]=$A$4)*(CkDJ[Ofc Code]=(TRIM(S$7)))*(CkDJ[Account Code]=(TRIM($D67))),CkDJ[Debit])))+(SUM(IF((CsDJ[Date]=$A$4)*(CsDJ[Ofc Code]=(TRIM(S$7)))*(CsDJ[Account Code]=(TRIM($D67))),CsDJ[Debit])))+(SUM(IF((CRDJ[Date]=$A$4)*(CRDJ[Ofc Code]=(TRIM(S$7)))*(CRDJ[Account Code]=(TRIM($D67))),CRDJ[Debit])))+(SUM(IF((GJ[Date]=$A$4)*(GJ[Ofc Code]=(TRIM(S$7)))*(GJ[Account Code]=(TRIM($D67))),GJ[Debit])))-(SUM(IF((CkDJ[Date]=$A$4)*(CkDJ[Ofc Code]=(TRIM(S$7)))*(CkDJ[Account Code]=(TRIM($D67))),CkDJ[Credit])))+(SUM(IF((CsDJ[Date]=$A$4)*(CsDJ[Ofc Code]=(TRIM(S$7)))*(CsDJ[Account Code]=(TRIM($D67))),CsDJ[Credit])))+(SUM(IF((CRDJ[Date]=$A$4)*(CRDJ[Ofc Code]=(TRIM(S$7)))*(CRDJ[Account Code]=(TRIM($D67))),CRDJ[Credit])))+(SUM(IF((GJ[Date]=$A$4)*(GJ[Ofc Code]=(TRIM(S$7)))*(GJ[Account Code]=(TRIM($D67))),GJ[Credit])))</f>
        <v>0</v>
      </c>
      <c r="T67" s="211">
        <f t="shared" si="17"/>
        <v>0</v>
      </c>
      <c r="U67" s="211">
        <f t="shared" si="18"/>
        <v>0</v>
      </c>
    </row>
    <row r="68" spans="1:22" ht="15" x14ac:dyDescent="0.25">
      <c r="A68" s="212">
        <f t="shared" si="19"/>
        <v>10</v>
      </c>
      <c r="B68" s="214" t="s">
        <v>756</v>
      </c>
      <c r="C68" s="194" t="str">
        <f t="shared" si="14"/>
        <v>Telephone Expenses - Landline</v>
      </c>
      <c r="D68" s="207">
        <v>772</v>
      </c>
      <c r="E68" s="211">
        <f t="array" ref="E68">(SUM(IF((CkDJ[Date]=$A$4)*(CkDJ[Ofc Code]=(TRIM(E$7)))*(CkDJ[Account Code]=(TRIM($D68))),CkDJ[Debit])))+(SUM(IF((CsDJ[Date]=$A$4)*(CsDJ[Ofc Code]=(TRIM(E$7)))*(CsDJ[Account Code]=(TRIM($D68))),CsDJ[Debit])))+(SUM(IF((CRDJ[Date]=$A$4)*(CRDJ[Ofc Code]=(TRIM(E$7)))*(CRDJ[Account Code]=(TRIM($D68))),CRDJ[Debit])))+(SUM(IF((GJ[Date]=$A$4)*(GJ[Ofc Code]=(TRIM(E$7)))*(GJ[Account Code]=(TRIM($D68))),GJ[Debit])))-(SUM(IF((CkDJ[Date]=$A$4)*(CkDJ[Ofc Code]=(TRIM(E$7)))*(CkDJ[Account Code]=(TRIM($D68))),CkDJ[Credit])))+(SUM(IF((CsDJ[Date]=$A$4)*(CsDJ[Ofc Code]=(TRIM(E$7)))*(CsDJ[Account Code]=(TRIM($D68))),CsDJ[Credit])))+(SUM(IF((CRDJ[Date]=$A$4)*(CRDJ[Ofc Code]=(TRIM(E$7)))*(CRDJ[Account Code]=(TRIM($D68))),CRDJ[Credit])))+(SUM(IF((GJ[Date]=$A$4)*(GJ[Ofc Code]=(TRIM(E$7)))*(GJ[Account Code]=(TRIM($D68))),GJ[Credit])))</f>
        <v>0</v>
      </c>
      <c r="F68" s="211">
        <f t="array" ref="F68">(SUM(IF((CkDJ[Date]=$A$4)*(CkDJ[Ofc Code]=(TRIM(F$7)))*(CkDJ[Account Code]=(TRIM($D68))),CkDJ[Debit])))+(SUM(IF((CsDJ[Date]=$A$4)*(CsDJ[Ofc Code]=(TRIM(F$7)))*(CsDJ[Account Code]=(TRIM($D68))),CsDJ[Debit])))+(SUM(IF((CRDJ[Date]=$A$4)*(CRDJ[Ofc Code]=(TRIM(F$7)))*(CRDJ[Account Code]=(TRIM($D68))),CRDJ[Debit])))+(SUM(IF((GJ[Date]=$A$4)*(GJ[Ofc Code]=(TRIM(F$7)))*(GJ[Account Code]=(TRIM($D68))),GJ[Debit])))-(SUM(IF((CkDJ[Date]=$A$4)*(CkDJ[Ofc Code]=(TRIM(F$7)))*(CkDJ[Account Code]=(TRIM($D68))),CkDJ[Credit])))+(SUM(IF((CsDJ[Date]=$A$4)*(CsDJ[Ofc Code]=(TRIM(F$7)))*(CsDJ[Account Code]=(TRIM($D68))),CsDJ[Credit])))+(SUM(IF((CRDJ[Date]=$A$4)*(CRDJ[Ofc Code]=(TRIM(F$7)))*(CRDJ[Account Code]=(TRIM($D68))),CRDJ[Credit])))+(SUM(IF((GJ[Date]=$A$4)*(GJ[Ofc Code]=(TRIM(F$7)))*(GJ[Account Code]=(TRIM($D68))),GJ[Credit])))</f>
        <v>0</v>
      </c>
      <c r="G68" s="211">
        <f t="array" ref="G68">(SUM(IF((CkDJ[Date]=$A$4)*(CkDJ[Ofc Code]=(TRIM(G$7)))*(CkDJ[Account Code]=(TRIM($D68))),CkDJ[Debit])))+(SUM(IF((CsDJ[Date]=$A$4)*(CsDJ[Ofc Code]=(TRIM(G$7)))*(CsDJ[Account Code]=(TRIM($D68))),CsDJ[Debit])))+(SUM(IF((CRDJ[Date]=$A$4)*(CRDJ[Ofc Code]=(TRIM(G$7)))*(CRDJ[Account Code]=(TRIM($D68))),CRDJ[Debit])))+(SUM(IF((GJ[Date]=$A$4)*(GJ[Ofc Code]=(TRIM(G$7)))*(GJ[Account Code]=(TRIM($D68))),GJ[Debit])))-(SUM(IF((CkDJ[Date]=$A$4)*(CkDJ[Ofc Code]=(TRIM(G$7)))*(CkDJ[Account Code]=(TRIM($D68))),CkDJ[Credit])))+(SUM(IF((CsDJ[Date]=$A$4)*(CsDJ[Ofc Code]=(TRIM(G$7)))*(CsDJ[Account Code]=(TRIM($D68))),CsDJ[Credit])))+(SUM(IF((CRDJ[Date]=$A$4)*(CRDJ[Ofc Code]=(TRIM(G$7)))*(CRDJ[Account Code]=(TRIM($D68))),CRDJ[Credit])))+(SUM(IF((GJ[Date]=$A$4)*(GJ[Ofc Code]=(TRIM(G$7)))*(GJ[Account Code]=(TRIM($D68))),GJ[Credit])))</f>
        <v>0</v>
      </c>
      <c r="H68" s="211">
        <f t="array" ref="H68">(SUM(IF((CkDJ[Date]=$A$4)*(CkDJ[Ofc Code]=(TRIM(H$7)))*(CkDJ[Account Code]=(TRIM($D68))),CkDJ[Debit])))+(SUM(IF((CsDJ[Date]=$A$4)*(CsDJ[Ofc Code]=(TRIM(H$7)))*(CsDJ[Account Code]=(TRIM($D68))),CsDJ[Debit])))+(SUM(IF((CRDJ[Date]=$A$4)*(CRDJ[Ofc Code]=(TRIM(H$7)))*(CRDJ[Account Code]=(TRIM($D68))),CRDJ[Debit])))+(SUM(IF((GJ[Date]=$A$4)*(GJ[Ofc Code]=(TRIM(H$7)))*(GJ[Account Code]=(TRIM($D68))),GJ[Debit])))-(SUM(IF((CkDJ[Date]=$A$4)*(CkDJ[Ofc Code]=(TRIM(H$7)))*(CkDJ[Account Code]=(TRIM($D68))),CkDJ[Credit])))+(SUM(IF((CsDJ[Date]=$A$4)*(CsDJ[Ofc Code]=(TRIM(H$7)))*(CsDJ[Account Code]=(TRIM($D68))),CsDJ[Credit])))+(SUM(IF((CRDJ[Date]=$A$4)*(CRDJ[Ofc Code]=(TRIM(H$7)))*(CRDJ[Account Code]=(TRIM($D68))),CRDJ[Credit])))+(SUM(IF((GJ[Date]=$A$4)*(GJ[Ofc Code]=(TRIM(H$7)))*(GJ[Account Code]=(TRIM($D68))),GJ[Credit])))</f>
        <v>0</v>
      </c>
      <c r="I68" s="211">
        <f t="shared" si="15"/>
        <v>0</v>
      </c>
      <c r="J68" s="211">
        <f t="array" ref="J68">(SUM(IF((CkDJ[Date]=$A$4)*(CkDJ[Ofc Code]=(TRIM(J$7)))*(CkDJ[Account Code]=(TRIM($D68))),CkDJ[Debit])))+(SUM(IF((CsDJ[Date]=$A$4)*(CsDJ[Ofc Code]=(TRIM(J$7)))*(CsDJ[Account Code]=(TRIM($D68))),CsDJ[Debit])))+(SUM(IF((CRDJ[Date]=$A$4)*(CRDJ[Ofc Code]=(TRIM(J$7)))*(CRDJ[Account Code]=(TRIM($D68))),CRDJ[Debit])))+(SUM(IF((GJ[Date]=$A$4)*(GJ[Ofc Code]=(TRIM(J$7)))*(GJ[Account Code]=(TRIM($D68))),GJ[Debit])))-(SUM(IF((CkDJ[Date]=$A$4)*(CkDJ[Ofc Code]=(TRIM(J$7)))*(CkDJ[Account Code]=(TRIM($D68))),CkDJ[Credit])))+(SUM(IF((CsDJ[Date]=$A$4)*(CsDJ[Ofc Code]=(TRIM(J$7)))*(CsDJ[Account Code]=(TRIM($D68))),CsDJ[Credit])))+(SUM(IF((CRDJ[Date]=$A$4)*(CRDJ[Ofc Code]=(TRIM(J$7)))*(CRDJ[Account Code]=(TRIM($D68))),CRDJ[Credit])))+(SUM(IF((GJ[Date]=$A$4)*(GJ[Ofc Code]=(TRIM(J$7)))*(GJ[Account Code]=(TRIM($D68))),GJ[Credit])))</f>
        <v>0</v>
      </c>
      <c r="K68" s="211">
        <f t="array" ref="K68">(SUM(IF((CkDJ[Date]=$A$4)*(CkDJ[Ofc Code]=(TRIM(K$7)))*(CkDJ[Account Code]=(TRIM($D68))),CkDJ[Debit])))+(SUM(IF((CsDJ[Date]=$A$4)*(CsDJ[Ofc Code]=(TRIM(K$7)))*(CsDJ[Account Code]=(TRIM($D68))),CsDJ[Debit])))+(SUM(IF((CRDJ[Date]=$A$4)*(CRDJ[Ofc Code]=(TRIM(K$7)))*(CRDJ[Account Code]=(TRIM($D68))),CRDJ[Debit])))+(SUM(IF((GJ[Date]=$A$4)*(GJ[Ofc Code]=(TRIM(K$7)))*(GJ[Account Code]=(TRIM($D68))),GJ[Debit])))-(SUM(IF((CkDJ[Date]=$A$4)*(CkDJ[Ofc Code]=(TRIM(K$7)))*(CkDJ[Account Code]=(TRIM($D68))),CkDJ[Credit])))+(SUM(IF((CsDJ[Date]=$A$4)*(CsDJ[Ofc Code]=(TRIM(K$7)))*(CsDJ[Account Code]=(TRIM($D68))),CsDJ[Credit])))+(SUM(IF((CRDJ[Date]=$A$4)*(CRDJ[Ofc Code]=(TRIM(K$7)))*(CRDJ[Account Code]=(TRIM($D68))),CRDJ[Credit])))+(SUM(IF((GJ[Date]=$A$4)*(GJ[Ofc Code]=(TRIM(K$7)))*(GJ[Account Code]=(TRIM($D68))),GJ[Credit])))</f>
        <v>0</v>
      </c>
      <c r="L68" s="211">
        <f t="array" ref="L68">(SUM(IF((CkDJ[Date]=$A$4)*(CkDJ[Ofc Code]=(TRIM(L$7)))*(CkDJ[Account Code]=(TRIM($D68))),CkDJ[Debit])))+(SUM(IF((CsDJ[Date]=$A$4)*(CsDJ[Ofc Code]=(TRIM(L$7)))*(CsDJ[Account Code]=(TRIM($D68))),CsDJ[Debit])))+(SUM(IF((CRDJ[Date]=$A$4)*(CRDJ[Ofc Code]=(TRIM(L$7)))*(CRDJ[Account Code]=(TRIM($D68))),CRDJ[Debit])))+(SUM(IF((GJ[Date]=$A$4)*(GJ[Ofc Code]=(TRIM(L$7)))*(GJ[Account Code]=(TRIM($D68))),GJ[Debit])))-(SUM(IF((CkDJ[Date]=$A$4)*(CkDJ[Ofc Code]=(TRIM(L$7)))*(CkDJ[Account Code]=(TRIM($D68))),CkDJ[Credit])))+(SUM(IF((CsDJ[Date]=$A$4)*(CsDJ[Ofc Code]=(TRIM(L$7)))*(CsDJ[Account Code]=(TRIM($D68))),CsDJ[Credit])))+(SUM(IF((CRDJ[Date]=$A$4)*(CRDJ[Ofc Code]=(TRIM(L$7)))*(CRDJ[Account Code]=(TRIM($D68))),CRDJ[Credit])))+(SUM(IF((GJ[Date]=$A$4)*(GJ[Ofc Code]=(TRIM(L$7)))*(GJ[Account Code]=(TRIM($D68))),GJ[Credit])))</f>
        <v>0</v>
      </c>
      <c r="M68" s="211">
        <f t="array" ref="M68">(SUM(IF((CkDJ[Date]=$A$4)*(CkDJ[Ofc Code]=(TRIM(M$7)))*(CkDJ[Account Code]=(TRIM($D68))),CkDJ[Debit])))+(SUM(IF((CsDJ[Date]=$A$4)*(CsDJ[Ofc Code]=(TRIM(M$7)))*(CsDJ[Account Code]=(TRIM($D68))),CsDJ[Debit])))+(SUM(IF((CRDJ[Date]=$A$4)*(CRDJ[Ofc Code]=(TRIM(M$7)))*(CRDJ[Account Code]=(TRIM($D68))),CRDJ[Debit])))+(SUM(IF((GJ[Date]=$A$4)*(GJ[Ofc Code]=(TRIM(M$7)))*(GJ[Account Code]=(TRIM($D68))),GJ[Debit])))-(SUM(IF((CkDJ[Date]=$A$4)*(CkDJ[Ofc Code]=(TRIM(M$7)))*(CkDJ[Account Code]=(TRIM($D68))),CkDJ[Credit])))+(SUM(IF((CsDJ[Date]=$A$4)*(CsDJ[Ofc Code]=(TRIM(M$7)))*(CsDJ[Account Code]=(TRIM($D68))),CsDJ[Credit])))+(SUM(IF((CRDJ[Date]=$A$4)*(CRDJ[Ofc Code]=(TRIM(M$7)))*(CRDJ[Account Code]=(TRIM($D68))),CRDJ[Credit])))+(SUM(IF((GJ[Date]=$A$4)*(GJ[Ofc Code]=(TRIM(M$7)))*(GJ[Account Code]=(TRIM($D68))),GJ[Credit])))</f>
        <v>0</v>
      </c>
      <c r="N68" s="211">
        <f t="shared" si="16"/>
        <v>0</v>
      </c>
      <c r="O68" s="211">
        <f t="array" ref="O68">(SUM(IF((CkDJ[Date]=$A$4)*(CkDJ[Ofc Code]=(TRIM(O$7)))*(CkDJ[Account Code]=(TRIM($D68))),CkDJ[Debit])))+(SUM(IF((CsDJ[Date]=$A$4)*(CsDJ[Ofc Code]=(TRIM(O$7)))*(CsDJ[Account Code]=(TRIM($D68))),CsDJ[Debit])))+(SUM(IF((CRDJ[Date]=$A$4)*(CRDJ[Ofc Code]=(TRIM(O$7)))*(CRDJ[Account Code]=(TRIM($D68))),CRDJ[Debit])))+(SUM(IF((GJ[Date]=$A$4)*(GJ[Ofc Code]=(TRIM(O$7)))*(GJ[Account Code]=(TRIM($D68))),GJ[Debit])))-(SUM(IF((CkDJ[Date]=$A$4)*(CkDJ[Ofc Code]=(TRIM(O$7)))*(CkDJ[Account Code]=(TRIM($D68))),CkDJ[Credit])))+(SUM(IF((CsDJ[Date]=$A$4)*(CsDJ[Ofc Code]=(TRIM(O$7)))*(CsDJ[Account Code]=(TRIM($D68))),CsDJ[Credit])))+(SUM(IF((CRDJ[Date]=$A$4)*(CRDJ[Ofc Code]=(TRIM(O$7)))*(CRDJ[Account Code]=(TRIM($D68))),CRDJ[Credit])))+(SUM(IF((GJ[Date]=$A$4)*(GJ[Ofc Code]=(TRIM(O$7)))*(GJ[Account Code]=(TRIM($D68))),GJ[Credit])))</f>
        <v>0</v>
      </c>
      <c r="P68" s="211">
        <f t="array" ref="P68">(SUM(IF((CkDJ[Date]=$A$4)*(CkDJ[Ofc Code]=(TRIM(P$7)))*(CkDJ[Account Code]=(TRIM($D68))),CkDJ[Debit])))+(SUM(IF((CsDJ[Date]=$A$4)*(CsDJ[Ofc Code]=(TRIM(P$7)))*(CsDJ[Account Code]=(TRIM($D68))),CsDJ[Debit])))+(SUM(IF((CRDJ[Date]=$A$4)*(CRDJ[Ofc Code]=(TRIM(P$7)))*(CRDJ[Account Code]=(TRIM($D68))),CRDJ[Debit])))+(SUM(IF((GJ[Date]=$A$4)*(GJ[Ofc Code]=(TRIM(P$7)))*(GJ[Account Code]=(TRIM($D68))),GJ[Debit])))-(SUM(IF((CkDJ[Date]=$A$4)*(CkDJ[Ofc Code]=(TRIM(P$7)))*(CkDJ[Account Code]=(TRIM($D68))),CkDJ[Credit])))+(SUM(IF((CsDJ[Date]=$A$4)*(CsDJ[Ofc Code]=(TRIM(P$7)))*(CsDJ[Account Code]=(TRIM($D68))),CsDJ[Credit])))+(SUM(IF((CRDJ[Date]=$A$4)*(CRDJ[Ofc Code]=(TRIM(P$7)))*(CRDJ[Account Code]=(TRIM($D68))),CRDJ[Credit])))+(SUM(IF((GJ[Date]=$A$4)*(GJ[Ofc Code]=(TRIM(P$7)))*(GJ[Account Code]=(TRIM($D68))),GJ[Credit])))</f>
        <v>0</v>
      </c>
      <c r="Q68" s="211">
        <f t="array" ref="Q68">(SUM(IF((CkDJ[Date]=$A$4)*(CkDJ[Ofc Code]=(TRIM(Q$7)))*(CkDJ[Account Code]=(TRIM($D68))),CkDJ[Debit])))+(SUM(IF((CsDJ[Date]=$A$4)*(CsDJ[Ofc Code]=(TRIM(Q$7)))*(CsDJ[Account Code]=(TRIM($D68))),CsDJ[Debit])))+(SUM(IF((CRDJ[Date]=$A$4)*(CRDJ[Ofc Code]=(TRIM(Q$7)))*(CRDJ[Account Code]=(TRIM($D68))),CRDJ[Debit])))+(SUM(IF((GJ[Date]=$A$4)*(GJ[Ofc Code]=(TRIM(Q$7)))*(GJ[Account Code]=(TRIM($D68))),GJ[Debit])))-(SUM(IF((CkDJ[Date]=$A$4)*(CkDJ[Ofc Code]=(TRIM(Q$7)))*(CkDJ[Account Code]=(TRIM($D68))),CkDJ[Credit])))+(SUM(IF((CsDJ[Date]=$A$4)*(CsDJ[Ofc Code]=(TRIM(Q$7)))*(CsDJ[Account Code]=(TRIM($D68))),CsDJ[Credit])))+(SUM(IF((CRDJ[Date]=$A$4)*(CRDJ[Ofc Code]=(TRIM(Q$7)))*(CRDJ[Account Code]=(TRIM($D68))),CRDJ[Credit])))+(SUM(IF((GJ[Date]=$A$4)*(GJ[Ofc Code]=(TRIM(Q$7)))*(GJ[Account Code]=(TRIM($D68))),GJ[Credit])))</f>
        <v>0</v>
      </c>
      <c r="R68" s="211">
        <f t="array" ref="R68">(SUM(IF((CkDJ[Date]=$A$4)*(CkDJ[Ofc Code]=(TRIM(R$7)))*(CkDJ[Account Code]=(TRIM($D68))),CkDJ[Debit])))+(SUM(IF((CsDJ[Date]=$A$4)*(CsDJ[Ofc Code]=(TRIM(R$7)))*(CsDJ[Account Code]=(TRIM($D68))),CsDJ[Debit])))+(SUM(IF((CRDJ[Date]=$A$4)*(CRDJ[Ofc Code]=(TRIM(R$7)))*(CRDJ[Account Code]=(TRIM($D68))),CRDJ[Debit])))+(SUM(IF((GJ[Date]=$A$4)*(GJ[Ofc Code]=(TRIM(R$7)))*(GJ[Account Code]=(TRIM($D68))),GJ[Debit])))-(SUM(IF((CkDJ[Date]=$A$4)*(CkDJ[Ofc Code]=(TRIM(R$7)))*(CkDJ[Account Code]=(TRIM($D68))),CkDJ[Credit])))+(SUM(IF((CsDJ[Date]=$A$4)*(CsDJ[Ofc Code]=(TRIM(R$7)))*(CsDJ[Account Code]=(TRIM($D68))),CsDJ[Credit])))+(SUM(IF((CRDJ[Date]=$A$4)*(CRDJ[Ofc Code]=(TRIM(R$7)))*(CRDJ[Account Code]=(TRIM($D68))),CRDJ[Credit])))+(SUM(IF((GJ[Date]=$A$4)*(GJ[Ofc Code]=(TRIM(R$7)))*(GJ[Account Code]=(TRIM($D68))),GJ[Credit])))</f>
        <v>0</v>
      </c>
      <c r="S68" s="211">
        <f t="array" ref="S68">(SUM(IF((CkDJ[Date]=$A$4)*(CkDJ[Ofc Code]=(TRIM(S$7)))*(CkDJ[Account Code]=(TRIM($D68))),CkDJ[Debit])))+(SUM(IF((CsDJ[Date]=$A$4)*(CsDJ[Ofc Code]=(TRIM(S$7)))*(CsDJ[Account Code]=(TRIM($D68))),CsDJ[Debit])))+(SUM(IF((CRDJ[Date]=$A$4)*(CRDJ[Ofc Code]=(TRIM(S$7)))*(CRDJ[Account Code]=(TRIM($D68))),CRDJ[Debit])))+(SUM(IF((GJ[Date]=$A$4)*(GJ[Ofc Code]=(TRIM(S$7)))*(GJ[Account Code]=(TRIM($D68))),GJ[Debit])))-(SUM(IF((CkDJ[Date]=$A$4)*(CkDJ[Ofc Code]=(TRIM(S$7)))*(CkDJ[Account Code]=(TRIM($D68))),CkDJ[Credit])))+(SUM(IF((CsDJ[Date]=$A$4)*(CsDJ[Ofc Code]=(TRIM(S$7)))*(CsDJ[Account Code]=(TRIM($D68))),CsDJ[Credit])))+(SUM(IF((CRDJ[Date]=$A$4)*(CRDJ[Ofc Code]=(TRIM(S$7)))*(CRDJ[Account Code]=(TRIM($D68))),CRDJ[Credit])))+(SUM(IF((GJ[Date]=$A$4)*(GJ[Ofc Code]=(TRIM(S$7)))*(GJ[Account Code]=(TRIM($D68))),GJ[Credit])))</f>
        <v>0</v>
      </c>
      <c r="T68" s="211">
        <f t="shared" si="17"/>
        <v>0</v>
      </c>
      <c r="U68" s="211">
        <f t="shared" si="18"/>
        <v>0</v>
      </c>
    </row>
    <row r="69" spans="1:22" ht="15" x14ac:dyDescent="0.25">
      <c r="A69" s="212">
        <f t="shared" si="19"/>
        <v>11</v>
      </c>
      <c r="B69" s="214" t="s">
        <v>756</v>
      </c>
      <c r="C69" s="194" t="str">
        <f t="shared" si="14"/>
        <v>Telephone Expenses - Mobile</v>
      </c>
      <c r="D69" s="207">
        <v>773</v>
      </c>
      <c r="E69" s="211">
        <f t="array" ref="E69">(SUM(IF((CkDJ[Date]=$A$4)*(CkDJ[Ofc Code]=(TRIM(E$7)))*(CkDJ[Account Code]=(TRIM($D69))),CkDJ[Debit])))+(SUM(IF((CsDJ[Date]=$A$4)*(CsDJ[Ofc Code]=(TRIM(E$7)))*(CsDJ[Account Code]=(TRIM($D69))),CsDJ[Debit])))+(SUM(IF((CRDJ[Date]=$A$4)*(CRDJ[Ofc Code]=(TRIM(E$7)))*(CRDJ[Account Code]=(TRIM($D69))),CRDJ[Debit])))+(SUM(IF((GJ[Date]=$A$4)*(GJ[Ofc Code]=(TRIM(E$7)))*(GJ[Account Code]=(TRIM($D69))),GJ[Debit])))-(SUM(IF((CkDJ[Date]=$A$4)*(CkDJ[Ofc Code]=(TRIM(E$7)))*(CkDJ[Account Code]=(TRIM($D69))),CkDJ[Credit])))+(SUM(IF((CsDJ[Date]=$A$4)*(CsDJ[Ofc Code]=(TRIM(E$7)))*(CsDJ[Account Code]=(TRIM($D69))),CsDJ[Credit])))+(SUM(IF((CRDJ[Date]=$A$4)*(CRDJ[Ofc Code]=(TRIM(E$7)))*(CRDJ[Account Code]=(TRIM($D69))),CRDJ[Credit])))+(SUM(IF((GJ[Date]=$A$4)*(GJ[Ofc Code]=(TRIM(E$7)))*(GJ[Account Code]=(TRIM($D69))),GJ[Credit])))</f>
        <v>0</v>
      </c>
      <c r="F69" s="211">
        <f t="array" ref="F69">(SUM(IF((CkDJ[Date]=$A$4)*(CkDJ[Ofc Code]=(TRIM(F$7)))*(CkDJ[Account Code]=(TRIM($D69))),CkDJ[Debit])))+(SUM(IF((CsDJ[Date]=$A$4)*(CsDJ[Ofc Code]=(TRIM(F$7)))*(CsDJ[Account Code]=(TRIM($D69))),CsDJ[Debit])))+(SUM(IF((CRDJ[Date]=$A$4)*(CRDJ[Ofc Code]=(TRIM(F$7)))*(CRDJ[Account Code]=(TRIM($D69))),CRDJ[Debit])))+(SUM(IF((GJ[Date]=$A$4)*(GJ[Ofc Code]=(TRIM(F$7)))*(GJ[Account Code]=(TRIM($D69))),GJ[Debit])))-(SUM(IF((CkDJ[Date]=$A$4)*(CkDJ[Ofc Code]=(TRIM(F$7)))*(CkDJ[Account Code]=(TRIM($D69))),CkDJ[Credit])))+(SUM(IF((CsDJ[Date]=$A$4)*(CsDJ[Ofc Code]=(TRIM(F$7)))*(CsDJ[Account Code]=(TRIM($D69))),CsDJ[Credit])))+(SUM(IF((CRDJ[Date]=$A$4)*(CRDJ[Ofc Code]=(TRIM(F$7)))*(CRDJ[Account Code]=(TRIM($D69))),CRDJ[Credit])))+(SUM(IF((GJ[Date]=$A$4)*(GJ[Ofc Code]=(TRIM(F$7)))*(GJ[Account Code]=(TRIM($D69))),GJ[Credit])))</f>
        <v>0</v>
      </c>
      <c r="G69" s="211">
        <f t="array" ref="G69">(SUM(IF((CkDJ[Date]=$A$4)*(CkDJ[Ofc Code]=(TRIM(G$7)))*(CkDJ[Account Code]=(TRIM($D69))),CkDJ[Debit])))+(SUM(IF((CsDJ[Date]=$A$4)*(CsDJ[Ofc Code]=(TRIM(G$7)))*(CsDJ[Account Code]=(TRIM($D69))),CsDJ[Debit])))+(SUM(IF((CRDJ[Date]=$A$4)*(CRDJ[Ofc Code]=(TRIM(G$7)))*(CRDJ[Account Code]=(TRIM($D69))),CRDJ[Debit])))+(SUM(IF((GJ[Date]=$A$4)*(GJ[Ofc Code]=(TRIM(G$7)))*(GJ[Account Code]=(TRIM($D69))),GJ[Debit])))-(SUM(IF((CkDJ[Date]=$A$4)*(CkDJ[Ofc Code]=(TRIM(G$7)))*(CkDJ[Account Code]=(TRIM($D69))),CkDJ[Credit])))+(SUM(IF((CsDJ[Date]=$A$4)*(CsDJ[Ofc Code]=(TRIM(G$7)))*(CsDJ[Account Code]=(TRIM($D69))),CsDJ[Credit])))+(SUM(IF((CRDJ[Date]=$A$4)*(CRDJ[Ofc Code]=(TRIM(G$7)))*(CRDJ[Account Code]=(TRIM($D69))),CRDJ[Credit])))+(SUM(IF((GJ[Date]=$A$4)*(GJ[Ofc Code]=(TRIM(G$7)))*(GJ[Account Code]=(TRIM($D69))),GJ[Credit])))</f>
        <v>0</v>
      </c>
      <c r="H69" s="211">
        <f t="array" ref="H69">(SUM(IF((CkDJ[Date]=$A$4)*(CkDJ[Ofc Code]=(TRIM(H$7)))*(CkDJ[Account Code]=(TRIM($D69))),CkDJ[Debit])))+(SUM(IF((CsDJ[Date]=$A$4)*(CsDJ[Ofc Code]=(TRIM(H$7)))*(CsDJ[Account Code]=(TRIM($D69))),CsDJ[Debit])))+(SUM(IF((CRDJ[Date]=$A$4)*(CRDJ[Ofc Code]=(TRIM(H$7)))*(CRDJ[Account Code]=(TRIM($D69))),CRDJ[Debit])))+(SUM(IF((GJ[Date]=$A$4)*(GJ[Ofc Code]=(TRIM(H$7)))*(GJ[Account Code]=(TRIM($D69))),GJ[Debit])))-(SUM(IF((CkDJ[Date]=$A$4)*(CkDJ[Ofc Code]=(TRIM(H$7)))*(CkDJ[Account Code]=(TRIM($D69))),CkDJ[Credit])))+(SUM(IF((CsDJ[Date]=$A$4)*(CsDJ[Ofc Code]=(TRIM(H$7)))*(CsDJ[Account Code]=(TRIM($D69))),CsDJ[Credit])))+(SUM(IF((CRDJ[Date]=$A$4)*(CRDJ[Ofc Code]=(TRIM(H$7)))*(CRDJ[Account Code]=(TRIM($D69))),CRDJ[Credit])))+(SUM(IF((GJ[Date]=$A$4)*(GJ[Ofc Code]=(TRIM(H$7)))*(GJ[Account Code]=(TRIM($D69))),GJ[Credit])))</f>
        <v>0</v>
      </c>
      <c r="I69" s="211">
        <f t="shared" si="15"/>
        <v>0</v>
      </c>
      <c r="J69" s="211">
        <f t="array" ref="J69">(SUM(IF((CkDJ[Date]=$A$4)*(CkDJ[Ofc Code]=(TRIM(J$7)))*(CkDJ[Account Code]=(TRIM($D69))),CkDJ[Debit])))+(SUM(IF((CsDJ[Date]=$A$4)*(CsDJ[Ofc Code]=(TRIM(J$7)))*(CsDJ[Account Code]=(TRIM($D69))),CsDJ[Debit])))+(SUM(IF((CRDJ[Date]=$A$4)*(CRDJ[Ofc Code]=(TRIM(J$7)))*(CRDJ[Account Code]=(TRIM($D69))),CRDJ[Debit])))+(SUM(IF((GJ[Date]=$A$4)*(GJ[Ofc Code]=(TRIM(J$7)))*(GJ[Account Code]=(TRIM($D69))),GJ[Debit])))-(SUM(IF((CkDJ[Date]=$A$4)*(CkDJ[Ofc Code]=(TRIM(J$7)))*(CkDJ[Account Code]=(TRIM($D69))),CkDJ[Credit])))+(SUM(IF((CsDJ[Date]=$A$4)*(CsDJ[Ofc Code]=(TRIM(J$7)))*(CsDJ[Account Code]=(TRIM($D69))),CsDJ[Credit])))+(SUM(IF((CRDJ[Date]=$A$4)*(CRDJ[Ofc Code]=(TRIM(J$7)))*(CRDJ[Account Code]=(TRIM($D69))),CRDJ[Credit])))+(SUM(IF((GJ[Date]=$A$4)*(GJ[Ofc Code]=(TRIM(J$7)))*(GJ[Account Code]=(TRIM($D69))),GJ[Credit])))</f>
        <v>0</v>
      </c>
      <c r="K69" s="211">
        <f t="array" ref="K69">(SUM(IF((CkDJ[Date]=$A$4)*(CkDJ[Ofc Code]=(TRIM(K$7)))*(CkDJ[Account Code]=(TRIM($D69))),CkDJ[Debit])))+(SUM(IF((CsDJ[Date]=$A$4)*(CsDJ[Ofc Code]=(TRIM(K$7)))*(CsDJ[Account Code]=(TRIM($D69))),CsDJ[Debit])))+(SUM(IF((CRDJ[Date]=$A$4)*(CRDJ[Ofc Code]=(TRIM(K$7)))*(CRDJ[Account Code]=(TRIM($D69))),CRDJ[Debit])))+(SUM(IF((GJ[Date]=$A$4)*(GJ[Ofc Code]=(TRIM(K$7)))*(GJ[Account Code]=(TRIM($D69))),GJ[Debit])))-(SUM(IF((CkDJ[Date]=$A$4)*(CkDJ[Ofc Code]=(TRIM(K$7)))*(CkDJ[Account Code]=(TRIM($D69))),CkDJ[Credit])))+(SUM(IF((CsDJ[Date]=$A$4)*(CsDJ[Ofc Code]=(TRIM(K$7)))*(CsDJ[Account Code]=(TRIM($D69))),CsDJ[Credit])))+(SUM(IF((CRDJ[Date]=$A$4)*(CRDJ[Ofc Code]=(TRIM(K$7)))*(CRDJ[Account Code]=(TRIM($D69))),CRDJ[Credit])))+(SUM(IF((GJ[Date]=$A$4)*(GJ[Ofc Code]=(TRIM(K$7)))*(GJ[Account Code]=(TRIM($D69))),GJ[Credit])))</f>
        <v>0</v>
      </c>
      <c r="L69" s="211">
        <f t="array" ref="L69">(SUM(IF((CkDJ[Date]=$A$4)*(CkDJ[Ofc Code]=(TRIM(L$7)))*(CkDJ[Account Code]=(TRIM($D69))),CkDJ[Debit])))+(SUM(IF((CsDJ[Date]=$A$4)*(CsDJ[Ofc Code]=(TRIM(L$7)))*(CsDJ[Account Code]=(TRIM($D69))),CsDJ[Debit])))+(SUM(IF((CRDJ[Date]=$A$4)*(CRDJ[Ofc Code]=(TRIM(L$7)))*(CRDJ[Account Code]=(TRIM($D69))),CRDJ[Debit])))+(SUM(IF((GJ[Date]=$A$4)*(GJ[Ofc Code]=(TRIM(L$7)))*(GJ[Account Code]=(TRIM($D69))),GJ[Debit])))-(SUM(IF((CkDJ[Date]=$A$4)*(CkDJ[Ofc Code]=(TRIM(L$7)))*(CkDJ[Account Code]=(TRIM($D69))),CkDJ[Credit])))+(SUM(IF((CsDJ[Date]=$A$4)*(CsDJ[Ofc Code]=(TRIM(L$7)))*(CsDJ[Account Code]=(TRIM($D69))),CsDJ[Credit])))+(SUM(IF((CRDJ[Date]=$A$4)*(CRDJ[Ofc Code]=(TRIM(L$7)))*(CRDJ[Account Code]=(TRIM($D69))),CRDJ[Credit])))+(SUM(IF((GJ[Date]=$A$4)*(GJ[Ofc Code]=(TRIM(L$7)))*(GJ[Account Code]=(TRIM($D69))),GJ[Credit])))</f>
        <v>0</v>
      </c>
      <c r="M69" s="211">
        <f t="array" ref="M69">(SUM(IF((CkDJ[Date]=$A$4)*(CkDJ[Ofc Code]=(TRIM(M$7)))*(CkDJ[Account Code]=(TRIM($D69))),CkDJ[Debit])))+(SUM(IF((CsDJ[Date]=$A$4)*(CsDJ[Ofc Code]=(TRIM(M$7)))*(CsDJ[Account Code]=(TRIM($D69))),CsDJ[Debit])))+(SUM(IF((CRDJ[Date]=$A$4)*(CRDJ[Ofc Code]=(TRIM(M$7)))*(CRDJ[Account Code]=(TRIM($D69))),CRDJ[Debit])))+(SUM(IF((GJ[Date]=$A$4)*(GJ[Ofc Code]=(TRIM(M$7)))*(GJ[Account Code]=(TRIM($D69))),GJ[Debit])))-(SUM(IF((CkDJ[Date]=$A$4)*(CkDJ[Ofc Code]=(TRIM(M$7)))*(CkDJ[Account Code]=(TRIM($D69))),CkDJ[Credit])))+(SUM(IF((CsDJ[Date]=$A$4)*(CsDJ[Ofc Code]=(TRIM(M$7)))*(CsDJ[Account Code]=(TRIM($D69))),CsDJ[Credit])))+(SUM(IF((CRDJ[Date]=$A$4)*(CRDJ[Ofc Code]=(TRIM(M$7)))*(CRDJ[Account Code]=(TRIM($D69))),CRDJ[Credit])))+(SUM(IF((GJ[Date]=$A$4)*(GJ[Ofc Code]=(TRIM(M$7)))*(GJ[Account Code]=(TRIM($D69))),GJ[Credit])))</f>
        <v>0</v>
      </c>
      <c r="N69" s="211">
        <f t="shared" si="16"/>
        <v>0</v>
      </c>
      <c r="O69" s="211">
        <f t="array" ref="O69">(SUM(IF((CkDJ[Date]=$A$4)*(CkDJ[Ofc Code]=(TRIM(O$7)))*(CkDJ[Account Code]=(TRIM($D69))),CkDJ[Debit])))+(SUM(IF((CsDJ[Date]=$A$4)*(CsDJ[Ofc Code]=(TRIM(O$7)))*(CsDJ[Account Code]=(TRIM($D69))),CsDJ[Debit])))+(SUM(IF((CRDJ[Date]=$A$4)*(CRDJ[Ofc Code]=(TRIM(O$7)))*(CRDJ[Account Code]=(TRIM($D69))),CRDJ[Debit])))+(SUM(IF((GJ[Date]=$A$4)*(GJ[Ofc Code]=(TRIM(O$7)))*(GJ[Account Code]=(TRIM($D69))),GJ[Debit])))-(SUM(IF((CkDJ[Date]=$A$4)*(CkDJ[Ofc Code]=(TRIM(O$7)))*(CkDJ[Account Code]=(TRIM($D69))),CkDJ[Credit])))+(SUM(IF((CsDJ[Date]=$A$4)*(CsDJ[Ofc Code]=(TRIM(O$7)))*(CsDJ[Account Code]=(TRIM($D69))),CsDJ[Credit])))+(SUM(IF((CRDJ[Date]=$A$4)*(CRDJ[Ofc Code]=(TRIM(O$7)))*(CRDJ[Account Code]=(TRIM($D69))),CRDJ[Credit])))+(SUM(IF((GJ[Date]=$A$4)*(GJ[Ofc Code]=(TRIM(O$7)))*(GJ[Account Code]=(TRIM($D69))),GJ[Credit])))</f>
        <v>0</v>
      </c>
      <c r="P69" s="211">
        <f t="array" ref="P69">(SUM(IF((CkDJ[Date]=$A$4)*(CkDJ[Ofc Code]=(TRIM(P$7)))*(CkDJ[Account Code]=(TRIM($D69))),CkDJ[Debit])))+(SUM(IF((CsDJ[Date]=$A$4)*(CsDJ[Ofc Code]=(TRIM(P$7)))*(CsDJ[Account Code]=(TRIM($D69))),CsDJ[Debit])))+(SUM(IF((CRDJ[Date]=$A$4)*(CRDJ[Ofc Code]=(TRIM(P$7)))*(CRDJ[Account Code]=(TRIM($D69))),CRDJ[Debit])))+(SUM(IF((GJ[Date]=$A$4)*(GJ[Ofc Code]=(TRIM(P$7)))*(GJ[Account Code]=(TRIM($D69))),GJ[Debit])))-(SUM(IF((CkDJ[Date]=$A$4)*(CkDJ[Ofc Code]=(TRIM(P$7)))*(CkDJ[Account Code]=(TRIM($D69))),CkDJ[Credit])))+(SUM(IF((CsDJ[Date]=$A$4)*(CsDJ[Ofc Code]=(TRIM(P$7)))*(CsDJ[Account Code]=(TRIM($D69))),CsDJ[Credit])))+(SUM(IF((CRDJ[Date]=$A$4)*(CRDJ[Ofc Code]=(TRIM(P$7)))*(CRDJ[Account Code]=(TRIM($D69))),CRDJ[Credit])))+(SUM(IF((GJ[Date]=$A$4)*(GJ[Ofc Code]=(TRIM(P$7)))*(GJ[Account Code]=(TRIM($D69))),GJ[Credit])))</f>
        <v>0</v>
      </c>
      <c r="Q69" s="211">
        <f t="array" ref="Q69">(SUM(IF((CkDJ[Date]=$A$4)*(CkDJ[Ofc Code]=(TRIM(Q$7)))*(CkDJ[Account Code]=(TRIM($D69))),CkDJ[Debit])))+(SUM(IF((CsDJ[Date]=$A$4)*(CsDJ[Ofc Code]=(TRIM(Q$7)))*(CsDJ[Account Code]=(TRIM($D69))),CsDJ[Debit])))+(SUM(IF((CRDJ[Date]=$A$4)*(CRDJ[Ofc Code]=(TRIM(Q$7)))*(CRDJ[Account Code]=(TRIM($D69))),CRDJ[Debit])))+(SUM(IF((GJ[Date]=$A$4)*(GJ[Ofc Code]=(TRIM(Q$7)))*(GJ[Account Code]=(TRIM($D69))),GJ[Debit])))-(SUM(IF((CkDJ[Date]=$A$4)*(CkDJ[Ofc Code]=(TRIM(Q$7)))*(CkDJ[Account Code]=(TRIM($D69))),CkDJ[Credit])))+(SUM(IF((CsDJ[Date]=$A$4)*(CsDJ[Ofc Code]=(TRIM(Q$7)))*(CsDJ[Account Code]=(TRIM($D69))),CsDJ[Credit])))+(SUM(IF((CRDJ[Date]=$A$4)*(CRDJ[Ofc Code]=(TRIM(Q$7)))*(CRDJ[Account Code]=(TRIM($D69))),CRDJ[Credit])))+(SUM(IF((GJ[Date]=$A$4)*(GJ[Ofc Code]=(TRIM(Q$7)))*(GJ[Account Code]=(TRIM($D69))),GJ[Credit])))</f>
        <v>0</v>
      </c>
      <c r="R69" s="211">
        <f t="array" ref="R69">(SUM(IF((CkDJ[Date]=$A$4)*(CkDJ[Ofc Code]=(TRIM(R$7)))*(CkDJ[Account Code]=(TRIM($D69))),CkDJ[Debit])))+(SUM(IF((CsDJ[Date]=$A$4)*(CsDJ[Ofc Code]=(TRIM(R$7)))*(CsDJ[Account Code]=(TRIM($D69))),CsDJ[Debit])))+(SUM(IF((CRDJ[Date]=$A$4)*(CRDJ[Ofc Code]=(TRIM(R$7)))*(CRDJ[Account Code]=(TRIM($D69))),CRDJ[Debit])))+(SUM(IF((GJ[Date]=$A$4)*(GJ[Ofc Code]=(TRIM(R$7)))*(GJ[Account Code]=(TRIM($D69))),GJ[Debit])))-(SUM(IF((CkDJ[Date]=$A$4)*(CkDJ[Ofc Code]=(TRIM(R$7)))*(CkDJ[Account Code]=(TRIM($D69))),CkDJ[Credit])))+(SUM(IF((CsDJ[Date]=$A$4)*(CsDJ[Ofc Code]=(TRIM(R$7)))*(CsDJ[Account Code]=(TRIM($D69))),CsDJ[Credit])))+(SUM(IF((CRDJ[Date]=$A$4)*(CRDJ[Ofc Code]=(TRIM(R$7)))*(CRDJ[Account Code]=(TRIM($D69))),CRDJ[Credit])))+(SUM(IF((GJ[Date]=$A$4)*(GJ[Ofc Code]=(TRIM(R$7)))*(GJ[Account Code]=(TRIM($D69))),GJ[Credit])))</f>
        <v>0</v>
      </c>
      <c r="S69" s="211">
        <f t="array" ref="S69">(SUM(IF((CkDJ[Date]=$A$4)*(CkDJ[Ofc Code]=(TRIM(S$7)))*(CkDJ[Account Code]=(TRIM($D69))),CkDJ[Debit])))+(SUM(IF((CsDJ[Date]=$A$4)*(CsDJ[Ofc Code]=(TRIM(S$7)))*(CsDJ[Account Code]=(TRIM($D69))),CsDJ[Debit])))+(SUM(IF((CRDJ[Date]=$A$4)*(CRDJ[Ofc Code]=(TRIM(S$7)))*(CRDJ[Account Code]=(TRIM($D69))),CRDJ[Debit])))+(SUM(IF((GJ[Date]=$A$4)*(GJ[Ofc Code]=(TRIM(S$7)))*(GJ[Account Code]=(TRIM($D69))),GJ[Debit])))-(SUM(IF((CkDJ[Date]=$A$4)*(CkDJ[Ofc Code]=(TRIM(S$7)))*(CkDJ[Account Code]=(TRIM($D69))),CkDJ[Credit])))+(SUM(IF((CsDJ[Date]=$A$4)*(CsDJ[Ofc Code]=(TRIM(S$7)))*(CsDJ[Account Code]=(TRIM($D69))),CsDJ[Credit])))+(SUM(IF((CRDJ[Date]=$A$4)*(CRDJ[Ofc Code]=(TRIM(S$7)))*(CRDJ[Account Code]=(TRIM($D69))),CRDJ[Credit])))+(SUM(IF((GJ[Date]=$A$4)*(GJ[Ofc Code]=(TRIM(S$7)))*(GJ[Account Code]=(TRIM($D69))),GJ[Credit])))</f>
        <v>0</v>
      </c>
      <c r="T69" s="211">
        <f t="shared" si="17"/>
        <v>0</v>
      </c>
      <c r="U69" s="211">
        <f t="shared" si="18"/>
        <v>0</v>
      </c>
    </row>
    <row r="70" spans="1:22" ht="15" x14ac:dyDescent="0.25">
      <c r="A70" s="212">
        <f t="shared" si="19"/>
        <v>12</v>
      </c>
      <c r="B70" s="214"/>
      <c r="C70" s="194" t="str">
        <f t="shared" si="14"/>
        <v>Internet Subscription Expenses</v>
      </c>
      <c r="D70" s="207">
        <v>774</v>
      </c>
      <c r="E70" s="211">
        <f t="array" ref="E70">(SUM(IF((CkDJ[Date]=$A$4)*(CkDJ[Ofc Code]=(TRIM(E$7)))*(CkDJ[Account Code]=(TRIM($D70))),CkDJ[Debit])))+(SUM(IF((CsDJ[Date]=$A$4)*(CsDJ[Ofc Code]=(TRIM(E$7)))*(CsDJ[Account Code]=(TRIM($D70))),CsDJ[Debit])))+(SUM(IF((CRDJ[Date]=$A$4)*(CRDJ[Ofc Code]=(TRIM(E$7)))*(CRDJ[Account Code]=(TRIM($D70))),CRDJ[Debit])))+(SUM(IF((GJ[Date]=$A$4)*(GJ[Ofc Code]=(TRIM(E$7)))*(GJ[Account Code]=(TRIM($D70))),GJ[Debit])))-(SUM(IF((CkDJ[Date]=$A$4)*(CkDJ[Ofc Code]=(TRIM(E$7)))*(CkDJ[Account Code]=(TRIM($D70))),CkDJ[Credit])))+(SUM(IF((CsDJ[Date]=$A$4)*(CsDJ[Ofc Code]=(TRIM(E$7)))*(CsDJ[Account Code]=(TRIM($D70))),CsDJ[Credit])))+(SUM(IF((CRDJ[Date]=$A$4)*(CRDJ[Ofc Code]=(TRIM(E$7)))*(CRDJ[Account Code]=(TRIM($D70))),CRDJ[Credit])))+(SUM(IF((GJ[Date]=$A$4)*(GJ[Ofc Code]=(TRIM(E$7)))*(GJ[Account Code]=(TRIM($D70))),GJ[Credit])))</f>
        <v>0</v>
      </c>
      <c r="F70" s="211">
        <f t="array" ref="F70">(SUM(IF((CkDJ[Date]=$A$4)*(CkDJ[Ofc Code]=(TRIM(F$7)))*(CkDJ[Account Code]=(TRIM($D70))),CkDJ[Debit])))+(SUM(IF((CsDJ[Date]=$A$4)*(CsDJ[Ofc Code]=(TRIM(F$7)))*(CsDJ[Account Code]=(TRIM($D70))),CsDJ[Debit])))+(SUM(IF((CRDJ[Date]=$A$4)*(CRDJ[Ofc Code]=(TRIM(F$7)))*(CRDJ[Account Code]=(TRIM($D70))),CRDJ[Debit])))+(SUM(IF((GJ[Date]=$A$4)*(GJ[Ofc Code]=(TRIM(F$7)))*(GJ[Account Code]=(TRIM($D70))),GJ[Debit])))-(SUM(IF((CkDJ[Date]=$A$4)*(CkDJ[Ofc Code]=(TRIM(F$7)))*(CkDJ[Account Code]=(TRIM($D70))),CkDJ[Credit])))+(SUM(IF((CsDJ[Date]=$A$4)*(CsDJ[Ofc Code]=(TRIM(F$7)))*(CsDJ[Account Code]=(TRIM($D70))),CsDJ[Credit])))+(SUM(IF((CRDJ[Date]=$A$4)*(CRDJ[Ofc Code]=(TRIM(F$7)))*(CRDJ[Account Code]=(TRIM($D70))),CRDJ[Credit])))+(SUM(IF((GJ[Date]=$A$4)*(GJ[Ofc Code]=(TRIM(F$7)))*(GJ[Account Code]=(TRIM($D70))),GJ[Credit])))</f>
        <v>0</v>
      </c>
      <c r="G70" s="211">
        <f t="array" ref="G70">(SUM(IF((CkDJ[Date]=$A$4)*(CkDJ[Ofc Code]=(TRIM(G$7)))*(CkDJ[Account Code]=(TRIM($D70))),CkDJ[Debit])))+(SUM(IF((CsDJ[Date]=$A$4)*(CsDJ[Ofc Code]=(TRIM(G$7)))*(CsDJ[Account Code]=(TRIM($D70))),CsDJ[Debit])))+(SUM(IF((CRDJ[Date]=$A$4)*(CRDJ[Ofc Code]=(TRIM(G$7)))*(CRDJ[Account Code]=(TRIM($D70))),CRDJ[Debit])))+(SUM(IF((GJ[Date]=$A$4)*(GJ[Ofc Code]=(TRIM(G$7)))*(GJ[Account Code]=(TRIM($D70))),GJ[Debit])))-(SUM(IF((CkDJ[Date]=$A$4)*(CkDJ[Ofc Code]=(TRIM(G$7)))*(CkDJ[Account Code]=(TRIM($D70))),CkDJ[Credit])))+(SUM(IF((CsDJ[Date]=$A$4)*(CsDJ[Ofc Code]=(TRIM(G$7)))*(CsDJ[Account Code]=(TRIM($D70))),CsDJ[Credit])))+(SUM(IF((CRDJ[Date]=$A$4)*(CRDJ[Ofc Code]=(TRIM(G$7)))*(CRDJ[Account Code]=(TRIM($D70))),CRDJ[Credit])))+(SUM(IF((GJ[Date]=$A$4)*(GJ[Ofc Code]=(TRIM(G$7)))*(GJ[Account Code]=(TRIM($D70))),GJ[Credit])))</f>
        <v>0</v>
      </c>
      <c r="H70" s="211">
        <f t="array" ref="H70">(SUM(IF((CkDJ[Date]=$A$4)*(CkDJ[Ofc Code]=(TRIM(H$7)))*(CkDJ[Account Code]=(TRIM($D70))),CkDJ[Debit])))+(SUM(IF((CsDJ[Date]=$A$4)*(CsDJ[Ofc Code]=(TRIM(H$7)))*(CsDJ[Account Code]=(TRIM($D70))),CsDJ[Debit])))+(SUM(IF((CRDJ[Date]=$A$4)*(CRDJ[Ofc Code]=(TRIM(H$7)))*(CRDJ[Account Code]=(TRIM($D70))),CRDJ[Debit])))+(SUM(IF((GJ[Date]=$A$4)*(GJ[Ofc Code]=(TRIM(H$7)))*(GJ[Account Code]=(TRIM($D70))),GJ[Debit])))-(SUM(IF((CkDJ[Date]=$A$4)*(CkDJ[Ofc Code]=(TRIM(H$7)))*(CkDJ[Account Code]=(TRIM($D70))),CkDJ[Credit])))+(SUM(IF((CsDJ[Date]=$A$4)*(CsDJ[Ofc Code]=(TRIM(H$7)))*(CsDJ[Account Code]=(TRIM($D70))),CsDJ[Credit])))+(SUM(IF((CRDJ[Date]=$A$4)*(CRDJ[Ofc Code]=(TRIM(H$7)))*(CRDJ[Account Code]=(TRIM($D70))),CRDJ[Credit])))+(SUM(IF((GJ[Date]=$A$4)*(GJ[Ofc Code]=(TRIM(H$7)))*(GJ[Account Code]=(TRIM($D70))),GJ[Credit])))</f>
        <v>0</v>
      </c>
      <c r="I70" s="211">
        <f t="shared" si="15"/>
        <v>0</v>
      </c>
      <c r="J70" s="211">
        <f t="array" ref="J70">(SUM(IF((CkDJ[Date]=$A$4)*(CkDJ[Ofc Code]=(TRIM(J$7)))*(CkDJ[Account Code]=(TRIM($D70))),CkDJ[Debit])))+(SUM(IF((CsDJ[Date]=$A$4)*(CsDJ[Ofc Code]=(TRIM(J$7)))*(CsDJ[Account Code]=(TRIM($D70))),CsDJ[Debit])))+(SUM(IF((CRDJ[Date]=$A$4)*(CRDJ[Ofc Code]=(TRIM(J$7)))*(CRDJ[Account Code]=(TRIM($D70))),CRDJ[Debit])))+(SUM(IF((GJ[Date]=$A$4)*(GJ[Ofc Code]=(TRIM(J$7)))*(GJ[Account Code]=(TRIM($D70))),GJ[Debit])))-(SUM(IF((CkDJ[Date]=$A$4)*(CkDJ[Ofc Code]=(TRIM(J$7)))*(CkDJ[Account Code]=(TRIM($D70))),CkDJ[Credit])))+(SUM(IF((CsDJ[Date]=$A$4)*(CsDJ[Ofc Code]=(TRIM(J$7)))*(CsDJ[Account Code]=(TRIM($D70))),CsDJ[Credit])))+(SUM(IF((CRDJ[Date]=$A$4)*(CRDJ[Ofc Code]=(TRIM(J$7)))*(CRDJ[Account Code]=(TRIM($D70))),CRDJ[Credit])))+(SUM(IF((GJ[Date]=$A$4)*(GJ[Ofc Code]=(TRIM(J$7)))*(GJ[Account Code]=(TRIM($D70))),GJ[Credit])))</f>
        <v>0</v>
      </c>
      <c r="K70" s="211">
        <f t="array" ref="K70">(SUM(IF((CkDJ[Date]=$A$4)*(CkDJ[Ofc Code]=(TRIM(K$7)))*(CkDJ[Account Code]=(TRIM($D70))),CkDJ[Debit])))+(SUM(IF((CsDJ[Date]=$A$4)*(CsDJ[Ofc Code]=(TRIM(K$7)))*(CsDJ[Account Code]=(TRIM($D70))),CsDJ[Debit])))+(SUM(IF((CRDJ[Date]=$A$4)*(CRDJ[Ofc Code]=(TRIM(K$7)))*(CRDJ[Account Code]=(TRIM($D70))),CRDJ[Debit])))+(SUM(IF((GJ[Date]=$A$4)*(GJ[Ofc Code]=(TRIM(K$7)))*(GJ[Account Code]=(TRIM($D70))),GJ[Debit])))-(SUM(IF((CkDJ[Date]=$A$4)*(CkDJ[Ofc Code]=(TRIM(K$7)))*(CkDJ[Account Code]=(TRIM($D70))),CkDJ[Credit])))+(SUM(IF((CsDJ[Date]=$A$4)*(CsDJ[Ofc Code]=(TRIM(K$7)))*(CsDJ[Account Code]=(TRIM($D70))),CsDJ[Credit])))+(SUM(IF((CRDJ[Date]=$A$4)*(CRDJ[Ofc Code]=(TRIM(K$7)))*(CRDJ[Account Code]=(TRIM($D70))),CRDJ[Credit])))+(SUM(IF((GJ[Date]=$A$4)*(GJ[Ofc Code]=(TRIM(K$7)))*(GJ[Account Code]=(TRIM($D70))),GJ[Credit])))</f>
        <v>0</v>
      </c>
      <c r="L70" s="211">
        <f t="array" ref="L70">(SUM(IF((CkDJ[Date]=$A$4)*(CkDJ[Ofc Code]=(TRIM(L$7)))*(CkDJ[Account Code]=(TRIM($D70))),CkDJ[Debit])))+(SUM(IF((CsDJ[Date]=$A$4)*(CsDJ[Ofc Code]=(TRIM(L$7)))*(CsDJ[Account Code]=(TRIM($D70))),CsDJ[Debit])))+(SUM(IF((CRDJ[Date]=$A$4)*(CRDJ[Ofc Code]=(TRIM(L$7)))*(CRDJ[Account Code]=(TRIM($D70))),CRDJ[Debit])))+(SUM(IF((GJ[Date]=$A$4)*(GJ[Ofc Code]=(TRIM(L$7)))*(GJ[Account Code]=(TRIM($D70))),GJ[Debit])))-(SUM(IF((CkDJ[Date]=$A$4)*(CkDJ[Ofc Code]=(TRIM(L$7)))*(CkDJ[Account Code]=(TRIM($D70))),CkDJ[Credit])))+(SUM(IF((CsDJ[Date]=$A$4)*(CsDJ[Ofc Code]=(TRIM(L$7)))*(CsDJ[Account Code]=(TRIM($D70))),CsDJ[Credit])))+(SUM(IF((CRDJ[Date]=$A$4)*(CRDJ[Ofc Code]=(TRIM(L$7)))*(CRDJ[Account Code]=(TRIM($D70))),CRDJ[Credit])))+(SUM(IF((GJ[Date]=$A$4)*(GJ[Ofc Code]=(TRIM(L$7)))*(GJ[Account Code]=(TRIM($D70))),GJ[Credit])))</f>
        <v>0</v>
      </c>
      <c r="M70" s="211">
        <f t="array" ref="M70">(SUM(IF((CkDJ[Date]=$A$4)*(CkDJ[Ofc Code]=(TRIM(M$7)))*(CkDJ[Account Code]=(TRIM($D70))),CkDJ[Debit])))+(SUM(IF((CsDJ[Date]=$A$4)*(CsDJ[Ofc Code]=(TRIM(M$7)))*(CsDJ[Account Code]=(TRIM($D70))),CsDJ[Debit])))+(SUM(IF((CRDJ[Date]=$A$4)*(CRDJ[Ofc Code]=(TRIM(M$7)))*(CRDJ[Account Code]=(TRIM($D70))),CRDJ[Debit])))+(SUM(IF((GJ[Date]=$A$4)*(GJ[Ofc Code]=(TRIM(M$7)))*(GJ[Account Code]=(TRIM($D70))),GJ[Debit])))-(SUM(IF((CkDJ[Date]=$A$4)*(CkDJ[Ofc Code]=(TRIM(M$7)))*(CkDJ[Account Code]=(TRIM($D70))),CkDJ[Credit])))+(SUM(IF((CsDJ[Date]=$A$4)*(CsDJ[Ofc Code]=(TRIM(M$7)))*(CsDJ[Account Code]=(TRIM($D70))),CsDJ[Credit])))+(SUM(IF((CRDJ[Date]=$A$4)*(CRDJ[Ofc Code]=(TRIM(M$7)))*(CRDJ[Account Code]=(TRIM($D70))),CRDJ[Credit])))+(SUM(IF((GJ[Date]=$A$4)*(GJ[Ofc Code]=(TRIM(M$7)))*(GJ[Account Code]=(TRIM($D70))),GJ[Credit])))</f>
        <v>0</v>
      </c>
      <c r="N70" s="211">
        <f t="shared" si="16"/>
        <v>0</v>
      </c>
      <c r="O70" s="211">
        <f t="array" ref="O70">(SUM(IF((CkDJ[Date]=$A$4)*(CkDJ[Ofc Code]=(TRIM(O$7)))*(CkDJ[Account Code]=(TRIM($D70))),CkDJ[Debit])))+(SUM(IF((CsDJ[Date]=$A$4)*(CsDJ[Ofc Code]=(TRIM(O$7)))*(CsDJ[Account Code]=(TRIM($D70))),CsDJ[Debit])))+(SUM(IF((CRDJ[Date]=$A$4)*(CRDJ[Ofc Code]=(TRIM(O$7)))*(CRDJ[Account Code]=(TRIM($D70))),CRDJ[Debit])))+(SUM(IF((GJ[Date]=$A$4)*(GJ[Ofc Code]=(TRIM(O$7)))*(GJ[Account Code]=(TRIM($D70))),GJ[Debit])))-(SUM(IF((CkDJ[Date]=$A$4)*(CkDJ[Ofc Code]=(TRIM(O$7)))*(CkDJ[Account Code]=(TRIM($D70))),CkDJ[Credit])))+(SUM(IF((CsDJ[Date]=$A$4)*(CsDJ[Ofc Code]=(TRIM(O$7)))*(CsDJ[Account Code]=(TRIM($D70))),CsDJ[Credit])))+(SUM(IF((CRDJ[Date]=$A$4)*(CRDJ[Ofc Code]=(TRIM(O$7)))*(CRDJ[Account Code]=(TRIM($D70))),CRDJ[Credit])))+(SUM(IF((GJ[Date]=$A$4)*(GJ[Ofc Code]=(TRIM(O$7)))*(GJ[Account Code]=(TRIM($D70))),GJ[Credit])))</f>
        <v>0</v>
      </c>
      <c r="P70" s="211">
        <f t="array" ref="P70">(SUM(IF((CkDJ[Date]=$A$4)*(CkDJ[Ofc Code]=(TRIM(P$7)))*(CkDJ[Account Code]=(TRIM($D70))),CkDJ[Debit])))+(SUM(IF((CsDJ[Date]=$A$4)*(CsDJ[Ofc Code]=(TRIM(P$7)))*(CsDJ[Account Code]=(TRIM($D70))),CsDJ[Debit])))+(SUM(IF((CRDJ[Date]=$A$4)*(CRDJ[Ofc Code]=(TRIM(P$7)))*(CRDJ[Account Code]=(TRIM($D70))),CRDJ[Debit])))+(SUM(IF((GJ[Date]=$A$4)*(GJ[Ofc Code]=(TRIM(P$7)))*(GJ[Account Code]=(TRIM($D70))),GJ[Debit])))-(SUM(IF((CkDJ[Date]=$A$4)*(CkDJ[Ofc Code]=(TRIM(P$7)))*(CkDJ[Account Code]=(TRIM($D70))),CkDJ[Credit])))+(SUM(IF((CsDJ[Date]=$A$4)*(CsDJ[Ofc Code]=(TRIM(P$7)))*(CsDJ[Account Code]=(TRIM($D70))),CsDJ[Credit])))+(SUM(IF((CRDJ[Date]=$A$4)*(CRDJ[Ofc Code]=(TRIM(P$7)))*(CRDJ[Account Code]=(TRIM($D70))),CRDJ[Credit])))+(SUM(IF((GJ[Date]=$A$4)*(GJ[Ofc Code]=(TRIM(P$7)))*(GJ[Account Code]=(TRIM($D70))),GJ[Credit])))</f>
        <v>0</v>
      </c>
      <c r="Q70" s="211">
        <f t="array" ref="Q70">(SUM(IF((CkDJ[Date]=$A$4)*(CkDJ[Ofc Code]=(TRIM(Q$7)))*(CkDJ[Account Code]=(TRIM($D70))),CkDJ[Debit])))+(SUM(IF((CsDJ[Date]=$A$4)*(CsDJ[Ofc Code]=(TRIM(Q$7)))*(CsDJ[Account Code]=(TRIM($D70))),CsDJ[Debit])))+(SUM(IF((CRDJ[Date]=$A$4)*(CRDJ[Ofc Code]=(TRIM(Q$7)))*(CRDJ[Account Code]=(TRIM($D70))),CRDJ[Debit])))+(SUM(IF((GJ[Date]=$A$4)*(GJ[Ofc Code]=(TRIM(Q$7)))*(GJ[Account Code]=(TRIM($D70))),GJ[Debit])))-(SUM(IF((CkDJ[Date]=$A$4)*(CkDJ[Ofc Code]=(TRIM(Q$7)))*(CkDJ[Account Code]=(TRIM($D70))),CkDJ[Credit])))+(SUM(IF((CsDJ[Date]=$A$4)*(CsDJ[Ofc Code]=(TRIM(Q$7)))*(CsDJ[Account Code]=(TRIM($D70))),CsDJ[Credit])))+(SUM(IF((CRDJ[Date]=$A$4)*(CRDJ[Ofc Code]=(TRIM(Q$7)))*(CRDJ[Account Code]=(TRIM($D70))),CRDJ[Credit])))+(SUM(IF((GJ[Date]=$A$4)*(GJ[Ofc Code]=(TRIM(Q$7)))*(GJ[Account Code]=(TRIM($D70))),GJ[Credit])))</f>
        <v>0</v>
      </c>
      <c r="R70" s="211">
        <f t="array" ref="R70">(SUM(IF((CkDJ[Date]=$A$4)*(CkDJ[Ofc Code]=(TRIM(R$7)))*(CkDJ[Account Code]=(TRIM($D70))),CkDJ[Debit])))+(SUM(IF((CsDJ[Date]=$A$4)*(CsDJ[Ofc Code]=(TRIM(R$7)))*(CsDJ[Account Code]=(TRIM($D70))),CsDJ[Debit])))+(SUM(IF((CRDJ[Date]=$A$4)*(CRDJ[Ofc Code]=(TRIM(R$7)))*(CRDJ[Account Code]=(TRIM($D70))),CRDJ[Debit])))+(SUM(IF((GJ[Date]=$A$4)*(GJ[Ofc Code]=(TRIM(R$7)))*(GJ[Account Code]=(TRIM($D70))),GJ[Debit])))-(SUM(IF((CkDJ[Date]=$A$4)*(CkDJ[Ofc Code]=(TRIM(R$7)))*(CkDJ[Account Code]=(TRIM($D70))),CkDJ[Credit])))+(SUM(IF((CsDJ[Date]=$A$4)*(CsDJ[Ofc Code]=(TRIM(R$7)))*(CsDJ[Account Code]=(TRIM($D70))),CsDJ[Credit])))+(SUM(IF((CRDJ[Date]=$A$4)*(CRDJ[Ofc Code]=(TRIM(R$7)))*(CRDJ[Account Code]=(TRIM($D70))),CRDJ[Credit])))+(SUM(IF((GJ[Date]=$A$4)*(GJ[Ofc Code]=(TRIM(R$7)))*(GJ[Account Code]=(TRIM($D70))),GJ[Credit])))</f>
        <v>0</v>
      </c>
      <c r="S70" s="211">
        <f t="array" ref="S70">(SUM(IF((CkDJ[Date]=$A$4)*(CkDJ[Ofc Code]=(TRIM(S$7)))*(CkDJ[Account Code]=(TRIM($D70))),CkDJ[Debit])))+(SUM(IF((CsDJ[Date]=$A$4)*(CsDJ[Ofc Code]=(TRIM(S$7)))*(CsDJ[Account Code]=(TRIM($D70))),CsDJ[Debit])))+(SUM(IF((CRDJ[Date]=$A$4)*(CRDJ[Ofc Code]=(TRIM(S$7)))*(CRDJ[Account Code]=(TRIM($D70))),CRDJ[Debit])))+(SUM(IF((GJ[Date]=$A$4)*(GJ[Ofc Code]=(TRIM(S$7)))*(GJ[Account Code]=(TRIM($D70))),GJ[Debit])))-(SUM(IF((CkDJ[Date]=$A$4)*(CkDJ[Ofc Code]=(TRIM(S$7)))*(CkDJ[Account Code]=(TRIM($D70))),CkDJ[Credit])))+(SUM(IF((CsDJ[Date]=$A$4)*(CsDJ[Ofc Code]=(TRIM(S$7)))*(CsDJ[Account Code]=(TRIM($D70))),CsDJ[Credit])))+(SUM(IF((CRDJ[Date]=$A$4)*(CRDJ[Ofc Code]=(TRIM(S$7)))*(CRDJ[Account Code]=(TRIM($D70))),CRDJ[Credit])))+(SUM(IF((GJ[Date]=$A$4)*(GJ[Ofc Code]=(TRIM(S$7)))*(GJ[Account Code]=(TRIM($D70))),GJ[Credit])))</f>
        <v>0</v>
      </c>
      <c r="T70" s="211">
        <f t="shared" si="17"/>
        <v>0</v>
      </c>
      <c r="U70" s="211">
        <f t="shared" si="18"/>
        <v>0</v>
      </c>
    </row>
    <row r="71" spans="1:22" ht="15" x14ac:dyDescent="0.25">
      <c r="A71" s="212">
        <f t="shared" si="19"/>
        <v>13</v>
      </c>
      <c r="B71" s="214" t="s">
        <v>756</v>
      </c>
      <c r="C71" s="194" t="str">
        <f t="shared" si="14"/>
        <v>Printing and Publication Expenses</v>
      </c>
      <c r="D71" s="207" t="s">
        <v>241</v>
      </c>
      <c r="E71" s="211">
        <f t="array" ref="E71">(SUM(IF((CkDJ[Date]=$A$4)*(CkDJ[Ofc Code]=(TRIM(E$7)))*(CkDJ[Account Code]=(TRIM($D71))),CkDJ[Debit])))+(SUM(IF((CsDJ[Date]=$A$4)*(CsDJ[Ofc Code]=(TRIM(E$7)))*(CsDJ[Account Code]=(TRIM($D71))),CsDJ[Debit])))+(SUM(IF((CRDJ[Date]=$A$4)*(CRDJ[Ofc Code]=(TRIM(E$7)))*(CRDJ[Account Code]=(TRIM($D71))),CRDJ[Debit])))+(SUM(IF((GJ[Date]=$A$4)*(GJ[Ofc Code]=(TRIM(E$7)))*(GJ[Account Code]=(TRIM($D71))),GJ[Debit])))-(SUM(IF((CkDJ[Date]=$A$4)*(CkDJ[Ofc Code]=(TRIM(E$7)))*(CkDJ[Account Code]=(TRIM($D71))),CkDJ[Credit])))+(SUM(IF((CsDJ[Date]=$A$4)*(CsDJ[Ofc Code]=(TRIM(E$7)))*(CsDJ[Account Code]=(TRIM($D71))),CsDJ[Credit])))+(SUM(IF((CRDJ[Date]=$A$4)*(CRDJ[Ofc Code]=(TRIM(E$7)))*(CRDJ[Account Code]=(TRIM($D71))),CRDJ[Credit])))+(SUM(IF((GJ[Date]=$A$4)*(GJ[Ofc Code]=(TRIM(E$7)))*(GJ[Account Code]=(TRIM($D71))),GJ[Credit])))</f>
        <v>0</v>
      </c>
      <c r="F71" s="211">
        <f t="array" ref="F71">(SUM(IF((CkDJ[Date]=$A$4)*(CkDJ[Ofc Code]=(TRIM(F$7)))*(CkDJ[Account Code]=(TRIM($D71))),CkDJ[Debit])))+(SUM(IF((CsDJ[Date]=$A$4)*(CsDJ[Ofc Code]=(TRIM(F$7)))*(CsDJ[Account Code]=(TRIM($D71))),CsDJ[Debit])))+(SUM(IF((CRDJ[Date]=$A$4)*(CRDJ[Ofc Code]=(TRIM(F$7)))*(CRDJ[Account Code]=(TRIM($D71))),CRDJ[Debit])))+(SUM(IF((GJ[Date]=$A$4)*(GJ[Ofc Code]=(TRIM(F$7)))*(GJ[Account Code]=(TRIM($D71))),GJ[Debit])))-(SUM(IF((CkDJ[Date]=$A$4)*(CkDJ[Ofc Code]=(TRIM(F$7)))*(CkDJ[Account Code]=(TRIM($D71))),CkDJ[Credit])))+(SUM(IF((CsDJ[Date]=$A$4)*(CsDJ[Ofc Code]=(TRIM(F$7)))*(CsDJ[Account Code]=(TRIM($D71))),CsDJ[Credit])))+(SUM(IF((CRDJ[Date]=$A$4)*(CRDJ[Ofc Code]=(TRIM(F$7)))*(CRDJ[Account Code]=(TRIM($D71))),CRDJ[Credit])))+(SUM(IF((GJ[Date]=$A$4)*(GJ[Ofc Code]=(TRIM(F$7)))*(GJ[Account Code]=(TRIM($D71))),GJ[Credit])))</f>
        <v>0</v>
      </c>
      <c r="G71" s="211">
        <f t="array" ref="G71">(SUM(IF((CkDJ[Date]=$A$4)*(CkDJ[Ofc Code]=(TRIM(G$7)))*(CkDJ[Account Code]=(TRIM($D71))),CkDJ[Debit])))+(SUM(IF((CsDJ[Date]=$A$4)*(CsDJ[Ofc Code]=(TRIM(G$7)))*(CsDJ[Account Code]=(TRIM($D71))),CsDJ[Debit])))+(SUM(IF((CRDJ[Date]=$A$4)*(CRDJ[Ofc Code]=(TRIM(G$7)))*(CRDJ[Account Code]=(TRIM($D71))),CRDJ[Debit])))+(SUM(IF((GJ[Date]=$A$4)*(GJ[Ofc Code]=(TRIM(G$7)))*(GJ[Account Code]=(TRIM($D71))),GJ[Debit])))-(SUM(IF((CkDJ[Date]=$A$4)*(CkDJ[Ofc Code]=(TRIM(G$7)))*(CkDJ[Account Code]=(TRIM($D71))),CkDJ[Credit])))+(SUM(IF((CsDJ[Date]=$A$4)*(CsDJ[Ofc Code]=(TRIM(G$7)))*(CsDJ[Account Code]=(TRIM($D71))),CsDJ[Credit])))+(SUM(IF((CRDJ[Date]=$A$4)*(CRDJ[Ofc Code]=(TRIM(G$7)))*(CRDJ[Account Code]=(TRIM($D71))),CRDJ[Credit])))+(SUM(IF((GJ[Date]=$A$4)*(GJ[Ofc Code]=(TRIM(G$7)))*(GJ[Account Code]=(TRIM($D71))),GJ[Credit])))</f>
        <v>0</v>
      </c>
      <c r="H71" s="211">
        <f t="array" ref="H71">(SUM(IF((CkDJ[Date]=$A$4)*(CkDJ[Ofc Code]=(TRIM(H$7)))*(CkDJ[Account Code]=(TRIM($D71))),CkDJ[Debit])))+(SUM(IF((CsDJ[Date]=$A$4)*(CsDJ[Ofc Code]=(TRIM(H$7)))*(CsDJ[Account Code]=(TRIM($D71))),CsDJ[Debit])))+(SUM(IF((CRDJ[Date]=$A$4)*(CRDJ[Ofc Code]=(TRIM(H$7)))*(CRDJ[Account Code]=(TRIM($D71))),CRDJ[Debit])))+(SUM(IF((GJ[Date]=$A$4)*(GJ[Ofc Code]=(TRIM(H$7)))*(GJ[Account Code]=(TRIM($D71))),GJ[Debit])))-(SUM(IF((CkDJ[Date]=$A$4)*(CkDJ[Ofc Code]=(TRIM(H$7)))*(CkDJ[Account Code]=(TRIM($D71))),CkDJ[Credit])))+(SUM(IF((CsDJ[Date]=$A$4)*(CsDJ[Ofc Code]=(TRIM(H$7)))*(CsDJ[Account Code]=(TRIM($D71))),CsDJ[Credit])))+(SUM(IF((CRDJ[Date]=$A$4)*(CRDJ[Ofc Code]=(TRIM(H$7)))*(CRDJ[Account Code]=(TRIM($D71))),CRDJ[Credit])))+(SUM(IF((GJ[Date]=$A$4)*(GJ[Ofc Code]=(TRIM(H$7)))*(GJ[Account Code]=(TRIM($D71))),GJ[Credit])))</f>
        <v>0</v>
      </c>
      <c r="I71" s="211">
        <f t="shared" si="15"/>
        <v>0</v>
      </c>
      <c r="J71" s="211">
        <f t="array" ref="J71">(SUM(IF((CkDJ[Date]=$A$4)*(CkDJ[Ofc Code]=(TRIM(J$7)))*(CkDJ[Account Code]=(TRIM($D71))),CkDJ[Debit])))+(SUM(IF((CsDJ[Date]=$A$4)*(CsDJ[Ofc Code]=(TRIM(J$7)))*(CsDJ[Account Code]=(TRIM($D71))),CsDJ[Debit])))+(SUM(IF((CRDJ[Date]=$A$4)*(CRDJ[Ofc Code]=(TRIM(J$7)))*(CRDJ[Account Code]=(TRIM($D71))),CRDJ[Debit])))+(SUM(IF((GJ[Date]=$A$4)*(GJ[Ofc Code]=(TRIM(J$7)))*(GJ[Account Code]=(TRIM($D71))),GJ[Debit])))-(SUM(IF((CkDJ[Date]=$A$4)*(CkDJ[Ofc Code]=(TRIM(J$7)))*(CkDJ[Account Code]=(TRIM($D71))),CkDJ[Credit])))+(SUM(IF((CsDJ[Date]=$A$4)*(CsDJ[Ofc Code]=(TRIM(J$7)))*(CsDJ[Account Code]=(TRIM($D71))),CsDJ[Credit])))+(SUM(IF((CRDJ[Date]=$A$4)*(CRDJ[Ofc Code]=(TRIM(J$7)))*(CRDJ[Account Code]=(TRIM($D71))),CRDJ[Credit])))+(SUM(IF((GJ[Date]=$A$4)*(GJ[Ofc Code]=(TRIM(J$7)))*(GJ[Account Code]=(TRIM($D71))),GJ[Credit])))</f>
        <v>0</v>
      </c>
      <c r="K71" s="211">
        <f t="array" ref="K71">(SUM(IF((CkDJ[Date]=$A$4)*(CkDJ[Ofc Code]=(TRIM(K$7)))*(CkDJ[Account Code]=(TRIM($D71))),CkDJ[Debit])))+(SUM(IF((CsDJ[Date]=$A$4)*(CsDJ[Ofc Code]=(TRIM(K$7)))*(CsDJ[Account Code]=(TRIM($D71))),CsDJ[Debit])))+(SUM(IF((CRDJ[Date]=$A$4)*(CRDJ[Ofc Code]=(TRIM(K$7)))*(CRDJ[Account Code]=(TRIM($D71))),CRDJ[Debit])))+(SUM(IF((GJ[Date]=$A$4)*(GJ[Ofc Code]=(TRIM(K$7)))*(GJ[Account Code]=(TRIM($D71))),GJ[Debit])))-(SUM(IF((CkDJ[Date]=$A$4)*(CkDJ[Ofc Code]=(TRIM(K$7)))*(CkDJ[Account Code]=(TRIM($D71))),CkDJ[Credit])))+(SUM(IF((CsDJ[Date]=$A$4)*(CsDJ[Ofc Code]=(TRIM(K$7)))*(CsDJ[Account Code]=(TRIM($D71))),CsDJ[Credit])))+(SUM(IF((CRDJ[Date]=$A$4)*(CRDJ[Ofc Code]=(TRIM(K$7)))*(CRDJ[Account Code]=(TRIM($D71))),CRDJ[Credit])))+(SUM(IF((GJ[Date]=$A$4)*(GJ[Ofc Code]=(TRIM(K$7)))*(GJ[Account Code]=(TRIM($D71))),GJ[Credit])))</f>
        <v>0</v>
      </c>
      <c r="L71" s="211">
        <f t="array" ref="L71">(SUM(IF((CkDJ[Date]=$A$4)*(CkDJ[Ofc Code]=(TRIM(L$7)))*(CkDJ[Account Code]=(TRIM($D71))),CkDJ[Debit])))+(SUM(IF((CsDJ[Date]=$A$4)*(CsDJ[Ofc Code]=(TRIM(L$7)))*(CsDJ[Account Code]=(TRIM($D71))),CsDJ[Debit])))+(SUM(IF((CRDJ[Date]=$A$4)*(CRDJ[Ofc Code]=(TRIM(L$7)))*(CRDJ[Account Code]=(TRIM($D71))),CRDJ[Debit])))+(SUM(IF((GJ[Date]=$A$4)*(GJ[Ofc Code]=(TRIM(L$7)))*(GJ[Account Code]=(TRIM($D71))),GJ[Debit])))-(SUM(IF((CkDJ[Date]=$A$4)*(CkDJ[Ofc Code]=(TRIM(L$7)))*(CkDJ[Account Code]=(TRIM($D71))),CkDJ[Credit])))+(SUM(IF((CsDJ[Date]=$A$4)*(CsDJ[Ofc Code]=(TRIM(L$7)))*(CsDJ[Account Code]=(TRIM($D71))),CsDJ[Credit])))+(SUM(IF((CRDJ[Date]=$A$4)*(CRDJ[Ofc Code]=(TRIM(L$7)))*(CRDJ[Account Code]=(TRIM($D71))),CRDJ[Credit])))+(SUM(IF((GJ[Date]=$A$4)*(GJ[Ofc Code]=(TRIM(L$7)))*(GJ[Account Code]=(TRIM($D71))),GJ[Credit])))</f>
        <v>0</v>
      </c>
      <c r="M71" s="211">
        <f t="array" ref="M71">(SUM(IF((CkDJ[Date]=$A$4)*(CkDJ[Ofc Code]=(TRIM(M$7)))*(CkDJ[Account Code]=(TRIM($D71))),CkDJ[Debit])))+(SUM(IF((CsDJ[Date]=$A$4)*(CsDJ[Ofc Code]=(TRIM(M$7)))*(CsDJ[Account Code]=(TRIM($D71))),CsDJ[Debit])))+(SUM(IF((CRDJ[Date]=$A$4)*(CRDJ[Ofc Code]=(TRIM(M$7)))*(CRDJ[Account Code]=(TRIM($D71))),CRDJ[Debit])))+(SUM(IF((GJ[Date]=$A$4)*(GJ[Ofc Code]=(TRIM(M$7)))*(GJ[Account Code]=(TRIM($D71))),GJ[Debit])))-(SUM(IF((CkDJ[Date]=$A$4)*(CkDJ[Ofc Code]=(TRIM(M$7)))*(CkDJ[Account Code]=(TRIM($D71))),CkDJ[Credit])))+(SUM(IF((CsDJ[Date]=$A$4)*(CsDJ[Ofc Code]=(TRIM(M$7)))*(CsDJ[Account Code]=(TRIM($D71))),CsDJ[Credit])))+(SUM(IF((CRDJ[Date]=$A$4)*(CRDJ[Ofc Code]=(TRIM(M$7)))*(CRDJ[Account Code]=(TRIM($D71))),CRDJ[Credit])))+(SUM(IF((GJ[Date]=$A$4)*(GJ[Ofc Code]=(TRIM(M$7)))*(GJ[Account Code]=(TRIM($D71))),GJ[Credit])))</f>
        <v>0</v>
      </c>
      <c r="N71" s="211">
        <f t="shared" si="16"/>
        <v>0</v>
      </c>
      <c r="O71" s="211">
        <f t="array" ref="O71">(SUM(IF((CkDJ[Date]=$A$4)*(CkDJ[Ofc Code]=(TRIM(O$7)))*(CkDJ[Account Code]=(TRIM($D71))),CkDJ[Debit])))+(SUM(IF((CsDJ[Date]=$A$4)*(CsDJ[Ofc Code]=(TRIM(O$7)))*(CsDJ[Account Code]=(TRIM($D71))),CsDJ[Debit])))+(SUM(IF((CRDJ[Date]=$A$4)*(CRDJ[Ofc Code]=(TRIM(O$7)))*(CRDJ[Account Code]=(TRIM($D71))),CRDJ[Debit])))+(SUM(IF((GJ[Date]=$A$4)*(GJ[Ofc Code]=(TRIM(O$7)))*(GJ[Account Code]=(TRIM($D71))),GJ[Debit])))-(SUM(IF((CkDJ[Date]=$A$4)*(CkDJ[Ofc Code]=(TRIM(O$7)))*(CkDJ[Account Code]=(TRIM($D71))),CkDJ[Credit])))+(SUM(IF((CsDJ[Date]=$A$4)*(CsDJ[Ofc Code]=(TRIM(O$7)))*(CsDJ[Account Code]=(TRIM($D71))),CsDJ[Credit])))+(SUM(IF((CRDJ[Date]=$A$4)*(CRDJ[Ofc Code]=(TRIM(O$7)))*(CRDJ[Account Code]=(TRIM($D71))),CRDJ[Credit])))+(SUM(IF((GJ[Date]=$A$4)*(GJ[Ofc Code]=(TRIM(O$7)))*(GJ[Account Code]=(TRIM($D71))),GJ[Credit])))</f>
        <v>0</v>
      </c>
      <c r="P71" s="211">
        <f t="array" ref="P71">(SUM(IF((CkDJ[Date]=$A$4)*(CkDJ[Ofc Code]=(TRIM(P$7)))*(CkDJ[Account Code]=(TRIM($D71))),CkDJ[Debit])))+(SUM(IF((CsDJ[Date]=$A$4)*(CsDJ[Ofc Code]=(TRIM(P$7)))*(CsDJ[Account Code]=(TRIM($D71))),CsDJ[Debit])))+(SUM(IF((CRDJ[Date]=$A$4)*(CRDJ[Ofc Code]=(TRIM(P$7)))*(CRDJ[Account Code]=(TRIM($D71))),CRDJ[Debit])))+(SUM(IF((GJ[Date]=$A$4)*(GJ[Ofc Code]=(TRIM(P$7)))*(GJ[Account Code]=(TRIM($D71))),GJ[Debit])))-(SUM(IF((CkDJ[Date]=$A$4)*(CkDJ[Ofc Code]=(TRIM(P$7)))*(CkDJ[Account Code]=(TRIM($D71))),CkDJ[Credit])))+(SUM(IF((CsDJ[Date]=$A$4)*(CsDJ[Ofc Code]=(TRIM(P$7)))*(CsDJ[Account Code]=(TRIM($D71))),CsDJ[Credit])))+(SUM(IF((CRDJ[Date]=$A$4)*(CRDJ[Ofc Code]=(TRIM(P$7)))*(CRDJ[Account Code]=(TRIM($D71))),CRDJ[Credit])))+(SUM(IF((GJ[Date]=$A$4)*(GJ[Ofc Code]=(TRIM(P$7)))*(GJ[Account Code]=(TRIM($D71))),GJ[Credit])))</f>
        <v>0</v>
      </c>
      <c r="Q71" s="211">
        <f t="array" ref="Q71">(SUM(IF((CkDJ[Date]=$A$4)*(CkDJ[Ofc Code]=(TRIM(Q$7)))*(CkDJ[Account Code]=(TRIM($D71))),CkDJ[Debit])))+(SUM(IF((CsDJ[Date]=$A$4)*(CsDJ[Ofc Code]=(TRIM(Q$7)))*(CsDJ[Account Code]=(TRIM($D71))),CsDJ[Debit])))+(SUM(IF((CRDJ[Date]=$A$4)*(CRDJ[Ofc Code]=(TRIM(Q$7)))*(CRDJ[Account Code]=(TRIM($D71))),CRDJ[Debit])))+(SUM(IF((GJ[Date]=$A$4)*(GJ[Ofc Code]=(TRIM(Q$7)))*(GJ[Account Code]=(TRIM($D71))),GJ[Debit])))-(SUM(IF((CkDJ[Date]=$A$4)*(CkDJ[Ofc Code]=(TRIM(Q$7)))*(CkDJ[Account Code]=(TRIM($D71))),CkDJ[Credit])))+(SUM(IF((CsDJ[Date]=$A$4)*(CsDJ[Ofc Code]=(TRIM(Q$7)))*(CsDJ[Account Code]=(TRIM($D71))),CsDJ[Credit])))+(SUM(IF((CRDJ[Date]=$A$4)*(CRDJ[Ofc Code]=(TRIM(Q$7)))*(CRDJ[Account Code]=(TRIM($D71))),CRDJ[Credit])))+(SUM(IF((GJ[Date]=$A$4)*(GJ[Ofc Code]=(TRIM(Q$7)))*(GJ[Account Code]=(TRIM($D71))),GJ[Credit])))</f>
        <v>0</v>
      </c>
      <c r="R71" s="211">
        <f t="array" ref="R71">(SUM(IF((CkDJ[Date]=$A$4)*(CkDJ[Ofc Code]=(TRIM(R$7)))*(CkDJ[Account Code]=(TRIM($D71))),CkDJ[Debit])))+(SUM(IF((CsDJ[Date]=$A$4)*(CsDJ[Ofc Code]=(TRIM(R$7)))*(CsDJ[Account Code]=(TRIM($D71))),CsDJ[Debit])))+(SUM(IF((CRDJ[Date]=$A$4)*(CRDJ[Ofc Code]=(TRIM(R$7)))*(CRDJ[Account Code]=(TRIM($D71))),CRDJ[Debit])))+(SUM(IF((GJ[Date]=$A$4)*(GJ[Ofc Code]=(TRIM(R$7)))*(GJ[Account Code]=(TRIM($D71))),GJ[Debit])))-(SUM(IF((CkDJ[Date]=$A$4)*(CkDJ[Ofc Code]=(TRIM(R$7)))*(CkDJ[Account Code]=(TRIM($D71))),CkDJ[Credit])))+(SUM(IF((CsDJ[Date]=$A$4)*(CsDJ[Ofc Code]=(TRIM(R$7)))*(CsDJ[Account Code]=(TRIM($D71))),CsDJ[Credit])))+(SUM(IF((CRDJ[Date]=$A$4)*(CRDJ[Ofc Code]=(TRIM(R$7)))*(CRDJ[Account Code]=(TRIM($D71))),CRDJ[Credit])))+(SUM(IF((GJ[Date]=$A$4)*(GJ[Ofc Code]=(TRIM(R$7)))*(GJ[Account Code]=(TRIM($D71))),GJ[Credit])))</f>
        <v>0</v>
      </c>
      <c r="S71" s="211">
        <f t="array" ref="S71">(SUM(IF((CkDJ[Date]=$A$4)*(CkDJ[Ofc Code]=(TRIM(S$7)))*(CkDJ[Account Code]=(TRIM($D71))),CkDJ[Debit])))+(SUM(IF((CsDJ[Date]=$A$4)*(CsDJ[Ofc Code]=(TRIM(S$7)))*(CsDJ[Account Code]=(TRIM($D71))),CsDJ[Debit])))+(SUM(IF((CRDJ[Date]=$A$4)*(CRDJ[Ofc Code]=(TRIM(S$7)))*(CRDJ[Account Code]=(TRIM($D71))),CRDJ[Debit])))+(SUM(IF((GJ[Date]=$A$4)*(GJ[Ofc Code]=(TRIM(S$7)))*(GJ[Account Code]=(TRIM($D71))),GJ[Debit])))-(SUM(IF((CkDJ[Date]=$A$4)*(CkDJ[Ofc Code]=(TRIM(S$7)))*(CkDJ[Account Code]=(TRIM($D71))),CkDJ[Credit])))+(SUM(IF((CsDJ[Date]=$A$4)*(CsDJ[Ofc Code]=(TRIM(S$7)))*(CsDJ[Account Code]=(TRIM($D71))),CsDJ[Credit])))+(SUM(IF((CRDJ[Date]=$A$4)*(CRDJ[Ofc Code]=(TRIM(S$7)))*(CRDJ[Account Code]=(TRIM($D71))),CRDJ[Credit])))+(SUM(IF((GJ[Date]=$A$4)*(GJ[Ofc Code]=(TRIM(S$7)))*(GJ[Account Code]=(TRIM($D71))),GJ[Credit])))</f>
        <v>0</v>
      </c>
      <c r="T71" s="211">
        <f t="shared" si="17"/>
        <v>0</v>
      </c>
      <c r="U71" s="211">
        <f t="shared" si="18"/>
        <v>0</v>
      </c>
    </row>
    <row r="72" spans="1:22" ht="15" x14ac:dyDescent="0.25">
      <c r="A72" s="212">
        <f t="shared" si="19"/>
        <v>14</v>
      </c>
      <c r="B72" s="214" t="s">
        <v>756</v>
      </c>
      <c r="C72" s="194" t="str">
        <f t="shared" si="14"/>
        <v>Rent/Lease Expenses</v>
      </c>
      <c r="D72" s="207" t="s">
        <v>242</v>
      </c>
      <c r="E72" s="211">
        <f t="array" ref="E72">(SUM(IF((CkDJ[Date]=$A$4)*(CkDJ[Ofc Code]=(TRIM(E$7)))*(CkDJ[Account Code]=(TRIM($D72))),CkDJ[Debit])))+(SUM(IF((CsDJ[Date]=$A$4)*(CsDJ[Ofc Code]=(TRIM(E$7)))*(CsDJ[Account Code]=(TRIM($D72))),CsDJ[Debit])))+(SUM(IF((CRDJ[Date]=$A$4)*(CRDJ[Ofc Code]=(TRIM(E$7)))*(CRDJ[Account Code]=(TRIM($D72))),CRDJ[Debit])))+(SUM(IF((GJ[Date]=$A$4)*(GJ[Ofc Code]=(TRIM(E$7)))*(GJ[Account Code]=(TRIM($D72))),GJ[Debit])))-(SUM(IF((CkDJ[Date]=$A$4)*(CkDJ[Ofc Code]=(TRIM(E$7)))*(CkDJ[Account Code]=(TRIM($D72))),CkDJ[Credit])))+(SUM(IF((CsDJ[Date]=$A$4)*(CsDJ[Ofc Code]=(TRIM(E$7)))*(CsDJ[Account Code]=(TRIM($D72))),CsDJ[Credit])))+(SUM(IF((CRDJ[Date]=$A$4)*(CRDJ[Ofc Code]=(TRIM(E$7)))*(CRDJ[Account Code]=(TRIM($D72))),CRDJ[Credit])))+(SUM(IF((GJ[Date]=$A$4)*(GJ[Ofc Code]=(TRIM(E$7)))*(GJ[Account Code]=(TRIM($D72))),GJ[Credit])))</f>
        <v>0</v>
      </c>
      <c r="F72" s="211">
        <f t="array" ref="F72">(SUM(IF((CkDJ[Date]=$A$4)*(CkDJ[Ofc Code]=(TRIM(F$7)))*(CkDJ[Account Code]=(TRIM($D72))),CkDJ[Debit])))+(SUM(IF((CsDJ[Date]=$A$4)*(CsDJ[Ofc Code]=(TRIM(F$7)))*(CsDJ[Account Code]=(TRIM($D72))),CsDJ[Debit])))+(SUM(IF((CRDJ[Date]=$A$4)*(CRDJ[Ofc Code]=(TRIM(F$7)))*(CRDJ[Account Code]=(TRIM($D72))),CRDJ[Debit])))+(SUM(IF((GJ[Date]=$A$4)*(GJ[Ofc Code]=(TRIM(F$7)))*(GJ[Account Code]=(TRIM($D72))),GJ[Debit])))-(SUM(IF((CkDJ[Date]=$A$4)*(CkDJ[Ofc Code]=(TRIM(F$7)))*(CkDJ[Account Code]=(TRIM($D72))),CkDJ[Credit])))+(SUM(IF((CsDJ[Date]=$A$4)*(CsDJ[Ofc Code]=(TRIM(F$7)))*(CsDJ[Account Code]=(TRIM($D72))),CsDJ[Credit])))+(SUM(IF((CRDJ[Date]=$A$4)*(CRDJ[Ofc Code]=(TRIM(F$7)))*(CRDJ[Account Code]=(TRIM($D72))),CRDJ[Credit])))+(SUM(IF((GJ[Date]=$A$4)*(GJ[Ofc Code]=(TRIM(F$7)))*(GJ[Account Code]=(TRIM($D72))),GJ[Credit])))</f>
        <v>0</v>
      </c>
      <c r="G72" s="211">
        <f t="array" ref="G72">(SUM(IF((CkDJ[Date]=$A$4)*(CkDJ[Ofc Code]=(TRIM(G$7)))*(CkDJ[Account Code]=(TRIM($D72))),CkDJ[Debit])))+(SUM(IF((CsDJ[Date]=$A$4)*(CsDJ[Ofc Code]=(TRIM(G$7)))*(CsDJ[Account Code]=(TRIM($D72))),CsDJ[Debit])))+(SUM(IF((CRDJ[Date]=$A$4)*(CRDJ[Ofc Code]=(TRIM(G$7)))*(CRDJ[Account Code]=(TRIM($D72))),CRDJ[Debit])))+(SUM(IF((GJ[Date]=$A$4)*(GJ[Ofc Code]=(TRIM(G$7)))*(GJ[Account Code]=(TRIM($D72))),GJ[Debit])))-(SUM(IF((CkDJ[Date]=$A$4)*(CkDJ[Ofc Code]=(TRIM(G$7)))*(CkDJ[Account Code]=(TRIM($D72))),CkDJ[Credit])))+(SUM(IF((CsDJ[Date]=$A$4)*(CsDJ[Ofc Code]=(TRIM(G$7)))*(CsDJ[Account Code]=(TRIM($D72))),CsDJ[Credit])))+(SUM(IF((CRDJ[Date]=$A$4)*(CRDJ[Ofc Code]=(TRIM(G$7)))*(CRDJ[Account Code]=(TRIM($D72))),CRDJ[Credit])))+(SUM(IF((GJ[Date]=$A$4)*(GJ[Ofc Code]=(TRIM(G$7)))*(GJ[Account Code]=(TRIM($D72))),GJ[Credit])))</f>
        <v>0</v>
      </c>
      <c r="H72" s="211">
        <f t="array" ref="H72">(SUM(IF((CkDJ[Date]=$A$4)*(CkDJ[Ofc Code]=(TRIM(H$7)))*(CkDJ[Account Code]=(TRIM($D72))),CkDJ[Debit])))+(SUM(IF((CsDJ[Date]=$A$4)*(CsDJ[Ofc Code]=(TRIM(H$7)))*(CsDJ[Account Code]=(TRIM($D72))),CsDJ[Debit])))+(SUM(IF((CRDJ[Date]=$A$4)*(CRDJ[Ofc Code]=(TRIM(H$7)))*(CRDJ[Account Code]=(TRIM($D72))),CRDJ[Debit])))+(SUM(IF((GJ[Date]=$A$4)*(GJ[Ofc Code]=(TRIM(H$7)))*(GJ[Account Code]=(TRIM($D72))),GJ[Debit])))-(SUM(IF((CkDJ[Date]=$A$4)*(CkDJ[Ofc Code]=(TRIM(H$7)))*(CkDJ[Account Code]=(TRIM($D72))),CkDJ[Credit])))+(SUM(IF((CsDJ[Date]=$A$4)*(CsDJ[Ofc Code]=(TRIM(H$7)))*(CsDJ[Account Code]=(TRIM($D72))),CsDJ[Credit])))+(SUM(IF((CRDJ[Date]=$A$4)*(CRDJ[Ofc Code]=(TRIM(H$7)))*(CRDJ[Account Code]=(TRIM($D72))),CRDJ[Credit])))+(SUM(IF((GJ[Date]=$A$4)*(GJ[Ofc Code]=(TRIM(H$7)))*(GJ[Account Code]=(TRIM($D72))),GJ[Credit])))</f>
        <v>0</v>
      </c>
      <c r="I72" s="211">
        <f t="shared" si="15"/>
        <v>0</v>
      </c>
      <c r="J72" s="211">
        <f t="array" ref="J72">(SUM(IF((CkDJ[Date]=$A$4)*(CkDJ[Ofc Code]=(TRIM(J$7)))*(CkDJ[Account Code]=(TRIM($D72))),CkDJ[Debit])))+(SUM(IF((CsDJ[Date]=$A$4)*(CsDJ[Ofc Code]=(TRIM(J$7)))*(CsDJ[Account Code]=(TRIM($D72))),CsDJ[Debit])))+(SUM(IF((CRDJ[Date]=$A$4)*(CRDJ[Ofc Code]=(TRIM(J$7)))*(CRDJ[Account Code]=(TRIM($D72))),CRDJ[Debit])))+(SUM(IF((GJ[Date]=$A$4)*(GJ[Ofc Code]=(TRIM(J$7)))*(GJ[Account Code]=(TRIM($D72))),GJ[Debit])))-(SUM(IF((CkDJ[Date]=$A$4)*(CkDJ[Ofc Code]=(TRIM(J$7)))*(CkDJ[Account Code]=(TRIM($D72))),CkDJ[Credit])))+(SUM(IF((CsDJ[Date]=$A$4)*(CsDJ[Ofc Code]=(TRIM(J$7)))*(CsDJ[Account Code]=(TRIM($D72))),CsDJ[Credit])))+(SUM(IF((CRDJ[Date]=$A$4)*(CRDJ[Ofc Code]=(TRIM(J$7)))*(CRDJ[Account Code]=(TRIM($D72))),CRDJ[Credit])))+(SUM(IF((GJ[Date]=$A$4)*(GJ[Ofc Code]=(TRIM(J$7)))*(GJ[Account Code]=(TRIM($D72))),GJ[Credit])))</f>
        <v>0</v>
      </c>
      <c r="K72" s="211">
        <f t="array" ref="K72">(SUM(IF((CkDJ[Date]=$A$4)*(CkDJ[Ofc Code]=(TRIM(K$7)))*(CkDJ[Account Code]=(TRIM($D72))),CkDJ[Debit])))+(SUM(IF((CsDJ[Date]=$A$4)*(CsDJ[Ofc Code]=(TRIM(K$7)))*(CsDJ[Account Code]=(TRIM($D72))),CsDJ[Debit])))+(SUM(IF((CRDJ[Date]=$A$4)*(CRDJ[Ofc Code]=(TRIM(K$7)))*(CRDJ[Account Code]=(TRIM($D72))),CRDJ[Debit])))+(SUM(IF((GJ[Date]=$A$4)*(GJ[Ofc Code]=(TRIM(K$7)))*(GJ[Account Code]=(TRIM($D72))),GJ[Debit])))-(SUM(IF((CkDJ[Date]=$A$4)*(CkDJ[Ofc Code]=(TRIM(K$7)))*(CkDJ[Account Code]=(TRIM($D72))),CkDJ[Credit])))+(SUM(IF((CsDJ[Date]=$A$4)*(CsDJ[Ofc Code]=(TRIM(K$7)))*(CsDJ[Account Code]=(TRIM($D72))),CsDJ[Credit])))+(SUM(IF((CRDJ[Date]=$A$4)*(CRDJ[Ofc Code]=(TRIM(K$7)))*(CRDJ[Account Code]=(TRIM($D72))),CRDJ[Credit])))+(SUM(IF((GJ[Date]=$A$4)*(GJ[Ofc Code]=(TRIM(K$7)))*(GJ[Account Code]=(TRIM($D72))),GJ[Credit])))</f>
        <v>0</v>
      </c>
      <c r="L72" s="211">
        <f t="array" ref="L72">(SUM(IF((CkDJ[Date]=$A$4)*(CkDJ[Ofc Code]=(TRIM(L$7)))*(CkDJ[Account Code]=(TRIM($D72))),CkDJ[Debit])))+(SUM(IF((CsDJ[Date]=$A$4)*(CsDJ[Ofc Code]=(TRIM(L$7)))*(CsDJ[Account Code]=(TRIM($D72))),CsDJ[Debit])))+(SUM(IF((CRDJ[Date]=$A$4)*(CRDJ[Ofc Code]=(TRIM(L$7)))*(CRDJ[Account Code]=(TRIM($D72))),CRDJ[Debit])))+(SUM(IF((GJ[Date]=$A$4)*(GJ[Ofc Code]=(TRIM(L$7)))*(GJ[Account Code]=(TRIM($D72))),GJ[Debit])))-(SUM(IF((CkDJ[Date]=$A$4)*(CkDJ[Ofc Code]=(TRIM(L$7)))*(CkDJ[Account Code]=(TRIM($D72))),CkDJ[Credit])))+(SUM(IF((CsDJ[Date]=$A$4)*(CsDJ[Ofc Code]=(TRIM(L$7)))*(CsDJ[Account Code]=(TRIM($D72))),CsDJ[Credit])))+(SUM(IF((CRDJ[Date]=$A$4)*(CRDJ[Ofc Code]=(TRIM(L$7)))*(CRDJ[Account Code]=(TRIM($D72))),CRDJ[Credit])))+(SUM(IF((GJ[Date]=$A$4)*(GJ[Ofc Code]=(TRIM(L$7)))*(GJ[Account Code]=(TRIM($D72))),GJ[Credit])))</f>
        <v>0</v>
      </c>
      <c r="M72" s="211">
        <f t="array" ref="M72">(SUM(IF((CkDJ[Date]=$A$4)*(CkDJ[Ofc Code]=(TRIM(M$7)))*(CkDJ[Account Code]=(TRIM($D72))),CkDJ[Debit])))+(SUM(IF((CsDJ[Date]=$A$4)*(CsDJ[Ofc Code]=(TRIM(M$7)))*(CsDJ[Account Code]=(TRIM($D72))),CsDJ[Debit])))+(SUM(IF((CRDJ[Date]=$A$4)*(CRDJ[Ofc Code]=(TRIM(M$7)))*(CRDJ[Account Code]=(TRIM($D72))),CRDJ[Debit])))+(SUM(IF((GJ[Date]=$A$4)*(GJ[Ofc Code]=(TRIM(M$7)))*(GJ[Account Code]=(TRIM($D72))),GJ[Debit])))-(SUM(IF((CkDJ[Date]=$A$4)*(CkDJ[Ofc Code]=(TRIM(M$7)))*(CkDJ[Account Code]=(TRIM($D72))),CkDJ[Credit])))+(SUM(IF((CsDJ[Date]=$A$4)*(CsDJ[Ofc Code]=(TRIM(M$7)))*(CsDJ[Account Code]=(TRIM($D72))),CsDJ[Credit])))+(SUM(IF((CRDJ[Date]=$A$4)*(CRDJ[Ofc Code]=(TRIM(M$7)))*(CRDJ[Account Code]=(TRIM($D72))),CRDJ[Credit])))+(SUM(IF((GJ[Date]=$A$4)*(GJ[Ofc Code]=(TRIM(M$7)))*(GJ[Account Code]=(TRIM($D72))),GJ[Credit])))</f>
        <v>0</v>
      </c>
      <c r="N72" s="211">
        <f t="shared" si="16"/>
        <v>0</v>
      </c>
      <c r="O72" s="211">
        <f t="array" ref="O72">(SUM(IF((CkDJ[Date]=$A$4)*(CkDJ[Ofc Code]=(TRIM(O$7)))*(CkDJ[Account Code]=(TRIM($D72))),CkDJ[Debit])))+(SUM(IF((CsDJ[Date]=$A$4)*(CsDJ[Ofc Code]=(TRIM(O$7)))*(CsDJ[Account Code]=(TRIM($D72))),CsDJ[Debit])))+(SUM(IF((CRDJ[Date]=$A$4)*(CRDJ[Ofc Code]=(TRIM(O$7)))*(CRDJ[Account Code]=(TRIM($D72))),CRDJ[Debit])))+(SUM(IF((GJ[Date]=$A$4)*(GJ[Ofc Code]=(TRIM(O$7)))*(GJ[Account Code]=(TRIM($D72))),GJ[Debit])))-(SUM(IF((CkDJ[Date]=$A$4)*(CkDJ[Ofc Code]=(TRIM(O$7)))*(CkDJ[Account Code]=(TRIM($D72))),CkDJ[Credit])))+(SUM(IF((CsDJ[Date]=$A$4)*(CsDJ[Ofc Code]=(TRIM(O$7)))*(CsDJ[Account Code]=(TRIM($D72))),CsDJ[Credit])))+(SUM(IF((CRDJ[Date]=$A$4)*(CRDJ[Ofc Code]=(TRIM(O$7)))*(CRDJ[Account Code]=(TRIM($D72))),CRDJ[Credit])))+(SUM(IF((GJ[Date]=$A$4)*(GJ[Ofc Code]=(TRIM(O$7)))*(GJ[Account Code]=(TRIM($D72))),GJ[Credit])))</f>
        <v>0</v>
      </c>
      <c r="P72" s="211">
        <f t="array" ref="P72">(SUM(IF((CkDJ[Date]=$A$4)*(CkDJ[Ofc Code]=(TRIM(P$7)))*(CkDJ[Account Code]=(TRIM($D72))),CkDJ[Debit])))+(SUM(IF((CsDJ[Date]=$A$4)*(CsDJ[Ofc Code]=(TRIM(P$7)))*(CsDJ[Account Code]=(TRIM($D72))),CsDJ[Debit])))+(SUM(IF((CRDJ[Date]=$A$4)*(CRDJ[Ofc Code]=(TRIM(P$7)))*(CRDJ[Account Code]=(TRIM($D72))),CRDJ[Debit])))+(SUM(IF((GJ[Date]=$A$4)*(GJ[Ofc Code]=(TRIM(P$7)))*(GJ[Account Code]=(TRIM($D72))),GJ[Debit])))-(SUM(IF((CkDJ[Date]=$A$4)*(CkDJ[Ofc Code]=(TRIM(P$7)))*(CkDJ[Account Code]=(TRIM($D72))),CkDJ[Credit])))+(SUM(IF((CsDJ[Date]=$A$4)*(CsDJ[Ofc Code]=(TRIM(P$7)))*(CsDJ[Account Code]=(TRIM($D72))),CsDJ[Credit])))+(SUM(IF((CRDJ[Date]=$A$4)*(CRDJ[Ofc Code]=(TRIM(P$7)))*(CRDJ[Account Code]=(TRIM($D72))),CRDJ[Credit])))+(SUM(IF((GJ[Date]=$A$4)*(GJ[Ofc Code]=(TRIM(P$7)))*(GJ[Account Code]=(TRIM($D72))),GJ[Credit])))</f>
        <v>0</v>
      </c>
      <c r="Q72" s="211">
        <f t="array" ref="Q72">(SUM(IF((CkDJ[Date]=$A$4)*(CkDJ[Ofc Code]=(TRIM(Q$7)))*(CkDJ[Account Code]=(TRIM($D72))),CkDJ[Debit])))+(SUM(IF((CsDJ[Date]=$A$4)*(CsDJ[Ofc Code]=(TRIM(Q$7)))*(CsDJ[Account Code]=(TRIM($D72))),CsDJ[Debit])))+(SUM(IF((CRDJ[Date]=$A$4)*(CRDJ[Ofc Code]=(TRIM(Q$7)))*(CRDJ[Account Code]=(TRIM($D72))),CRDJ[Debit])))+(SUM(IF((GJ[Date]=$A$4)*(GJ[Ofc Code]=(TRIM(Q$7)))*(GJ[Account Code]=(TRIM($D72))),GJ[Debit])))-(SUM(IF((CkDJ[Date]=$A$4)*(CkDJ[Ofc Code]=(TRIM(Q$7)))*(CkDJ[Account Code]=(TRIM($D72))),CkDJ[Credit])))+(SUM(IF((CsDJ[Date]=$A$4)*(CsDJ[Ofc Code]=(TRIM(Q$7)))*(CsDJ[Account Code]=(TRIM($D72))),CsDJ[Credit])))+(SUM(IF((CRDJ[Date]=$A$4)*(CRDJ[Ofc Code]=(TRIM(Q$7)))*(CRDJ[Account Code]=(TRIM($D72))),CRDJ[Credit])))+(SUM(IF((GJ[Date]=$A$4)*(GJ[Ofc Code]=(TRIM(Q$7)))*(GJ[Account Code]=(TRIM($D72))),GJ[Credit])))</f>
        <v>0</v>
      </c>
      <c r="R72" s="211">
        <f t="array" ref="R72">(SUM(IF((CkDJ[Date]=$A$4)*(CkDJ[Ofc Code]=(TRIM(R$7)))*(CkDJ[Account Code]=(TRIM($D72))),CkDJ[Debit])))+(SUM(IF((CsDJ[Date]=$A$4)*(CsDJ[Ofc Code]=(TRIM(R$7)))*(CsDJ[Account Code]=(TRIM($D72))),CsDJ[Debit])))+(SUM(IF((CRDJ[Date]=$A$4)*(CRDJ[Ofc Code]=(TRIM(R$7)))*(CRDJ[Account Code]=(TRIM($D72))),CRDJ[Debit])))+(SUM(IF((GJ[Date]=$A$4)*(GJ[Ofc Code]=(TRIM(R$7)))*(GJ[Account Code]=(TRIM($D72))),GJ[Debit])))-(SUM(IF((CkDJ[Date]=$A$4)*(CkDJ[Ofc Code]=(TRIM(R$7)))*(CkDJ[Account Code]=(TRIM($D72))),CkDJ[Credit])))+(SUM(IF((CsDJ[Date]=$A$4)*(CsDJ[Ofc Code]=(TRIM(R$7)))*(CsDJ[Account Code]=(TRIM($D72))),CsDJ[Credit])))+(SUM(IF((CRDJ[Date]=$A$4)*(CRDJ[Ofc Code]=(TRIM(R$7)))*(CRDJ[Account Code]=(TRIM($D72))),CRDJ[Credit])))+(SUM(IF((GJ[Date]=$A$4)*(GJ[Ofc Code]=(TRIM(R$7)))*(GJ[Account Code]=(TRIM($D72))),GJ[Credit])))</f>
        <v>0</v>
      </c>
      <c r="S72" s="211">
        <f t="array" ref="S72">(SUM(IF((CkDJ[Date]=$A$4)*(CkDJ[Ofc Code]=(TRIM(S$7)))*(CkDJ[Account Code]=(TRIM($D72))),CkDJ[Debit])))+(SUM(IF((CsDJ[Date]=$A$4)*(CsDJ[Ofc Code]=(TRIM(S$7)))*(CsDJ[Account Code]=(TRIM($D72))),CsDJ[Debit])))+(SUM(IF((CRDJ[Date]=$A$4)*(CRDJ[Ofc Code]=(TRIM(S$7)))*(CRDJ[Account Code]=(TRIM($D72))),CRDJ[Debit])))+(SUM(IF((GJ[Date]=$A$4)*(GJ[Ofc Code]=(TRIM(S$7)))*(GJ[Account Code]=(TRIM($D72))),GJ[Debit])))-(SUM(IF((CkDJ[Date]=$A$4)*(CkDJ[Ofc Code]=(TRIM(S$7)))*(CkDJ[Account Code]=(TRIM($D72))),CkDJ[Credit])))+(SUM(IF((CsDJ[Date]=$A$4)*(CsDJ[Ofc Code]=(TRIM(S$7)))*(CsDJ[Account Code]=(TRIM($D72))),CsDJ[Credit])))+(SUM(IF((CRDJ[Date]=$A$4)*(CRDJ[Ofc Code]=(TRIM(S$7)))*(CRDJ[Account Code]=(TRIM($D72))),CRDJ[Credit])))+(SUM(IF((GJ[Date]=$A$4)*(GJ[Ofc Code]=(TRIM(S$7)))*(GJ[Account Code]=(TRIM($D72))),GJ[Credit])))</f>
        <v>0</v>
      </c>
      <c r="T72" s="211">
        <f t="shared" si="17"/>
        <v>0</v>
      </c>
      <c r="U72" s="211">
        <f t="shared" si="18"/>
        <v>0</v>
      </c>
    </row>
    <row r="73" spans="1:22" ht="15" x14ac:dyDescent="0.25">
      <c r="A73" s="212">
        <f t="shared" si="19"/>
        <v>15</v>
      </c>
      <c r="B73" s="214" t="s">
        <v>756</v>
      </c>
      <c r="C73" s="194" t="str">
        <f t="shared" si="14"/>
        <v>Representation Expenses</v>
      </c>
      <c r="D73" s="207">
        <v>783</v>
      </c>
      <c r="E73" s="211">
        <f t="array" ref="E73">(SUM(IF((CkDJ[Date]=$A$4)*(CkDJ[Ofc Code]=(TRIM(E$7)))*(CkDJ[Account Code]=(TRIM($D73))),CkDJ[Debit])))+(SUM(IF((CsDJ[Date]=$A$4)*(CsDJ[Ofc Code]=(TRIM(E$7)))*(CsDJ[Account Code]=(TRIM($D73))),CsDJ[Debit])))+(SUM(IF((CRDJ[Date]=$A$4)*(CRDJ[Ofc Code]=(TRIM(E$7)))*(CRDJ[Account Code]=(TRIM($D73))),CRDJ[Debit])))+(SUM(IF((GJ[Date]=$A$4)*(GJ[Ofc Code]=(TRIM(E$7)))*(GJ[Account Code]=(TRIM($D73))),GJ[Debit])))-(SUM(IF((CkDJ[Date]=$A$4)*(CkDJ[Ofc Code]=(TRIM(E$7)))*(CkDJ[Account Code]=(TRIM($D73))),CkDJ[Credit])))+(SUM(IF((CsDJ[Date]=$A$4)*(CsDJ[Ofc Code]=(TRIM(E$7)))*(CsDJ[Account Code]=(TRIM($D73))),CsDJ[Credit])))+(SUM(IF((CRDJ[Date]=$A$4)*(CRDJ[Ofc Code]=(TRIM(E$7)))*(CRDJ[Account Code]=(TRIM($D73))),CRDJ[Credit])))+(SUM(IF((GJ[Date]=$A$4)*(GJ[Ofc Code]=(TRIM(E$7)))*(GJ[Account Code]=(TRIM($D73))),GJ[Credit])))</f>
        <v>0</v>
      </c>
      <c r="F73" s="211">
        <f t="array" ref="F73">(SUM(IF((CkDJ[Date]=$A$4)*(CkDJ[Ofc Code]=(TRIM(F$7)))*(CkDJ[Account Code]=(TRIM($D73))),CkDJ[Debit])))+(SUM(IF((CsDJ[Date]=$A$4)*(CsDJ[Ofc Code]=(TRIM(F$7)))*(CsDJ[Account Code]=(TRIM($D73))),CsDJ[Debit])))+(SUM(IF((CRDJ[Date]=$A$4)*(CRDJ[Ofc Code]=(TRIM(F$7)))*(CRDJ[Account Code]=(TRIM($D73))),CRDJ[Debit])))+(SUM(IF((GJ[Date]=$A$4)*(GJ[Ofc Code]=(TRIM(F$7)))*(GJ[Account Code]=(TRIM($D73))),GJ[Debit])))-(SUM(IF((CkDJ[Date]=$A$4)*(CkDJ[Ofc Code]=(TRIM(F$7)))*(CkDJ[Account Code]=(TRIM($D73))),CkDJ[Credit])))+(SUM(IF((CsDJ[Date]=$A$4)*(CsDJ[Ofc Code]=(TRIM(F$7)))*(CsDJ[Account Code]=(TRIM($D73))),CsDJ[Credit])))+(SUM(IF((CRDJ[Date]=$A$4)*(CRDJ[Ofc Code]=(TRIM(F$7)))*(CRDJ[Account Code]=(TRIM($D73))),CRDJ[Credit])))+(SUM(IF((GJ[Date]=$A$4)*(GJ[Ofc Code]=(TRIM(F$7)))*(GJ[Account Code]=(TRIM($D73))),GJ[Credit])))</f>
        <v>0</v>
      </c>
      <c r="G73" s="211">
        <f t="array" ref="G73">(SUM(IF((CkDJ[Date]=$A$4)*(CkDJ[Ofc Code]=(TRIM(G$7)))*(CkDJ[Account Code]=(TRIM($D73))),CkDJ[Debit])))+(SUM(IF((CsDJ[Date]=$A$4)*(CsDJ[Ofc Code]=(TRIM(G$7)))*(CsDJ[Account Code]=(TRIM($D73))),CsDJ[Debit])))+(SUM(IF((CRDJ[Date]=$A$4)*(CRDJ[Ofc Code]=(TRIM(G$7)))*(CRDJ[Account Code]=(TRIM($D73))),CRDJ[Debit])))+(SUM(IF((GJ[Date]=$A$4)*(GJ[Ofc Code]=(TRIM(G$7)))*(GJ[Account Code]=(TRIM($D73))),GJ[Debit])))-(SUM(IF((CkDJ[Date]=$A$4)*(CkDJ[Ofc Code]=(TRIM(G$7)))*(CkDJ[Account Code]=(TRIM($D73))),CkDJ[Credit])))+(SUM(IF((CsDJ[Date]=$A$4)*(CsDJ[Ofc Code]=(TRIM(G$7)))*(CsDJ[Account Code]=(TRIM($D73))),CsDJ[Credit])))+(SUM(IF((CRDJ[Date]=$A$4)*(CRDJ[Ofc Code]=(TRIM(G$7)))*(CRDJ[Account Code]=(TRIM($D73))),CRDJ[Credit])))+(SUM(IF((GJ[Date]=$A$4)*(GJ[Ofc Code]=(TRIM(G$7)))*(GJ[Account Code]=(TRIM($D73))),GJ[Credit])))</f>
        <v>0</v>
      </c>
      <c r="H73" s="211">
        <f t="array" ref="H73">(SUM(IF((CkDJ[Date]=$A$4)*(CkDJ[Ofc Code]=(TRIM(H$7)))*(CkDJ[Account Code]=(TRIM($D73))),CkDJ[Debit])))+(SUM(IF((CsDJ[Date]=$A$4)*(CsDJ[Ofc Code]=(TRIM(H$7)))*(CsDJ[Account Code]=(TRIM($D73))),CsDJ[Debit])))+(SUM(IF((CRDJ[Date]=$A$4)*(CRDJ[Ofc Code]=(TRIM(H$7)))*(CRDJ[Account Code]=(TRIM($D73))),CRDJ[Debit])))+(SUM(IF((GJ[Date]=$A$4)*(GJ[Ofc Code]=(TRIM(H$7)))*(GJ[Account Code]=(TRIM($D73))),GJ[Debit])))-(SUM(IF((CkDJ[Date]=$A$4)*(CkDJ[Ofc Code]=(TRIM(H$7)))*(CkDJ[Account Code]=(TRIM($D73))),CkDJ[Credit])))+(SUM(IF((CsDJ[Date]=$A$4)*(CsDJ[Ofc Code]=(TRIM(H$7)))*(CsDJ[Account Code]=(TRIM($D73))),CsDJ[Credit])))+(SUM(IF((CRDJ[Date]=$A$4)*(CRDJ[Ofc Code]=(TRIM(H$7)))*(CRDJ[Account Code]=(TRIM($D73))),CRDJ[Credit])))+(SUM(IF((GJ[Date]=$A$4)*(GJ[Ofc Code]=(TRIM(H$7)))*(GJ[Account Code]=(TRIM($D73))),GJ[Credit])))</f>
        <v>0</v>
      </c>
      <c r="I73" s="211">
        <f t="shared" si="15"/>
        <v>0</v>
      </c>
      <c r="J73" s="211">
        <f t="array" ref="J73">(SUM(IF((CkDJ[Date]=$A$4)*(CkDJ[Ofc Code]=(TRIM(J$7)))*(CkDJ[Account Code]=(TRIM($D73))),CkDJ[Debit])))+(SUM(IF((CsDJ[Date]=$A$4)*(CsDJ[Ofc Code]=(TRIM(J$7)))*(CsDJ[Account Code]=(TRIM($D73))),CsDJ[Debit])))+(SUM(IF((CRDJ[Date]=$A$4)*(CRDJ[Ofc Code]=(TRIM(J$7)))*(CRDJ[Account Code]=(TRIM($D73))),CRDJ[Debit])))+(SUM(IF((GJ[Date]=$A$4)*(GJ[Ofc Code]=(TRIM(J$7)))*(GJ[Account Code]=(TRIM($D73))),GJ[Debit])))-(SUM(IF((CkDJ[Date]=$A$4)*(CkDJ[Ofc Code]=(TRIM(J$7)))*(CkDJ[Account Code]=(TRIM($D73))),CkDJ[Credit])))+(SUM(IF((CsDJ[Date]=$A$4)*(CsDJ[Ofc Code]=(TRIM(J$7)))*(CsDJ[Account Code]=(TRIM($D73))),CsDJ[Credit])))+(SUM(IF((CRDJ[Date]=$A$4)*(CRDJ[Ofc Code]=(TRIM(J$7)))*(CRDJ[Account Code]=(TRIM($D73))),CRDJ[Credit])))+(SUM(IF((GJ[Date]=$A$4)*(GJ[Ofc Code]=(TRIM(J$7)))*(GJ[Account Code]=(TRIM($D73))),GJ[Credit])))</f>
        <v>0</v>
      </c>
      <c r="K73" s="211">
        <f t="array" ref="K73">(SUM(IF((CkDJ[Date]=$A$4)*(CkDJ[Ofc Code]=(TRIM(K$7)))*(CkDJ[Account Code]=(TRIM($D73))),CkDJ[Debit])))+(SUM(IF((CsDJ[Date]=$A$4)*(CsDJ[Ofc Code]=(TRIM(K$7)))*(CsDJ[Account Code]=(TRIM($D73))),CsDJ[Debit])))+(SUM(IF((CRDJ[Date]=$A$4)*(CRDJ[Ofc Code]=(TRIM(K$7)))*(CRDJ[Account Code]=(TRIM($D73))),CRDJ[Debit])))+(SUM(IF((GJ[Date]=$A$4)*(GJ[Ofc Code]=(TRIM(K$7)))*(GJ[Account Code]=(TRIM($D73))),GJ[Debit])))-(SUM(IF((CkDJ[Date]=$A$4)*(CkDJ[Ofc Code]=(TRIM(K$7)))*(CkDJ[Account Code]=(TRIM($D73))),CkDJ[Credit])))+(SUM(IF((CsDJ[Date]=$A$4)*(CsDJ[Ofc Code]=(TRIM(K$7)))*(CsDJ[Account Code]=(TRIM($D73))),CsDJ[Credit])))+(SUM(IF((CRDJ[Date]=$A$4)*(CRDJ[Ofc Code]=(TRIM(K$7)))*(CRDJ[Account Code]=(TRIM($D73))),CRDJ[Credit])))+(SUM(IF((GJ[Date]=$A$4)*(GJ[Ofc Code]=(TRIM(K$7)))*(GJ[Account Code]=(TRIM($D73))),GJ[Credit])))</f>
        <v>0</v>
      </c>
      <c r="L73" s="211">
        <f t="array" ref="L73">(SUM(IF((CkDJ[Date]=$A$4)*(CkDJ[Ofc Code]=(TRIM(L$7)))*(CkDJ[Account Code]=(TRIM($D73))),CkDJ[Debit])))+(SUM(IF((CsDJ[Date]=$A$4)*(CsDJ[Ofc Code]=(TRIM(L$7)))*(CsDJ[Account Code]=(TRIM($D73))),CsDJ[Debit])))+(SUM(IF((CRDJ[Date]=$A$4)*(CRDJ[Ofc Code]=(TRIM(L$7)))*(CRDJ[Account Code]=(TRIM($D73))),CRDJ[Debit])))+(SUM(IF((GJ[Date]=$A$4)*(GJ[Ofc Code]=(TRIM(L$7)))*(GJ[Account Code]=(TRIM($D73))),GJ[Debit])))-(SUM(IF((CkDJ[Date]=$A$4)*(CkDJ[Ofc Code]=(TRIM(L$7)))*(CkDJ[Account Code]=(TRIM($D73))),CkDJ[Credit])))+(SUM(IF((CsDJ[Date]=$A$4)*(CsDJ[Ofc Code]=(TRIM(L$7)))*(CsDJ[Account Code]=(TRIM($D73))),CsDJ[Credit])))+(SUM(IF((CRDJ[Date]=$A$4)*(CRDJ[Ofc Code]=(TRIM(L$7)))*(CRDJ[Account Code]=(TRIM($D73))),CRDJ[Credit])))+(SUM(IF((GJ[Date]=$A$4)*(GJ[Ofc Code]=(TRIM(L$7)))*(GJ[Account Code]=(TRIM($D73))),GJ[Credit])))</f>
        <v>0</v>
      </c>
      <c r="M73" s="211">
        <f t="array" ref="M73">(SUM(IF((CkDJ[Date]=$A$4)*(CkDJ[Ofc Code]=(TRIM(M$7)))*(CkDJ[Account Code]=(TRIM($D73))),CkDJ[Debit])))+(SUM(IF((CsDJ[Date]=$A$4)*(CsDJ[Ofc Code]=(TRIM(M$7)))*(CsDJ[Account Code]=(TRIM($D73))),CsDJ[Debit])))+(SUM(IF((CRDJ[Date]=$A$4)*(CRDJ[Ofc Code]=(TRIM(M$7)))*(CRDJ[Account Code]=(TRIM($D73))),CRDJ[Debit])))+(SUM(IF((GJ[Date]=$A$4)*(GJ[Ofc Code]=(TRIM(M$7)))*(GJ[Account Code]=(TRIM($D73))),GJ[Debit])))-(SUM(IF((CkDJ[Date]=$A$4)*(CkDJ[Ofc Code]=(TRIM(M$7)))*(CkDJ[Account Code]=(TRIM($D73))),CkDJ[Credit])))+(SUM(IF((CsDJ[Date]=$A$4)*(CsDJ[Ofc Code]=(TRIM(M$7)))*(CsDJ[Account Code]=(TRIM($D73))),CsDJ[Credit])))+(SUM(IF((CRDJ[Date]=$A$4)*(CRDJ[Ofc Code]=(TRIM(M$7)))*(CRDJ[Account Code]=(TRIM($D73))),CRDJ[Credit])))+(SUM(IF((GJ[Date]=$A$4)*(GJ[Ofc Code]=(TRIM(M$7)))*(GJ[Account Code]=(TRIM($D73))),GJ[Credit])))</f>
        <v>0</v>
      </c>
      <c r="N73" s="211">
        <f t="shared" si="16"/>
        <v>0</v>
      </c>
      <c r="O73" s="211">
        <f t="array" ref="O73">(SUM(IF((CkDJ[Date]=$A$4)*(CkDJ[Ofc Code]=(TRIM(O$7)))*(CkDJ[Account Code]=(TRIM($D73))),CkDJ[Debit])))+(SUM(IF((CsDJ[Date]=$A$4)*(CsDJ[Ofc Code]=(TRIM(O$7)))*(CsDJ[Account Code]=(TRIM($D73))),CsDJ[Debit])))+(SUM(IF((CRDJ[Date]=$A$4)*(CRDJ[Ofc Code]=(TRIM(O$7)))*(CRDJ[Account Code]=(TRIM($D73))),CRDJ[Debit])))+(SUM(IF((GJ[Date]=$A$4)*(GJ[Ofc Code]=(TRIM(O$7)))*(GJ[Account Code]=(TRIM($D73))),GJ[Debit])))-(SUM(IF((CkDJ[Date]=$A$4)*(CkDJ[Ofc Code]=(TRIM(O$7)))*(CkDJ[Account Code]=(TRIM($D73))),CkDJ[Credit])))+(SUM(IF((CsDJ[Date]=$A$4)*(CsDJ[Ofc Code]=(TRIM(O$7)))*(CsDJ[Account Code]=(TRIM($D73))),CsDJ[Credit])))+(SUM(IF((CRDJ[Date]=$A$4)*(CRDJ[Ofc Code]=(TRIM(O$7)))*(CRDJ[Account Code]=(TRIM($D73))),CRDJ[Credit])))+(SUM(IF((GJ[Date]=$A$4)*(GJ[Ofc Code]=(TRIM(O$7)))*(GJ[Account Code]=(TRIM($D73))),GJ[Credit])))</f>
        <v>0</v>
      </c>
      <c r="P73" s="211">
        <f t="array" ref="P73">(SUM(IF((CkDJ[Date]=$A$4)*(CkDJ[Ofc Code]=(TRIM(P$7)))*(CkDJ[Account Code]=(TRIM($D73))),CkDJ[Debit])))+(SUM(IF((CsDJ[Date]=$A$4)*(CsDJ[Ofc Code]=(TRIM(P$7)))*(CsDJ[Account Code]=(TRIM($D73))),CsDJ[Debit])))+(SUM(IF((CRDJ[Date]=$A$4)*(CRDJ[Ofc Code]=(TRIM(P$7)))*(CRDJ[Account Code]=(TRIM($D73))),CRDJ[Debit])))+(SUM(IF((GJ[Date]=$A$4)*(GJ[Ofc Code]=(TRIM(P$7)))*(GJ[Account Code]=(TRIM($D73))),GJ[Debit])))-(SUM(IF((CkDJ[Date]=$A$4)*(CkDJ[Ofc Code]=(TRIM(P$7)))*(CkDJ[Account Code]=(TRIM($D73))),CkDJ[Credit])))+(SUM(IF((CsDJ[Date]=$A$4)*(CsDJ[Ofc Code]=(TRIM(P$7)))*(CsDJ[Account Code]=(TRIM($D73))),CsDJ[Credit])))+(SUM(IF((CRDJ[Date]=$A$4)*(CRDJ[Ofc Code]=(TRIM(P$7)))*(CRDJ[Account Code]=(TRIM($D73))),CRDJ[Credit])))+(SUM(IF((GJ[Date]=$A$4)*(GJ[Ofc Code]=(TRIM(P$7)))*(GJ[Account Code]=(TRIM($D73))),GJ[Credit])))</f>
        <v>0</v>
      </c>
      <c r="Q73" s="211">
        <f t="array" ref="Q73">(SUM(IF((CkDJ[Date]=$A$4)*(CkDJ[Ofc Code]=(TRIM(Q$7)))*(CkDJ[Account Code]=(TRIM($D73))),CkDJ[Debit])))+(SUM(IF((CsDJ[Date]=$A$4)*(CsDJ[Ofc Code]=(TRIM(Q$7)))*(CsDJ[Account Code]=(TRIM($D73))),CsDJ[Debit])))+(SUM(IF((CRDJ[Date]=$A$4)*(CRDJ[Ofc Code]=(TRIM(Q$7)))*(CRDJ[Account Code]=(TRIM($D73))),CRDJ[Debit])))+(SUM(IF((GJ[Date]=$A$4)*(GJ[Ofc Code]=(TRIM(Q$7)))*(GJ[Account Code]=(TRIM($D73))),GJ[Debit])))-(SUM(IF((CkDJ[Date]=$A$4)*(CkDJ[Ofc Code]=(TRIM(Q$7)))*(CkDJ[Account Code]=(TRIM($D73))),CkDJ[Credit])))+(SUM(IF((CsDJ[Date]=$A$4)*(CsDJ[Ofc Code]=(TRIM(Q$7)))*(CsDJ[Account Code]=(TRIM($D73))),CsDJ[Credit])))+(SUM(IF((CRDJ[Date]=$A$4)*(CRDJ[Ofc Code]=(TRIM(Q$7)))*(CRDJ[Account Code]=(TRIM($D73))),CRDJ[Credit])))+(SUM(IF((GJ[Date]=$A$4)*(GJ[Ofc Code]=(TRIM(Q$7)))*(GJ[Account Code]=(TRIM($D73))),GJ[Credit])))</f>
        <v>0</v>
      </c>
      <c r="R73" s="211">
        <f t="array" ref="R73">(SUM(IF((CkDJ[Date]=$A$4)*(CkDJ[Ofc Code]=(TRIM(R$7)))*(CkDJ[Account Code]=(TRIM($D73))),CkDJ[Debit])))+(SUM(IF((CsDJ[Date]=$A$4)*(CsDJ[Ofc Code]=(TRIM(R$7)))*(CsDJ[Account Code]=(TRIM($D73))),CsDJ[Debit])))+(SUM(IF((CRDJ[Date]=$A$4)*(CRDJ[Ofc Code]=(TRIM(R$7)))*(CRDJ[Account Code]=(TRIM($D73))),CRDJ[Debit])))+(SUM(IF((GJ[Date]=$A$4)*(GJ[Ofc Code]=(TRIM(R$7)))*(GJ[Account Code]=(TRIM($D73))),GJ[Debit])))-(SUM(IF((CkDJ[Date]=$A$4)*(CkDJ[Ofc Code]=(TRIM(R$7)))*(CkDJ[Account Code]=(TRIM($D73))),CkDJ[Credit])))+(SUM(IF((CsDJ[Date]=$A$4)*(CsDJ[Ofc Code]=(TRIM(R$7)))*(CsDJ[Account Code]=(TRIM($D73))),CsDJ[Credit])))+(SUM(IF((CRDJ[Date]=$A$4)*(CRDJ[Ofc Code]=(TRIM(R$7)))*(CRDJ[Account Code]=(TRIM($D73))),CRDJ[Credit])))+(SUM(IF((GJ[Date]=$A$4)*(GJ[Ofc Code]=(TRIM(R$7)))*(GJ[Account Code]=(TRIM($D73))),GJ[Credit])))</f>
        <v>0</v>
      </c>
      <c r="S73" s="211">
        <f t="array" ref="S73">(SUM(IF((CkDJ[Date]=$A$4)*(CkDJ[Ofc Code]=(TRIM(S$7)))*(CkDJ[Account Code]=(TRIM($D73))),CkDJ[Debit])))+(SUM(IF((CsDJ[Date]=$A$4)*(CsDJ[Ofc Code]=(TRIM(S$7)))*(CsDJ[Account Code]=(TRIM($D73))),CsDJ[Debit])))+(SUM(IF((CRDJ[Date]=$A$4)*(CRDJ[Ofc Code]=(TRIM(S$7)))*(CRDJ[Account Code]=(TRIM($D73))),CRDJ[Debit])))+(SUM(IF((GJ[Date]=$A$4)*(GJ[Ofc Code]=(TRIM(S$7)))*(GJ[Account Code]=(TRIM($D73))),GJ[Debit])))-(SUM(IF((CkDJ[Date]=$A$4)*(CkDJ[Ofc Code]=(TRIM(S$7)))*(CkDJ[Account Code]=(TRIM($D73))),CkDJ[Credit])))+(SUM(IF((CsDJ[Date]=$A$4)*(CsDJ[Ofc Code]=(TRIM(S$7)))*(CsDJ[Account Code]=(TRIM($D73))),CsDJ[Credit])))+(SUM(IF((CRDJ[Date]=$A$4)*(CRDJ[Ofc Code]=(TRIM(S$7)))*(CRDJ[Account Code]=(TRIM($D73))),CRDJ[Credit])))+(SUM(IF((GJ[Date]=$A$4)*(GJ[Ofc Code]=(TRIM(S$7)))*(GJ[Account Code]=(TRIM($D73))),GJ[Credit])))</f>
        <v>0</v>
      </c>
      <c r="T73" s="211">
        <f t="shared" si="17"/>
        <v>0</v>
      </c>
      <c r="U73" s="211">
        <f t="shared" si="18"/>
        <v>0</v>
      </c>
    </row>
    <row r="74" spans="1:22" ht="15" x14ac:dyDescent="0.25">
      <c r="A74" s="212">
        <f t="shared" si="19"/>
        <v>16</v>
      </c>
      <c r="B74" s="214"/>
      <c r="C74" s="194" t="str">
        <f t="shared" si="14"/>
        <v>Transportation and Delivery Expenses</v>
      </c>
      <c r="D74" s="207">
        <v>784</v>
      </c>
      <c r="E74" s="211">
        <f t="array" ref="E74">(SUM(IF((CkDJ[Date]=$A$4)*(CkDJ[Ofc Code]=(TRIM(E$7)))*(CkDJ[Account Code]=(TRIM($D74))),CkDJ[Debit])))+(SUM(IF((CsDJ[Date]=$A$4)*(CsDJ[Ofc Code]=(TRIM(E$7)))*(CsDJ[Account Code]=(TRIM($D74))),CsDJ[Debit])))+(SUM(IF((CRDJ[Date]=$A$4)*(CRDJ[Ofc Code]=(TRIM(E$7)))*(CRDJ[Account Code]=(TRIM($D74))),CRDJ[Debit])))+(SUM(IF((GJ[Date]=$A$4)*(GJ[Ofc Code]=(TRIM(E$7)))*(GJ[Account Code]=(TRIM($D74))),GJ[Debit])))-(SUM(IF((CkDJ[Date]=$A$4)*(CkDJ[Ofc Code]=(TRIM(E$7)))*(CkDJ[Account Code]=(TRIM($D74))),CkDJ[Credit])))+(SUM(IF((CsDJ[Date]=$A$4)*(CsDJ[Ofc Code]=(TRIM(E$7)))*(CsDJ[Account Code]=(TRIM($D74))),CsDJ[Credit])))+(SUM(IF((CRDJ[Date]=$A$4)*(CRDJ[Ofc Code]=(TRIM(E$7)))*(CRDJ[Account Code]=(TRIM($D74))),CRDJ[Credit])))+(SUM(IF((GJ[Date]=$A$4)*(GJ[Ofc Code]=(TRIM(E$7)))*(GJ[Account Code]=(TRIM($D74))),GJ[Credit])))</f>
        <v>0</v>
      </c>
      <c r="F74" s="211">
        <f t="array" ref="F74">(SUM(IF((CkDJ[Date]=$A$4)*(CkDJ[Ofc Code]=(TRIM(F$7)))*(CkDJ[Account Code]=(TRIM($D74))),CkDJ[Debit])))+(SUM(IF((CsDJ[Date]=$A$4)*(CsDJ[Ofc Code]=(TRIM(F$7)))*(CsDJ[Account Code]=(TRIM($D74))),CsDJ[Debit])))+(SUM(IF((CRDJ[Date]=$A$4)*(CRDJ[Ofc Code]=(TRIM(F$7)))*(CRDJ[Account Code]=(TRIM($D74))),CRDJ[Debit])))+(SUM(IF((GJ[Date]=$A$4)*(GJ[Ofc Code]=(TRIM(F$7)))*(GJ[Account Code]=(TRIM($D74))),GJ[Debit])))-(SUM(IF((CkDJ[Date]=$A$4)*(CkDJ[Ofc Code]=(TRIM(F$7)))*(CkDJ[Account Code]=(TRIM($D74))),CkDJ[Credit])))+(SUM(IF((CsDJ[Date]=$A$4)*(CsDJ[Ofc Code]=(TRIM(F$7)))*(CsDJ[Account Code]=(TRIM($D74))),CsDJ[Credit])))+(SUM(IF((CRDJ[Date]=$A$4)*(CRDJ[Ofc Code]=(TRIM(F$7)))*(CRDJ[Account Code]=(TRIM($D74))),CRDJ[Credit])))+(SUM(IF((GJ[Date]=$A$4)*(GJ[Ofc Code]=(TRIM(F$7)))*(GJ[Account Code]=(TRIM($D74))),GJ[Credit])))</f>
        <v>0</v>
      </c>
      <c r="G74" s="211">
        <f t="array" ref="G74">(SUM(IF((CkDJ[Date]=$A$4)*(CkDJ[Ofc Code]=(TRIM(G$7)))*(CkDJ[Account Code]=(TRIM($D74))),CkDJ[Debit])))+(SUM(IF((CsDJ[Date]=$A$4)*(CsDJ[Ofc Code]=(TRIM(G$7)))*(CsDJ[Account Code]=(TRIM($D74))),CsDJ[Debit])))+(SUM(IF((CRDJ[Date]=$A$4)*(CRDJ[Ofc Code]=(TRIM(G$7)))*(CRDJ[Account Code]=(TRIM($D74))),CRDJ[Debit])))+(SUM(IF((GJ[Date]=$A$4)*(GJ[Ofc Code]=(TRIM(G$7)))*(GJ[Account Code]=(TRIM($D74))),GJ[Debit])))-(SUM(IF((CkDJ[Date]=$A$4)*(CkDJ[Ofc Code]=(TRIM(G$7)))*(CkDJ[Account Code]=(TRIM($D74))),CkDJ[Credit])))+(SUM(IF((CsDJ[Date]=$A$4)*(CsDJ[Ofc Code]=(TRIM(G$7)))*(CsDJ[Account Code]=(TRIM($D74))),CsDJ[Credit])))+(SUM(IF((CRDJ[Date]=$A$4)*(CRDJ[Ofc Code]=(TRIM(G$7)))*(CRDJ[Account Code]=(TRIM($D74))),CRDJ[Credit])))+(SUM(IF((GJ[Date]=$A$4)*(GJ[Ofc Code]=(TRIM(G$7)))*(GJ[Account Code]=(TRIM($D74))),GJ[Credit])))</f>
        <v>0</v>
      </c>
      <c r="H74" s="211">
        <f t="array" ref="H74">(SUM(IF((CkDJ[Date]=$A$4)*(CkDJ[Ofc Code]=(TRIM(H$7)))*(CkDJ[Account Code]=(TRIM($D74))),CkDJ[Debit])))+(SUM(IF((CsDJ[Date]=$A$4)*(CsDJ[Ofc Code]=(TRIM(H$7)))*(CsDJ[Account Code]=(TRIM($D74))),CsDJ[Debit])))+(SUM(IF((CRDJ[Date]=$A$4)*(CRDJ[Ofc Code]=(TRIM(H$7)))*(CRDJ[Account Code]=(TRIM($D74))),CRDJ[Debit])))+(SUM(IF((GJ[Date]=$A$4)*(GJ[Ofc Code]=(TRIM(H$7)))*(GJ[Account Code]=(TRIM($D74))),GJ[Debit])))-(SUM(IF((CkDJ[Date]=$A$4)*(CkDJ[Ofc Code]=(TRIM(H$7)))*(CkDJ[Account Code]=(TRIM($D74))),CkDJ[Credit])))+(SUM(IF((CsDJ[Date]=$A$4)*(CsDJ[Ofc Code]=(TRIM(H$7)))*(CsDJ[Account Code]=(TRIM($D74))),CsDJ[Credit])))+(SUM(IF((CRDJ[Date]=$A$4)*(CRDJ[Ofc Code]=(TRIM(H$7)))*(CRDJ[Account Code]=(TRIM($D74))),CRDJ[Credit])))+(SUM(IF((GJ[Date]=$A$4)*(GJ[Ofc Code]=(TRIM(H$7)))*(GJ[Account Code]=(TRIM($D74))),GJ[Credit])))</f>
        <v>0</v>
      </c>
      <c r="I74" s="211">
        <f t="shared" si="15"/>
        <v>0</v>
      </c>
      <c r="J74" s="211">
        <f t="array" ref="J74">(SUM(IF((CkDJ[Date]=$A$4)*(CkDJ[Ofc Code]=(TRIM(J$7)))*(CkDJ[Account Code]=(TRIM($D74))),CkDJ[Debit])))+(SUM(IF((CsDJ[Date]=$A$4)*(CsDJ[Ofc Code]=(TRIM(J$7)))*(CsDJ[Account Code]=(TRIM($D74))),CsDJ[Debit])))+(SUM(IF((CRDJ[Date]=$A$4)*(CRDJ[Ofc Code]=(TRIM(J$7)))*(CRDJ[Account Code]=(TRIM($D74))),CRDJ[Debit])))+(SUM(IF((GJ[Date]=$A$4)*(GJ[Ofc Code]=(TRIM(J$7)))*(GJ[Account Code]=(TRIM($D74))),GJ[Debit])))-(SUM(IF((CkDJ[Date]=$A$4)*(CkDJ[Ofc Code]=(TRIM(J$7)))*(CkDJ[Account Code]=(TRIM($D74))),CkDJ[Credit])))+(SUM(IF((CsDJ[Date]=$A$4)*(CsDJ[Ofc Code]=(TRIM(J$7)))*(CsDJ[Account Code]=(TRIM($D74))),CsDJ[Credit])))+(SUM(IF((CRDJ[Date]=$A$4)*(CRDJ[Ofc Code]=(TRIM(J$7)))*(CRDJ[Account Code]=(TRIM($D74))),CRDJ[Credit])))+(SUM(IF((GJ[Date]=$A$4)*(GJ[Ofc Code]=(TRIM(J$7)))*(GJ[Account Code]=(TRIM($D74))),GJ[Credit])))</f>
        <v>0</v>
      </c>
      <c r="K74" s="211">
        <f t="array" ref="K74">(SUM(IF((CkDJ[Date]=$A$4)*(CkDJ[Ofc Code]=(TRIM(K$7)))*(CkDJ[Account Code]=(TRIM($D74))),CkDJ[Debit])))+(SUM(IF((CsDJ[Date]=$A$4)*(CsDJ[Ofc Code]=(TRIM(K$7)))*(CsDJ[Account Code]=(TRIM($D74))),CsDJ[Debit])))+(SUM(IF((CRDJ[Date]=$A$4)*(CRDJ[Ofc Code]=(TRIM(K$7)))*(CRDJ[Account Code]=(TRIM($D74))),CRDJ[Debit])))+(SUM(IF((GJ[Date]=$A$4)*(GJ[Ofc Code]=(TRIM(K$7)))*(GJ[Account Code]=(TRIM($D74))),GJ[Debit])))-(SUM(IF((CkDJ[Date]=$A$4)*(CkDJ[Ofc Code]=(TRIM(K$7)))*(CkDJ[Account Code]=(TRIM($D74))),CkDJ[Credit])))+(SUM(IF((CsDJ[Date]=$A$4)*(CsDJ[Ofc Code]=(TRIM(K$7)))*(CsDJ[Account Code]=(TRIM($D74))),CsDJ[Credit])))+(SUM(IF((CRDJ[Date]=$A$4)*(CRDJ[Ofc Code]=(TRIM(K$7)))*(CRDJ[Account Code]=(TRIM($D74))),CRDJ[Credit])))+(SUM(IF((GJ[Date]=$A$4)*(GJ[Ofc Code]=(TRIM(K$7)))*(GJ[Account Code]=(TRIM($D74))),GJ[Credit])))</f>
        <v>0</v>
      </c>
      <c r="L74" s="211">
        <f t="array" ref="L74">(SUM(IF((CkDJ[Date]=$A$4)*(CkDJ[Ofc Code]=(TRIM(L$7)))*(CkDJ[Account Code]=(TRIM($D74))),CkDJ[Debit])))+(SUM(IF((CsDJ[Date]=$A$4)*(CsDJ[Ofc Code]=(TRIM(L$7)))*(CsDJ[Account Code]=(TRIM($D74))),CsDJ[Debit])))+(SUM(IF((CRDJ[Date]=$A$4)*(CRDJ[Ofc Code]=(TRIM(L$7)))*(CRDJ[Account Code]=(TRIM($D74))),CRDJ[Debit])))+(SUM(IF((GJ[Date]=$A$4)*(GJ[Ofc Code]=(TRIM(L$7)))*(GJ[Account Code]=(TRIM($D74))),GJ[Debit])))-(SUM(IF((CkDJ[Date]=$A$4)*(CkDJ[Ofc Code]=(TRIM(L$7)))*(CkDJ[Account Code]=(TRIM($D74))),CkDJ[Credit])))+(SUM(IF((CsDJ[Date]=$A$4)*(CsDJ[Ofc Code]=(TRIM(L$7)))*(CsDJ[Account Code]=(TRIM($D74))),CsDJ[Credit])))+(SUM(IF((CRDJ[Date]=$A$4)*(CRDJ[Ofc Code]=(TRIM(L$7)))*(CRDJ[Account Code]=(TRIM($D74))),CRDJ[Credit])))+(SUM(IF((GJ[Date]=$A$4)*(GJ[Ofc Code]=(TRIM(L$7)))*(GJ[Account Code]=(TRIM($D74))),GJ[Credit])))</f>
        <v>0</v>
      </c>
      <c r="M74" s="211">
        <f t="array" ref="M74">(SUM(IF((CkDJ[Date]=$A$4)*(CkDJ[Ofc Code]=(TRIM(M$7)))*(CkDJ[Account Code]=(TRIM($D74))),CkDJ[Debit])))+(SUM(IF((CsDJ[Date]=$A$4)*(CsDJ[Ofc Code]=(TRIM(M$7)))*(CsDJ[Account Code]=(TRIM($D74))),CsDJ[Debit])))+(SUM(IF((CRDJ[Date]=$A$4)*(CRDJ[Ofc Code]=(TRIM(M$7)))*(CRDJ[Account Code]=(TRIM($D74))),CRDJ[Debit])))+(SUM(IF((GJ[Date]=$A$4)*(GJ[Ofc Code]=(TRIM(M$7)))*(GJ[Account Code]=(TRIM($D74))),GJ[Debit])))-(SUM(IF((CkDJ[Date]=$A$4)*(CkDJ[Ofc Code]=(TRIM(M$7)))*(CkDJ[Account Code]=(TRIM($D74))),CkDJ[Credit])))+(SUM(IF((CsDJ[Date]=$A$4)*(CsDJ[Ofc Code]=(TRIM(M$7)))*(CsDJ[Account Code]=(TRIM($D74))),CsDJ[Credit])))+(SUM(IF((CRDJ[Date]=$A$4)*(CRDJ[Ofc Code]=(TRIM(M$7)))*(CRDJ[Account Code]=(TRIM($D74))),CRDJ[Credit])))+(SUM(IF((GJ[Date]=$A$4)*(GJ[Ofc Code]=(TRIM(M$7)))*(GJ[Account Code]=(TRIM($D74))),GJ[Credit])))</f>
        <v>0</v>
      </c>
      <c r="N74" s="211">
        <f t="shared" si="16"/>
        <v>0</v>
      </c>
      <c r="O74" s="211">
        <f t="array" ref="O74">(SUM(IF((CkDJ[Date]=$A$4)*(CkDJ[Ofc Code]=(TRIM(O$7)))*(CkDJ[Account Code]=(TRIM($D74))),CkDJ[Debit])))+(SUM(IF((CsDJ[Date]=$A$4)*(CsDJ[Ofc Code]=(TRIM(O$7)))*(CsDJ[Account Code]=(TRIM($D74))),CsDJ[Debit])))+(SUM(IF((CRDJ[Date]=$A$4)*(CRDJ[Ofc Code]=(TRIM(O$7)))*(CRDJ[Account Code]=(TRIM($D74))),CRDJ[Debit])))+(SUM(IF((GJ[Date]=$A$4)*(GJ[Ofc Code]=(TRIM(O$7)))*(GJ[Account Code]=(TRIM($D74))),GJ[Debit])))-(SUM(IF((CkDJ[Date]=$A$4)*(CkDJ[Ofc Code]=(TRIM(O$7)))*(CkDJ[Account Code]=(TRIM($D74))),CkDJ[Credit])))+(SUM(IF((CsDJ[Date]=$A$4)*(CsDJ[Ofc Code]=(TRIM(O$7)))*(CsDJ[Account Code]=(TRIM($D74))),CsDJ[Credit])))+(SUM(IF((CRDJ[Date]=$A$4)*(CRDJ[Ofc Code]=(TRIM(O$7)))*(CRDJ[Account Code]=(TRIM($D74))),CRDJ[Credit])))+(SUM(IF((GJ[Date]=$A$4)*(GJ[Ofc Code]=(TRIM(O$7)))*(GJ[Account Code]=(TRIM($D74))),GJ[Credit])))</f>
        <v>0</v>
      </c>
      <c r="P74" s="211">
        <f t="array" ref="P74">(SUM(IF((CkDJ[Date]=$A$4)*(CkDJ[Ofc Code]=(TRIM(P$7)))*(CkDJ[Account Code]=(TRIM($D74))),CkDJ[Debit])))+(SUM(IF((CsDJ[Date]=$A$4)*(CsDJ[Ofc Code]=(TRIM(P$7)))*(CsDJ[Account Code]=(TRIM($D74))),CsDJ[Debit])))+(SUM(IF((CRDJ[Date]=$A$4)*(CRDJ[Ofc Code]=(TRIM(P$7)))*(CRDJ[Account Code]=(TRIM($D74))),CRDJ[Debit])))+(SUM(IF((GJ[Date]=$A$4)*(GJ[Ofc Code]=(TRIM(P$7)))*(GJ[Account Code]=(TRIM($D74))),GJ[Debit])))-(SUM(IF((CkDJ[Date]=$A$4)*(CkDJ[Ofc Code]=(TRIM(P$7)))*(CkDJ[Account Code]=(TRIM($D74))),CkDJ[Credit])))+(SUM(IF((CsDJ[Date]=$A$4)*(CsDJ[Ofc Code]=(TRIM(P$7)))*(CsDJ[Account Code]=(TRIM($D74))),CsDJ[Credit])))+(SUM(IF((CRDJ[Date]=$A$4)*(CRDJ[Ofc Code]=(TRIM(P$7)))*(CRDJ[Account Code]=(TRIM($D74))),CRDJ[Credit])))+(SUM(IF((GJ[Date]=$A$4)*(GJ[Ofc Code]=(TRIM(P$7)))*(GJ[Account Code]=(TRIM($D74))),GJ[Credit])))</f>
        <v>0</v>
      </c>
      <c r="Q74" s="211">
        <f t="array" ref="Q74">(SUM(IF((CkDJ[Date]=$A$4)*(CkDJ[Ofc Code]=(TRIM(Q$7)))*(CkDJ[Account Code]=(TRIM($D74))),CkDJ[Debit])))+(SUM(IF((CsDJ[Date]=$A$4)*(CsDJ[Ofc Code]=(TRIM(Q$7)))*(CsDJ[Account Code]=(TRIM($D74))),CsDJ[Debit])))+(SUM(IF((CRDJ[Date]=$A$4)*(CRDJ[Ofc Code]=(TRIM(Q$7)))*(CRDJ[Account Code]=(TRIM($D74))),CRDJ[Debit])))+(SUM(IF((GJ[Date]=$A$4)*(GJ[Ofc Code]=(TRIM(Q$7)))*(GJ[Account Code]=(TRIM($D74))),GJ[Debit])))-(SUM(IF((CkDJ[Date]=$A$4)*(CkDJ[Ofc Code]=(TRIM(Q$7)))*(CkDJ[Account Code]=(TRIM($D74))),CkDJ[Credit])))+(SUM(IF((CsDJ[Date]=$A$4)*(CsDJ[Ofc Code]=(TRIM(Q$7)))*(CsDJ[Account Code]=(TRIM($D74))),CsDJ[Credit])))+(SUM(IF((CRDJ[Date]=$A$4)*(CRDJ[Ofc Code]=(TRIM(Q$7)))*(CRDJ[Account Code]=(TRIM($D74))),CRDJ[Credit])))+(SUM(IF((GJ[Date]=$A$4)*(GJ[Ofc Code]=(TRIM(Q$7)))*(GJ[Account Code]=(TRIM($D74))),GJ[Credit])))</f>
        <v>0</v>
      </c>
      <c r="R74" s="211">
        <f t="array" ref="R74">(SUM(IF((CkDJ[Date]=$A$4)*(CkDJ[Ofc Code]=(TRIM(R$7)))*(CkDJ[Account Code]=(TRIM($D74))),CkDJ[Debit])))+(SUM(IF((CsDJ[Date]=$A$4)*(CsDJ[Ofc Code]=(TRIM(R$7)))*(CsDJ[Account Code]=(TRIM($D74))),CsDJ[Debit])))+(SUM(IF((CRDJ[Date]=$A$4)*(CRDJ[Ofc Code]=(TRIM(R$7)))*(CRDJ[Account Code]=(TRIM($D74))),CRDJ[Debit])))+(SUM(IF((GJ[Date]=$A$4)*(GJ[Ofc Code]=(TRIM(R$7)))*(GJ[Account Code]=(TRIM($D74))),GJ[Debit])))-(SUM(IF((CkDJ[Date]=$A$4)*(CkDJ[Ofc Code]=(TRIM(R$7)))*(CkDJ[Account Code]=(TRIM($D74))),CkDJ[Credit])))+(SUM(IF((CsDJ[Date]=$A$4)*(CsDJ[Ofc Code]=(TRIM(R$7)))*(CsDJ[Account Code]=(TRIM($D74))),CsDJ[Credit])))+(SUM(IF((CRDJ[Date]=$A$4)*(CRDJ[Ofc Code]=(TRIM(R$7)))*(CRDJ[Account Code]=(TRIM($D74))),CRDJ[Credit])))+(SUM(IF((GJ[Date]=$A$4)*(GJ[Ofc Code]=(TRIM(R$7)))*(GJ[Account Code]=(TRIM($D74))),GJ[Credit])))</f>
        <v>0</v>
      </c>
      <c r="S74" s="211">
        <f t="array" ref="S74">(SUM(IF((CkDJ[Date]=$A$4)*(CkDJ[Ofc Code]=(TRIM(S$7)))*(CkDJ[Account Code]=(TRIM($D74))),CkDJ[Debit])))+(SUM(IF((CsDJ[Date]=$A$4)*(CsDJ[Ofc Code]=(TRIM(S$7)))*(CsDJ[Account Code]=(TRIM($D74))),CsDJ[Debit])))+(SUM(IF((CRDJ[Date]=$A$4)*(CRDJ[Ofc Code]=(TRIM(S$7)))*(CRDJ[Account Code]=(TRIM($D74))),CRDJ[Debit])))+(SUM(IF((GJ[Date]=$A$4)*(GJ[Ofc Code]=(TRIM(S$7)))*(GJ[Account Code]=(TRIM($D74))),GJ[Debit])))-(SUM(IF((CkDJ[Date]=$A$4)*(CkDJ[Ofc Code]=(TRIM(S$7)))*(CkDJ[Account Code]=(TRIM($D74))),CkDJ[Credit])))+(SUM(IF((CsDJ[Date]=$A$4)*(CsDJ[Ofc Code]=(TRIM(S$7)))*(CsDJ[Account Code]=(TRIM($D74))),CsDJ[Credit])))+(SUM(IF((CRDJ[Date]=$A$4)*(CRDJ[Ofc Code]=(TRIM(S$7)))*(CRDJ[Account Code]=(TRIM($D74))),CRDJ[Credit])))+(SUM(IF((GJ[Date]=$A$4)*(GJ[Ofc Code]=(TRIM(S$7)))*(GJ[Account Code]=(TRIM($D74))),GJ[Credit])))</f>
        <v>0</v>
      </c>
      <c r="T74" s="211">
        <f t="shared" si="17"/>
        <v>0</v>
      </c>
      <c r="U74" s="211">
        <f t="shared" si="18"/>
        <v>0</v>
      </c>
    </row>
    <row r="75" spans="1:22" ht="15" x14ac:dyDescent="0.25">
      <c r="A75" s="212">
        <f t="shared" si="19"/>
        <v>17</v>
      </c>
      <c r="B75" s="214"/>
      <c r="C75" s="194" t="str">
        <f>IF(D75=0,"",(VLOOKUP((TRIM(D75)),Code,2,)))</f>
        <v>Auditing Services</v>
      </c>
      <c r="D75" s="207">
        <v>792</v>
      </c>
      <c r="E75" s="211">
        <f t="array" ref="E75">(SUM(IF((CkDJ[Date]=$A$4)*(CkDJ[Ofc Code]=(TRIM(E$7)))*(CkDJ[Account Code]=(TRIM($D75))),CkDJ[Debit])))+(SUM(IF((CsDJ[Date]=$A$4)*(CsDJ[Ofc Code]=(TRIM(E$7)))*(CsDJ[Account Code]=(TRIM($D75))),CsDJ[Debit])))+(SUM(IF((CRDJ[Date]=$A$4)*(CRDJ[Ofc Code]=(TRIM(E$7)))*(CRDJ[Account Code]=(TRIM($D75))),CRDJ[Debit])))+(SUM(IF((GJ[Date]=$A$4)*(GJ[Ofc Code]=(TRIM(E$7)))*(GJ[Account Code]=(TRIM($D75))),GJ[Debit])))-(SUM(IF((CkDJ[Date]=$A$4)*(CkDJ[Ofc Code]=(TRIM(E$7)))*(CkDJ[Account Code]=(TRIM($D75))),CkDJ[Credit])))+(SUM(IF((CsDJ[Date]=$A$4)*(CsDJ[Ofc Code]=(TRIM(E$7)))*(CsDJ[Account Code]=(TRIM($D75))),CsDJ[Credit])))+(SUM(IF((CRDJ[Date]=$A$4)*(CRDJ[Ofc Code]=(TRIM(E$7)))*(CRDJ[Account Code]=(TRIM($D75))),CRDJ[Credit])))+(SUM(IF((GJ[Date]=$A$4)*(GJ[Ofc Code]=(TRIM(E$7)))*(GJ[Account Code]=(TRIM($D75))),GJ[Credit])))</f>
        <v>0</v>
      </c>
      <c r="F75" s="211">
        <f t="array" ref="F75">(SUM(IF((CkDJ[Date]=$A$4)*(CkDJ[Ofc Code]=(TRIM(F$7)))*(CkDJ[Account Code]=(TRIM($D75))),CkDJ[Debit])))+(SUM(IF((CsDJ[Date]=$A$4)*(CsDJ[Ofc Code]=(TRIM(F$7)))*(CsDJ[Account Code]=(TRIM($D75))),CsDJ[Debit])))+(SUM(IF((CRDJ[Date]=$A$4)*(CRDJ[Ofc Code]=(TRIM(F$7)))*(CRDJ[Account Code]=(TRIM($D75))),CRDJ[Debit])))+(SUM(IF((GJ[Date]=$A$4)*(GJ[Ofc Code]=(TRIM(F$7)))*(GJ[Account Code]=(TRIM($D75))),GJ[Debit])))-(SUM(IF((CkDJ[Date]=$A$4)*(CkDJ[Ofc Code]=(TRIM(F$7)))*(CkDJ[Account Code]=(TRIM($D75))),CkDJ[Credit])))+(SUM(IF((CsDJ[Date]=$A$4)*(CsDJ[Ofc Code]=(TRIM(F$7)))*(CsDJ[Account Code]=(TRIM($D75))),CsDJ[Credit])))+(SUM(IF((CRDJ[Date]=$A$4)*(CRDJ[Ofc Code]=(TRIM(F$7)))*(CRDJ[Account Code]=(TRIM($D75))),CRDJ[Credit])))+(SUM(IF((GJ[Date]=$A$4)*(GJ[Ofc Code]=(TRIM(F$7)))*(GJ[Account Code]=(TRIM($D75))),GJ[Credit])))</f>
        <v>0</v>
      </c>
      <c r="G75" s="211">
        <f t="array" ref="G75">(SUM(IF((CkDJ[Date]=$A$4)*(CkDJ[Ofc Code]=(TRIM(G$7)))*(CkDJ[Account Code]=(TRIM($D75))),CkDJ[Debit])))+(SUM(IF((CsDJ[Date]=$A$4)*(CsDJ[Ofc Code]=(TRIM(G$7)))*(CsDJ[Account Code]=(TRIM($D75))),CsDJ[Debit])))+(SUM(IF((CRDJ[Date]=$A$4)*(CRDJ[Ofc Code]=(TRIM(G$7)))*(CRDJ[Account Code]=(TRIM($D75))),CRDJ[Debit])))+(SUM(IF((GJ[Date]=$A$4)*(GJ[Ofc Code]=(TRIM(G$7)))*(GJ[Account Code]=(TRIM($D75))),GJ[Debit])))-(SUM(IF((CkDJ[Date]=$A$4)*(CkDJ[Ofc Code]=(TRIM(G$7)))*(CkDJ[Account Code]=(TRIM($D75))),CkDJ[Credit])))+(SUM(IF((CsDJ[Date]=$A$4)*(CsDJ[Ofc Code]=(TRIM(G$7)))*(CsDJ[Account Code]=(TRIM($D75))),CsDJ[Credit])))+(SUM(IF((CRDJ[Date]=$A$4)*(CRDJ[Ofc Code]=(TRIM(G$7)))*(CRDJ[Account Code]=(TRIM($D75))),CRDJ[Credit])))+(SUM(IF((GJ[Date]=$A$4)*(GJ[Ofc Code]=(TRIM(G$7)))*(GJ[Account Code]=(TRIM($D75))),GJ[Credit])))</f>
        <v>0</v>
      </c>
      <c r="H75" s="211">
        <f t="array" ref="H75">(SUM(IF((CkDJ[Date]=$A$4)*(CkDJ[Ofc Code]=(TRIM(H$7)))*(CkDJ[Account Code]=(TRIM($D75))),CkDJ[Debit])))+(SUM(IF((CsDJ[Date]=$A$4)*(CsDJ[Ofc Code]=(TRIM(H$7)))*(CsDJ[Account Code]=(TRIM($D75))),CsDJ[Debit])))+(SUM(IF((CRDJ[Date]=$A$4)*(CRDJ[Ofc Code]=(TRIM(H$7)))*(CRDJ[Account Code]=(TRIM($D75))),CRDJ[Debit])))+(SUM(IF((GJ[Date]=$A$4)*(GJ[Ofc Code]=(TRIM(H$7)))*(GJ[Account Code]=(TRIM($D75))),GJ[Debit])))-(SUM(IF((CkDJ[Date]=$A$4)*(CkDJ[Ofc Code]=(TRIM(H$7)))*(CkDJ[Account Code]=(TRIM($D75))),CkDJ[Credit])))+(SUM(IF((CsDJ[Date]=$A$4)*(CsDJ[Ofc Code]=(TRIM(H$7)))*(CsDJ[Account Code]=(TRIM($D75))),CsDJ[Credit])))+(SUM(IF((CRDJ[Date]=$A$4)*(CRDJ[Ofc Code]=(TRIM(H$7)))*(CRDJ[Account Code]=(TRIM($D75))),CRDJ[Credit])))+(SUM(IF((GJ[Date]=$A$4)*(GJ[Ofc Code]=(TRIM(H$7)))*(GJ[Account Code]=(TRIM($D75))),GJ[Credit])))</f>
        <v>0</v>
      </c>
      <c r="I75" s="211">
        <f>SUM(F75:H75)</f>
        <v>0</v>
      </c>
      <c r="J75" s="211">
        <f t="array" ref="J75">(SUM(IF((CkDJ[Date]=$A$4)*(CkDJ[Ofc Code]=(TRIM(J$7)))*(CkDJ[Account Code]=(TRIM($D75))),CkDJ[Debit])))+(SUM(IF((CsDJ[Date]=$A$4)*(CsDJ[Ofc Code]=(TRIM(J$7)))*(CsDJ[Account Code]=(TRIM($D75))),CsDJ[Debit])))+(SUM(IF((CRDJ[Date]=$A$4)*(CRDJ[Ofc Code]=(TRIM(J$7)))*(CRDJ[Account Code]=(TRIM($D75))),CRDJ[Debit])))+(SUM(IF((GJ[Date]=$A$4)*(GJ[Ofc Code]=(TRIM(J$7)))*(GJ[Account Code]=(TRIM($D75))),GJ[Debit])))-(SUM(IF((CkDJ[Date]=$A$4)*(CkDJ[Ofc Code]=(TRIM(J$7)))*(CkDJ[Account Code]=(TRIM($D75))),CkDJ[Credit])))+(SUM(IF((CsDJ[Date]=$A$4)*(CsDJ[Ofc Code]=(TRIM(J$7)))*(CsDJ[Account Code]=(TRIM($D75))),CsDJ[Credit])))+(SUM(IF((CRDJ[Date]=$A$4)*(CRDJ[Ofc Code]=(TRIM(J$7)))*(CRDJ[Account Code]=(TRIM($D75))),CRDJ[Credit])))+(SUM(IF((GJ[Date]=$A$4)*(GJ[Ofc Code]=(TRIM(J$7)))*(GJ[Account Code]=(TRIM($D75))),GJ[Credit])))</f>
        <v>0</v>
      </c>
      <c r="K75" s="211">
        <f t="array" ref="K75">(SUM(IF((CkDJ[Date]=$A$4)*(CkDJ[Ofc Code]=(TRIM(K$7)))*(CkDJ[Account Code]=(TRIM($D75))),CkDJ[Debit])))+(SUM(IF((CsDJ[Date]=$A$4)*(CsDJ[Ofc Code]=(TRIM(K$7)))*(CsDJ[Account Code]=(TRIM($D75))),CsDJ[Debit])))+(SUM(IF((CRDJ[Date]=$A$4)*(CRDJ[Ofc Code]=(TRIM(K$7)))*(CRDJ[Account Code]=(TRIM($D75))),CRDJ[Debit])))+(SUM(IF((GJ[Date]=$A$4)*(GJ[Ofc Code]=(TRIM(K$7)))*(GJ[Account Code]=(TRIM($D75))),GJ[Debit])))-(SUM(IF((CkDJ[Date]=$A$4)*(CkDJ[Ofc Code]=(TRIM(K$7)))*(CkDJ[Account Code]=(TRIM($D75))),CkDJ[Credit])))+(SUM(IF((CsDJ[Date]=$A$4)*(CsDJ[Ofc Code]=(TRIM(K$7)))*(CsDJ[Account Code]=(TRIM($D75))),CsDJ[Credit])))+(SUM(IF((CRDJ[Date]=$A$4)*(CRDJ[Ofc Code]=(TRIM(K$7)))*(CRDJ[Account Code]=(TRIM($D75))),CRDJ[Credit])))+(SUM(IF((GJ[Date]=$A$4)*(GJ[Ofc Code]=(TRIM(K$7)))*(GJ[Account Code]=(TRIM($D75))),GJ[Credit])))</f>
        <v>0</v>
      </c>
      <c r="L75" s="211">
        <f t="array" ref="L75">(SUM(IF((CkDJ[Date]=$A$4)*(CkDJ[Ofc Code]=(TRIM(L$7)))*(CkDJ[Account Code]=(TRIM($D75))),CkDJ[Debit])))+(SUM(IF((CsDJ[Date]=$A$4)*(CsDJ[Ofc Code]=(TRIM(L$7)))*(CsDJ[Account Code]=(TRIM($D75))),CsDJ[Debit])))+(SUM(IF((CRDJ[Date]=$A$4)*(CRDJ[Ofc Code]=(TRIM(L$7)))*(CRDJ[Account Code]=(TRIM($D75))),CRDJ[Debit])))+(SUM(IF((GJ[Date]=$A$4)*(GJ[Ofc Code]=(TRIM(L$7)))*(GJ[Account Code]=(TRIM($D75))),GJ[Debit])))-(SUM(IF((CkDJ[Date]=$A$4)*(CkDJ[Ofc Code]=(TRIM(L$7)))*(CkDJ[Account Code]=(TRIM($D75))),CkDJ[Credit])))+(SUM(IF((CsDJ[Date]=$A$4)*(CsDJ[Ofc Code]=(TRIM(L$7)))*(CsDJ[Account Code]=(TRIM($D75))),CsDJ[Credit])))+(SUM(IF((CRDJ[Date]=$A$4)*(CRDJ[Ofc Code]=(TRIM(L$7)))*(CRDJ[Account Code]=(TRIM($D75))),CRDJ[Credit])))+(SUM(IF((GJ[Date]=$A$4)*(GJ[Ofc Code]=(TRIM(L$7)))*(GJ[Account Code]=(TRIM($D75))),GJ[Credit])))</f>
        <v>0</v>
      </c>
      <c r="M75" s="211">
        <f t="array" ref="M75">(SUM(IF((CkDJ[Date]=$A$4)*(CkDJ[Ofc Code]=(TRIM(M$7)))*(CkDJ[Account Code]=(TRIM($D75))),CkDJ[Debit])))+(SUM(IF((CsDJ[Date]=$A$4)*(CsDJ[Ofc Code]=(TRIM(M$7)))*(CsDJ[Account Code]=(TRIM($D75))),CsDJ[Debit])))+(SUM(IF((CRDJ[Date]=$A$4)*(CRDJ[Ofc Code]=(TRIM(M$7)))*(CRDJ[Account Code]=(TRIM($D75))),CRDJ[Debit])))+(SUM(IF((GJ[Date]=$A$4)*(GJ[Ofc Code]=(TRIM(M$7)))*(GJ[Account Code]=(TRIM($D75))),GJ[Debit])))-(SUM(IF((CkDJ[Date]=$A$4)*(CkDJ[Ofc Code]=(TRIM(M$7)))*(CkDJ[Account Code]=(TRIM($D75))),CkDJ[Credit])))+(SUM(IF((CsDJ[Date]=$A$4)*(CsDJ[Ofc Code]=(TRIM(M$7)))*(CsDJ[Account Code]=(TRIM($D75))),CsDJ[Credit])))+(SUM(IF((CRDJ[Date]=$A$4)*(CRDJ[Ofc Code]=(TRIM(M$7)))*(CRDJ[Account Code]=(TRIM($D75))),CRDJ[Credit])))+(SUM(IF((GJ[Date]=$A$4)*(GJ[Ofc Code]=(TRIM(M$7)))*(GJ[Account Code]=(TRIM($D75))),GJ[Credit])))</f>
        <v>0</v>
      </c>
      <c r="N75" s="211">
        <f>SUM(J75:M75)</f>
        <v>0</v>
      </c>
      <c r="O75" s="211">
        <f t="array" ref="O75">(SUM(IF((CkDJ[Date]=$A$4)*(CkDJ[Ofc Code]=(TRIM(O$7)))*(CkDJ[Account Code]=(TRIM($D75))),CkDJ[Debit])))+(SUM(IF((CsDJ[Date]=$A$4)*(CsDJ[Ofc Code]=(TRIM(O$7)))*(CsDJ[Account Code]=(TRIM($D75))),CsDJ[Debit])))+(SUM(IF((CRDJ[Date]=$A$4)*(CRDJ[Ofc Code]=(TRIM(O$7)))*(CRDJ[Account Code]=(TRIM($D75))),CRDJ[Debit])))+(SUM(IF((GJ[Date]=$A$4)*(GJ[Ofc Code]=(TRIM(O$7)))*(GJ[Account Code]=(TRIM($D75))),GJ[Debit])))-(SUM(IF((CkDJ[Date]=$A$4)*(CkDJ[Ofc Code]=(TRIM(O$7)))*(CkDJ[Account Code]=(TRIM($D75))),CkDJ[Credit])))+(SUM(IF((CsDJ[Date]=$A$4)*(CsDJ[Ofc Code]=(TRIM(O$7)))*(CsDJ[Account Code]=(TRIM($D75))),CsDJ[Credit])))+(SUM(IF((CRDJ[Date]=$A$4)*(CRDJ[Ofc Code]=(TRIM(O$7)))*(CRDJ[Account Code]=(TRIM($D75))),CRDJ[Credit])))+(SUM(IF((GJ[Date]=$A$4)*(GJ[Ofc Code]=(TRIM(O$7)))*(GJ[Account Code]=(TRIM($D75))),GJ[Credit])))</f>
        <v>0</v>
      </c>
      <c r="P75" s="211">
        <f t="array" ref="P75">(SUM(IF((CkDJ[Date]=$A$4)*(CkDJ[Ofc Code]=(TRIM(P$7)))*(CkDJ[Account Code]=(TRIM($D75))),CkDJ[Debit])))+(SUM(IF((CsDJ[Date]=$A$4)*(CsDJ[Ofc Code]=(TRIM(P$7)))*(CsDJ[Account Code]=(TRIM($D75))),CsDJ[Debit])))+(SUM(IF((CRDJ[Date]=$A$4)*(CRDJ[Ofc Code]=(TRIM(P$7)))*(CRDJ[Account Code]=(TRIM($D75))),CRDJ[Debit])))+(SUM(IF((GJ[Date]=$A$4)*(GJ[Ofc Code]=(TRIM(P$7)))*(GJ[Account Code]=(TRIM($D75))),GJ[Debit])))-(SUM(IF((CkDJ[Date]=$A$4)*(CkDJ[Ofc Code]=(TRIM(P$7)))*(CkDJ[Account Code]=(TRIM($D75))),CkDJ[Credit])))+(SUM(IF((CsDJ[Date]=$A$4)*(CsDJ[Ofc Code]=(TRIM(P$7)))*(CsDJ[Account Code]=(TRIM($D75))),CsDJ[Credit])))+(SUM(IF((CRDJ[Date]=$A$4)*(CRDJ[Ofc Code]=(TRIM(P$7)))*(CRDJ[Account Code]=(TRIM($D75))),CRDJ[Credit])))+(SUM(IF((GJ[Date]=$A$4)*(GJ[Ofc Code]=(TRIM(P$7)))*(GJ[Account Code]=(TRIM($D75))),GJ[Credit])))</f>
        <v>0</v>
      </c>
      <c r="Q75" s="211">
        <f t="array" ref="Q75">(SUM(IF((CkDJ[Date]=$A$4)*(CkDJ[Ofc Code]=(TRIM(Q$7)))*(CkDJ[Account Code]=(TRIM($D75))),CkDJ[Debit])))+(SUM(IF((CsDJ[Date]=$A$4)*(CsDJ[Ofc Code]=(TRIM(Q$7)))*(CsDJ[Account Code]=(TRIM($D75))),CsDJ[Debit])))+(SUM(IF((CRDJ[Date]=$A$4)*(CRDJ[Ofc Code]=(TRIM(Q$7)))*(CRDJ[Account Code]=(TRIM($D75))),CRDJ[Debit])))+(SUM(IF((GJ[Date]=$A$4)*(GJ[Ofc Code]=(TRIM(Q$7)))*(GJ[Account Code]=(TRIM($D75))),GJ[Debit])))-(SUM(IF((CkDJ[Date]=$A$4)*(CkDJ[Ofc Code]=(TRIM(Q$7)))*(CkDJ[Account Code]=(TRIM($D75))),CkDJ[Credit])))+(SUM(IF((CsDJ[Date]=$A$4)*(CsDJ[Ofc Code]=(TRIM(Q$7)))*(CsDJ[Account Code]=(TRIM($D75))),CsDJ[Credit])))+(SUM(IF((CRDJ[Date]=$A$4)*(CRDJ[Ofc Code]=(TRIM(Q$7)))*(CRDJ[Account Code]=(TRIM($D75))),CRDJ[Credit])))+(SUM(IF((GJ[Date]=$A$4)*(GJ[Ofc Code]=(TRIM(Q$7)))*(GJ[Account Code]=(TRIM($D75))),GJ[Credit])))</f>
        <v>0</v>
      </c>
      <c r="R75" s="211">
        <f t="array" ref="R75">(SUM(IF((CkDJ[Date]=$A$4)*(CkDJ[Ofc Code]=(TRIM(R$7)))*(CkDJ[Account Code]=(TRIM($D75))),CkDJ[Debit])))+(SUM(IF((CsDJ[Date]=$A$4)*(CsDJ[Ofc Code]=(TRIM(R$7)))*(CsDJ[Account Code]=(TRIM($D75))),CsDJ[Debit])))+(SUM(IF((CRDJ[Date]=$A$4)*(CRDJ[Ofc Code]=(TRIM(R$7)))*(CRDJ[Account Code]=(TRIM($D75))),CRDJ[Debit])))+(SUM(IF((GJ[Date]=$A$4)*(GJ[Ofc Code]=(TRIM(R$7)))*(GJ[Account Code]=(TRIM($D75))),GJ[Debit])))-(SUM(IF((CkDJ[Date]=$A$4)*(CkDJ[Ofc Code]=(TRIM(R$7)))*(CkDJ[Account Code]=(TRIM($D75))),CkDJ[Credit])))+(SUM(IF((CsDJ[Date]=$A$4)*(CsDJ[Ofc Code]=(TRIM(R$7)))*(CsDJ[Account Code]=(TRIM($D75))),CsDJ[Credit])))+(SUM(IF((CRDJ[Date]=$A$4)*(CRDJ[Ofc Code]=(TRIM(R$7)))*(CRDJ[Account Code]=(TRIM($D75))),CRDJ[Credit])))+(SUM(IF((GJ[Date]=$A$4)*(GJ[Ofc Code]=(TRIM(R$7)))*(GJ[Account Code]=(TRIM($D75))),GJ[Credit])))</f>
        <v>0</v>
      </c>
      <c r="S75" s="211">
        <f t="array" ref="S75">(SUM(IF((CkDJ[Date]=$A$4)*(CkDJ[Ofc Code]=(TRIM(S$7)))*(CkDJ[Account Code]=(TRIM($D75))),CkDJ[Debit])))+(SUM(IF((CsDJ[Date]=$A$4)*(CsDJ[Ofc Code]=(TRIM(S$7)))*(CsDJ[Account Code]=(TRIM($D75))),CsDJ[Debit])))+(SUM(IF((CRDJ[Date]=$A$4)*(CRDJ[Ofc Code]=(TRIM(S$7)))*(CRDJ[Account Code]=(TRIM($D75))),CRDJ[Debit])))+(SUM(IF((GJ[Date]=$A$4)*(GJ[Ofc Code]=(TRIM(S$7)))*(GJ[Account Code]=(TRIM($D75))),GJ[Debit])))-(SUM(IF((CkDJ[Date]=$A$4)*(CkDJ[Ofc Code]=(TRIM(S$7)))*(CkDJ[Account Code]=(TRIM($D75))),CkDJ[Credit])))+(SUM(IF((CsDJ[Date]=$A$4)*(CsDJ[Ofc Code]=(TRIM(S$7)))*(CsDJ[Account Code]=(TRIM($D75))),CsDJ[Credit])))+(SUM(IF((CRDJ[Date]=$A$4)*(CRDJ[Ofc Code]=(TRIM(S$7)))*(CRDJ[Account Code]=(TRIM($D75))),CRDJ[Credit])))+(SUM(IF((GJ[Date]=$A$4)*(GJ[Ofc Code]=(TRIM(S$7)))*(GJ[Account Code]=(TRIM($D75))),GJ[Credit])))</f>
        <v>0</v>
      </c>
      <c r="T75" s="211">
        <f>SUM(O75:S75)</f>
        <v>0</v>
      </c>
      <c r="U75" s="211">
        <f>E75+I75+N75+T75</f>
        <v>0</v>
      </c>
    </row>
    <row r="76" spans="1:22" ht="15" x14ac:dyDescent="0.25">
      <c r="A76" s="212">
        <f t="shared" si="19"/>
        <v>18</v>
      </c>
      <c r="B76" s="214" t="s">
        <v>756</v>
      </c>
      <c r="C76" s="194" t="str">
        <f t="shared" si="14"/>
        <v>Other Professional Services</v>
      </c>
      <c r="D76" s="207" t="s">
        <v>250</v>
      </c>
      <c r="E76" s="211">
        <f t="array" ref="E76">(SUM(IF((CkDJ[Date]=$A$4)*(CkDJ[Ofc Code]=(TRIM(E$7)))*(CkDJ[Account Code]=(TRIM($D76))),CkDJ[Debit])))+(SUM(IF((CsDJ[Date]=$A$4)*(CsDJ[Ofc Code]=(TRIM(E$7)))*(CsDJ[Account Code]=(TRIM($D76))),CsDJ[Debit])))+(SUM(IF((CRDJ[Date]=$A$4)*(CRDJ[Ofc Code]=(TRIM(E$7)))*(CRDJ[Account Code]=(TRIM($D76))),CRDJ[Debit])))+(SUM(IF((GJ[Date]=$A$4)*(GJ[Ofc Code]=(TRIM(E$7)))*(GJ[Account Code]=(TRIM($D76))),GJ[Debit])))-(SUM(IF((CkDJ[Date]=$A$4)*(CkDJ[Ofc Code]=(TRIM(E$7)))*(CkDJ[Account Code]=(TRIM($D76))),CkDJ[Credit])))+(SUM(IF((CsDJ[Date]=$A$4)*(CsDJ[Ofc Code]=(TRIM(E$7)))*(CsDJ[Account Code]=(TRIM($D76))),CsDJ[Credit])))+(SUM(IF((CRDJ[Date]=$A$4)*(CRDJ[Ofc Code]=(TRIM(E$7)))*(CRDJ[Account Code]=(TRIM($D76))),CRDJ[Credit])))+(SUM(IF((GJ[Date]=$A$4)*(GJ[Ofc Code]=(TRIM(E$7)))*(GJ[Account Code]=(TRIM($D76))),GJ[Credit])))</f>
        <v>0</v>
      </c>
      <c r="F76" s="211">
        <f t="array" ref="F76">(SUM(IF((CkDJ[Date]=$A$4)*(CkDJ[Ofc Code]=(TRIM(F$7)))*(CkDJ[Account Code]=(TRIM($D76))),CkDJ[Debit])))+(SUM(IF((CsDJ[Date]=$A$4)*(CsDJ[Ofc Code]=(TRIM(F$7)))*(CsDJ[Account Code]=(TRIM($D76))),CsDJ[Debit])))+(SUM(IF((CRDJ[Date]=$A$4)*(CRDJ[Ofc Code]=(TRIM(F$7)))*(CRDJ[Account Code]=(TRIM($D76))),CRDJ[Debit])))+(SUM(IF((GJ[Date]=$A$4)*(GJ[Ofc Code]=(TRIM(F$7)))*(GJ[Account Code]=(TRIM($D76))),GJ[Debit])))-(SUM(IF((CkDJ[Date]=$A$4)*(CkDJ[Ofc Code]=(TRIM(F$7)))*(CkDJ[Account Code]=(TRIM($D76))),CkDJ[Credit])))+(SUM(IF((CsDJ[Date]=$A$4)*(CsDJ[Ofc Code]=(TRIM(F$7)))*(CsDJ[Account Code]=(TRIM($D76))),CsDJ[Credit])))+(SUM(IF((CRDJ[Date]=$A$4)*(CRDJ[Ofc Code]=(TRIM(F$7)))*(CRDJ[Account Code]=(TRIM($D76))),CRDJ[Credit])))+(SUM(IF((GJ[Date]=$A$4)*(GJ[Ofc Code]=(TRIM(F$7)))*(GJ[Account Code]=(TRIM($D76))),GJ[Credit])))</f>
        <v>0</v>
      </c>
      <c r="G76" s="211">
        <f t="array" ref="G76">(SUM(IF((CkDJ[Date]=$A$4)*(CkDJ[Ofc Code]=(TRIM(G$7)))*(CkDJ[Account Code]=(TRIM($D76))),CkDJ[Debit])))+(SUM(IF((CsDJ[Date]=$A$4)*(CsDJ[Ofc Code]=(TRIM(G$7)))*(CsDJ[Account Code]=(TRIM($D76))),CsDJ[Debit])))+(SUM(IF((CRDJ[Date]=$A$4)*(CRDJ[Ofc Code]=(TRIM(G$7)))*(CRDJ[Account Code]=(TRIM($D76))),CRDJ[Debit])))+(SUM(IF((GJ[Date]=$A$4)*(GJ[Ofc Code]=(TRIM(G$7)))*(GJ[Account Code]=(TRIM($D76))),GJ[Debit])))-(SUM(IF((CkDJ[Date]=$A$4)*(CkDJ[Ofc Code]=(TRIM(G$7)))*(CkDJ[Account Code]=(TRIM($D76))),CkDJ[Credit])))+(SUM(IF((CsDJ[Date]=$A$4)*(CsDJ[Ofc Code]=(TRIM(G$7)))*(CsDJ[Account Code]=(TRIM($D76))),CsDJ[Credit])))+(SUM(IF((CRDJ[Date]=$A$4)*(CRDJ[Ofc Code]=(TRIM(G$7)))*(CRDJ[Account Code]=(TRIM($D76))),CRDJ[Credit])))+(SUM(IF((GJ[Date]=$A$4)*(GJ[Ofc Code]=(TRIM(G$7)))*(GJ[Account Code]=(TRIM($D76))),GJ[Credit])))</f>
        <v>0</v>
      </c>
      <c r="H76" s="211">
        <f t="array" ref="H76">(SUM(IF((CkDJ[Date]=$A$4)*(CkDJ[Ofc Code]=(TRIM(H$7)))*(CkDJ[Account Code]=(TRIM($D76))),CkDJ[Debit])))+(SUM(IF((CsDJ[Date]=$A$4)*(CsDJ[Ofc Code]=(TRIM(H$7)))*(CsDJ[Account Code]=(TRIM($D76))),CsDJ[Debit])))+(SUM(IF((CRDJ[Date]=$A$4)*(CRDJ[Ofc Code]=(TRIM(H$7)))*(CRDJ[Account Code]=(TRIM($D76))),CRDJ[Debit])))+(SUM(IF((GJ[Date]=$A$4)*(GJ[Ofc Code]=(TRIM(H$7)))*(GJ[Account Code]=(TRIM($D76))),GJ[Debit])))-(SUM(IF((CkDJ[Date]=$A$4)*(CkDJ[Ofc Code]=(TRIM(H$7)))*(CkDJ[Account Code]=(TRIM($D76))),CkDJ[Credit])))+(SUM(IF((CsDJ[Date]=$A$4)*(CsDJ[Ofc Code]=(TRIM(H$7)))*(CsDJ[Account Code]=(TRIM($D76))),CsDJ[Credit])))+(SUM(IF((CRDJ[Date]=$A$4)*(CRDJ[Ofc Code]=(TRIM(H$7)))*(CRDJ[Account Code]=(TRIM($D76))),CRDJ[Credit])))+(SUM(IF((GJ[Date]=$A$4)*(GJ[Ofc Code]=(TRIM(H$7)))*(GJ[Account Code]=(TRIM($D76))),GJ[Credit])))</f>
        <v>0</v>
      </c>
      <c r="I76" s="211">
        <f t="shared" si="15"/>
        <v>0</v>
      </c>
      <c r="J76" s="211">
        <f t="array" ref="J76">(SUM(IF((CkDJ[Date]=$A$4)*(CkDJ[Ofc Code]=(TRIM(J$7)))*(CkDJ[Account Code]=(TRIM($D76))),CkDJ[Debit])))+(SUM(IF((CsDJ[Date]=$A$4)*(CsDJ[Ofc Code]=(TRIM(J$7)))*(CsDJ[Account Code]=(TRIM($D76))),CsDJ[Debit])))+(SUM(IF((CRDJ[Date]=$A$4)*(CRDJ[Ofc Code]=(TRIM(J$7)))*(CRDJ[Account Code]=(TRIM($D76))),CRDJ[Debit])))+(SUM(IF((GJ[Date]=$A$4)*(GJ[Ofc Code]=(TRIM(J$7)))*(GJ[Account Code]=(TRIM($D76))),GJ[Debit])))-(SUM(IF((CkDJ[Date]=$A$4)*(CkDJ[Ofc Code]=(TRIM(J$7)))*(CkDJ[Account Code]=(TRIM($D76))),CkDJ[Credit])))+(SUM(IF((CsDJ[Date]=$A$4)*(CsDJ[Ofc Code]=(TRIM(J$7)))*(CsDJ[Account Code]=(TRIM($D76))),CsDJ[Credit])))+(SUM(IF((CRDJ[Date]=$A$4)*(CRDJ[Ofc Code]=(TRIM(J$7)))*(CRDJ[Account Code]=(TRIM($D76))),CRDJ[Credit])))+(SUM(IF((GJ[Date]=$A$4)*(GJ[Ofc Code]=(TRIM(J$7)))*(GJ[Account Code]=(TRIM($D76))),GJ[Credit])))</f>
        <v>0</v>
      </c>
      <c r="K76" s="211">
        <f t="array" ref="K76">(SUM(IF((CkDJ[Date]=$A$4)*(CkDJ[Ofc Code]=(TRIM(K$7)))*(CkDJ[Account Code]=(TRIM($D76))),CkDJ[Debit])))+(SUM(IF((CsDJ[Date]=$A$4)*(CsDJ[Ofc Code]=(TRIM(K$7)))*(CsDJ[Account Code]=(TRIM($D76))),CsDJ[Debit])))+(SUM(IF((CRDJ[Date]=$A$4)*(CRDJ[Ofc Code]=(TRIM(K$7)))*(CRDJ[Account Code]=(TRIM($D76))),CRDJ[Debit])))+(SUM(IF((GJ[Date]=$A$4)*(GJ[Ofc Code]=(TRIM(K$7)))*(GJ[Account Code]=(TRIM($D76))),GJ[Debit])))-(SUM(IF((CkDJ[Date]=$A$4)*(CkDJ[Ofc Code]=(TRIM(K$7)))*(CkDJ[Account Code]=(TRIM($D76))),CkDJ[Credit])))+(SUM(IF((CsDJ[Date]=$A$4)*(CsDJ[Ofc Code]=(TRIM(K$7)))*(CsDJ[Account Code]=(TRIM($D76))),CsDJ[Credit])))+(SUM(IF((CRDJ[Date]=$A$4)*(CRDJ[Ofc Code]=(TRIM(K$7)))*(CRDJ[Account Code]=(TRIM($D76))),CRDJ[Credit])))+(SUM(IF((GJ[Date]=$A$4)*(GJ[Ofc Code]=(TRIM(K$7)))*(GJ[Account Code]=(TRIM($D76))),GJ[Credit])))</f>
        <v>0</v>
      </c>
      <c r="L76" s="211">
        <f t="array" ref="L76">(SUM(IF((CkDJ[Date]=$A$4)*(CkDJ[Ofc Code]=(TRIM(L$7)))*(CkDJ[Account Code]=(TRIM($D76))),CkDJ[Debit])))+(SUM(IF((CsDJ[Date]=$A$4)*(CsDJ[Ofc Code]=(TRIM(L$7)))*(CsDJ[Account Code]=(TRIM($D76))),CsDJ[Debit])))+(SUM(IF((CRDJ[Date]=$A$4)*(CRDJ[Ofc Code]=(TRIM(L$7)))*(CRDJ[Account Code]=(TRIM($D76))),CRDJ[Debit])))+(SUM(IF((GJ[Date]=$A$4)*(GJ[Ofc Code]=(TRIM(L$7)))*(GJ[Account Code]=(TRIM($D76))),GJ[Debit])))-(SUM(IF((CkDJ[Date]=$A$4)*(CkDJ[Ofc Code]=(TRIM(L$7)))*(CkDJ[Account Code]=(TRIM($D76))),CkDJ[Credit])))+(SUM(IF((CsDJ[Date]=$A$4)*(CsDJ[Ofc Code]=(TRIM(L$7)))*(CsDJ[Account Code]=(TRIM($D76))),CsDJ[Credit])))+(SUM(IF((CRDJ[Date]=$A$4)*(CRDJ[Ofc Code]=(TRIM(L$7)))*(CRDJ[Account Code]=(TRIM($D76))),CRDJ[Credit])))+(SUM(IF((GJ[Date]=$A$4)*(GJ[Ofc Code]=(TRIM(L$7)))*(GJ[Account Code]=(TRIM($D76))),GJ[Credit])))</f>
        <v>0</v>
      </c>
      <c r="M76" s="211">
        <f t="array" ref="M76">(SUM(IF((CkDJ[Date]=$A$4)*(CkDJ[Ofc Code]=(TRIM(M$7)))*(CkDJ[Account Code]=(TRIM($D76))),CkDJ[Debit])))+(SUM(IF((CsDJ[Date]=$A$4)*(CsDJ[Ofc Code]=(TRIM(M$7)))*(CsDJ[Account Code]=(TRIM($D76))),CsDJ[Debit])))+(SUM(IF((CRDJ[Date]=$A$4)*(CRDJ[Ofc Code]=(TRIM(M$7)))*(CRDJ[Account Code]=(TRIM($D76))),CRDJ[Debit])))+(SUM(IF((GJ[Date]=$A$4)*(GJ[Ofc Code]=(TRIM(M$7)))*(GJ[Account Code]=(TRIM($D76))),GJ[Debit])))-(SUM(IF((CkDJ[Date]=$A$4)*(CkDJ[Ofc Code]=(TRIM(M$7)))*(CkDJ[Account Code]=(TRIM($D76))),CkDJ[Credit])))+(SUM(IF((CsDJ[Date]=$A$4)*(CsDJ[Ofc Code]=(TRIM(M$7)))*(CsDJ[Account Code]=(TRIM($D76))),CsDJ[Credit])))+(SUM(IF((CRDJ[Date]=$A$4)*(CRDJ[Ofc Code]=(TRIM(M$7)))*(CRDJ[Account Code]=(TRIM($D76))),CRDJ[Credit])))+(SUM(IF((GJ[Date]=$A$4)*(GJ[Ofc Code]=(TRIM(M$7)))*(GJ[Account Code]=(TRIM($D76))),GJ[Credit])))</f>
        <v>0</v>
      </c>
      <c r="N76" s="211">
        <f t="shared" si="16"/>
        <v>0</v>
      </c>
      <c r="O76" s="211">
        <f t="array" ref="O76">(SUM(IF((CkDJ[Date]=$A$4)*(CkDJ[Ofc Code]=(TRIM(O$7)))*(CkDJ[Account Code]=(TRIM($D76))),CkDJ[Debit])))+(SUM(IF((CsDJ[Date]=$A$4)*(CsDJ[Ofc Code]=(TRIM(O$7)))*(CsDJ[Account Code]=(TRIM($D76))),CsDJ[Debit])))+(SUM(IF((CRDJ[Date]=$A$4)*(CRDJ[Ofc Code]=(TRIM(O$7)))*(CRDJ[Account Code]=(TRIM($D76))),CRDJ[Debit])))+(SUM(IF((GJ[Date]=$A$4)*(GJ[Ofc Code]=(TRIM(O$7)))*(GJ[Account Code]=(TRIM($D76))),GJ[Debit])))-(SUM(IF((CkDJ[Date]=$A$4)*(CkDJ[Ofc Code]=(TRIM(O$7)))*(CkDJ[Account Code]=(TRIM($D76))),CkDJ[Credit])))+(SUM(IF((CsDJ[Date]=$A$4)*(CsDJ[Ofc Code]=(TRIM(O$7)))*(CsDJ[Account Code]=(TRIM($D76))),CsDJ[Credit])))+(SUM(IF((CRDJ[Date]=$A$4)*(CRDJ[Ofc Code]=(TRIM(O$7)))*(CRDJ[Account Code]=(TRIM($D76))),CRDJ[Credit])))+(SUM(IF((GJ[Date]=$A$4)*(GJ[Ofc Code]=(TRIM(O$7)))*(GJ[Account Code]=(TRIM($D76))),GJ[Credit])))</f>
        <v>0</v>
      </c>
      <c r="P76" s="211">
        <f t="array" ref="P76">(SUM(IF((CkDJ[Date]=$A$4)*(CkDJ[Ofc Code]=(TRIM(P$7)))*(CkDJ[Account Code]=(TRIM($D76))),CkDJ[Debit])))+(SUM(IF((CsDJ[Date]=$A$4)*(CsDJ[Ofc Code]=(TRIM(P$7)))*(CsDJ[Account Code]=(TRIM($D76))),CsDJ[Debit])))+(SUM(IF((CRDJ[Date]=$A$4)*(CRDJ[Ofc Code]=(TRIM(P$7)))*(CRDJ[Account Code]=(TRIM($D76))),CRDJ[Debit])))+(SUM(IF((GJ[Date]=$A$4)*(GJ[Ofc Code]=(TRIM(P$7)))*(GJ[Account Code]=(TRIM($D76))),GJ[Debit])))-(SUM(IF((CkDJ[Date]=$A$4)*(CkDJ[Ofc Code]=(TRIM(P$7)))*(CkDJ[Account Code]=(TRIM($D76))),CkDJ[Credit])))+(SUM(IF((CsDJ[Date]=$A$4)*(CsDJ[Ofc Code]=(TRIM(P$7)))*(CsDJ[Account Code]=(TRIM($D76))),CsDJ[Credit])))+(SUM(IF((CRDJ[Date]=$A$4)*(CRDJ[Ofc Code]=(TRIM(P$7)))*(CRDJ[Account Code]=(TRIM($D76))),CRDJ[Credit])))+(SUM(IF((GJ[Date]=$A$4)*(GJ[Ofc Code]=(TRIM(P$7)))*(GJ[Account Code]=(TRIM($D76))),GJ[Credit])))</f>
        <v>0</v>
      </c>
      <c r="Q76" s="211">
        <f t="array" ref="Q76">(SUM(IF((CkDJ[Date]=$A$4)*(CkDJ[Ofc Code]=(TRIM(Q$7)))*(CkDJ[Account Code]=(TRIM($D76))),CkDJ[Debit])))+(SUM(IF((CsDJ[Date]=$A$4)*(CsDJ[Ofc Code]=(TRIM(Q$7)))*(CsDJ[Account Code]=(TRIM($D76))),CsDJ[Debit])))+(SUM(IF((CRDJ[Date]=$A$4)*(CRDJ[Ofc Code]=(TRIM(Q$7)))*(CRDJ[Account Code]=(TRIM($D76))),CRDJ[Debit])))+(SUM(IF((GJ[Date]=$A$4)*(GJ[Ofc Code]=(TRIM(Q$7)))*(GJ[Account Code]=(TRIM($D76))),GJ[Debit])))-(SUM(IF((CkDJ[Date]=$A$4)*(CkDJ[Ofc Code]=(TRIM(Q$7)))*(CkDJ[Account Code]=(TRIM($D76))),CkDJ[Credit])))+(SUM(IF((CsDJ[Date]=$A$4)*(CsDJ[Ofc Code]=(TRIM(Q$7)))*(CsDJ[Account Code]=(TRIM($D76))),CsDJ[Credit])))+(SUM(IF((CRDJ[Date]=$A$4)*(CRDJ[Ofc Code]=(TRIM(Q$7)))*(CRDJ[Account Code]=(TRIM($D76))),CRDJ[Credit])))+(SUM(IF((GJ[Date]=$A$4)*(GJ[Ofc Code]=(TRIM(Q$7)))*(GJ[Account Code]=(TRIM($D76))),GJ[Credit])))</f>
        <v>0</v>
      </c>
      <c r="R76" s="211">
        <f t="array" ref="R76">(SUM(IF((CkDJ[Date]=$A$4)*(CkDJ[Ofc Code]=(TRIM(R$7)))*(CkDJ[Account Code]=(TRIM($D76))),CkDJ[Debit])))+(SUM(IF((CsDJ[Date]=$A$4)*(CsDJ[Ofc Code]=(TRIM(R$7)))*(CsDJ[Account Code]=(TRIM($D76))),CsDJ[Debit])))+(SUM(IF((CRDJ[Date]=$A$4)*(CRDJ[Ofc Code]=(TRIM(R$7)))*(CRDJ[Account Code]=(TRIM($D76))),CRDJ[Debit])))+(SUM(IF((GJ[Date]=$A$4)*(GJ[Ofc Code]=(TRIM(R$7)))*(GJ[Account Code]=(TRIM($D76))),GJ[Debit])))-(SUM(IF((CkDJ[Date]=$A$4)*(CkDJ[Ofc Code]=(TRIM(R$7)))*(CkDJ[Account Code]=(TRIM($D76))),CkDJ[Credit])))+(SUM(IF((CsDJ[Date]=$A$4)*(CsDJ[Ofc Code]=(TRIM(R$7)))*(CsDJ[Account Code]=(TRIM($D76))),CsDJ[Credit])))+(SUM(IF((CRDJ[Date]=$A$4)*(CRDJ[Ofc Code]=(TRIM(R$7)))*(CRDJ[Account Code]=(TRIM($D76))),CRDJ[Credit])))+(SUM(IF((GJ[Date]=$A$4)*(GJ[Ofc Code]=(TRIM(R$7)))*(GJ[Account Code]=(TRIM($D76))),GJ[Credit])))</f>
        <v>0</v>
      </c>
      <c r="S76" s="211">
        <f t="array" ref="S76">(SUM(IF((CkDJ[Date]=$A$4)*(CkDJ[Ofc Code]=(TRIM(S$7)))*(CkDJ[Account Code]=(TRIM($D76))),CkDJ[Debit])))+(SUM(IF((CsDJ[Date]=$A$4)*(CsDJ[Ofc Code]=(TRIM(S$7)))*(CsDJ[Account Code]=(TRIM($D76))),CsDJ[Debit])))+(SUM(IF((CRDJ[Date]=$A$4)*(CRDJ[Ofc Code]=(TRIM(S$7)))*(CRDJ[Account Code]=(TRIM($D76))),CRDJ[Debit])))+(SUM(IF((GJ[Date]=$A$4)*(GJ[Ofc Code]=(TRIM(S$7)))*(GJ[Account Code]=(TRIM($D76))),GJ[Debit])))-(SUM(IF((CkDJ[Date]=$A$4)*(CkDJ[Ofc Code]=(TRIM(S$7)))*(CkDJ[Account Code]=(TRIM($D76))),CkDJ[Credit])))+(SUM(IF((CsDJ[Date]=$A$4)*(CsDJ[Ofc Code]=(TRIM(S$7)))*(CsDJ[Account Code]=(TRIM($D76))),CsDJ[Credit])))+(SUM(IF((CRDJ[Date]=$A$4)*(CRDJ[Ofc Code]=(TRIM(S$7)))*(CRDJ[Account Code]=(TRIM($D76))),CRDJ[Credit])))+(SUM(IF((GJ[Date]=$A$4)*(GJ[Ofc Code]=(TRIM(S$7)))*(GJ[Account Code]=(TRIM($D76))),GJ[Credit])))</f>
        <v>0</v>
      </c>
      <c r="T76" s="211">
        <f t="shared" si="17"/>
        <v>0</v>
      </c>
      <c r="U76" s="211">
        <f t="shared" si="18"/>
        <v>0</v>
      </c>
      <c r="V76" s="213"/>
    </row>
    <row r="77" spans="1:22" ht="15" x14ac:dyDescent="0.25">
      <c r="A77" s="212">
        <f t="shared" si="19"/>
        <v>19</v>
      </c>
      <c r="B77" s="214" t="s">
        <v>756</v>
      </c>
      <c r="C77" s="194" t="str">
        <f t="shared" si="14"/>
        <v>Repairs and Maintenance-Buildings and Other Structures - Buildings</v>
      </c>
      <c r="D77" s="207" t="s">
        <v>251</v>
      </c>
      <c r="E77" s="211">
        <f t="array" ref="E77">(SUM(IF((CkDJ[Date]=$A$4)*(CkDJ[Ofc Code]=(TRIM(E$7)))*(CkDJ[Account Code]=(TRIM($D77))),CkDJ[Debit])))+(SUM(IF((CsDJ[Date]=$A$4)*(CsDJ[Ofc Code]=(TRIM(E$7)))*(CsDJ[Account Code]=(TRIM($D77))),CsDJ[Debit])))+(SUM(IF((CRDJ[Date]=$A$4)*(CRDJ[Ofc Code]=(TRIM(E$7)))*(CRDJ[Account Code]=(TRIM($D77))),CRDJ[Debit])))+(SUM(IF((GJ[Date]=$A$4)*(GJ[Ofc Code]=(TRIM(E$7)))*(GJ[Account Code]=(TRIM($D77))),GJ[Debit])))-(SUM(IF((CkDJ[Date]=$A$4)*(CkDJ[Ofc Code]=(TRIM(E$7)))*(CkDJ[Account Code]=(TRIM($D77))),CkDJ[Credit])))+(SUM(IF((CsDJ[Date]=$A$4)*(CsDJ[Ofc Code]=(TRIM(E$7)))*(CsDJ[Account Code]=(TRIM($D77))),CsDJ[Credit])))+(SUM(IF((CRDJ[Date]=$A$4)*(CRDJ[Ofc Code]=(TRIM(E$7)))*(CRDJ[Account Code]=(TRIM($D77))),CRDJ[Credit])))+(SUM(IF((GJ[Date]=$A$4)*(GJ[Ofc Code]=(TRIM(E$7)))*(GJ[Account Code]=(TRIM($D77))),GJ[Credit])))</f>
        <v>0</v>
      </c>
      <c r="F77" s="211">
        <f t="array" ref="F77">(SUM(IF((CkDJ[Date]=$A$4)*(CkDJ[Ofc Code]=(TRIM(F$7)))*(CkDJ[Account Code]=(TRIM($D77))),CkDJ[Debit])))+(SUM(IF((CsDJ[Date]=$A$4)*(CsDJ[Ofc Code]=(TRIM(F$7)))*(CsDJ[Account Code]=(TRIM($D77))),CsDJ[Debit])))+(SUM(IF((CRDJ[Date]=$A$4)*(CRDJ[Ofc Code]=(TRIM(F$7)))*(CRDJ[Account Code]=(TRIM($D77))),CRDJ[Debit])))+(SUM(IF((GJ[Date]=$A$4)*(GJ[Ofc Code]=(TRIM(F$7)))*(GJ[Account Code]=(TRIM($D77))),GJ[Debit])))-(SUM(IF((CkDJ[Date]=$A$4)*(CkDJ[Ofc Code]=(TRIM(F$7)))*(CkDJ[Account Code]=(TRIM($D77))),CkDJ[Credit])))+(SUM(IF((CsDJ[Date]=$A$4)*(CsDJ[Ofc Code]=(TRIM(F$7)))*(CsDJ[Account Code]=(TRIM($D77))),CsDJ[Credit])))+(SUM(IF((CRDJ[Date]=$A$4)*(CRDJ[Ofc Code]=(TRIM(F$7)))*(CRDJ[Account Code]=(TRIM($D77))),CRDJ[Credit])))+(SUM(IF((GJ[Date]=$A$4)*(GJ[Ofc Code]=(TRIM(F$7)))*(GJ[Account Code]=(TRIM($D77))),GJ[Credit])))</f>
        <v>0</v>
      </c>
      <c r="G77" s="211">
        <f t="array" ref="G77">(SUM(IF((CkDJ[Date]=$A$4)*(CkDJ[Ofc Code]=(TRIM(G$7)))*(CkDJ[Account Code]=(TRIM($D77))),CkDJ[Debit])))+(SUM(IF((CsDJ[Date]=$A$4)*(CsDJ[Ofc Code]=(TRIM(G$7)))*(CsDJ[Account Code]=(TRIM($D77))),CsDJ[Debit])))+(SUM(IF((CRDJ[Date]=$A$4)*(CRDJ[Ofc Code]=(TRIM(G$7)))*(CRDJ[Account Code]=(TRIM($D77))),CRDJ[Debit])))+(SUM(IF((GJ[Date]=$A$4)*(GJ[Ofc Code]=(TRIM(G$7)))*(GJ[Account Code]=(TRIM($D77))),GJ[Debit])))-(SUM(IF((CkDJ[Date]=$A$4)*(CkDJ[Ofc Code]=(TRIM(G$7)))*(CkDJ[Account Code]=(TRIM($D77))),CkDJ[Credit])))+(SUM(IF((CsDJ[Date]=$A$4)*(CsDJ[Ofc Code]=(TRIM(G$7)))*(CsDJ[Account Code]=(TRIM($D77))),CsDJ[Credit])))+(SUM(IF((CRDJ[Date]=$A$4)*(CRDJ[Ofc Code]=(TRIM(G$7)))*(CRDJ[Account Code]=(TRIM($D77))),CRDJ[Credit])))+(SUM(IF((GJ[Date]=$A$4)*(GJ[Ofc Code]=(TRIM(G$7)))*(GJ[Account Code]=(TRIM($D77))),GJ[Credit])))</f>
        <v>0</v>
      </c>
      <c r="H77" s="211">
        <f t="array" ref="H77">(SUM(IF((CkDJ[Date]=$A$4)*(CkDJ[Ofc Code]=(TRIM(H$7)))*(CkDJ[Account Code]=(TRIM($D77))),CkDJ[Debit])))+(SUM(IF((CsDJ[Date]=$A$4)*(CsDJ[Ofc Code]=(TRIM(H$7)))*(CsDJ[Account Code]=(TRIM($D77))),CsDJ[Debit])))+(SUM(IF((CRDJ[Date]=$A$4)*(CRDJ[Ofc Code]=(TRIM(H$7)))*(CRDJ[Account Code]=(TRIM($D77))),CRDJ[Debit])))+(SUM(IF((GJ[Date]=$A$4)*(GJ[Ofc Code]=(TRIM(H$7)))*(GJ[Account Code]=(TRIM($D77))),GJ[Debit])))-(SUM(IF((CkDJ[Date]=$A$4)*(CkDJ[Ofc Code]=(TRIM(H$7)))*(CkDJ[Account Code]=(TRIM($D77))),CkDJ[Credit])))+(SUM(IF((CsDJ[Date]=$A$4)*(CsDJ[Ofc Code]=(TRIM(H$7)))*(CsDJ[Account Code]=(TRIM($D77))),CsDJ[Credit])))+(SUM(IF((CRDJ[Date]=$A$4)*(CRDJ[Ofc Code]=(TRIM(H$7)))*(CRDJ[Account Code]=(TRIM($D77))),CRDJ[Credit])))+(SUM(IF((GJ[Date]=$A$4)*(GJ[Ofc Code]=(TRIM(H$7)))*(GJ[Account Code]=(TRIM($D77))),GJ[Credit])))</f>
        <v>0</v>
      </c>
      <c r="I77" s="211">
        <f t="shared" si="15"/>
        <v>0</v>
      </c>
      <c r="J77" s="211">
        <f t="array" ref="J77">(SUM(IF((CkDJ[Date]=$A$4)*(CkDJ[Ofc Code]=(TRIM(J$7)))*(CkDJ[Account Code]=(TRIM($D77))),CkDJ[Debit])))+(SUM(IF((CsDJ[Date]=$A$4)*(CsDJ[Ofc Code]=(TRIM(J$7)))*(CsDJ[Account Code]=(TRIM($D77))),CsDJ[Debit])))+(SUM(IF((CRDJ[Date]=$A$4)*(CRDJ[Ofc Code]=(TRIM(J$7)))*(CRDJ[Account Code]=(TRIM($D77))),CRDJ[Debit])))+(SUM(IF((GJ[Date]=$A$4)*(GJ[Ofc Code]=(TRIM(J$7)))*(GJ[Account Code]=(TRIM($D77))),GJ[Debit])))-(SUM(IF((CkDJ[Date]=$A$4)*(CkDJ[Ofc Code]=(TRIM(J$7)))*(CkDJ[Account Code]=(TRIM($D77))),CkDJ[Credit])))+(SUM(IF((CsDJ[Date]=$A$4)*(CsDJ[Ofc Code]=(TRIM(J$7)))*(CsDJ[Account Code]=(TRIM($D77))),CsDJ[Credit])))+(SUM(IF((CRDJ[Date]=$A$4)*(CRDJ[Ofc Code]=(TRIM(J$7)))*(CRDJ[Account Code]=(TRIM($D77))),CRDJ[Credit])))+(SUM(IF((GJ[Date]=$A$4)*(GJ[Ofc Code]=(TRIM(J$7)))*(GJ[Account Code]=(TRIM($D77))),GJ[Credit])))</f>
        <v>0</v>
      </c>
      <c r="K77" s="211">
        <f t="array" ref="K77">(SUM(IF((CkDJ[Date]=$A$4)*(CkDJ[Ofc Code]=(TRIM(K$7)))*(CkDJ[Account Code]=(TRIM($D77))),CkDJ[Debit])))+(SUM(IF((CsDJ[Date]=$A$4)*(CsDJ[Ofc Code]=(TRIM(K$7)))*(CsDJ[Account Code]=(TRIM($D77))),CsDJ[Debit])))+(SUM(IF((CRDJ[Date]=$A$4)*(CRDJ[Ofc Code]=(TRIM(K$7)))*(CRDJ[Account Code]=(TRIM($D77))),CRDJ[Debit])))+(SUM(IF((GJ[Date]=$A$4)*(GJ[Ofc Code]=(TRIM(K$7)))*(GJ[Account Code]=(TRIM($D77))),GJ[Debit])))-(SUM(IF((CkDJ[Date]=$A$4)*(CkDJ[Ofc Code]=(TRIM(K$7)))*(CkDJ[Account Code]=(TRIM($D77))),CkDJ[Credit])))+(SUM(IF((CsDJ[Date]=$A$4)*(CsDJ[Ofc Code]=(TRIM(K$7)))*(CsDJ[Account Code]=(TRIM($D77))),CsDJ[Credit])))+(SUM(IF((CRDJ[Date]=$A$4)*(CRDJ[Ofc Code]=(TRIM(K$7)))*(CRDJ[Account Code]=(TRIM($D77))),CRDJ[Credit])))+(SUM(IF((GJ[Date]=$A$4)*(GJ[Ofc Code]=(TRIM(K$7)))*(GJ[Account Code]=(TRIM($D77))),GJ[Credit])))</f>
        <v>0</v>
      </c>
      <c r="L77" s="211">
        <f t="array" ref="L77">(SUM(IF((CkDJ[Date]=$A$4)*(CkDJ[Ofc Code]=(TRIM(L$7)))*(CkDJ[Account Code]=(TRIM($D77))),CkDJ[Debit])))+(SUM(IF((CsDJ[Date]=$A$4)*(CsDJ[Ofc Code]=(TRIM(L$7)))*(CsDJ[Account Code]=(TRIM($D77))),CsDJ[Debit])))+(SUM(IF((CRDJ[Date]=$A$4)*(CRDJ[Ofc Code]=(TRIM(L$7)))*(CRDJ[Account Code]=(TRIM($D77))),CRDJ[Debit])))+(SUM(IF((GJ[Date]=$A$4)*(GJ[Ofc Code]=(TRIM(L$7)))*(GJ[Account Code]=(TRIM($D77))),GJ[Debit])))-(SUM(IF((CkDJ[Date]=$A$4)*(CkDJ[Ofc Code]=(TRIM(L$7)))*(CkDJ[Account Code]=(TRIM($D77))),CkDJ[Credit])))+(SUM(IF((CsDJ[Date]=$A$4)*(CsDJ[Ofc Code]=(TRIM(L$7)))*(CsDJ[Account Code]=(TRIM($D77))),CsDJ[Credit])))+(SUM(IF((CRDJ[Date]=$A$4)*(CRDJ[Ofc Code]=(TRIM(L$7)))*(CRDJ[Account Code]=(TRIM($D77))),CRDJ[Credit])))+(SUM(IF((GJ[Date]=$A$4)*(GJ[Ofc Code]=(TRIM(L$7)))*(GJ[Account Code]=(TRIM($D77))),GJ[Credit])))</f>
        <v>0</v>
      </c>
      <c r="M77" s="211">
        <f t="array" ref="M77">(SUM(IF((CkDJ[Date]=$A$4)*(CkDJ[Ofc Code]=(TRIM(M$7)))*(CkDJ[Account Code]=(TRIM($D77))),CkDJ[Debit])))+(SUM(IF((CsDJ[Date]=$A$4)*(CsDJ[Ofc Code]=(TRIM(M$7)))*(CsDJ[Account Code]=(TRIM($D77))),CsDJ[Debit])))+(SUM(IF((CRDJ[Date]=$A$4)*(CRDJ[Ofc Code]=(TRIM(M$7)))*(CRDJ[Account Code]=(TRIM($D77))),CRDJ[Debit])))+(SUM(IF((GJ[Date]=$A$4)*(GJ[Ofc Code]=(TRIM(M$7)))*(GJ[Account Code]=(TRIM($D77))),GJ[Debit])))-(SUM(IF((CkDJ[Date]=$A$4)*(CkDJ[Ofc Code]=(TRIM(M$7)))*(CkDJ[Account Code]=(TRIM($D77))),CkDJ[Credit])))+(SUM(IF((CsDJ[Date]=$A$4)*(CsDJ[Ofc Code]=(TRIM(M$7)))*(CsDJ[Account Code]=(TRIM($D77))),CsDJ[Credit])))+(SUM(IF((CRDJ[Date]=$A$4)*(CRDJ[Ofc Code]=(TRIM(M$7)))*(CRDJ[Account Code]=(TRIM($D77))),CRDJ[Credit])))+(SUM(IF((GJ[Date]=$A$4)*(GJ[Ofc Code]=(TRIM(M$7)))*(GJ[Account Code]=(TRIM($D77))),GJ[Credit])))</f>
        <v>0</v>
      </c>
      <c r="N77" s="211">
        <f t="shared" si="16"/>
        <v>0</v>
      </c>
      <c r="O77" s="211">
        <f t="array" ref="O77">(SUM(IF((CkDJ[Date]=$A$4)*(CkDJ[Ofc Code]=(TRIM(O$7)))*(CkDJ[Account Code]=(TRIM($D77))),CkDJ[Debit])))+(SUM(IF((CsDJ[Date]=$A$4)*(CsDJ[Ofc Code]=(TRIM(O$7)))*(CsDJ[Account Code]=(TRIM($D77))),CsDJ[Debit])))+(SUM(IF((CRDJ[Date]=$A$4)*(CRDJ[Ofc Code]=(TRIM(O$7)))*(CRDJ[Account Code]=(TRIM($D77))),CRDJ[Debit])))+(SUM(IF((GJ[Date]=$A$4)*(GJ[Ofc Code]=(TRIM(O$7)))*(GJ[Account Code]=(TRIM($D77))),GJ[Debit])))-(SUM(IF((CkDJ[Date]=$A$4)*(CkDJ[Ofc Code]=(TRIM(O$7)))*(CkDJ[Account Code]=(TRIM($D77))),CkDJ[Credit])))+(SUM(IF((CsDJ[Date]=$A$4)*(CsDJ[Ofc Code]=(TRIM(O$7)))*(CsDJ[Account Code]=(TRIM($D77))),CsDJ[Credit])))+(SUM(IF((CRDJ[Date]=$A$4)*(CRDJ[Ofc Code]=(TRIM(O$7)))*(CRDJ[Account Code]=(TRIM($D77))),CRDJ[Credit])))+(SUM(IF((GJ[Date]=$A$4)*(GJ[Ofc Code]=(TRIM(O$7)))*(GJ[Account Code]=(TRIM($D77))),GJ[Credit])))</f>
        <v>0</v>
      </c>
      <c r="P77" s="211">
        <f t="array" ref="P77">(SUM(IF((CkDJ[Date]=$A$4)*(CkDJ[Ofc Code]=(TRIM(P$7)))*(CkDJ[Account Code]=(TRIM($D77))),CkDJ[Debit])))+(SUM(IF((CsDJ[Date]=$A$4)*(CsDJ[Ofc Code]=(TRIM(P$7)))*(CsDJ[Account Code]=(TRIM($D77))),CsDJ[Debit])))+(SUM(IF((CRDJ[Date]=$A$4)*(CRDJ[Ofc Code]=(TRIM(P$7)))*(CRDJ[Account Code]=(TRIM($D77))),CRDJ[Debit])))+(SUM(IF((GJ[Date]=$A$4)*(GJ[Ofc Code]=(TRIM(P$7)))*(GJ[Account Code]=(TRIM($D77))),GJ[Debit])))-(SUM(IF((CkDJ[Date]=$A$4)*(CkDJ[Ofc Code]=(TRIM(P$7)))*(CkDJ[Account Code]=(TRIM($D77))),CkDJ[Credit])))+(SUM(IF((CsDJ[Date]=$A$4)*(CsDJ[Ofc Code]=(TRIM(P$7)))*(CsDJ[Account Code]=(TRIM($D77))),CsDJ[Credit])))+(SUM(IF((CRDJ[Date]=$A$4)*(CRDJ[Ofc Code]=(TRIM(P$7)))*(CRDJ[Account Code]=(TRIM($D77))),CRDJ[Credit])))+(SUM(IF((GJ[Date]=$A$4)*(GJ[Ofc Code]=(TRIM(P$7)))*(GJ[Account Code]=(TRIM($D77))),GJ[Credit])))</f>
        <v>0</v>
      </c>
      <c r="Q77" s="211">
        <f t="array" ref="Q77">(SUM(IF((CkDJ[Date]=$A$4)*(CkDJ[Ofc Code]=(TRIM(Q$7)))*(CkDJ[Account Code]=(TRIM($D77))),CkDJ[Debit])))+(SUM(IF((CsDJ[Date]=$A$4)*(CsDJ[Ofc Code]=(TRIM(Q$7)))*(CsDJ[Account Code]=(TRIM($D77))),CsDJ[Debit])))+(SUM(IF((CRDJ[Date]=$A$4)*(CRDJ[Ofc Code]=(TRIM(Q$7)))*(CRDJ[Account Code]=(TRIM($D77))),CRDJ[Debit])))+(SUM(IF((GJ[Date]=$A$4)*(GJ[Ofc Code]=(TRIM(Q$7)))*(GJ[Account Code]=(TRIM($D77))),GJ[Debit])))-(SUM(IF((CkDJ[Date]=$A$4)*(CkDJ[Ofc Code]=(TRIM(Q$7)))*(CkDJ[Account Code]=(TRIM($D77))),CkDJ[Credit])))+(SUM(IF((CsDJ[Date]=$A$4)*(CsDJ[Ofc Code]=(TRIM(Q$7)))*(CsDJ[Account Code]=(TRIM($D77))),CsDJ[Credit])))+(SUM(IF((CRDJ[Date]=$A$4)*(CRDJ[Ofc Code]=(TRIM(Q$7)))*(CRDJ[Account Code]=(TRIM($D77))),CRDJ[Credit])))+(SUM(IF((GJ[Date]=$A$4)*(GJ[Ofc Code]=(TRIM(Q$7)))*(GJ[Account Code]=(TRIM($D77))),GJ[Credit])))</f>
        <v>0</v>
      </c>
      <c r="R77" s="211">
        <f t="array" ref="R77">(SUM(IF((CkDJ[Date]=$A$4)*(CkDJ[Ofc Code]=(TRIM(R$7)))*(CkDJ[Account Code]=(TRIM($D77))),CkDJ[Debit])))+(SUM(IF((CsDJ[Date]=$A$4)*(CsDJ[Ofc Code]=(TRIM(R$7)))*(CsDJ[Account Code]=(TRIM($D77))),CsDJ[Debit])))+(SUM(IF((CRDJ[Date]=$A$4)*(CRDJ[Ofc Code]=(TRIM(R$7)))*(CRDJ[Account Code]=(TRIM($D77))),CRDJ[Debit])))+(SUM(IF((GJ[Date]=$A$4)*(GJ[Ofc Code]=(TRIM(R$7)))*(GJ[Account Code]=(TRIM($D77))),GJ[Debit])))-(SUM(IF((CkDJ[Date]=$A$4)*(CkDJ[Ofc Code]=(TRIM(R$7)))*(CkDJ[Account Code]=(TRIM($D77))),CkDJ[Credit])))+(SUM(IF((CsDJ[Date]=$A$4)*(CsDJ[Ofc Code]=(TRIM(R$7)))*(CsDJ[Account Code]=(TRIM($D77))),CsDJ[Credit])))+(SUM(IF((CRDJ[Date]=$A$4)*(CRDJ[Ofc Code]=(TRIM(R$7)))*(CRDJ[Account Code]=(TRIM($D77))),CRDJ[Credit])))+(SUM(IF((GJ[Date]=$A$4)*(GJ[Ofc Code]=(TRIM(R$7)))*(GJ[Account Code]=(TRIM($D77))),GJ[Credit])))</f>
        <v>0</v>
      </c>
      <c r="S77" s="211">
        <f t="array" ref="S77">(SUM(IF((CkDJ[Date]=$A$4)*(CkDJ[Ofc Code]=(TRIM(S$7)))*(CkDJ[Account Code]=(TRIM($D77))),CkDJ[Debit])))+(SUM(IF((CsDJ[Date]=$A$4)*(CsDJ[Ofc Code]=(TRIM(S$7)))*(CsDJ[Account Code]=(TRIM($D77))),CsDJ[Debit])))+(SUM(IF((CRDJ[Date]=$A$4)*(CRDJ[Ofc Code]=(TRIM(S$7)))*(CRDJ[Account Code]=(TRIM($D77))),CRDJ[Debit])))+(SUM(IF((GJ[Date]=$A$4)*(GJ[Ofc Code]=(TRIM(S$7)))*(GJ[Account Code]=(TRIM($D77))),GJ[Debit])))-(SUM(IF((CkDJ[Date]=$A$4)*(CkDJ[Ofc Code]=(TRIM(S$7)))*(CkDJ[Account Code]=(TRIM($D77))),CkDJ[Credit])))+(SUM(IF((CsDJ[Date]=$A$4)*(CsDJ[Ofc Code]=(TRIM(S$7)))*(CsDJ[Account Code]=(TRIM($D77))),CsDJ[Credit])))+(SUM(IF((CRDJ[Date]=$A$4)*(CRDJ[Ofc Code]=(TRIM(S$7)))*(CRDJ[Account Code]=(TRIM($D77))),CRDJ[Credit])))+(SUM(IF((GJ[Date]=$A$4)*(GJ[Ofc Code]=(TRIM(S$7)))*(GJ[Account Code]=(TRIM($D77))),GJ[Credit])))</f>
        <v>0</v>
      </c>
      <c r="T77" s="211">
        <f t="shared" si="17"/>
        <v>0</v>
      </c>
      <c r="U77" s="211">
        <f t="shared" si="18"/>
        <v>0</v>
      </c>
      <c r="V77" s="213"/>
    </row>
    <row r="78" spans="1:22" ht="15" x14ac:dyDescent="0.25">
      <c r="A78" s="212">
        <f t="shared" si="19"/>
        <v>20</v>
      </c>
      <c r="B78" s="214" t="s">
        <v>756</v>
      </c>
      <c r="C78" s="194" t="str">
        <f t="shared" si="14"/>
        <v>Repairs and Maintenance-Machinery and Equipment - Office Equipment</v>
      </c>
      <c r="D78" s="207" t="s">
        <v>253</v>
      </c>
      <c r="E78" s="211">
        <f t="array" ref="E78">(SUM(IF((CkDJ[Date]=$A$4)*(CkDJ[Ofc Code]=(TRIM(E$7)))*(CkDJ[Account Code]=(TRIM($D78))),CkDJ[Debit])))+(SUM(IF((CsDJ[Date]=$A$4)*(CsDJ[Ofc Code]=(TRIM(E$7)))*(CsDJ[Account Code]=(TRIM($D78))),CsDJ[Debit])))+(SUM(IF((CRDJ[Date]=$A$4)*(CRDJ[Ofc Code]=(TRIM(E$7)))*(CRDJ[Account Code]=(TRIM($D78))),CRDJ[Debit])))+(SUM(IF((GJ[Date]=$A$4)*(GJ[Ofc Code]=(TRIM(E$7)))*(GJ[Account Code]=(TRIM($D78))),GJ[Debit])))-(SUM(IF((CkDJ[Date]=$A$4)*(CkDJ[Ofc Code]=(TRIM(E$7)))*(CkDJ[Account Code]=(TRIM($D78))),CkDJ[Credit])))+(SUM(IF((CsDJ[Date]=$A$4)*(CsDJ[Ofc Code]=(TRIM(E$7)))*(CsDJ[Account Code]=(TRIM($D78))),CsDJ[Credit])))+(SUM(IF((CRDJ[Date]=$A$4)*(CRDJ[Ofc Code]=(TRIM(E$7)))*(CRDJ[Account Code]=(TRIM($D78))),CRDJ[Credit])))+(SUM(IF((GJ[Date]=$A$4)*(GJ[Ofc Code]=(TRIM(E$7)))*(GJ[Account Code]=(TRIM($D78))),GJ[Credit])))</f>
        <v>0</v>
      </c>
      <c r="F78" s="211">
        <f t="array" ref="F78">(SUM(IF((CkDJ[Date]=$A$4)*(CkDJ[Ofc Code]=(TRIM(F$7)))*(CkDJ[Account Code]=(TRIM($D78))),CkDJ[Debit])))+(SUM(IF((CsDJ[Date]=$A$4)*(CsDJ[Ofc Code]=(TRIM(F$7)))*(CsDJ[Account Code]=(TRIM($D78))),CsDJ[Debit])))+(SUM(IF((CRDJ[Date]=$A$4)*(CRDJ[Ofc Code]=(TRIM(F$7)))*(CRDJ[Account Code]=(TRIM($D78))),CRDJ[Debit])))+(SUM(IF((GJ[Date]=$A$4)*(GJ[Ofc Code]=(TRIM(F$7)))*(GJ[Account Code]=(TRIM($D78))),GJ[Debit])))-(SUM(IF((CkDJ[Date]=$A$4)*(CkDJ[Ofc Code]=(TRIM(F$7)))*(CkDJ[Account Code]=(TRIM($D78))),CkDJ[Credit])))+(SUM(IF((CsDJ[Date]=$A$4)*(CsDJ[Ofc Code]=(TRIM(F$7)))*(CsDJ[Account Code]=(TRIM($D78))),CsDJ[Credit])))+(SUM(IF((CRDJ[Date]=$A$4)*(CRDJ[Ofc Code]=(TRIM(F$7)))*(CRDJ[Account Code]=(TRIM($D78))),CRDJ[Credit])))+(SUM(IF((GJ[Date]=$A$4)*(GJ[Ofc Code]=(TRIM(F$7)))*(GJ[Account Code]=(TRIM($D78))),GJ[Credit])))</f>
        <v>0</v>
      </c>
      <c r="G78" s="211">
        <f t="array" ref="G78">(SUM(IF((CkDJ[Date]=$A$4)*(CkDJ[Ofc Code]=(TRIM(G$7)))*(CkDJ[Account Code]=(TRIM($D78))),CkDJ[Debit])))+(SUM(IF((CsDJ[Date]=$A$4)*(CsDJ[Ofc Code]=(TRIM(G$7)))*(CsDJ[Account Code]=(TRIM($D78))),CsDJ[Debit])))+(SUM(IF((CRDJ[Date]=$A$4)*(CRDJ[Ofc Code]=(TRIM(G$7)))*(CRDJ[Account Code]=(TRIM($D78))),CRDJ[Debit])))+(SUM(IF((GJ[Date]=$A$4)*(GJ[Ofc Code]=(TRIM(G$7)))*(GJ[Account Code]=(TRIM($D78))),GJ[Debit])))-(SUM(IF((CkDJ[Date]=$A$4)*(CkDJ[Ofc Code]=(TRIM(G$7)))*(CkDJ[Account Code]=(TRIM($D78))),CkDJ[Credit])))+(SUM(IF((CsDJ[Date]=$A$4)*(CsDJ[Ofc Code]=(TRIM(G$7)))*(CsDJ[Account Code]=(TRIM($D78))),CsDJ[Credit])))+(SUM(IF((CRDJ[Date]=$A$4)*(CRDJ[Ofc Code]=(TRIM(G$7)))*(CRDJ[Account Code]=(TRIM($D78))),CRDJ[Credit])))+(SUM(IF((GJ[Date]=$A$4)*(GJ[Ofc Code]=(TRIM(G$7)))*(GJ[Account Code]=(TRIM($D78))),GJ[Credit])))</f>
        <v>0</v>
      </c>
      <c r="H78" s="211">
        <f t="array" ref="H78">(SUM(IF((CkDJ[Date]=$A$4)*(CkDJ[Ofc Code]=(TRIM(H$7)))*(CkDJ[Account Code]=(TRIM($D78))),CkDJ[Debit])))+(SUM(IF((CsDJ[Date]=$A$4)*(CsDJ[Ofc Code]=(TRIM(H$7)))*(CsDJ[Account Code]=(TRIM($D78))),CsDJ[Debit])))+(SUM(IF((CRDJ[Date]=$A$4)*(CRDJ[Ofc Code]=(TRIM(H$7)))*(CRDJ[Account Code]=(TRIM($D78))),CRDJ[Debit])))+(SUM(IF((GJ[Date]=$A$4)*(GJ[Ofc Code]=(TRIM(H$7)))*(GJ[Account Code]=(TRIM($D78))),GJ[Debit])))-(SUM(IF((CkDJ[Date]=$A$4)*(CkDJ[Ofc Code]=(TRIM(H$7)))*(CkDJ[Account Code]=(TRIM($D78))),CkDJ[Credit])))+(SUM(IF((CsDJ[Date]=$A$4)*(CsDJ[Ofc Code]=(TRIM(H$7)))*(CsDJ[Account Code]=(TRIM($D78))),CsDJ[Credit])))+(SUM(IF((CRDJ[Date]=$A$4)*(CRDJ[Ofc Code]=(TRIM(H$7)))*(CRDJ[Account Code]=(TRIM($D78))),CRDJ[Credit])))+(SUM(IF((GJ[Date]=$A$4)*(GJ[Ofc Code]=(TRIM(H$7)))*(GJ[Account Code]=(TRIM($D78))),GJ[Credit])))</f>
        <v>0</v>
      </c>
      <c r="I78" s="211">
        <f t="shared" si="15"/>
        <v>0</v>
      </c>
      <c r="J78" s="211">
        <f t="array" ref="J78">(SUM(IF((CkDJ[Date]=$A$4)*(CkDJ[Ofc Code]=(TRIM(J$7)))*(CkDJ[Account Code]=(TRIM($D78))),CkDJ[Debit])))+(SUM(IF((CsDJ[Date]=$A$4)*(CsDJ[Ofc Code]=(TRIM(J$7)))*(CsDJ[Account Code]=(TRIM($D78))),CsDJ[Debit])))+(SUM(IF((CRDJ[Date]=$A$4)*(CRDJ[Ofc Code]=(TRIM(J$7)))*(CRDJ[Account Code]=(TRIM($D78))),CRDJ[Debit])))+(SUM(IF((GJ[Date]=$A$4)*(GJ[Ofc Code]=(TRIM(J$7)))*(GJ[Account Code]=(TRIM($D78))),GJ[Debit])))-(SUM(IF((CkDJ[Date]=$A$4)*(CkDJ[Ofc Code]=(TRIM(J$7)))*(CkDJ[Account Code]=(TRIM($D78))),CkDJ[Credit])))+(SUM(IF((CsDJ[Date]=$A$4)*(CsDJ[Ofc Code]=(TRIM(J$7)))*(CsDJ[Account Code]=(TRIM($D78))),CsDJ[Credit])))+(SUM(IF((CRDJ[Date]=$A$4)*(CRDJ[Ofc Code]=(TRIM(J$7)))*(CRDJ[Account Code]=(TRIM($D78))),CRDJ[Credit])))+(SUM(IF((GJ[Date]=$A$4)*(GJ[Ofc Code]=(TRIM(J$7)))*(GJ[Account Code]=(TRIM($D78))),GJ[Credit])))</f>
        <v>0</v>
      </c>
      <c r="K78" s="211">
        <f t="array" ref="K78">(SUM(IF((CkDJ[Date]=$A$4)*(CkDJ[Ofc Code]=(TRIM(K$7)))*(CkDJ[Account Code]=(TRIM($D78))),CkDJ[Debit])))+(SUM(IF((CsDJ[Date]=$A$4)*(CsDJ[Ofc Code]=(TRIM(K$7)))*(CsDJ[Account Code]=(TRIM($D78))),CsDJ[Debit])))+(SUM(IF((CRDJ[Date]=$A$4)*(CRDJ[Ofc Code]=(TRIM(K$7)))*(CRDJ[Account Code]=(TRIM($D78))),CRDJ[Debit])))+(SUM(IF((GJ[Date]=$A$4)*(GJ[Ofc Code]=(TRIM(K$7)))*(GJ[Account Code]=(TRIM($D78))),GJ[Debit])))-(SUM(IF((CkDJ[Date]=$A$4)*(CkDJ[Ofc Code]=(TRIM(K$7)))*(CkDJ[Account Code]=(TRIM($D78))),CkDJ[Credit])))+(SUM(IF((CsDJ[Date]=$A$4)*(CsDJ[Ofc Code]=(TRIM(K$7)))*(CsDJ[Account Code]=(TRIM($D78))),CsDJ[Credit])))+(SUM(IF((CRDJ[Date]=$A$4)*(CRDJ[Ofc Code]=(TRIM(K$7)))*(CRDJ[Account Code]=(TRIM($D78))),CRDJ[Credit])))+(SUM(IF((GJ[Date]=$A$4)*(GJ[Ofc Code]=(TRIM(K$7)))*(GJ[Account Code]=(TRIM($D78))),GJ[Credit])))</f>
        <v>0</v>
      </c>
      <c r="L78" s="211">
        <f t="array" ref="L78">(SUM(IF((CkDJ[Date]=$A$4)*(CkDJ[Ofc Code]=(TRIM(L$7)))*(CkDJ[Account Code]=(TRIM($D78))),CkDJ[Debit])))+(SUM(IF((CsDJ[Date]=$A$4)*(CsDJ[Ofc Code]=(TRIM(L$7)))*(CsDJ[Account Code]=(TRIM($D78))),CsDJ[Debit])))+(SUM(IF((CRDJ[Date]=$A$4)*(CRDJ[Ofc Code]=(TRIM(L$7)))*(CRDJ[Account Code]=(TRIM($D78))),CRDJ[Debit])))+(SUM(IF((GJ[Date]=$A$4)*(GJ[Ofc Code]=(TRIM(L$7)))*(GJ[Account Code]=(TRIM($D78))),GJ[Debit])))-(SUM(IF((CkDJ[Date]=$A$4)*(CkDJ[Ofc Code]=(TRIM(L$7)))*(CkDJ[Account Code]=(TRIM($D78))),CkDJ[Credit])))+(SUM(IF((CsDJ[Date]=$A$4)*(CsDJ[Ofc Code]=(TRIM(L$7)))*(CsDJ[Account Code]=(TRIM($D78))),CsDJ[Credit])))+(SUM(IF((CRDJ[Date]=$A$4)*(CRDJ[Ofc Code]=(TRIM(L$7)))*(CRDJ[Account Code]=(TRIM($D78))),CRDJ[Credit])))+(SUM(IF((GJ[Date]=$A$4)*(GJ[Ofc Code]=(TRIM(L$7)))*(GJ[Account Code]=(TRIM($D78))),GJ[Credit])))</f>
        <v>0</v>
      </c>
      <c r="M78" s="211">
        <f t="array" ref="M78">(SUM(IF((CkDJ[Date]=$A$4)*(CkDJ[Ofc Code]=(TRIM(M$7)))*(CkDJ[Account Code]=(TRIM($D78))),CkDJ[Debit])))+(SUM(IF((CsDJ[Date]=$A$4)*(CsDJ[Ofc Code]=(TRIM(M$7)))*(CsDJ[Account Code]=(TRIM($D78))),CsDJ[Debit])))+(SUM(IF((CRDJ[Date]=$A$4)*(CRDJ[Ofc Code]=(TRIM(M$7)))*(CRDJ[Account Code]=(TRIM($D78))),CRDJ[Debit])))+(SUM(IF((GJ[Date]=$A$4)*(GJ[Ofc Code]=(TRIM(M$7)))*(GJ[Account Code]=(TRIM($D78))),GJ[Debit])))-(SUM(IF((CkDJ[Date]=$A$4)*(CkDJ[Ofc Code]=(TRIM(M$7)))*(CkDJ[Account Code]=(TRIM($D78))),CkDJ[Credit])))+(SUM(IF((CsDJ[Date]=$A$4)*(CsDJ[Ofc Code]=(TRIM(M$7)))*(CsDJ[Account Code]=(TRIM($D78))),CsDJ[Credit])))+(SUM(IF((CRDJ[Date]=$A$4)*(CRDJ[Ofc Code]=(TRIM(M$7)))*(CRDJ[Account Code]=(TRIM($D78))),CRDJ[Credit])))+(SUM(IF((GJ[Date]=$A$4)*(GJ[Ofc Code]=(TRIM(M$7)))*(GJ[Account Code]=(TRIM($D78))),GJ[Credit])))</f>
        <v>0</v>
      </c>
      <c r="N78" s="211">
        <f t="shared" si="16"/>
        <v>0</v>
      </c>
      <c r="O78" s="211">
        <f t="array" ref="O78">(SUM(IF((CkDJ[Date]=$A$4)*(CkDJ[Ofc Code]=(TRIM(O$7)))*(CkDJ[Account Code]=(TRIM($D78))),CkDJ[Debit])))+(SUM(IF((CsDJ[Date]=$A$4)*(CsDJ[Ofc Code]=(TRIM(O$7)))*(CsDJ[Account Code]=(TRIM($D78))),CsDJ[Debit])))+(SUM(IF((CRDJ[Date]=$A$4)*(CRDJ[Ofc Code]=(TRIM(O$7)))*(CRDJ[Account Code]=(TRIM($D78))),CRDJ[Debit])))+(SUM(IF((GJ[Date]=$A$4)*(GJ[Ofc Code]=(TRIM(O$7)))*(GJ[Account Code]=(TRIM($D78))),GJ[Debit])))-(SUM(IF((CkDJ[Date]=$A$4)*(CkDJ[Ofc Code]=(TRIM(O$7)))*(CkDJ[Account Code]=(TRIM($D78))),CkDJ[Credit])))+(SUM(IF((CsDJ[Date]=$A$4)*(CsDJ[Ofc Code]=(TRIM(O$7)))*(CsDJ[Account Code]=(TRIM($D78))),CsDJ[Credit])))+(SUM(IF((CRDJ[Date]=$A$4)*(CRDJ[Ofc Code]=(TRIM(O$7)))*(CRDJ[Account Code]=(TRIM($D78))),CRDJ[Credit])))+(SUM(IF((GJ[Date]=$A$4)*(GJ[Ofc Code]=(TRIM(O$7)))*(GJ[Account Code]=(TRIM($D78))),GJ[Credit])))</f>
        <v>0</v>
      </c>
      <c r="P78" s="211">
        <f t="array" ref="P78">(SUM(IF((CkDJ[Date]=$A$4)*(CkDJ[Ofc Code]=(TRIM(P$7)))*(CkDJ[Account Code]=(TRIM($D78))),CkDJ[Debit])))+(SUM(IF((CsDJ[Date]=$A$4)*(CsDJ[Ofc Code]=(TRIM(P$7)))*(CsDJ[Account Code]=(TRIM($D78))),CsDJ[Debit])))+(SUM(IF((CRDJ[Date]=$A$4)*(CRDJ[Ofc Code]=(TRIM(P$7)))*(CRDJ[Account Code]=(TRIM($D78))),CRDJ[Debit])))+(SUM(IF((GJ[Date]=$A$4)*(GJ[Ofc Code]=(TRIM(P$7)))*(GJ[Account Code]=(TRIM($D78))),GJ[Debit])))-(SUM(IF((CkDJ[Date]=$A$4)*(CkDJ[Ofc Code]=(TRIM(P$7)))*(CkDJ[Account Code]=(TRIM($D78))),CkDJ[Credit])))+(SUM(IF((CsDJ[Date]=$A$4)*(CsDJ[Ofc Code]=(TRIM(P$7)))*(CsDJ[Account Code]=(TRIM($D78))),CsDJ[Credit])))+(SUM(IF((CRDJ[Date]=$A$4)*(CRDJ[Ofc Code]=(TRIM(P$7)))*(CRDJ[Account Code]=(TRIM($D78))),CRDJ[Credit])))+(SUM(IF((GJ[Date]=$A$4)*(GJ[Ofc Code]=(TRIM(P$7)))*(GJ[Account Code]=(TRIM($D78))),GJ[Credit])))</f>
        <v>0</v>
      </c>
      <c r="Q78" s="211">
        <f t="array" ref="Q78">(SUM(IF((CkDJ[Date]=$A$4)*(CkDJ[Ofc Code]=(TRIM(Q$7)))*(CkDJ[Account Code]=(TRIM($D78))),CkDJ[Debit])))+(SUM(IF((CsDJ[Date]=$A$4)*(CsDJ[Ofc Code]=(TRIM(Q$7)))*(CsDJ[Account Code]=(TRIM($D78))),CsDJ[Debit])))+(SUM(IF((CRDJ[Date]=$A$4)*(CRDJ[Ofc Code]=(TRIM(Q$7)))*(CRDJ[Account Code]=(TRIM($D78))),CRDJ[Debit])))+(SUM(IF((GJ[Date]=$A$4)*(GJ[Ofc Code]=(TRIM(Q$7)))*(GJ[Account Code]=(TRIM($D78))),GJ[Debit])))-(SUM(IF((CkDJ[Date]=$A$4)*(CkDJ[Ofc Code]=(TRIM(Q$7)))*(CkDJ[Account Code]=(TRIM($D78))),CkDJ[Credit])))+(SUM(IF((CsDJ[Date]=$A$4)*(CsDJ[Ofc Code]=(TRIM(Q$7)))*(CsDJ[Account Code]=(TRIM($D78))),CsDJ[Credit])))+(SUM(IF((CRDJ[Date]=$A$4)*(CRDJ[Ofc Code]=(TRIM(Q$7)))*(CRDJ[Account Code]=(TRIM($D78))),CRDJ[Credit])))+(SUM(IF((GJ[Date]=$A$4)*(GJ[Ofc Code]=(TRIM(Q$7)))*(GJ[Account Code]=(TRIM($D78))),GJ[Credit])))</f>
        <v>0</v>
      </c>
      <c r="R78" s="211">
        <f t="array" ref="R78">(SUM(IF((CkDJ[Date]=$A$4)*(CkDJ[Ofc Code]=(TRIM(R$7)))*(CkDJ[Account Code]=(TRIM($D78))),CkDJ[Debit])))+(SUM(IF((CsDJ[Date]=$A$4)*(CsDJ[Ofc Code]=(TRIM(R$7)))*(CsDJ[Account Code]=(TRIM($D78))),CsDJ[Debit])))+(SUM(IF((CRDJ[Date]=$A$4)*(CRDJ[Ofc Code]=(TRIM(R$7)))*(CRDJ[Account Code]=(TRIM($D78))),CRDJ[Debit])))+(SUM(IF((GJ[Date]=$A$4)*(GJ[Ofc Code]=(TRIM(R$7)))*(GJ[Account Code]=(TRIM($D78))),GJ[Debit])))-(SUM(IF((CkDJ[Date]=$A$4)*(CkDJ[Ofc Code]=(TRIM(R$7)))*(CkDJ[Account Code]=(TRIM($D78))),CkDJ[Credit])))+(SUM(IF((CsDJ[Date]=$A$4)*(CsDJ[Ofc Code]=(TRIM(R$7)))*(CsDJ[Account Code]=(TRIM($D78))),CsDJ[Credit])))+(SUM(IF((CRDJ[Date]=$A$4)*(CRDJ[Ofc Code]=(TRIM(R$7)))*(CRDJ[Account Code]=(TRIM($D78))),CRDJ[Credit])))+(SUM(IF((GJ[Date]=$A$4)*(GJ[Ofc Code]=(TRIM(R$7)))*(GJ[Account Code]=(TRIM($D78))),GJ[Credit])))</f>
        <v>0</v>
      </c>
      <c r="S78" s="211">
        <f t="array" ref="S78">(SUM(IF((CkDJ[Date]=$A$4)*(CkDJ[Ofc Code]=(TRIM(S$7)))*(CkDJ[Account Code]=(TRIM($D78))),CkDJ[Debit])))+(SUM(IF((CsDJ[Date]=$A$4)*(CsDJ[Ofc Code]=(TRIM(S$7)))*(CsDJ[Account Code]=(TRIM($D78))),CsDJ[Debit])))+(SUM(IF((CRDJ[Date]=$A$4)*(CRDJ[Ofc Code]=(TRIM(S$7)))*(CRDJ[Account Code]=(TRIM($D78))),CRDJ[Debit])))+(SUM(IF((GJ[Date]=$A$4)*(GJ[Ofc Code]=(TRIM(S$7)))*(GJ[Account Code]=(TRIM($D78))),GJ[Debit])))-(SUM(IF((CkDJ[Date]=$A$4)*(CkDJ[Ofc Code]=(TRIM(S$7)))*(CkDJ[Account Code]=(TRIM($D78))),CkDJ[Credit])))+(SUM(IF((CsDJ[Date]=$A$4)*(CsDJ[Ofc Code]=(TRIM(S$7)))*(CsDJ[Account Code]=(TRIM($D78))),CsDJ[Credit])))+(SUM(IF((CRDJ[Date]=$A$4)*(CRDJ[Ofc Code]=(TRIM(S$7)))*(CRDJ[Account Code]=(TRIM($D78))),CRDJ[Credit])))+(SUM(IF((GJ[Date]=$A$4)*(GJ[Ofc Code]=(TRIM(S$7)))*(GJ[Account Code]=(TRIM($D78))),GJ[Credit])))</f>
        <v>0</v>
      </c>
      <c r="T78" s="211">
        <f t="shared" si="17"/>
        <v>0</v>
      </c>
      <c r="U78" s="211">
        <f t="shared" si="18"/>
        <v>0</v>
      </c>
    </row>
    <row r="79" spans="1:22" ht="15" x14ac:dyDescent="0.25">
      <c r="A79" s="212">
        <f t="shared" si="19"/>
        <v>21</v>
      </c>
      <c r="B79" s="214" t="s">
        <v>756</v>
      </c>
      <c r="C79" s="194" t="str">
        <f t="shared" si="14"/>
        <v>Repairs and Maintenance-Machinery and Equipment - Machinery</v>
      </c>
      <c r="D79" s="207">
        <v>826</v>
      </c>
      <c r="E79" s="211">
        <f t="array" ref="E79">(SUM(IF((CkDJ[Date]=$A$4)*(CkDJ[Ofc Code]=(TRIM(E$7)))*(CkDJ[Account Code]=(TRIM($D79))),CkDJ[Debit])))+(SUM(IF((CsDJ[Date]=$A$4)*(CsDJ[Ofc Code]=(TRIM(E$7)))*(CsDJ[Account Code]=(TRIM($D79))),CsDJ[Debit])))+(SUM(IF((CRDJ[Date]=$A$4)*(CRDJ[Ofc Code]=(TRIM(E$7)))*(CRDJ[Account Code]=(TRIM($D79))),CRDJ[Debit])))+(SUM(IF((GJ[Date]=$A$4)*(GJ[Ofc Code]=(TRIM(E$7)))*(GJ[Account Code]=(TRIM($D79))),GJ[Debit])))-(SUM(IF((CkDJ[Date]=$A$4)*(CkDJ[Ofc Code]=(TRIM(E$7)))*(CkDJ[Account Code]=(TRIM($D79))),CkDJ[Credit])))+(SUM(IF((CsDJ[Date]=$A$4)*(CsDJ[Ofc Code]=(TRIM(E$7)))*(CsDJ[Account Code]=(TRIM($D79))),CsDJ[Credit])))+(SUM(IF((CRDJ[Date]=$A$4)*(CRDJ[Ofc Code]=(TRIM(E$7)))*(CRDJ[Account Code]=(TRIM($D79))),CRDJ[Credit])))+(SUM(IF((GJ[Date]=$A$4)*(GJ[Ofc Code]=(TRIM(E$7)))*(GJ[Account Code]=(TRIM($D79))),GJ[Credit])))</f>
        <v>0</v>
      </c>
      <c r="F79" s="211">
        <f t="array" ref="F79">(SUM(IF((CkDJ[Date]=$A$4)*(CkDJ[Ofc Code]=(TRIM(F$7)))*(CkDJ[Account Code]=(TRIM($D79))),CkDJ[Debit])))+(SUM(IF((CsDJ[Date]=$A$4)*(CsDJ[Ofc Code]=(TRIM(F$7)))*(CsDJ[Account Code]=(TRIM($D79))),CsDJ[Debit])))+(SUM(IF((CRDJ[Date]=$A$4)*(CRDJ[Ofc Code]=(TRIM(F$7)))*(CRDJ[Account Code]=(TRIM($D79))),CRDJ[Debit])))+(SUM(IF((GJ[Date]=$A$4)*(GJ[Ofc Code]=(TRIM(F$7)))*(GJ[Account Code]=(TRIM($D79))),GJ[Debit])))-(SUM(IF((CkDJ[Date]=$A$4)*(CkDJ[Ofc Code]=(TRIM(F$7)))*(CkDJ[Account Code]=(TRIM($D79))),CkDJ[Credit])))+(SUM(IF((CsDJ[Date]=$A$4)*(CsDJ[Ofc Code]=(TRIM(F$7)))*(CsDJ[Account Code]=(TRIM($D79))),CsDJ[Credit])))+(SUM(IF((CRDJ[Date]=$A$4)*(CRDJ[Ofc Code]=(TRIM(F$7)))*(CRDJ[Account Code]=(TRIM($D79))),CRDJ[Credit])))+(SUM(IF((GJ[Date]=$A$4)*(GJ[Ofc Code]=(TRIM(F$7)))*(GJ[Account Code]=(TRIM($D79))),GJ[Credit])))</f>
        <v>0</v>
      </c>
      <c r="G79" s="211">
        <f t="array" ref="G79">(SUM(IF((CkDJ[Date]=$A$4)*(CkDJ[Ofc Code]=(TRIM(G$7)))*(CkDJ[Account Code]=(TRIM($D79))),CkDJ[Debit])))+(SUM(IF((CsDJ[Date]=$A$4)*(CsDJ[Ofc Code]=(TRIM(G$7)))*(CsDJ[Account Code]=(TRIM($D79))),CsDJ[Debit])))+(SUM(IF((CRDJ[Date]=$A$4)*(CRDJ[Ofc Code]=(TRIM(G$7)))*(CRDJ[Account Code]=(TRIM($D79))),CRDJ[Debit])))+(SUM(IF((GJ[Date]=$A$4)*(GJ[Ofc Code]=(TRIM(G$7)))*(GJ[Account Code]=(TRIM($D79))),GJ[Debit])))-(SUM(IF((CkDJ[Date]=$A$4)*(CkDJ[Ofc Code]=(TRIM(G$7)))*(CkDJ[Account Code]=(TRIM($D79))),CkDJ[Credit])))+(SUM(IF((CsDJ[Date]=$A$4)*(CsDJ[Ofc Code]=(TRIM(G$7)))*(CsDJ[Account Code]=(TRIM($D79))),CsDJ[Credit])))+(SUM(IF((CRDJ[Date]=$A$4)*(CRDJ[Ofc Code]=(TRIM(G$7)))*(CRDJ[Account Code]=(TRIM($D79))),CRDJ[Credit])))+(SUM(IF((GJ[Date]=$A$4)*(GJ[Ofc Code]=(TRIM(G$7)))*(GJ[Account Code]=(TRIM($D79))),GJ[Credit])))</f>
        <v>0</v>
      </c>
      <c r="H79" s="211">
        <f t="array" ref="H79">(SUM(IF((CkDJ[Date]=$A$4)*(CkDJ[Ofc Code]=(TRIM(H$7)))*(CkDJ[Account Code]=(TRIM($D79))),CkDJ[Debit])))+(SUM(IF((CsDJ[Date]=$A$4)*(CsDJ[Ofc Code]=(TRIM(H$7)))*(CsDJ[Account Code]=(TRIM($D79))),CsDJ[Debit])))+(SUM(IF((CRDJ[Date]=$A$4)*(CRDJ[Ofc Code]=(TRIM(H$7)))*(CRDJ[Account Code]=(TRIM($D79))),CRDJ[Debit])))+(SUM(IF((GJ[Date]=$A$4)*(GJ[Ofc Code]=(TRIM(H$7)))*(GJ[Account Code]=(TRIM($D79))),GJ[Debit])))-(SUM(IF((CkDJ[Date]=$A$4)*(CkDJ[Ofc Code]=(TRIM(H$7)))*(CkDJ[Account Code]=(TRIM($D79))),CkDJ[Credit])))+(SUM(IF((CsDJ[Date]=$A$4)*(CsDJ[Ofc Code]=(TRIM(H$7)))*(CsDJ[Account Code]=(TRIM($D79))),CsDJ[Credit])))+(SUM(IF((CRDJ[Date]=$A$4)*(CRDJ[Ofc Code]=(TRIM(H$7)))*(CRDJ[Account Code]=(TRIM($D79))),CRDJ[Credit])))+(SUM(IF((GJ[Date]=$A$4)*(GJ[Ofc Code]=(TRIM(H$7)))*(GJ[Account Code]=(TRIM($D79))),GJ[Credit])))</f>
        <v>0</v>
      </c>
      <c r="I79" s="211">
        <f t="shared" si="15"/>
        <v>0</v>
      </c>
      <c r="J79" s="211">
        <f t="array" ref="J79">(SUM(IF((CkDJ[Date]=$A$4)*(CkDJ[Ofc Code]=(TRIM(J$7)))*(CkDJ[Account Code]=(TRIM($D79))),CkDJ[Debit])))+(SUM(IF((CsDJ[Date]=$A$4)*(CsDJ[Ofc Code]=(TRIM(J$7)))*(CsDJ[Account Code]=(TRIM($D79))),CsDJ[Debit])))+(SUM(IF((CRDJ[Date]=$A$4)*(CRDJ[Ofc Code]=(TRIM(J$7)))*(CRDJ[Account Code]=(TRIM($D79))),CRDJ[Debit])))+(SUM(IF((GJ[Date]=$A$4)*(GJ[Ofc Code]=(TRIM(J$7)))*(GJ[Account Code]=(TRIM($D79))),GJ[Debit])))-(SUM(IF((CkDJ[Date]=$A$4)*(CkDJ[Ofc Code]=(TRIM(J$7)))*(CkDJ[Account Code]=(TRIM($D79))),CkDJ[Credit])))+(SUM(IF((CsDJ[Date]=$A$4)*(CsDJ[Ofc Code]=(TRIM(J$7)))*(CsDJ[Account Code]=(TRIM($D79))),CsDJ[Credit])))+(SUM(IF((CRDJ[Date]=$A$4)*(CRDJ[Ofc Code]=(TRIM(J$7)))*(CRDJ[Account Code]=(TRIM($D79))),CRDJ[Credit])))+(SUM(IF((GJ[Date]=$A$4)*(GJ[Ofc Code]=(TRIM(J$7)))*(GJ[Account Code]=(TRIM($D79))),GJ[Credit])))</f>
        <v>0</v>
      </c>
      <c r="K79" s="211">
        <f t="array" ref="K79">(SUM(IF((CkDJ[Date]=$A$4)*(CkDJ[Ofc Code]=(TRIM(K$7)))*(CkDJ[Account Code]=(TRIM($D79))),CkDJ[Debit])))+(SUM(IF((CsDJ[Date]=$A$4)*(CsDJ[Ofc Code]=(TRIM(K$7)))*(CsDJ[Account Code]=(TRIM($D79))),CsDJ[Debit])))+(SUM(IF((CRDJ[Date]=$A$4)*(CRDJ[Ofc Code]=(TRIM(K$7)))*(CRDJ[Account Code]=(TRIM($D79))),CRDJ[Debit])))+(SUM(IF((GJ[Date]=$A$4)*(GJ[Ofc Code]=(TRIM(K$7)))*(GJ[Account Code]=(TRIM($D79))),GJ[Debit])))-(SUM(IF((CkDJ[Date]=$A$4)*(CkDJ[Ofc Code]=(TRIM(K$7)))*(CkDJ[Account Code]=(TRIM($D79))),CkDJ[Credit])))+(SUM(IF((CsDJ[Date]=$A$4)*(CsDJ[Ofc Code]=(TRIM(K$7)))*(CsDJ[Account Code]=(TRIM($D79))),CsDJ[Credit])))+(SUM(IF((CRDJ[Date]=$A$4)*(CRDJ[Ofc Code]=(TRIM(K$7)))*(CRDJ[Account Code]=(TRIM($D79))),CRDJ[Credit])))+(SUM(IF((GJ[Date]=$A$4)*(GJ[Ofc Code]=(TRIM(K$7)))*(GJ[Account Code]=(TRIM($D79))),GJ[Credit])))</f>
        <v>0</v>
      </c>
      <c r="L79" s="211">
        <f t="array" ref="L79">(SUM(IF((CkDJ[Date]=$A$4)*(CkDJ[Ofc Code]=(TRIM(L$7)))*(CkDJ[Account Code]=(TRIM($D79))),CkDJ[Debit])))+(SUM(IF((CsDJ[Date]=$A$4)*(CsDJ[Ofc Code]=(TRIM(L$7)))*(CsDJ[Account Code]=(TRIM($D79))),CsDJ[Debit])))+(SUM(IF((CRDJ[Date]=$A$4)*(CRDJ[Ofc Code]=(TRIM(L$7)))*(CRDJ[Account Code]=(TRIM($D79))),CRDJ[Debit])))+(SUM(IF((GJ[Date]=$A$4)*(GJ[Ofc Code]=(TRIM(L$7)))*(GJ[Account Code]=(TRIM($D79))),GJ[Debit])))-(SUM(IF((CkDJ[Date]=$A$4)*(CkDJ[Ofc Code]=(TRIM(L$7)))*(CkDJ[Account Code]=(TRIM($D79))),CkDJ[Credit])))+(SUM(IF((CsDJ[Date]=$A$4)*(CsDJ[Ofc Code]=(TRIM(L$7)))*(CsDJ[Account Code]=(TRIM($D79))),CsDJ[Credit])))+(SUM(IF((CRDJ[Date]=$A$4)*(CRDJ[Ofc Code]=(TRIM(L$7)))*(CRDJ[Account Code]=(TRIM($D79))),CRDJ[Credit])))+(SUM(IF((GJ[Date]=$A$4)*(GJ[Ofc Code]=(TRIM(L$7)))*(GJ[Account Code]=(TRIM($D79))),GJ[Credit])))</f>
        <v>0</v>
      </c>
      <c r="M79" s="211">
        <f t="array" ref="M79">(SUM(IF((CkDJ[Date]=$A$4)*(CkDJ[Ofc Code]=(TRIM(M$7)))*(CkDJ[Account Code]=(TRIM($D79))),CkDJ[Debit])))+(SUM(IF((CsDJ[Date]=$A$4)*(CsDJ[Ofc Code]=(TRIM(M$7)))*(CsDJ[Account Code]=(TRIM($D79))),CsDJ[Debit])))+(SUM(IF((CRDJ[Date]=$A$4)*(CRDJ[Ofc Code]=(TRIM(M$7)))*(CRDJ[Account Code]=(TRIM($D79))),CRDJ[Debit])))+(SUM(IF((GJ[Date]=$A$4)*(GJ[Ofc Code]=(TRIM(M$7)))*(GJ[Account Code]=(TRIM($D79))),GJ[Debit])))-(SUM(IF((CkDJ[Date]=$A$4)*(CkDJ[Ofc Code]=(TRIM(M$7)))*(CkDJ[Account Code]=(TRIM($D79))),CkDJ[Credit])))+(SUM(IF((CsDJ[Date]=$A$4)*(CsDJ[Ofc Code]=(TRIM(M$7)))*(CsDJ[Account Code]=(TRIM($D79))),CsDJ[Credit])))+(SUM(IF((CRDJ[Date]=$A$4)*(CRDJ[Ofc Code]=(TRIM(M$7)))*(CRDJ[Account Code]=(TRIM($D79))),CRDJ[Credit])))+(SUM(IF((GJ[Date]=$A$4)*(GJ[Ofc Code]=(TRIM(M$7)))*(GJ[Account Code]=(TRIM($D79))),GJ[Credit])))</f>
        <v>0</v>
      </c>
      <c r="N79" s="211">
        <f t="shared" si="16"/>
        <v>0</v>
      </c>
      <c r="O79" s="211">
        <f t="array" ref="O79">(SUM(IF((CkDJ[Date]=$A$4)*(CkDJ[Ofc Code]=(TRIM(O$7)))*(CkDJ[Account Code]=(TRIM($D79))),CkDJ[Debit])))+(SUM(IF((CsDJ[Date]=$A$4)*(CsDJ[Ofc Code]=(TRIM(O$7)))*(CsDJ[Account Code]=(TRIM($D79))),CsDJ[Debit])))+(SUM(IF((CRDJ[Date]=$A$4)*(CRDJ[Ofc Code]=(TRIM(O$7)))*(CRDJ[Account Code]=(TRIM($D79))),CRDJ[Debit])))+(SUM(IF((GJ[Date]=$A$4)*(GJ[Ofc Code]=(TRIM(O$7)))*(GJ[Account Code]=(TRIM($D79))),GJ[Debit])))-(SUM(IF((CkDJ[Date]=$A$4)*(CkDJ[Ofc Code]=(TRIM(O$7)))*(CkDJ[Account Code]=(TRIM($D79))),CkDJ[Credit])))+(SUM(IF((CsDJ[Date]=$A$4)*(CsDJ[Ofc Code]=(TRIM(O$7)))*(CsDJ[Account Code]=(TRIM($D79))),CsDJ[Credit])))+(SUM(IF((CRDJ[Date]=$A$4)*(CRDJ[Ofc Code]=(TRIM(O$7)))*(CRDJ[Account Code]=(TRIM($D79))),CRDJ[Credit])))+(SUM(IF((GJ[Date]=$A$4)*(GJ[Ofc Code]=(TRIM(O$7)))*(GJ[Account Code]=(TRIM($D79))),GJ[Credit])))</f>
        <v>0</v>
      </c>
      <c r="P79" s="211">
        <f t="array" ref="P79">(SUM(IF((CkDJ[Date]=$A$4)*(CkDJ[Ofc Code]=(TRIM(P$7)))*(CkDJ[Account Code]=(TRIM($D79))),CkDJ[Debit])))+(SUM(IF((CsDJ[Date]=$A$4)*(CsDJ[Ofc Code]=(TRIM(P$7)))*(CsDJ[Account Code]=(TRIM($D79))),CsDJ[Debit])))+(SUM(IF((CRDJ[Date]=$A$4)*(CRDJ[Ofc Code]=(TRIM(P$7)))*(CRDJ[Account Code]=(TRIM($D79))),CRDJ[Debit])))+(SUM(IF((GJ[Date]=$A$4)*(GJ[Ofc Code]=(TRIM(P$7)))*(GJ[Account Code]=(TRIM($D79))),GJ[Debit])))-(SUM(IF((CkDJ[Date]=$A$4)*(CkDJ[Ofc Code]=(TRIM(P$7)))*(CkDJ[Account Code]=(TRIM($D79))),CkDJ[Credit])))+(SUM(IF((CsDJ[Date]=$A$4)*(CsDJ[Ofc Code]=(TRIM(P$7)))*(CsDJ[Account Code]=(TRIM($D79))),CsDJ[Credit])))+(SUM(IF((CRDJ[Date]=$A$4)*(CRDJ[Ofc Code]=(TRIM(P$7)))*(CRDJ[Account Code]=(TRIM($D79))),CRDJ[Credit])))+(SUM(IF((GJ[Date]=$A$4)*(GJ[Ofc Code]=(TRIM(P$7)))*(GJ[Account Code]=(TRIM($D79))),GJ[Credit])))</f>
        <v>0</v>
      </c>
      <c r="Q79" s="211">
        <f t="array" ref="Q79">(SUM(IF((CkDJ[Date]=$A$4)*(CkDJ[Ofc Code]=(TRIM(Q$7)))*(CkDJ[Account Code]=(TRIM($D79))),CkDJ[Debit])))+(SUM(IF((CsDJ[Date]=$A$4)*(CsDJ[Ofc Code]=(TRIM(Q$7)))*(CsDJ[Account Code]=(TRIM($D79))),CsDJ[Debit])))+(SUM(IF((CRDJ[Date]=$A$4)*(CRDJ[Ofc Code]=(TRIM(Q$7)))*(CRDJ[Account Code]=(TRIM($D79))),CRDJ[Debit])))+(SUM(IF((GJ[Date]=$A$4)*(GJ[Ofc Code]=(TRIM(Q$7)))*(GJ[Account Code]=(TRIM($D79))),GJ[Debit])))-(SUM(IF((CkDJ[Date]=$A$4)*(CkDJ[Ofc Code]=(TRIM(Q$7)))*(CkDJ[Account Code]=(TRIM($D79))),CkDJ[Credit])))+(SUM(IF((CsDJ[Date]=$A$4)*(CsDJ[Ofc Code]=(TRIM(Q$7)))*(CsDJ[Account Code]=(TRIM($D79))),CsDJ[Credit])))+(SUM(IF((CRDJ[Date]=$A$4)*(CRDJ[Ofc Code]=(TRIM(Q$7)))*(CRDJ[Account Code]=(TRIM($D79))),CRDJ[Credit])))+(SUM(IF((GJ[Date]=$A$4)*(GJ[Ofc Code]=(TRIM(Q$7)))*(GJ[Account Code]=(TRIM($D79))),GJ[Credit])))</f>
        <v>0</v>
      </c>
      <c r="R79" s="211">
        <f t="array" ref="R79">(SUM(IF((CkDJ[Date]=$A$4)*(CkDJ[Ofc Code]=(TRIM(R$7)))*(CkDJ[Account Code]=(TRIM($D79))),CkDJ[Debit])))+(SUM(IF((CsDJ[Date]=$A$4)*(CsDJ[Ofc Code]=(TRIM(R$7)))*(CsDJ[Account Code]=(TRIM($D79))),CsDJ[Debit])))+(SUM(IF((CRDJ[Date]=$A$4)*(CRDJ[Ofc Code]=(TRIM(R$7)))*(CRDJ[Account Code]=(TRIM($D79))),CRDJ[Debit])))+(SUM(IF((GJ[Date]=$A$4)*(GJ[Ofc Code]=(TRIM(R$7)))*(GJ[Account Code]=(TRIM($D79))),GJ[Debit])))-(SUM(IF((CkDJ[Date]=$A$4)*(CkDJ[Ofc Code]=(TRIM(R$7)))*(CkDJ[Account Code]=(TRIM($D79))),CkDJ[Credit])))+(SUM(IF((CsDJ[Date]=$A$4)*(CsDJ[Ofc Code]=(TRIM(R$7)))*(CsDJ[Account Code]=(TRIM($D79))),CsDJ[Credit])))+(SUM(IF((CRDJ[Date]=$A$4)*(CRDJ[Ofc Code]=(TRIM(R$7)))*(CRDJ[Account Code]=(TRIM($D79))),CRDJ[Credit])))+(SUM(IF((GJ[Date]=$A$4)*(GJ[Ofc Code]=(TRIM(R$7)))*(GJ[Account Code]=(TRIM($D79))),GJ[Credit])))</f>
        <v>0</v>
      </c>
      <c r="S79" s="211">
        <f t="array" ref="S79">(SUM(IF((CkDJ[Date]=$A$4)*(CkDJ[Ofc Code]=(TRIM(S$7)))*(CkDJ[Account Code]=(TRIM($D79))),CkDJ[Debit])))+(SUM(IF((CsDJ[Date]=$A$4)*(CsDJ[Ofc Code]=(TRIM(S$7)))*(CsDJ[Account Code]=(TRIM($D79))),CsDJ[Debit])))+(SUM(IF((CRDJ[Date]=$A$4)*(CRDJ[Ofc Code]=(TRIM(S$7)))*(CRDJ[Account Code]=(TRIM($D79))),CRDJ[Debit])))+(SUM(IF((GJ[Date]=$A$4)*(GJ[Ofc Code]=(TRIM(S$7)))*(GJ[Account Code]=(TRIM($D79))),GJ[Debit])))-(SUM(IF((CkDJ[Date]=$A$4)*(CkDJ[Ofc Code]=(TRIM(S$7)))*(CkDJ[Account Code]=(TRIM($D79))),CkDJ[Credit])))+(SUM(IF((CsDJ[Date]=$A$4)*(CsDJ[Ofc Code]=(TRIM(S$7)))*(CsDJ[Account Code]=(TRIM($D79))),CsDJ[Credit])))+(SUM(IF((CRDJ[Date]=$A$4)*(CRDJ[Ofc Code]=(TRIM(S$7)))*(CRDJ[Account Code]=(TRIM($D79))),CRDJ[Credit])))+(SUM(IF((GJ[Date]=$A$4)*(GJ[Ofc Code]=(TRIM(S$7)))*(GJ[Account Code]=(TRIM($D79))),GJ[Credit])))</f>
        <v>0</v>
      </c>
      <c r="T79" s="211">
        <f t="shared" si="17"/>
        <v>0</v>
      </c>
      <c r="U79" s="211">
        <f t="shared" si="18"/>
        <v>0</v>
      </c>
    </row>
    <row r="80" spans="1:22" ht="15" x14ac:dyDescent="0.25">
      <c r="A80" s="212">
        <f t="shared" si="19"/>
        <v>22</v>
      </c>
      <c r="B80" s="214" t="s">
        <v>756</v>
      </c>
      <c r="C80" s="194" t="str">
        <f t="shared" si="14"/>
        <v>Repairs and Maintenance-Machinery and Equipment - Construction and Heavy Equipment</v>
      </c>
      <c r="D80" s="207" t="s">
        <v>258</v>
      </c>
      <c r="E80" s="211">
        <f t="array" ref="E80">(SUM(IF((CkDJ[Date]=$A$4)*(CkDJ[Ofc Code]=(TRIM(E$7)))*(CkDJ[Account Code]=(TRIM($D80))),CkDJ[Debit])))+(SUM(IF((CsDJ[Date]=$A$4)*(CsDJ[Ofc Code]=(TRIM(E$7)))*(CsDJ[Account Code]=(TRIM($D80))),CsDJ[Debit])))+(SUM(IF((CRDJ[Date]=$A$4)*(CRDJ[Ofc Code]=(TRIM(E$7)))*(CRDJ[Account Code]=(TRIM($D80))),CRDJ[Debit])))+(SUM(IF((GJ[Date]=$A$4)*(GJ[Ofc Code]=(TRIM(E$7)))*(GJ[Account Code]=(TRIM($D80))),GJ[Debit])))-(SUM(IF((CkDJ[Date]=$A$4)*(CkDJ[Ofc Code]=(TRIM(E$7)))*(CkDJ[Account Code]=(TRIM($D80))),CkDJ[Credit])))+(SUM(IF((CsDJ[Date]=$A$4)*(CsDJ[Ofc Code]=(TRIM(E$7)))*(CsDJ[Account Code]=(TRIM($D80))),CsDJ[Credit])))+(SUM(IF((CRDJ[Date]=$A$4)*(CRDJ[Ofc Code]=(TRIM(E$7)))*(CRDJ[Account Code]=(TRIM($D80))),CRDJ[Credit])))+(SUM(IF((GJ[Date]=$A$4)*(GJ[Ofc Code]=(TRIM(E$7)))*(GJ[Account Code]=(TRIM($D80))),GJ[Credit])))</f>
        <v>0</v>
      </c>
      <c r="F80" s="211">
        <f t="array" ref="F80">(SUM(IF((CkDJ[Date]=$A$4)*(CkDJ[Ofc Code]=(TRIM(F$7)))*(CkDJ[Account Code]=(TRIM($D80))),CkDJ[Debit])))+(SUM(IF((CsDJ[Date]=$A$4)*(CsDJ[Ofc Code]=(TRIM(F$7)))*(CsDJ[Account Code]=(TRIM($D80))),CsDJ[Debit])))+(SUM(IF((CRDJ[Date]=$A$4)*(CRDJ[Ofc Code]=(TRIM(F$7)))*(CRDJ[Account Code]=(TRIM($D80))),CRDJ[Debit])))+(SUM(IF((GJ[Date]=$A$4)*(GJ[Ofc Code]=(TRIM(F$7)))*(GJ[Account Code]=(TRIM($D80))),GJ[Debit])))-(SUM(IF((CkDJ[Date]=$A$4)*(CkDJ[Ofc Code]=(TRIM(F$7)))*(CkDJ[Account Code]=(TRIM($D80))),CkDJ[Credit])))+(SUM(IF((CsDJ[Date]=$A$4)*(CsDJ[Ofc Code]=(TRIM(F$7)))*(CsDJ[Account Code]=(TRIM($D80))),CsDJ[Credit])))+(SUM(IF((CRDJ[Date]=$A$4)*(CRDJ[Ofc Code]=(TRIM(F$7)))*(CRDJ[Account Code]=(TRIM($D80))),CRDJ[Credit])))+(SUM(IF((GJ[Date]=$A$4)*(GJ[Ofc Code]=(TRIM(F$7)))*(GJ[Account Code]=(TRIM($D80))),GJ[Credit])))</f>
        <v>0</v>
      </c>
      <c r="G80" s="211">
        <f t="array" ref="G80">(SUM(IF((CkDJ[Date]=$A$4)*(CkDJ[Ofc Code]=(TRIM(G$7)))*(CkDJ[Account Code]=(TRIM($D80))),CkDJ[Debit])))+(SUM(IF((CsDJ[Date]=$A$4)*(CsDJ[Ofc Code]=(TRIM(G$7)))*(CsDJ[Account Code]=(TRIM($D80))),CsDJ[Debit])))+(SUM(IF((CRDJ[Date]=$A$4)*(CRDJ[Ofc Code]=(TRIM(G$7)))*(CRDJ[Account Code]=(TRIM($D80))),CRDJ[Debit])))+(SUM(IF((GJ[Date]=$A$4)*(GJ[Ofc Code]=(TRIM(G$7)))*(GJ[Account Code]=(TRIM($D80))),GJ[Debit])))-(SUM(IF((CkDJ[Date]=$A$4)*(CkDJ[Ofc Code]=(TRIM(G$7)))*(CkDJ[Account Code]=(TRIM($D80))),CkDJ[Credit])))+(SUM(IF((CsDJ[Date]=$A$4)*(CsDJ[Ofc Code]=(TRIM(G$7)))*(CsDJ[Account Code]=(TRIM($D80))),CsDJ[Credit])))+(SUM(IF((CRDJ[Date]=$A$4)*(CRDJ[Ofc Code]=(TRIM(G$7)))*(CRDJ[Account Code]=(TRIM($D80))),CRDJ[Credit])))+(SUM(IF((GJ[Date]=$A$4)*(GJ[Ofc Code]=(TRIM(G$7)))*(GJ[Account Code]=(TRIM($D80))),GJ[Credit])))</f>
        <v>0</v>
      </c>
      <c r="H80" s="211">
        <f t="array" ref="H80">(SUM(IF((CkDJ[Date]=$A$4)*(CkDJ[Ofc Code]=(TRIM(H$7)))*(CkDJ[Account Code]=(TRIM($D80))),CkDJ[Debit])))+(SUM(IF((CsDJ[Date]=$A$4)*(CsDJ[Ofc Code]=(TRIM(H$7)))*(CsDJ[Account Code]=(TRIM($D80))),CsDJ[Debit])))+(SUM(IF((CRDJ[Date]=$A$4)*(CRDJ[Ofc Code]=(TRIM(H$7)))*(CRDJ[Account Code]=(TRIM($D80))),CRDJ[Debit])))+(SUM(IF((GJ[Date]=$A$4)*(GJ[Ofc Code]=(TRIM(H$7)))*(GJ[Account Code]=(TRIM($D80))),GJ[Debit])))-(SUM(IF((CkDJ[Date]=$A$4)*(CkDJ[Ofc Code]=(TRIM(H$7)))*(CkDJ[Account Code]=(TRIM($D80))),CkDJ[Credit])))+(SUM(IF((CsDJ[Date]=$A$4)*(CsDJ[Ofc Code]=(TRIM(H$7)))*(CsDJ[Account Code]=(TRIM($D80))),CsDJ[Credit])))+(SUM(IF((CRDJ[Date]=$A$4)*(CRDJ[Ofc Code]=(TRIM(H$7)))*(CRDJ[Account Code]=(TRIM($D80))),CRDJ[Credit])))+(SUM(IF((GJ[Date]=$A$4)*(GJ[Ofc Code]=(TRIM(H$7)))*(GJ[Account Code]=(TRIM($D80))),GJ[Credit])))</f>
        <v>0</v>
      </c>
      <c r="I80" s="211">
        <f t="shared" si="15"/>
        <v>0</v>
      </c>
      <c r="J80" s="211">
        <f t="array" ref="J80">(SUM(IF((CkDJ[Date]=$A$4)*(CkDJ[Ofc Code]=(TRIM(J$7)))*(CkDJ[Account Code]=(TRIM($D80))),CkDJ[Debit])))+(SUM(IF((CsDJ[Date]=$A$4)*(CsDJ[Ofc Code]=(TRIM(J$7)))*(CsDJ[Account Code]=(TRIM($D80))),CsDJ[Debit])))+(SUM(IF((CRDJ[Date]=$A$4)*(CRDJ[Ofc Code]=(TRIM(J$7)))*(CRDJ[Account Code]=(TRIM($D80))),CRDJ[Debit])))+(SUM(IF((GJ[Date]=$A$4)*(GJ[Ofc Code]=(TRIM(J$7)))*(GJ[Account Code]=(TRIM($D80))),GJ[Debit])))-(SUM(IF((CkDJ[Date]=$A$4)*(CkDJ[Ofc Code]=(TRIM(J$7)))*(CkDJ[Account Code]=(TRIM($D80))),CkDJ[Credit])))+(SUM(IF((CsDJ[Date]=$A$4)*(CsDJ[Ofc Code]=(TRIM(J$7)))*(CsDJ[Account Code]=(TRIM($D80))),CsDJ[Credit])))+(SUM(IF((CRDJ[Date]=$A$4)*(CRDJ[Ofc Code]=(TRIM(J$7)))*(CRDJ[Account Code]=(TRIM($D80))),CRDJ[Credit])))+(SUM(IF((GJ[Date]=$A$4)*(GJ[Ofc Code]=(TRIM(J$7)))*(GJ[Account Code]=(TRIM($D80))),GJ[Credit])))</f>
        <v>0</v>
      </c>
      <c r="K80" s="211">
        <f t="array" ref="K80">(SUM(IF((CkDJ[Date]=$A$4)*(CkDJ[Ofc Code]=(TRIM(K$7)))*(CkDJ[Account Code]=(TRIM($D80))),CkDJ[Debit])))+(SUM(IF((CsDJ[Date]=$A$4)*(CsDJ[Ofc Code]=(TRIM(K$7)))*(CsDJ[Account Code]=(TRIM($D80))),CsDJ[Debit])))+(SUM(IF((CRDJ[Date]=$A$4)*(CRDJ[Ofc Code]=(TRIM(K$7)))*(CRDJ[Account Code]=(TRIM($D80))),CRDJ[Debit])))+(SUM(IF((GJ[Date]=$A$4)*(GJ[Ofc Code]=(TRIM(K$7)))*(GJ[Account Code]=(TRIM($D80))),GJ[Debit])))-(SUM(IF((CkDJ[Date]=$A$4)*(CkDJ[Ofc Code]=(TRIM(K$7)))*(CkDJ[Account Code]=(TRIM($D80))),CkDJ[Credit])))+(SUM(IF((CsDJ[Date]=$A$4)*(CsDJ[Ofc Code]=(TRIM(K$7)))*(CsDJ[Account Code]=(TRIM($D80))),CsDJ[Credit])))+(SUM(IF((CRDJ[Date]=$A$4)*(CRDJ[Ofc Code]=(TRIM(K$7)))*(CRDJ[Account Code]=(TRIM($D80))),CRDJ[Credit])))+(SUM(IF((GJ[Date]=$A$4)*(GJ[Ofc Code]=(TRIM(K$7)))*(GJ[Account Code]=(TRIM($D80))),GJ[Credit])))</f>
        <v>0</v>
      </c>
      <c r="L80" s="211">
        <f t="array" ref="L80">(SUM(IF((CkDJ[Date]=$A$4)*(CkDJ[Ofc Code]=(TRIM(L$7)))*(CkDJ[Account Code]=(TRIM($D80))),CkDJ[Debit])))+(SUM(IF((CsDJ[Date]=$A$4)*(CsDJ[Ofc Code]=(TRIM(L$7)))*(CsDJ[Account Code]=(TRIM($D80))),CsDJ[Debit])))+(SUM(IF((CRDJ[Date]=$A$4)*(CRDJ[Ofc Code]=(TRIM(L$7)))*(CRDJ[Account Code]=(TRIM($D80))),CRDJ[Debit])))+(SUM(IF((GJ[Date]=$A$4)*(GJ[Ofc Code]=(TRIM(L$7)))*(GJ[Account Code]=(TRIM($D80))),GJ[Debit])))-(SUM(IF((CkDJ[Date]=$A$4)*(CkDJ[Ofc Code]=(TRIM(L$7)))*(CkDJ[Account Code]=(TRIM($D80))),CkDJ[Credit])))+(SUM(IF((CsDJ[Date]=$A$4)*(CsDJ[Ofc Code]=(TRIM(L$7)))*(CsDJ[Account Code]=(TRIM($D80))),CsDJ[Credit])))+(SUM(IF((CRDJ[Date]=$A$4)*(CRDJ[Ofc Code]=(TRIM(L$7)))*(CRDJ[Account Code]=(TRIM($D80))),CRDJ[Credit])))+(SUM(IF((GJ[Date]=$A$4)*(GJ[Ofc Code]=(TRIM(L$7)))*(GJ[Account Code]=(TRIM($D80))),GJ[Credit])))</f>
        <v>0</v>
      </c>
      <c r="M80" s="211">
        <f t="array" ref="M80">(SUM(IF((CkDJ[Date]=$A$4)*(CkDJ[Ofc Code]=(TRIM(M$7)))*(CkDJ[Account Code]=(TRIM($D80))),CkDJ[Debit])))+(SUM(IF((CsDJ[Date]=$A$4)*(CsDJ[Ofc Code]=(TRIM(M$7)))*(CsDJ[Account Code]=(TRIM($D80))),CsDJ[Debit])))+(SUM(IF((CRDJ[Date]=$A$4)*(CRDJ[Ofc Code]=(TRIM(M$7)))*(CRDJ[Account Code]=(TRIM($D80))),CRDJ[Debit])))+(SUM(IF((GJ[Date]=$A$4)*(GJ[Ofc Code]=(TRIM(M$7)))*(GJ[Account Code]=(TRIM($D80))),GJ[Debit])))-(SUM(IF((CkDJ[Date]=$A$4)*(CkDJ[Ofc Code]=(TRIM(M$7)))*(CkDJ[Account Code]=(TRIM($D80))),CkDJ[Credit])))+(SUM(IF((CsDJ[Date]=$A$4)*(CsDJ[Ofc Code]=(TRIM(M$7)))*(CsDJ[Account Code]=(TRIM($D80))),CsDJ[Credit])))+(SUM(IF((CRDJ[Date]=$A$4)*(CRDJ[Ofc Code]=(TRIM(M$7)))*(CRDJ[Account Code]=(TRIM($D80))),CRDJ[Credit])))+(SUM(IF((GJ[Date]=$A$4)*(GJ[Ofc Code]=(TRIM(M$7)))*(GJ[Account Code]=(TRIM($D80))),GJ[Credit])))</f>
        <v>0</v>
      </c>
      <c r="N80" s="211">
        <f t="shared" si="16"/>
        <v>0</v>
      </c>
      <c r="O80" s="211">
        <f t="array" ref="O80">(SUM(IF((CkDJ[Date]=$A$4)*(CkDJ[Ofc Code]=(TRIM(O$7)))*(CkDJ[Account Code]=(TRIM($D80))),CkDJ[Debit])))+(SUM(IF((CsDJ[Date]=$A$4)*(CsDJ[Ofc Code]=(TRIM(O$7)))*(CsDJ[Account Code]=(TRIM($D80))),CsDJ[Debit])))+(SUM(IF((CRDJ[Date]=$A$4)*(CRDJ[Ofc Code]=(TRIM(O$7)))*(CRDJ[Account Code]=(TRIM($D80))),CRDJ[Debit])))+(SUM(IF((GJ[Date]=$A$4)*(GJ[Ofc Code]=(TRIM(O$7)))*(GJ[Account Code]=(TRIM($D80))),GJ[Debit])))-(SUM(IF((CkDJ[Date]=$A$4)*(CkDJ[Ofc Code]=(TRIM(O$7)))*(CkDJ[Account Code]=(TRIM($D80))),CkDJ[Credit])))+(SUM(IF((CsDJ[Date]=$A$4)*(CsDJ[Ofc Code]=(TRIM(O$7)))*(CsDJ[Account Code]=(TRIM($D80))),CsDJ[Credit])))+(SUM(IF((CRDJ[Date]=$A$4)*(CRDJ[Ofc Code]=(TRIM(O$7)))*(CRDJ[Account Code]=(TRIM($D80))),CRDJ[Credit])))+(SUM(IF((GJ[Date]=$A$4)*(GJ[Ofc Code]=(TRIM(O$7)))*(GJ[Account Code]=(TRIM($D80))),GJ[Credit])))</f>
        <v>0</v>
      </c>
      <c r="P80" s="211">
        <f t="array" ref="P80">(SUM(IF((CkDJ[Date]=$A$4)*(CkDJ[Ofc Code]=(TRIM(P$7)))*(CkDJ[Account Code]=(TRIM($D80))),CkDJ[Debit])))+(SUM(IF((CsDJ[Date]=$A$4)*(CsDJ[Ofc Code]=(TRIM(P$7)))*(CsDJ[Account Code]=(TRIM($D80))),CsDJ[Debit])))+(SUM(IF((CRDJ[Date]=$A$4)*(CRDJ[Ofc Code]=(TRIM(P$7)))*(CRDJ[Account Code]=(TRIM($D80))),CRDJ[Debit])))+(SUM(IF((GJ[Date]=$A$4)*(GJ[Ofc Code]=(TRIM(P$7)))*(GJ[Account Code]=(TRIM($D80))),GJ[Debit])))-(SUM(IF((CkDJ[Date]=$A$4)*(CkDJ[Ofc Code]=(TRIM(P$7)))*(CkDJ[Account Code]=(TRIM($D80))),CkDJ[Credit])))+(SUM(IF((CsDJ[Date]=$A$4)*(CsDJ[Ofc Code]=(TRIM(P$7)))*(CsDJ[Account Code]=(TRIM($D80))),CsDJ[Credit])))+(SUM(IF((CRDJ[Date]=$A$4)*(CRDJ[Ofc Code]=(TRIM(P$7)))*(CRDJ[Account Code]=(TRIM($D80))),CRDJ[Credit])))+(SUM(IF((GJ[Date]=$A$4)*(GJ[Ofc Code]=(TRIM(P$7)))*(GJ[Account Code]=(TRIM($D80))),GJ[Credit])))</f>
        <v>0</v>
      </c>
      <c r="Q80" s="211">
        <f t="array" ref="Q80">(SUM(IF((CkDJ[Date]=$A$4)*(CkDJ[Ofc Code]=(TRIM(Q$7)))*(CkDJ[Account Code]=(TRIM($D80))),CkDJ[Debit])))+(SUM(IF((CsDJ[Date]=$A$4)*(CsDJ[Ofc Code]=(TRIM(Q$7)))*(CsDJ[Account Code]=(TRIM($D80))),CsDJ[Debit])))+(SUM(IF((CRDJ[Date]=$A$4)*(CRDJ[Ofc Code]=(TRIM(Q$7)))*(CRDJ[Account Code]=(TRIM($D80))),CRDJ[Debit])))+(SUM(IF((GJ[Date]=$A$4)*(GJ[Ofc Code]=(TRIM(Q$7)))*(GJ[Account Code]=(TRIM($D80))),GJ[Debit])))-(SUM(IF((CkDJ[Date]=$A$4)*(CkDJ[Ofc Code]=(TRIM(Q$7)))*(CkDJ[Account Code]=(TRIM($D80))),CkDJ[Credit])))+(SUM(IF((CsDJ[Date]=$A$4)*(CsDJ[Ofc Code]=(TRIM(Q$7)))*(CsDJ[Account Code]=(TRIM($D80))),CsDJ[Credit])))+(SUM(IF((CRDJ[Date]=$A$4)*(CRDJ[Ofc Code]=(TRIM(Q$7)))*(CRDJ[Account Code]=(TRIM($D80))),CRDJ[Credit])))+(SUM(IF((GJ[Date]=$A$4)*(GJ[Ofc Code]=(TRIM(Q$7)))*(GJ[Account Code]=(TRIM($D80))),GJ[Credit])))</f>
        <v>0</v>
      </c>
      <c r="R80" s="211">
        <f t="array" ref="R80">(SUM(IF((CkDJ[Date]=$A$4)*(CkDJ[Ofc Code]=(TRIM(R$7)))*(CkDJ[Account Code]=(TRIM($D80))),CkDJ[Debit])))+(SUM(IF((CsDJ[Date]=$A$4)*(CsDJ[Ofc Code]=(TRIM(R$7)))*(CsDJ[Account Code]=(TRIM($D80))),CsDJ[Debit])))+(SUM(IF((CRDJ[Date]=$A$4)*(CRDJ[Ofc Code]=(TRIM(R$7)))*(CRDJ[Account Code]=(TRIM($D80))),CRDJ[Debit])))+(SUM(IF((GJ[Date]=$A$4)*(GJ[Ofc Code]=(TRIM(R$7)))*(GJ[Account Code]=(TRIM($D80))),GJ[Debit])))-(SUM(IF((CkDJ[Date]=$A$4)*(CkDJ[Ofc Code]=(TRIM(R$7)))*(CkDJ[Account Code]=(TRIM($D80))),CkDJ[Credit])))+(SUM(IF((CsDJ[Date]=$A$4)*(CsDJ[Ofc Code]=(TRIM(R$7)))*(CsDJ[Account Code]=(TRIM($D80))),CsDJ[Credit])))+(SUM(IF((CRDJ[Date]=$A$4)*(CRDJ[Ofc Code]=(TRIM(R$7)))*(CRDJ[Account Code]=(TRIM($D80))),CRDJ[Credit])))+(SUM(IF((GJ[Date]=$A$4)*(GJ[Ofc Code]=(TRIM(R$7)))*(GJ[Account Code]=(TRIM($D80))),GJ[Credit])))</f>
        <v>0</v>
      </c>
      <c r="S80" s="211">
        <f t="array" ref="S80">(SUM(IF((CkDJ[Date]=$A$4)*(CkDJ[Ofc Code]=(TRIM(S$7)))*(CkDJ[Account Code]=(TRIM($D80))),CkDJ[Debit])))+(SUM(IF((CsDJ[Date]=$A$4)*(CsDJ[Ofc Code]=(TRIM(S$7)))*(CsDJ[Account Code]=(TRIM($D80))),CsDJ[Debit])))+(SUM(IF((CRDJ[Date]=$A$4)*(CRDJ[Ofc Code]=(TRIM(S$7)))*(CRDJ[Account Code]=(TRIM($D80))),CRDJ[Debit])))+(SUM(IF((GJ[Date]=$A$4)*(GJ[Ofc Code]=(TRIM(S$7)))*(GJ[Account Code]=(TRIM($D80))),GJ[Debit])))-(SUM(IF((CkDJ[Date]=$A$4)*(CkDJ[Ofc Code]=(TRIM(S$7)))*(CkDJ[Account Code]=(TRIM($D80))),CkDJ[Credit])))+(SUM(IF((CsDJ[Date]=$A$4)*(CsDJ[Ofc Code]=(TRIM(S$7)))*(CsDJ[Account Code]=(TRIM($D80))),CsDJ[Credit])))+(SUM(IF((CRDJ[Date]=$A$4)*(CRDJ[Ofc Code]=(TRIM(S$7)))*(CRDJ[Account Code]=(TRIM($D80))),CRDJ[Credit])))+(SUM(IF((GJ[Date]=$A$4)*(GJ[Ofc Code]=(TRIM(S$7)))*(GJ[Account Code]=(TRIM($D80))),GJ[Credit])))</f>
        <v>0</v>
      </c>
      <c r="T80" s="211">
        <f t="shared" si="17"/>
        <v>0</v>
      </c>
      <c r="U80" s="211">
        <f t="shared" si="18"/>
        <v>0</v>
      </c>
    </row>
    <row r="81" spans="1:21" ht="15" x14ac:dyDescent="0.25">
      <c r="A81" s="212">
        <f t="shared" si="19"/>
        <v>23</v>
      </c>
      <c r="B81" s="194" t="s">
        <v>756</v>
      </c>
      <c r="C81" s="194" t="str">
        <f t="shared" si="14"/>
        <v>Repairs and Maintenance-Machinery and Equipment - Other Machinery and Equipment</v>
      </c>
      <c r="D81" s="207">
        <v>840</v>
      </c>
      <c r="E81" s="211">
        <f t="array" ref="E81">(SUM(IF((CkDJ[Date]=$A$4)*(CkDJ[Ofc Code]=(TRIM(E$7)))*(CkDJ[Account Code]=(TRIM($D81))),CkDJ[Debit])))+(SUM(IF((CsDJ[Date]=$A$4)*(CsDJ[Ofc Code]=(TRIM(E$7)))*(CsDJ[Account Code]=(TRIM($D81))),CsDJ[Debit])))+(SUM(IF((CRDJ[Date]=$A$4)*(CRDJ[Ofc Code]=(TRIM(E$7)))*(CRDJ[Account Code]=(TRIM($D81))),CRDJ[Debit])))+(SUM(IF((GJ[Date]=$A$4)*(GJ[Ofc Code]=(TRIM(E$7)))*(GJ[Account Code]=(TRIM($D81))),GJ[Debit])))-(SUM(IF((CkDJ[Date]=$A$4)*(CkDJ[Ofc Code]=(TRIM(E$7)))*(CkDJ[Account Code]=(TRIM($D81))),CkDJ[Credit])))+(SUM(IF((CsDJ[Date]=$A$4)*(CsDJ[Ofc Code]=(TRIM(E$7)))*(CsDJ[Account Code]=(TRIM($D81))),CsDJ[Credit])))+(SUM(IF((CRDJ[Date]=$A$4)*(CRDJ[Ofc Code]=(TRIM(E$7)))*(CRDJ[Account Code]=(TRIM($D81))),CRDJ[Credit])))+(SUM(IF((GJ[Date]=$A$4)*(GJ[Ofc Code]=(TRIM(E$7)))*(GJ[Account Code]=(TRIM($D81))),GJ[Credit])))</f>
        <v>0</v>
      </c>
      <c r="F81" s="211">
        <f t="array" ref="F81">(SUM(IF((CkDJ[Date]=$A$4)*(CkDJ[Ofc Code]=(TRIM(F$7)))*(CkDJ[Account Code]=(TRIM($D81))),CkDJ[Debit])))+(SUM(IF((CsDJ[Date]=$A$4)*(CsDJ[Ofc Code]=(TRIM(F$7)))*(CsDJ[Account Code]=(TRIM($D81))),CsDJ[Debit])))+(SUM(IF((CRDJ[Date]=$A$4)*(CRDJ[Ofc Code]=(TRIM(F$7)))*(CRDJ[Account Code]=(TRIM($D81))),CRDJ[Debit])))+(SUM(IF((GJ[Date]=$A$4)*(GJ[Ofc Code]=(TRIM(F$7)))*(GJ[Account Code]=(TRIM($D81))),GJ[Debit])))-(SUM(IF((CkDJ[Date]=$A$4)*(CkDJ[Ofc Code]=(TRIM(F$7)))*(CkDJ[Account Code]=(TRIM($D81))),CkDJ[Credit])))+(SUM(IF((CsDJ[Date]=$A$4)*(CsDJ[Ofc Code]=(TRIM(F$7)))*(CsDJ[Account Code]=(TRIM($D81))),CsDJ[Credit])))+(SUM(IF((CRDJ[Date]=$A$4)*(CRDJ[Ofc Code]=(TRIM(F$7)))*(CRDJ[Account Code]=(TRIM($D81))),CRDJ[Credit])))+(SUM(IF((GJ[Date]=$A$4)*(GJ[Ofc Code]=(TRIM(F$7)))*(GJ[Account Code]=(TRIM($D81))),GJ[Credit])))</f>
        <v>0</v>
      </c>
      <c r="G81" s="211">
        <f t="array" ref="G81">(SUM(IF((CkDJ[Date]=$A$4)*(CkDJ[Ofc Code]=(TRIM(G$7)))*(CkDJ[Account Code]=(TRIM($D81))),CkDJ[Debit])))+(SUM(IF((CsDJ[Date]=$A$4)*(CsDJ[Ofc Code]=(TRIM(G$7)))*(CsDJ[Account Code]=(TRIM($D81))),CsDJ[Debit])))+(SUM(IF((CRDJ[Date]=$A$4)*(CRDJ[Ofc Code]=(TRIM(G$7)))*(CRDJ[Account Code]=(TRIM($D81))),CRDJ[Debit])))+(SUM(IF((GJ[Date]=$A$4)*(GJ[Ofc Code]=(TRIM(G$7)))*(GJ[Account Code]=(TRIM($D81))),GJ[Debit])))-(SUM(IF((CkDJ[Date]=$A$4)*(CkDJ[Ofc Code]=(TRIM(G$7)))*(CkDJ[Account Code]=(TRIM($D81))),CkDJ[Credit])))+(SUM(IF((CsDJ[Date]=$A$4)*(CsDJ[Ofc Code]=(TRIM(G$7)))*(CsDJ[Account Code]=(TRIM($D81))),CsDJ[Credit])))+(SUM(IF((CRDJ[Date]=$A$4)*(CRDJ[Ofc Code]=(TRIM(G$7)))*(CRDJ[Account Code]=(TRIM($D81))),CRDJ[Credit])))+(SUM(IF((GJ[Date]=$A$4)*(GJ[Ofc Code]=(TRIM(G$7)))*(GJ[Account Code]=(TRIM($D81))),GJ[Credit])))</f>
        <v>0</v>
      </c>
      <c r="H81" s="211">
        <f t="array" ref="H81">(SUM(IF((CkDJ[Date]=$A$4)*(CkDJ[Ofc Code]=(TRIM(H$7)))*(CkDJ[Account Code]=(TRIM($D81))),CkDJ[Debit])))+(SUM(IF((CsDJ[Date]=$A$4)*(CsDJ[Ofc Code]=(TRIM(H$7)))*(CsDJ[Account Code]=(TRIM($D81))),CsDJ[Debit])))+(SUM(IF((CRDJ[Date]=$A$4)*(CRDJ[Ofc Code]=(TRIM(H$7)))*(CRDJ[Account Code]=(TRIM($D81))),CRDJ[Debit])))+(SUM(IF((GJ[Date]=$A$4)*(GJ[Ofc Code]=(TRIM(H$7)))*(GJ[Account Code]=(TRIM($D81))),GJ[Debit])))-(SUM(IF((CkDJ[Date]=$A$4)*(CkDJ[Ofc Code]=(TRIM(H$7)))*(CkDJ[Account Code]=(TRIM($D81))),CkDJ[Credit])))+(SUM(IF((CsDJ[Date]=$A$4)*(CsDJ[Ofc Code]=(TRIM(H$7)))*(CsDJ[Account Code]=(TRIM($D81))),CsDJ[Credit])))+(SUM(IF((CRDJ[Date]=$A$4)*(CRDJ[Ofc Code]=(TRIM(H$7)))*(CRDJ[Account Code]=(TRIM($D81))),CRDJ[Credit])))+(SUM(IF((GJ[Date]=$A$4)*(GJ[Ofc Code]=(TRIM(H$7)))*(GJ[Account Code]=(TRIM($D81))),GJ[Credit])))</f>
        <v>0</v>
      </c>
      <c r="I81" s="211">
        <f t="shared" si="15"/>
        <v>0</v>
      </c>
      <c r="J81" s="211">
        <f t="array" ref="J81">(SUM(IF((CkDJ[Date]=$A$4)*(CkDJ[Ofc Code]=(TRIM(J$7)))*(CkDJ[Account Code]=(TRIM($D81))),CkDJ[Debit])))+(SUM(IF((CsDJ[Date]=$A$4)*(CsDJ[Ofc Code]=(TRIM(J$7)))*(CsDJ[Account Code]=(TRIM($D81))),CsDJ[Debit])))+(SUM(IF((CRDJ[Date]=$A$4)*(CRDJ[Ofc Code]=(TRIM(J$7)))*(CRDJ[Account Code]=(TRIM($D81))),CRDJ[Debit])))+(SUM(IF((GJ[Date]=$A$4)*(GJ[Ofc Code]=(TRIM(J$7)))*(GJ[Account Code]=(TRIM($D81))),GJ[Debit])))-(SUM(IF((CkDJ[Date]=$A$4)*(CkDJ[Ofc Code]=(TRIM(J$7)))*(CkDJ[Account Code]=(TRIM($D81))),CkDJ[Credit])))+(SUM(IF((CsDJ[Date]=$A$4)*(CsDJ[Ofc Code]=(TRIM(J$7)))*(CsDJ[Account Code]=(TRIM($D81))),CsDJ[Credit])))+(SUM(IF((CRDJ[Date]=$A$4)*(CRDJ[Ofc Code]=(TRIM(J$7)))*(CRDJ[Account Code]=(TRIM($D81))),CRDJ[Credit])))+(SUM(IF((GJ[Date]=$A$4)*(GJ[Ofc Code]=(TRIM(J$7)))*(GJ[Account Code]=(TRIM($D81))),GJ[Credit])))</f>
        <v>0</v>
      </c>
      <c r="K81" s="211">
        <f t="array" ref="K81">(SUM(IF((CkDJ[Date]=$A$4)*(CkDJ[Ofc Code]=(TRIM(K$7)))*(CkDJ[Account Code]=(TRIM($D81))),CkDJ[Debit])))+(SUM(IF((CsDJ[Date]=$A$4)*(CsDJ[Ofc Code]=(TRIM(K$7)))*(CsDJ[Account Code]=(TRIM($D81))),CsDJ[Debit])))+(SUM(IF((CRDJ[Date]=$A$4)*(CRDJ[Ofc Code]=(TRIM(K$7)))*(CRDJ[Account Code]=(TRIM($D81))),CRDJ[Debit])))+(SUM(IF((GJ[Date]=$A$4)*(GJ[Ofc Code]=(TRIM(K$7)))*(GJ[Account Code]=(TRIM($D81))),GJ[Debit])))-(SUM(IF((CkDJ[Date]=$A$4)*(CkDJ[Ofc Code]=(TRIM(K$7)))*(CkDJ[Account Code]=(TRIM($D81))),CkDJ[Credit])))+(SUM(IF((CsDJ[Date]=$A$4)*(CsDJ[Ofc Code]=(TRIM(K$7)))*(CsDJ[Account Code]=(TRIM($D81))),CsDJ[Credit])))+(SUM(IF((CRDJ[Date]=$A$4)*(CRDJ[Ofc Code]=(TRIM(K$7)))*(CRDJ[Account Code]=(TRIM($D81))),CRDJ[Credit])))+(SUM(IF((GJ[Date]=$A$4)*(GJ[Ofc Code]=(TRIM(K$7)))*(GJ[Account Code]=(TRIM($D81))),GJ[Credit])))</f>
        <v>0</v>
      </c>
      <c r="L81" s="211">
        <f t="array" ref="L81">(SUM(IF((CkDJ[Date]=$A$4)*(CkDJ[Ofc Code]=(TRIM(L$7)))*(CkDJ[Account Code]=(TRIM($D81))),CkDJ[Debit])))+(SUM(IF((CsDJ[Date]=$A$4)*(CsDJ[Ofc Code]=(TRIM(L$7)))*(CsDJ[Account Code]=(TRIM($D81))),CsDJ[Debit])))+(SUM(IF((CRDJ[Date]=$A$4)*(CRDJ[Ofc Code]=(TRIM(L$7)))*(CRDJ[Account Code]=(TRIM($D81))),CRDJ[Debit])))+(SUM(IF((GJ[Date]=$A$4)*(GJ[Ofc Code]=(TRIM(L$7)))*(GJ[Account Code]=(TRIM($D81))),GJ[Debit])))-(SUM(IF((CkDJ[Date]=$A$4)*(CkDJ[Ofc Code]=(TRIM(L$7)))*(CkDJ[Account Code]=(TRIM($D81))),CkDJ[Credit])))+(SUM(IF((CsDJ[Date]=$A$4)*(CsDJ[Ofc Code]=(TRIM(L$7)))*(CsDJ[Account Code]=(TRIM($D81))),CsDJ[Credit])))+(SUM(IF((CRDJ[Date]=$A$4)*(CRDJ[Ofc Code]=(TRIM(L$7)))*(CRDJ[Account Code]=(TRIM($D81))),CRDJ[Credit])))+(SUM(IF((GJ[Date]=$A$4)*(GJ[Ofc Code]=(TRIM(L$7)))*(GJ[Account Code]=(TRIM($D81))),GJ[Credit])))</f>
        <v>0</v>
      </c>
      <c r="M81" s="211">
        <f t="array" ref="M81">(SUM(IF((CkDJ[Date]=$A$4)*(CkDJ[Ofc Code]=(TRIM(M$7)))*(CkDJ[Account Code]=(TRIM($D81))),CkDJ[Debit])))+(SUM(IF((CsDJ[Date]=$A$4)*(CsDJ[Ofc Code]=(TRIM(M$7)))*(CsDJ[Account Code]=(TRIM($D81))),CsDJ[Debit])))+(SUM(IF((CRDJ[Date]=$A$4)*(CRDJ[Ofc Code]=(TRIM(M$7)))*(CRDJ[Account Code]=(TRIM($D81))),CRDJ[Debit])))+(SUM(IF((GJ[Date]=$A$4)*(GJ[Ofc Code]=(TRIM(M$7)))*(GJ[Account Code]=(TRIM($D81))),GJ[Debit])))-(SUM(IF((CkDJ[Date]=$A$4)*(CkDJ[Ofc Code]=(TRIM(M$7)))*(CkDJ[Account Code]=(TRIM($D81))),CkDJ[Credit])))+(SUM(IF((CsDJ[Date]=$A$4)*(CsDJ[Ofc Code]=(TRIM(M$7)))*(CsDJ[Account Code]=(TRIM($D81))),CsDJ[Credit])))+(SUM(IF((CRDJ[Date]=$A$4)*(CRDJ[Ofc Code]=(TRIM(M$7)))*(CRDJ[Account Code]=(TRIM($D81))),CRDJ[Credit])))+(SUM(IF((GJ[Date]=$A$4)*(GJ[Ofc Code]=(TRIM(M$7)))*(GJ[Account Code]=(TRIM($D81))),GJ[Credit])))</f>
        <v>0</v>
      </c>
      <c r="N81" s="211">
        <f t="shared" si="16"/>
        <v>0</v>
      </c>
      <c r="O81" s="211">
        <f t="array" ref="O81">(SUM(IF((CkDJ[Date]=$A$4)*(CkDJ[Ofc Code]=(TRIM(O$7)))*(CkDJ[Account Code]=(TRIM($D81))),CkDJ[Debit])))+(SUM(IF((CsDJ[Date]=$A$4)*(CsDJ[Ofc Code]=(TRIM(O$7)))*(CsDJ[Account Code]=(TRIM($D81))),CsDJ[Debit])))+(SUM(IF((CRDJ[Date]=$A$4)*(CRDJ[Ofc Code]=(TRIM(O$7)))*(CRDJ[Account Code]=(TRIM($D81))),CRDJ[Debit])))+(SUM(IF((GJ[Date]=$A$4)*(GJ[Ofc Code]=(TRIM(O$7)))*(GJ[Account Code]=(TRIM($D81))),GJ[Debit])))-(SUM(IF((CkDJ[Date]=$A$4)*(CkDJ[Ofc Code]=(TRIM(O$7)))*(CkDJ[Account Code]=(TRIM($D81))),CkDJ[Credit])))+(SUM(IF((CsDJ[Date]=$A$4)*(CsDJ[Ofc Code]=(TRIM(O$7)))*(CsDJ[Account Code]=(TRIM($D81))),CsDJ[Credit])))+(SUM(IF((CRDJ[Date]=$A$4)*(CRDJ[Ofc Code]=(TRIM(O$7)))*(CRDJ[Account Code]=(TRIM($D81))),CRDJ[Credit])))+(SUM(IF((GJ[Date]=$A$4)*(GJ[Ofc Code]=(TRIM(O$7)))*(GJ[Account Code]=(TRIM($D81))),GJ[Credit])))</f>
        <v>0</v>
      </c>
      <c r="P81" s="211">
        <f t="array" ref="P81">(SUM(IF((CkDJ[Date]=$A$4)*(CkDJ[Ofc Code]=(TRIM(P$7)))*(CkDJ[Account Code]=(TRIM($D81))),CkDJ[Debit])))+(SUM(IF((CsDJ[Date]=$A$4)*(CsDJ[Ofc Code]=(TRIM(P$7)))*(CsDJ[Account Code]=(TRIM($D81))),CsDJ[Debit])))+(SUM(IF((CRDJ[Date]=$A$4)*(CRDJ[Ofc Code]=(TRIM(P$7)))*(CRDJ[Account Code]=(TRIM($D81))),CRDJ[Debit])))+(SUM(IF((GJ[Date]=$A$4)*(GJ[Ofc Code]=(TRIM(P$7)))*(GJ[Account Code]=(TRIM($D81))),GJ[Debit])))-(SUM(IF((CkDJ[Date]=$A$4)*(CkDJ[Ofc Code]=(TRIM(P$7)))*(CkDJ[Account Code]=(TRIM($D81))),CkDJ[Credit])))+(SUM(IF((CsDJ[Date]=$A$4)*(CsDJ[Ofc Code]=(TRIM(P$7)))*(CsDJ[Account Code]=(TRIM($D81))),CsDJ[Credit])))+(SUM(IF((CRDJ[Date]=$A$4)*(CRDJ[Ofc Code]=(TRIM(P$7)))*(CRDJ[Account Code]=(TRIM($D81))),CRDJ[Credit])))+(SUM(IF((GJ[Date]=$A$4)*(GJ[Ofc Code]=(TRIM(P$7)))*(GJ[Account Code]=(TRIM($D81))),GJ[Credit])))</f>
        <v>0</v>
      </c>
      <c r="Q81" s="211">
        <f t="array" ref="Q81">(SUM(IF((CkDJ[Date]=$A$4)*(CkDJ[Ofc Code]=(TRIM(Q$7)))*(CkDJ[Account Code]=(TRIM($D81))),CkDJ[Debit])))+(SUM(IF((CsDJ[Date]=$A$4)*(CsDJ[Ofc Code]=(TRIM(Q$7)))*(CsDJ[Account Code]=(TRIM($D81))),CsDJ[Debit])))+(SUM(IF((CRDJ[Date]=$A$4)*(CRDJ[Ofc Code]=(TRIM(Q$7)))*(CRDJ[Account Code]=(TRIM($D81))),CRDJ[Debit])))+(SUM(IF((GJ[Date]=$A$4)*(GJ[Ofc Code]=(TRIM(Q$7)))*(GJ[Account Code]=(TRIM($D81))),GJ[Debit])))-(SUM(IF((CkDJ[Date]=$A$4)*(CkDJ[Ofc Code]=(TRIM(Q$7)))*(CkDJ[Account Code]=(TRIM($D81))),CkDJ[Credit])))+(SUM(IF((CsDJ[Date]=$A$4)*(CsDJ[Ofc Code]=(TRIM(Q$7)))*(CsDJ[Account Code]=(TRIM($D81))),CsDJ[Credit])))+(SUM(IF((CRDJ[Date]=$A$4)*(CRDJ[Ofc Code]=(TRIM(Q$7)))*(CRDJ[Account Code]=(TRIM($D81))),CRDJ[Credit])))+(SUM(IF((GJ[Date]=$A$4)*(GJ[Ofc Code]=(TRIM(Q$7)))*(GJ[Account Code]=(TRIM($D81))),GJ[Credit])))</f>
        <v>0</v>
      </c>
      <c r="R81" s="211">
        <f t="array" ref="R81">(SUM(IF((CkDJ[Date]=$A$4)*(CkDJ[Ofc Code]=(TRIM(R$7)))*(CkDJ[Account Code]=(TRIM($D81))),CkDJ[Debit])))+(SUM(IF((CsDJ[Date]=$A$4)*(CsDJ[Ofc Code]=(TRIM(R$7)))*(CsDJ[Account Code]=(TRIM($D81))),CsDJ[Debit])))+(SUM(IF((CRDJ[Date]=$A$4)*(CRDJ[Ofc Code]=(TRIM(R$7)))*(CRDJ[Account Code]=(TRIM($D81))),CRDJ[Debit])))+(SUM(IF((GJ[Date]=$A$4)*(GJ[Ofc Code]=(TRIM(R$7)))*(GJ[Account Code]=(TRIM($D81))),GJ[Debit])))-(SUM(IF((CkDJ[Date]=$A$4)*(CkDJ[Ofc Code]=(TRIM(R$7)))*(CkDJ[Account Code]=(TRIM($D81))),CkDJ[Credit])))+(SUM(IF((CsDJ[Date]=$A$4)*(CsDJ[Ofc Code]=(TRIM(R$7)))*(CsDJ[Account Code]=(TRIM($D81))),CsDJ[Credit])))+(SUM(IF((CRDJ[Date]=$A$4)*(CRDJ[Ofc Code]=(TRIM(R$7)))*(CRDJ[Account Code]=(TRIM($D81))),CRDJ[Credit])))+(SUM(IF((GJ[Date]=$A$4)*(GJ[Ofc Code]=(TRIM(R$7)))*(GJ[Account Code]=(TRIM($D81))),GJ[Credit])))</f>
        <v>0</v>
      </c>
      <c r="S81" s="211">
        <f t="array" ref="S81">(SUM(IF((CkDJ[Date]=$A$4)*(CkDJ[Ofc Code]=(TRIM(S$7)))*(CkDJ[Account Code]=(TRIM($D81))),CkDJ[Debit])))+(SUM(IF((CsDJ[Date]=$A$4)*(CsDJ[Ofc Code]=(TRIM(S$7)))*(CsDJ[Account Code]=(TRIM($D81))),CsDJ[Debit])))+(SUM(IF((CRDJ[Date]=$A$4)*(CRDJ[Ofc Code]=(TRIM(S$7)))*(CRDJ[Account Code]=(TRIM($D81))),CRDJ[Debit])))+(SUM(IF((GJ[Date]=$A$4)*(GJ[Ofc Code]=(TRIM(S$7)))*(GJ[Account Code]=(TRIM($D81))),GJ[Debit])))-(SUM(IF((CkDJ[Date]=$A$4)*(CkDJ[Ofc Code]=(TRIM(S$7)))*(CkDJ[Account Code]=(TRIM($D81))),CkDJ[Credit])))+(SUM(IF((CsDJ[Date]=$A$4)*(CsDJ[Ofc Code]=(TRIM(S$7)))*(CsDJ[Account Code]=(TRIM($D81))),CsDJ[Credit])))+(SUM(IF((CRDJ[Date]=$A$4)*(CRDJ[Ofc Code]=(TRIM(S$7)))*(CRDJ[Account Code]=(TRIM($D81))),CRDJ[Credit])))+(SUM(IF((GJ[Date]=$A$4)*(GJ[Ofc Code]=(TRIM(S$7)))*(GJ[Account Code]=(TRIM($D81))),GJ[Credit])))</f>
        <v>0</v>
      </c>
      <c r="T81" s="211">
        <f t="shared" si="17"/>
        <v>0</v>
      </c>
      <c r="U81" s="211">
        <f t="shared" si="18"/>
        <v>0</v>
      </c>
    </row>
    <row r="82" spans="1:21" ht="15" x14ac:dyDescent="0.25">
      <c r="A82" s="212">
        <f t="shared" si="19"/>
        <v>24</v>
      </c>
      <c r="B82" s="194" t="s">
        <v>756</v>
      </c>
      <c r="C82" s="194" t="str">
        <f t="shared" si="14"/>
        <v>Repairs and Maintenance-Transportation Equipment - Motor Vehicles</v>
      </c>
      <c r="D82" s="207">
        <v>841</v>
      </c>
      <c r="E82" s="211">
        <f t="array" ref="E82">(SUM(IF((CkDJ[Date]=$A$4)*(CkDJ[Ofc Code]=(TRIM(E$7)))*(CkDJ[Account Code]=(TRIM($D82))),CkDJ[Debit])))+(SUM(IF((CsDJ[Date]=$A$4)*(CsDJ[Ofc Code]=(TRIM(E$7)))*(CsDJ[Account Code]=(TRIM($D82))),CsDJ[Debit])))+(SUM(IF((CRDJ[Date]=$A$4)*(CRDJ[Ofc Code]=(TRIM(E$7)))*(CRDJ[Account Code]=(TRIM($D82))),CRDJ[Debit])))+(SUM(IF((GJ[Date]=$A$4)*(GJ[Ofc Code]=(TRIM(E$7)))*(GJ[Account Code]=(TRIM($D82))),GJ[Debit])))-(SUM(IF((CkDJ[Date]=$A$4)*(CkDJ[Ofc Code]=(TRIM(E$7)))*(CkDJ[Account Code]=(TRIM($D82))),CkDJ[Credit])))+(SUM(IF((CsDJ[Date]=$A$4)*(CsDJ[Ofc Code]=(TRIM(E$7)))*(CsDJ[Account Code]=(TRIM($D82))),CsDJ[Credit])))+(SUM(IF((CRDJ[Date]=$A$4)*(CRDJ[Ofc Code]=(TRIM(E$7)))*(CRDJ[Account Code]=(TRIM($D82))),CRDJ[Credit])))+(SUM(IF((GJ[Date]=$A$4)*(GJ[Ofc Code]=(TRIM(E$7)))*(GJ[Account Code]=(TRIM($D82))),GJ[Credit])))</f>
        <v>0</v>
      </c>
      <c r="F82" s="211">
        <f t="array" ref="F82">(SUM(IF((CkDJ[Date]=$A$4)*(CkDJ[Ofc Code]=(TRIM(F$7)))*(CkDJ[Account Code]=(TRIM($D82))),CkDJ[Debit])))+(SUM(IF((CsDJ[Date]=$A$4)*(CsDJ[Ofc Code]=(TRIM(F$7)))*(CsDJ[Account Code]=(TRIM($D82))),CsDJ[Debit])))+(SUM(IF((CRDJ[Date]=$A$4)*(CRDJ[Ofc Code]=(TRIM(F$7)))*(CRDJ[Account Code]=(TRIM($D82))),CRDJ[Debit])))+(SUM(IF((GJ[Date]=$A$4)*(GJ[Ofc Code]=(TRIM(F$7)))*(GJ[Account Code]=(TRIM($D82))),GJ[Debit])))-(SUM(IF((CkDJ[Date]=$A$4)*(CkDJ[Ofc Code]=(TRIM(F$7)))*(CkDJ[Account Code]=(TRIM($D82))),CkDJ[Credit])))+(SUM(IF((CsDJ[Date]=$A$4)*(CsDJ[Ofc Code]=(TRIM(F$7)))*(CsDJ[Account Code]=(TRIM($D82))),CsDJ[Credit])))+(SUM(IF((CRDJ[Date]=$A$4)*(CRDJ[Ofc Code]=(TRIM(F$7)))*(CRDJ[Account Code]=(TRIM($D82))),CRDJ[Credit])))+(SUM(IF((GJ[Date]=$A$4)*(GJ[Ofc Code]=(TRIM(F$7)))*(GJ[Account Code]=(TRIM($D82))),GJ[Credit])))</f>
        <v>0</v>
      </c>
      <c r="G82" s="211">
        <f t="array" ref="G82">(SUM(IF((CkDJ[Date]=$A$4)*(CkDJ[Ofc Code]=(TRIM(G$7)))*(CkDJ[Account Code]=(TRIM($D82))),CkDJ[Debit])))+(SUM(IF((CsDJ[Date]=$A$4)*(CsDJ[Ofc Code]=(TRIM(G$7)))*(CsDJ[Account Code]=(TRIM($D82))),CsDJ[Debit])))+(SUM(IF((CRDJ[Date]=$A$4)*(CRDJ[Ofc Code]=(TRIM(G$7)))*(CRDJ[Account Code]=(TRIM($D82))),CRDJ[Debit])))+(SUM(IF((GJ[Date]=$A$4)*(GJ[Ofc Code]=(TRIM(G$7)))*(GJ[Account Code]=(TRIM($D82))),GJ[Debit])))-(SUM(IF((CkDJ[Date]=$A$4)*(CkDJ[Ofc Code]=(TRIM(G$7)))*(CkDJ[Account Code]=(TRIM($D82))),CkDJ[Credit])))+(SUM(IF((CsDJ[Date]=$A$4)*(CsDJ[Ofc Code]=(TRIM(G$7)))*(CsDJ[Account Code]=(TRIM($D82))),CsDJ[Credit])))+(SUM(IF((CRDJ[Date]=$A$4)*(CRDJ[Ofc Code]=(TRIM(G$7)))*(CRDJ[Account Code]=(TRIM($D82))),CRDJ[Credit])))+(SUM(IF((GJ[Date]=$A$4)*(GJ[Ofc Code]=(TRIM(G$7)))*(GJ[Account Code]=(TRIM($D82))),GJ[Credit])))</f>
        <v>0</v>
      </c>
      <c r="H82" s="211">
        <f t="array" ref="H82">(SUM(IF((CkDJ[Date]=$A$4)*(CkDJ[Ofc Code]=(TRIM(H$7)))*(CkDJ[Account Code]=(TRIM($D82))),CkDJ[Debit])))+(SUM(IF((CsDJ[Date]=$A$4)*(CsDJ[Ofc Code]=(TRIM(H$7)))*(CsDJ[Account Code]=(TRIM($D82))),CsDJ[Debit])))+(SUM(IF((CRDJ[Date]=$A$4)*(CRDJ[Ofc Code]=(TRIM(H$7)))*(CRDJ[Account Code]=(TRIM($D82))),CRDJ[Debit])))+(SUM(IF((GJ[Date]=$A$4)*(GJ[Ofc Code]=(TRIM(H$7)))*(GJ[Account Code]=(TRIM($D82))),GJ[Debit])))-(SUM(IF((CkDJ[Date]=$A$4)*(CkDJ[Ofc Code]=(TRIM(H$7)))*(CkDJ[Account Code]=(TRIM($D82))),CkDJ[Credit])))+(SUM(IF((CsDJ[Date]=$A$4)*(CsDJ[Ofc Code]=(TRIM(H$7)))*(CsDJ[Account Code]=(TRIM($D82))),CsDJ[Credit])))+(SUM(IF((CRDJ[Date]=$A$4)*(CRDJ[Ofc Code]=(TRIM(H$7)))*(CRDJ[Account Code]=(TRIM($D82))),CRDJ[Credit])))+(SUM(IF((GJ[Date]=$A$4)*(GJ[Ofc Code]=(TRIM(H$7)))*(GJ[Account Code]=(TRIM($D82))),GJ[Credit])))</f>
        <v>0</v>
      </c>
      <c r="I82" s="211">
        <f t="shared" si="15"/>
        <v>0</v>
      </c>
      <c r="J82" s="211">
        <f t="array" ref="J82">(SUM(IF((CkDJ[Date]=$A$4)*(CkDJ[Ofc Code]=(TRIM(J$7)))*(CkDJ[Account Code]=(TRIM($D82))),CkDJ[Debit])))+(SUM(IF((CsDJ[Date]=$A$4)*(CsDJ[Ofc Code]=(TRIM(J$7)))*(CsDJ[Account Code]=(TRIM($D82))),CsDJ[Debit])))+(SUM(IF((CRDJ[Date]=$A$4)*(CRDJ[Ofc Code]=(TRIM(J$7)))*(CRDJ[Account Code]=(TRIM($D82))),CRDJ[Debit])))+(SUM(IF((GJ[Date]=$A$4)*(GJ[Ofc Code]=(TRIM(J$7)))*(GJ[Account Code]=(TRIM($D82))),GJ[Debit])))-(SUM(IF((CkDJ[Date]=$A$4)*(CkDJ[Ofc Code]=(TRIM(J$7)))*(CkDJ[Account Code]=(TRIM($D82))),CkDJ[Credit])))+(SUM(IF((CsDJ[Date]=$A$4)*(CsDJ[Ofc Code]=(TRIM(J$7)))*(CsDJ[Account Code]=(TRIM($D82))),CsDJ[Credit])))+(SUM(IF((CRDJ[Date]=$A$4)*(CRDJ[Ofc Code]=(TRIM(J$7)))*(CRDJ[Account Code]=(TRIM($D82))),CRDJ[Credit])))+(SUM(IF((GJ[Date]=$A$4)*(GJ[Ofc Code]=(TRIM(J$7)))*(GJ[Account Code]=(TRIM($D82))),GJ[Credit])))</f>
        <v>0</v>
      </c>
      <c r="K82" s="211">
        <f t="array" ref="K82">(SUM(IF((CkDJ[Date]=$A$4)*(CkDJ[Ofc Code]=(TRIM(K$7)))*(CkDJ[Account Code]=(TRIM($D82))),CkDJ[Debit])))+(SUM(IF((CsDJ[Date]=$A$4)*(CsDJ[Ofc Code]=(TRIM(K$7)))*(CsDJ[Account Code]=(TRIM($D82))),CsDJ[Debit])))+(SUM(IF((CRDJ[Date]=$A$4)*(CRDJ[Ofc Code]=(TRIM(K$7)))*(CRDJ[Account Code]=(TRIM($D82))),CRDJ[Debit])))+(SUM(IF((GJ[Date]=$A$4)*(GJ[Ofc Code]=(TRIM(K$7)))*(GJ[Account Code]=(TRIM($D82))),GJ[Debit])))-(SUM(IF((CkDJ[Date]=$A$4)*(CkDJ[Ofc Code]=(TRIM(K$7)))*(CkDJ[Account Code]=(TRIM($D82))),CkDJ[Credit])))+(SUM(IF((CsDJ[Date]=$A$4)*(CsDJ[Ofc Code]=(TRIM(K$7)))*(CsDJ[Account Code]=(TRIM($D82))),CsDJ[Credit])))+(SUM(IF((CRDJ[Date]=$A$4)*(CRDJ[Ofc Code]=(TRIM(K$7)))*(CRDJ[Account Code]=(TRIM($D82))),CRDJ[Credit])))+(SUM(IF((GJ[Date]=$A$4)*(GJ[Ofc Code]=(TRIM(K$7)))*(GJ[Account Code]=(TRIM($D82))),GJ[Credit])))</f>
        <v>0</v>
      </c>
      <c r="L82" s="211">
        <f t="array" ref="L82">(SUM(IF((CkDJ[Date]=$A$4)*(CkDJ[Ofc Code]=(TRIM(L$7)))*(CkDJ[Account Code]=(TRIM($D82))),CkDJ[Debit])))+(SUM(IF((CsDJ[Date]=$A$4)*(CsDJ[Ofc Code]=(TRIM(L$7)))*(CsDJ[Account Code]=(TRIM($D82))),CsDJ[Debit])))+(SUM(IF((CRDJ[Date]=$A$4)*(CRDJ[Ofc Code]=(TRIM(L$7)))*(CRDJ[Account Code]=(TRIM($D82))),CRDJ[Debit])))+(SUM(IF((GJ[Date]=$A$4)*(GJ[Ofc Code]=(TRIM(L$7)))*(GJ[Account Code]=(TRIM($D82))),GJ[Debit])))-(SUM(IF((CkDJ[Date]=$A$4)*(CkDJ[Ofc Code]=(TRIM(L$7)))*(CkDJ[Account Code]=(TRIM($D82))),CkDJ[Credit])))+(SUM(IF((CsDJ[Date]=$A$4)*(CsDJ[Ofc Code]=(TRIM(L$7)))*(CsDJ[Account Code]=(TRIM($D82))),CsDJ[Credit])))+(SUM(IF((CRDJ[Date]=$A$4)*(CRDJ[Ofc Code]=(TRIM(L$7)))*(CRDJ[Account Code]=(TRIM($D82))),CRDJ[Credit])))+(SUM(IF((GJ[Date]=$A$4)*(GJ[Ofc Code]=(TRIM(L$7)))*(GJ[Account Code]=(TRIM($D82))),GJ[Credit])))</f>
        <v>0</v>
      </c>
      <c r="M82" s="211">
        <f t="array" ref="M82">(SUM(IF((CkDJ[Date]=$A$4)*(CkDJ[Ofc Code]=(TRIM(M$7)))*(CkDJ[Account Code]=(TRIM($D82))),CkDJ[Debit])))+(SUM(IF((CsDJ[Date]=$A$4)*(CsDJ[Ofc Code]=(TRIM(M$7)))*(CsDJ[Account Code]=(TRIM($D82))),CsDJ[Debit])))+(SUM(IF((CRDJ[Date]=$A$4)*(CRDJ[Ofc Code]=(TRIM(M$7)))*(CRDJ[Account Code]=(TRIM($D82))),CRDJ[Debit])))+(SUM(IF((GJ[Date]=$A$4)*(GJ[Ofc Code]=(TRIM(M$7)))*(GJ[Account Code]=(TRIM($D82))),GJ[Debit])))-(SUM(IF((CkDJ[Date]=$A$4)*(CkDJ[Ofc Code]=(TRIM(M$7)))*(CkDJ[Account Code]=(TRIM($D82))),CkDJ[Credit])))+(SUM(IF((CsDJ[Date]=$A$4)*(CsDJ[Ofc Code]=(TRIM(M$7)))*(CsDJ[Account Code]=(TRIM($D82))),CsDJ[Credit])))+(SUM(IF((CRDJ[Date]=$A$4)*(CRDJ[Ofc Code]=(TRIM(M$7)))*(CRDJ[Account Code]=(TRIM($D82))),CRDJ[Credit])))+(SUM(IF((GJ[Date]=$A$4)*(GJ[Ofc Code]=(TRIM(M$7)))*(GJ[Account Code]=(TRIM($D82))),GJ[Credit])))</f>
        <v>0</v>
      </c>
      <c r="N82" s="211">
        <f t="shared" si="16"/>
        <v>0</v>
      </c>
      <c r="O82" s="211">
        <f t="array" ref="O82">(SUM(IF((CkDJ[Date]=$A$4)*(CkDJ[Ofc Code]=(TRIM(O$7)))*(CkDJ[Account Code]=(TRIM($D82))),CkDJ[Debit])))+(SUM(IF((CsDJ[Date]=$A$4)*(CsDJ[Ofc Code]=(TRIM(O$7)))*(CsDJ[Account Code]=(TRIM($D82))),CsDJ[Debit])))+(SUM(IF((CRDJ[Date]=$A$4)*(CRDJ[Ofc Code]=(TRIM(O$7)))*(CRDJ[Account Code]=(TRIM($D82))),CRDJ[Debit])))+(SUM(IF((GJ[Date]=$A$4)*(GJ[Ofc Code]=(TRIM(O$7)))*(GJ[Account Code]=(TRIM($D82))),GJ[Debit])))-(SUM(IF((CkDJ[Date]=$A$4)*(CkDJ[Ofc Code]=(TRIM(O$7)))*(CkDJ[Account Code]=(TRIM($D82))),CkDJ[Credit])))+(SUM(IF((CsDJ[Date]=$A$4)*(CsDJ[Ofc Code]=(TRIM(O$7)))*(CsDJ[Account Code]=(TRIM($D82))),CsDJ[Credit])))+(SUM(IF((CRDJ[Date]=$A$4)*(CRDJ[Ofc Code]=(TRIM(O$7)))*(CRDJ[Account Code]=(TRIM($D82))),CRDJ[Credit])))+(SUM(IF((GJ[Date]=$A$4)*(GJ[Ofc Code]=(TRIM(O$7)))*(GJ[Account Code]=(TRIM($D82))),GJ[Credit])))</f>
        <v>0</v>
      </c>
      <c r="P82" s="211">
        <f t="array" ref="P82">(SUM(IF((CkDJ[Date]=$A$4)*(CkDJ[Ofc Code]=(TRIM(P$7)))*(CkDJ[Account Code]=(TRIM($D82))),CkDJ[Debit])))+(SUM(IF((CsDJ[Date]=$A$4)*(CsDJ[Ofc Code]=(TRIM(P$7)))*(CsDJ[Account Code]=(TRIM($D82))),CsDJ[Debit])))+(SUM(IF((CRDJ[Date]=$A$4)*(CRDJ[Ofc Code]=(TRIM(P$7)))*(CRDJ[Account Code]=(TRIM($D82))),CRDJ[Debit])))+(SUM(IF((GJ[Date]=$A$4)*(GJ[Ofc Code]=(TRIM(P$7)))*(GJ[Account Code]=(TRIM($D82))),GJ[Debit])))-(SUM(IF((CkDJ[Date]=$A$4)*(CkDJ[Ofc Code]=(TRIM(P$7)))*(CkDJ[Account Code]=(TRIM($D82))),CkDJ[Credit])))+(SUM(IF((CsDJ[Date]=$A$4)*(CsDJ[Ofc Code]=(TRIM(P$7)))*(CsDJ[Account Code]=(TRIM($D82))),CsDJ[Credit])))+(SUM(IF((CRDJ[Date]=$A$4)*(CRDJ[Ofc Code]=(TRIM(P$7)))*(CRDJ[Account Code]=(TRIM($D82))),CRDJ[Credit])))+(SUM(IF((GJ[Date]=$A$4)*(GJ[Ofc Code]=(TRIM(P$7)))*(GJ[Account Code]=(TRIM($D82))),GJ[Credit])))</f>
        <v>0</v>
      </c>
      <c r="Q82" s="211">
        <f t="array" ref="Q82">(SUM(IF((CkDJ[Date]=$A$4)*(CkDJ[Ofc Code]=(TRIM(Q$7)))*(CkDJ[Account Code]=(TRIM($D82))),CkDJ[Debit])))+(SUM(IF((CsDJ[Date]=$A$4)*(CsDJ[Ofc Code]=(TRIM(Q$7)))*(CsDJ[Account Code]=(TRIM($D82))),CsDJ[Debit])))+(SUM(IF((CRDJ[Date]=$A$4)*(CRDJ[Ofc Code]=(TRIM(Q$7)))*(CRDJ[Account Code]=(TRIM($D82))),CRDJ[Debit])))+(SUM(IF((GJ[Date]=$A$4)*(GJ[Ofc Code]=(TRIM(Q$7)))*(GJ[Account Code]=(TRIM($D82))),GJ[Debit])))-(SUM(IF((CkDJ[Date]=$A$4)*(CkDJ[Ofc Code]=(TRIM(Q$7)))*(CkDJ[Account Code]=(TRIM($D82))),CkDJ[Credit])))+(SUM(IF((CsDJ[Date]=$A$4)*(CsDJ[Ofc Code]=(TRIM(Q$7)))*(CsDJ[Account Code]=(TRIM($D82))),CsDJ[Credit])))+(SUM(IF((CRDJ[Date]=$A$4)*(CRDJ[Ofc Code]=(TRIM(Q$7)))*(CRDJ[Account Code]=(TRIM($D82))),CRDJ[Credit])))+(SUM(IF((GJ[Date]=$A$4)*(GJ[Ofc Code]=(TRIM(Q$7)))*(GJ[Account Code]=(TRIM($D82))),GJ[Credit])))</f>
        <v>0</v>
      </c>
      <c r="R82" s="211">
        <f t="array" ref="R82">(SUM(IF((CkDJ[Date]=$A$4)*(CkDJ[Ofc Code]=(TRIM(R$7)))*(CkDJ[Account Code]=(TRIM($D82))),CkDJ[Debit])))+(SUM(IF((CsDJ[Date]=$A$4)*(CsDJ[Ofc Code]=(TRIM(R$7)))*(CsDJ[Account Code]=(TRIM($D82))),CsDJ[Debit])))+(SUM(IF((CRDJ[Date]=$A$4)*(CRDJ[Ofc Code]=(TRIM(R$7)))*(CRDJ[Account Code]=(TRIM($D82))),CRDJ[Debit])))+(SUM(IF((GJ[Date]=$A$4)*(GJ[Ofc Code]=(TRIM(R$7)))*(GJ[Account Code]=(TRIM($D82))),GJ[Debit])))-(SUM(IF((CkDJ[Date]=$A$4)*(CkDJ[Ofc Code]=(TRIM(R$7)))*(CkDJ[Account Code]=(TRIM($D82))),CkDJ[Credit])))+(SUM(IF((CsDJ[Date]=$A$4)*(CsDJ[Ofc Code]=(TRIM(R$7)))*(CsDJ[Account Code]=(TRIM($D82))),CsDJ[Credit])))+(SUM(IF((CRDJ[Date]=$A$4)*(CRDJ[Ofc Code]=(TRIM(R$7)))*(CRDJ[Account Code]=(TRIM($D82))),CRDJ[Credit])))+(SUM(IF((GJ[Date]=$A$4)*(GJ[Ofc Code]=(TRIM(R$7)))*(GJ[Account Code]=(TRIM($D82))),GJ[Credit])))</f>
        <v>0</v>
      </c>
      <c r="S82" s="211">
        <f t="array" ref="S82">(SUM(IF((CkDJ[Date]=$A$4)*(CkDJ[Ofc Code]=(TRIM(S$7)))*(CkDJ[Account Code]=(TRIM($D82))),CkDJ[Debit])))+(SUM(IF((CsDJ[Date]=$A$4)*(CsDJ[Ofc Code]=(TRIM(S$7)))*(CsDJ[Account Code]=(TRIM($D82))),CsDJ[Debit])))+(SUM(IF((CRDJ[Date]=$A$4)*(CRDJ[Ofc Code]=(TRIM(S$7)))*(CRDJ[Account Code]=(TRIM($D82))),CRDJ[Debit])))+(SUM(IF((GJ[Date]=$A$4)*(GJ[Ofc Code]=(TRIM(S$7)))*(GJ[Account Code]=(TRIM($D82))),GJ[Debit])))-(SUM(IF((CkDJ[Date]=$A$4)*(CkDJ[Ofc Code]=(TRIM(S$7)))*(CkDJ[Account Code]=(TRIM($D82))),CkDJ[Credit])))+(SUM(IF((CsDJ[Date]=$A$4)*(CsDJ[Ofc Code]=(TRIM(S$7)))*(CsDJ[Account Code]=(TRIM($D82))),CsDJ[Credit])))+(SUM(IF((CRDJ[Date]=$A$4)*(CRDJ[Ofc Code]=(TRIM(S$7)))*(CRDJ[Account Code]=(TRIM($D82))),CRDJ[Credit])))+(SUM(IF((GJ[Date]=$A$4)*(GJ[Ofc Code]=(TRIM(S$7)))*(GJ[Account Code]=(TRIM($D82))),GJ[Credit])))</f>
        <v>0</v>
      </c>
      <c r="T82" s="211">
        <f t="shared" si="17"/>
        <v>0</v>
      </c>
      <c r="U82" s="211">
        <f t="shared" si="18"/>
        <v>0</v>
      </c>
    </row>
    <row r="83" spans="1:21" ht="15" x14ac:dyDescent="0.25">
      <c r="A83" s="212">
        <f t="shared" si="19"/>
        <v>25</v>
      </c>
      <c r="B83" s="194" t="s">
        <v>756</v>
      </c>
      <c r="C83" s="194" t="str">
        <f t="shared" si="14"/>
        <v>Repairs and Maintenance-Transportation Equipment - Other Transportation Equipment</v>
      </c>
      <c r="D83" s="207">
        <v>848</v>
      </c>
      <c r="E83" s="211">
        <f t="array" ref="E83">(SUM(IF((CkDJ[Date]=$A$4)*(CkDJ[Ofc Code]=(TRIM(E$7)))*(CkDJ[Account Code]=(TRIM($D83))),CkDJ[Debit])))+(SUM(IF((CsDJ[Date]=$A$4)*(CsDJ[Ofc Code]=(TRIM(E$7)))*(CsDJ[Account Code]=(TRIM($D83))),CsDJ[Debit])))+(SUM(IF((CRDJ[Date]=$A$4)*(CRDJ[Ofc Code]=(TRIM(E$7)))*(CRDJ[Account Code]=(TRIM($D83))),CRDJ[Debit])))+(SUM(IF((GJ[Date]=$A$4)*(GJ[Ofc Code]=(TRIM(E$7)))*(GJ[Account Code]=(TRIM($D83))),GJ[Debit])))-(SUM(IF((CkDJ[Date]=$A$4)*(CkDJ[Ofc Code]=(TRIM(E$7)))*(CkDJ[Account Code]=(TRIM($D83))),CkDJ[Credit])))+(SUM(IF((CsDJ[Date]=$A$4)*(CsDJ[Ofc Code]=(TRIM(E$7)))*(CsDJ[Account Code]=(TRIM($D83))),CsDJ[Credit])))+(SUM(IF((CRDJ[Date]=$A$4)*(CRDJ[Ofc Code]=(TRIM(E$7)))*(CRDJ[Account Code]=(TRIM($D83))),CRDJ[Credit])))+(SUM(IF((GJ[Date]=$A$4)*(GJ[Ofc Code]=(TRIM(E$7)))*(GJ[Account Code]=(TRIM($D83))),GJ[Credit])))</f>
        <v>0</v>
      </c>
      <c r="F83" s="211">
        <f t="array" ref="F83">(SUM(IF((CkDJ[Date]=$A$4)*(CkDJ[Ofc Code]=(TRIM(F$7)))*(CkDJ[Account Code]=(TRIM($D83))),CkDJ[Debit])))+(SUM(IF((CsDJ[Date]=$A$4)*(CsDJ[Ofc Code]=(TRIM(F$7)))*(CsDJ[Account Code]=(TRIM($D83))),CsDJ[Debit])))+(SUM(IF((CRDJ[Date]=$A$4)*(CRDJ[Ofc Code]=(TRIM(F$7)))*(CRDJ[Account Code]=(TRIM($D83))),CRDJ[Debit])))+(SUM(IF((GJ[Date]=$A$4)*(GJ[Ofc Code]=(TRIM(F$7)))*(GJ[Account Code]=(TRIM($D83))),GJ[Debit])))-(SUM(IF((CkDJ[Date]=$A$4)*(CkDJ[Ofc Code]=(TRIM(F$7)))*(CkDJ[Account Code]=(TRIM($D83))),CkDJ[Credit])))+(SUM(IF((CsDJ[Date]=$A$4)*(CsDJ[Ofc Code]=(TRIM(F$7)))*(CsDJ[Account Code]=(TRIM($D83))),CsDJ[Credit])))+(SUM(IF((CRDJ[Date]=$A$4)*(CRDJ[Ofc Code]=(TRIM(F$7)))*(CRDJ[Account Code]=(TRIM($D83))),CRDJ[Credit])))+(SUM(IF((GJ[Date]=$A$4)*(GJ[Ofc Code]=(TRIM(F$7)))*(GJ[Account Code]=(TRIM($D83))),GJ[Credit])))</f>
        <v>0</v>
      </c>
      <c r="G83" s="211">
        <f t="array" ref="G83">(SUM(IF((CkDJ[Date]=$A$4)*(CkDJ[Ofc Code]=(TRIM(G$7)))*(CkDJ[Account Code]=(TRIM($D83))),CkDJ[Debit])))+(SUM(IF((CsDJ[Date]=$A$4)*(CsDJ[Ofc Code]=(TRIM(G$7)))*(CsDJ[Account Code]=(TRIM($D83))),CsDJ[Debit])))+(SUM(IF((CRDJ[Date]=$A$4)*(CRDJ[Ofc Code]=(TRIM(G$7)))*(CRDJ[Account Code]=(TRIM($D83))),CRDJ[Debit])))+(SUM(IF((GJ[Date]=$A$4)*(GJ[Ofc Code]=(TRIM(G$7)))*(GJ[Account Code]=(TRIM($D83))),GJ[Debit])))-(SUM(IF((CkDJ[Date]=$A$4)*(CkDJ[Ofc Code]=(TRIM(G$7)))*(CkDJ[Account Code]=(TRIM($D83))),CkDJ[Credit])))+(SUM(IF((CsDJ[Date]=$A$4)*(CsDJ[Ofc Code]=(TRIM(G$7)))*(CsDJ[Account Code]=(TRIM($D83))),CsDJ[Credit])))+(SUM(IF((CRDJ[Date]=$A$4)*(CRDJ[Ofc Code]=(TRIM(G$7)))*(CRDJ[Account Code]=(TRIM($D83))),CRDJ[Credit])))+(SUM(IF((GJ[Date]=$A$4)*(GJ[Ofc Code]=(TRIM(G$7)))*(GJ[Account Code]=(TRIM($D83))),GJ[Credit])))</f>
        <v>0</v>
      </c>
      <c r="H83" s="211">
        <f t="array" ref="H83">(SUM(IF((CkDJ[Date]=$A$4)*(CkDJ[Ofc Code]=(TRIM(H$7)))*(CkDJ[Account Code]=(TRIM($D83))),CkDJ[Debit])))+(SUM(IF((CsDJ[Date]=$A$4)*(CsDJ[Ofc Code]=(TRIM(H$7)))*(CsDJ[Account Code]=(TRIM($D83))),CsDJ[Debit])))+(SUM(IF((CRDJ[Date]=$A$4)*(CRDJ[Ofc Code]=(TRIM(H$7)))*(CRDJ[Account Code]=(TRIM($D83))),CRDJ[Debit])))+(SUM(IF((GJ[Date]=$A$4)*(GJ[Ofc Code]=(TRIM(H$7)))*(GJ[Account Code]=(TRIM($D83))),GJ[Debit])))-(SUM(IF((CkDJ[Date]=$A$4)*(CkDJ[Ofc Code]=(TRIM(H$7)))*(CkDJ[Account Code]=(TRIM($D83))),CkDJ[Credit])))+(SUM(IF((CsDJ[Date]=$A$4)*(CsDJ[Ofc Code]=(TRIM(H$7)))*(CsDJ[Account Code]=(TRIM($D83))),CsDJ[Credit])))+(SUM(IF((CRDJ[Date]=$A$4)*(CRDJ[Ofc Code]=(TRIM(H$7)))*(CRDJ[Account Code]=(TRIM($D83))),CRDJ[Credit])))+(SUM(IF((GJ[Date]=$A$4)*(GJ[Ofc Code]=(TRIM(H$7)))*(GJ[Account Code]=(TRIM($D83))),GJ[Credit])))</f>
        <v>0</v>
      </c>
      <c r="I83" s="211">
        <f t="shared" si="15"/>
        <v>0</v>
      </c>
      <c r="J83" s="211">
        <f t="array" ref="J83">(SUM(IF((CkDJ[Date]=$A$4)*(CkDJ[Ofc Code]=(TRIM(J$7)))*(CkDJ[Account Code]=(TRIM($D83))),CkDJ[Debit])))+(SUM(IF((CsDJ[Date]=$A$4)*(CsDJ[Ofc Code]=(TRIM(J$7)))*(CsDJ[Account Code]=(TRIM($D83))),CsDJ[Debit])))+(SUM(IF((CRDJ[Date]=$A$4)*(CRDJ[Ofc Code]=(TRIM(J$7)))*(CRDJ[Account Code]=(TRIM($D83))),CRDJ[Debit])))+(SUM(IF((GJ[Date]=$A$4)*(GJ[Ofc Code]=(TRIM(J$7)))*(GJ[Account Code]=(TRIM($D83))),GJ[Debit])))-(SUM(IF((CkDJ[Date]=$A$4)*(CkDJ[Ofc Code]=(TRIM(J$7)))*(CkDJ[Account Code]=(TRIM($D83))),CkDJ[Credit])))+(SUM(IF((CsDJ[Date]=$A$4)*(CsDJ[Ofc Code]=(TRIM(J$7)))*(CsDJ[Account Code]=(TRIM($D83))),CsDJ[Credit])))+(SUM(IF((CRDJ[Date]=$A$4)*(CRDJ[Ofc Code]=(TRIM(J$7)))*(CRDJ[Account Code]=(TRIM($D83))),CRDJ[Credit])))+(SUM(IF((GJ[Date]=$A$4)*(GJ[Ofc Code]=(TRIM(J$7)))*(GJ[Account Code]=(TRIM($D83))),GJ[Credit])))</f>
        <v>0</v>
      </c>
      <c r="K83" s="211">
        <f t="array" ref="K83">(SUM(IF((CkDJ[Date]=$A$4)*(CkDJ[Ofc Code]=(TRIM(K$7)))*(CkDJ[Account Code]=(TRIM($D83))),CkDJ[Debit])))+(SUM(IF((CsDJ[Date]=$A$4)*(CsDJ[Ofc Code]=(TRIM(K$7)))*(CsDJ[Account Code]=(TRIM($D83))),CsDJ[Debit])))+(SUM(IF((CRDJ[Date]=$A$4)*(CRDJ[Ofc Code]=(TRIM(K$7)))*(CRDJ[Account Code]=(TRIM($D83))),CRDJ[Debit])))+(SUM(IF((GJ[Date]=$A$4)*(GJ[Ofc Code]=(TRIM(K$7)))*(GJ[Account Code]=(TRIM($D83))),GJ[Debit])))-(SUM(IF((CkDJ[Date]=$A$4)*(CkDJ[Ofc Code]=(TRIM(K$7)))*(CkDJ[Account Code]=(TRIM($D83))),CkDJ[Credit])))+(SUM(IF((CsDJ[Date]=$A$4)*(CsDJ[Ofc Code]=(TRIM(K$7)))*(CsDJ[Account Code]=(TRIM($D83))),CsDJ[Credit])))+(SUM(IF((CRDJ[Date]=$A$4)*(CRDJ[Ofc Code]=(TRIM(K$7)))*(CRDJ[Account Code]=(TRIM($D83))),CRDJ[Credit])))+(SUM(IF((GJ[Date]=$A$4)*(GJ[Ofc Code]=(TRIM(K$7)))*(GJ[Account Code]=(TRIM($D83))),GJ[Credit])))</f>
        <v>0</v>
      </c>
      <c r="L83" s="211">
        <f t="array" ref="L83">(SUM(IF((CkDJ[Date]=$A$4)*(CkDJ[Ofc Code]=(TRIM(L$7)))*(CkDJ[Account Code]=(TRIM($D83))),CkDJ[Debit])))+(SUM(IF((CsDJ[Date]=$A$4)*(CsDJ[Ofc Code]=(TRIM(L$7)))*(CsDJ[Account Code]=(TRIM($D83))),CsDJ[Debit])))+(SUM(IF((CRDJ[Date]=$A$4)*(CRDJ[Ofc Code]=(TRIM(L$7)))*(CRDJ[Account Code]=(TRIM($D83))),CRDJ[Debit])))+(SUM(IF((GJ[Date]=$A$4)*(GJ[Ofc Code]=(TRIM(L$7)))*(GJ[Account Code]=(TRIM($D83))),GJ[Debit])))-(SUM(IF((CkDJ[Date]=$A$4)*(CkDJ[Ofc Code]=(TRIM(L$7)))*(CkDJ[Account Code]=(TRIM($D83))),CkDJ[Credit])))+(SUM(IF((CsDJ[Date]=$A$4)*(CsDJ[Ofc Code]=(TRIM(L$7)))*(CsDJ[Account Code]=(TRIM($D83))),CsDJ[Credit])))+(SUM(IF((CRDJ[Date]=$A$4)*(CRDJ[Ofc Code]=(TRIM(L$7)))*(CRDJ[Account Code]=(TRIM($D83))),CRDJ[Credit])))+(SUM(IF((GJ[Date]=$A$4)*(GJ[Ofc Code]=(TRIM(L$7)))*(GJ[Account Code]=(TRIM($D83))),GJ[Credit])))</f>
        <v>0</v>
      </c>
      <c r="M83" s="211">
        <f t="array" ref="M83">(SUM(IF((CkDJ[Date]=$A$4)*(CkDJ[Ofc Code]=(TRIM(M$7)))*(CkDJ[Account Code]=(TRIM($D83))),CkDJ[Debit])))+(SUM(IF((CsDJ[Date]=$A$4)*(CsDJ[Ofc Code]=(TRIM(M$7)))*(CsDJ[Account Code]=(TRIM($D83))),CsDJ[Debit])))+(SUM(IF((CRDJ[Date]=$A$4)*(CRDJ[Ofc Code]=(TRIM(M$7)))*(CRDJ[Account Code]=(TRIM($D83))),CRDJ[Debit])))+(SUM(IF((GJ[Date]=$A$4)*(GJ[Ofc Code]=(TRIM(M$7)))*(GJ[Account Code]=(TRIM($D83))),GJ[Debit])))-(SUM(IF((CkDJ[Date]=$A$4)*(CkDJ[Ofc Code]=(TRIM(M$7)))*(CkDJ[Account Code]=(TRIM($D83))),CkDJ[Credit])))+(SUM(IF((CsDJ[Date]=$A$4)*(CsDJ[Ofc Code]=(TRIM(M$7)))*(CsDJ[Account Code]=(TRIM($D83))),CsDJ[Credit])))+(SUM(IF((CRDJ[Date]=$A$4)*(CRDJ[Ofc Code]=(TRIM(M$7)))*(CRDJ[Account Code]=(TRIM($D83))),CRDJ[Credit])))+(SUM(IF((GJ[Date]=$A$4)*(GJ[Ofc Code]=(TRIM(M$7)))*(GJ[Account Code]=(TRIM($D83))),GJ[Credit])))</f>
        <v>0</v>
      </c>
      <c r="N83" s="211">
        <f t="shared" si="16"/>
        <v>0</v>
      </c>
      <c r="O83" s="211">
        <f t="array" ref="O83">(SUM(IF((CkDJ[Date]=$A$4)*(CkDJ[Ofc Code]=(TRIM(O$7)))*(CkDJ[Account Code]=(TRIM($D83))),CkDJ[Debit])))+(SUM(IF((CsDJ[Date]=$A$4)*(CsDJ[Ofc Code]=(TRIM(O$7)))*(CsDJ[Account Code]=(TRIM($D83))),CsDJ[Debit])))+(SUM(IF((CRDJ[Date]=$A$4)*(CRDJ[Ofc Code]=(TRIM(O$7)))*(CRDJ[Account Code]=(TRIM($D83))),CRDJ[Debit])))+(SUM(IF((GJ[Date]=$A$4)*(GJ[Ofc Code]=(TRIM(O$7)))*(GJ[Account Code]=(TRIM($D83))),GJ[Debit])))-(SUM(IF((CkDJ[Date]=$A$4)*(CkDJ[Ofc Code]=(TRIM(O$7)))*(CkDJ[Account Code]=(TRIM($D83))),CkDJ[Credit])))+(SUM(IF((CsDJ[Date]=$A$4)*(CsDJ[Ofc Code]=(TRIM(O$7)))*(CsDJ[Account Code]=(TRIM($D83))),CsDJ[Credit])))+(SUM(IF((CRDJ[Date]=$A$4)*(CRDJ[Ofc Code]=(TRIM(O$7)))*(CRDJ[Account Code]=(TRIM($D83))),CRDJ[Credit])))+(SUM(IF((GJ[Date]=$A$4)*(GJ[Ofc Code]=(TRIM(O$7)))*(GJ[Account Code]=(TRIM($D83))),GJ[Credit])))</f>
        <v>0</v>
      </c>
      <c r="P83" s="211">
        <f t="array" ref="P83">(SUM(IF((CkDJ[Date]=$A$4)*(CkDJ[Ofc Code]=(TRIM(P$7)))*(CkDJ[Account Code]=(TRIM($D83))),CkDJ[Debit])))+(SUM(IF((CsDJ[Date]=$A$4)*(CsDJ[Ofc Code]=(TRIM(P$7)))*(CsDJ[Account Code]=(TRIM($D83))),CsDJ[Debit])))+(SUM(IF((CRDJ[Date]=$A$4)*(CRDJ[Ofc Code]=(TRIM(P$7)))*(CRDJ[Account Code]=(TRIM($D83))),CRDJ[Debit])))+(SUM(IF((GJ[Date]=$A$4)*(GJ[Ofc Code]=(TRIM(P$7)))*(GJ[Account Code]=(TRIM($D83))),GJ[Debit])))-(SUM(IF((CkDJ[Date]=$A$4)*(CkDJ[Ofc Code]=(TRIM(P$7)))*(CkDJ[Account Code]=(TRIM($D83))),CkDJ[Credit])))+(SUM(IF((CsDJ[Date]=$A$4)*(CsDJ[Ofc Code]=(TRIM(P$7)))*(CsDJ[Account Code]=(TRIM($D83))),CsDJ[Credit])))+(SUM(IF((CRDJ[Date]=$A$4)*(CRDJ[Ofc Code]=(TRIM(P$7)))*(CRDJ[Account Code]=(TRIM($D83))),CRDJ[Credit])))+(SUM(IF((GJ[Date]=$A$4)*(GJ[Ofc Code]=(TRIM(P$7)))*(GJ[Account Code]=(TRIM($D83))),GJ[Credit])))</f>
        <v>0</v>
      </c>
      <c r="Q83" s="211">
        <f t="array" ref="Q83">(SUM(IF((CkDJ[Date]=$A$4)*(CkDJ[Ofc Code]=(TRIM(Q$7)))*(CkDJ[Account Code]=(TRIM($D83))),CkDJ[Debit])))+(SUM(IF((CsDJ[Date]=$A$4)*(CsDJ[Ofc Code]=(TRIM(Q$7)))*(CsDJ[Account Code]=(TRIM($D83))),CsDJ[Debit])))+(SUM(IF((CRDJ[Date]=$A$4)*(CRDJ[Ofc Code]=(TRIM(Q$7)))*(CRDJ[Account Code]=(TRIM($D83))),CRDJ[Debit])))+(SUM(IF((GJ[Date]=$A$4)*(GJ[Ofc Code]=(TRIM(Q$7)))*(GJ[Account Code]=(TRIM($D83))),GJ[Debit])))-(SUM(IF((CkDJ[Date]=$A$4)*(CkDJ[Ofc Code]=(TRIM(Q$7)))*(CkDJ[Account Code]=(TRIM($D83))),CkDJ[Credit])))+(SUM(IF((CsDJ[Date]=$A$4)*(CsDJ[Ofc Code]=(TRIM(Q$7)))*(CsDJ[Account Code]=(TRIM($D83))),CsDJ[Credit])))+(SUM(IF((CRDJ[Date]=$A$4)*(CRDJ[Ofc Code]=(TRIM(Q$7)))*(CRDJ[Account Code]=(TRIM($D83))),CRDJ[Credit])))+(SUM(IF((GJ[Date]=$A$4)*(GJ[Ofc Code]=(TRIM(Q$7)))*(GJ[Account Code]=(TRIM($D83))),GJ[Credit])))</f>
        <v>0</v>
      </c>
      <c r="R83" s="211">
        <f t="array" ref="R83">(SUM(IF((CkDJ[Date]=$A$4)*(CkDJ[Ofc Code]=(TRIM(R$7)))*(CkDJ[Account Code]=(TRIM($D83))),CkDJ[Debit])))+(SUM(IF((CsDJ[Date]=$A$4)*(CsDJ[Ofc Code]=(TRIM(R$7)))*(CsDJ[Account Code]=(TRIM($D83))),CsDJ[Debit])))+(SUM(IF((CRDJ[Date]=$A$4)*(CRDJ[Ofc Code]=(TRIM(R$7)))*(CRDJ[Account Code]=(TRIM($D83))),CRDJ[Debit])))+(SUM(IF((GJ[Date]=$A$4)*(GJ[Ofc Code]=(TRIM(R$7)))*(GJ[Account Code]=(TRIM($D83))),GJ[Debit])))-(SUM(IF((CkDJ[Date]=$A$4)*(CkDJ[Ofc Code]=(TRIM(R$7)))*(CkDJ[Account Code]=(TRIM($D83))),CkDJ[Credit])))+(SUM(IF((CsDJ[Date]=$A$4)*(CsDJ[Ofc Code]=(TRIM(R$7)))*(CsDJ[Account Code]=(TRIM($D83))),CsDJ[Credit])))+(SUM(IF((CRDJ[Date]=$A$4)*(CRDJ[Ofc Code]=(TRIM(R$7)))*(CRDJ[Account Code]=(TRIM($D83))),CRDJ[Credit])))+(SUM(IF((GJ[Date]=$A$4)*(GJ[Ofc Code]=(TRIM(R$7)))*(GJ[Account Code]=(TRIM($D83))),GJ[Credit])))</f>
        <v>0</v>
      </c>
      <c r="S83" s="211">
        <f t="array" ref="S83">(SUM(IF((CkDJ[Date]=$A$4)*(CkDJ[Ofc Code]=(TRIM(S$7)))*(CkDJ[Account Code]=(TRIM($D83))),CkDJ[Debit])))+(SUM(IF((CsDJ[Date]=$A$4)*(CsDJ[Ofc Code]=(TRIM(S$7)))*(CsDJ[Account Code]=(TRIM($D83))),CsDJ[Debit])))+(SUM(IF((CRDJ[Date]=$A$4)*(CRDJ[Ofc Code]=(TRIM(S$7)))*(CRDJ[Account Code]=(TRIM($D83))),CRDJ[Debit])))+(SUM(IF((GJ[Date]=$A$4)*(GJ[Ofc Code]=(TRIM(S$7)))*(GJ[Account Code]=(TRIM($D83))),GJ[Debit])))-(SUM(IF((CkDJ[Date]=$A$4)*(CkDJ[Ofc Code]=(TRIM(S$7)))*(CkDJ[Account Code]=(TRIM($D83))),CkDJ[Credit])))+(SUM(IF((CsDJ[Date]=$A$4)*(CsDJ[Ofc Code]=(TRIM(S$7)))*(CsDJ[Account Code]=(TRIM($D83))),CsDJ[Credit])))+(SUM(IF((CRDJ[Date]=$A$4)*(CRDJ[Ofc Code]=(TRIM(S$7)))*(CRDJ[Account Code]=(TRIM($D83))),CRDJ[Credit])))+(SUM(IF((GJ[Date]=$A$4)*(GJ[Ofc Code]=(TRIM(S$7)))*(GJ[Account Code]=(TRIM($D83))),GJ[Credit])))</f>
        <v>0</v>
      </c>
      <c r="T83" s="211">
        <f t="shared" si="17"/>
        <v>0</v>
      </c>
      <c r="U83" s="211">
        <f t="shared" si="18"/>
        <v>0</v>
      </c>
    </row>
    <row r="84" spans="1:21" ht="15" x14ac:dyDescent="0.25">
      <c r="A84" s="212">
        <f t="shared" si="19"/>
        <v>26</v>
      </c>
      <c r="B84" s="194" t="s">
        <v>756</v>
      </c>
      <c r="C84" s="194" t="str">
        <f t="shared" ref="C84:C89" si="20">IF(D84=0,"",(VLOOKUP((TRIM(D84)),Code,2,)))</f>
        <v>Repairs and Maintenance-Other Property, Plant and Equipment - Other Property, Plant and Equipment</v>
      </c>
      <c r="D84" s="207">
        <v>850</v>
      </c>
      <c r="E84" s="211">
        <f t="array" ref="E84">(SUM(IF((CkDJ[Date]=$A$4)*(CkDJ[Ofc Code]=(TRIM(E$7)))*(CkDJ[Account Code]=(TRIM($D84))),CkDJ[Debit])))+(SUM(IF((CsDJ[Date]=$A$4)*(CsDJ[Ofc Code]=(TRIM(E$7)))*(CsDJ[Account Code]=(TRIM($D84))),CsDJ[Debit])))+(SUM(IF((CRDJ[Date]=$A$4)*(CRDJ[Ofc Code]=(TRIM(E$7)))*(CRDJ[Account Code]=(TRIM($D84))),CRDJ[Debit])))+(SUM(IF((GJ[Date]=$A$4)*(GJ[Ofc Code]=(TRIM(E$7)))*(GJ[Account Code]=(TRIM($D84))),GJ[Debit])))-(SUM(IF((CkDJ[Date]=$A$4)*(CkDJ[Ofc Code]=(TRIM(E$7)))*(CkDJ[Account Code]=(TRIM($D84))),CkDJ[Credit])))+(SUM(IF((CsDJ[Date]=$A$4)*(CsDJ[Ofc Code]=(TRIM(E$7)))*(CsDJ[Account Code]=(TRIM($D84))),CsDJ[Credit])))+(SUM(IF((CRDJ[Date]=$A$4)*(CRDJ[Ofc Code]=(TRIM(E$7)))*(CRDJ[Account Code]=(TRIM($D84))),CRDJ[Credit])))+(SUM(IF((GJ[Date]=$A$4)*(GJ[Ofc Code]=(TRIM(E$7)))*(GJ[Account Code]=(TRIM($D84))),GJ[Credit])))</f>
        <v>0</v>
      </c>
      <c r="F84" s="211">
        <f t="array" ref="F84">(SUM(IF((CkDJ[Date]=$A$4)*(CkDJ[Ofc Code]=(TRIM(F$7)))*(CkDJ[Account Code]=(TRIM($D84))),CkDJ[Debit])))+(SUM(IF((CsDJ[Date]=$A$4)*(CsDJ[Ofc Code]=(TRIM(F$7)))*(CsDJ[Account Code]=(TRIM($D84))),CsDJ[Debit])))+(SUM(IF((CRDJ[Date]=$A$4)*(CRDJ[Ofc Code]=(TRIM(F$7)))*(CRDJ[Account Code]=(TRIM($D84))),CRDJ[Debit])))+(SUM(IF((GJ[Date]=$A$4)*(GJ[Ofc Code]=(TRIM(F$7)))*(GJ[Account Code]=(TRIM($D84))),GJ[Debit])))-(SUM(IF((CkDJ[Date]=$A$4)*(CkDJ[Ofc Code]=(TRIM(F$7)))*(CkDJ[Account Code]=(TRIM($D84))),CkDJ[Credit])))+(SUM(IF((CsDJ[Date]=$A$4)*(CsDJ[Ofc Code]=(TRIM(F$7)))*(CsDJ[Account Code]=(TRIM($D84))),CsDJ[Credit])))+(SUM(IF((CRDJ[Date]=$A$4)*(CRDJ[Ofc Code]=(TRIM(F$7)))*(CRDJ[Account Code]=(TRIM($D84))),CRDJ[Credit])))+(SUM(IF((GJ[Date]=$A$4)*(GJ[Ofc Code]=(TRIM(F$7)))*(GJ[Account Code]=(TRIM($D84))),GJ[Credit])))</f>
        <v>0</v>
      </c>
      <c r="G84" s="211">
        <f t="array" ref="G84">(SUM(IF((CkDJ[Date]=$A$4)*(CkDJ[Ofc Code]=(TRIM(G$7)))*(CkDJ[Account Code]=(TRIM($D84))),CkDJ[Debit])))+(SUM(IF((CsDJ[Date]=$A$4)*(CsDJ[Ofc Code]=(TRIM(G$7)))*(CsDJ[Account Code]=(TRIM($D84))),CsDJ[Debit])))+(SUM(IF((CRDJ[Date]=$A$4)*(CRDJ[Ofc Code]=(TRIM(G$7)))*(CRDJ[Account Code]=(TRIM($D84))),CRDJ[Debit])))+(SUM(IF((GJ[Date]=$A$4)*(GJ[Ofc Code]=(TRIM(G$7)))*(GJ[Account Code]=(TRIM($D84))),GJ[Debit])))-(SUM(IF((CkDJ[Date]=$A$4)*(CkDJ[Ofc Code]=(TRIM(G$7)))*(CkDJ[Account Code]=(TRIM($D84))),CkDJ[Credit])))+(SUM(IF((CsDJ[Date]=$A$4)*(CsDJ[Ofc Code]=(TRIM(G$7)))*(CsDJ[Account Code]=(TRIM($D84))),CsDJ[Credit])))+(SUM(IF((CRDJ[Date]=$A$4)*(CRDJ[Ofc Code]=(TRIM(G$7)))*(CRDJ[Account Code]=(TRIM($D84))),CRDJ[Credit])))+(SUM(IF((GJ[Date]=$A$4)*(GJ[Ofc Code]=(TRIM(G$7)))*(GJ[Account Code]=(TRIM($D84))),GJ[Credit])))</f>
        <v>0</v>
      </c>
      <c r="H84" s="211">
        <f t="array" ref="H84">(SUM(IF((CkDJ[Date]=$A$4)*(CkDJ[Ofc Code]=(TRIM(H$7)))*(CkDJ[Account Code]=(TRIM($D84))),CkDJ[Debit])))+(SUM(IF((CsDJ[Date]=$A$4)*(CsDJ[Ofc Code]=(TRIM(H$7)))*(CsDJ[Account Code]=(TRIM($D84))),CsDJ[Debit])))+(SUM(IF((CRDJ[Date]=$A$4)*(CRDJ[Ofc Code]=(TRIM(H$7)))*(CRDJ[Account Code]=(TRIM($D84))),CRDJ[Debit])))+(SUM(IF((GJ[Date]=$A$4)*(GJ[Ofc Code]=(TRIM(H$7)))*(GJ[Account Code]=(TRIM($D84))),GJ[Debit])))-(SUM(IF((CkDJ[Date]=$A$4)*(CkDJ[Ofc Code]=(TRIM(H$7)))*(CkDJ[Account Code]=(TRIM($D84))),CkDJ[Credit])))+(SUM(IF((CsDJ[Date]=$A$4)*(CsDJ[Ofc Code]=(TRIM(H$7)))*(CsDJ[Account Code]=(TRIM($D84))),CsDJ[Credit])))+(SUM(IF((CRDJ[Date]=$A$4)*(CRDJ[Ofc Code]=(TRIM(H$7)))*(CRDJ[Account Code]=(TRIM($D84))),CRDJ[Credit])))+(SUM(IF((GJ[Date]=$A$4)*(GJ[Ofc Code]=(TRIM(H$7)))*(GJ[Account Code]=(TRIM($D84))),GJ[Credit])))</f>
        <v>0</v>
      </c>
      <c r="I84" s="211">
        <f t="shared" ref="I84:I89" si="21">SUM(F84:H84)</f>
        <v>0</v>
      </c>
      <c r="J84" s="211">
        <f t="array" ref="J84">(SUM(IF((CkDJ[Date]=$A$4)*(CkDJ[Ofc Code]=(TRIM(J$7)))*(CkDJ[Account Code]=(TRIM($D84))),CkDJ[Debit])))+(SUM(IF((CsDJ[Date]=$A$4)*(CsDJ[Ofc Code]=(TRIM(J$7)))*(CsDJ[Account Code]=(TRIM($D84))),CsDJ[Debit])))+(SUM(IF((CRDJ[Date]=$A$4)*(CRDJ[Ofc Code]=(TRIM(J$7)))*(CRDJ[Account Code]=(TRIM($D84))),CRDJ[Debit])))+(SUM(IF((GJ[Date]=$A$4)*(GJ[Ofc Code]=(TRIM(J$7)))*(GJ[Account Code]=(TRIM($D84))),GJ[Debit])))-(SUM(IF((CkDJ[Date]=$A$4)*(CkDJ[Ofc Code]=(TRIM(J$7)))*(CkDJ[Account Code]=(TRIM($D84))),CkDJ[Credit])))+(SUM(IF((CsDJ[Date]=$A$4)*(CsDJ[Ofc Code]=(TRIM(J$7)))*(CsDJ[Account Code]=(TRIM($D84))),CsDJ[Credit])))+(SUM(IF((CRDJ[Date]=$A$4)*(CRDJ[Ofc Code]=(TRIM(J$7)))*(CRDJ[Account Code]=(TRIM($D84))),CRDJ[Credit])))+(SUM(IF((GJ[Date]=$A$4)*(GJ[Ofc Code]=(TRIM(J$7)))*(GJ[Account Code]=(TRIM($D84))),GJ[Credit])))</f>
        <v>0</v>
      </c>
      <c r="K84" s="211">
        <f t="array" ref="K84">(SUM(IF((CkDJ[Date]=$A$4)*(CkDJ[Ofc Code]=(TRIM(K$7)))*(CkDJ[Account Code]=(TRIM($D84))),CkDJ[Debit])))+(SUM(IF((CsDJ[Date]=$A$4)*(CsDJ[Ofc Code]=(TRIM(K$7)))*(CsDJ[Account Code]=(TRIM($D84))),CsDJ[Debit])))+(SUM(IF((CRDJ[Date]=$A$4)*(CRDJ[Ofc Code]=(TRIM(K$7)))*(CRDJ[Account Code]=(TRIM($D84))),CRDJ[Debit])))+(SUM(IF((GJ[Date]=$A$4)*(GJ[Ofc Code]=(TRIM(K$7)))*(GJ[Account Code]=(TRIM($D84))),GJ[Debit])))-(SUM(IF((CkDJ[Date]=$A$4)*(CkDJ[Ofc Code]=(TRIM(K$7)))*(CkDJ[Account Code]=(TRIM($D84))),CkDJ[Credit])))+(SUM(IF((CsDJ[Date]=$A$4)*(CsDJ[Ofc Code]=(TRIM(K$7)))*(CsDJ[Account Code]=(TRIM($D84))),CsDJ[Credit])))+(SUM(IF((CRDJ[Date]=$A$4)*(CRDJ[Ofc Code]=(TRIM(K$7)))*(CRDJ[Account Code]=(TRIM($D84))),CRDJ[Credit])))+(SUM(IF((GJ[Date]=$A$4)*(GJ[Ofc Code]=(TRIM(K$7)))*(GJ[Account Code]=(TRIM($D84))),GJ[Credit])))</f>
        <v>0</v>
      </c>
      <c r="L84" s="211">
        <f t="array" ref="L84">(SUM(IF((CkDJ[Date]=$A$4)*(CkDJ[Ofc Code]=(TRIM(L$7)))*(CkDJ[Account Code]=(TRIM($D84))),CkDJ[Debit])))+(SUM(IF((CsDJ[Date]=$A$4)*(CsDJ[Ofc Code]=(TRIM(L$7)))*(CsDJ[Account Code]=(TRIM($D84))),CsDJ[Debit])))+(SUM(IF((CRDJ[Date]=$A$4)*(CRDJ[Ofc Code]=(TRIM(L$7)))*(CRDJ[Account Code]=(TRIM($D84))),CRDJ[Debit])))+(SUM(IF((GJ[Date]=$A$4)*(GJ[Ofc Code]=(TRIM(L$7)))*(GJ[Account Code]=(TRIM($D84))),GJ[Debit])))-(SUM(IF((CkDJ[Date]=$A$4)*(CkDJ[Ofc Code]=(TRIM(L$7)))*(CkDJ[Account Code]=(TRIM($D84))),CkDJ[Credit])))+(SUM(IF((CsDJ[Date]=$A$4)*(CsDJ[Ofc Code]=(TRIM(L$7)))*(CsDJ[Account Code]=(TRIM($D84))),CsDJ[Credit])))+(SUM(IF((CRDJ[Date]=$A$4)*(CRDJ[Ofc Code]=(TRIM(L$7)))*(CRDJ[Account Code]=(TRIM($D84))),CRDJ[Credit])))+(SUM(IF((GJ[Date]=$A$4)*(GJ[Ofc Code]=(TRIM(L$7)))*(GJ[Account Code]=(TRIM($D84))),GJ[Credit])))</f>
        <v>0</v>
      </c>
      <c r="M84" s="211">
        <f t="array" ref="M84">(SUM(IF((CkDJ[Date]=$A$4)*(CkDJ[Ofc Code]=(TRIM(M$7)))*(CkDJ[Account Code]=(TRIM($D84))),CkDJ[Debit])))+(SUM(IF((CsDJ[Date]=$A$4)*(CsDJ[Ofc Code]=(TRIM(M$7)))*(CsDJ[Account Code]=(TRIM($D84))),CsDJ[Debit])))+(SUM(IF((CRDJ[Date]=$A$4)*(CRDJ[Ofc Code]=(TRIM(M$7)))*(CRDJ[Account Code]=(TRIM($D84))),CRDJ[Debit])))+(SUM(IF((GJ[Date]=$A$4)*(GJ[Ofc Code]=(TRIM(M$7)))*(GJ[Account Code]=(TRIM($D84))),GJ[Debit])))-(SUM(IF((CkDJ[Date]=$A$4)*(CkDJ[Ofc Code]=(TRIM(M$7)))*(CkDJ[Account Code]=(TRIM($D84))),CkDJ[Credit])))+(SUM(IF((CsDJ[Date]=$A$4)*(CsDJ[Ofc Code]=(TRIM(M$7)))*(CsDJ[Account Code]=(TRIM($D84))),CsDJ[Credit])))+(SUM(IF((CRDJ[Date]=$A$4)*(CRDJ[Ofc Code]=(TRIM(M$7)))*(CRDJ[Account Code]=(TRIM($D84))),CRDJ[Credit])))+(SUM(IF((GJ[Date]=$A$4)*(GJ[Ofc Code]=(TRIM(M$7)))*(GJ[Account Code]=(TRIM($D84))),GJ[Credit])))</f>
        <v>0</v>
      </c>
      <c r="N84" s="211">
        <f t="shared" ref="N84:N89" si="22">SUM(J84:M84)</f>
        <v>0</v>
      </c>
      <c r="O84" s="211">
        <f t="array" ref="O84">(SUM(IF((CkDJ[Date]=$A$4)*(CkDJ[Ofc Code]=(TRIM(O$7)))*(CkDJ[Account Code]=(TRIM($D84))),CkDJ[Debit])))+(SUM(IF((CsDJ[Date]=$A$4)*(CsDJ[Ofc Code]=(TRIM(O$7)))*(CsDJ[Account Code]=(TRIM($D84))),CsDJ[Debit])))+(SUM(IF((CRDJ[Date]=$A$4)*(CRDJ[Ofc Code]=(TRIM(O$7)))*(CRDJ[Account Code]=(TRIM($D84))),CRDJ[Debit])))+(SUM(IF((GJ[Date]=$A$4)*(GJ[Ofc Code]=(TRIM(O$7)))*(GJ[Account Code]=(TRIM($D84))),GJ[Debit])))-(SUM(IF((CkDJ[Date]=$A$4)*(CkDJ[Ofc Code]=(TRIM(O$7)))*(CkDJ[Account Code]=(TRIM($D84))),CkDJ[Credit])))+(SUM(IF((CsDJ[Date]=$A$4)*(CsDJ[Ofc Code]=(TRIM(O$7)))*(CsDJ[Account Code]=(TRIM($D84))),CsDJ[Credit])))+(SUM(IF((CRDJ[Date]=$A$4)*(CRDJ[Ofc Code]=(TRIM(O$7)))*(CRDJ[Account Code]=(TRIM($D84))),CRDJ[Credit])))+(SUM(IF((GJ[Date]=$A$4)*(GJ[Ofc Code]=(TRIM(O$7)))*(GJ[Account Code]=(TRIM($D84))),GJ[Credit])))</f>
        <v>0</v>
      </c>
      <c r="P84" s="211">
        <f t="array" ref="P84">(SUM(IF((CkDJ[Date]=$A$4)*(CkDJ[Ofc Code]=(TRIM(P$7)))*(CkDJ[Account Code]=(TRIM($D84))),CkDJ[Debit])))+(SUM(IF((CsDJ[Date]=$A$4)*(CsDJ[Ofc Code]=(TRIM(P$7)))*(CsDJ[Account Code]=(TRIM($D84))),CsDJ[Debit])))+(SUM(IF((CRDJ[Date]=$A$4)*(CRDJ[Ofc Code]=(TRIM(P$7)))*(CRDJ[Account Code]=(TRIM($D84))),CRDJ[Debit])))+(SUM(IF((GJ[Date]=$A$4)*(GJ[Ofc Code]=(TRIM(P$7)))*(GJ[Account Code]=(TRIM($D84))),GJ[Debit])))-(SUM(IF((CkDJ[Date]=$A$4)*(CkDJ[Ofc Code]=(TRIM(P$7)))*(CkDJ[Account Code]=(TRIM($D84))),CkDJ[Credit])))+(SUM(IF((CsDJ[Date]=$A$4)*(CsDJ[Ofc Code]=(TRIM(P$7)))*(CsDJ[Account Code]=(TRIM($D84))),CsDJ[Credit])))+(SUM(IF((CRDJ[Date]=$A$4)*(CRDJ[Ofc Code]=(TRIM(P$7)))*(CRDJ[Account Code]=(TRIM($D84))),CRDJ[Credit])))+(SUM(IF((GJ[Date]=$A$4)*(GJ[Ofc Code]=(TRIM(P$7)))*(GJ[Account Code]=(TRIM($D84))),GJ[Credit])))</f>
        <v>0</v>
      </c>
      <c r="Q84" s="211">
        <f t="array" ref="Q84">(SUM(IF((CkDJ[Date]=$A$4)*(CkDJ[Ofc Code]=(TRIM(Q$7)))*(CkDJ[Account Code]=(TRIM($D84))),CkDJ[Debit])))+(SUM(IF((CsDJ[Date]=$A$4)*(CsDJ[Ofc Code]=(TRIM(Q$7)))*(CsDJ[Account Code]=(TRIM($D84))),CsDJ[Debit])))+(SUM(IF((CRDJ[Date]=$A$4)*(CRDJ[Ofc Code]=(TRIM(Q$7)))*(CRDJ[Account Code]=(TRIM($D84))),CRDJ[Debit])))+(SUM(IF((GJ[Date]=$A$4)*(GJ[Ofc Code]=(TRIM(Q$7)))*(GJ[Account Code]=(TRIM($D84))),GJ[Debit])))-(SUM(IF((CkDJ[Date]=$A$4)*(CkDJ[Ofc Code]=(TRIM(Q$7)))*(CkDJ[Account Code]=(TRIM($D84))),CkDJ[Credit])))+(SUM(IF((CsDJ[Date]=$A$4)*(CsDJ[Ofc Code]=(TRIM(Q$7)))*(CsDJ[Account Code]=(TRIM($D84))),CsDJ[Credit])))+(SUM(IF((CRDJ[Date]=$A$4)*(CRDJ[Ofc Code]=(TRIM(Q$7)))*(CRDJ[Account Code]=(TRIM($D84))),CRDJ[Credit])))+(SUM(IF((GJ[Date]=$A$4)*(GJ[Ofc Code]=(TRIM(Q$7)))*(GJ[Account Code]=(TRIM($D84))),GJ[Credit])))</f>
        <v>0</v>
      </c>
      <c r="R84" s="211">
        <f t="array" ref="R84">(SUM(IF((CkDJ[Date]=$A$4)*(CkDJ[Ofc Code]=(TRIM(R$7)))*(CkDJ[Account Code]=(TRIM($D84))),CkDJ[Debit])))+(SUM(IF((CsDJ[Date]=$A$4)*(CsDJ[Ofc Code]=(TRIM(R$7)))*(CsDJ[Account Code]=(TRIM($D84))),CsDJ[Debit])))+(SUM(IF((CRDJ[Date]=$A$4)*(CRDJ[Ofc Code]=(TRIM(R$7)))*(CRDJ[Account Code]=(TRIM($D84))),CRDJ[Debit])))+(SUM(IF((GJ[Date]=$A$4)*(GJ[Ofc Code]=(TRIM(R$7)))*(GJ[Account Code]=(TRIM($D84))),GJ[Debit])))-(SUM(IF((CkDJ[Date]=$A$4)*(CkDJ[Ofc Code]=(TRIM(R$7)))*(CkDJ[Account Code]=(TRIM($D84))),CkDJ[Credit])))+(SUM(IF((CsDJ[Date]=$A$4)*(CsDJ[Ofc Code]=(TRIM(R$7)))*(CsDJ[Account Code]=(TRIM($D84))),CsDJ[Credit])))+(SUM(IF((CRDJ[Date]=$A$4)*(CRDJ[Ofc Code]=(TRIM(R$7)))*(CRDJ[Account Code]=(TRIM($D84))),CRDJ[Credit])))+(SUM(IF((GJ[Date]=$A$4)*(GJ[Ofc Code]=(TRIM(R$7)))*(GJ[Account Code]=(TRIM($D84))),GJ[Credit])))</f>
        <v>0</v>
      </c>
      <c r="S84" s="211">
        <f t="array" ref="S84">(SUM(IF((CkDJ[Date]=$A$4)*(CkDJ[Ofc Code]=(TRIM(S$7)))*(CkDJ[Account Code]=(TRIM($D84))),CkDJ[Debit])))+(SUM(IF((CsDJ[Date]=$A$4)*(CsDJ[Ofc Code]=(TRIM(S$7)))*(CsDJ[Account Code]=(TRIM($D84))),CsDJ[Debit])))+(SUM(IF((CRDJ[Date]=$A$4)*(CRDJ[Ofc Code]=(TRIM(S$7)))*(CRDJ[Account Code]=(TRIM($D84))),CRDJ[Debit])))+(SUM(IF((GJ[Date]=$A$4)*(GJ[Ofc Code]=(TRIM(S$7)))*(GJ[Account Code]=(TRIM($D84))),GJ[Debit])))-(SUM(IF((CkDJ[Date]=$A$4)*(CkDJ[Ofc Code]=(TRIM(S$7)))*(CkDJ[Account Code]=(TRIM($D84))),CkDJ[Credit])))+(SUM(IF((CsDJ[Date]=$A$4)*(CsDJ[Ofc Code]=(TRIM(S$7)))*(CsDJ[Account Code]=(TRIM($D84))),CsDJ[Credit])))+(SUM(IF((CRDJ[Date]=$A$4)*(CRDJ[Ofc Code]=(TRIM(S$7)))*(CRDJ[Account Code]=(TRIM($D84))),CRDJ[Credit])))+(SUM(IF((GJ[Date]=$A$4)*(GJ[Ofc Code]=(TRIM(S$7)))*(GJ[Account Code]=(TRIM($D84))),GJ[Credit])))</f>
        <v>0</v>
      </c>
      <c r="T84" s="211">
        <f t="shared" ref="T84:T89" si="23">SUM(O84:S84)</f>
        <v>0</v>
      </c>
      <c r="U84" s="211">
        <f t="shared" ref="U84:U89" si="24">E84+I84+N84+T84</f>
        <v>0</v>
      </c>
    </row>
    <row r="85" spans="1:21" ht="15" x14ac:dyDescent="0.25">
      <c r="A85" s="212">
        <f t="shared" si="19"/>
        <v>27</v>
      </c>
      <c r="B85" s="194" t="s">
        <v>756</v>
      </c>
      <c r="C85" s="194" t="str">
        <f t="shared" si="20"/>
        <v>Repairs and Maintenance-Infrastructure Assets - Other Infrastructure Assets (Irrigation Canal &amp; Laterals)</v>
      </c>
      <c r="D85" s="207">
        <v>855</v>
      </c>
      <c r="E85" s="211">
        <f t="array" ref="E85">(SUM(IF((CkDJ[Date]=$A$4)*(CkDJ[Ofc Code]=(TRIM(E$7)))*(CkDJ[Account Code]=(TRIM($D85))),CkDJ[Debit])))+(SUM(IF((CsDJ[Date]=$A$4)*(CsDJ[Ofc Code]=(TRIM(E$7)))*(CsDJ[Account Code]=(TRIM($D85))),CsDJ[Debit])))+(SUM(IF((CRDJ[Date]=$A$4)*(CRDJ[Ofc Code]=(TRIM(E$7)))*(CRDJ[Account Code]=(TRIM($D85))),CRDJ[Debit])))+(SUM(IF((GJ[Date]=$A$4)*(GJ[Ofc Code]=(TRIM(E$7)))*(GJ[Account Code]=(TRIM($D85))),GJ[Debit])))-(SUM(IF((CkDJ[Date]=$A$4)*(CkDJ[Ofc Code]=(TRIM(E$7)))*(CkDJ[Account Code]=(TRIM($D85))),CkDJ[Credit])))+(SUM(IF((CsDJ[Date]=$A$4)*(CsDJ[Ofc Code]=(TRIM(E$7)))*(CsDJ[Account Code]=(TRIM($D85))),CsDJ[Credit])))+(SUM(IF((CRDJ[Date]=$A$4)*(CRDJ[Ofc Code]=(TRIM(E$7)))*(CRDJ[Account Code]=(TRIM($D85))),CRDJ[Credit])))+(SUM(IF((GJ[Date]=$A$4)*(GJ[Ofc Code]=(TRIM(E$7)))*(GJ[Account Code]=(TRIM($D85))),GJ[Credit])))</f>
        <v>0</v>
      </c>
      <c r="F85" s="211">
        <f t="array" ref="F85">(SUM(IF((CkDJ[Date]=$A$4)*(CkDJ[Ofc Code]=(TRIM(F$7)))*(CkDJ[Account Code]=(TRIM($D85))),CkDJ[Debit])))+(SUM(IF((CsDJ[Date]=$A$4)*(CsDJ[Ofc Code]=(TRIM(F$7)))*(CsDJ[Account Code]=(TRIM($D85))),CsDJ[Debit])))+(SUM(IF((CRDJ[Date]=$A$4)*(CRDJ[Ofc Code]=(TRIM(F$7)))*(CRDJ[Account Code]=(TRIM($D85))),CRDJ[Debit])))+(SUM(IF((GJ[Date]=$A$4)*(GJ[Ofc Code]=(TRIM(F$7)))*(GJ[Account Code]=(TRIM($D85))),GJ[Debit])))-(SUM(IF((CkDJ[Date]=$A$4)*(CkDJ[Ofc Code]=(TRIM(F$7)))*(CkDJ[Account Code]=(TRIM($D85))),CkDJ[Credit])))+(SUM(IF((CsDJ[Date]=$A$4)*(CsDJ[Ofc Code]=(TRIM(F$7)))*(CsDJ[Account Code]=(TRIM($D85))),CsDJ[Credit])))+(SUM(IF((CRDJ[Date]=$A$4)*(CRDJ[Ofc Code]=(TRIM(F$7)))*(CRDJ[Account Code]=(TRIM($D85))),CRDJ[Credit])))+(SUM(IF((GJ[Date]=$A$4)*(GJ[Ofc Code]=(TRIM(F$7)))*(GJ[Account Code]=(TRIM($D85))),GJ[Credit])))</f>
        <v>0</v>
      </c>
      <c r="G85" s="211">
        <f t="array" ref="G85">(SUM(IF((CkDJ[Date]=$A$4)*(CkDJ[Ofc Code]=(TRIM(G$7)))*(CkDJ[Account Code]=(TRIM($D85))),CkDJ[Debit])))+(SUM(IF((CsDJ[Date]=$A$4)*(CsDJ[Ofc Code]=(TRIM(G$7)))*(CsDJ[Account Code]=(TRIM($D85))),CsDJ[Debit])))+(SUM(IF((CRDJ[Date]=$A$4)*(CRDJ[Ofc Code]=(TRIM(G$7)))*(CRDJ[Account Code]=(TRIM($D85))),CRDJ[Debit])))+(SUM(IF((GJ[Date]=$A$4)*(GJ[Ofc Code]=(TRIM(G$7)))*(GJ[Account Code]=(TRIM($D85))),GJ[Debit])))-(SUM(IF((CkDJ[Date]=$A$4)*(CkDJ[Ofc Code]=(TRIM(G$7)))*(CkDJ[Account Code]=(TRIM($D85))),CkDJ[Credit])))+(SUM(IF((CsDJ[Date]=$A$4)*(CsDJ[Ofc Code]=(TRIM(G$7)))*(CsDJ[Account Code]=(TRIM($D85))),CsDJ[Credit])))+(SUM(IF((CRDJ[Date]=$A$4)*(CRDJ[Ofc Code]=(TRIM(G$7)))*(CRDJ[Account Code]=(TRIM($D85))),CRDJ[Credit])))+(SUM(IF((GJ[Date]=$A$4)*(GJ[Ofc Code]=(TRIM(G$7)))*(GJ[Account Code]=(TRIM($D85))),GJ[Credit])))</f>
        <v>0</v>
      </c>
      <c r="H85" s="211">
        <f t="array" ref="H85">(SUM(IF((CkDJ[Date]=$A$4)*(CkDJ[Ofc Code]=(TRIM(H$7)))*(CkDJ[Account Code]=(TRIM($D85))),CkDJ[Debit])))+(SUM(IF((CsDJ[Date]=$A$4)*(CsDJ[Ofc Code]=(TRIM(H$7)))*(CsDJ[Account Code]=(TRIM($D85))),CsDJ[Debit])))+(SUM(IF((CRDJ[Date]=$A$4)*(CRDJ[Ofc Code]=(TRIM(H$7)))*(CRDJ[Account Code]=(TRIM($D85))),CRDJ[Debit])))+(SUM(IF((GJ[Date]=$A$4)*(GJ[Ofc Code]=(TRIM(H$7)))*(GJ[Account Code]=(TRIM($D85))),GJ[Debit])))-(SUM(IF((CkDJ[Date]=$A$4)*(CkDJ[Ofc Code]=(TRIM(H$7)))*(CkDJ[Account Code]=(TRIM($D85))),CkDJ[Credit])))+(SUM(IF((CsDJ[Date]=$A$4)*(CsDJ[Ofc Code]=(TRIM(H$7)))*(CsDJ[Account Code]=(TRIM($D85))),CsDJ[Credit])))+(SUM(IF((CRDJ[Date]=$A$4)*(CRDJ[Ofc Code]=(TRIM(H$7)))*(CRDJ[Account Code]=(TRIM($D85))),CRDJ[Credit])))+(SUM(IF((GJ[Date]=$A$4)*(GJ[Ofc Code]=(TRIM(H$7)))*(GJ[Account Code]=(TRIM($D85))),GJ[Credit])))</f>
        <v>0</v>
      </c>
      <c r="I85" s="211">
        <f t="shared" si="21"/>
        <v>0</v>
      </c>
      <c r="J85" s="211">
        <f t="array" ref="J85">(SUM(IF((CkDJ[Date]=$A$4)*(CkDJ[Ofc Code]=(TRIM(J$7)))*(CkDJ[Account Code]=(TRIM($D85))),CkDJ[Debit])))+(SUM(IF((CsDJ[Date]=$A$4)*(CsDJ[Ofc Code]=(TRIM(J$7)))*(CsDJ[Account Code]=(TRIM($D85))),CsDJ[Debit])))+(SUM(IF((CRDJ[Date]=$A$4)*(CRDJ[Ofc Code]=(TRIM(J$7)))*(CRDJ[Account Code]=(TRIM($D85))),CRDJ[Debit])))+(SUM(IF((GJ[Date]=$A$4)*(GJ[Ofc Code]=(TRIM(J$7)))*(GJ[Account Code]=(TRIM($D85))),GJ[Debit])))-(SUM(IF((CkDJ[Date]=$A$4)*(CkDJ[Ofc Code]=(TRIM(J$7)))*(CkDJ[Account Code]=(TRIM($D85))),CkDJ[Credit])))+(SUM(IF((CsDJ[Date]=$A$4)*(CsDJ[Ofc Code]=(TRIM(J$7)))*(CsDJ[Account Code]=(TRIM($D85))),CsDJ[Credit])))+(SUM(IF((CRDJ[Date]=$A$4)*(CRDJ[Ofc Code]=(TRIM(J$7)))*(CRDJ[Account Code]=(TRIM($D85))),CRDJ[Credit])))+(SUM(IF((GJ[Date]=$A$4)*(GJ[Ofc Code]=(TRIM(J$7)))*(GJ[Account Code]=(TRIM($D85))),GJ[Credit])))</f>
        <v>0</v>
      </c>
      <c r="K85" s="211">
        <f t="array" ref="K85">(SUM(IF((CkDJ[Date]=$A$4)*(CkDJ[Ofc Code]=(TRIM(K$7)))*(CkDJ[Account Code]=(TRIM($D85))),CkDJ[Debit])))+(SUM(IF((CsDJ[Date]=$A$4)*(CsDJ[Ofc Code]=(TRIM(K$7)))*(CsDJ[Account Code]=(TRIM($D85))),CsDJ[Debit])))+(SUM(IF((CRDJ[Date]=$A$4)*(CRDJ[Ofc Code]=(TRIM(K$7)))*(CRDJ[Account Code]=(TRIM($D85))),CRDJ[Debit])))+(SUM(IF((GJ[Date]=$A$4)*(GJ[Ofc Code]=(TRIM(K$7)))*(GJ[Account Code]=(TRIM($D85))),GJ[Debit])))-(SUM(IF((CkDJ[Date]=$A$4)*(CkDJ[Ofc Code]=(TRIM(K$7)))*(CkDJ[Account Code]=(TRIM($D85))),CkDJ[Credit])))+(SUM(IF((CsDJ[Date]=$A$4)*(CsDJ[Ofc Code]=(TRIM(K$7)))*(CsDJ[Account Code]=(TRIM($D85))),CsDJ[Credit])))+(SUM(IF((CRDJ[Date]=$A$4)*(CRDJ[Ofc Code]=(TRIM(K$7)))*(CRDJ[Account Code]=(TRIM($D85))),CRDJ[Credit])))+(SUM(IF((GJ[Date]=$A$4)*(GJ[Ofc Code]=(TRIM(K$7)))*(GJ[Account Code]=(TRIM($D85))),GJ[Credit])))</f>
        <v>0</v>
      </c>
      <c r="L85" s="211">
        <f t="array" ref="L85">(SUM(IF((CkDJ[Date]=$A$4)*(CkDJ[Ofc Code]=(TRIM(L$7)))*(CkDJ[Account Code]=(TRIM($D85))),CkDJ[Debit])))+(SUM(IF((CsDJ[Date]=$A$4)*(CsDJ[Ofc Code]=(TRIM(L$7)))*(CsDJ[Account Code]=(TRIM($D85))),CsDJ[Debit])))+(SUM(IF((CRDJ[Date]=$A$4)*(CRDJ[Ofc Code]=(TRIM(L$7)))*(CRDJ[Account Code]=(TRIM($D85))),CRDJ[Debit])))+(SUM(IF((GJ[Date]=$A$4)*(GJ[Ofc Code]=(TRIM(L$7)))*(GJ[Account Code]=(TRIM($D85))),GJ[Debit])))-(SUM(IF((CkDJ[Date]=$A$4)*(CkDJ[Ofc Code]=(TRIM(L$7)))*(CkDJ[Account Code]=(TRIM($D85))),CkDJ[Credit])))+(SUM(IF((CsDJ[Date]=$A$4)*(CsDJ[Ofc Code]=(TRIM(L$7)))*(CsDJ[Account Code]=(TRIM($D85))),CsDJ[Credit])))+(SUM(IF((CRDJ[Date]=$A$4)*(CRDJ[Ofc Code]=(TRIM(L$7)))*(CRDJ[Account Code]=(TRIM($D85))),CRDJ[Credit])))+(SUM(IF((GJ[Date]=$A$4)*(GJ[Ofc Code]=(TRIM(L$7)))*(GJ[Account Code]=(TRIM($D85))),GJ[Credit])))</f>
        <v>0</v>
      </c>
      <c r="M85" s="211">
        <f t="array" ref="M85">(SUM(IF((CkDJ[Date]=$A$4)*(CkDJ[Ofc Code]=(TRIM(M$7)))*(CkDJ[Account Code]=(TRIM($D85))),CkDJ[Debit])))+(SUM(IF((CsDJ[Date]=$A$4)*(CsDJ[Ofc Code]=(TRIM(M$7)))*(CsDJ[Account Code]=(TRIM($D85))),CsDJ[Debit])))+(SUM(IF((CRDJ[Date]=$A$4)*(CRDJ[Ofc Code]=(TRIM(M$7)))*(CRDJ[Account Code]=(TRIM($D85))),CRDJ[Debit])))+(SUM(IF((GJ[Date]=$A$4)*(GJ[Ofc Code]=(TRIM(M$7)))*(GJ[Account Code]=(TRIM($D85))),GJ[Debit])))-(SUM(IF((CkDJ[Date]=$A$4)*(CkDJ[Ofc Code]=(TRIM(M$7)))*(CkDJ[Account Code]=(TRIM($D85))),CkDJ[Credit])))+(SUM(IF((CsDJ[Date]=$A$4)*(CsDJ[Ofc Code]=(TRIM(M$7)))*(CsDJ[Account Code]=(TRIM($D85))),CsDJ[Credit])))+(SUM(IF((CRDJ[Date]=$A$4)*(CRDJ[Ofc Code]=(TRIM(M$7)))*(CRDJ[Account Code]=(TRIM($D85))),CRDJ[Credit])))+(SUM(IF((GJ[Date]=$A$4)*(GJ[Ofc Code]=(TRIM(M$7)))*(GJ[Account Code]=(TRIM($D85))),GJ[Credit])))</f>
        <v>0</v>
      </c>
      <c r="N85" s="211">
        <f t="shared" si="22"/>
        <v>0</v>
      </c>
      <c r="O85" s="211">
        <f t="array" ref="O85">(SUM(IF((CkDJ[Date]=$A$4)*(CkDJ[Ofc Code]=(TRIM(O$7)))*(CkDJ[Account Code]=(TRIM($D85))),CkDJ[Debit])))+(SUM(IF((CsDJ[Date]=$A$4)*(CsDJ[Ofc Code]=(TRIM(O$7)))*(CsDJ[Account Code]=(TRIM($D85))),CsDJ[Debit])))+(SUM(IF((CRDJ[Date]=$A$4)*(CRDJ[Ofc Code]=(TRIM(O$7)))*(CRDJ[Account Code]=(TRIM($D85))),CRDJ[Debit])))+(SUM(IF((GJ[Date]=$A$4)*(GJ[Ofc Code]=(TRIM(O$7)))*(GJ[Account Code]=(TRIM($D85))),GJ[Debit])))-(SUM(IF((CkDJ[Date]=$A$4)*(CkDJ[Ofc Code]=(TRIM(O$7)))*(CkDJ[Account Code]=(TRIM($D85))),CkDJ[Credit])))+(SUM(IF((CsDJ[Date]=$A$4)*(CsDJ[Ofc Code]=(TRIM(O$7)))*(CsDJ[Account Code]=(TRIM($D85))),CsDJ[Credit])))+(SUM(IF((CRDJ[Date]=$A$4)*(CRDJ[Ofc Code]=(TRIM(O$7)))*(CRDJ[Account Code]=(TRIM($D85))),CRDJ[Credit])))+(SUM(IF((GJ[Date]=$A$4)*(GJ[Ofc Code]=(TRIM(O$7)))*(GJ[Account Code]=(TRIM($D85))),GJ[Credit])))</f>
        <v>0</v>
      </c>
      <c r="P85" s="211">
        <f t="array" ref="P85">(SUM(IF((CkDJ[Date]=$A$4)*(CkDJ[Ofc Code]=(TRIM(P$7)))*(CkDJ[Account Code]=(TRIM($D85))),CkDJ[Debit])))+(SUM(IF((CsDJ[Date]=$A$4)*(CsDJ[Ofc Code]=(TRIM(P$7)))*(CsDJ[Account Code]=(TRIM($D85))),CsDJ[Debit])))+(SUM(IF((CRDJ[Date]=$A$4)*(CRDJ[Ofc Code]=(TRIM(P$7)))*(CRDJ[Account Code]=(TRIM($D85))),CRDJ[Debit])))+(SUM(IF((GJ[Date]=$A$4)*(GJ[Ofc Code]=(TRIM(P$7)))*(GJ[Account Code]=(TRIM($D85))),GJ[Debit])))-(SUM(IF((CkDJ[Date]=$A$4)*(CkDJ[Ofc Code]=(TRIM(P$7)))*(CkDJ[Account Code]=(TRIM($D85))),CkDJ[Credit])))+(SUM(IF((CsDJ[Date]=$A$4)*(CsDJ[Ofc Code]=(TRIM(P$7)))*(CsDJ[Account Code]=(TRIM($D85))),CsDJ[Credit])))+(SUM(IF((CRDJ[Date]=$A$4)*(CRDJ[Ofc Code]=(TRIM(P$7)))*(CRDJ[Account Code]=(TRIM($D85))),CRDJ[Credit])))+(SUM(IF((GJ[Date]=$A$4)*(GJ[Ofc Code]=(TRIM(P$7)))*(GJ[Account Code]=(TRIM($D85))),GJ[Credit])))</f>
        <v>0</v>
      </c>
      <c r="Q85" s="211">
        <f t="array" ref="Q85">(SUM(IF((CkDJ[Date]=$A$4)*(CkDJ[Ofc Code]=(TRIM(Q$7)))*(CkDJ[Account Code]=(TRIM($D85))),CkDJ[Debit])))+(SUM(IF((CsDJ[Date]=$A$4)*(CsDJ[Ofc Code]=(TRIM(Q$7)))*(CsDJ[Account Code]=(TRIM($D85))),CsDJ[Debit])))+(SUM(IF((CRDJ[Date]=$A$4)*(CRDJ[Ofc Code]=(TRIM(Q$7)))*(CRDJ[Account Code]=(TRIM($D85))),CRDJ[Debit])))+(SUM(IF((GJ[Date]=$A$4)*(GJ[Ofc Code]=(TRIM(Q$7)))*(GJ[Account Code]=(TRIM($D85))),GJ[Debit])))-(SUM(IF((CkDJ[Date]=$A$4)*(CkDJ[Ofc Code]=(TRIM(Q$7)))*(CkDJ[Account Code]=(TRIM($D85))),CkDJ[Credit])))+(SUM(IF((CsDJ[Date]=$A$4)*(CsDJ[Ofc Code]=(TRIM(Q$7)))*(CsDJ[Account Code]=(TRIM($D85))),CsDJ[Credit])))+(SUM(IF((CRDJ[Date]=$A$4)*(CRDJ[Ofc Code]=(TRIM(Q$7)))*(CRDJ[Account Code]=(TRIM($D85))),CRDJ[Credit])))+(SUM(IF((GJ[Date]=$A$4)*(GJ[Ofc Code]=(TRIM(Q$7)))*(GJ[Account Code]=(TRIM($D85))),GJ[Credit])))</f>
        <v>0</v>
      </c>
      <c r="R85" s="211">
        <f t="array" ref="R85">(SUM(IF((CkDJ[Date]=$A$4)*(CkDJ[Ofc Code]=(TRIM(R$7)))*(CkDJ[Account Code]=(TRIM($D85))),CkDJ[Debit])))+(SUM(IF((CsDJ[Date]=$A$4)*(CsDJ[Ofc Code]=(TRIM(R$7)))*(CsDJ[Account Code]=(TRIM($D85))),CsDJ[Debit])))+(SUM(IF((CRDJ[Date]=$A$4)*(CRDJ[Ofc Code]=(TRIM(R$7)))*(CRDJ[Account Code]=(TRIM($D85))),CRDJ[Debit])))+(SUM(IF((GJ[Date]=$A$4)*(GJ[Ofc Code]=(TRIM(R$7)))*(GJ[Account Code]=(TRIM($D85))),GJ[Debit])))-(SUM(IF((CkDJ[Date]=$A$4)*(CkDJ[Ofc Code]=(TRIM(R$7)))*(CkDJ[Account Code]=(TRIM($D85))),CkDJ[Credit])))+(SUM(IF((CsDJ[Date]=$A$4)*(CsDJ[Ofc Code]=(TRIM(R$7)))*(CsDJ[Account Code]=(TRIM($D85))),CsDJ[Credit])))+(SUM(IF((CRDJ[Date]=$A$4)*(CRDJ[Ofc Code]=(TRIM(R$7)))*(CRDJ[Account Code]=(TRIM($D85))),CRDJ[Credit])))+(SUM(IF((GJ[Date]=$A$4)*(GJ[Ofc Code]=(TRIM(R$7)))*(GJ[Account Code]=(TRIM($D85))),GJ[Credit])))</f>
        <v>0</v>
      </c>
      <c r="S85" s="211">
        <f t="array" ref="S85">(SUM(IF((CkDJ[Date]=$A$4)*(CkDJ[Ofc Code]=(TRIM(S$7)))*(CkDJ[Account Code]=(TRIM($D85))),CkDJ[Debit])))+(SUM(IF((CsDJ[Date]=$A$4)*(CsDJ[Ofc Code]=(TRIM(S$7)))*(CsDJ[Account Code]=(TRIM($D85))),CsDJ[Debit])))+(SUM(IF((CRDJ[Date]=$A$4)*(CRDJ[Ofc Code]=(TRIM(S$7)))*(CRDJ[Account Code]=(TRIM($D85))),CRDJ[Debit])))+(SUM(IF((GJ[Date]=$A$4)*(GJ[Ofc Code]=(TRIM(S$7)))*(GJ[Account Code]=(TRIM($D85))),GJ[Debit])))-(SUM(IF((CkDJ[Date]=$A$4)*(CkDJ[Ofc Code]=(TRIM(S$7)))*(CkDJ[Account Code]=(TRIM($D85))),CkDJ[Credit])))+(SUM(IF((CsDJ[Date]=$A$4)*(CsDJ[Ofc Code]=(TRIM(S$7)))*(CsDJ[Account Code]=(TRIM($D85))),CsDJ[Credit])))+(SUM(IF((CRDJ[Date]=$A$4)*(CRDJ[Ofc Code]=(TRIM(S$7)))*(CRDJ[Account Code]=(TRIM($D85))),CRDJ[Credit])))+(SUM(IF((GJ[Date]=$A$4)*(GJ[Ofc Code]=(TRIM(S$7)))*(GJ[Account Code]=(TRIM($D85))),GJ[Credit])))</f>
        <v>0</v>
      </c>
      <c r="T85" s="211">
        <f t="shared" si="23"/>
        <v>0</v>
      </c>
      <c r="U85" s="211">
        <f t="shared" si="24"/>
        <v>0</v>
      </c>
    </row>
    <row r="86" spans="1:21" ht="15" x14ac:dyDescent="0.25">
      <c r="A86" s="212">
        <f t="shared" si="19"/>
        <v>28</v>
      </c>
      <c r="B86" s="194" t="s">
        <v>756</v>
      </c>
      <c r="C86" s="194" t="str">
        <f t="shared" si="20"/>
        <v>Other Maintenance and Operating Expenses</v>
      </c>
      <c r="D86" s="207" t="s">
        <v>408</v>
      </c>
      <c r="E86" s="211">
        <f t="array" ref="E86">(SUM(IF((CkDJ[Date]=$A$4)*(CkDJ[Ofc Code]=(TRIM(E$7)))*(CkDJ[Account Code]=(TRIM($D86))),CkDJ[Debit])))+(SUM(IF((CsDJ[Date]=$A$4)*(CsDJ[Ofc Code]=(TRIM(E$7)))*(CsDJ[Account Code]=(TRIM($D86))),CsDJ[Debit])))+(SUM(IF((CRDJ[Date]=$A$4)*(CRDJ[Ofc Code]=(TRIM(E$7)))*(CRDJ[Account Code]=(TRIM($D86))),CRDJ[Debit])))+(SUM(IF((GJ[Date]=$A$4)*(GJ[Ofc Code]=(TRIM(E$7)))*(GJ[Account Code]=(TRIM($D86))),GJ[Debit])))-(SUM(IF((CkDJ[Date]=$A$4)*(CkDJ[Ofc Code]=(TRIM(E$7)))*(CkDJ[Account Code]=(TRIM($D86))),CkDJ[Credit])))+(SUM(IF((CsDJ[Date]=$A$4)*(CsDJ[Ofc Code]=(TRIM(E$7)))*(CsDJ[Account Code]=(TRIM($D86))),CsDJ[Credit])))+(SUM(IF((CRDJ[Date]=$A$4)*(CRDJ[Ofc Code]=(TRIM(E$7)))*(CRDJ[Account Code]=(TRIM($D86))),CRDJ[Credit])))+(SUM(IF((GJ[Date]=$A$4)*(GJ[Ofc Code]=(TRIM(E$7)))*(GJ[Account Code]=(TRIM($D86))),GJ[Credit])))</f>
        <v>0</v>
      </c>
      <c r="F86" s="211">
        <f t="array" ref="F86">(SUM(IF((CkDJ[Date]=$A$4)*(CkDJ[Ofc Code]=(TRIM(F$7)))*(CkDJ[Account Code]=(TRIM($D86))),CkDJ[Debit])))+(SUM(IF((CsDJ[Date]=$A$4)*(CsDJ[Ofc Code]=(TRIM(F$7)))*(CsDJ[Account Code]=(TRIM($D86))),CsDJ[Debit])))+(SUM(IF((CRDJ[Date]=$A$4)*(CRDJ[Ofc Code]=(TRIM(F$7)))*(CRDJ[Account Code]=(TRIM($D86))),CRDJ[Debit])))+(SUM(IF((GJ[Date]=$A$4)*(GJ[Ofc Code]=(TRIM(F$7)))*(GJ[Account Code]=(TRIM($D86))),GJ[Debit])))-(SUM(IF((CkDJ[Date]=$A$4)*(CkDJ[Ofc Code]=(TRIM(F$7)))*(CkDJ[Account Code]=(TRIM($D86))),CkDJ[Credit])))+(SUM(IF((CsDJ[Date]=$A$4)*(CsDJ[Ofc Code]=(TRIM(F$7)))*(CsDJ[Account Code]=(TRIM($D86))),CsDJ[Credit])))+(SUM(IF((CRDJ[Date]=$A$4)*(CRDJ[Ofc Code]=(TRIM(F$7)))*(CRDJ[Account Code]=(TRIM($D86))),CRDJ[Credit])))+(SUM(IF((GJ[Date]=$A$4)*(GJ[Ofc Code]=(TRIM(F$7)))*(GJ[Account Code]=(TRIM($D86))),GJ[Credit])))</f>
        <v>0</v>
      </c>
      <c r="G86" s="211">
        <f t="array" ref="G86">(SUM(IF((CkDJ[Date]=$A$4)*(CkDJ[Ofc Code]=(TRIM(G$7)))*(CkDJ[Account Code]=(TRIM($D86))),CkDJ[Debit])))+(SUM(IF((CsDJ[Date]=$A$4)*(CsDJ[Ofc Code]=(TRIM(G$7)))*(CsDJ[Account Code]=(TRIM($D86))),CsDJ[Debit])))+(SUM(IF((CRDJ[Date]=$A$4)*(CRDJ[Ofc Code]=(TRIM(G$7)))*(CRDJ[Account Code]=(TRIM($D86))),CRDJ[Debit])))+(SUM(IF((GJ[Date]=$A$4)*(GJ[Ofc Code]=(TRIM(G$7)))*(GJ[Account Code]=(TRIM($D86))),GJ[Debit])))-(SUM(IF((CkDJ[Date]=$A$4)*(CkDJ[Ofc Code]=(TRIM(G$7)))*(CkDJ[Account Code]=(TRIM($D86))),CkDJ[Credit])))+(SUM(IF((CsDJ[Date]=$A$4)*(CsDJ[Ofc Code]=(TRIM(G$7)))*(CsDJ[Account Code]=(TRIM($D86))),CsDJ[Credit])))+(SUM(IF((CRDJ[Date]=$A$4)*(CRDJ[Ofc Code]=(TRIM(G$7)))*(CRDJ[Account Code]=(TRIM($D86))),CRDJ[Credit])))+(SUM(IF((GJ[Date]=$A$4)*(GJ[Ofc Code]=(TRIM(G$7)))*(GJ[Account Code]=(TRIM($D86))),GJ[Credit])))</f>
        <v>0</v>
      </c>
      <c r="H86" s="211">
        <f t="array" ref="H86">(SUM(IF((CkDJ[Date]=$A$4)*(CkDJ[Ofc Code]=(TRIM(H$7)))*(CkDJ[Account Code]=(TRIM($D86))),CkDJ[Debit])))+(SUM(IF((CsDJ[Date]=$A$4)*(CsDJ[Ofc Code]=(TRIM(H$7)))*(CsDJ[Account Code]=(TRIM($D86))),CsDJ[Debit])))+(SUM(IF((CRDJ[Date]=$A$4)*(CRDJ[Ofc Code]=(TRIM(H$7)))*(CRDJ[Account Code]=(TRIM($D86))),CRDJ[Debit])))+(SUM(IF((GJ[Date]=$A$4)*(GJ[Ofc Code]=(TRIM(H$7)))*(GJ[Account Code]=(TRIM($D86))),GJ[Debit])))-(SUM(IF((CkDJ[Date]=$A$4)*(CkDJ[Ofc Code]=(TRIM(H$7)))*(CkDJ[Account Code]=(TRIM($D86))),CkDJ[Credit])))+(SUM(IF((CsDJ[Date]=$A$4)*(CsDJ[Ofc Code]=(TRIM(H$7)))*(CsDJ[Account Code]=(TRIM($D86))),CsDJ[Credit])))+(SUM(IF((CRDJ[Date]=$A$4)*(CRDJ[Ofc Code]=(TRIM(H$7)))*(CRDJ[Account Code]=(TRIM($D86))),CRDJ[Credit])))+(SUM(IF((GJ[Date]=$A$4)*(GJ[Ofc Code]=(TRIM(H$7)))*(GJ[Account Code]=(TRIM($D86))),GJ[Credit])))</f>
        <v>0</v>
      </c>
      <c r="I86" s="211">
        <f t="shared" si="21"/>
        <v>0</v>
      </c>
      <c r="J86" s="211">
        <f t="array" ref="J86">(SUM(IF((CkDJ[Date]=$A$4)*(CkDJ[Ofc Code]=(TRIM(J$7)))*(CkDJ[Account Code]=(TRIM($D86))),CkDJ[Debit])))+(SUM(IF((CsDJ[Date]=$A$4)*(CsDJ[Ofc Code]=(TRIM(J$7)))*(CsDJ[Account Code]=(TRIM($D86))),CsDJ[Debit])))+(SUM(IF((CRDJ[Date]=$A$4)*(CRDJ[Ofc Code]=(TRIM(J$7)))*(CRDJ[Account Code]=(TRIM($D86))),CRDJ[Debit])))+(SUM(IF((GJ[Date]=$A$4)*(GJ[Ofc Code]=(TRIM(J$7)))*(GJ[Account Code]=(TRIM($D86))),GJ[Debit])))-(SUM(IF((CkDJ[Date]=$A$4)*(CkDJ[Ofc Code]=(TRIM(J$7)))*(CkDJ[Account Code]=(TRIM($D86))),CkDJ[Credit])))+(SUM(IF((CsDJ[Date]=$A$4)*(CsDJ[Ofc Code]=(TRIM(J$7)))*(CsDJ[Account Code]=(TRIM($D86))),CsDJ[Credit])))+(SUM(IF((CRDJ[Date]=$A$4)*(CRDJ[Ofc Code]=(TRIM(J$7)))*(CRDJ[Account Code]=(TRIM($D86))),CRDJ[Credit])))+(SUM(IF((GJ[Date]=$A$4)*(GJ[Ofc Code]=(TRIM(J$7)))*(GJ[Account Code]=(TRIM($D86))),GJ[Credit])))</f>
        <v>0</v>
      </c>
      <c r="K86" s="211">
        <f t="array" ref="K86">(SUM(IF((CkDJ[Date]=$A$4)*(CkDJ[Ofc Code]=(TRIM(K$7)))*(CkDJ[Account Code]=(TRIM($D86))),CkDJ[Debit])))+(SUM(IF((CsDJ[Date]=$A$4)*(CsDJ[Ofc Code]=(TRIM(K$7)))*(CsDJ[Account Code]=(TRIM($D86))),CsDJ[Debit])))+(SUM(IF((CRDJ[Date]=$A$4)*(CRDJ[Ofc Code]=(TRIM(K$7)))*(CRDJ[Account Code]=(TRIM($D86))),CRDJ[Debit])))+(SUM(IF((GJ[Date]=$A$4)*(GJ[Ofc Code]=(TRIM(K$7)))*(GJ[Account Code]=(TRIM($D86))),GJ[Debit])))-(SUM(IF((CkDJ[Date]=$A$4)*(CkDJ[Ofc Code]=(TRIM(K$7)))*(CkDJ[Account Code]=(TRIM($D86))),CkDJ[Credit])))+(SUM(IF((CsDJ[Date]=$A$4)*(CsDJ[Ofc Code]=(TRIM(K$7)))*(CsDJ[Account Code]=(TRIM($D86))),CsDJ[Credit])))+(SUM(IF((CRDJ[Date]=$A$4)*(CRDJ[Ofc Code]=(TRIM(K$7)))*(CRDJ[Account Code]=(TRIM($D86))),CRDJ[Credit])))+(SUM(IF((GJ[Date]=$A$4)*(GJ[Ofc Code]=(TRIM(K$7)))*(GJ[Account Code]=(TRIM($D86))),GJ[Credit])))</f>
        <v>0</v>
      </c>
      <c r="L86" s="211">
        <f t="array" ref="L86">(SUM(IF((CkDJ[Date]=$A$4)*(CkDJ[Ofc Code]=(TRIM(L$7)))*(CkDJ[Account Code]=(TRIM($D86))),CkDJ[Debit])))+(SUM(IF((CsDJ[Date]=$A$4)*(CsDJ[Ofc Code]=(TRIM(L$7)))*(CsDJ[Account Code]=(TRIM($D86))),CsDJ[Debit])))+(SUM(IF((CRDJ[Date]=$A$4)*(CRDJ[Ofc Code]=(TRIM(L$7)))*(CRDJ[Account Code]=(TRIM($D86))),CRDJ[Debit])))+(SUM(IF((GJ[Date]=$A$4)*(GJ[Ofc Code]=(TRIM(L$7)))*(GJ[Account Code]=(TRIM($D86))),GJ[Debit])))-(SUM(IF((CkDJ[Date]=$A$4)*(CkDJ[Ofc Code]=(TRIM(L$7)))*(CkDJ[Account Code]=(TRIM($D86))),CkDJ[Credit])))+(SUM(IF((CsDJ[Date]=$A$4)*(CsDJ[Ofc Code]=(TRIM(L$7)))*(CsDJ[Account Code]=(TRIM($D86))),CsDJ[Credit])))+(SUM(IF((CRDJ[Date]=$A$4)*(CRDJ[Ofc Code]=(TRIM(L$7)))*(CRDJ[Account Code]=(TRIM($D86))),CRDJ[Credit])))+(SUM(IF((GJ[Date]=$A$4)*(GJ[Ofc Code]=(TRIM(L$7)))*(GJ[Account Code]=(TRIM($D86))),GJ[Credit])))</f>
        <v>0</v>
      </c>
      <c r="M86" s="211">
        <f t="array" ref="M86">(SUM(IF((CkDJ[Date]=$A$4)*(CkDJ[Ofc Code]=(TRIM(M$7)))*(CkDJ[Account Code]=(TRIM($D86))),CkDJ[Debit])))+(SUM(IF((CsDJ[Date]=$A$4)*(CsDJ[Ofc Code]=(TRIM(M$7)))*(CsDJ[Account Code]=(TRIM($D86))),CsDJ[Debit])))+(SUM(IF((CRDJ[Date]=$A$4)*(CRDJ[Ofc Code]=(TRIM(M$7)))*(CRDJ[Account Code]=(TRIM($D86))),CRDJ[Debit])))+(SUM(IF((GJ[Date]=$A$4)*(GJ[Ofc Code]=(TRIM(M$7)))*(GJ[Account Code]=(TRIM($D86))),GJ[Debit])))-(SUM(IF((CkDJ[Date]=$A$4)*(CkDJ[Ofc Code]=(TRIM(M$7)))*(CkDJ[Account Code]=(TRIM($D86))),CkDJ[Credit])))+(SUM(IF((CsDJ[Date]=$A$4)*(CsDJ[Ofc Code]=(TRIM(M$7)))*(CsDJ[Account Code]=(TRIM($D86))),CsDJ[Credit])))+(SUM(IF((CRDJ[Date]=$A$4)*(CRDJ[Ofc Code]=(TRIM(M$7)))*(CRDJ[Account Code]=(TRIM($D86))),CRDJ[Credit])))+(SUM(IF((GJ[Date]=$A$4)*(GJ[Ofc Code]=(TRIM(M$7)))*(GJ[Account Code]=(TRIM($D86))),GJ[Credit])))</f>
        <v>0</v>
      </c>
      <c r="N86" s="211">
        <f t="shared" si="22"/>
        <v>0</v>
      </c>
      <c r="O86" s="211">
        <f t="array" ref="O86">(SUM(IF((CkDJ[Date]=$A$4)*(CkDJ[Ofc Code]=(TRIM(O$7)))*(CkDJ[Account Code]=(TRIM($D86))),CkDJ[Debit])))+(SUM(IF((CsDJ[Date]=$A$4)*(CsDJ[Ofc Code]=(TRIM(O$7)))*(CsDJ[Account Code]=(TRIM($D86))),CsDJ[Debit])))+(SUM(IF((CRDJ[Date]=$A$4)*(CRDJ[Ofc Code]=(TRIM(O$7)))*(CRDJ[Account Code]=(TRIM($D86))),CRDJ[Debit])))+(SUM(IF((GJ[Date]=$A$4)*(GJ[Ofc Code]=(TRIM(O$7)))*(GJ[Account Code]=(TRIM($D86))),GJ[Debit])))-(SUM(IF((CkDJ[Date]=$A$4)*(CkDJ[Ofc Code]=(TRIM(O$7)))*(CkDJ[Account Code]=(TRIM($D86))),CkDJ[Credit])))+(SUM(IF((CsDJ[Date]=$A$4)*(CsDJ[Ofc Code]=(TRIM(O$7)))*(CsDJ[Account Code]=(TRIM($D86))),CsDJ[Credit])))+(SUM(IF((CRDJ[Date]=$A$4)*(CRDJ[Ofc Code]=(TRIM(O$7)))*(CRDJ[Account Code]=(TRIM($D86))),CRDJ[Credit])))+(SUM(IF((GJ[Date]=$A$4)*(GJ[Ofc Code]=(TRIM(O$7)))*(GJ[Account Code]=(TRIM($D86))),GJ[Credit])))</f>
        <v>0</v>
      </c>
      <c r="P86" s="211">
        <f t="array" ref="P86">(SUM(IF((CkDJ[Date]=$A$4)*(CkDJ[Ofc Code]=(TRIM(P$7)))*(CkDJ[Account Code]=(TRIM($D86))),CkDJ[Debit])))+(SUM(IF((CsDJ[Date]=$A$4)*(CsDJ[Ofc Code]=(TRIM(P$7)))*(CsDJ[Account Code]=(TRIM($D86))),CsDJ[Debit])))+(SUM(IF((CRDJ[Date]=$A$4)*(CRDJ[Ofc Code]=(TRIM(P$7)))*(CRDJ[Account Code]=(TRIM($D86))),CRDJ[Debit])))+(SUM(IF((GJ[Date]=$A$4)*(GJ[Ofc Code]=(TRIM(P$7)))*(GJ[Account Code]=(TRIM($D86))),GJ[Debit])))-(SUM(IF((CkDJ[Date]=$A$4)*(CkDJ[Ofc Code]=(TRIM(P$7)))*(CkDJ[Account Code]=(TRIM($D86))),CkDJ[Credit])))+(SUM(IF((CsDJ[Date]=$A$4)*(CsDJ[Ofc Code]=(TRIM(P$7)))*(CsDJ[Account Code]=(TRIM($D86))),CsDJ[Credit])))+(SUM(IF((CRDJ[Date]=$A$4)*(CRDJ[Ofc Code]=(TRIM(P$7)))*(CRDJ[Account Code]=(TRIM($D86))),CRDJ[Credit])))+(SUM(IF((GJ[Date]=$A$4)*(GJ[Ofc Code]=(TRIM(P$7)))*(GJ[Account Code]=(TRIM($D86))),GJ[Credit])))</f>
        <v>0</v>
      </c>
      <c r="Q86" s="211">
        <f t="array" ref="Q86">(SUM(IF((CkDJ[Date]=$A$4)*(CkDJ[Ofc Code]=(TRIM(Q$7)))*(CkDJ[Account Code]=(TRIM($D86))),CkDJ[Debit])))+(SUM(IF((CsDJ[Date]=$A$4)*(CsDJ[Ofc Code]=(TRIM(Q$7)))*(CsDJ[Account Code]=(TRIM($D86))),CsDJ[Debit])))+(SUM(IF((CRDJ[Date]=$A$4)*(CRDJ[Ofc Code]=(TRIM(Q$7)))*(CRDJ[Account Code]=(TRIM($D86))),CRDJ[Debit])))+(SUM(IF((GJ[Date]=$A$4)*(GJ[Ofc Code]=(TRIM(Q$7)))*(GJ[Account Code]=(TRIM($D86))),GJ[Debit])))-(SUM(IF((CkDJ[Date]=$A$4)*(CkDJ[Ofc Code]=(TRIM(Q$7)))*(CkDJ[Account Code]=(TRIM($D86))),CkDJ[Credit])))+(SUM(IF((CsDJ[Date]=$A$4)*(CsDJ[Ofc Code]=(TRIM(Q$7)))*(CsDJ[Account Code]=(TRIM($D86))),CsDJ[Credit])))+(SUM(IF((CRDJ[Date]=$A$4)*(CRDJ[Ofc Code]=(TRIM(Q$7)))*(CRDJ[Account Code]=(TRIM($D86))),CRDJ[Credit])))+(SUM(IF((GJ[Date]=$A$4)*(GJ[Ofc Code]=(TRIM(Q$7)))*(GJ[Account Code]=(TRIM($D86))),GJ[Credit])))</f>
        <v>0</v>
      </c>
      <c r="R86" s="211">
        <f t="array" ref="R86">(SUM(IF((CkDJ[Date]=$A$4)*(CkDJ[Ofc Code]=(TRIM(R$7)))*(CkDJ[Account Code]=(TRIM($D86))),CkDJ[Debit])))+(SUM(IF((CsDJ[Date]=$A$4)*(CsDJ[Ofc Code]=(TRIM(R$7)))*(CsDJ[Account Code]=(TRIM($D86))),CsDJ[Debit])))+(SUM(IF((CRDJ[Date]=$A$4)*(CRDJ[Ofc Code]=(TRIM(R$7)))*(CRDJ[Account Code]=(TRIM($D86))),CRDJ[Debit])))+(SUM(IF((GJ[Date]=$A$4)*(GJ[Ofc Code]=(TRIM(R$7)))*(GJ[Account Code]=(TRIM($D86))),GJ[Debit])))-(SUM(IF((CkDJ[Date]=$A$4)*(CkDJ[Ofc Code]=(TRIM(R$7)))*(CkDJ[Account Code]=(TRIM($D86))),CkDJ[Credit])))+(SUM(IF((CsDJ[Date]=$A$4)*(CsDJ[Ofc Code]=(TRIM(R$7)))*(CsDJ[Account Code]=(TRIM($D86))),CsDJ[Credit])))+(SUM(IF((CRDJ[Date]=$A$4)*(CRDJ[Ofc Code]=(TRIM(R$7)))*(CRDJ[Account Code]=(TRIM($D86))),CRDJ[Credit])))+(SUM(IF((GJ[Date]=$A$4)*(GJ[Ofc Code]=(TRIM(R$7)))*(GJ[Account Code]=(TRIM($D86))),GJ[Credit])))</f>
        <v>0</v>
      </c>
      <c r="S86" s="211">
        <f t="array" ref="S86">(SUM(IF((CkDJ[Date]=$A$4)*(CkDJ[Ofc Code]=(TRIM(S$7)))*(CkDJ[Account Code]=(TRIM($D86))),CkDJ[Debit])))+(SUM(IF((CsDJ[Date]=$A$4)*(CsDJ[Ofc Code]=(TRIM(S$7)))*(CsDJ[Account Code]=(TRIM($D86))),CsDJ[Debit])))+(SUM(IF((CRDJ[Date]=$A$4)*(CRDJ[Ofc Code]=(TRIM(S$7)))*(CRDJ[Account Code]=(TRIM($D86))),CRDJ[Debit])))+(SUM(IF((GJ[Date]=$A$4)*(GJ[Ofc Code]=(TRIM(S$7)))*(GJ[Account Code]=(TRIM($D86))),GJ[Debit])))-(SUM(IF((CkDJ[Date]=$A$4)*(CkDJ[Ofc Code]=(TRIM(S$7)))*(CkDJ[Account Code]=(TRIM($D86))),CkDJ[Credit])))+(SUM(IF((CsDJ[Date]=$A$4)*(CsDJ[Ofc Code]=(TRIM(S$7)))*(CsDJ[Account Code]=(TRIM($D86))),CsDJ[Credit])))+(SUM(IF((CRDJ[Date]=$A$4)*(CRDJ[Ofc Code]=(TRIM(S$7)))*(CRDJ[Account Code]=(TRIM($D86))),CRDJ[Credit])))+(SUM(IF((GJ[Date]=$A$4)*(GJ[Ofc Code]=(TRIM(S$7)))*(GJ[Account Code]=(TRIM($D86))),GJ[Credit])))</f>
        <v>0</v>
      </c>
      <c r="T86" s="211">
        <f t="shared" si="23"/>
        <v>0</v>
      </c>
      <c r="U86" s="211">
        <f t="shared" si="24"/>
        <v>0</v>
      </c>
    </row>
    <row r="87" spans="1:21" ht="15" x14ac:dyDescent="0.25">
      <c r="A87" s="212">
        <f t="shared" si="19"/>
        <v>29</v>
      </c>
      <c r="B87" s="194" t="s">
        <v>756</v>
      </c>
      <c r="C87" s="194" t="str">
        <f t="shared" si="20"/>
        <v>Other Maintenance and Operating Expenses - Other Maintenance and Operating Expenses</v>
      </c>
      <c r="D87" s="207" t="s">
        <v>271</v>
      </c>
      <c r="E87" s="211">
        <f t="array" ref="E87">(SUM(IF((CkDJ[Date]=$A$4)*(CkDJ[Ofc Code]=(TRIM(E$7)))*(CkDJ[Account Code]=(TRIM($D87))),CkDJ[Debit])))+(SUM(IF((CsDJ[Date]=$A$4)*(CsDJ[Ofc Code]=(TRIM(E$7)))*(CsDJ[Account Code]=(TRIM($D87))),CsDJ[Debit])))+(SUM(IF((CRDJ[Date]=$A$4)*(CRDJ[Ofc Code]=(TRIM(E$7)))*(CRDJ[Account Code]=(TRIM($D87))),CRDJ[Debit])))+(SUM(IF((GJ[Date]=$A$4)*(GJ[Ofc Code]=(TRIM(E$7)))*(GJ[Account Code]=(TRIM($D87))),GJ[Debit])))-(SUM(IF((CkDJ[Date]=$A$4)*(CkDJ[Ofc Code]=(TRIM(E$7)))*(CkDJ[Account Code]=(TRIM($D87))),CkDJ[Credit])))+(SUM(IF((CsDJ[Date]=$A$4)*(CsDJ[Ofc Code]=(TRIM(E$7)))*(CsDJ[Account Code]=(TRIM($D87))),CsDJ[Credit])))+(SUM(IF((CRDJ[Date]=$A$4)*(CRDJ[Ofc Code]=(TRIM(E$7)))*(CRDJ[Account Code]=(TRIM($D87))),CRDJ[Credit])))+(SUM(IF((GJ[Date]=$A$4)*(GJ[Ofc Code]=(TRIM(E$7)))*(GJ[Account Code]=(TRIM($D87))),GJ[Credit])))</f>
        <v>0</v>
      </c>
      <c r="F87" s="211">
        <f t="array" ref="F87">(SUM(IF((CkDJ[Date]=$A$4)*(CkDJ[Ofc Code]=(TRIM(F$7)))*(CkDJ[Account Code]=(TRIM($D87))),CkDJ[Debit])))+(SUM(IF((CsDJ[Date]=$A$4)*(CsDJ[Ofc Code]=(TRIM(F$7)))*(CsDJ[Account Code]=(TRIM($D87))),CsDJ[Debit])))+(SUM(IF((CRDJ[Date]=$A$4)*(CRDJ[Ofc Code]=(TRIM(F$7)))*(CRDJ[Account Code]=(TRIM($D87))),CRDJ[Debit])))+(SUM(IF((GJ[Date]=$A$4)*(GJ[Ofc Code]=(TRIM(F$7)))*(GJ[Account Code]=(TRIM($D87))),GJ[Debit])))-(SUM(IF((CkDJ[Date]=$A$4)*(CkDJ[Ofc Code]=(TRIM(F$7)))*(CkDJ[Account Code]=(TRIM($D87))),CkDJ[Credit])))+(SUM(IF((CsDJ[Date]=$A$4)*(CsDJ[Ofc Code]=(TRIM(F$7)))*(CsDJ[Account Code]=(TRIM($D87))),CsDJ[Credit])))+(SUM(IF((CRDJ[Date]=$A$4)*(CRDJ[Ofc Code]=(TRIM(F$7)))*(CRDJ[Account Code]=(TRIM($D87))),CRDJ[Credit])))+(SUM(IF((GJ[Date]=$A$4)*(GJ[Ofc Code]=(TRIM(F$7)))*(GJ[Account Code]=(TRIM($D87))),GJ[Credit])))</f>
        <v>0</v>
      </c>
      <c r="G87" s="211">
        <f t="array" ref="G87">(SUM(IF((CkDJ[Date]=$A$4)*(CkDJ[Ofc Code]=(TRIM(G$7)))*(CkDJ[Account Code]=(TRIM($D87))),CkDJ[Debit])))+(SUM(IF((CsDJ[Date]=$A$4)*(CsDJ[Ofc Code]=(TRIM(G$7)))*(CsDJ[Account Code]=(TRIM($D87))),CsDJ[Debit])))+(SUM(IF((CRDJ[Date]=$A$4)*(CRDJ[Ofc Code]=(TRIM(G$7)))*(CRDJ[Account Code]=(TRIM($D87))),CRDJ[Debit])))+(SUM(IF((GJ[Date]=$A$4)*(GJ[Ofc Code]=(TRIM(G$7)))*(GJ[Account Code]=(TRIM($D87))),GJ[Debit])))-(SUM(IF((CkDJ[Date]=$A$4)*(CkDJ[Ofc Code]=(TRIM(G$7)))*(CkDJ[Account Code]=(TRIM($D87))),CkDJ[Credit])))+(SUM(IF((CsDJ[Date]=$A$4)*(CsDJ[Ofc Code]=(TRIM(G$7)))*(CsDJ[Account Code]=(TRIM($D87))),CsDJ[Credit])))+(SUM(IF((CRDJ[Date]=$A$4)*(CRDJ[Ofc Code]=(TRIM(G$7)))*(CRDJ[Account Code]=(TRIM($D87))),CRDJ[Credit])))+(SUM(IF((GJ[Date]=$A$4)*(GJ[Ofc Code]=(TRIM(G$7)))*(GJ[Account Code]=(TRIM($D87))),GJ[Credit])))</f>
        <v>0</v>
      </c>
      <c r="H87" s="211">
        <f t="array" ref="H87">(SUM(IF((CkDJ[Date]=$A$4)*(CkDJ[Ofc Code]=(TRIM(H$7)))*(CkDJ[Account Code]=(TRIM($D87))),CkDJ[Debit])))+(SUM(IF((CsDJ[Date]=$A$4)*(CsDJ[Ofc Code]=(TRIM(H$7)))*(CsDJ[Account Code]=(TRIM($D87))),CsDJ[Debit])))+(SUM(IF((CRDJ[Date]=$A$4)*(CRDJ[Ofc Code]=(TRIM(H$7)))*(CRDJ[Account Code]=(TRIM($D87))),CRDJ[Debit])))+(SUM(IF((GJ[Date]=$A$4)*(GJ[Ofc Code]=(TRIM(H$7)))*(GJ[Account Code]=(TRIM($D87))),GJ[Debit])))-(SUM(IF((CkDJ[Date]=$A$4)*(CkDJ[Ofc Code]=(TRIM(H$7)))*(CkDJ[Account Code]=(TRIM($D87))),CkDJ[Credit])))+(SUM(IF((CsDJ[Date]=$A$4)*(CsDJ[Ofc Code]=(TRIM(H$7)))*(CsDJ[Account Code]=(TRIM($D87))),CsDJ[Credit])))+(SUM(IF((CRDJ[Date]=$A$4)*(CRDJ[Ofc Code]=(TRIM(H$7)))*(CRDJ[Account Code]=(TRIM($D87))),CRDJ[Credit])))+(SUM(IF((GJ[Date]=$A$4)*(GJ[Ofc Code]=(TRIM(H$7)))*(GJ[Account Code]=(TRIM($D87))),GJ[Credit])))</f>
        <v>0</v>
      </c>
      <c r="I87" s="211">
        <f t="shared" si="21"/>
        <v>0</v>
      </c>
      <c r="J87" s="211">
        <f t="array" ref="J87">(SUM(IF((CkDJ[Date]=$A$4)*(CkDJ[Ofc Code]=(TRIM(J$7)))*(CkDJ[Account Code]=(TRIM($D87))),CkDJ[Debit])))+(SUM(IF((CsDJ[Date]=$A$4)*(CsDJ[Ofc Code]=(TRIM(J$7)))*(CsDJ[Account Code]=(TRIM($D87))),CsDJ[Debit])))+(SUM(IF((CRDJ[Date]=$A$4)*(CRDJ[Ofc Code]=(TRIM(J$7)))*(CRDJ[Account Code]=(TRIM($D87))),CRDJ[Debit])))+(SUM(IF((GJ[Date]=$A$4)*(GJ[Ofc Code]=(TRIM(J$7)))*(GJ[Account Code]=(TRIM($D87))),GJ[Debit])))-(SUM(IF((CkDJ[Date]=$A$4)*(CkDJ[Ofc Code]=(TRIM(J$7)))*(CkDJ[Account Code]=(TRIM($D87))),CkDJ[Credit])))+(SUM(IF((CsDJ[Date]=$A$4)*(CsDJ[Ofc Code]=(TRIM(J$7)))*(CsDJ[Account Code]=(TRIM($D87))),CsDJ[Credit])))+(SUM(IF((CRDJ[Date]=$A$4)*(CRDJ[Ofc Code]=(TRIM(J$7)))*(CRDJ[Account Code]=(TRIM($D87))),CRDJ[Credit])))+(SUM(IF((GJ[Date]=$A$4)*(GJ[Ofc Code]=(TRIM(J$7)))*(GJ[Account Code]=(TRIM($D87))),GJ[Credit])))</f>
        <v>0</v>
      </c>
      <c r="K87" s="211">
        <f t="array" ref="K87">(SUM(IF((CkDJ[Date]=$A$4)*(CkDJ[Ofc Code]=(TRIM(K$7)))*(CkDJ[Account Code]=(TRIM($D87))),CkDJ[Debit])))+(SUM(IF((CsDJ[Date]=$A$4)*(CsDJ[Ofc Code]=(TRIM(K$7)))*(CsDJ[Account Code]=(TRIM($D87))),CsDJ[Debit])))+(SUM(IF((CRDJ[Date]=$A$4)*(CRDJ[Ofc Code]=(TRIM(K$7)))*(CRDJ[Account Code]=(TRIM($D87))),CRDJ[Debit])))+(SUM(IF((GJ[Date]=$A$4)*(GJ[Ofc Code]=(TRIM(K$7)))*(GJ[Account Code]=(TRIM($D87))),GJ[Debit])))-(SUM(IF((CkDJ[Date]=$A$4)*(CkDJ[Ofc Code]=(TRIM(K$7)))*(CkDJ[Account Code]=(TRIM($D87))),CkDJ[Credit])))+(SUM(IF((CsDJ[Date]=$A$4)*(CsDJ[Ofc Code]=(TRIM(K$7)))*(CsDJ[Account Code]=(TRIM($D87))),CsDJ[Credit])))+(SUM(IF((CRDJ[Date]=$A$4)*(CRDJ[Ofc Code]=(TRIM(K$7)))*(CRDJ[Account Code]=(TRIM($D87))),CRDJ[Credit])))+(SUM(IF((GJ[Date]=$A$4)*(GJ[Ofc Code]=(TRIM(K$7)))*(GJ[Account Code]=(TRIM($D87))),GJ[Credit])))</f>
        <v>0</v>
      </c>
      <c r="L87" s="211">
        <f t="array" ref="L87">(SUM(IF((CkDJ[Date]=$A$4)*(CkDJ[Ofc Code]=(TRIM(L$7)))*(CkDJ[Account Code]=(TRIM($D87))),CkDJ[Debit])))+(SUM(IF((CsDJ[Date]=$A$4)*(CsDJ[Ofc Code]=(TRIM(L$7)))*(CsDJ[Account Code]=(TRIM($D87))),CsDJ[Debit])))+(SUM(IF((CRDJ[Date]=$A$4)*(CRDJ[Ofc Code]=(TRIM(L$7)))*(CRDJ[Account Code]=(TRIM($D87))),CRDJ[Debit])))+(SUM(IF((GJ[Date]=$A$4)*(GJ[Ofc Code]=(TRIM(L$7)))*(GJ[Account Code]=(TRIM($D87))),GJ[Debit])))-(SUM(IF((CkDJ[Date]=$A$4)*(CkDJ[Ofc Code]=(TRIM(L$7)))*(CkDJ[Account Code]=(TRIM($D87))),CkDJ[Credit])))+(SUM(IF((CsDJ[Date]=$A$4)*(CsDJ[Ofc Code]=(TRIM(L$7)))*(CsDJ[Account Code]=(TRIM($D87))),CsDJ[Credit])))+(SUM(IF((CRDJ[Date]=$A$4)*(CRDJ[Ofc Code]=(TRIM(L$7)))*(CRDJ[Account Code]=(TRIM($D87))),CRDJ[Credit])))+(SUM(IF((GJ[Date]=$A$4)*(GJ[Ofc Code]=(TRIM(L$7)))*(GJ[Account Code]=(TRIM($D87))),GJ[Credit])))</f>
        <v>0</v>
      </c>
      <c r="M87" s="211">
        <f t="array" ref="M87">(SUM(IF((CkDJ[Date]=$A$4)*(CkDJ[Ofc Code]=(TRIM(M$7)))*(CkDJ[Account Code]=(TRIM($D87))),CkDJ[Debit])))+(SUM(IF((CsDJ[Date]=$A$4)*(CsDJ[Ofc Code]=(TRIM(M$7)))*(CsDJ[Account Code]=(TRIM($D87))),CsDJ[Debit])))+(SUM(IF((CRDJ[Date]=$A$4)*(CRDJ[Ofc Code]=(TRIM(M$7)))*(CRDJ[Account Code]=(TRIM($D87))),CRDJ[Debit])))+(SUM(IF((GJ[Date]=$A$4)*(GJ[Ofc Code]=(TRIM(M$7)))*(GJ[Account Code]=(TRIM($D87))),GJ[Debit])))-(SUM(IF((CkDJ[Date]=$A$4)*(CkDJ[Ofc Code]=(TRIM(M$7)))*(CkDJ[Account Code]=(TRIM($D87))),CkDJ[Credit])))+(SUM(IF((CsDJ[Date]=$A$4)*(CsDJ[Ofc Code]=(TRIM(M$7)))*(CsDJ[Account Code]=(TRIM($D87))),CsDJ[Credit])))+(SUM(IF((CRDJ[Date]=$A$4)*(CRDJ[Ofc Code]=(TRIM(M$7)))*(CRDJ[Account Code]=(TRIM($D87))),CRDJ[Credit])))+(SUM(IF((GJ[Date]=$A$4)*(GJ[Ofc Code]=(TRIM(M$7)))*(GJ[Account Code]=(TRIM($D87))),GJ[Credit])))</f>
        <v>0</v>
      </c>
      <c r="N87" s="211">
        <f t="shared" si="22"/>
        <v>0</v>
      </c>
      <c r="O87" s="211">
        <f t="array" ref="O87">(SUM(IF((CkDJ[Date]=$A$4)*(CkDJ[Ofc Code]=(TRIM(O$7)))*(CkDJ[Account Code]=(TRIM($D87))),CkDJ[Debit])))+(SUM(IF((CsDJ[Date]=$A$4)*(CsDJ[Ofc Code]=(TRIM(O$7)))*(CsDJ[Account Code]=(TRIM($D87))),CsDJ[Debit])))+(SUM(IF((CRDJ[Date]=$A$4)*(CRDJ[Ofc Code]=(TRIM(O$7)))*(CRDJ[Account Code]=(TRIM($D87))),CRDJ[Debit])))+(SUM(IF((GJ[Date]=$A$4)*(GJ[Ofc Code]=(TRIM(O$7)))*(GJ[Account Code]=(TRIM($D87))),GJ[Debit])))-(SUM(IF((CkDJ[Date]=$A$4)*(CkDJ[Ofc Code]=(TRIM(O$7)))*(CkDJ[Account Code]=(TRIM($D87))),CkDJ[Credit])))+(SUM(IF((CsDJ[Date]=$A$4)*(CsDJ[Ofc Code]=(TRIM(O$7)))*(CsDJ[Account Code]=(TRIM($D87))),CsDJ[Credit])))+(SUM(IF((CRDJ[Date]=$A$4)*(CRDJ[Ofc Code]=(TRIM(O$7)))*(CRDJ[Account Code]=(TRIM($D87))),CRDJ[Credit])))+(SUM(IF((GJ[Date]=$A$4)*(GJ[Ofc Code]=(TRIM(O$7)))*(GJ[Account Code]=(TRIM($D87))),GJ[Credit])))</f>
        <v>0</v>
      </c>
      <c r="P87" s="211">
        <f t="array" ref="P87">(SUM(IF((CkDJ[Date]=$A$4)*(CkDJ[Ofc Code]=(TRIM(P$7)))*(CkDJ[Account Code]=(TRIM($D87))),CkDJ[Debit])))+(SUM(IF((CsDJ[Date]=$A$4)*(CsDJ[Ofc Code]=(TRIM(P$7)))*(CsDJ[Account Code]=(TRIM($D87))),CsDJ[Debit])))+(SUM(IF((CRDJ[Date]=$A$4)*(CRDJ[Ofc Code]=(TRIM(P$7)))*(CRDJ[Account Code]=(TRIM($D87))),CRDJ[Debit])))+(SUM(IF((GJ[Date]=$A$4)*(GJ[Ofc Code]=(TRIM(P$7)))*(GJ[Account Code]=(TRIM($D87))),GJ[Debit])))-(SUM(IF((CkDJ[Date]=$A$4)*(CkDJ[Ofc Code]=(TRIM(P$7)))*(CkDJ[Account Code]=(TRIM($D87))),CkDJ[Credit])))+(SUM(IF((CsDJ[Date]=$A$4)*(CsDJ[Ofc Code]=(TRIM(P$7)))*(CsDJ[Account Code]=(TRIM($D87))),CsDJ[Credit])))+(SUM(IF((CRDJ[Date]=$A$4)*(CRDJ[Ofc Code]=(TRIM(P$7)))*(CRDJ[Account Code]=(TRIM($D87))),CRDJ[Credit])))+(SUM(IF((GJ[Date]=$A$4)*(GJ[Ofc Code]=(TRIM(P$7)))*(GJ[Account Code]=(TRIM($D87))),GJ[Credit])))</f>
        <v>0</v>
      </c>
      <c r="Q87" s="211">
        <f t="array" ref="Q87">(SUM(IF((CkDJ[Date]=$A$4)*(CkDJ[Ofc Code]=(TRIM(Q$7)))*(CkDJ[Account Code]=(TRIM($D87))),CkDJ[Debit])))+(SUM(IF((CsDJ[Date]=$A$4)*(CsDJ[Ofc Code]=(TRIM(Q$7)))*(CsDJ[Account Code]=(TRIM($D87))),CsDJ[Debit])))+(SUM(IF((CRDJ[Date]=$A$4)*(CRDJ[Ofc Code]=(TRIM(Q$7)))*(CRDJ[Account Code]=(TRIM($D87))),CRDJ[Debit])))+(SUM(IF((GJ[Date]=$A$4)*(GJ[Ofc Code]=(TRIM(Q$7)))*(GJ[Account Code]=(TRIM($D87))),GJ[Debit])))-(SUM(IF((CkDJ[Date]=$A$4)*(CkDJ[Ofc Code]=(TRIM(Q$7)))*(CkDJ[Account Code]=(TRIM($D87))),CkDJ[Credit])))+(SUM(IF((CsDJ[Date]=$A$4)*(CsDJ[Ofc Code]=(TRIM(Q$7)))*(CsDJ[Account Code]=(TRIM($D87))),CsDJ[Credit])))+(SUM(IF((CRDJ[Date]=$A$4)*(CRDJ[Ofc Code]=(TRIM(Q$7)))*(CRDJ[Account Code]=(TRIM($D87))),CRDJ[Credit])))+(SUM(IF((GJ[Date]=$A$4)*(GJ[Ofc Code]=(TRIM(Q$7)))*(GJ[Account Code]=(TRIM($D87))),GJ[Credit])))</f>
        <v>0</v>
      </c>
      <c r="R87" s="211">
        <f t="array" ref="R87">(SUM(IF((CkDJ[Date]=$A$4)*(CkDJ[Ofc Code]=(TRIM(R$7)))*(CkDJ[Account Code]=(TRIM($D87))),CkDJ[Debit])))+(SUM(IF((CsDJ[Date]=$A$4)*(CsDJ[Ofc Code]=(TRIM(R$7)))*(CsDJ[Account Code]=(TRIM($D87))),CsDJ[Debit])))+(SUM(IF((CRDJ[Date]=$A$4)*(CRDJ[Ofc Code]=(TRIM(R$7)))*(CRDJ[Account Code]=(TRIM($D87))),CRDJ[Debit])))+(SUM(IF((GJ[Date]=$A$4)*(GJ[Ofc Code]=(TRIM(R$7)))*(GJ[Account Code]=(TRIM($D87))),GJ[Debit])))-(SUM(IF((CkDJ[Date]=$A$4)*(CkDJ[Ofc Code]=(TRIM(R$7)))*(CkDJ[Account Code]=(TRIM($D87))),CkDJ[Credit])))+(SUM(IF((CsDJ[Date]=$A$4)*(CsDJ[Ofc Code]=(TRIM(R$7)))*(CsDJ[Account Code]=(TRIM($D87))),CsDJ[Credit])))+(SUM(IF((CRDJ[Date]=$A$4)*(CRDJ[Ofc Code]=(TRIM(R$7)))*(CRDJ[Account Code]=(TRIM($D87))),CRDJ[Credit])))+(SUM(IF((GJ[Date]=$A$4)*(GJ[Ofc Code]=(TRIM(R$7)))*(GJ[Account Code]=(TRIM($D87))),GJ[Credit])))</f>
        <v>0</v>
      </c>
      <c r="S87" s="211">
        <f t="array" ref="S87">(SUM(IF((CkDJ[Date]=$A$4)*(CkDJ[Ofc Code]=(TRIM(S$7)))*(CkDJ[Account Code]=(TRIM($D87))),CkDJ[Debit])))+(SUM(IF((CsDJ[Date]=$A$4)*(CsDJ[Ofc Code]=(TRIM(S$7)))*(CsDJ[Account Code]=(TRIM($D87))),CsDJ[Debit])))+(SUM(IF((CRDJ[Date]=$A$4)*(CRDJ[Ofc Code]=(TRIM(S$7)))*(CRDJ[Account Code]=(TRIM($D87))),CRDJ[Debit])))+(SUM(IF((GJ[Date]=$A$4)*(GJ[Ofc Code]=(TRIM(S$7)))*(GJ[Account Code]=(TRIM($D87))),GJ[Debit])))-(SUM(IF((CkDJ[Date]=$A$4)*(CkDJ[Ofc Code]=(TRIM(S$7)))*(CkDJ[Account Code]=(TRIM($D87))),CkDJ[Credit])))+(SUM(IF((CsDJ[Date]=$A$4)*(CsDJ[Ofc Code]=(TRIM(S$7)))*(CsDJ[Account Code]=(TRIM($D87))),CsDJ[Credit])))+(SUM(IF((CRDJ[Date]=$A$4)*(CRDJ[Ofc Code]=(TRIM(S$7)))*(CRDJ[Account Code]=(TRIM($D87))),CRDJ[Credit])))+(SUM(IF((GJ[Date]=$A$4)*(GJ[Ofc Code]=(TRIM(S$7)))*(GJ[Account Code]=(TRIM($D87))),GJ[Credit])))</f>
        <v>0</v>
      </c>
      <c r="T87" s="211">
        <f t="shared" si="23"/>
        <v>0</v>
      </c>
      <c r="U87" s="211">
        <f t="shared" si="24"/>
        <v>0</v>
      </c>
    </row>
    <row r="88" spans="1:21" ht="15" x14ac:dyDescent="0.25">
      <c r="A88" s="212">
        <f t="shared" si="19"/>
        <v>30</v>
      </c>
      <c r="B88" s="194" t="s">
        <v>756</v>
      </c>
      <c r="C88" s="194" t="str">
        <f t="shared" si="20"/>
        <v>Taxes, Duties and Licenses</v>
      </c>
      <c r="D88" s="207">
        <v>891</v>
      </c>
      <c r="E88" s="211">
        <f t="array" ref="E88">(SUM(IF((CkDJ[Date]=$A$4)*(CkDJ[Ofc Code]=(TRIM(E$7)))*(CkDJ[Account Code]=(TRIM($D88))),CkDJ[Debit])))+(SUM(IF((CsDJ[Date]=$A$4)*(CsDJ[Ofc Code]=(TRIM(E$7)))*(CsDJ[Account Code]=(TRIM($D88))),CsDJ[Debit])))+(SUM(IF((CRDJ[Date]=$A$4)*(CRDJ[Ofc Code]=(TRIM(E$7)))*(CRDJ[Account Code]=(TRIM($D88))),CRDJ[Debit])))+(SUM(IF((GJ[Date]=$A$4)*(GJ[Ofc Code]=(TRIM(E$7)))*(GJ[Account Code]=(TRIM($D88))),GJ[Debit])))-(SUM(IF((CkDJ[Date]=$A$4)*(CkDJ[Ofc Code]=(TRIM(E$7)))*(CkDJ[Account Code]=(TRIM($D88))),CkDJ[Credit])))+(SUM(IF((CsDJ[Date]=$A$4)*(CsDJ[Ofc Code]=(TRIM(E$7)))*(CsDJ[Account Code]=(TRIM($D88))),CsDJ[Credit])))+(SUM(IF((CRDJ[Date]=$A$4)*(CRDJ[Ofc Code]=(TRIM(E$7)))*(CRDJ[Account Code]=(TRIM($D88))),CRDJ[Credit])))+(SUM(IF((GJ[Date]=$A$4)*(GJ[Ofc Code]=(TRIM(E$7)))*(GJ[Account Code]=(TRIM($D88))),GJ[Credit])))</f>
        <v>0</v>
      </c>
      <c r="F88" s="211">
        <f t="array" ref="F88">(SUM(IF((CkDJ[Date]=$A$4)*(CkDJ[Ofc Code]=(TRIM(F$7)))*(CkDJ[Account Code]=(TRIM($D88))),CkDJ[Debit])))+(SUM(IF((CsDJ[Date]=$A$4)*(CsDJ[Ofc Code]=(TRIM(F$7)))*(CsDJ[Account Code]=(TRIM($D88))),CsDJ[Debit])))+(SUM(IF((CRDJ[Date]=$A$4)*(CRDJ[Ofc Code]=(TRIM(F$7)))*(CRDJ[Account Code]=(TRIM($D88))),CRDJ[Debit])))+(SUM(IF((GJ[Date]=$A$4)*(GJ[Ofc Code]=(TRIM(F$7)))*(GJ[Account Code]=(TRIM($D88))),GJ[Debit])))-(SUM(IF((CkDJ[Date]=$A$4)*(CkDJ[Ofc Code]=(TRIM(F$7)))*(CkDJ[Account Code]=(TRIM($D88))),CkDJ[Credit])))+(SUM(IF((CsDJ[Date]=$A$4)*(CsDJ[Ofc Code]=(TRIM(F$7)))*(CsDJ[Account Code]=(TRIM($D88))),CsDJ[Credit])))+(SUM(IF((CRDJ[Date]=$A$4)*(CRDJ[Ofc Code]=(TRIM(F$7)))*(CRDJ[Account Code]=(TRIM($D88))),CRDJ[Credit])))+(SUM(IF((GJ[Date]=$A$4)*(GJ[Ofc Code]=(TRIM(F$7)))*(GJ[Account Code]=(TRIM($D88))),GJ[Credit])))</f>
        <v>0</v>
      </c>
      <c r="G88" s="211">
        <f t="array" ref="G88">(SUM(IF((CkDJ[Date]=$A$4)*(CkDJ[Ofc Code]=(TRIM(G$7)))*(CkDJ[Account Code]=(TRIM($D88))),CkDJ[Debit])))+(SUM(IF((CsDJ[Date]=$A$4)*(CsDJ[Ofc Code]=(TRIM(G$7)))*(CsDJ[Account Code]=(TRIM($D88))),CsDJ[Debit])))+(SUM(IF((CRDJ[Date]=$A$4)*(CRDJ[Ofc Code]=(TRIM(G$7)))*(CRDJ[Account Code]=(TRIM($D88))),CRDJ[Debit])))+(SUM(IF((GJ[Date]=$A$4)*(GJ[Ofc Code]=(TRIM(G$7)))*(GJ[Account Code]=(TRIM($D88))),GJ[Debit])))-(SUM(IF((CkDJ[Date]=$A$4)*(CkDJ[Ofc Code]=(TRIM(G$7)))*(CkDJ[Account Code]=(TRIM($D88))),CkDJ[Credit])))+(SUM(IF((CsDJ[Date]=$A$4)*(CsDJ[Ofc Code]=(TRIM(G$7)))*(CsDJ[Account Code]=(TRIM($D88))),CsDJ[Credit])))+(SUM(IF((CRDJ[Date]=$A$4)*(CRDJ[Ofc Code]=(TRIM(G$7)))*(CRDJ[Account Code]=(TRIM($D88))),CRDJ[Credit])))+(SUM(IF((GJ[Date]=$A$4)*(GJ[Ofc Code]=(TRIM(G$7)))*(GJ[Account Code]=(TRIM($D88))),GJ[Credit])))</f>
        <v>0</v>
      </c>
      <c r="H88" s="211">
        <f t="array" ref="H88">(SUM(IF((CkDJ[Date]=$A$4)*(CkDJ[Ofc Code]=(TRIM(H$7)))*(CkDJ[Account Code]=(TRIM($D88))),CkDJ[Debit])))+(SUM(IF((CsDJ[Date]=$A$4)*(CsDJ[Ofc Code]=(TRIM(H$7)))*(CsDJ[Account Code]=(TRIM($D88))),CsDJ[Debit])))+(SUM(IF((CRDJ[Date]=$A$4)*(CRDJ[Ofc Code]=(TRIM(H$7)))*(CRDJ[Account Code]=(TRIM($D88))),CRDJ[Debit])))+(SUM(IF((GJ[Date]=$A$4)*(GJ[Ofc Code]=(TRIM(H$7)))*(GJ[Account Code]=(TRIM($D88))),GJ[Debit])))-(SUM(IF((CkDJ[Date]=$A$4)*(CkDJ[Ofc Code]=(TRIM(H$7)))*(CkDJ[Account Code]=(TRIM($D88))),CkDJ[Credit])))+(SUM(IF((CsDJ[Date]=$A$4)*(CsDJ[Ofc Code]=(TRIM(H$7)))*(CsDJ[Account Code]=(TRIM($D88))),CsDJ[Credit])))+(SUM(IF((CRDJ[Date]=$A$4)*(CRDJ[Ofc Code]=(TRIM(H$7)))*(CRDJ[Account Code]=(TRIM($D88))),CRDJ[Credit])))+(SUM(IF((GJ[Date]=$A$4)*(GJ[Ofc Code]=(TRIM(H$7)))*(GJ[Account Code]=(TRIM($D88))),GJ[Credit])))</f>
        <v>0</v>
      </c>
      <c r="I88" s="211">
        <f t="shared" si="21"/>
        <v>0</v>
      </c>
      <c r="J88" s="211">
        <f t="array" ref="J88">(SUM(IF((CkDJ[Date]=$A$4)*(CkDJ[Ofc Code]=(TRIM(J$7)))*(CkDJ[Account Code]=(TRIM($D88))),CkDJ[Debit])))+(SUM(IF((CsDJ[Date]=$A$4)*(CsDJ[Ofc Code]=(TRIM(J$7)))*(CsDJ[Account Code]=(TRIM($D88))),CsDJ[Debit])))+(SUM(IF((CRDJ[Date]=$A$4)*(CRDJ[Ofc Code]=(TRIM(J$7)))*(CRDJ[Account Code]=(TRIM($D88))),CRDJ[Debit])))+(SUM(IF((GJ[Date]=$A$4)*(GJ[Ofc Code]=(TRIM(J$7)))*(GJ[Account Code]=(TRIM($D88))),GJ[Debit])))-(SUM(IF((CkDJ[Date]=$A$4)*(CkDJ[Ofc Code]=(TRIM(J$7)))*(CkDJ[Account Code]=(TRIM($D88))),CkDJ[Credit])))+(SUM(IF((CsDJ[Date]=$A$4)*(CsDJ[Ofc Code]=(TRIM(J$7)))*(CsDJ[Account Code]=(TRIM($D88))),CsDJ[Credit])))+(SUM(IF((CRDJ[Date]=$A$4)*(CRDJ[Ofc Code]=(TRIM(J$7)))*(CRDJ[Account Code]=(TRIM($D88))),CRDJ[Credit])))+(SUM(IF((GJ[Date]=$A$4)*(GJ[Ofc Code]=(TRIM(J$7)))*(GJ[Account Code]=(TRIM($D88))),GJ[Credit])))</f>
        <v>0</v>
      </c>
      <c r="K88" s="211">
        <f t="array" ref="K88">(SUM(IF((CkDJ[Date]=$A$4)*(CkDJ[Ofc Code]=(TRIM(K$7)))*(CkDJ[Account Code]=(TRIM($D88))),CkDJ[Debit])))+(SUM(IF((CsDJ[Date]=$A$4)*(CsDJ[Ofc Code]=(TRIM(K$7)))*(CsDJ[Account Code]=(TRIM($D88))),CsDJ[Debit])))+(SUM(IF((CRDJ[Date]=$A$4)*(CRDJ[Ofc Code]=(TRIM(K$7)))*(CRDJ[Account Code]=(TRIM($D88))),CRDJ[Debit])))+(SUM(IF((GJ[Date]=$A$4)*(GJ[Ofc Code]=(TRIM(K$7)))*(GJ[Account Code]=(TRIM($D88))),GJ[Debit])))-(SUM(IF((CkDJ[Date]=$A$4)*(CkDJ[Ofc Code]=(TRIM(K$7)))*(CkDJ[Account Code]=(TRIM($D88))),CkDJ[Credit])))+(SUM(IF((CsDJ[Date]=$A$4)*(CsDJ[Ofc Code]=(TRIM(K$7)))*(CsDJ[Account Code]=(TRIM($D88))),CsDJ[Credit])))+(SUM(IF((CRDJ[Date]=$A$4)*(CRDJ[Ofc Code]=(TRIM(K$7)))*(CRDJ[Account Code]=(TRIM($D88))),CRDJ[Credit])))+(SUM(IF((GJ[Date]=$A$4)*(GJ[Ofc Code]=(TRIM(K$7)))*(GJ[Account Code]=(TRIM($D88))),GJ[Credit])))</f>
        <v>0</v>
      </c>
      <c r="L88" s="211">
        <f t="array" ref="L88">(SUM(IF((CkDJ[Date]=$A$4)*(CkDJ[Ofc Code]=(TRIM(L$7)))*(CkDJ[Account Code]=(TRIM($D88))),CkDJ[Debit])))+(SUM(IF((CsDJ[Date]=$A$4)*(CsDJ[Ofc Code]=(TRIM(L$7)))*(CsDJ[Account Code]=(TRIM($D88))),CsDJ[Debit])))+(SUM(IF((CRDJ[Date]=$A$4)*(CRDJ[Ofc Code]=(TRIM(L$7)))*(CRDJ[Account Code]=(TRIM($D88))),CRDJ[Debit])))+(SUM(IF((GJ[Date]=$A$4)*(GJ[Ofc Code]=(TRIM(L$7)))*(GJ[Account Code]=(TRIM($D88))),GJ[Debit])))-(SUM(IF((CkDJ[Date]=$A$4)*(CkDJ[Ofc Code]=(TRIM(L$7)))*(CkDJ[Account Code]=(TRIM($D88))),CkDJ[Credit])))+(SUM(IF((CsDJ[Date]=$A$4)*(CsDJ[Ofc Code]=(TRIM(L$7)))*(CsDJ[Account Code]=(TRIM($D88))),CsDJ[Credit])))+(SUM(IF((CRDJ[Date]=$A$4)*(CRDJ[Ofc Code]=(TRIM(L$7)))*(CRDJ[Account Code]=(TRIM($D88))),CRDJ[Credit])))+(SUM(IF((GJ[Date]=$A$4)*(GJ[Ofc Code]=(TRIM(L$7)))*(GJ[Account Code]=(TRIM($D88))),GJ[Credit])))</f>
        <v>0</v>
      </c>
      <c r="M88" s="211">
        <f t="array" ref="M88">(SUM(IF((CkDJ[Date]=$A$4)*(CkDJ[Ofc Code]=(TRIM(M$7)))*(CkDJ[Account Code]=(TRIM($D88))),CkDJ[Debit])))+(SUM(IF((CsDJ[Date]=$A$4)*(CsDJ[Ofc Code]=(TRIM(M$7)))*(CsDJ[Account Code]=(TRIM($D88))),CsDJ[Debit])))+(SUM(IF((CRDJ[Date]=$A$4)*(CRDJ[Ofc Code]=(TRIM(M$7)))*(CRDJ[Account Code]=(TRIM($D88))),CRDJ[Debit])))+(SUM(IF((GJ[Date]=$A$4)*(GJ[Ofc Code]=(TRIM(M$7)))*(GJ[Account Code]=(TRIM($D88))),GJ[Debit])))-(SUM(IF((CkDJ[Date]=$A$4)*(CkDJ[Ofc Code]=(TRIM(M$7)))*(CkDJ[Account Code]=(TRIM($D88))),CkDJ[Credit])))+(SUM(IF((CsDJ[Date]=$A$4)*(CsDJ[Ofc Code]=(TRIM(M$7)))*(CsDJ[Account Code]=(TRIM($D88))),CsDJ[Credit])))+(SUM(IF((CRDJ[Date]=$A$4)*(CRDJ[Ofc Code]=(TRIM(M$7)))*(CRDJ[Account Code]=(TRIM($D88))),CRDJ[Credit])))+(SUM(IF((GJ[Date]=$A$4)*(GJ[Ofc Code]=(TRIM(M$7)))*(GJ[Account Code]=(TRIM($D88))),GJ[Credit])))</f>
        <v>0</v>
      </c>
      <c r="N88" s="211">
        <f t="shared" si="22"/>
        <v>0</v>
      </c>
      <c r="O88" s="211">
        <f t="array" ref="O88">(SUM(IF((CkDJ[Date]=$A$4)*(CkDJ[Ofc Code]=(TRIM(O$7)))*(CkDJ[Account Code]=(TRIM($D88))),CkDJ[Debit])))+(SUM(IF((CsDJ[Date]=$A$4)*(CsDJ[Ofc Code]=(TRIM(O$7)))*(CsDJ[Account Code]=(TRIM($D88))),CsDJ[Debit])))+(SUM(IF((CRDJ[Date]=$A$4)*(CRDJ[Ofc Code]=(TRIM(O$7)))*(CRDJ[Account Code]=(TRIM($D88))),CRDJ[Debit])))+(SUM(IF((GJ[Date]=$A$4)*(GJ[Ofc Code]=(TRIM(O$7)))*(GJ[Account Code]=(TRIM($D88))),GJ[Debit])))-(SUM(IF((CkDJ[Date]=$A$4)*(CkDJ[Ofc Code]=(TRIM(O$7)))*(CkDJ[Account Code]=(TRIM($D88))),CkDJ[Credit])))+(SUM(IF((CsDJ[Date]=$A$4)*(CsDJ[Ofc Code]=(TRIM(O$7)))*(CsDJ[Account Code]=(TRIM($D88))),CsDJ[Credit])))+(SUM(IF((CRDJ[Date]=$A$4)*(CRDJ[Ofc Code]=(TRIM(O$7)))*(CRDJ[Account Code]=(TRIM($D88))),CRDJ[Credit])))+(SUM(IF((GJ[Date]=$A$4)*(GJ[Ofc Code]=(TRIM(O$7)))*(GJ[Account Code]=(TRIM($D88))),GJ[Credit])))</f>
        <v>0</v>
      </c>
      <c r="P88" s="211">
        <f t="array" ref="P88">(SUM(IF((CkDJ[Date]=$A$4)*(CkDJ[Ofc Code]=(TRIM(P$7)))*(CkDJ[Account Code]=(TRIM($D88))),CkDJ[Debit])))+(SUM(IF((CsDJ[Date]=$A$4)*(CsDJ[Ofc Code]=(TRIM(P$7)))*(CsDJ[Account Code]=(TRIM($D88))),CsDJ[Debit])))+(SUM(IF((CRDJ[Date]=$A$4)*(CRDJ[Ofc Code]=(TRIM(P$7)))*(CRDJ[Account Code]=(TRIM($D88))),CRDJ[Debit])))+(SUM(IF((GJ[Date]=$A$4)*(GJ[Ofc Code]=(TRIM(P$7)))*(GJ[Account Code]=(TRIM($D88))),GJ[Debit])))-(SUM(IF((CkDJ[Date]=$A$4)*(CkDJ[Ofc Code]=(TRIM(P$7)))*(CkDJ[Account Code]=(TRIM($D88))),CkDJ[Credit])))+(SUM(IF((CsDJ[Date]=$A$4)*(CsDJ[Ofc Code]=(TRIM(P$7)))*(CsDJ[Account Code]=(TRIM($D88))),CsDJ[Credit])))+(SUM(IF((CRDJ[Date]=$A$4)*(CRDJ[Ofc Code]=(TRIM(P$7)))*(CRDJ[Account Code]=(TRIM($D88))),CRDJ[Credit])))+(SUM(IF((GJ[Date]=$A$4)*(GJ[Ofc Code]=(TRIM(P$7)))*(GJ[Account Code]=(TRIM($D88))),GJ[Credit])))</f>
        <v>0</v>
      </c>
      <c r="Q88" s="211">
        <f t="array" ref="Q88">(SUM(IF((CkDJ[Date]=$A$4)*(CkDJ[Ofc Code]=(TRIM(Q$7)))*(CkDJ[Account Code]=(TRIM($D88))),CkDJ[Debit])))+(SUM(IF((CsDJ[Date]=$A$4)*(CsDJ[Ofc Code]=(TRIM(Q$7)))*(CsDJ[Account Code]=(TRIM($D88))),CsDJ[Debit])))+(SUM(IF((CRDJ[Date]=$A$4)*(CRDJ[Ofc Code]=(TRIM(Q$7)))*(CRDJ[Account Code]=(TRIM($D88))),CRDJ[Debit])))+(SUM(IF((GJ[Date]=$A$4)*(GJ[Ofc Code]=(TRIM(Q$7)))*(GJ[Account Code]=(TRIM($D88))),GJ[Debit])))-(SUM(IF((CkDJ[Date]=$A$4)*(CkDJ[Ofc Code]=(TRIM(Q$7)))*(CkDJ[Account Code]=(TRIM($D88))),CkDJ[Credit])))+(SUM(IF((CsDJ[Date]=$A$4)*(CsDJ[Ofc Code]=(TRIM(Q$7)))*(CsDJ[Account Code]=(TRIM($D88))),CsDJ[Credit])))+(SUM(IF((CRDJ[Date]=$A$4)*(CRDJ[Ofc Code]=(TRIM(Q$7)))*(CRDJ[Account Code]=(TRIM($D88))),CRDJ[Credit])))+(SUM(IF((GJ[Date]=$A$4)*(GJ[Ofc Code]=(TRIM(Q$7)))*(GJ[Account Code]=(TRIM($D88))),GJ[Credit])))</f>
        <v>0</v>
      </c>
      <c r="R88" s="211">
        <f t="array" ref="R88">(SUM(IF((CkDJ[Date]=$A$4)*(CkDJ[Ofc Code]=(TRIM(R$7)))*(CkDJ[Account Code]=(TRIM($D88))),CkDJ[Debit])))+(SUM(IF((CsDJ[Date]=$A$4)*(CsDJ[Ofc Code]=(TRIM(R$7)))*(CsDJ[Account Code]=(TRIM($D88))),CsDJ[Debit])))+(SUM(IF((CRDJ[Date]=$A$4)*(CRDJ[Ofc Code]=(TRIM(R$7)))*(CRDJ[Account Code]=(TRIM($D88))),CRDJ[Debit])))+(SUM(IF((GJ[Date]=$A$4)*(GJ[Ofc Code]=(TRIM(R$7)))*(GJ[Account Code]=(TRIM($D88))),GJ[Debit])))-(SUM(IF((CkDJ[Date]=$A$4)*(CkDJ[Ofc Code]=(TRIM(R$7)))*(CkDJ[Account Code]=(TRIM($D88))),CkDJ[Credit])))+(SUM(IF((CsDJ[Date]=$A$4)*(CsDJ[Ofc Code]=(TRIM(R$7)))*(CsDJ[Account Code]=(TRIM($D88))),CsDJ[Credit])))+(SUM(IF((CRDJ[Date]=$A$4)*(CRDJ[Ofc Code]=(TRIM(R$7)))*(CRDJ[Account Code]=(TRIM($D88))),CRDJ[Credit])))+(SUM(IF((GJ[Date]=$A$4)*(GJ[Ofc Code]=(TRIM(R$7)))*(GJ[Account Code]=(TRIM($D88))),GJ[Credit])))</f>
        <v>0</v>
      </c>
      <c r="S88" s="211">
        <f t="array" ref="S88">(SUM(IF((CkDJ[Date]=$A$4)*(CkDJ[Ofc Code]=(TRIM(S$7)))*(CkDJ[Account Code]=(TRIM($D88))),CkDJ[Debit])))+(SUM(IF((CsDJ[Date]=$A$4)*(CsDJ[Ofc Code]=(TRIM(S$7)))*(CsDJ[Account Code]=(TRIM($D88))),CsDJ[Debit])))+(SUM(IF((CRDJ[Date]=$A$4)*(CRDJ[Ofc Code]=(TRIM(S$7)))*(CRDJ[Account Code]=(TRIM($D88))),CRDJ[Debit])))+(SUM(IF((GJ[Date]=$A$4)*(GJ[Ofc Code]=(TRIM(S$7)))*(GJ[Account Code]=(TRIM($D88))),GJ[Debit])))-(SUM(IF((CkDJ[Date]=$A$4)*(CkDJ[Ofc Code]=(TRIM(S$7)))*(CkDJ[Account Code]=(TRIM($D88))),CkDJ[Credit])))+(SUM(IF((CsDJ[Date]=$A$4)*(CsDJ[Ofc Code]=(TRIM(S$7)))*(CsDJ[Account Code]=(TRIM($D88))),CsDJ[Credit])))+(SUM(IF((CRDJ[Date]=$A$4)*(CRDJ[Ofc Code]=(TRIM(S$7)))*(CRDJ[Account Code]=(TRIM($D88))),CRDJ[Credit])))+(SUM(IF((GJ[Date]=$A$4)*(GJ[Ofc Code]=(TRIM(S$7)))*(GJ[Account Code]=(TRIM($D88))),GJ[Credit])))</f>
        <v>0</v>
      </c>
      <c r="T88" s="211">
        <f t="shared" si="23"/>
        <v>0</v>
      </c>
      <c r="U88" s="211">
        <f t="shared" si="24"/>
        <v>0</v>
      </c>
    </row>
    <row r="89" spans="1:21" ht="15" x14ac:dyDescent="0.25">
      <c r="A89" s="212">
        <f t="shared" si="19"/>
        <v>31</v>
      </c>
      <c r="B89" s="194" t="s">
        <v>756</v>
      </c>
      <c r="C89" s="194" t="str">
        <f t="shared" si="20"/>
        <v>Fidelity Bond Premiums</v>
      </c>
      <c r="D89" s="207">
        <v>892</v>
      </c>
      <c r="E89" s="211">
        <f t="array" ref="E89">(SUM(IF((CkDJ[Date]=$A$4)*(CkDJ[Ofc Code]=(TRIM(E$7)))*(CkDJ[Account Code]=(TRIM($D89))),CkDJ[Debit])))+(SUM(IF((CsDJ[Date]=$A$4)*(CsDJ[Ofc Code]=(TRIM(E$7)))*(CsDJ[Account Code]=(TRIM($D89))),CsDJ[Debit])))+(SUM(IF((CRDJ[Date]=$A$4)*(CRDJ[Ofc Code]=(TRIM(E$7)))*(CRDJ[Account Code]=(TRIM($D89))),CRDJ[Debit])))+(SUM(IF((GJ[Date]=$A$4)*(GJ[Ofc Code]=(TRIM(E$7)))*(GJ[Account Code]=(TRIM($D89))),GJ[Debit])))-(SUM(IF((CkDJ[Date]=$A$4)*(CkDJ[Ofc Code]=(TRIM(E$7)))*(CkDJ[Account Code]=(TRIM($D89))),CkDJ[Credit])))+(SUM(IF((CsDJ[Date]=$A$4)*(CsDJ[Ofc Code]=(TRIM(E$7)))*(CsDJ[Account Code]=(TRIM($D89))),CsDJ[Credit])))+(SUM(IF((CRDJ[Date]=$A$4)*(CRDJ[Ofc Code]=(TRIM(E$7)))*(CRDJ[Account Code]=(TRIM($D89))),CRDJ[Credit])))+(SUM(IF((GJ[Date]=$A$4)*(GJ[Ofc Code]=(TRIM(E$7)))*(GJ[Account Code]=(TRIM($D89))),GJ[Credit])))</f>
        <v>0</v>
      </c>
      <c r="F89" s="211">
        <f t="array" ref="F89">(SUM(IF((CkDJ[Date]=$A$4)*(CkDJ[Ofc Code]=(TRIM(F$7)))*(CkDJ[Account Code]=(TRIM($D89))),CkDJ[Debit])))+(SUM(IF((CsDJ[Date]=$A$4)*(CsDJ[Ofc Code]=(TRIM(F$7)))*(CsDJ[Account Code]=(TRIM($D89))),CsDJ[Debit])))+(SUM(IF((CRDJ[Date]=$A$4)*(CRDJ[Ofc Code]=(TRIM(F$7)))*(CRDJ[Account Code]=(TRIM($D89))),CRDJ[Debit])))+(SUM(IF((GJ[Date]=$A$4)*(GJ[Ofc Code]=(TRIM(F$7)))*(GJ[Account Code]=(TRIM($D89))),GJ[Debit])))-(SUM(IF((CkDJ[Date]=$A$4)*(CkDJ[Ofc Code]=(TRIM(F$7)))*(CkDJ[Account Code]=(TRIM($D89))),CkDJ[Credit])))+(SUM(IF((CsDJ[Date]=$A$4)*(CsDJ[Ofc Code]=(TRIM(F$7)))*(CsDJ[Account Code]=(TRIM($D89))),CsDJ[Credit])))+(SUM(IF((CRDJ[Date]=$A$4)*(CRDJ[Ofc Code]=(TRIM(F$7)))*(CRDJ[Account Code]=(TRIM($D89))),CRDJ[Credit])))+(SUM(IF((GJ[Date]=$A$4)*(GJ[Ofc Code]=(TRIM(F$7)))*(GJ[Account Code]=(TRIM($D89))),GJ[Credit])))</f>
        <v>0</v>
      </c>
      <c r="G89" s="211">
        <f t="array" ref="G89">(SUM(IF((CkDJ[Date]=$A$4)*(CkDJ[Ofc Code]=(TRIM(G$7)))*(CkDJ[Account Code]=(TRIM($D89))),CkDJ[Debit])))+(SUM(IF((CsDJ[Date]=$A$4)*(CsDJ[Ofc Code]=(TRIM(G$7)))*(CsDJ[Account Code]=(TRIM($D89))),CsDJ[Debit])))+(SUM(IF((CRDJ[Date]=$A$4)*(CRDJ[Ofc Code]=(TRIM(G$7)))*(CRDJ[Account Code]=(TRIM($D89))),CRDJ[Debit])))+(SUM(IF((GJ[Date]=$A$4)*(GJ[Ofc Code]=(TRIM(G$7)))*(GJ[Account Code]=(TRIM($D89))),GJ[Debit])))-(SUM(IF((CkDJ[Date]=$A$4)*(CkDJ[Ofc Code]=(TRIM(G$7)))*(CkDJ[Account Code]=(TRIM($D89))),CkDJ[Credit])))+(SUM(IF((CsDJ[Date]=$A$4)*(CsDJ[Ofc Code]=(TRIM(G$7)))*(CsDJ[Account Code]=(TRIM($D89))),CsDJ[Credit])))+(SUM(IF((CRDJ[Date]=$A$4)*(CRDJ[Ofc Code]=(TRIM(G$7)))*(CRDJ[Account Code]=(TRIM($D89))),CRDJ[Credit])))+(SUM(IF((GJ[Date]=$A$4)*(GJ[Ofc Code]=(TRIM(G$7)))*(GJ[Account Code]=(TRIM($D89))),GJ[Credit])))</f>
        <v>0</v>
      </c>
      <c r="H89" s="211">
        <f t="array" ref="H89">(SUM(IF((CkDJ[Date]=$A$4)*(CkDJ[Ofc Code]=(TRIM(H$7)))*(CkDJ[Account Code]=(TRIM($D89))),CkDJ[Debit])))+(SUM(IF((CsDJ[Date]=$A$4)*(CsDJ[Ofc Code]=(TRIM(H$7)))*(CsDJ[Account Code]=(TRIM($D89))),CsDJ[Debit])))+(SUM(IF((CRDJ[Date]=$A$4)*(CRDJ[Ofc Code]=(TRIM(H$7)))*(CRDJ[Account Code]=(TRIM($D89))),CRDJ[Debit])))+(SUM(IF((GJ[Date]=$A$4)*(GJ[Ofc Code]=(TRIM(H$7)))*(GJ[Account Code]=(TRIM($D89))),GJ[Debit])))-(SUM(IF((CkDJ[Date]=$A$4)*(CkDJ[Ofc Code]=(TRIM(H$7)))*(CkDJ[Account Code]=(TRIM($D89))),CkDJ[Credit])))+(SUM(IF((CsDJ[Date]=$A$4)*(CsDJ[Ofc Code]=(TRIM(H$7)))*(CsDJ[Account Code]=(TRIM($D89))),CsDJ[Credit])))+(SUM(IF((CRDJ[Date]=$A$4)*(CRDJ[Ofc Code]=(TRIM(H$7)))*(CRDJ[Account Code]=(TRIM($D89))),CRDJ[Credit])))+(SUM(IF((GJ[Date]=$A$4)*(GJ[Ofc Code]=(TRIM(H$7)))*(GJ[Account Code]=(TRIM($D89))),GJ[Credit])))</f>
        <v>0</v>
      </c>
      <c r="I89" s="211">
        <f t="shared" si="21"/>
        <v>0</v>
      </c>
      <c r="J89" s="211">
        <f t="array" ref="J89">(SUM(IF((CkDJ[Date]=$A$4)*(CkDJ[Ofc Code]=(TRIM(J$7)))*(CkDJ[Account Code]=(TRIM($D89))),CkDJ[Debit])))+(SUM(IF((CsDJ[Date]=$A$4)*(CsDJ[Ofc Code]=(TRIM(J$7)))*(CsDJ[Account Code]=(TRIM($D89))),CsDJ[Debit])))+(SUM(IF((CRDJ[Date]=$A$4)*(CRDJ[Ofc Code]=(TRIM(J$7)))*(CRDJ[Account Code]=(TRIM($D89))),CRDJ[Debit])))+(SUM(IF((GJ[Date]=$A$4)*(GJ[Ofc Code]=(TRIM(J$7)))*(GJ[Account Code]=(TRIM($D89))),GJ[Debit])))-(SUM(IF((CkDJ[Date]=$A$4)*(CkDJ[Ofc Code]=(TRIM(J$7)))*(CkDJ[Account Code]=(TRIM($D89))),CkDJ[Credit])))+(SUM(IF((CsDJ[Date]=$A$4)*(CsDJ[Ofc Code]=(TRIM(J$7)))*(CsDJ[Account Code]=(TRIM($D89))),CsDJ[Credit])))+(SUM(IF((CRDJ[Date]=$A$4)*(CRDJ[Ofc Code]=(TRIM(J$7)))*(CRDJ[Account Code]=(TRIM($D89))),CRDJ[Credit])))+(SUM(IF((GJ[Date]=$A$4)*(GJ[Ofc Code]=(TRIM(J$7)))*(GJ[Account Code]=(TRIM($D89))),GJ[Credit])))</f>
        <v>0</v>
      </c>
      <c r="K89" s="211">
        <f t="array" ref="K89">(SUM(IF((CkDJ[Date]=$A$4)*(CkDJ[Ofc Code]=(TRIM(K$7)))*(CkDJ[Account Code]=(TRIM($D89))),CkDJ[Debit])))+(SUM(IF((CsDJ[Date]=$A$4)*(CsDJ[Ofc Code]=(TRIM(K$7)))*(CsDJ[Account Code]=(TRIM($D89))),CsDJ[Debit])))+(SUM(IF((CRDJ[Date]=$A$4)*(CRDJ[Ofc Code]=(TRIM(K$7)))*(CRDJ[Account Code]=(TRIM($D89))),CRDJ[Debit])))+(SUM(IF((GJ[Date]=$A$4)*(GJ[Ofc Code]=(TRIM(K$7)))*(GJ[Account Code]=(TRIM($D89))),GJ[Debit])))-(SUM(IF((CkDJ[Date]=$A$4)*(CkDJ[Ofc Code]=(TRIM(K$7)))*(CkDJ[Account Code]=(TRIM($D89))),CkDJ[Credit])))+(SUM(IF((CsDJ[Date]=$A$4)*(CsDJ[Ofc Code]=(TRIM(K$7)))*(CsDJ[Account Code]=(TRIM($D89))),CsDJ[Credit])))+(SUM(IF((CRDJ[Date]=$A$4)*(CRDJ[Ofc Code]=(TRIM(K$7)))*(CRDJ[Account Code]=(TRIM($D89))),CRDJ[Credit])))+(SUM(IF((GJ[Date]=$A$4)*(GJ[Ofc Code]=(TRIM(K$7)))*(GJ[Account Code]=(TRIM($D89))),GJ[Credit])))</f>
        <v>0</v>
      </c>
      <c r="L89" s="211">
        <f t="array" ref="L89">(SUM(IF((CkDJ[Date]=$A$4)*(CkDJ[Ofc Code]=(TRIM(L$7)))*(CkDJ[Account Code]=(TRIM($D89))),CkDJ[Debit])))+(SUM(IF((CsDJ[Date]=$A$4)*(CsDJ[Ofc Code]=(TRIM(L$7)))*(CsDJ[Account Code]=(TRIM($D89))),CsDJ[Debit])))+(SUM(IF((CRDJ[Date]=$A$4)*(CRDJ[Ofc Code]=(TRIM(L$7)))*(CRDJ[Account Code]=(TRIM($D89))),CRDJ[Debit])))+(SUM(IF((GJ[Date]=$A$4)*(GJ[Ofc Code]=(TRIM(L$7)))*(GJ[Account Code]=(TRIM($D89))),GJ[Debit])))-(SUM(IF((CkDJ[Date]=$A$4)*(CkDJ[Ofc Code]=(TRIM(L$7)))*(CkDJ[Account Code]=(TRIM($D89))),CkDJ[Credit])))+(SUM(IF((CsDJ[Date]=$A$4)*(CsDJ[Ofc Code]=(TRIM(L$7)))*(CsDJ[Account Code]=(TRIM($D89))),CsDJ[Credit])))+(SUM(IF((CRDJ[Date]=$A$4)*(CRDJ[Ofc Code]=(TRIM(L$7)))*(CRDJ[Account Code]=(TRIM($D89))),CRDJ[Credit])))+(SUM(IF((GJ[Date]=$A$4)*(GJ[Ofc Code]=(TRIM(L$7)))*(GJ[Account Code]=(TRIM($D89))),GJ[Credit])))</f>
        <v>0</v>
      </c>
      <c r="M89" s="211">
        <f t="array" ref="M89">(SUM(IF((CkDJ[Date]=$A$4)*(CkDJ[Ofc Code]=(TRIM(M$7)))*(CkDJ[Account Code]=(TRIM($D89))),CkDJ[Debit])))+(SUM(IF((CsDJ[Date]=$A$4)*(CsDJ[Ofc Code]=(TRIM(M$7)))*(CsDJ[Account Code]=(TRIM($D89))),CsDJ[Debit])))+(SUM(IF((CRDJ[Date]=$A$4)*(CRDJ[Ofc Code]=(TRIM(M$7)))*(CRDJ[Account Code]=(TRIM($D89))),CRDJ[Debit])))+(SUM(IF((GJ[Date]=$A$4)*(GJ[Ofc Code]=(TRIM(M$7)))*(GJ[Account Code]=(TRIM($D89))),GJ[Debit])))-(SUM(IF((CkDJ[Date]=$A$4)*(CkDJ[Ofc Code]=(TRIM(M$7)))*(CkDJ[Account Code]=(TRIM($D89))),CkDJ[Credit])))+(SUM(IF((CsDJ[Date]=$A$4)*(CsDJ[Ofc Code]=(TRIM(M$7)))*(CsDJ[Account Code]=(TRIM($D89))),CsDJ[Credit])))+(SUM(IF((CRDJ[Date]=$A$4)*(CRDJ[Ofc Code]=(TRIM(M$7)))*(CRDJ[Account Code]=(TRIM($D89))),CRDJ[Credit])))+(SUM(IF((GJ[Date]=$A$4)*(GJ[Ofc Code]=(TRIM(M$7)))*(GJ[Account Code]=(TRIM($D89))),GJ[Credit])))</f>
        <v>0</v>
      </c>
      <c r="N89" s="211">
        <f t="shared" si="22"/>
        <v>0</v>
      </c>
      <c r="O89" s="211">
        <f t="array" ref="O89">(SUM(IF((CkDJ[Date]=$A$4)*(CkDJ[Ofc Code]=(TRIM(O$7)))*(CkDJ[Account Code]=(TRIM($D89))),CkDJ[Debit])))+(SUM(IF((CsDJ[Date]=$A$4)*(CsDJ[Ofc Code]=(TRIM(O$7)))*(CsDJ[Account Code]=(TRIM($D89))),CsDJ[Debit])))+(SUM(IF((CRDJ[Date]=$A$4)*(CRDJ[Ofc Code]=(TRIM(O$7)))*(CRDJ[Account Code]=(TRIM($D89))),CRDJ[Debit])))+(SUM(IF((GJ[Date]=$A$4)*(GJ[Ofc Code]=(TRIM(O$7)))*(GJ[Account Code]=(TRIM($D89))),GJ[Debit])))-(SUM(IF((CkDJ[Date]=$A$4)*(CkDJ[Ofc Code]=(TRIM(O$7)))*(CkDJ[Account Code]=(TRIM($D89))),CkDJ[Credit])))+(SUM(IF((CsDJ[Date]=$A$4)*(CsDJ[Ofc Code]=(TRIM(O$7)))*(CsDJ[Account Code]=(TRIM($D89))),CsDJ[Credit])))+(SUM(IF((CRDJ[Date]=$A$4)*(CRDJ[Ofc Code]=(TRIM(O$7)))*(CRDJ[Account Code]=(TRIM($D89))),CRDJ[Credit])))+(SUM(IF((GJ[Date]=$A$4)*(GJ[Ofc Code]=(TRIM(O$7)))*(GJ[Account Code]=(TRIM($D89))),GJ[Credit])))</f>
        <v>0</v>
      </c>
      <c r="P89" s="211">
        <f t="array" ref="P89">(SUM(IF((CkDJ[Date]=$A$4)*(CkDJ[Ofc Code]=(TRIM(P$7)))*(CkDJ[Account Code]=(TRIM($D89))),CkDJ[Debit])))+(SUM(IF((CsDJ[Date]=$A$4)*(CsDJ[Ofc Code]=(TRIM(P$7)))*(CsDJ[Account Code]=(TRIM($D89))),CsDJ[Debit])))+(SUM(IF((CRDJ[Date]=$A$4)*(CRDJ[Ofc Code]=(TRIM(P$7)))*(CRDJ[Account Code]=(TRIM($D89))),CRDJ[Debit])))+(SUM(IF((GJ[Date]=$A$4)*(GJ[Ofc Code]=(TRIM(P$7)))*(GJ[Account Code]=(TRIM($D89))),GJ[Debit])))-(SUM(IF((CkDJ[Date]=$A$4)*(CkDJ[Ofc Code]=(TRIM(P$7)))*(CkDJ[Account Code]=(TRIM($D89))),CkDJ[Credit])))+(SUM(IF((CsDJ[Date]=$A$4)*(CsDJ[Ofc Code]=(TRIM(P$7)))*(CsDJ[Account Code]=(TRIM($D89))),CsDJ[Credit])))+(SUM(IF((CRDJ[Date]=$A$4)*(CRDJ[Ofc Code]=(TRIM(P$7)))*(CRDJ[Account Code]=(TRIM($D89))),CRDJ[Credit])))+(SUM(IF((GJ[Date]=$A$4)*(GJ[Ofc Code]=(TRIM(P$7)))*(GJ[Account Code]=(TRIM($D89))),GJ[Credit])))</f>
        <v>0</v>
      </c>
      <c r="Q89" s="211">
        <f t="array" ref="Q89">(SUM(IF((CkDJ[Date]=$A$4)*(CkDJ[Ofc Code]=(TRIM(Q$7)))*(CkDJ[Account Code]=(TRIM($D89))),CkDJ[Debit])))+(SUM(IF((CsDJ[Date]=$A$4)*(CsDJ[Ofc Code]=(TRIM(Q$7)))*(CsDJ[Account Code]=(TRIM($D89))),CsDJ[Debit])))+(SUM(IF((CRDJ[Date]=$A$4)*(CRDJ[Ofc Code]=(TRIM(Q$7)))*(CRDJ[Account Code]=(TRIM($D89))),CRDJ[Debit])))+(SUM(IF((GJ[Date]=$A$4)*(GJ[Ofc Code]=(TRIM(Q$7)))*(GJ[Account Code]=(TRIM($D89))),GJ[Debit])))-(SUM(IF((CkDJ[Date]=$A$4)*(CkDJ[Ofc Code]=(TRIM(Q$7)))*(CkDJ[Account Code]=(TRIM($D89))),CkDJ[Credit])))+(SUM(IF((CsDJ[Date]=$A$4)*(CsDJ[Ofc Code]=(TRIM(Q$7)))*(CsDJ[Account Code]=(TRIM($D89))),CsDJ[Credit])))+(SUM(IF((CRDJ[Date]=$A$4)*(CRDJ[Ofc Code]=(TRIM(Q$7)))*(CRDJ[Account Code]=(TRIM($D89))),CRDJ[Credit])))+(SUM(IF((GJ[Date]=$A$4)*(GJ[Ofc Code]=(TRIM(Q$7)))*(GJ[Account Code]=(TRIM($D89))),GJ[Credit])))</f>
        <v>0</v>
      </c>
      <c r="R89" s="211">
        <f t="array" ref="R89">(SUM(IF((CkDJ[Date]=$A$4)*(CkDJ[Ofc Code]=(TRIM(R$7)))*(CkDJ[Account Code]=(TRIM($D89))),CkDJ[Debit])))+(SUM(IF((CsDJ[Date]=$A$4)*(CsDJ[Ofc Code]=(TRIM(R$7)))*(CsDJ[Account Code]=(TRIM($D89))),CsDJ[Debit])))+(SUM(IF((CRDJ[Date]=$A$4)*(CRDJ[Ofc Code]=(TRIM(R$7)))*(CRDJ[Account Code]=(TRIM($D89))),CRDJ[Debit])))+(SUM(IF((GJ[Date]=$A$4)*(GJ[Ofc Code]=(TRIM(R$7)))*(GJ[Account Code]=(TRIM($D89))),GJ[Debit])))-(SUM(IF((CkDJ[Date]=$A$4)*(CkDJ[Ofc Code]=(TRIM(R$7)))*(CkDJ[Account Code]=(TRIM($D89))),CkDJ[Credit])))+(SUM(IF((CsDJ[Date]=$A$4)*(CsDJ[Ofc Code]=(TRIM(R$7)))*(CsDJ[Account Code]=(TRIM($D89))),CsDJ[Credit])))+(SUM(IF((CRDJ[Date]=$A$4)*(CRDJ[Ofc Code]=(TRIM(R$7)))*(CRDJ[Account Code]=(TRIM($D89))),CRDJ[Credit])))+(SUM(IF((GJ[Date]=$A$4)*(GJ[Ofc Code]=(TRIM(R$7)))*(GJ[Account Code]=(TRIM($D89))),GJ[Credit])))</f>
        <v>0</v>
      </c>
      <c r="S89" s="211">
        <f t="array" ref="S89">(SUM(IF((CkDJ[Date]=$A$4)*(CkDJ[Ofc Code]=(TRIM(S$7)))*(CkDJ[Account Code]=(TRIM($D89))),CkDJ[Debit])))+(SUM(IF((CsDJ[Date]=$A$4)*(CsDJ[Ofc Code]=(TRIM(S$7)))*(CsDJ[Account Code]=(TRIM($D89))),CsDJ[Debit])))+(SUM(IF((CRDJ[Date]=$A$4)*(CRDJ[Ofc Code]=(TRIM(S$7)))*(CRDJ[Account Code]=(TRIM($D89))),CRDJ[Debit])))+(SUM(IF((GJ[Date]=$A$4)*(GJ[Ofc Code]=(TRIM(S$7)))*(GJ[Account Code]=(TRIM($D89))),GJ[Debit])))-(SUM(IF((CkDJ[Date]=$A$4)*(CkDJ[Ofc Code]=(TRIM(S$7)))*(CkDJ[Account Code]=(TRIM($D89))),CkDJ[Credit])))+(SUM(IF((CsDJ[Date]=$A$4)*(CsDJ[Ofc Code]=(TRIM(S$7)))*(CsDJ[Account Code]=(TRIM($D89))),CsDJ[Credit])))+(SUM(IF((CRDJ[Date]=$A$4)*(CRDJ[Ofc Code]=(TRIM(S$7)))*(CRDJ[Account Code]=(TRIM($D89))),CRDJ[Credit])))+(SUM(IF((GJ[Date]=$A$4)*(GJ[Ofc Code]=(TRIM(S$7)))*(GJ[Account Code]=(TRIM($D89))),GJ[Credit])))</f>
        <v>0</v>
      </c>
      <c r="T89" s="211">
        <f t="shared" si="23"/>
        <v>0</v>
      </c>
      <c r="U89" s="211">
        <f t="shared" si="24"/>
        <v>0</v>
      </c>
    </row>
    <row r="90" spans="1:21" ht="15" x14ac:dyDescent="0.25">
      <c r="A90" s="212">
        <f t="shared" si="19"/>
        <v>32</v>
      </c>
      <c r="B90" s="194" t="s">
        <v>756</v>
      </c>
      <c r="C90" s="194" t="str">
        <f t="shared" si="14"/>
        <v>Insurance Expenses</v>
      </c>
      <c r="D90" s="207">
        <v>893</v>
      </c>
      <c r="E90" s="211">
        <f t="array" ref="E90">(SUM(IF((CkDJ[Date]=$A$4)*(CkDJ[Ofc Code]=(TRIM(E$7)))*(CkDJ[Account Code]=(TRIM($D90))),CkDJ[Debit])))+(SUM(IF((CsDJ[Date]=$A$4)*(CsDJ[Ofc Code]=(TRIM(E$7)))*(CsDJ[Account Code]=(TRIM($D90))),CsDJ[Debit])))+(SUM(IF((CRDJ[Date]=$A$4)*(CRDJ[Ofc Code]=(TRIM(E$7)))*(CRDJ[Account Code]=(TRIM($D90))),CRDJ[Debit])))+(SUM(IF((GJ[Date]=$A$4)*(GJ[Ofc Code]=(TRIM(E$7)))*(GJ[Account Code]=(TRIM($D90))),GJ[Debit])))-(SUM(IF((CkDJ[Date]=$A$4)*(CkDJ[Ofc Code]=(TRIM(E$7)))*(CkDJ[Account Code]=(TRIM($D90))),CkDJ[Credit])))+(SUM(IF((CsDJ[Date]=$A$4)*(CsDJ[Ofc Code]=(TRIM(E$7)))*(CsDJ[Account Code]=(TRIM($D90))),CsDJ[Credit])))+(SUM(IF((CRDJ[Date]=$A$4)*(CRDJ[Ofc Code]=(TRIM(E$7)))*(CRDJ[Account Code]=(TRIM($D90))),CRDJ[Credit])))+(SUM(IF((GJ[Date]=$A$4)*(GJ[Ofc Code]=(TRIM(E$7)))*(GJ[Account Code]=(TRIM($D90))),GJ[Credit])))</f>
        <v>0</v>
      </c>
      <c r="F90" s="211">
        <f t="array" ref="F90">(SUM(IF((CkDJ[Date]=$A$4)*(CkDJ[Ofc Code]=(TRIM(F$7)))*(CkDJ[Account Code]=(TRIM($D90))),CkDJ[Debit])))+(SUM(IF((CsDJ[Date]=$A$4)*(CsDJ[Ofc Code]=(TRIM(F$7)))*(CsDJ[Account Code]=(TRIM($D90))),CsDJ[Debit])))+(SUM(IF((CRDJ[Date]=$A$4)*(CRDJ[Ofc Code]=(TRIM(F$7)))*(CRDJ[Account Code]=(TRIM($D90))),CRDJ[Debit])))+(SUM(IF((GJ[Date]=$A$4)*(GJ[Ofc Code]=(TRIM(F$7)))*(GJ[Account Code]=(TRIM($D90))),GJ[Debit])))-(SUM(IF((CkDJ[Date]=$A$4)*(CkDJ[Ofc Code]=(TRIM(F$7)))*(CkDJ[Account Code]=(TRIM($D90))),CkDJ[Credit])))+(SUM(IF((CsDJ[Date]=$A$4)*(CsDJ[Ofc Code]=(TRIM(F$7)))*(CsDJ[Account Code]=(TRIM($D90))),CsDJ[Credit])))+(SUM(IF((CRDJ[Date]=$A$4)*(CRDJ[Ofc Code]=(TRIM(F$7)))*(CRDJ[Account Code]=(TRIM($D90))),CRDJ[Credit])))+(SUM(IF((GJ[Date]=$A$4)*(GJ[Ofc Code]=(TRIM(F$7)))*(GJ[Account Code]=(TRIM($D90))),GJ[Credit])))</f>
        <v>0</v>
      </c>
      <c r="G90" s="211">
        <f t="array" ref="G90">(SUM(IF((CkDJ[Date]=$A$4)*(CkDJ[Ofc Code]=(TRIM(G$7)))*(CkDJ[Account Code]=(TRIM($D90))),CkDJ[Debit])))+(SUM(IF((CsDJ[Date]=$A$4)*(CsDJ[Ofc Code]=(TRIM(G$7)))*(CsDJ[Account Code]=(TRIM($D90))),CsDJ[Debit])))+(SUM(IF((CRDJ[Date]=$A$4)*(CRDJ[Ofc Code]=(TRIM(G$7)))*(CRDJ[Account Code]=(TRIM($D90))),CRDJ[Debit])))+(SUM(IF((GJ[Date]=$A$4)*(GJ[Ofc Code]=(TRIM(G$7)))*(GJ[Account Code]=(TRIM($D90))),GJ[Debit])))-(SUM(IF((CkDJ[Date]=$A$4)*(CkDJ[Ofc Code]=(TRIM(G$7)))*(CkDJ[Account Code]=(TRIM($D90))),CkDJ[Credit])))+(SUM(IF((CsDJ[Date]=$A$4)*(CsDJ[Ofc Code]=(TRIM(G$7)))*(CsDJ[Account Code]=(TRIM($D90))),CsDJ[Credit])))+(SUM(IF((CRDJ[Date]=$A$4)*(CRDJ[Ofc Code]=(TRIM(G$7)))*(CRDJ[Account Code]=(TRIM($D90))),CRDJ[Credit])))+(SUM(IF((GJ[Date]=$A$4)*(GJ[Ofc Code]=(TRIM(G$7)))*(GJ[Account Code]=(TRIM($D90))),GJ[Credit])))</f>
        <v>0</v>
      </c>
      <c r="H90" s="211">
        <f t="array" ref="H90">(SUM(IF((CkDJ[Date]=$A$4)*(CkDJ[Ofc Code]=(TRIM(H$7)))*(CkDJ[Account Code]=(TRIM($D90))),CkDJ[Debit])))+(SUM(IF((CsDJ[Date]=$A$4)*(CsDJ[Ofc Code]=(TRIM(H$7)))*(CsDJ[Account Code]=(TRIM($D90))),CsDJ[Debit])))+(SUM(IF((CRDJ[Date]=$A$4)*(CRDJ[Ofc Code]=(TRIM(H$7)))*(CRDJ[Account Code]=(TRIM($D90))),CRDJ[Debit])))+(SUM(IF((GJ[Date]=$A$4)*(GJ[Ofc Code]=(TRIM(H$7)))*(GJ[Account Code]=(TRIM($D90))),GJ[Debit])))-(SUM(IF((CkDJ[Date]=$A$4)*(CkDJ[Ofc Code]=(TRIM(H$7)))*(CkDJ[Account Code]=(TRIM($D90))),CkDJ[Credit])))+(SUM(IF((CsDJ[Date]=$A$4)*(CsDJ[Ofc Code]=(TRIM(H$7)))*(CsDJ[Account Code]=(TRIM($D90))),CsDJ[Credit])))+(SUM(IF((CRDJ[Date]=$A$4)*(CRDJ[Ofc Code]=(TRIM(H$7)))*(CRDJ[Account Code]=(TRIM($D90))),CRDJ[Credit])))+(SUM(IF((GJ[Date]=$A$4)*(GJ[Ofc Code]=(TRIM(H$7)))*(GJ[Account Code]=(TRIM($D90))),GJ[Credit])))</f>
        <v>0</v>
      </c>
      <c r="I90" s="211">
        <f t="shared" si="15"/>
        <v>0</v>
      </c>
      <c r="J90" s="211">
        <f t="array" ref="J90">(SUM(IF((CkDJ[Date]=$A$4)*(CkDJ[Ofc Code]=(TRIM(J$7)))*(CkDJ[Account Code]=(TRIM($D90))),CkDJ[Debit])))+(SUM(IF((CsDJ[Date]=$A$4)*(CsDJ[Ofc Code]=(TRIM(J$7)))*(CsDJ[Account Code]=(TRIM($D90))),CsDJ[Debit])))+(SUM(IF((CRDJ[Date]=$A$4)*(CRDJ[Ofc Code]=(TRIM(J$7)))*(CRDJ[Account Code]=(TRIM($D90))),CRDJ[Debit])))+(SUM(IF((GJ[Date]=$A$4)*(GJ[Ofc Code]=(TRIM(J$7)))*(GJ[Account Code]=(TRIM($D90))),GJ[Debit])))-(SUM(IF((CkDJ[Date]=$A$4)*(CkDJ[Ofc Code]=(TRIM(J$7)))*(CkDJ[Account Code]=(TRIM($D90))),CkDJ[Credit])))+(SUM(IF((CsDJ[Date]=$A$4)*(CsDJ[Ofc Code]=(TRIM(J$7)))*(CsDJ[Account Code]=(TRIM($D90))),CsDJ[Credit])))+(SUM(IF((CRDJ[Date]=$A$4)*(CRDJ[Ofc Code]=(TRIM(J$7)))*(CRDJ[Account Code]=(TRIM($D90))),CRDJ[Credit])))+(SUM(IF((GJ[Date]=$A$4)*(GJ[Ofc Code]=(TRIM(J$7)))*(GJ[Account Code]=(TRIM($D90))),GJ[Credit])))</f>
        <v>0</v>
      </c>
      <c r="K90" s="211">
        <f t="array" ref="K90">(SUM(IF((CkDJ[Date]=$A$4)*(CkDJ[Ofc Code]=(TRIM(K$7)))*(CkDJ[Account Code]=(TRIM($D90))),CkDJ[Debit])))+(SUM(IF((CsDJ[Date]=$A$4)*(CsDJ[Ofc Code]=(TRIM(K$7)))*(CsDJ[Account Code]=(TRIM($D90))),CsDJ[Debit])))+(SUM(IF((CRDJ[Date]=$A$4)*(CRDJ[Ofc Code]=(TRIM(K$7)))*(CRDJ[Account Code]=(TRIM($D90))),CRDJ[Debit])))+(SUM(IF((GJ[Date]=$A$4)*(GJ[Ofc Code]=(TRIM(K$7)))*(GJ[Account Code]=(TRIM($D90))),GJ[Debit])))-(SUM(IF((CkDJ[Date]=$A$4)*(CkDJ[Ofc Code]=(TRIM(K$7)))*(CkDJ[Account Code]=(TRIM($D90))),CkDJ[Credit])))+(SUM(IF((CsDJ[Date]=$A$4)*(CsDJ[Ofc Code]=(TRIM(K$7)))*(CsDJ[Account Code]=(TRIM($D90))),CsDJ[Credit])))+(SUM(IF((CRDJ[Date]=$A$4)*(CRDJ[Ofc Code]=(TRIM(K$7)))*(CRDJ[Account Code]=(TRIM($D90))),CRDJ[Credit])))+(SUM(IF((GJ[Date]=$A$4)*(GJ[Ofc Code]=(TRIM(K$7)))*(GJ[Account Code]=(TRIM($D90))),GJ[Credit])))</f>
        <v>0</v>
      </c>
      <c r="L90" s="211">
        <f t="array" ref="L90">(SUM(IF((CkDJ[Date]=$A$4)*(CkDJ[Ofc Code]=(TRIM(L$7)))*(CkDJ[Account Code]=(TRIM($D90))),CkDJ[Debit])))+(SUM(IF((CsDJ[Date]=$A$4)*(CsDJ[Ofc Code]=(TRIM(L$7)))*(CsDJ[Account Code]=(TRIM($D90))),CsDJ[Debit])))+(SUM(IF((CRDJ[Date]=$A$4)*(CRDJ[Ofc Code]=(TRIM(L$7)))*(CRDJ[Account Code]=(TRIM($D90))),CRDJ[Debit])))+(SUM(IF((GJ[Date]=$A$4)*(GJ[Ofc Code]=(TRIM(L$7)))*(GJ[Account Code]=(TRIM($D90))),GJ[Debit])))-(SUM(IF((CkDJ[Date]=$A$4)*(CkDJ[Ofc Code]=(TRIM(L$7)))*(CkDJ[Account Code]=(TRIM($D90))),CkDJ[Credit])))+(SUM(IF((CsDJ[Date]=$A$4)*(CsDJ[Ofc Code]=(TRIM(L$7)))*(CsDJ[Account Code]=(TRIM($D90))),CsDJ[Credit])))+(SUM(IF((CRDJ[Date]=$A$4)*(CRDJ[Ofc Code]=(TRIM(L$7)))*(CRDJ[Account Code]=(TRIM($D90))),CRDJ[Credit])))+(SUM(IF((GJ[Date]=$A$4)*(GJ[Ofc Code]=(TRIM(L$7)))*(GJ[Account Code]=(TRIM($D90))),GJ[Credit])))</f>
        <v>0</v>
      </c>
      <c r="M90" s="211">
        <f t="array" ref="M90">(SUM(IF((CkDJ[Date]=$A$4)*(CkDJ[Ofc Code]=(TRIM(M$7)))*(CkDJ[Account Code]=(TRIM($D90))),CkDJ[Debit])))+(SUM(IF((CsDJ[Date]=$A$4)*(CsDJ[Ofc Code]=(TRIM(M$7)))*(CsDJ[Account Code]=(TRIM($D90))),CsDJ[Debit])))+(SUM(IF((CRDJ[Date]=$A$4)*(CRDJ[Ofc Code]=(TRIM(M$7)))*(CRDJ[Account Code]=(TRIM($D90))),CRDJ[Debit])))+(SUM(IF((GJ[Date]=$A$4)*(GJ[Ofc Code]=(TRIM(M$7)))*(GJ[Account Code]=(TRIM($D90))),GJ[Debit])))-(SUM(IF((CkDJ[Date]=$A$4)*(CkDJ[Ofc Code]=(TRIM(M$7)))*(CkDJ[Account Code]=(TRIM($D90))),CkDJ[Credit])))+(SUM(IF((CsDJ[Date]=$A$4)*(CsDJ[Ofc Code]=(TRIM(M$7)))*(CsDJ[Account Code]=(TRIM($D90))),CsDJ[Credit])))+(SUM(IF((CRDJ[Date]=$A$4)*(CRDJ[Ofc Code]=(TRIM(M$7)))*(CRDJ[Account Code]=(TRIM($D90))),CRDJ[Credit])))+(SUM(IF((GJ[Date]=$A$4)*(GJ[Ofc Code]=(TRIM(M$7)))*(GJ[Account Code]=(TRIM($D90))),GJ[Credit])))</f>
        <v>0</v>
      </c>
      <c r="N90" s="211">
        <f t="shared" si="16"/>
        <v>0</v>
      </c>
      <c r="O90" s="211">
        <f t="array" ref="O90">(SUM(IF((CkDJ[Date]=$A$4)*(CkDJ[Ofc Code]=(TRIM(O$7)))*(CkDJ[Account Code]=(TRIM($D90))),CkDJ[Debit])))+(SUM(IF((CsDJ[Date]=$A$4)*(CsDJ[Ofc Code]=(TRIM(O$7)))*(CsDJ[Account Code]=(TRIM($D90))),CsDJ[Debit])))+(SUM(IF((CRDJ[Date]=$A$4)*(CRDJ[Ofc Code]=(TRIM(O$7)))*(CRDJ[Account Code]=(TRIM($D90))),CRDJ[Debit])))+(SUM(IF((GJ[Date]=$A$4)*(GJ[Ofc Code]=(TRIM(O$7)))*(GJ[Account Code]=(TRIM($D90))),GJ[Debit])))-(SUM(IF((CkDJ[Date]=$A$4)*(CkDJ[Ofc Code]=(TRIM(O$7)))*(CkDJ[Account Code]=(TRIM($D90))),CkDJ[Credit])))+(SUM(IF((CsDJ[Date]=$A$4)*(CsDJ[Ofc Code]=(TRIM(O$7)))*(CsDJ[Account Code]=(TRIM($D90))),CsDJ[Credit])))+(SUM(IF((CRDJ[Date]=$A$4)*(CRDJ[Ofc Code]=(TRIM(O$7)))*(CRDJ[Account Code]=(TRIM($D90))),CRDJ[Credit])))+(SUM(IF((GJ[Date]=$A$4)*(GJ[Ofc Code]=(TRIM(O$7)))*(GJ[Account Code]=(TRIM($D90))),GJ[Credit])))</f>
        <v>0</v>
      </c>
      <c r="P90" s="211">
        <f t="array" ref="P90">(SUM(IF((CkDJ[Date]=$A$4)*(CkDJ[Ofc Code]=(TRIM(P$7)))*(CkDJ[Account Code]=(TRIM($D90))),CkDJ[Debit])))+(SUM(IF((CsDJ[Date]=$A$4)*(CsDJ[Ofc Code]=(TRIM(P$7)))*(CsDJ[Account Code]=(TRIM($D90))),CsDJ[Debit])))+(SUM(IF((CRDJ[Date]=$A$4)*(CRDJ[Ofc Code]=(TRIM(P$7)))*(CRDJ[Account Code]=(TRIM($D90))),CRDJ[Debit])))+(SUM(IF((GJ[Date]=$A$4)*(GJ[Ofc Code]=(TRIM(P$7)))*(GJ[Account Code]=(TRIM($D90))),GJ[Debit])))-(SUM(IF((CkDJ[Date]=$A$4)*(CkDJ[Ofc Code]=(TRIM(P$7)))*(CkDJ[Account Code]=(TRIM($D90))),CkDJ[Credit])))+(SUM(IF((CsDJ[Date]=$A$4)*(CsDJ[Ofc Code]=(TRIM(P$7)))*(CsDJ[Account Code]=(TRIM($D90))),CsDJ[Credit])))+(SUM(IF((CRDJ[Date]=$A$4)*(CRDJ[Ofc Code]=(TRIM(P$7)))*(CRDJ[Account Code]=(TRIM($D90))),CRDJ[Credit])))+(SUM(IF((GJ[Date]=$A$4)*(GJ[Ofc Code]=(TRIM(P$7)))*(GJ[Account Code]=(TRIM($D90))),GJ[Credit])))</f>
        <v>0</v>
      </c>
      <c r="Q90" s="211">
        <f t="array" ref="Q90">(SUM(IF((CkDJ[Date]=$A$4)*(CkDJ[Ofc Code]=(TRIM(Q$7)))*(CkDJ[Account Code]=(TRIM($D90))),CkDJ[Debit])))+(SUM(IF((CsDJ[Date]=$A$4)*(CsDJ[Ofc Code]=(TRIM(Q$7)))*(CsDJ[Account Code]=(TRIM($D90))),CsDJ[Debit])))+(SUM(IF((CRDJ[Date]=$A$4)*(CRDJ[Ofc Code]=(TRIM(Q$7)))*(CRDJ[Account Code]=(TRIM($D90))),CRDJ[Debit])))+(SUM(IF((GJ[Date]=$A$4)*(GJ[Ofc Code]=(TRIM(Q$7)))*(GJ[Account Code]=(TRIM($D90))),GJ[Debit])))-(SUM(IF((CkDJ[Date]=$A$4)*(CkDJ[Ofc Code]=(TRIM(Q$7)))*(CkDJ[Account Code]=(TRIM($D90))),CkDJ[Credit])))+(SUM(IF((CsDJ[Date]=$A$4)*(CsDJ[Ofc Code]=(TRIM(Q$7)))*(CsDJ[Account Code]=(TRIM($D90))),CsDJ[Credit])))+(SUM(IF((CRDJ[Date]=$A$4)*(CRDJ[Ofc Code]=(TRIM(Q$7)))*(CRDJ[Account Code]=(TRIM($D90))),CRDJ[Credit])))+(SUM(IF((GJ[Date]=$A$4)*(GJ[Ofc Code]=(TRIM(Q$7)))*(GJ[Account Code]=(TRIM($D90))),GJ[Credit])))</f>
        <v>0</v>
      </c>
      <c r="R90" s="211">
        <f t="array" ref="R90">(SUM(IF((CkDJ[Date]=$A$4)*(CkDJ[Ofc Code]=(TRIM(R$7)))*(CkDJ[Account Code]=(TRIM($D90))),CkDJ[Debit])))+(SUM(IF((CsDJ[Date]=$A$4)*(CsDJ[Ofc Code]=(TRIM(R$7)))*(CsDJ[Account Code]=(TRIM($D90))),CsDJ[Debit])))+(SUM(IF((CRDJ[Date]=$A$4)*(CRDJ[Ofc Code]=(TRIM(R$7)))*(CRDJ[Account Code]=(TRIM($D90))),CRDJ[Debit])))+(SUM(IF((GJ[Date]=$A$4)*(GJ[Ofc Code]=(TRIM(R$7)))*(GJ[Account Code]=(TRIM($D90))),GJ[Debit])))-(SUM(IF((CkDJ[Date]=$A$4)*(CkDJ[Ofc Code]=(TRIM(R$7)))*(CkDJ[Account Code]=(TRIM($D90))),CkDJ[Credit])))+(SUM(IF((CsDJ[Date]=$A$4)*(CsDJ[Ofc Code]=(TRIM(R$7)))*(CsDJ[Account Code]=(TRIM($D90))),CsDJ[Credit])))+(SUM(IF((CRDJ[Date]=$A$4)*(CRDJ[Ofc Code]=(TRIM(R$7)))*(CRDJ[Account Code]=(TRIM($D90))),CRDJ[Credit])))+(SUM(IF((GJ[Date]=$A$4)*(GJ[Ofc Code]=(TRIM(R$7)))*(GJ[Account Code]=(TRIM($D90))),GJ[Credit])))</f>
        <v>0</v>
      </c>
      <c r="S90" s="211">
        <f t="array" ref="S90">(SUM(IF((CkDJ[Date]=$A$4)*(CkDJ[Ofc Code]=(TRIM(S$7)))*(CkDJ[Account Code]=(TRIM($D90))),CkDJ[Debit])))+(SUM(IF((CsDJ[Date]=$A$4)*(CsDJ[Ofc Code]=(TRIM(S$7)))*(CsDJ[Account Code]=(TRIM($D90))),CsDJ[Debit])))+(SUM(IF((CRDJ[Date]=$A$4)*(CRDJ[Ofc Code]=(TRIM(S$7)))*(CRDJ[Account Code]=(TRIM($D90))),CRDJ[Debit])))+(SUM(IF((GJ[Date]=$A$4)*(GJ[Ofc Code]=(TRIM(S$7)))*(GJ[Account Code]=(TRIM($D90))),GJ[Debit])))-(SUM(IF((CkDJ[Date]=$A$4)*(CkDJ[Ofc Code]=(TRIM(S$7)))*(CkDJ[Account Code]=(TRIM($D90))),CkDJ[Credit])))+(SUM(IF((CsDJ[Date]=$A$4)*(CsDJ[Ofc Code]=(TRIM(S$7)))*(CsDJ[Account Code]=(TRIM($D90))),CsDJ[Credit])))+(SUM(IF((CRDJ[Date]=$A$4)*(CRDJ[Ofc Code]=(TRIM(S$7)))*(CRDJ[Account Code]=(TRIM($D90))),CRDJ[Credit])))+(SUM(IF((GJ[Date]=$A$4)*(GJ[Ofc Code]=(TRIM(S$7)))*(GJ[Account Code]=(TRIM($D90))),GJ[Credit])))</f>
        <v>0</v>
      </c>
      <c r="T90" s="211">
        <f t="shared" si="17"/>
        <v>0</v>
      </c>
      <c r="U90" s="211">
        <f t="shared" si="18"/>
        <v>0</v>
      </c>
    </row>
    <row r="91" spans="1:21" ht="15" x14ac:dyDescent="0.25">
      <c r="A91" s="212">
        <f t="shared" si="19"/>
        <v>33</v>
      </c>
      <c r="B91" s="194" t="s">
        <v>756</v>
      </c>
      <c r="C91" s="194" t="str">
        <f t="shared" si="14"/>
        <v>Other Maintenance and Operating Expenses (Irrigator's Share/Remuneration/Subsidy)</v>
      </c>
      <c r="D91" s="207">
        <v>965</v>
      </c>
      <c r="E91" s="211">
        <f t="array" ref="E91">(SUM(IF((CkDJ[Date]=$A$4)*(CkDJ[Ofc Code]=(TRIM(E$7)))*(CkDJ[Account Code]=(TRIM($D91))),CkDJ[Debit])))+(SUM(IF((CsDJ[Date]=$A$4)*(CsDJ[Ofc Code]=(TRIM(E$7)))*(CsDJ[Account Code]=(TRIM($D91))),CsDJ[Debit])))+(SUM(IF((CRDJ[Date]=$A$4)*(CRDJ[Ofc Code]=(TRIM(E$7)))*(CRDJ[Account Code]=(TRIM($D91))),CRDJ[Debit])))+(SUM(IF((GJ[Date]=$A$4)*(GJ[Ofc Code]=(TRIM(E$7)))*(GJ[Account Code]=(TRIM($D91))),GJ[Debit])))-(SUM(IF((CkDJ[Date]=$A$4)*(CkDJ[Ofc Code]=(TRIM(E$7)))*(CkDJ[Account Code]=(TRIM($D91))),CkDJ[Credit])))+(SUM(IF((CsDJ[Date]=$A$4)*(CsDJ[Ofc Code]=(TRIM(E$7)))*(CsDJ[Account Code]=(TRIM($D91))),CsDJ[Credit])))+(SUM(IF((CRDJ[Date]=$A$4)*(CRDJ[Ofc Code]=(TRIM(E$7)))*(CRDJ[Account Code]=(TRIM($D91))),CRDJ[Credit])))+(SUM(IF((GJ[Date]=$A$4)*(GJ[Ofc Code]=(TRIM(E$7)))*(GJ[Account Code]=(TRIM($D91))),GJ[Credit])))</f>
        <v>0</v>
      </c>
      <c r="F91" s="211">
        <f t="array" ref="F91">(SUM(IF((CkDJ[Date]=$A$4)*(CkDJ[Ofc Code]=(TRIM(F$7)))*(CkDJ[Account Code]=(TRIM($D91))),CkDJ[Debit])))+(SUM(IF((CsDJ[Date]=$A$4)*(CsDJ[Ofc Code]=(TRIM(F$7)))*(CsDJ[Account Code]=(TRIM($D91))),CsDJ[Debit])))+(SUM(IF((CRDJ[Date]=$A$4)*(CRDJ[Ofc Code]=(TRIM(F$7)))*(CRDJ[Account Code]=(TRIM($D91))),CRDJ[Debit])))+(SUM(IF((GJ[Date]=$A$4)*(GJ[Ofc Code]=(TRIM(F$7)))*(GJ[Account Code]=(TRIM($D91))),GJ[Debit])))-(SUM(IF((CkDJ[Date]=$A$4)*(CkDJ[Ofc Code]=(TRIM(F$7)))*(CkDJ[Account Code]=(TRIM($D91))),CkDJ[Credit])))+(SUM(IF((CsDJ[Date]=$A$4)*(CsDJ[Ofc Code]=(TRIM(F$7)))*(CsDJ[Account Code]=(TRIM($D91))),CsDJ[Credit])))+(SUM(IF((CRDJ[Date]=$A$4)*(CRDJ[Ofc Code]=(TRIM(F$7)))*(CRDJ[Account Code]=(TRIM($D91))),CRDJ[Credit])))+(SUM(IF((GJ[Date]=$A$4)*(GJ[Ofc Code]=(TRIM(F$7)))*(GJ[Account Code]=(TRIM($D91))),GJ[Credit])))</f>
        <v>0</v>
      </c>
      <c r="G91" s="211">
        <f t="array" ref="G91">(SUM(IF((CkDJ[Date]=$A$4)*(CkDJ[Ofc Code]=(TRIM(G$7)))*(CkDJ[Account Code]=(TRIM($D91))),CkDJ[Debit])))+(SUM(IF((CsDJ[Date]=$A$4)*(CsDJ[Ofc Code]=(TRIM(G$7)))*(CsDJ[Account Code]=(TRIM($D91))),CsDJ[Debit])))+(SUM(IF((CRDJ[Date]=$A$4)*(CRDJ[Ofc Code]=(TRIM(G$7)))*(CRDJ[Account Code]=(TRIM($D91))),CRDJ[Debit])))+(SUM(IF((GJ[Date]=$A$4)*(GJ[Ofc Code]=(TRIM(G$7)))*(GJ[Account Code]=(TRIM($D91))),GJ[Debit])))-(SUM(IF((CkDJ[Date]=$A$4)*(CkDJ[Ofc Code]=(TRIM(G$7)))*(CkDJ[Account Code]=(TRIM($D91))),CkDJ[Credit])))+(SUM(IF((CsDJ[Date]=$A$4)*(CsDJ[Ofc Code]=(TRIM(G$7)))*(CsDJ[Account Code]=(TRIM($D91))),CsDJ[Credit])))+(SUM(IF((CRDJ[Date]=$A$4)*(CRDJ[Ofc Code]=(TRIM(G$7)))*(CRDJ[Account Code]=(TRIM($D91))),CRDJ[Credit])))+(SUM(IF((GJ[Date]=$A$4)*(GJ[Ofc Code]=(TRIM(G$7)))*(GJ[Account Code]=(TRIM($D91))),GJ[Credit])))</f>
        <v>0</v>
      </c>
      <c r="H91" s="211">
        <f t="array" ref="H91">(SUM(IF((CkDJ[Date]=$A$4)*(CkDJ[Ofc Code]=(TRIM(H$7)))*(CkDJ[Account Code]=(TRIM($D91))),CkDJ[Debit])))+(SUM(IF((CsDJ[Date]=$A$4)*(CsDJ[Ofc Code]=(TRIM(H$7)))*(CsDJ[Account Code]=(TRIM($D91))),CsDJ[Debit])))+(SUM(IF((CRDJ[Date]=$A$4)*(CRDJ[Ofc Code]=(TRIM(H$7)))*(CRDJ[Account Code]=(TRIM($D91))),CRDJ[Debit])))+(SUM(IF((GJ[Date]=$A$4)*(GJ[Ofc Code]=(TRIM(H$7)))*(GJ[Account Code]=(TRIM($D91))),GJ[Debit])))-(SUM(IF((CkDJ[Date]=$A$4)*(CkDJ[Ofc Code]=(TRIM(H$7)))*(CkDJ[Account Code]=(TRIM($D91))),CkDJ[Credit])))+(SUM(IF((CsDJ[Date]=$A$4)*(CsDJ[Ofc Code]=(TRIM(H$7)))*(CsDJ[Account Code]=(TRIM($D91))),CsDJ[Credit])))+(SUM(IF((CRDJ[Date]=$A$4)*(CRDJ[Ofc Code]=(TRIM(H$7)))*(CRDJ[Account Code]=(TRIM($D91))),CRDJ[Credit])))+(SUM(IF((GJ[Date]=$A$4)*(GJ[Ofc Code]=(TRIM(H$7)))*(GJ[Account Code]=(TRIM($D91))),GJ[Credit])))</f>
        <v>0</v>
      </c>
      <c r="I91" s="211">
        <f t="shared" si="15"/>
        <v>0</v>
      </c>
      <c r="J91" s="211">
        <f t="array" ref="J91">(SUM(IF((CkDJ[Date]=$A$4)*(CkDJ[Ofc Code]=(TRIM(J$7)))*(CkDJ[Account Code]=(TRIM($D91))),CkDJ[Debit])))+(SUM(IF((CsDJ[Date]=$A$4)*(CsDJ[Ofc Code]=(TRIM(J$7)))*(CsDJ[Account Code]=(TRIM($D91))),CsDJ[Debit])))+(SUM(IF((CRDJ[Date]=$A$4)*(CRDJ[Ofc Code]=(TRIM(J$7)))*(CRDJ[Account Code]=(TRIM($D91))),CRDJ[Debit])))+(SUM(IF((GJ[Date]=$A$4)*(GJ[Ofc Code]=(TRIM(J$7)))*(GJ[Account Code]=(TRIM($D91))),GJ[Debit])))-(SUM(IF((CkDJ[Date]=$A$4)*(CkDJ[Ofc Code]=(TRIM(J$7)))*(CkDJ[Account Code]=(TRIM($D91))),CkDJ[Credit])))+(SUM(IF((CsDJ[Date]=$A$4)*(CsDJ[Ofc Code]=(TRIM(J$7)))*(CsDJ[Account Code]=(TRIM($D91))),CsDJ[Credit])))+(SUM(IF((CRDJ[Date]=$A$4)*(CRDJ[Ofc Code]=(TRIM(J$7)))*(CRDJ[Account Code]=(TRIM($D91))),CRDJ[Credit])))+(SUM(IF((GJ[Date]=$A$4)*(GJ[Ofc Code]=(TRIM(J$7)))*(GJ[Account Code]=(TRIM($D91))),GJ[Credit])))</f>
        <v>0</v>
      </c>
      <c r="K91" s="211">
        <f t="array" ref="K91">(SUM(IF((CkDJ[Date]=$A$4)*(CkDJ[Ofc Code]=(TRIM(K$7)))*(CkDJ[Account Code]=(TRIM($D91))),CkDJ[Debit])))+(SUM(IF((CsDJ[Date]=$A$4)*(CsDJ[Ofc Code]=(TRIM(K$7)))*(CsDJ[Account Code]=(TRIM($D91))),CsDJ[Debit])))+(SUM(IF((CRDJ[Date]=$A$4)*(CRDJ[Ofc Code]=(TRIM(K$7)))*(CRDJ[Account Code]=(TRIM($D91))),CRDJ[Debit])))+(SUM(IF((GJ[Date]=$A$4)*(GJ[Ofc Code]=(TRIM(K$7)))*(GJ[Account Code]=(TRIM($D91))),GJ[Debit])))-(SUM(IF((CkDJ[Date]=$A$4)*(CkDJ[Ofc Code]=(TRIM(K$7)))*(CkDJ[Account Code]=(TRIM($D91))),CkDJ[Credit])))+(SUM(IF((CsDJ[Date]=$A$4)*(CsDJ[Ofc Code]=(TRIM(K$7)))*(CsDJ[Account Code]=(TRIM($D91))),CsDJ[Credit])))+(SUM(IF((CRDJ[Date]=$A$4)*(CRDJ[Ofc Code]=(TRIM(K$7)))*(CRDJ[Account Code]=(TRIM($D91))),CRDJ[Credit])))+(SUM(IF((GJ[Date]=$A$4)*(GJ[Ofc Code]=(TRIM(K$7)))*(GJ[Account Code]=(TRIM($D91))),GJ[Credit])))</f>
        <v>0</v>
      </c>
      <c r="L91" s="211">
        <f t="array" ref="L91">(SUM(IF((CkDJ[Date]=$A$4)*(CkDJ[Ofc Code]=(TRIM(L$7)))*(CkDJ[Account Code]=(TRIM($D91))),CkDJ[Debit])))+(SUM(IF((CsDJ[Date]=$A$4)*(CsDJ[Ofc Code]=(TRIM(L$7)))*(CsDJ[Account Code]=(TRIM($D91))),CsDJ[Debit])))+(SUM(IF((CRDJ[Date]=$A$4)*(CRDJ[Ofc Code]=(TRIM(L$7)))*(CRDJ[Account Code]=(TRIM($D91))),CRDJ[Debit])))+(SUM(IF((GJ[Date]=$A$4)*(GJ[Ofc Code]=(TRIM(L$7)))*(GJ[Account Code]=(TRIM($D91))),GJ[Debit])))-(SUM(IF((CkDJ[Date]=$A$4)*(CkDJ[Ofc Code]=(TRIM(L$7)))*(CkDJ[Account Code]=(TRIM($D91))),CkDJ[Credit])))+(SUM(IF((CsDJ[Date]=$A$4)*(CsDJ[Ofc Code]=(TRIM(L$7)))*(CsDJ[Account Code]=(TRIM($D91))),CsDJ[Credit])))+(SUM(IF((CRDJ[Date]=$A$4)*(CRDJ[Ofc Code]=(TRIM(L$7)))*(CRDJ[Account Code]=(TRIM($D91))),CRDJ[Credit])))+(SUM(IF((GJ[Date]=$A$4)*(GJ[Ofc Code]=(TRIM(L$7)))*(GJ[Account Code]=(TRIM($D91))),GJ[Credit])))</f>
        <v>0</v>
      </c>
      <c r="M91" s="211">
        <f t="array" ref="M91">(SUM(IF((CkDJ[Date]=$A$4)*(CkDJ[Ofc Code]=(TRIM(M$7)))*(CkDJ[Account Code]=(TRIM($D91))),CkDJ[Debit])))+(SUM(IF((CsDJ[Date]=$A$4)*(CsDJ[Ofc Code]=(TRIM(M$7)))*(CsDJ[Account Code]=(TRIM($D91))),CsDJ[Debit])))+(SUM(IF((CRDJ[Date]=$A$4)*(CRDJ[Ofc Code]=(TRIM(M$7)))*(CRDJ[Account Code]=(TRIM($D91))),CRDJ[Debit])))+(SUM(IF((GJ[Date]=$A$4)*(GJ[Ofc Code]=(TRIM(M$7)))*(GJ[Account Code]=(TRIM($D91))),GJ[Debit])))-(SUM(IF((CkDJ[Date]=$A$4)*(CkDJ[Ofc Code]=(TRIM(M$7)))*(CkDJ[Account Code]=(TRIM($D91))),CkDJ[Credit])))+(SUM(IF((CsDJ[Date]=$A$4)*(CsDJ[Ofc Code]=(TRIM(M$7)))*(CsDJ[Account Code]=(TRIM($D91))),CsDJ[Credit])))+(SUM(IF((CRDJ[Date]=$A$4)*(CRDJ[Ofc Code]=(TRIM(M$7)))*(CRDJ[Account Code]=(TRIM($D91))),CRDJ[Credit])))+(SUM(IF((GJ[Date]=$A$4)*(GJ[Ofc Code]=(TRIM(M$7)))*(GJ[Account Code]=(TRIM($D91))),GJ[Credit])))</f>
        <v>0</v>
      </c>
      <c r="N91" s="211">
        <f t="shared" si="16"/>
        <v>0</v>
      </c>
      <c r="O91" s="211">
        <f t="array" ref="O91">(SUM(IF((CkDJ[Date]=$A$4)*(CkDJ[Ofc Code]=(TRIM(O$7)))*(CkDJ[Account Code]=(TRIM($D91))),CkDJ[Debit])))+(SUM(IF((CsDJ[Date]=$A$4)*(CsDJ[Ofc Code]=(TRIM(O$7)))*(CsDJ[Account Code]=(TRIM($D91))),CsDJ[Debit])))+(SUM(IF((CRDJ[Date]=$A$4)*(CRDJ[Ofc Code]=(TRIM(O$7)))*(CRDJ[Account Code]=(TRIM($D91))),CRDJ[Debit])))+(SUM(IF((GJ[Date]=$A$4)*(GJ[Ofc Code]=(TRIM(O$7)))*(GJ[Account Code]=(TRIM($D91))),GJ[Debit])))-(SUM(IF((CkDJ[Date]=$A$4)*(CkDJ[Ofc Code]=(TRIM(O$7)))*(CkDJ[Account Code]=(TRIM($D91))),CkDJ[Credit])))+(SUM(IF((CsDJ[Date]=$A$4)*(CsDJ[Ofc Code]=(TRIM(O$7)))*(CsDJ[Account Code]=(TRIM($D91))),CsDJ[Credit])))+(SUM(IF((CRDJ[Date]=$A$4)*(CRDJ[Ofc Code]=(TRIM(O$7)))*(CRDJ[Account Code]=(TRIM($D91))),CRDJ[Credit])))+(SUM(IF((GJ[Date]=$A$4)*(GJ[Ofc Code]=(TRIM(O$7)))*(GJ[Account Code]=(TRIM($D91))),GJ[Credit])))</f>
        <v>0</v>
      </c>
      <c r="P91" s="211">
        <f t="array" ref="P91">(SUM(IF((CkDJ[Date]=$A$4)*(CkDJ[Ofc Code]=(TRIM(P$7)))*(CkDJ[Account Code]=(TRIM($D91))),CkDJ[Debit])))+(SUM(IF((CsDJ[Date]=$A$4)*(CsDJ[Ofc Code]=(TRIM(P$7)))*(CsDJ[Account Code]=(TRIM($D91))),CsDJ[Debit])))+(SUM(IF((CRDJ[Date]=$A$4)*(CRDJ[Ofc Code]=(TRIM(P$7)))*(CRDJ[Account Code]=(TRIM($D91))),CRDJ[Debit])))+(SUM(IF((GJ[Date]=$A$4)*(GJ[Ofc Code]=(TRIM(P$7)))*(GJ[Account Code]=(TRIM($D91))),GJ[Debit])))-(SUM(IF((CkDJ[Date]=$A$4)*(CkDJ[Ofc Code]=(TRIM(P$7)))*(CkDJ[Account Code]=(TRIM($D91))),CkDJ[Credit])))+(SUM(IF((CsDJ[Date]=$A$4)*(CsDJ[Ofc Code]=(TRIM(P$7)))*(CsDJ[Account Code]=(TRIM($D91))),CsDJ[Credit])))+(SUM(IF((CRDJ[Date]=$A$4)*(CRDJ[Ofc Code]=(TRIM(P$7)))*(CRDJ[Account Code]=(TRIM($D91))),CRDJ[Credit])))+(SUM(IF((GJ[Date]=$A$4)*(GJ[Ofc Code]=(TRIM(P$7)))*(GJ[Account Code]=(TRIM($D91))),GJ[Credit])))</f>
        <v>0</v>
      </c>
      <c r="Q91" s="211">
        <f t="array" ref="Q91">(SUM(IF((CkDJ[Date]=$A$4)*(CkDJ[Ofc Code]=(TRIM(Q$7)))*(CkDJ[Account Code]=(TRIM($D91))),CkDJ[Debit])))+(SUM(IF((CsDJ[Date]=$A$4)*(CsDJ[Ofc Code]=(TRIM(Q$7)))*(CsDJ[Account Code]=(TRIM($D91))),CsDJ[Debit])))+(SUM(IF((CRDJ[Date]=$A$4)*(CRDJ[Ofc Code]=(TRIM(Q$7)))*(CRDJ[Account Code]=(TRIM($D91))),CRDJ[Debit])))+(SUM(IF((GJ[Date]=$A$4)*(GJ[Ofc Code]=(TRIM(Q$7)))*(GJ[Account Code]=(TRIM($D91))),GJ[Debit])))-(SUM(IF((CkDJ[Date]=$A$4)*(CkDJ[Ofc Code]=(TRIM(Q$7)))*(CkDJ[Account Code]=(TRIM($D91))),CkDJ[Credit])))+(SUM(IF((CsDJ[Date]=$A$4)*(CsDJ[Ofc Code]=(TRIM(Q$7)))*(CsDJ[Account Code]=(TRIM($D91))),CsDJ[Credit])))+(SUM(IF((CRDJ[Date]=$A$4)*(CRDJ[Ofc Code]=(TRIM(Q$7)))*(CRDJ[Account Code]=(TRIM($D91))),CRDJ[Credit])))+(SUM(IF((GJ[Date]=$A$4)*(GJ[Ofc Code]=(TRIM(Q$7)))*(GJ[Account Code]=(TRIM($D91))),GJ[Credit])))</f>
        <v>0</v>
      </c>
      <c r="R91" s="211">
        <f t="array" ref="R91">(SUM(IF((CkDJ[Date]=$A$4)*(CkDJ[Ofc Code]=(TRIM(R$7)))*(CkDJ[Account Code]=(TRIM($D91))),CkDJ[Debit])))+(SUM(IF((CsDJ[Date]=$A$4)*(CsDJ[Ofc Code]=(TRIM(R$7)))*(CsDJ[Account Code]=(TRIM($D91))),CsDJ[Debit])))+(SUM(IF((CRDJ[Date]=$A$4)*(CRDJ[Ofc Code]=(TRIM(R$7)))*(CRDJ[Account Code]=(TRIM($D91))),CRDJ[Debit])))+(SUM(IF((GJ[Date]=$A$4)*(GJ[Ofc Code]=(TRIM(R$7)))*(GJ[Account Code]=(TRIM($D91))),GJ[Debit])))-(SUM(IF((CkDJ[Date]=$A$4)*(CkDJ[Ofc Code]=(TRIM(R$7)))*(CkDJ[Account Code]=(TRIM($D91))),CkDJ[Credit])))+(SUM(IF((CsDJ[Date]=$A$4)*(CsDJ[Ofc Code]=(TRIM(R$7)))*(CsDJ[Account Code]=(TRIM($D91))),CsDJ[Credit])))+(SUM(IF((CRDJ[Date]=$A$4)*(CRDJ[Ofc Code]=(TRIM(R$7)))*(CRDJ[Account Code]=(TRIM($D91))),CRDJ[Credit])))+(SUM(IF((GJ[Date]=$A$4)*(GJ[Ofc Code]=(TRIM(R$7)))*(GJ[Account Code]=(TRIM($D91))),GJ[Credit])))</f>
        <v>0</v>
      </c>
      <c r="S91" s="211">
        <f t="array" ref="S91">(SUM(IF((CkDJ[Date]=$A$4)*(CkDJ[Ofc Code]=(TRIM(S$7)))*(CkDJ[Account Code]=(TRIM($D91))),CkDJ[Debit])))+(SUM(IF((CsDJ[Date]=$A$4)*(CsDJ[Ofc Code]=(TRIM(S$7)))*(CsDJ[Account Code]=(TRIM($D91))),CsDJ[Debit])))+(SUM(IF((CRDJ[Date]=$A$4)*(CRDJ[Ofc Code]=(TRIM(S$7)))*(CRDJ[Account Code]=(TRIM($D91))),CRDJ[Debit])))+(SUM(IF((GJ[Date]=$A$4)*(GJ[Ofc Code]=(TRIM(S$7)))*(GJ[Account Code]=(TRIM($D91))),GJ[Debit])))-(SUM(IF((CkDJ[Date]=$A$4)*(CkDJ[Ofc Code]=(TRIM(S$7)))*(CkDJ[Account Code]=(TRIM($D91))),CkDJ[Credit])))+(SUM(IF((CsDJ[Date]=$A$4)*(CsDJ[Ofc Code]=(TRIM(S$7)))*(CsDJ[Account Code]=(TRIM($D91))),CsDJ[Credit])))+(SUM(IF((CRDJ[Date]=$A$4)*(CRDJ[Ofc Code]=(TRIM(S$7)))*(CRDJ[Account Code]=(TRIM($D91))),CRDJ[Credit])))+(SUM(IF((GJ[Date]=$A$4)*(GJ[Ofc Code]=(TRIM(S$7)))*(GJ[Account Code]=(TRIM($D91))),GJ[Credit])))</f>
        <v>0</v>
      </c>
      <c r="T91" s="211">
        <f t="shared" si="17"/>
        <v>0</v>
      </c>
      <c r="U91" s="211">
        <f t="shared" si="18"/>
        <v>0</v>
      </c>
    </row>
    <row r="92" spans="1:21" ht="15" x14ac:dyDescent="0.25">
      <c r="A92" s="212">
        <f t="shared" si="19"/>
        <v>34</v>
      </c>
      <c r="B92" s="194" t="s">
        <v>756</v>
      </c>
      <c r="C92" s="194" t="e">
        <f t="shared" si="14"/>
        <v>#N/A</v>
      </c>
      <c r="D92" s="207">
        <v>966</v>
      </c>
      <c r="E92" s="211">
        <f t="array" ref="E92">(SUM(IF((CkDJ[Date]=$A$4)*(CkDJ[Ofc Code]=(TRIM(E$7)))*(CkDJ[Account Code]=(TRIM($D92))),CkDJ[Debit])))+(SUM(IF((CsDJ[Date]=$A$4)*(CsDJ[Ofc Code]=(TRIM(E$7)))*(CsDJ[Account Code]=(TRIM($D92))),CsDJ[Debit])))+(SUM(IF((CRDJ[Date]=$A$4)*(CRDJ[Ofc Code]=(TRIM(E$7)))*(CRDJ[Account Code]=(TRIM($D92))),CRDJ[Debit])))+(SUM(IF((GJ[Date]=$A$4)*(GJ[Ofc Code]=(TRIM(E$7)))*(GJ[Account Code]=(TRIM($D92))),GJ[Debit])))-(SUM(IF((CkDJ[Date]=$A$4)*(CkDJ[Ofc Code]=(TRIM(E$7)))*(CkDJ[Account Code]=(TRIM($D92))),CkDJ[Credit])))+(SUM(IF((CsDJ[Date]=$A$4)*(CsDJ[Ofc Code]=(TRIM(E$7)))*(CsDJ[Account Code]=(TRIM($D92))),CsDJ[Credit])))+(SUM(IF((CRDJ[Date]=$A$4)*(CRDJ[Ofc Code]=(TRIM(E$7)))*(CRDJ[Account Code]=(TRIM($D92))),CRDJ[Credit])))+(SUM(IF((GJ[Date]=$A$4)*(GJ[Ofc Code]=(TRIM(E$7)))*(GJ[Account Code]=(TRIM($D92))),GJ[Credit])))</f>
        <v>0</v>
      </c>
      <c r="F92" s="211">
        <f t="array" ref="F92">(SUM(IF((CkDJ[Date]=$A$4)*(CkDJ[Ofc Code]=(TRIM(F$7)))*(CkDJ[Account Code]=(TRIM($D92))),CkDJ[Debit])))+(SUM(IF((CsDJ[Date]=$A$4)*(CsDJ[Ofc Code]=(TRIM(F$7)))*(CsDJ[Account Code]=(TRIM($D92))),CsDJ[Debit])))+(SUM(IF((CRDJ[Date]=$A$4)*(CRDJ[Ofc Code]=(TRIM(F$7)))*(CRDJ[Account Code]=(TRIM($D92))),CRDJ[Debit])))+(SUM(IF((GJ[Date]=$A$4)*(GJ[Ofc Code]=(TRIM(F$7)))*(GJ[Account Code]=(TRIM($D92))),GJ[Debit])))-(SUM(IF((CkDJ[Date]=$A$4)*(CkDJ[Ofc Code]=(TRIM(F$7)))*(CkDJ[Account Code]=(TRIM($D92))),CkDJ[Credit])))+(SUM(IF((CsDJ[Date]=$A$4)*(CsDJ[Ofc Code]=(TRIM(F$7)))*(CsDJ[Account Code]=(TRIM($D92))),CsDJ[Credit])))+(SUM(IF((CRDJ[Date]=$A$4)*(CRDJ[Ofc Code]=(TRIM(F$7)))*(CRDJ[Account Code]=(TRIM($D92))),CRDJ[Credit])))+(SUM(IF((GJ[Date]=$A$4)*(GJ[Ofc Code]=(TRIM(F$7)))*(GJ[Account Code]=(TRIM($D92))),GJ[Credit])))</f>
        <v>0</v>
      </c>
      <c r="G92" s="211">
        <f t="array" ref="G92">(SUM(IF((CkDJ[Date]=$A$4)*(CkDJ[Ofc Code]=(TRIM(G$7)))*(CkDJ[Account Code]=(TRIM($D92))),CkDJ[Debit])))+(SUM(IF((CsDJ[Date]=$A$4)*(CsDJ[Ofc Code]=(TRIM(G$7)))*(CsDJ[Account Code]=(TRIM($D92))),CsDJ[Debit])))+(SUM(IF((CRDJ[Date]=$A$4)*(CRDJ[Ofc Code]=(TRIM(G$7)))*(CRDJ[Account Code]=(TRIM($D92))),CRDJ[Debit])))+(SUM(IF((GJ[Date]=$A$4)*(GJ[Ofc Code]=(TRIM(G$7)))*(GJ[Account Code]=(TRIM($D92))),GJ[Debit])))-(SUM(IF((CkDJ[Date]=$A$4)*(CkDJ[Ofc Code]=(TRIM(G$7)))*(CkDJ[Account Code]=(TRIM($D92))),CkDJ[Credit])))+(SUM(IF((CsDJ[Date]=$A$4)*(CsDJ[Ofc Code]=(TRIM(G$7)))*(CsDJ[Account Code]=(TRIM($D92))),CsDJ[Credit])))+(SUM(IF((CRDJ[Date]=$A$4)*(CRDJ[Ofc Code]=(TRIM(G$7)))*(CRDJ[Account Code]=(TRIM($D92))),CRDJ[Credit])))+(SUM(IF((GJ[Date]=$A$4)*(GJ[Ofc Code]=(TRIM(G$7)))*(GJ[Account Code]=(TRIM($D92))),GJ[Credit])))</f>
        <v>0</v>
      </c>
      <c r="H92" s="211">
        <f t="array" ref="H92">(SUM(IF((CkDJ[Date]=$A$4)*(CkDJ[Ofc Code]=(TRIM(H$7)))*(CkDJ[Account Code]=(TRIM($D92))),CkDJ[Debit])))+(SUM(IF((CsDJ[Date]=$A$4)*(CsDJ[Ofc Code]=(TRIM(H$7)))*(CsDJ[Account Code]=(TRIM($D92))),CsDJ[Debit])))+(SUM(IF((CRDJ[Date]=$A$4)*(CRDJ[Ofc Code]=(TRIM(H$7)))*(CRDJ[Account Code]=(TRIM($D92))),CRDJ[Debit])))+(SUM(IF((GJ[Date]=$A$4)*(GJ[Ofc Code]=(TRIM(H$7)))*(GJ[Account Code]=(TRIM($D92))),GJ[Debit])))-(SUM(IF((CkDJ[Date]=$A$4)*(CkDJ[Ofc Code]=(TRIM(H$7)))*(CkDJ[Account Code]=(TRIM($D92))),CkDJ[Credit])))+(SUM(IF((CsDJ[Date]=$A$4)*(CsDJ[Ofc Code]=(TRIM(H$7)))*(CsDJ[Account Code]=(TRIM($D92))),CsDJ[Credit])))+(SUM(IF((CRDJ[Date]=$A$4)*(CRDJ[Ofc Code]=(TRIM(H$7)))*(CRDJ[Account Code]=(TRIM($D92))),CRDJ[Credit])))+(SUM(IF((GJ[Date]=$A$4)*(GJ[Ofc Code]=(TRIM(H$7)))*(GJ[Account Code]=(TRIM($D92))),GJ[Credit])))</f>
        <v>0</v>
      </c>
      <c r="I92" s="211">
        <f t="shared" si="15"/>
        <v>0</v>
      </c>
      <c r="J92" s="211">
        <f t="array" ref="J92">(SUM(IF((CkDJ[Date]=$A$4)*(CkDJ[Ofc Code]=(TRIM(J$7)))*(CkDJ[Account Code]=(TRIM($D92))),CkDJ[Debit])))+(SUM(IF((CsDJ[Date]=$A$4)*(CsDJ[Ofc Code]=(TRIM(J$7)))*(CsDJ[Account Code]=(TRIM($D92))),CsDJ[Debit])))+(SUM(IF((CRDJ[Date]=$A$4)*(CRDJ[Ofc Code]=(TRIM(J$7)))*(CRDJ[Account Code]=(TRIM($D92))),CRDJ[Debit])))+(SUM(IF((GJ[Date]=$A$4)*(GJ[Ofc Code]=(TRIM(J$7)))*(GJ[Account Code]=(TRIM($D92))),GJ[Debit])))-(SUM(IF((CkDJ[Date]=$A$4)*(CkDJ[Ofc Code]=(TRIM(J$7)))*(CkDJ[Account Code]=(TRIM($D92))),CkDJ[Credit])))+(SUM(IF((CsDJ[Date]=$A$4)*(CsDJ[Ofc Code]=(TRIM(J$7)))*(CsDJ[Account Code]=(TRIM($D92))),CsDJ[Credit])))+(SUM(IF((CRDJ[Date]=$A$4)*(CRDJ[Ofc Code]=(TRIM(J$7)))*(CRDJ[Account Code]=(TRIM($D92))),CRDJ[Credit])))+(SUM(IF((GJ[Date]=$A$4)*(GJ[Ofc Code]=(TRIM(J$7)))*(GJ[Account Code]=(TRIM($D92))),GJ[Credit])))</f>
        <v>0</v>
      </c>
      <c r="K92" s="211">
        <f t="array" ref="K92">(SUM(IF((CkDJ[Date]=$A$4)*(CkDJ[Ofc Code]=(TRIM(K$7)))*(CkDJ[Account Code]=(TRIM($D92))),CkDJ[Debit])))+(SUM(IF((CsDJ[Date]=$A$4)*(CsDJ[Ofc Code]=(TRIM(K$7)))*(CsDJ[Account Code]=(TRIM($D92))),CsDJ[Debit])))+(SUM(IF((CRDJ[Date]=$A$4)*(CRDJ[Ofc Code]=(TRIM(K$7)))*(CRDJ[Account Code]=(TRIM($D92))),CRDJ[Debit])))+(SUM(IF((GJ[Date]=$A$4)*(GJ[Ofc Code]=(TRIM(K$7)))*(GJ[Account Code]=(TRIM($D92))),GJ[Debit])))-(SUM(IF((CkDJ[Date]=$A$4)*(CkDJ[Ofc Code]=(TRIM(K$7)))*(CkDJ[Account Code]=(TRIM($D92))),CkDJ[Credit])))+(SUM(IF((CsDJ[Date]=$A$4)*(CsDJ[Ofc Code]=(TRIM(K$7)))*(CsDJ[Account Code]=(TRIM($D92))),CsDJ[Credit])))+(SUM(IF((CRDJ[Date]=$A$4)*(CRDJ[Ofc Code]=(TRIM(K$7)))*(CRDJ[Account Code]=(TRIM($D92))),CRDJ[Credit])))+(SUM(IF((GJ[Date]=$A$4)*(GJ[Ofc Code]=(TRIM(K$7)))*(GJ[Account Code]=(TRIM($D92))),GJ[Credit])))</f>
        <v>0</v>
      </c>
      <c r="L92" s="211">
        <f t="array" ref="L92">(SUM(IF((CkDJ[Date]=$A$4)*(CkDJ[Ofc Code]=(TRIM(L$7)))*(CkDJ[Account Code]=(TRIM($D92))),CkDJ[Debit])))+(SUM(IF((CsDJ[Date]=$A$4)*(CsDJ[Ofc Code]=(TRIM(L$7)))*(CsDJ[Account Code]=(TRIM($D92))),CsDJ[Debit])))+(SUM(IF((CRDJ[Date]=$A$4)*(CRDJ[Ofc Code]=(TRIM(L$7)))*(CRDJ[Account Code]=(TRIM($D92))),CRDJ[Debit])))+(SUM(IF((GJ[Date]=$A$4)*(GJ[Ofc Code]=(TRIM(L$7)))*(GJ[Account Code]=(TRIM($D92))),GJ[Debit])))-(SUM(IF((CkDJ[Date]=$A$4)*(CkDJ[Ofc Code]=(TRIM(L$7)))*(CkDJ[Account Code]=(TRIM($D92))),CkDJ[Credit])))+(SUM(IF((CsDJ[Date]=$A$4)*(CsDJ[Ofc Code]=(TRIM(L$7)))*(CsDJ[Account Code]=(TRIM($D92))),CsDJ[Credit])))+(SUM(IF((CRDJ[Date]=$A$4)*(CRDJ[Ofc Code]=(TRIM(L$7)))*(CRDJ[Account Code]=(TRIM($D92))),CRDJ[Credit])))+(SUM(IF((GJ[Date]=$A$4)*(GJ[Ofc Code]=(TRIM(L$7)))*(GJ[Account Code]=(TRIM($D92))),GJ[Credit])))</f>
        <v>0</v>
      </c>
      <c r="M92" s="211">
        <f t="array" ref="M92">(SUM(IF((CkDJ[Date]=$A$4)*(CkDJ[Ofc Code]=(TRIM(M$7)))*(CkDJ[Account Code]=(TRIM($D92))),CkDJ[Debit])))+(SUM(IF((CsDJ[Date]=$A$4)*(CsDJ[Ofc Code]=(TRIM(M$7)))*(CsDJ[Account Code]=(TRIM($D92))),CsDJ[Debit])))+(SUM(IF((CRDJ[Date]=$A$4)*(CRDJ[Ofc Code]=(TRIM(M$7)))*(CRDJ[Account Code]=(TRIM($D92))),CRDJ[Debit])))+(SUM(IF((GJ[Date]=$A$4)*(GJ[Ofc Code]=(TRIM(M$7)))*(GJ[Account Code]=(TRIM($D92))),GJ[Debit])))-(SUM(IF((CkDJ[Date]=$A$4)*(CkDJ[Ofc Code]=(TRIM(M$7)))*(CkDJ[Account Code]=(TRIM($D92))),CkDJ[Credit])))+(SUM(IF((CsDJ[Date]=$A$4)*(CsDJ[Ofc Code]=(TRIM(M$7)))*(CsDJ[Account Code]=(TRIM($D92))),CsDJ[Credit])))+(SUM(IF((CRDJ[Date]=$A$4)*(CRDJ[Ofc Code]=(TRIM(M$7)))*(CRDJ[Account Code]=(TRIM($D92))),CRDJ[Credit])))+(SUM(IF((GJ[Date]=$A$4)*(GJ[Ofc Code]=(TRIM(M$7)))*(GJ[Account Code]=(TRIM($D92))),GJ[Credit])))</f>
        <v>0</v>
      </c>
      <c r="N92" s="211">
        <f t="shared" si="16"/>
        <v>0</v>
      </c>
      <c r="O92" s="211">
        <f t="array" ref="O92">(SUM(IF((CkDJ[Date]=$A$4)*(CkDJ[Ofc Code]=(TRIM(O$7)))*(CkDJ[Account Code]=(TRIM($D92))),CkDJ[Debit])))+(SUM(IF((CsDJ[Date]=$A$4)*(CsDJ[Ofc Code]=(TRIM(O$7)))*(CsDJ[Account Code]=(TRIM($D92))),CsDJ[Debit])))+(SUM(IF((CRDJ[Date]=$A$4)*(CRDJ[Ofc Code]=(TRIM(O$7)))*(CRDJ[Account Code]=(TRIM($D92))),CRDJ[Debit])))+(SUM(IF((GJ[Date]=$A$4)*(GJ[Ofc Code]=(TRIM(O$7)))*(GJ[Account Code]=(TRIM($D92))),GJ[Debit])))-(SUM(IF((CkDJ[Date]=$A$4)*(CkDJ[Ofc Code]=(TRIM(O$7)))*(CkDJ[Account Code]=(TRIM($D92))),CkDJ[Credit])))+(SUM(IF((CsDJ[Date]=$A$4)*(CsDJ[Ofc Code]=(TRIM(O$7)))*(CsDJ[Account Code]=(TRIM($D92))),CsDJ[Credit])))+(SUM(IF((CRDJ[Date]=$A$4)*(CRDJ[Ofc Code]=(TRIM(O$7)))*(CRDJ[Account Code]=(TRIM($D92))),CRDJ[Credit])))+(SUM(IF((GJ[Date]=$A$4)*(GJ[Ofc Code]=(TRIM(O$7)))*(GJ[Account Code]=(TRIM($D92))),GJ[Credit])))</f>
        <v>0</v>
      </c>
      <c r="P92" s="211">
        <f t="array" ref="P92">(SUM(IF((CkDJ[Date]=$A$4)*(CkDJ[Ofc Code]=(TRIM(P$7)))*(CkDJ[Account Code]=(TRIM($D92))),CkDJ[Debit])))+(SUM(IF((CsDJ[Date]=$A$4)*(CsDJ[Ofc Code]=(TRIM(P$7)))*(CsDJ[Account Code]=(TRIM($D92))),CsDJ[Debit])))+(SUM(IF((CRDJ[Date]=$A$4)*(CRDJ[Ofc Code]=(TRIM(P$7)))*(CRDJ[Account Code]=(TRIM($D92))),CRDJ[Debit])))+(SUM(IF((GJ[Date]=$A$4)*(GJ[Ofc Code]=(TRIM(P$7)))*(GJ[Account Code]=(TRIM($D92))),GJ[Debit])))-(SUM(IF((CkDJ[Date]=$A$4)*(CkDJ[Ofc Code]=(TRIM(P$7)))*(CkDJ[Account Code]=(TRIM($D92))),CkDJ[Credit])))+(SUM(IF((CsDJ[Date]=$A$4)*(CsDJ[Ofc Code]=(TRIM(P$7)))*(CsDJ[Account Code]=(TRIM($D92))),CsDJ[Credit])))+(SUM(IF((CRDJ[Date]=$A$4)*(CRDJ[Ofc Code]=(TRIM(P$7)))*(CRDJ[Account Code]=(TRIM($D92))),CRDJ[Credit])))+(SUM(IF((GJ[Date]=$A$4)*(GJ[Ofc Code]=(TRIM(P$7)))*(GJ[Account Code]=(TRIM($D92))),GJ[Credit])))</f>
        <v>0</v>
      </c>
      <c r="Q92" s="211">
        <f t="array" ref="Q92">(SUM(IF((CkDJ[Date]=$A$4)*(CkDJ[Ofc Code]=(TRIM(Q$7)))*(CkDJ[Account Code]=(TRIM($D92))),CkDJ[Debit])))+(SUM(IF((CsDJ[Date]=$A$4)*(CsDJ[Ofc Code]=(TRIM(Q$7)))*(CsDJ[Account Code]=(TRIM($D92))),CsDJ[Debit])))+(SUM(IF((CRDJ[Date]=$A$4)*(CRDJ[Ofc Code]=(TRIM(Q$7)))*(CRDJ[Account Code]=(TRIM($D92))),CRDJ[Debit])))+(SUM(IF((GJ[Date]=$A$4)*(GJ[Ofc Code]=(TRIM(Q$7)))*(GJ[Account Code]=(TRIM($D92))),GJ[Debit])))-(SUM(IF((CkDJ[Date]=$A$4)*(CkDJ[Ofc Code]=(TRIM(Q$7)))*(CkDJ[Account Code]=(TRIM($D92))),CkDJ[Credit])))+(SUM(IF((CsDJ[Date]=$A$4)*(CsDJ[Ofc Code]=(TRIM(Q$7)))*(CsDJ[Account Code]=(TRIM($D92))),CsDJ[Credit])))+(SUM(IF((CRDJ[Date]=$A$4)*(CRDJ[Ofc Code]=(TRIM(Q$7)))*(CRDJ[Account Code]=(TRIM($D92))),CRDJ[Credit])))+(SUM(IF((GJ[Date]=$A$4)*(GJ[Ofc Code]=(TRIM(Q$7)))*(GJ[Account Code]=(TRIM($D92))),GJ[Credit])))</f>
        <v>0</v>
      </c>
      <c r="R92" s="211">
        <f t="array" ref="R92">(SUM(IF((CkDJ[Date]=$A$4)*(CkDJ[Ofc Code]=(TRIM(R$7)))*(CkDJ[Account Code]=(TRIM($D92))),CkDJ[Debit])))+(SUM(IF((CsDJ[Date]=$A$4)*(CsDJ[Ofc Code]=(TRIM(R$7)))*(CsDJ[Account Code]=(TRIM($D92))),CsDJ[Debit])))+(SUM(IF((CRDJ[Date]=$A$4)*(CRDJ[Ofc Code]=(TRIM(R$7)))*(CRDJ[Account Code]=(TRIM($D92))),CRDJ[Debit])))+(SUM(IF((GJ[Date]=$A$4)*(GJ[Ofc Code]=(TRIM(R$7)))*(GJ[Account Code]=(TRIM($D92))),GJ[Debit])))-(SUM(IF((CkDJ[Date]=$A$4)*(CkDJ[Ofc Code]=(TRIM(R$7)))*(CkDJ[Account Code]=(TRIM($D92))),CkDJ[Credit])))+(SUM(IF((CsDJ[Date]=$A$4)*(CsDJ[Ofc Code]=(TRIM(R$7)))*(CsDJ[Account Code]=(TRIM($D92))),CsDJ[Credit])))+(SUM(IF((CRDJ[Date]=$A$4)*(CRDJ[Ofc Code]=(TRIM(R$7)))*(CRDJ[Account Code]=(TRIM($D92))),CRDJ[Credit])))+(SUM(IF((GJ[Date]=$A$4)*(GJ[Ofc Code]=(TRIM(R$7)))*(GJ[Account Code]=(TRIM($D92))),GJ[Credit])))</f>
        <v>0</v>
      </c>
      <c r="S92" s="211">
        <f t="array" ref="S92">(SUM(IF((CkDJ[Date]=$A$4)*(CkDJ[Ofc Code]=(TRIM(S$7)))*(CkDJ[Account Code]=(TRIM($D92))),CkDJ[Debit])))+(SUM(IF((CsDJ[Date]=$A$4)*(CsDJ[Ofc Code]=(TRIM(S$7)))*(CsDJ[Account Code]=(TRIM($D92))),CsDJ[Debit])))+(SUM(IF((CRDJ[Date]=$A$4)*(CRDJ[Ofc Code]=(TRIM(S$7)))*(CRDJ[Account Code]=(TRIM($D92))),CRDJ[Debit])))+(SUM(IF((GJ[Date]=$A$4)*(GJ[Ofc Code]=(TRIM(S$7)))*(GJ[Account Code]=(TRIM($D92))),GJ[Debit])))-(SUM(IF((CkDJ[Date]=$A$4)*(CkDJ[Ofc Code]=(TRIM(S$7)))*(CkDJ[Account Code]=(TRIM($D92))),CkDJ[Credit])))+(SUM(IF((CsDJ[Date]=$A$4)*(CsDJ[Ofc Code]=(TRIM(S$7)))*(CsDJ[Account Code]=(TRIM($D92))),CsDJ[Credit])))+(SUM(IF((CRDJ[Date]=$A$4)*(CRDJ[Ofc Code]=(TRIM(S$7)))*(CRDJ[Account Code]=(TRIM($D92))),CRDJ[Credit])))+(SUM(IF((GJ[Date]=$A$4)*(GJ[Ofc Code]=(TRIM(S$7)))*(GJ[Account Code]=(TRIM($D92))),GJ[Credit])))</f>
        <v>0</v>
      </c>
      <c r="T92" s="211">
        <f t="shared" si="17"/>
        <v>0</v>
      </c>
      <c r="U92" s="211">
        <f t="shared" si="18"/>
        <v>0</v>
      </c>
    </row>
    <row r="93" spans="1:21" ht="15" x14ac:dyDescent="0.25">
      <c r="A93" s="212">
        <f t="shared" si="19"/>
        <v>35</v>
      </c>
      <c r="B93" s="194" t="s">
        <v>756</v>
      </c>
      <c r="C93" s="194" t="str">
        <f t="shared" si="14"/>
        <v>Other Maintenance and Operating Expenses - Other Maintenance and Operating Expenses</v>
      </c>
      <c r="D93" s="207">
        <v>969</v>
      </c>
      <c r="E93" s="211">
        <f t="array" ref="E93">(SUM(IF((CkDJ[Date]=$A$4)*(CkDJ[Ofc Code]=(TRIM(E$7)))*(CkDJ[Account Code]=(TRIM($D93))),CkDJ[Debit])))+(SUM(IF((CsDJ[Date]=$A$4)*(CsDJ[Ofc Code]=(TRIM(E$7)))*(CsDJ[Account Code]=(TRIM($D93))),CsDJ[Debit])))+(SUM(IF((CRDJ[Date]=$A$4)*(CRDJ[Ofc Code]=(TRIM(E$7)))*(CRDJ[Account Code]=(TRIM($D93))),CRDJ[Debit])))+(SUM(IF((GJ[Date]=$A$4)*(GJ[Ofc Code]=(TRIM(E$7)))*(GJ[Account Code]=(TRIM($D93))),GJ[Debit])))-(SUM(IF((CkDJ[Date]=$A$4)*(CkDJ[Ofc Code]=(TRIM(E$7)))*(CkDJ[Account Code]=(TRIM($D93))),CkDJ[Credit])))+(SUM(IF((CsDJ[Date]=$A$4)*(CsDJ[Ofc Code]=(TRIM(E$7)))*(CsDJ[Account Code]=(TRIM($D93))),CsDJ[Credit])))+(SUM(IF((CRDJ[Date]=$A$4)*(CRDJ[Ofc Code]=(TRIM(E$7)))*(CRDJ[Account Code]=(TRIM($D93))),CRDJ[Credit])))+(SUM(IF((GJ[Date]=$A$4)*(GJ[Ofc Code]=(TRIM(E$7)))*(GJ[Account Code]=(TRIM($D93))),GJ[Credit])))</f>
        <v>0</v>
      </c>
      <c r="F93" s="211">
        <f t="array" ref="F93">(SUM(IF((CkDJ[Date]=$A$4)*(CkDJ[Ofc Code]=(TRIM(F$7)))*(CkDJ[Account Code]=(TRIM($D93))),CkDJ[Debit])))+(SUM(IF((CsDJ[Date]=$A$4)*(CsDJ[Ofc Code]=(TRIM(F$7)))*(CsDJ[Account Code]=(TRIM($D93))),CsDJ[Debit])))+(SUM(IF((CRDJ[Date]=$A$4)*(CRDJ[Ofc Code]=(TRIM(F$7)))*(CRDJ[Account Code]=(TRIM($D93))),CRDJ[Debit])))+(SUM(IF((GJ[Date]=$A$4)*(GJ[Ofc Code]=(TRIM(F$7)))*(GJ[Account Code]=(TRIM($D93))),GJ[Debit])))-(SUM(IF((CkDJ[Date]=$A$4)*(CkDJ[Ofc Code]=(TRIM(F$7)))*(CkDJ[Account Code]=(TRIM($D93))),CkDJ[Credit])))+(SUM(IF((CsDJ[Date]=$A$4)*(CsDJ[Ofc Code]=(TRIM(F$7)))*(CsDJ[Account Code]=(TRIM($D93))),CsDJ[Credit])))+(SUM(IF((CRDJ[Date]=$A$4)*(CRDJ[Ofc Code]=(TRIM(F$7)))*(CRDJ[Account Code]=(TRIM($D93))),CRDJ[Credit])))+(SUM(IF((GJ[Date]=$A$4)*(GJ[Ofc Code]=(TRIM(F$7)))*(GJ[Account Code]=(TRIM($D93))),GJ[Credit])))</f>
        <v>0</v>
      </c>
      <c r="G93" s="211">
        <f t="array" ref="G93">(SUM(IF((CkDJ[Date]=$A$4)*(CkDJ[Ofc Code]=(TRIM(G$7)))*(CkDJ[Account Code]=(TRIM($D93))),CkDJ[Debit])))+(SUM(IF((CsDJ[Date]=$A$4)*(CsDJ[Ofc Code]=(TRIM(G$7)))*(CsDJ[Account Code]=(TRIM($D93))),CsDJ[Debit])))+(SUM(IF((CRDJ[Date]=$A$4)*(CRDJ[Ofc Code]=(TRIM(G$7)))*(CRDJ[Account Code]=(TRIM($D93))),CRDJ[Debit])))+(SUM(IF((GJ[Date]=$A$4)*(GJ[Ofc Code]=(TRIM(G$7)))*(GJ[Account Code]=(TRIM($D93))),GJ[Debit])))-(SUM(IF((CkDJ[Date]=$A$4)*(CkDJ[Ofc Code]=(TRIM(G$7)))*(CkDJ[Account Code]=(TRIM($D93))),CkDJ[Credit])))+(SUM(IF((CsDJ[Date]=$A$4)*(CsDJ[Ofc Code]=(TRIM(G$7)))*(CsDJ[Account Code]=(TRIM($D93))),CsDJ[Credit])))+(SUM(IF((CRDJ[Date]=$A$4)*(CRDJ[Ofc Code]=(TRIM(G$7)))*(CRDJ[Account Code]=(TRIM($D93))),CRDJ[Credit])))+(SUM(IF((GJ[Date]=$A$4)*(GJ[Ofc Code]=(TRIM(G$7)))*(GJ[Account Code]=(TRIM($D93))),GJ[Credit])))</f>
        <v>0</v>
      </c>
      <c r="H93" s="211">
        <f t="array" ref="H93">(SUM(IF((CkDJ[Date]=$A$4)*(CkDJ[Ofc Code]=(TRIM(H$7)))*(CkDJ[Account Code]=(TRIM($D93))),CkDJ[Debit])))+(SUM(IF((CsDJ[Date]=$A$4)*(CsDJ[Ofc Code]=(TRIM(H$7)))*(CsDJ[Account Code]=(TRIM($D93))),CsDJ[Debit])))+(SUM(IF((CRDJ[Date]=$A$4)*(CRDJ[Ofc Code]=(TRIM(H$7)))*(CRDJ[Account Code]=(TRIM($D93))),CRDJ[Debit])))+(SUM(IF((GJ[Date]=$A$4)*(GJ[Ofc Code]=(TRIM(H$7)))*(GJ[Account Code]=(TRIM($D93))),GJ[Debit])))-(SUM(IF((CkDJ[Date]=$A$4)*(CkDJ[Ofc Code]=(TRIM(H$7)))*(CkDJ[Account Code]=(TRIM($D93))),CkDJ[Credit])))+(SUM(IF((CsDJ[Date]=$A$4)*(CsDJ[Ofc Code]=(TRIM(H$7)))*(CsDJ[Account Code]=(TRIM($D93))),CsDJ[Credit])))+(SUM(IF((CRDJ[Date]=$A$4)*(CRDJ[Ofc Code]=(TRIM(H$7)))*(CRDJ[Account Code]=(TRIM($D93))),CRDJ[Credit])))+(SUM(IF((GJ[Date]=$A$4)*(GJ[Ofc Code]=(TRIM(H$7)))*(GJ[Account Code]=(TRIM($D93))),GJ[Credit])))</f>
        <v>0</v>
      </c>
      <c r="I93" s="211">
        <f t="shared" si="15"/>
        <v>0</v>
      </c>
      <c r="J93" s="211">
        <f t="array" ref="J93">(SUM(IF((CkDJ[Date]=$A$4)*(CkDJ[Ofc Code]=(TRIM(J$7)))*(CkDJ[Account Code]=(TRIM($D93))),CkDJ[Debit])))+(SUM(IF((CsDJ[Date]=$A$4)*(CsDJ[Ofc Code]=(TRIM(J$7)))*(CsDJ[Account Code]=(TRIM($D93))),CsDJ[Debit])))+(SUM(IF((CRDJ[Date]=$A$4)*(CRDJ[Ofc Code]=(TRIM(J$7)))*(CRDJ[Account Code]=(TRIM($D93))),CRDJ[Debit])))+(SUM(IF((GJ[Date]=$A$4)*(GJ[Ofc Code]=(TRIM(J$7)))*(GJ[Account Code]=(TRIM($D93))),GJ[Debit])))-(SUM(IF((CkDJ[Date]=$A$4)*(CkDJ[Ofc Code]=(TRIM(J$7)))*(CkDJ[Account Code]=(TRIM($D93))),CkDJ[Credit])))+(SUM(IF((CsDJ[Date]=$A$4)*(CsDJ[Ofc Code]=(TRIM(J$7)))*(CsDJ[Account Code]=(TRIM($D93))),CsDJ[Credit])))+(SUM(IF((CRDJ[Date]=$A$4)*(CRDJ[Ofc Code]=(TRIM(J$7)))*(CRDJ[Account Code]=(TRIM($D93))),CRDJ[Credit])))+(SUM(IF((GJ[Date]=$A$4)*(GJ[Ofc Code]=(TRIM(J$7)))*(GJ[Account Code]=(TRIM($D93))),GJ[Credit])))</f>
        <v>0</v>
      </c>
      <c r="K93" s="211">
        <f t="array" ref="K93">(SUM(IF((CkDJ[Date]=$A$4)*(CkDJ[Ofc Code]=(TRIM(K$7)))*(CkDJ[Account Code]=(TRIM($D93))),CkDJ[Debit])))+(SUM(IF((CsDJ[Date]=$A$4)*(CsDJ[Ofc Code]=(TRIM(K$7)))*(CsDJ[Account Code]=(TRIM($D93))),CsDJ[Debit])))+(SUM(IF((CRDJ[Date]=$A$4)*(CRDJ[Ofc Code]=(TRIM(K$7)))*(CRDJ[Account Code]=(TRIM($D93))),CRDJ[Debit])))+(SUM(IF((GJ[Date]=$A$4)*(GJ[Ofc Code]=(TRIM(K$7)))*(GJ[Account Code]=(TRIM($D93))),GJ[Debit])))-(SUM(IF((CkDJ[Date]=$A$4)*(CkDJ[Ofc Code]=(TRIM(K$7)))*(CkDJ[Account Code]=(TRIM($D93))),CkDJ[Credit])))+(SUM(IF((CsDJ[Date]=$A$4)*(CsDJ[Ofc Code]=(TRIM(K$7)))*(CsDJ[Account Code]=(TRIM($D93))),CsDJ[Credit])))+(SUM(IF((CRDJ[Date]=$A$4)*(CRDJ[Ofc Code]=(TRIM(K$7)))*(CRDJ[Account Code]=(TRIM($D93))),CRDJ[Credit])))+(SUM(IF((GJ[Date]=$A$4)*(GJ[Ofc Code]=(TRIM(K$7)))*(GJ[Account Code]=(TRIM($D93))),GJ[Credit])))</f>
        <v>0</v>
      </c>
      <c r="L93" s="211">
        <f t="array" ref="L93">(SUM(IF((CkDJ[Date]=$A$4)*(CkDJ[Ofc Code]=(TRIM(L$7)))*(CkDJ[Account Code]=(TRIM($D93))),CkDJ[Debit])))+(SUM(IF((CsDJ[Date]=$A$4)*(CsDJ[Ofc Code]=(TRIM(L$7)))*(CsDJ[Account Code]=(TRIM($D93))),CsDJ[Debit])))+(SUM(IF((CRDJ[Date]=$A$4)*(CRDJ[Ofc Code]=(TRIM(L$7)))*(CRDJ[Account Code]=(TRIM($D93))),CRDJ[Debit])))+(SUM(IF((GJ[Date]=$A$4)*(GJ[Ofc Code]=(TRIM(L$7)))*(GJ[Account Code]=(TRIM($D93))),GJ[Debit])))-(SUM(IF((CkDJ[Date]=$A$4)*(CkDJ[Ofc Code]=(TRIM(L$7)))*(CkDJ[Account Code]=(TRIM($D93))),CkDJ[Credit])))+(SUM(IF((CsDJ[Date]=$A$4)*(CsDJ[Ofc Code]=(TRIM(L$7)))*(CsDJ[Account Code]=(TRIM($D93))),CsDJ[Credit])))+(SUM(IF((CRDJ[Date]=$A$4)*(CRDJ[Ofc Code]=(TRIM(L$7)))*(CRDJ[Account Code]=(TRIM($D93))),CRDJ[Credit])))+(SUM(IF((GJ[Date]=$A$4)*(GJ[Ofc Code]=(TRIM(L$7)))*(GJ[Account Code]=(TRIM($D93))),GJ[Credit])))</f>
        <v>0</v>
      </c>
      <c r="M93" s="211">
        <f t="array" ref="M93">(SUM(IF((CkDJ[Date]=$A$4)*(CkDJ[Ofc Code]=(TRIM(M$7)))*(CkDJ[Account Code]=(TRIM($D93))),CkDJ[Debit])))+(SUM(IF((CsDJ[Date]=$A$4)*(CsDJ[Ofc Code]=(TRIM(M$7)))*(CsDJ[Account Code]=(TRIM($D93))),CsDJ[Debit])))+(SUM(IF((CRDJ[Date]=$A$4)*(CRDJ[Ofc Code]=(TRIM(M$7)))*(CRDJ[Account Code]=(TRIM($D93))),CRDJ[Debit])))+(SUM(IF((GJ[Date]=$A$4)*(GJ[Ofc Code]=(TRIM(M$7)))*(GJ[Account Code]=(TRIM($D93))),GJ[Debit])))-(SUM(IF((CkDJ[Date]=$A$4)*(CkDJ[Ofc Code]=(TRIM(M$7)))*(CkDJ[Account Code]=(TRIM($D93))),CkDJ[Credit])))+(SUM(IF((CsDJ[Date]=$A$4)*(CsDJ[Ofc Code]=(TRIM(M$7)))*(CsDJ[Account Code]=(TRIM($D93))),CsDJ[Credit])))+(SUM(IF((CRDJ[Date]=$A$4)*(CRDJ[Ofc Code]=(TRIM(M$7)))*(CRDJ[Account Code]=(TRIM($D93))),CRDJ[Credit])))+(SUM(IF((GJ[Date]=$A$4)*(GJ[Ofc Code]=(TRIM(M$7)))*(GJ[Account Code]=(TRIM($D93))),GJ[Credit])))</f>
        <v>0</v>
      </c>
      <c r="N93" s="211">
        <f t="shared" si="16"/>
        <v>0</v>
      </c>
      <c r="O93" s="211">
        <f t="array" ref="O93">(SUM(IF((CkDJ[Date]=$A$4)*(CkDJ[Ofc Code]=(TRIM(O$7)))*(CkDJ[Account Code]=(TRIM($D93))),CkDJ[Debit])))+(SUM(IF((CsDJ[Date]=$A$4)*(CsDJ[Ofc Code]=(TRIM(O$7)))*(CsDJ[Account Code]=(TRIM($D93))),CsDJ[Debit])))+(SUM(IF((CRDJ[Date]=$A$4)*(CRDJ[Ofc Code]=(TRIM(O$7)))*(CRDJ[Account Code]=(TRIM($D93))),CRDJ[Debit])))+(SUM(IF((GJ[Date]=$A$4)*(GJ[Ofc Code]=(TRIM(O$7)))*(GJ[Account Code]=(TRIM($D93))),GJ[Debit])))-(SUM(IF((CkDJ[Date]=$A$4)*(CkDJ[Ofc Code]=(TRIM(O$7)))*(CkDJ[Account Code]=(TRIM($D93))),CkDJ[Credit])))+(SUM(IF((CsDJ[Date]=$A$4)*(CsDJ[Ofc Code]=(TRIM(O$7)))*(CsDJ[Account Code]=(TRIM($D93))),CsDJ[Credit])))+(SUM(IF((CRDJ[Date]=$A$4)*(CRDJ[Ofc Code]=(TRIM(O$7)))*(CRDJ[Account Code]=(TRIM($D93))),CRDJ[Credit])))+(SUM(IF((GJ[Date]=$A$4)*(GJ[Ofc Code]=(TRIM(O$7)))*(GJ[Account Code]=(TRIM($D93))),GJ[Credit])))</f>
        <v>0</v>
      </c>
      <c r="P93" s="211">
        <f t="array" ref="P93">(SUM(IF((CkDJ[Date]=$A$4)*(CkDJ[Ofc Code]=(TRIM(P$7)))*(CkDJ[Account Code]=(TRIM($D93))),CkDJ[Debit])))+(SUM(IF((CsDJ[Date]=$A$4)*(CsDJ[Ofc Code]=(TRIM(P$7)))*(CsDJ[Account Code]=(TRIM($D93))),CsDJ[Debit])))+(SUM(IF((CRDJ[Date]=$A$4)*(CRDJ[Ofc Code]=(TRIM(P$7)))*(CRDJ[Account Code]=(TRIM($D93))),CRDJ[Debit])))+(SUM(IF((GJ[Date]=$A$4)*(GJ[Ofc Code]=(TRIM(P$7)))*(GJ[Account Code]=(TRIM($D93))),GJ[Debit])))-(SUM(IF((CkDJ[Date]=$A$4)*(CkDJ[Ofc Code]=(TRIM(P$7)))*(CkDJ[Account Code]=(TRIM($D93))),CkDJ[Credit])))+(SUM(IF((CsDJ[Date]=$A$4)*(CsDJ[Ofc Code]=(TRIM(P$7)))*(CsDJ[Account Code]=(TRIM($D93))),CsDJ[Credit])))+(SUM(IF((CRDJ[Date]=$A$4)*(CRDJ[Ofc Code]=(TRIM(P$7)))*(CRDJ[Account Code]=(TRIM($D93))),CRDJ[Credit])))+(SUM(IF((GJ[Date]=$A$4)*(GJ[Ofc Code]=(TRIM(P$7)))*(GJ[Account Code]=(TRIM($D93))),GJ[Credit])))</f>
        <v>0</v>
      </c>
      <c r="Q93" s="211">
        <f t="array" ref="Q93">(SUM(IF((CkDJ[Date]=$A$4)*(CkDJ[Ofc Code]=(TRIM(Q$7)))*(CkDJ[Account Code]=(TRIM($D93))),CkDJ[Debit])))+(SUM(IF((CsDJ[Date]=$A$4)*(CsDJ[Ofc Code]=(TRIM(Q$7)))*(CsDJ[Account Code]=(TRIM($D93))),CsDJ[Debit])))+(SUM(IF((CRDJ[Date]=$A$4)*(CRDJ[Ofc Code]=(TRIM(Q$7)))*(CRDJ[Account Code]=(TRIM($D93))),CRDJ[Debit])))+(SUM(IF((GJ[Date]=$A$4)*(GJ[Ofc Code]=(TRIM(Q$7)))*(GJ[Account Code]=(TRIM($D93))),GJ[Debit])))-(SUM(IF((CkDJ[Date]=$A$4)*(CkDJ[Ofc Code]=(TRIM(Q$7)))*(CkDJ[Account Code]=(TRIM($D93))),CkDJ[Credit])))+(SUM(IF((CsDJ[Date]=$A$4)*(CsDJ[Ofc Code]=(TRIM(Q$7)))*(CsDJ[Account Code]=(TRIM($D93))),CsDJ[Credit])))+(SUM(IF((CRDJ[Date]=$A$4)*(CRDJ[Ofc Code]=(TRIM(Q$7)))*(CRDJ[Account Code]=(TRIM($D93))),CRDJ[Credit])))+(SUM(IF((GJ[Date]=$A$4)*(GJ[Ofc Code]=(TRIM(Q$7)))*(GJ[Account Code]=(TRIM($D93))),GJ[Credit])))</f>
        <v>0</v>
      </c>
      <c r="R93" s="211">
        <f t="array" ref="R93">(SUM(IF((CkDJ[Date]=$A$4)*(CkDJ[Ofc Code]=(TRIM(R$7)))*(CkDJ[Account Code]=(TRIM($D93))),CkDJ[Debit])))+(SUM(IF((CsDJ[Date]=$A$4)*(CsDJ[Ofc Code]=(TRIM(R$7)))*(CsDJ[Account Code]=(TRIM($D93))),CsDJ[Debit])))+(SUM(IF((CRDJ[Date]=$A$4)*(CRDJ[Ofc Code]=(TRIM(R$7)))*(CRDJ[Account Code]=(TRIM($D93))),CRDJ[Debit])))+(SUM(IF((GJ[Date]=$A$4)*(GJ[Ofc Code]=(TRIM(R$7)))*(GJ[Account Code]=(TRIM($D93))),GJ[Debit])))-(SUM(IF((CkDJ[Date]=$A$4)*(CkDJ[Ofc Code]=(TRIM(R$7)))*(CkDJ[Account Code]=(TRIM($D93))),CkDJ[Credit])))+(SUM(IF((CsDJ[Date]=$A$4)*(CsDJ[Ofc Code]=(TRIM(R$7)))*(CsDJ[Account Code]=(TRIM($D93))),CsDJ[Credit])))+(SUM(IF((CRDJ[Date]=$A$4)*(CRDJ[Ofc Code]=(TRIM(R$7)))*(CRDJ[Account Code]=(TRIM($D93))),CRDJ[Credit])))+(SUM(IF((GJ[Date]=$A$4)*(GJ[Ofc Code]=(TRIM(R$7)))*(GJ[Account Code]=(TRIM($D93))),GJ[Credit])))</f>
        <v>0</v>
      </c>
      <c r="S93" s="211">
        <f t="array" ref="S93">(SUM(IF((CkDJ[Date]=$A$4)*(CkDJ[Ofc Code]=(TRIM(S$7)))*(CkDJ[Account Code]=(TRIM($D93))),CkDJ[Debit])))+(SUM(IF((CsDJ[Date]=$A$4)*(CsDJ[Ofc Code]=(TRIM(S$7)))*(CsDJ[Account Code]=(TRIM($D93))),CsDJ[Debit])))+(SUM(IF((CRDJ[Date]=$A$4)*(CRDJ[Ofc Code]=(TRIM(S$7)))*(CRDJ[Account Code]=(TRIM($D93))),CRDJ[Debit])))+(SUM(IF((GJ[Date]=$A$4)*(GJ[Ofc Code]=(TRIM(S$7)))*(GJ[Account Code]=(TRIM($D93))),GJ[Debit])))-(SUM(IF((CkDJ[Date]=$A$4)*(CkDJ[Ofc Code]=(TRIM(S$7)))*(CkDJ[Account Code]=(TRIM($D93))),CkDJ[Credit])))+(SUM(IF((CsDJ[Date]=$A$4)*(CsDJ[Ofc Code]=(TRIM(S$7)))*(CsDJ[Account Code]=(TRIM($D93))),CsDJ[Credit])))+(SUM(IF((CRDJ[Date]=$A$4)*(CRDJ[Ofc Code]=(TRIM(S$7)))*(CRDJ[Account Code]=(TRIM($D93))),CRDJ[Credit])))+(SUM(IF((GJ[Date]=$A$4)*(GJ[Ofc Code]=(TRIM(S$7)))*(GJ[Account Code]=(TRIM($D93))),GJ[Credit])))</f>
        <v>0</v>
      </c>
      <c r="T93" s="211">
        <f t="shared" si="17"/>
        <v>0</v>
      </c>
      <c r="U93" s="211">
        <f t="shared" si="18"/>
        <v>0</v>
      </c>
    </row>
    <row r="94" spans="1:21" ht="15" x14ac:dyDescent="0.25">
      <c r="A94" s="212">
        <f t="shared" si="19"/>
        <v>36</v>
      </c>
      <c r="B94" s="194" t="s">
        <v>756</v>
      </c>
      <c r="C94" s="194" t="e">
        <f t="shared" si="14"/>
        <v>#N/A</v>
      </c>
      <c r="D94" s="207" t="s">
        <v>336</v>
      </c>
      <c r="E94" s="211">
        <f t="array" ref="E94">(SUM(IF((CkDJ[Date]=$A$4)*(CkDJ[Ofc Code]=(TRIM(E$7)))*(CkDJ[Account Code]=(TRIM($D94))),CkDJ[Debit])))+(SUM(IF((CsDJ[Date]=$A$4)*(CsDJ[Ofc Code]=(TRIM(E$7)))*(CsDJ[Account Code]=(TRIM($D94))),CsDJ[Debit])))+(SUM(IF((CRDJ[Date]=$A$4)*(CRDJ[Ofc Code]=(TRIM(E$7)))*(CRDJ[Account Code]=(TRIM($D94))),CRDJ[Debit])))+(SUM(IF((GJ[Date]=$A$4)*(GJ[Ofc Code]=(TRIM(E$7)))*(GJ[Account Code]=(TRIM($D94))),GJ[Debit])))-(SUM(IF((CkDJ[Date]=$A$4)*(CkDJ[Ofc Code]=(TRIM(E$7)))*(CkDJ[Account Code]=(TRIM($D94))),CkDJ[Credit])))+(SUM(IF((CsDJ[Date]=$A$4)*(CsDJ[Ofc Code]=(TRIM(E$7)))*(CsDJ[Account Code]=(TRIM($D94))),CsDJ[Credit])))+(SUM(IF((CRDJ[Date]=$A$4)*(CRDJ[Ofc Code]=(TRIM(E$7)))*(CRDJ[Account Code]=(TRIM($D94))),CRDJ[Credit])))+(SUM(IF((GJ[Date]=$A$4)*(GJ[Ofc Code]=(TRIM(E$7)))*(GJ[Account Code]=(TRIM($D94))),GJ[Credit])))</f>
        <v>0</v>
      </c>
      <c r="F94" s="211">
        <f t="array" ref="F94">(SUM(IF((CkDJ[Date]=$A$4)*(CkDJ[Ofc Code]=(TRIM(F$7)))*(CkDJ[Account Code]=(TRIM($D94))),CkDJ[Debit])))+(SUM(IF((CsDJ[Date]=$A$4)*(CsDJ[Ofc Code]=(TRIM(F$7)))*(CsDJ[Account Code]=(TRIM($D94))),CsDJ[Debit])))+(SUM(IF((CRDJ[Date]=$A$4)*(CRDJ[Ofc Code]=(TRIM(F$7)))*(CRDJ[Account Code]=(TRIM($D94))),CRDJ[Debit])))+(SUM(IF((GJ[Date]=$A$4)*(GJ[Ofc Code]=(TRIM(F$7)))*(GJ[Account Code]=(TRIM($D94))),GJ[Debit])))-(SUM(IF((CkDJ[Date]=$A$4)*(CkDJ[Ofc Code]=(TRIM(F$7)))*(CkDJ[Account Code]=(TRIM($D94))),CkDJ[Credit])))+(SUM(IF((CsDJ[Date]=$A$4)*(CsDJ[Ofc Code]=(TRIM(F$7)))*(CsDJ[Account Code]=(TRIM($D94))),CsDJ[Credit])))+(SUM(IF((CRDJ[Date]=$A$4)*(CRDJ[Ofc Code]=(TRIM(F$7)))*(CRDJ[Account Code]=(TRIM($D94))),CRDJ[Credit])))+(SUM(IF((GJ[Date]=$A$4)*(GJ[Ofc Code]=(TRIM(F$7)))*(GJ[Account Code]=(TRIM($D94))),GJ[Credit])))</f>
        <v>0</v>
      </c>
      <c r="G94" s="211">
        <f t="array" ref="G94">(SUM(IF((CkDJ[Date]=$A$4)*(CkDJ[Ofc Code]=(TRIM(G$7)))*(CkDJ[Account Code]=(TRIM($D94))),CkDJ[Debit])))+(SUM(IF((CsDJ[Date]=$A$4)*(CsDJ[Ofc Code]=(TRIM(G$7)))*(CsDJ[Account Code]=(TRIM($D94))),CsDJ[Debit])))+(SUM(IF((CRDJ[Date]=$A$4)*(CRDJ[Ofc Code]=(TRIM(G$7)))*(CRDJ[Account Code]=(TRIM($D94))),CRDJ[Debit])))+(SUM(IF((GJ[Date]=$A$4)*(GJ[Ofc Code]=(TRIM(G$7)))*(GJ[Account Code]=(TRIM($D94))),GJ[Debit])))-(SUM(IF((CkDJ[Date]=$A$4)*(CkDJ[Ofc Code]=(TRIM(G$7)))*(CkDJ[Account Code]=(TRIM($D94))),CkDJ[Credit])))+(SUM(IF((CsDJ[Date]=$A$4)*(CsDJ[Ofc Code]=(TRIM(G$7)))*(CsDJ[Account Code]=(TRIM($D94))),CsDJ[Credit])))+(SUM(IF((CRDJ[Date]=$A$4)*(CRDJ[Ofc Code]=(TRIM(G$7)))*(CRDJ[Account Code]=(TRIM($D94))),CRDJ[Credit])))+(SUM(IF((GJ[Date]=$A$4)*(GJ[Ofc Code]=(TRIM(G$7)))*(GJ[Account Code]=(TRIM($D94))),GJ[Credit])))</f>
        <v>0</v>
      </c>
      <c r="H94" s="211">
        <f t="array" ref="H94">(SUM(IF((CkDJ[Date]=$A$4)*(CkDJ[Ofc Code]=(TRIM(H$7)))*(CkDJ[Account Code]=(TRIM($D94))),CkDJ[Debit])))+(SUM(IF((CsDJ[Date]=$A$4)*(CsDJ[Ofc Code]=(TRIM(H$7)))*(CsDJ[Account Code]=(TRIM($D94))),CsDJ[Debit])))+(SUM(IF((CRDJ[Date]=$A$4)*(CRDJ[Ofc Code]=(TRIM(H$7)))*(CRDJ[Account Code]=(TRIM($D94))),CRDJ[Debit])))+(SUM(IF((GJ[Date]=$A$4)*(GJ[Ofc Code]=(TRIM(H$7)))*(GJ[Account Code]=(TRIM($D94))),GJ[Debit])))-(SUM(IF((CkDJ[Date]=$A$4)*(CkDJ[Ofc Code]=(TRIM(H$7)))*(CkDJ[Account Code]=(TRIM($D94))),CkDJ[Credit])))+(SUM(IF((CsDJ[Date]=$A$4)*(CsDJ[Ofc Code]=(TRIM(H$7)))*(CsDJ[Account Code]=(TRIM($D94))),CsDJ[Credit])))+(SUM(IF((CRDJ[Date]=$A$4)*(CRDJ[Ofc Code]=(TRIM(H$7)))*(CRDJ[Account Code]=(TRIM($D94))),CRDJ[Credit])))+(SUM(IF((GJ[Date]=$A$4)*(GJ[Ofc Code]=(TRIM(H$7)))*(GJ[Account Code]=(TRIM($D94))),GJ[Credit])))</f>
        <v>0</v>
      </c>
      <c r="I94" s="211">
        <f t="shared" si="15"/>
        <v>0</v>
      </c>
      <c r="J94" s="211">
        <f t="array" ref="J94">(SUM(IF((CkDJ[Date]=$A$4)*(CkDJ[Ofc Code]=(TRIM(J$7)))*(CkDJ[Account Code]=(TRIM($D94))),CkDJ[Debit])))+(SUM(IF((CsDJ[Date]=$A$4)*(CsDJ[Ofc Code]=(TRIM(J$7)))*(CsDJ[Account Code]=(TRIM($D94))),CsDJ[Debit])))+(SUM(IF((CRDJ[Date]=$A$4)*(CRDJ[Ofc Code]=(TRIM(J$7)))*(CRDJ[Account Code]=(TRIM($D94))),CRDJ[Debit])))+(SUM(IF((GJ[Date]=$A$4)*(GJ[Ofc Code]=(TRIM(J$7)))*(GJ[Account Code]=(TRIM($D94))),GJ[Debit])))-(SUM(IF((CkDJ[Date]=$A$4)*(CkDJ[Ofc Code]=(TRIM(J$7)))*(CkDJ[Account Code]=(TRIM($D94))),CkDJ[Credit])))+(SUM(IF((CsDJ[Date]=$A$4)*(CsDJ[Ofc Code]=(TRIM(J$7)))*(CsDJ[Account Code]=(TRIM($D94))),CsDJ[Credit])))+(SUM(IF((CRDJ[Date]=$A$4)*(CRDJ[Ofc Code]=(TRIM(J$7)))*(CRDJ[Account Code]=(TRIM($D94))),CRDJ[Credit])))+(SUM(IF((GJ[Date]=$A$4)*(GJ[Ofc Code]=(TRIM(J$7)))*(GJ[Account Code]=(TRIM($D94))),GJ[Credit])))</f>
        <v>0</v>
      </c>
      <c r="K94" s="211">
        <f t="array" ref="K94">(SUM(IF((CkDJ[Date]=$A$4)*(CkDJ[Ofc Code]=(TRIM(K$7)))*(CkDJ[Account Code]=(TRIM($D94))),CkDJ[Debit])))+(SUM(IF((CsDJ[Date]=$A$4)*(CsDJ[Ofc Code]=(TRIM(K$7)))*(CsDJ[Account Code]=(TRIM($D94))),CsDJ[Debit])))+(SUM(IF((CRDJ[Date]=$A$4)*(CRDJ[Ofc Code]=(TRIM(K$7)))*(CRDJ[Account Code]=(TRIM($D94))),CRDJ[Debit])))+(SUM(IF((GJ[Date]=$A$4)*(GJ[Ofc Code]=(TRIM(K$7)))*(GJ[Account Code]=(TRIM($D94))),GJ[Debit])))-(SUM(IF((CkDJ[Date]=$A$4)*(CkDJ[Ofc Code]=(TRIM(K$7)))*(CkDJ[Account Code]=(TRIM($D94))),CkDJ[Credit])))+(SUM(IF((CsDJ[Date]=$A$4)*(CsDJ[Ofc Code]=(TRIM(K$7)))*(CsDJ[Account Code]=(TRIM($D94))),CsDJ[Credit])))+(SUM(IF((CRDJ[Date]=$A$4)*(CRDJ[Ofc Code]=(TRIM(K$7)))*(CRDJ[Account Code]=(TRIM($D94))),CRDJ[Credit])))+(SUM(IF((GJ[Date]=$A$4)*(GJ[Ofc Code]=(TRIM(K$7)))*(GJ[Account Code]=(TRIM($D94))),GJ[Credit])))</f>
        <v>0</v>
      </c>
      <c r="L94" s="211">
        <f t="array" ref="L94">(SUM(IF((CkDJ[Date]=$A$4)*(CkDJ[Ofc Code]=(TRIM(L$7)))*(CkDJ[Account Code]=(TRIM($D94))),CkDJ[Debit])))+(SUM(IF((CsDJ[Date]=$A$4)*(CsDJ[Ofc Code]=(TRIM(L$7)))*(CsDJ[Account Code]=(TRIM($D94))),CsDJ[Debit])))+(SUM(IF((CRDJ[Date]=$A$4)*(CRDJ[Ofc Code]=(TRIM(L$7)))*(CRDJ[Account Code]=(TRIM($D94))),CRDJ[Debit])))+(SUM(IF((GJ[Date]=$A$4)*(GJ[Ofc Code]=(TRIM(L$7)))*(GJ[Account Code]=(TRIM($D94))),GJ[Debit])))-(SUM(IF((CkDJ[Date]=$A$4)*(CkDJ[Ofc Code]=(TRIM(L$7)))*(CkDJ[Account Code]=(TRIM($D94))),CkDJ[Credit])))+(SUM(IF((CsDJ[Date]=$A$4)*(CsDJ[Ofc Code]=(TRIM(L$7)))*(CsDJ[Account Code]=(TRIM($D94))),CsDJ[Credit])))+(SUM(IF((CRDJ[Date]=$A$4)*(CRDJ[Ofc Code]=(TRIM(L$7)))*(CRDJ[Account Code]=(TRIM($D94))),CRDJ[Credit])))+(SUM(IF((GJ[Date]=$A$4)*(GJ[Ofc Code]=(TRIM(L$7)))*(GJ[Account Code]=(TRIM($D94))),GJ[Credit])))</f>
        <v>0</v>
      </c>
      <c r="M94" s="211">
        <f t="array" ref="M94">(SUM(IF((CkDJ[Date]=$A$4)*(CkDJ[Ofc Code]=(TRIM(M$7)))*(CkDJ[Account Code]=(TRIM($D94))),CkDJ[Debit])))+(SUM(IF((CsDJ[Date]=$A$4)*(CsDJ[Ofc Code]=(TRIM(M$7)))*(CsDJ[Account Code]=(TRIM($D94))),CsDJ[Debit])))+(SUM(IF((CRDJ[Date]=$A$4)*(CRDJ[Ofc Code]=(TRIM(M$7)))*(CRDJ[Account Code]=(TRIM($D94))),CRDJ[Debit])))+(SUM(IF((GJ[Date]=$A$4)*(GJ[Ofc Code]=(TRIM(M$7)))*(GJ[Account Code]=(TRIM($D94))),GJ[Debit])))-(SUM(IF((CkDJ[Date]=$A$4)*(CkDJ[Ofc Code]=(TRIM(M$7)))*(CkDJ[Account Code]=(TRIM($D94))),CkDJ[Credit])))+(SUM(IF((CsDJ[Date]=$A$4)*(CsDJ[Ofc Code]=(TRIM(M$7)))*(CsDJ[Account Code]=(TRIM($D94))),CsDJ[Credit])))+(SUM(IF((CRDJ[Date]=$A$4)*(CRDJ[Ofc Code]=(TRIM(M$7)))*(CRDJ[Account Code]=(TRIM($D94))),CRDJ[Credit])))+(SUM(IF((GJ[Date]=$A$4)*(GJ[Ofc Code]=(TRIM(M$7)))*(GJ[Account Code]=(TRIM($D94))),GJ[Credit])))</f>
        <v>0</v>
      </c>
      <c r="N94" s="211">
        <f t="shared" si="16"/>
        <v>0</v>
      </c>
      <c r="O94" s="211">
        <f t="array" ref="O94">(SUM(IF((CkDJ[Date]=$A$4)*(CkDJ[Ofc Code]=(TRIM(O$7)))*(CkDJ[Account Code]=(TRIM($D94))),CkDJ[Debit])))+(SUM(IF((CsDJ[Date]=$A$4)*(CsDJ[Ofc Code]=(TRIM(O$7)))*(CsDJ[Account Code]=(TRIM($D94))),CsDJ[Debit])))+(SUM(IF((CRDJ[Date]=$A$4)*(CRDJ[Ofc Code]=(TRIM(O$7)))*(CRDJ[Account Code]=(TRIM($D94))),CRDJ[Debit])))+(SUM(IF((GJ[Date]=$A$4)*(GJ[Ofc Code]=(TRIM(O$7)))*(GJ[Account Code]=(TRIM($D94))),GJ[Debit])))-(SUM(IF((CkDJ[Date]=$A$4)*(CkDJ[Ofc Code]=(TRIM(O$7)))*(CkDJ[Account Code]=(TRIM($D94))),CkDJ[Credit])))+(SUM(IF((CsDJ[Date]=$A$4)*(CsDJ[Ofc Code]=(TRIM(O$7)))*(CsDJ[Account Code]=(TRIM($D94))),CsDJ[Credit])))+(SUM(IF((CRDJ[Date]=$A$4)*(CRDJ[Ofc Code]=(TRIM(O$7)))*(CRDJ[Account Code]=(TRIM($D94))),CRDJ[Credit])))+(SUM(IF((GJ[Date]=$A$4)*(GJ[Ofc Code]=(TRIM(O$7)))*(GJ[Account Code]=(TRIM($D94))),GJ[Credit])))</f>
        <v>0</v>
      </c>
      <c r="P94" s="211">
        <f t="array" ref="P94">(SUM(IF((CkDJ[Date]=$A$4)*(CkDJ[Ofc Code]=(TRIM(P$7)))*(CkDJ[Account Code]=(TRIM($D94))),CkDJ[Debit])))+(SUM(IF((CsDJ[Date]=$A$4)*(CsDJ[Ofc Code]=(TRIM(P$7)))*(CsDJ[Account Code]=(TRIM($D94))),CsDJ[Debit])))+(SUM(IF((CRDJ[Date]=$A$4)*(CRDJ[Ofc Code]=(TRIM(P$7)))*(CRDJ[Account Code]=(TRIM($D94))),CRDJ[Debit])))+(SUM(IF((GJ[Date]=$A$4)*(GJ[Ofc Code]=(TRIM(P$7)))*(GJ[Account Code]=(TRIM($D94))),GJ[Debit])))-(SUM(IF((CkDJ[Date]=$A$4)*(CkDJ[Ofc Code]=(TRIM(P$7)))*(CkDJ[Account Code]=(TRIM($D94))),CkDJ[Credit])))+(SUM(IF((CsDJ[Date]=$A$4)*(CsDJ[Ofc Code]=(TRIM(P$7)))*(CsDJ[Account Code]=(TRIM($D94))),CsDJ[Credit])))+(SUM(IF((CRDJ[Date]=$A$4)*(CRDJ[Ofc Code]=(TRIM(P$7)))*(CRDJ[Account Code]=(TRIM($D94))),CRDJ[Credit])))+(SUM(IF((GJ[Date]=$A$4)*(GJ[Ofc Code]=(TRIM(P$7)))*(GJ[Account Code]=(TRIM($D94))),GJ[Credit])))</f>
        <v>0</v>
      </c>
      <c r="Q94" s="211">
        <f t="array" ref="Q94">(SUM(IF((CkDJ[Date]=$A$4)*(CkDJ[Ofc Code]=(TRIM(Q$7)))*(CkDJ[Account Code]=(TRIM($D94))),CkDJ[Debit])))+(SUM(IF((CsDJ[Date]=$A$4)*(CsDJ[Ofc Code]=(TRIM(Q$7)))*(CsDJ[Account Code]=(TRIM($D94))),CsDJ[Debit])))+(SUM(IF((CRDJ[Date]=$A$4)*(CRDJ[Ofc Code]=(TRIM(Q$7)))*(CRDJ[Account Code]=(TRIM($D94))),CRDJ[Debit])))+(SUM(IF((GJ[Date]=$A$4)*(GJ[Ofc Code]=(TRIM(Q$7)))*(GJ[Account Code]=(TRIM($D94))),GJ[Debit])))-(SUM(IF((CkDJ[Date]=$A$4)*(CkDJ[Ofc Code]=(TRIM(Q$7)))*(CkDJ[Account Code]=(TRIM($D94))),CkDJ[Credit])))+(SUM(IF((CsDJ[Date]=$A$4)*(CsDJ[Ofc Code]=(TRIM(Q$7)))*(CsDJ[Account Code]=(TRIM($D94))),CsDJ[Credit])))+(SUM(IF((CRDJ[Date]=$A$4)*(CRDJ[Ofc Code]=(TRIM(Q$7)))*(CRDJ[Account Code]=(TRIM($D94))),CRDJ[Credit])))+(SUM(IF((GJ[Date]=$A$4)*(GJ[Ofc Code]=(TRIM(Q$7)))*(GJ[Account Code]=(TRIM($D94))),GJ[Credit])))</f>
        <v>0</v>
      </c>
      <c r="R94" s="211">
        <f t="array" ref="R94">(SUM(IF((CkDJ[Date]=$A$4)*(CkDJ[Ofc Code]=(TRIM(R$7)))*(CkDJ[Account Code]=(TRIM($D94))),CkDJ[Debit])))+(SUM(IF((CsDJ[Date]=$A$4)*(CsDJ[Ofc Code]=(TRIM(R$7)))*(CsDJ[Account Code]=(TRIM($D94))),CsDJ[Debit])))+(SUM(IF((CRDJ[Date]=$A$4)*(CRDJ[Ofc Code]=(TRIM(R$7)))*(CRDJ[Account Code]=(TRIM($D94))),CRDJ[Debit])))+(SUM(IF((GJ[Date]=$A$4)*(GJ[Ofc Code]=(TRIM(R$7)))*(GJ[Account Code]=(TRIM($D94))),GJ[Debit])))-(SUM(IF((CkDJ[Date]=$A$4)*(CkDJ[Ofc Code]=(TRIM(R$7)))*(CkDJ[Account Code]=(TRIM($D94))),CkDJ[Credit])))+(SUM(IF((CsDJ[Date]=$A$4)*(CsDJ[Ofc Code]=(TRIM(R$7)))*(CsDJ[Account Code]=(TRIM($D94))),CsDJ[Credit])))+(SUM(IF((CRDJ[Date]=$A$4)*(CRDJ[Ofc Code]=(TRIM(R$7)))*(CRDJ[Account Code]=(TRIM($D94))),CRDJ[Credit])))+(SUM(IF((GJ[Date]=$A$4)*(GJ[Ofc Code]=(TRIM(R$7)))*(GJ[Account Code]=(TRIM($D94))),GJ[Credit])))</f>
        <v>0</v>
      </c>
      <c r="S94" s="211">
        <f t="array" ref="S94">(SUM(IF((CkDJ[Date]=$A$4)*(CkDJ[Ofc Code]=(TRIM(S$7)))*(CkDJ[Account Code]=(TRIM($D94))),CkDJ[Debit])))+(SUM(IF((CsDJ[Date]=$A$4)*(CsDJ[Ofc Code]=(TRIM(S$7)))*(CsDJ[Account Code]=(TRIM($D94))),CsDJ[Debit])))+(SUM(IF((CRDJ[Date]=$A$4)*(CRDJ[Ofc Code]=(TRIM(S$7)))*(CRDJ[Account Code]=(TRIM($D94))),CRDJ[Debit])))+(SUM(IF((GJ[Date]=$A$4)*(GJ[Ofc Code]=(TRIM(S$7)))*(GJ[Account Code]=(TRIM($D94))),GJ[Debit])))-(SUM(IF((CkDJ[Date]=$A$4)*(CkDJ[Ofc Code]=(TRIM(S$7)))*(CkDJ[Account Code]=(TRIM($D94))),CkDJ[Credit])))+(SUM(IF((CsDJ[Date]=$A$4)*(CsDJ[Ofc Code]=(TRIM(S$7)))*(CsDJ[Account Code]=(TRIM($D94))),CsDJ[Credit])))+(SUM(IF((CRDJ[Date]=$A$4)*(CRDJ[Ofc Code]=(TRIM(S$7)))*(CRDJ[Account Code]=(TRIM($D94))),CRDJ[Credit])))+(SUM(IF((GJ[Date]=$A$4)*(GJ[Ofc Code]=(TRIM(S$7)))*(GJ[Account Code]=(TRIM($D94))),GJ[Credit])))</f>
        <v>0</v>
      </c>
      <c r="T94" s="211">
        <f t="shared" si="17"/>
        <v>0</v>
      </c>
      <c r="U94" s="211">
        <f t="shared" si="18"/>
        <v>0</v>
      </c>
    </row>
    <row r="95" spans="1:21" ht="15" x14ac:dyDescent="0.25">
      <c r="A95" s="212">
        <f t="shared" si="19"/>
        <v>37</v>
      </c>
      <c r="B95" s="194" t="s">
        <v>756</v>
      </c>
      <c r="C95" s="194" t="e">
        <f t="shared" si="14"/>
        <v>#N/A</v>
      </c>
      <c r="D95" s="207" t="s">
        <v>337</v>
      </c>
      <c r="E95" s="211">
        <f t="array" ref="E95">(SUM(IF((CkDJ[Date]=$A$4)*(CkDJ[Ofc Code]=(TRIM(E$7)))*(CkDJ[Account Code]=(TRIM($D95))),CkDJ[Debit])))+(SUM(IF((CsDJ[Date]=$A$4)*(CsDJ[Ofc Code]=(TRIM(E$7)))*(CsDJ[Account Code]=(TRIM($D95))),CsDJ[Debit])))+(SUM(IF((CRDJ[Date]=$A$4)*(CRDJ[Ofc Code]=(TRIM(E$7)))*(CRDJ[Account Code]=(TRIM($D95))),CRDJ[Debit])))+(SUM(IF((GJ[Date]=$A$4)*(GJ[Ofc Code]=(TRIM(E$7)))*(GJ[Account Code]=(TRIM($D95))),GJ[Debit])))-(SUM(IF((CkDJ[Date]=$A$4)*(CkDJ[Ofc Code]=(TRIM(E$7)))*(CkDJ[Account Code]=(TRIM($D95))),CkDJ[Credit])))+(SUM(IF((CsDJ[Date]=$A$4)*(CsDJ[Ofc Code]=(TRIM(E$7)))*(CsDJ[Account Code]=(TRIM($D95))),CsDJ[Credit])))+(SUM(IF((CRDJ[Date]=$A$4)*(CRDJ[Ofc Code]=(TRIM(E$7)))*(CRDJ[Account Code]=(TRIM($D95))),CRDJ[Credit])))+(SUM(IF((GJ[Date]=$A$4)*(GJ[Ofc Code]=(TRIM(E$7)))*(GJ[Account Code]=(TRIM($D95))),GJ[Credit])))</f>
        <v>0</v>
      </c>
      <c r="F95" s="211">
        <f t="array" ref="F95">(SUM(IF((CkDJ[Date]=$A$4)*(CkDJ[Ofc Code]=(TRIM(F$7)))*(CkDJ[Account Code]=(TRIM($D95))),CkDJ[Debit])))+(SUM(IF((CsDJ[Date]=$A$4)*(CsDJ[Ofc Code]=(TRIM(F$7)))*(CsDJ[Account Code]=(TRIM($D95))),CsDJ[Debit])))+(SUM(IF((CRDJ[Date]=$A$4)*(CRDJ[Ofc Code]=(TRIM(F$7)))*(CRDJ[Account Code]=(TRIM($D95))),CRDJ[Debit])))+(SUM(IF((GJ[Date]=$A$4)*(GJ[Ofc Code]=(TRIM(F$7)))*(GJ[Account Code]=(TRIM($D95))),GJ[Debit])))-(SUM(IF((CkDJ[Date]=$A$4)*(CkDJ[Ofc Code]=(TRIM(F$7)))*(CkDJ[Account Code]=(TRIM($D95))),CkDJ[Credit])))+(SUM(IF((CsDJ[Date]=$A$4)*(CsDJ[Ofc Code]=(TRIM(F$7)))*(CsDJ[Account Code]=(TRIM($D95))),CsDJ[Credit])))+(SUM(IF((CRDJ[Date]=$A$4)*(CRDJ[Ofc Code]=(TRIM(F$7)))*(CRDJ[Account Code]=(TRIM($D95))),CRDJ[Credit])))+(SUM(IF((GJ[Date]=$A$4)*(GJ[Ofc Code]=(TRIM(F$7)))*(GJ[Account Code]=(TRIM($D95))),GJ[Credit])))</f>
        <v>0</v>
      </c>
      <c r="G95" s="211">
        <f t="array" ref="G95">(SUM(IF((CkDJ[Date]=$A$4)*(CkDJ[Ofc Code]=(TRIM(G$7)))*(CkDJ[Account Code]=(TRIM($D95))),CkDJ[Debit])))+(SUM(IF((CsDJ[Date]=$A$4)*(CsDJ[Ofc Code]=(TRIM(G$7)))*(CsDJ[Account Code]=(TRIM($D95))),CsDJ[Debit])))+(SUM(IF((CRDJ[Date]=$A$4)*(CRDJ[Ofc Code]=(TRIM(G$7)))*(CRDJ[Account Code]=(TRIM($D95))),CRDJ[Debit])))+(SUM(IF((GJ[Date]=$A$4)*(GJ[Ofc Code]=(TRIM(G$7)))*(GJ[Account Code]=(TRIM($D95))),GJ[Debit])))-(SUM(IF((CkDJ[Date]=$A$4)*(CkDJ[Ofc Code]=(TRIM(G$7)))*(CkDJ[Account Code]=(TRIM($D95))),CkDJ[Credit])))+(SUM(IF((CsDJ[Date]=$A$4)*(CsDJ[Ofc Code]=(TRIM(G$7)))*(CsDJ[Account Code]=(TRIM($D95))),CsDJ[Credit])))+(SUM(IF((CRDJ[Date]=$A$4)*(CRDJ[Ofc Code]=(TRIM(G$7)))*(CRDJ[Account Code]=(TRIM($D95))),CRDJ[Credit])))+(SUM(IF((GJ[Date]=$A$4)*(GJ[Ofc Code]=(TRIM(G$7)))*(GJ[Account Code]=(TRIM($D95))),GJ[Credit])))</f>
        <v>0</v>
      </c>
      <c r="H95" s="211">
        <f t="array" ref="H95">(SUM(IF((CkDJ[Date]=$A$4)*(CkDJ[Ofc Code]=(TRIM(H$7)))*(CkDJ[Account Code]=(TRIM($D95))),CkDJ[Debit])))+(SUM(IF((CsDJ[Date]=$A$4)*(CsDJ[Ofc Code]=(TRIM(H$7)))*(CsDJ[Account Code]=(TRIM($D95))),CsDJ[Debit])))+(SUM(IF((CRDJ[Date]=$A$4)*(CRDJ[Ofc Code]=(TRIM(H$7)))*(CRDJ[Account Code]=(TRIM($D95))),CRDJ[Debit])))+(SUM(IF((GJ[Date]=$A$4)*(GJ[Ofc Code]=(TRIM(H$7)))*(GJ[Account Code]=(TRIM($D95))),GJ[Debit])))-(SUM(IF((CkDJ[Date]=$A$4)*(CkDJ[Ofc Code]=(TRIM(H$7)))*(CkDJ[Account Code]=(TRIM($D95))),CkDJ[Credit])))+(SUM(IF((CsDJ[Date]=$A$4)*(CsDJ[Ofc Code]=(TRIM(H$7)))*(CsDJ[Account Code]=(TRIM($D95))),CsDJ[Credit])))+(SUM(IF((CRDJ[Date]=$A$4)*(CRDJ[Ofc Code]=(TRIM(H$7)))*(CRDJ[Account Code]=(TRIM($D95))),CRDJ[Credit])))+(SUM(IF((GJ[Date]=$A$4)*(GJ[Ofc Code]=(TRIM(H$7)))*(GJ[Account Code]=(TRIM($D95))),GJ[Credit])))</f>
        <v>0</v>
      </c>
      <c r="I95" s="211">
        <f t="shared" si="15"/>
        <v>0</v>
      </c>
      <c r="J95" s="211">
        <f t="array" ref="J95">(SUM(IF((CkDJ[Date]=$A$4)*(CkDJ[Ofc Code]=(TRIM(J$7)))*(CkDJ[Account Code]=(TRIM($D95))),CkDJ[Debit])))+(SUM(IF((CsDJ[Date]=$A$4)*(CsDJ[Ofc Code]=(TRIM(J$7)))*(CsDJ[Account Code]=(TRIM($D95))),CsDJ[Debit])))+(SUM(IF((CRDJ[Date]=$A$4)*(CRDJ[Ofc Code]=(TRIM(J$7)))*(CRDJ[Account Code]=(TRIM($D95))),CRDJ[Debit])))+(SUM(IF((GJ[Date]=$A$4)*(GJ[Ofc Code]=(TRIM(J$7)))*(GJ[Account Code]=(TRIM($D95))),GJ[Debit])))-(SUM(IF((CkDJ[Date]=$A$4)*(CkDJ[Ofc Code]=(TRIM(J$7)))*(CkDJ[Account Code]=(TRIM($D95))),CkDJ[Credit])))+(SUM(IF((CsDJ[Date]=$A$4)*(CsDJ[Ofc Code]=(TRIM(J$7)))*(CsDJ[Account Code]=(TRIM($D95))),CsDJ[Credit])))+(SUM(IF((CRDJ[Date]=$A$4)*(CRDJ[Ofc Code]=(TRIM(J$7)))*(CRDJ[Account Code]=(TRIM($D95))),CRDJ[Credit])))+(SUM(IF((GJ[Date]=$A$4)*(GJ[Ofc Code]=(TRIM(J$7)))*(GJ[Account Code]=(TRIM($D95))),GJ[Credit])))</f>
        <v>0</v>
      </c>
      <c r="K95" s="211">
        <f t="array" ref="K95">(SUM(IF((CkDJ[Date]=$A$4)*(CkDJ[Ofc Code]=(TRIM(K$7)))*(CkDJ[Account Code]=(TRIM($D95))),CkDJ[Debit])))+(SUM(IF((CsDJ[Date]=$A$4)*(CsDJ[Ofc Code]=(TRIM(K$7)))*(CsDJ[Account Code]=(TRIM($D95))),CsDJ[Debit])))+(SUM(IF((CRDJ[Date]=$A$4)*(CRDJ[Ofc Code]=(TRIM(K$7)))*(CRDJ[Account Code]=(TRIM($D95))),CRDJ[Debit])))+(SUM(IF((GJ[Date]=$A$4)*(GJ[Ofc Code]=(TRIM(K$7)))*(GJ[Account Code]=(TRIM($D95))),GJ[Debit])))-(SUM(IF((CkDJ[Date]=$A$4)*(CkDJ[Ofc Code]=(TRIM(K$7)))*(CkDJ[Account Code]=(TRIM($D95))),CkDJ[Credit])))+(SUM(IF((CsDJ[Date]=$A$4)*(CsDJ[Ofc Code]=(TRIM(K$7)))*(CsDJ[Account Code]=(TRIM($D95))),CsDJ[Credit])))+(SUM(IF((CRDJ[Date]=$A$4)*(CRDJ[Ofc Code]=(TRIM(K$7)))*(CRDJ[Account Code]=(TRIM($D95))),CRDJ[Credit])))+(SUM(IF((GJ[Date]=$A$4)*(GJ[Ofc Code]=(TRIM(K$7)))*(GJ[Account Code]=(TRIM($D95))),GJ[Credit])))</f>
        <v>0</v>
      </c>
      <c r="L95" s="211">
        <f t="array" ref="L95">(SUM(IF((CkDJ[Date]=$A$4)*(CkDJ[Ofc Code]=(TRIM(L$7)))*(CkDJ[Account Code]=(TRIM($D95))),CkDJ[Debit])))+(SUM(IF((CsDJ[Date]=$A$4)*(CsDJ[Ofc Code]=(TRIM(L$7)))*(CsDJ[Account Code]=(TRIM($D95))),CsDJ[Debit])))+(SUM(IF((CRDJ[Date]=$A$4)*(CRDJ[Ofc Code]=(TRIM(L$7)))*(CRDJ[Account Code]=(TRIM($D95))),CRDJ[Debit])))+(SUM(IF((GJ[Date]=$A$4)*(GJ[Ofc Code]=(TRIM(L$7)))*(GJ[Account Code]=(TRIM($D95))),GJ[Debit])))-(SUM(IF((CkDJ[Date]=$A$4)*(CkDJ[Ofc Code]=(TRIM(L$7)))*(CkDJ[Account Code]=(TRIM($D95))),CkDJ[Credit])))+(SUM(IF((CsDJ[Date]=$A$4)*(CsDJ[Ofc Code]=(TRIM(L$7)))*(CsDJ[Account Code]=(TRIM($D95))),CsDJ[Credit])))+(SUM(IF((CRDJ[Date]=$A$4)*(CRDJ[Ofc Code]=(TRIM(L$7)))*(CRDJ[Account Code]=(TRIM($D95))),CRDJ[Credit])))+(SUM(IF((GJ[Date]=$A$4)*(GJ[Ofc Code]=(TRIM(L$7)))*(GJ[Account Code]=(TRIM($D95))),GJ[Credit])))</f>
        <v>0</v>
      </c>
      <c r="M95" s="211">
        <f t="array" ref="M95">(SUM(IF((CkDJ[Date]=$A$4)*(CkDJ[Ofc Code]=(TRIM(M$7)))*(CkDJ[Account Code]=(TRIM($D95))),CkDJ[Debit])))+(SUM(IF((CsDJ[Date]=$A$4)*(CsDJ[Ofc Code]=(TRIM(M$7)))*(CsDJ[Account Code]=(TRIM($D95))),CsDJ[Debit])))+(SUM(IF((CRDJ[Date]=$A$4)*(CRDJ[Ofc Code]=(TRIM(M$7)))*(CRDJ[Account Code]=(TRIM($D95))),CRDJ[Debit])))+(SUM(IF((GJ[Date]=$A$4)*(GJ[Ofc Code]=(TRIM(M$7)))*(GJ[Account Code]=(TRIM($D95))),GJ[Debit])))-(SUM(IF((CkDJ[Date]=$A$4)*(CkDJ[Ofc Code]=(TRIM(M$7)))*(CkDJ[Account Code]=(TRIM($D95))),CkDJ[Credit])))+(SUM(IF((CsDJ[Date]=$A$4)*(CsDJ[Ofc Code]=(TRIM(M$7)))*(CsDJ[Account Code]=(TRIM($D95))),CsDJ[Credit])))+(SUM(IF((CRDJ[Date]=$A$4)*(CRDJ[Ofc Code]=(TRIM(M$7)))*(CRDJ[Account Code]=(TRIM($D95))),CRDJ[Credit])))+(SUM(IF((GJ[Date]=$A$4)*(GJ[Ofc Code]=(TRIM(M$7)))*(GJ[Account Code]=(TRIM($D95))),GJ[Credit])))</f>
        <v>0</v>
      </c>
      <c r="N95" s="211">
        <f t="shared" si="16"/>
        <v>0</v>
      </c>
      <c r="O95" s="211">
        <f t="array" ref="O95">(SUM(IF((CkDJ[Date]=$A$4)*(CkDJ[Ofc Code]=(TRIM(O$7)))*(CkDJ[Account Code]=(TRIM($D95))),CkDJ[Debit])))+(SUM(IF((CsDJ[Date]=$A$4)*(CsDJ[Ofc Code]=(TRIM(O$7)))*(CsDJ[Account Code]=(TRIM($D95))),CsDJ[Debit])))+(SUM(IF((CRDJ[Date]=$A$4)*(CRDJ[Ofc Code]=(TRIM(O$7)))*(CRDJ[Account Code]=(TRIM($D95))),CRDJ[Debit])))+(SUM(IF((GJ[Date]=$A$4)*(GJ[Ofc Code]=(TRIM(O$7)))*(GJ[Account Code]=(TRIM($D95))),GJ[Debit])))-(SUM(IF((CkDJ[Date]=$A$4)*(CkDJ[Ofc Code]=(TRIM(O$7)))*(CkDJ[Account Code]=(TRIM($D95))),CkDJ[Credit])))+(SUM(IF((CsDJ[Date]=$A$4)*(CsDJ[Ofc Code]=(TRIM(O$7)))*(CsDJ[Account Code]=(TRIM($D95))),CsDJ[Credit])))+(SUM(IF((CRDJ[Date]=$A$4)*(CRDJ[Ofc Code]=(TRIM(O$7)))*(CRDJ[Account Code]=(TRIM($D95))),CRDJ[Credit])))+(SUM(IF((GJ[Date]=$A$4)*(GJ[Ofc Code]=(TRIM(O$7)))*(GJ[Account Code]=(TRIM($D95))),GJ[Credit])))</f>
        <v>0</v>
      </c>
      <c r="P95" s="211">
        <f t="array" ref="P95">(SUM(IF((CkDJ[Date]=$A$4)*(CkDJ[Ofc Code]=(TRIM(P$7)))*(CkDJ[Account Code]=(TRIM($D95))),CkDJ[Debit])))+(SUM(IF((CsDJ[Date]=$A$4)*(CsDJ[Ofc Code]=(TRIM(P$7)))*(CsDJ[Account Code]=(TRIM($D95))),CsDJ[Debit])))+(SUM(IF((CRDJ[Date]=$A$4)*(CRDJ[Ofc Code]=(TRIM(P$7)))*(CRDJ[Account Code]=(TRIM($D95))),CRDJ[Debit])))+(SUM(IF((GJ[Date]=$A$4)*(GJ[Ofc Code]=(TRIM(P$7)))*(GJ[Account Code]=(TRIM($D95))),GJ[Debit])))-(SUM(IF((CkDJ[Date]=$A$4)*(CkDJ[Ofc Code]=(TRIM(P$7)))*(CkDJ[Account Code]=(TRIM($D95))),CkDJ[Credit])))+(SUM(IF((CsDJ[Date]=$A$4)*(CsDJ[Ofc Code]=(TRIM(P$7)))*(CsDJ[Account Code]=(TRIM($D95))),CsDJ[Credit])))+(SUM(IF((CRDJ[Date]=$A$4)*(CRDJ[Ofc Code]=(TRIM(P$7)))*(CRDJ[Account Code]=(TRIM($D95))),CRDJ[Credit])))+(SUM(IF((GJ[Date]=$A$4)*(GJ[Ofc Code]=(TRIM(P$7)))*(GJ[Account Code]=(TRIM($D95))),GJ[Credit])))</f>
        <v>0</v>
      </c>
      <c r="Q95" s="211">
        <f t="array" ref="Q95">(SUM(IF((CkDJ[Date]=$A$4)*(CkDJ[Ofc Code]=(TRIM(Q$7)))*(CkDJ[Account Code]=(TRIM($D95))),CkDJ[Debit])))+(SUM(IF((CsDJ[Date]=$A$4)*(CsDJ[Ofc Code]=(TRIM(Q$7)))*(CsDJ[Account Code]=(TRIM($D95))),CsDJ[Debit])))+(SUM(IF((CRDJ[Date]=$A$4)*(CRDJ[Ofc Code]=(TRIM(Q$7)))*(CRDJ[Account Code]=(TRIM($D95))),CRDJ[Debit])))+(SUM(IF((GJ[Date]=$A$4)*(GJ[Ofc Code]=(TRIM(Q$7)))*(GJ[Account Code]=(TRIM($D95))),GJ[Debit])))-(SUM(IF((CkDJ[Date]=$A$4)*(CkDJ[Ofc Code]=(TRIM(Q$7)))*(CkDJ[Account Code]=(TRIM($D95))),CkDJ[Credit])))+(SUM(IF((CsDJ[Date]=$A$4)*(CsDJ[Ofc Code]=(TRIM(Q$7)))*(CsDJ[Account Code]=(TRIM($D95))),CsDJ[Credit])))+(SUM(IF((CRDJ[Date]=$A$4)*(CRDJ[Ofc Code]=(TRIM(Q$7)))*(CRDJ[Account Code]=(TRIM($D95))),CRDJ[Credit])))+(SUM(IF((GJ[Date]=$A$4)*(GJ[Ofc Code]=(TRIM(Q$7)))*(GJ[Account Code]=(TRIM($D95))),GJ[Credit])))</f>
        <v>0</v>
      </c>
      <c r="R95" s="211">
        <f t="array" ref="R95">(SUM(IF((CkDJ[Date]=$A$4)*(CkDJ[Ofc Code]=(TRIM(R$7)))*(CkDJ[Account Code]=(TRIM($D95))),CkDJ[Debit])))+(SUM(IF((CsDJ[Date]=$A$4)*(CsDJ[Ofc Code]=(TRIM(R$7)))*(CsDJ[Account Code]=(TRIM($D95))),CsDJ[Debit])))+(SUM(IF((CRDJ[Date]=$A$4)*(CRDJ[Ofc Code]=(TRIM(R$7)))*(CRDJ[Account Code]=(TRIM($D95))),CRDJ[Debit])))+(SUM(IF((GJ[Date]=$A$4)*(GJ[Ofc Code]=(TRIM(R$7)))*(GJ[Account Code]=(TRIM($D95))),GJ[Debit])))-(SUM(IF((CkDJ[Date]=$A$4)*(CkDJ[Ofc Code]=(TRIM(R$7)))*(CkDJ[Account Code]=(TRIM($D95))),CkDJ[Credit])))+(SUM(IF((CsDJ[Date]=$A$4)*(CsDJ[Ofc Code]=(TRIM(R$7)))*(CsDJ[Account Code]=(TRIM($D95))),CsDJ[Credit])))+(SUM(IF((CRDJ[Date]=$A$4)*(CRDJ[Ofc Code]=(TRIM(R$7)))*(CRDJ[Account Code]=(TRIM($D95))),CRDJ[Credit])))+(SUM(IF((GJ[Date]=$A$4)*(GJ[Ofc Code]=(TRIM(R$7)))*(GJ[Account Code]=(TRIM($D95))),GJ[Credit])))</f>
        <v>0</v>
      </c>
      <c r="S95" s="211">
        <f t="array" ref="S95">(SUM(IF((CkDJ[Date]=$A$4)*(CkDJ[Ofc Code]=(TRIM(S$7)))*(CkDJ[Account Code]=(TRIM($D95))),CkDJ[Debit])))+(SUM(IF((CsDJ[Date]=$A$4)*(CsDJ[Ofc Code]=(TRIM(S$7)))*(CsDJ[Account Code]=(TRIM($D95))),CsDJ[Debit])))+(SUM(IF((CRDJ[Date]=$A$4)*(CRDJ[Ofc Code]=(TRIM(S$7)))*(CRDJ[Account Code]=(TRIM($D95))),CRDJ[Debit])))+(SUM(IF((GJ[Date]=$A$4)*(GJ[Ofc Code]=(TRIM(S$7)))*(GJ[Account Code]=(TRIM($D95))),GJ[Debit])))-(SUM(IF((CkDJ[Date]=$A$4)*(CkDJ[Ofc Code]=(TRIM(S$7)))*(CkDJ[Account Code]=(TRIM($D95))),CkDJ[Credit])))+(SUM(IF((CsDJ[Date]=$A$4)*(CsDJ[Ofc Code]=(TRIM(S$7)))*(CsDJ[Account Code]=(TRIM($D95))),CsDJ[Credit])))+(SUM(IF((CRDJ[Date]=$A$4)*(CRDJ[Ofc Code]=(TRIM(S$7)))*(CRDJ[Account Code]=(TRIM($D95))),CRDJ[Credit])))+(SUM(IF((GJ[Date]=$A$4)*(GJ[Ofc Code]=(TRIM(S$7)))*(GJ[Account Code]=(TRIM($D95))),GJ[Credit])))</f>
        <v>0</v>
      </c>
      <c r="T95" s="211">
        <f t="shared" si="17"/>
        <v>0</v>
      </c>
      <c r="U95" s="211">
        <f t="shared" si="18"/>
        <v>0</v>
      </c>
    </row>
    <row r="96" spans="1:21" ht="15" x14ac:dyDescent="0.25">
      <c r="A96" s="212">
        <f t="shared" si="19"/>
        <v>38</v>
      </c>
      <c r="B96" s="194" t="s">
        <v>756</v>
      </c>
      <c r="C96" s="194" t="str">
        <f t="shared" si="14"/>
        <v>Bank Charges</v>
      </c>
      <c r="D96" s="207">
        <v>971</v>
      </c>
      <c r="E96" s="211">
        <f t="array" ref="E96">(SUM(IF((CkDJ[Date]=$A$4)*(CkDJ[Ofc Code]=(TRIM(E$7)))*(CkDJ[Account Code]=(TRIM($D96))),CkDJ[Debit])))+(SUM(IF((CsDJ[Date]=$A$4)*(CsDJ[Ofc Code]=(TRIM(E$7)))*(CsDJ[Account Code]=(TRIM($D96))),CsDJ[Debit])))+(SUM(IF((CRDJ[Date]=$A$4)*(CRDJ[Ofc Code]=(TRIM(E$7)))*(CRDJ[Account Code]=(TRIM($D96))),CRDJ[Debit])))+(SUM(IF((GJ[Date]=$A$4)*(GJ[Ofc Code]=(TRIM(E$7)))*(GJ[Account Code]=(TRIM($D96))),GJ[Debit])))-(SUM(IF((CkDJ[Date]=$A$4)*(CkDJ[Ofc Code]=(TRIM(E$7)))*(CkDJ[Account Code]=(TRIM($D96))),CkDJ[Credit])))+(SUM(IF((CsDJ[Date]=$A$4)*(CsDJ[Ofc Code]=(TRIM(E$7)))*(CsDJ[Account Code]=(TRIM($D96))),CsDJ[Credit])))+(SUM(IF((CRDJ[Date]=$A$4)*(CRDJ[Ofc Code]=(TRIM(E$7)))*(CRDJ[Account Code]=(TRIM($D96))),CRDJ[Credit])))+(SUM(IF((GJ[Date]=$A$4)*(GJ[Ofc Code]=(TRIM(E$7)))*(GJ[Account Code]=(TRIM($D96))),GJ[Credit])))</f>
        <v>0</v>
      </c>
      <c r="F96" s="211">
        <f t="array" ref="F96">(SUM(IF((CkDJ[Date]=$A$4)*(CkDJ[Ofc Code]=(TRIM(F$7)))*(CkDJ[Account Code]=(TRIM($D96))),CkDJ[Debit])))+(SUM(IF((CsDJ[Date]=$A$4)*(CsDJ[Ofc Code]=(TRIM(F$7)))*(CsDJ[Account Code]=(TRIM($D96))),CsDJ[Debit])))+(SUM(IF((CRDJ[Date]=$A$4)*(CRDJ[Ofc Code]=(TRIM(F$7)))*(CRDJ[Account Code]=(TRIM($D96))),CRDJ[Debit])))+(SUM(IF((GJ[Date]=$A$4)*(GJ[Ofc Code]=(TRIM(F$7)))*(GJ[Account Code]=(TRIM($D96))),GJ[Debit])))-(SUM(IF((CkDJ[Date]=$A$4)*(CkDJ[Ofc Code]=(TRIM(F$7)))*(CkDJ[Account Code]=(TRIM($D96))),CkDJ[Credit])))+(SUM(IF((CsDJ[Date]=$A$4)*(CsDJ[Ofc Code]=(TRIM(F$7)))*(CsDJ[Account Code]=(TRIM($D96))),CsDJ[Credit])))+(SUM(IF((CRDJ[Date]=$A$4)*(CRDJ[Ofc Code]=(TRIM(F$7)))*(CRDJ[Account Code]=(TRIM($D96))),CRDJ[Credit])))+(SUM(IF((GJ[Date]=$A$4)*(GJ[Ofc Code]=(TRIM(F$7)))*(GJ[Account Code]=(TRIM($D96))),GJ[Credit])))</f>
        <v>0</v>
      </c>
      <c r="G96" s="211">
        <f t="array" ref="G96">(SUM(IF((CkDJ[Date]=$A$4)*(CkDJ[Ofc Code]=(TRIM(G$7)))*(CkDJ[Account Code]=(TRIM($D96))),CkDJ[Debit])))+(SUM(IF((CsDJ[Date]=$A$4)*(CsDJ[Ofc Code]=(TRIM(G$7)))*(CsDJ[Account Code]=(TRIM($D96))),CsDJ[Debit])))+(SUM(IF((CRDJ[Date]=$A$4)*(CRDJ[Ofc Code]=(TRIM(G$7)))*(CRDJ[Account Code]=(TRIM($D96))),CRDJ[Debit])))+(SUM(IF((GJ[Date]=$A$4)*(GJ[Ofc Code]=(TRIM(G$7)))*(GJ[Account Code]=(TRIM($D96))),GJ[Debit])))-(SUM(IF((CkDJ[Date]=$A$4)*(CkDJ[Ofc Code]=(TRIM(G$7)))*(CkDJ[Account Code]=(TRIM($D96))),CkDJ[Credit])))+(SUM(IF((CsDJ[Date]=$A$4)*(CsDJ[Ofc Code]=(TRIM(G$7)))*(CsDJ[Account Code]=(TRIM($D96))),CsDJ[Credit])))+(SUM(IF((CRDJ[Date]=$A$4)*(CRDJ[Ofc Code]=(TRIM(G$7)))*(CRDJ[Account Code]=(TRIM($D96))),CRDJ[Credit])))+(SUM(IF((GJ[Date]=$A$4)*(GJ[Ofc Code]=(TRIM(G$7)))*(GJ[Account Code]=(TRIM($D96))),GJ[Credit])))</f>
        <v>0</v>
      </c>
      <c r="H96" s="211">
        <f t="array" ref="H96">(SUM(IF((CkDJ[Date]=$A$4)*(CkDJ[Ofc Code]=(TRIM(H$7)))*(CkDJ[Account Code]=(TRIM($D96))),CkDJ[Debit])))+(SUM(IF((CsDJ[Date]=$A$4)*(CsDJ[Ofc Code]=(TRIM(H$7)))*(CsDJ[Account Code]=(TRIM($D96))),CsDJ[Debit])))+(SUM(IF((CRDJ[Date]=$A$4)*(CRDJ[Ofc Code]=(TRIM(H$7)))*(CRDJ[Account Code]=(TRIM($D96))),CRDJ[Debit])))+(SUM(IF((GJ[Date]=$A$4)*(GJ[Ofc Code]=(TRIM(H$7)))*(GJ[Account Code]=(TRIM($D96))),GJ[Debit])))-(SUM(IF((CkDJ[Date]=$A$4)*(CkDJ[Ofc Code]=(TRIM(H$7)))*(CkDJ[Account Code]=(TRIM($D96))),CkDJ[Credit])))+(SUM(IF((CsDJ[Date]=$A$4)*(CsDJ[Ofc Code]=(TRIM(H$7)))*(CsDJ[Account Code]=(TRIM($D96))),CsDJ[Credit])))+(SUM(IF((CRDJ[Date]=$A$4)*(CRDJ[Ofc Code]=(TRIM(H$7)))*(CRDJ[Account Code]=(TRIM($D96))),CRDJ[Credit])))+(SUM(IF((GJ[Date]=$A$4)*(GJ[Ofc Code]=(TRIM(H$7)))*(GJ[Account Code]=(TRIM($D96))),GJ[Credit])))</f>
        <v>0</v>
      </c>
      <c r="I96" s="211">
        <f t="shared" si="15"/>
        <v>0</v>
      </c>
      <c r="J96" s="211">
        <f t="array" ref="J96">(SUM(IF((CkDJ[Date]=$A$4)*(CkDJ[Ofc Code]=(TRIM(J$7)))*(CkDJ[Account Code]=(TRIM($D96))),CkDJ[Debit])))+(SUM(IF((CsDJ[Date]=$A$4)*(CsDJ[Ofc Code]=(TRIM(J$7)))*(CsDJ[Account Code]=(TRIM($D96))),CsDJ[Debit])))+(SUM(IF((CRDJ[Date]=$A$4)*(CRDJ[Ofc Code]=(TRIM(J$7)))*(CRDJ[Account Code]=(TRIM($D96))),CRDJ[Debit])))+(SUM(IF((GJ[Date]=$A$4)*(GJ[Ofc Code]=(TRIM(J$7)))*(GJ[Account Code]=(TRIM($D96))),GJ[Debit])))-(SUM(IF((CkDJ[Date]=$A$4)*(CkDJ[Ofc Code]=(TRIM(J$7)))*(CkDJ[Account Code]=(TRIM($D96))),CkDJ[Credit])))+(SUM(IF((CsDJ[Date]=$A$4)*(CsDJ[Ofc Code]=(TRIM(J$7)))*(CsDJ[Account Code]=(TRIM($D96))),CsDJ[Credit])))+(SUM(IF((CRDJ[Date]=$A$4)*(CRDJ[Ofc Code]=(TRIM(J$7)))*(CRDJ[Account Code]=(TRIM($D96))),CRDJ[Credit])))+(SUM(IF((GJ[Date]=$A$4)*(GJ[Ofc Code]=(TRIM(J$7)))*(GJ[Account Code]=(TRIM($D96))),GJ[Credit])))</f>
        <v>0</v>
      </c>
      <c r="K96" s="211">
        <f t="array" ref="K96">(SUM(IF((CkDJ[Date]=$A$4)*(CkDJ[Ofc Code]=(TRIM(K$7)))*(CkDJ[Account Code]=(TRIM($D96))),CkDJ[Debit])))+(SUM(IF((CsDJ[Date]=$A$4)*(CsDJ[Ofc Code]=(TRIM(K$7)))*(CsDJ[Account Code]=(TRIM($D96))),CsDJ[Debit])))+(SUM(IF((CRDJ[Date]=$A$4)*(CRDJ[Ofc Code]=(TRIM(K$7)))*(CRDJ[Account Code]=(TRIM($D96))),CRDJ[Debit])))+(SUM(IF((GJ[Date]=$A$4)*(GJ[Ofc Code]=(TRIM(K$7)))*(GJ[Account Code]=(TRIM($D96))),GJ[Debit])))-(SUM(IF((CkDJ[Date]=$A$4)*(CkDJ[Ofc Code]=(TRIM(K$7)))*(CkDJ[Account Code]=(TRIM($D96))),CkDJ[Credit])))+(SUM(IF((CsDJ[Date]=$A$4)*(CsDJ[Ofc Code]=(TRIM(K$7)))*(CsDJ[Account Code]=(TRIM($D96))),CsDJ[Credit])))+(SUM(IF((CRDJ[Date]=$A$4)*(CRDJ[Ofc Code]=(TRIM(K$7)))*(CRDJ[Account Code]=(TRIM($D96))),CRDJ[Credit])))+(SUM(IF((GJ[Date]=$A$4)*(GJ[Ofc Code]=(TRIM(K$7)))*(GJ[Account Code]=(TRIM($D96))),GJ[Credit])))</f>
        <v>0</v>
      </c>
      <c r="L96" s="211">
        <f t="array" ref="L96">(SUM(IF((CkDJ[Date]=$A$4)*(CkDJ[Ofc Code]=(TRIM(L$7)))*(CkDJ[Account Code]=(TRIM($D96))),CkDJ[Debit])))+(SUM(IF((CsDJ[Date]=$A$4)*(CsDJ[Ofc Code]=(TRIM(L$7)))*(CsDJ[Account Code]=(TRIM($D96))),CsDJ[Debit])))+(SUM(IF((CRDJ[Date]=$A$4)*(CRDJ[Ofc Code]=(TRIM(L$7)))*(CRDJ[Account Code]=(TRIM($D96))),CRDJ[Debit])))+(SUM(IF((GJ[Date]=$A$4)*(GJ[Ofc Code]=(TRIM(L$7)))*(GJ[Account Code]=(TRIM($D96))),GJ[Debit])))-(SUM(IF((CkDJ[Date]=$A$4)*(CkDJ[Ofc Code]=(TRIM(L$7)))*(CkDJ[Account Code]=(TRIM($D96))),CkDJ[Credit])))+(SUM(IF((CsDJ[Date]=$A$4)*(CsDJ[Ofc Code]=(TRIM(L$7)))*(CsDJ[Account Code]=(TRIM($D96))),CsDJ[Credit])))+(SUM(IF((CRDJ[Date]=$A$4)*(CRDJ[Ofc Code]=(TRIM(L$7)))*(CRDJ[Account Code]=(TRIM($D96))),CRDJ[Credit])))+(SUM(IF((GJ[Date]=$A$4)*(GJ[Ofc Code]=(TRIM(L$7)))*(GJ[Account Code]=(TRIM($D96))),GJ[Credit])))</f>
        <v>0</v>
      </c>
      <c r="M96" s="211">
        <f t="array" ref="M96">(SUM(IF((CkDJ[Date]=$A$4)*(CkDJ[Ofc Code]=(TRIM(M$7)))*(CkDJ[Account Code]=(TRIM($D96))),CkDJ[Debit])))+(SUM(IF((CsDJ[Date]=$A$4)*(CsDJ[Ofc Code]=(TRIM(M$7)))*(CsDJ[Account Code]=(TRIM($D96))),CsDJ[Debit])))+(SUM(IF((CRDJ[Date]=$A$4)*(CRDJ[Ofc Code]=(TRIM(M$7)))*(CRDJ[Account Code]=(TRIM($D96))),CRDJ[Debit])))+(SUM(IF((GJ[Date]=$A$4)*(GJ[Ofc Code]=(TRIM(M$7)))*(GJ[Account Code]=(TRIM($D96))),GJ[Debit])))-(SUM(IF((CkDJ[Date]=$A$4)*(CkDJ[Ofc Code]=(TRIM(M$7)))*(CkDJ[Account Code]=(TRIM($D96))),CkDJ[Credit])))+(SUM(IF((CsDJ[Date]=$A$4)*(CsDJ[Ofc Code]=(TRIM(M$7)))*(CsDJ[Account Code]=(TRIM($D96))),CsDJ[Credit])))+(SUM(IF((CRDJ[Date]=$A$4)*(CRDJ[Ofc Code]=(TRIM(M$7)))*(CRDJ[Account Code]=(TRIM($D96))),CRDJ[Credit])))+(SUM(IF((GJ[Date]=$A$4)*(GJ[Ofc Code]=(TRIM(M$7)))*(GJ[Account Code]=(TRIM($D96))),GJ[Credit])))</f>
        <v>0</v>
      </c>
      <c r="N96" s="211">
        <f t="shared" si="16"/>
        <v>0</v>
      </c>
      <c r="O96" s="211">
        <f t="array" ref="O96">(SUM(IF((CkDJ[Date]=$A$4)*(CkDJ[Ofc Code]=(TRIM(O$7)))*(CkDJ[Account Code]=(TRIM($D96))),CkDJ[Debit])))+(SUM(IF((CsDJ[Date]=$A$4)*(CsDJ[Ofc Code]=(TRIM(O$7)))*(CsDJ[Account Code]=(TRIM($D96))),CsDJ[Debit])))+(SUM(IF((CRDJ[Date]=$A$4)*(CRDJ[Ofc Code]=(TRIM(O$7)))*(CRDJ[Account Code]=(TRIM($D96))),CRDJ[Debit])))+(SUM(IF((GJ[Date]=$A$4)*(GJ[Ofc Code]=(TRIM(O$7)))*(GJ[Account Code]=(TRIM($D96))),GJ[Debit])))-(SUM(IF((CkDJ[Date]=$A$4)*(CkDJ[Ofc Code]=(TRIM(O$7)))*(CkDJ[Account Code]=(TRIM($D96))),CkDJ[Credit])))+(SUM(IF((CsDJ[Date]=$A$4)*(CsDJ[Ofc Code]=(TRIM(O$7)))*(CsDJ[Account Code]=(TRIM($D96))),CsDJ[Credit])))+(SUM(IF((CRDJ[Date]=$A$4)*(CRDJ[Ofc Code]=(TRIM(O$7)))*(CRDJ[Account Code]=(TRIM($D96))),CRDJ[Credit])))+(SUM(IF((GJ[Date]=$A$4)*(GJ[Ofc Code]=(TRIM(O$7)))*(GJ[Account Code]=(TRIM($D96))),GJ[Credit])))</f>
        <v>0</v>
      </c>
      <c r="P96" s="211">
        <f t="array" ref="P96">(SUM(IF((CkDJ[Date]=$A$4)*(CkDJ[Ofc Code]=(TRIM(P$7)))*(CkDJ[Account Code]=(TRIM($D96))),CkDJ[Debit])))+(SUM(IF((CsDJ[Date]=$A$4)*(CsDJ[Ofc Code]=(TRIM(P$7)))*(CsDJ[Account Code]=(TRIM($D96))),CsDJ[Debit])))+(SUM(IF((CRDJ[Date]=$A$4)*(CRDJ[Ofc Code]=(TRIM(P$7)))*(CRDJ[Account Code]=(TRIM($D96))),CRDJ[Debit])))+(SUM(IF((GJ[Date]=$A$4)*(GJ[Ofc Code]=(TRIM(P$7)))*(GJ[Account Code]=(TRIM($D96))),GJ[Debit])))-(SUM(IF((CkDJ[Date]=$A$4)*(CkDJ[Ofc Code]=(TRIM(P$7)))*(CkDJ[Account Code]=(TRIM($D96))),CkDJ[Credit])))+(SUM(IF((CsDJ[Date]=$A$4)*(CsDJ[Ofc Code]=(TRIM(P$7)))*(CsDJ[Account Code]=(TRIM($D96))),CsDJ[Credit])))+(SUM(IF((CRDJ[Date]=$A$4)*(CRDJ[Ofc Code]=(TRIM(P$7)))*(CRDJ[Account Code]=(TRIM($D96))),CRDJ[Credit])))+(SUM(IF((GJ[Date]=$A$4)*(GJ[Ofc Code]=(TRIM(P$7)))*(GJ[Account Code]=(TRIM($D96))),GJ[Credit])))</f>
        <v>0</v>
      </c>
      <c r="Q96" s="211">
        <f t="array" ref="Q96">(SUM(IF((CkDJ[Date]=$A$4)*(CkDJ[Ofc Code]=(TRIM(Q$7)))*(CkDJ[Account Code]=(TRIM($D96))),CkDJ[Debit])))+(SUM(IF((CsDJ[Date]=$A$4)*(CsDJ[Ofc Code]=(TRIM(Q$7)))*(CsDJ[Account Code]=(TRIM($D96))),CsDJ[Debit])))+(SUM(IF((CRDJ[Date]=$A$4)*(CRDJ[Ofc Code]=(TRIM(Q$7)))*(CRDJ[Account Code]=(TRIM($D96))),CRDJ[Debit])))+(SUM(IF((GJ[Date]=$A$4)*(GJ[Ofc Code]=(TRIM(Q$7)))*(GJ[Account Code]=(TRIM($D96))),GJ[Debit])))-(SUM(IF((CkDJ[Date]=$A$4)*(CkDJ[Ofc Code]=(TRIM(Q$7)))*(CkDJ[Account Code]=(TRIM($D96))),CkDJ[Credit])))+(SUM(IF((CsDJ[Date]=$A$4)*(CsDJ[Ofc Code]=(TRIM(Q$7)))*(CsDJ[Account Code]=(TRIM($D96))),CsDJ[Credit])))+(SUM(IF((CRDJ[Date]=$A$4)*(CRDJ[Ofc Code]=(TRIM(Q$7)))*(CRDJ[Account Code]=(TRIM($D96))),CRDJ[Credit])))+(SUM(IF((GJ[Date]=$A$4)*(GJ[Ofc Code]=(TRIM(Q$7)))*(GJ[Account Code]=(TRIM($D96))),GJ[Credit])))</f>
        <v>0</v>
      </c>
      <c r="R96" s="211">
        <f t="array" ref="R96">(SUM(IF((CkDJ[Date]=$A$4)*(CkDJ[Ofc Code]=(TRIM(R$7)))*(CkDJ[Account Code]=(TRIM($D96))),CkDJ[Debit])))+(SUM(IF((CsDJ[Date]=$A$4)*(CsDJ[Ofc Code]=(TRIM(R$7)))*(CsDJ[Account Code]=(TRIM($D96))),CsDJ[Debit])))+(SUM(IF((CRDJ[Date]=$A$4)*(CRDJ[Ofc Code]=(TRIM(R$7)))*(CRDJ[Account Code]=(TRIM($D96))),CRDJ[Debit])))+(SUM(IF((GJ[Date]=$A$4)*(GJ[Ofc Code]=(TRIM(R$7)))*(GJ[Account Code]=(TRIM($D96))),GJ[Debit])))-(SUM(IF((CkDJ[Date]=$A$4)*(CkDJ[Ofc Code]=(TRIM(R$7)))*(CkDJ[Account Code]=(TRIM($D96))),CkDJ[Credit])))+(SUM(IF((CsDJ[Date]=$A$4)*(CsDJ[Ofc Code]=(TRIM(R$7)))*(CsDJ[Account Code]=(TRIM($D96))),CsDJ[Credit])))+(SUM(IF((CRDJ[Date]=$A$4)*(CRDJ[Ofc Code]=(TRIM(R$7)))*(CRDJ[Account Code]=(TRIM($D96))),CRDJ[Credit])))+(SUM(IF((GJ[Date]=$A$4)*(GJ[Ofc Code]=(TRIM(R$7)))*(GJ[Account Code]=(TRIM($D96))),GJ[Credit])))</f>
        <v>0</v>
      </c>
      <c r="S96" s="211">
        <f t="array" ref="S96">(SUM(IF((CkDJ[Date]=$A$4)*(CkDJ[Ofc Code]=(TRIM(S$7)))*(CkDJ[Account Code]=(TRIM($D96))),CkDJ[Debit])))+(SUM(IF((CsDJ[Date]=$A$4)*(CsDJ[Ofc Code]=(TRIM(S$7)))*(CsDJ[Account Code]=(TRIM($D96))),CsDJ[Debit])))+(SUM(IF((CRDJ[Date]=$A$4)*(CRDJ[Ofc Code]=(TRIM(S$7)))*(CRDJ[Account Code]=(TRIM($D96))),CRDJ[Debit])))+(SUM(IF((GJ[Date]=$A$4)*(GJ[Ofc Code]=(TRIM(S$7)))*(GJ[Account Code]=(TRIM($D96))),GJ[Debit])))-(SUM(IF((CkDJ[Date]=$A$4)*(CkDJ[Ofc Code]=(TRIM(S$7)))*(CkDJ[Account Code]=(TRIM($D96))),CkDJ[Credit])))+(SUM(IF((CsDJ[Date]=$A$4)*(CsDJ[Ofc Code]=(TRIM(S$7)))*(CsDJ[Account Code]=(TRIM($D96))),CsDJ[Credit])))+(SUM(IF((CRDJ[Date]=$A$4)*(CRDJ[Ofc Code]=(TRIM(S$7)))*(CRDJ[Account Code]=(TRIM($D96))),CRDJ[Credit])))+(SUM(IF((GJ[Date]=$A$4)*(GJ[Ofc Code]=(TRIM(S$7)))*(GJ[Account Code]=(TRIM($D96))),GJ[Credit])))</f>
        <v>0</v>
      </c>
      <c r="T96" s="211">
        <f t="shared" si="17"/>
        <v>0</v>
      </c>
      <c r="U96" s="211">
        <f t="shared" si="18"/>
        <v>0</v>
      </c>
    </row>
    <row r="97" spans="1:21" ht="15" x14ac:dyDescent="0.25">
      <c r="A97" s="1167" t="s">
        <v>755</v>
      </c>
      <c r="B97" s="1168"/>
      <c r="C97" s="1168"/>
      <c r="D97" s="210"/>
      <c r="E97" s="208">
        <f t="shared" ref="E97:U97" si="25">SUM(E59:E96)</f>
        <v>0</v>
      </c>
      <c r="F97" s="208">
        <f t="shared" si="25"/>
        <v>0</v>
      </c>
      <c r="G97" s="208">
        <f t="shared" si="25"/>
        <v>0</v>
      </c>
      <c r="H97" s="208">
        <f t="shared" si="25"/>
        <v>0</v>
      </c>
      <c r="I97" s="208">
        <f t="shared" si="25"/>
        <v>0</v>
      </c>
      <c r="J97" s="208">
        <f t="shared" si="25"/>
        <v>0</v>
      </c>
      <c r="K97" s="208">
        <f t="shared" si="25"/>
        <v>0</v>
      </c>
      <c r="L97" s="208">
        <f t="shared" si="25"/>
        <v>0</v>
      </c>
      <c r="M97" s="208">
        <f t="shared" si="25"/>
        <v>0</v>
      </c>
      <c r="N97" s="208">
        <f t="shared" si="25"/>
        <v>0</v>
      </c>
      <c r="O97" s="208">
        <f t="shared" si="25"/>
        <v>0</v>
      </c>
      <c r="P97" s="208">
        <f t="shared" si="25"/>
        <v>0</v>
      </c>
      <c r="Q97" s="208">
        <f t="shared" si="25"/>
        <v>0</v>
      </c>
      <c r="R97" s="208">
        <f t="shared" si="25"/>
        <v>0</v>
      </c>
      <c r="S97" s="208">
        <f t="shared" si="25"/>
        <v>0</v>
      </c>
      <c r="T97" s="208">
        <f t="shared" si="25"/>
        <v>0</v>
      </c>
      <c r="U97" s="208">
        <f t="shared" si="25"/>
        <v>0</v>
      </c>
    </row>
    <row r="98" spans="1:21" ht="15" x14ac:dyDescent="0.25">
      <c r="A98" s="1167" t="s">
        <v>754</v>
      </c>
      <c r="B98" s="1168"/>
      <c r="C98" s="1168"/>
      <c r="D98" s="210"/>
      <c r="E98" s="208">
        <f t="shared" ref="E98:U98" si="26">E57+E97</f>
        <v>0</v>
      </c>
      <c r="F98" s="208">
        <f t="shared" si="26"/>
        <v>0</v>
      </c>
      <c r="G98" s="208">
        <f t="shared" si="26"/>
        <v>0</v>
      </c>
      <c r="H98" s="208">
        <f t="shared" si="26"/>
        <v>0</v>
      </c>
      <c r="I98" s="208">
        <f t="shared" si="26"/>
        <v>0</v>
      </c>
      <c r="J98" s="208">
        <f t="shared" si="26"/>
        <v>0</v>
      </c>
      <c r="K98" s="208">
        <f t="shared" si="26"/>
        <v>0</v>
      </c>
      <c r="L98" s="208">
        <f t="shared" si="26"/>
        <v>0</v>
      </c>
      <c r="M98" s="208">
        <f t="shared" si="26"/>
        <v>0</v>
      </c>
      <c r="N98" s="208">
        <f t="shared" si="26"/>
        <v>0</v>
      </c>
      <c r="O98" s="208">
        <f t="shared" si="26"/>
        <v>0</v>
      </c>
      <c r="P98" s="208">
        <f t="shared" si="26"/>
        <v>0</v>
      </c>
      <c r="Q98" s="208">
        <f t="shared" si="26"/>
        <v>0</v>
      </c>
      <c r="R98" s="208">
        <f t="shared" si="26"/>
        <v>0</v>
      </c>
      <c r="S98" s="208">
        <f t="shared" si="26"/>
        <v>0</v>
      </c>
      <c r="T98" s="208">
        <f t="shared" si="26"/>
        <v>0</v>
      </c>
      <c r="U98" s="208">
        <f t="shared" si="26"/>
        <v>0</v>
      </c>
    </row>
    <row r="99" spans="1:21" ht="15" x14ac:dyDescent="0.25">
      <c r="A99" s="1167" t="s">
        <v>753</v>
      </c>
      <c r="B99" s="1168"/>
      <c r="C99" s="1168"/>
      <c r="D99" s="209"/>
      <c r="E99" s="208">
        <f t="shared" ref="E99:U99" si="27">E32-E98</f>
        <v>0</v>
      </c>
      <c r="F99" s="208">
        <f t="shared" si="27"/>
        <v>0</v>
      </c>
      <c r="G99" s="208">
        <f t="shared" si="27"/>
        <v>0</v>
      </c>
      <c r="H99" s="208">
        <f t="shared" si="27"/>
        <v>0</v>
      </c>
      <c r="I99" s="208">
        <f t="shared" si="27"/>
        <v>0</v>
      </c>
      <c r="J99" s="208">
        <f t="shared" si="27"/>
        <v>0</v>
      </c>
      <c r="K99" s="208">
        <f t="shared" si="27"/>
        <v>0</v>
      </c>
      <c r="L99" s="208">
        <f t="shared" si="27"/>
        <v>0</v>
      </c>
      <c r="M99" s="208">
        <f t="shared" si="27"/>
        <v>0</v>
      </c>
      <c r="N99" s="208">
        <f t="shared" si="27"/>
        <v>0</v>
      </c>
      <c r="O99" s="208">
        <f t="shared" si="27"/>
        <v>0</v>
      </c>
      <c r="P99" s="208">
        <f t="shared" si="27"/>
        <v>0</v>
      </c>
      <c r="Q99" s="208">
        <f t="shared" si="27"/>
        <v>0</v>
      </c>
      <c r="R99" s="208">
        <f t="shared" si="27"/>
        <v>0</v>
      </c>
      <c r="S99" s="208">
        <f t="shared" si="27"/>
        <v>0</v>
      </c>
      <c r="T99" s="208">
        <f t="shared" si="27"/>
        <v>0</v>
      </c>
      <c r="U99" s="208">
        <f t="shared" si="27"/>
        <v>0</v>
      </c>
    </row>
    <row r="100" spans="1:21" ht="15" x14ac:dyDescent="0.25">
      <c r="A100" s="1167" t="s">
        <v>749</v>
      </c>
      <c r="B100" s="1168"/>
      <c r="C100" s="1168"/>
      <c r="D100" s="209"/>
      <c r="E100" s="208" t="e">
        <f t="shared" ref="E100:U100" si="28">E32/E98</f>
        <v>#DIV/0!</v>
      </c>
      <c r="F100" s="208" t="e">
        <f t="shared" si="28"/>
        <v>#DIV/0!</v>
      </c>
      <c r="G100" s="208" t="e">
        <f t="shared" si="28"/>
        <v>#DIV/0!</v>
      </c>
      <c r="H100" s="208" t="e">
        <f t="shared" si="28"/>
        <v>#DIV/0!</v>
      </c>
      <c r="I100" s="208" t="e">
        <f t="shared" si="28"/>
        <v>#DIV/0!</v>
      </c>
      <c r="J100" s="208" t="e">
        <f t="shared" si="28"/>
        <v>#DIV/0!</v>
      </c>
      <c r="K100" s="208" t="e">
        <f t="shared" si="28"/>
        <v>#DIV/0!</v>
      </c>
      <c r="L100" s="208" t="e">
        <f t="shared" si="28"/>
        <v>#DIV/0!</v>
      </c>
      <c r="M100" s="208" t="e">
        <f t="shared" si="28"/>
        <v>#DIV/0!</v>
      </c>
      <c r="N100" s="208" t="e">
        <f t="shared" si="28"/>
        <v>#DIV/0!</v>
      </c>
      <c r="O100" s="208" t="e">
        <f t="shared" si="28"/>
        <v>#DIV/0!</v>
      </c>
      <c r="P100" s="208" t="e">
        <f t="shared" si="28"/>
        <v>#DIV/0!</v>
      </c>
      <c r="Q100" s="208" t="e">
        <f t="shared" si="28"/>
        <v>#DIV/0!</v>
      </c>
      <c r="R100" s="208" t="e">
        <f t="shared" si="28"/>
        <v>#DIV/0!</v>
      </c>
      <c r="S100" s="208" t="e">
        <f t="shared" si="28"/>
        <v>#DIV/0!</v>
      </c>
      <c r="T100" s="208" t="e">
        <f t="shared" si="28"/>
        <v>#DIV/0!</v>
      </c>
      <c r="U100" s="208" t="e">
        <f t="shared" si="28"/>
        <v>#DIV/0!</v>
      </c>
    </row>
    <row r="101" spans="1:21" ht="15" x14ac:dyDescent="0.25">
      <c r="A101" s="1167" t="s">
        <v>752</v>
      </c>
      <c r="B101" s="1168"/>
      <c r="C101" s="1168"/>
      <c r="D101" s="207"/>
      <c r="E101" s="206">
        <f>-E99</f>
        <v>0</v>
      </c>
      <c r="F101" s="206" t="e">
        <f>+(F57)/(U57-E57)*E99</f>
        <v>#DIV/0!</v>
      </c>
      <c r="G101" s="206" t="e">
        <f>+(G57)/(U57-E57)*E99</f>
        <v>#DIV/0!</v>
      </c>
      <c r="H101" s="206" t="e">
        <f>+(H57)/(U57-E57)*E99</f>
        <v>#DIV/0!</v>
      </c>
      <c r="I101" s="206" t="e">
        <f>+(I57)/(U57-E57)*E99</f>
        <v>#DIV/0!</v>
      </c>
      <c r="J101" s="206" t="e">
        <f>+(J57)/(U57-E57)*E99</f>
        <v>#DIV/0!</v>
      </c>
      <c r="K101" s="206" t="e">
        <f>+(K57)/(U57-E57)*E99</f>
        <v>#DIV/0!</v>
      </c>
      <c r="L101" s="206" t="e">
        <f>+(L57)/(U57-E57)*E99</f>
        <v>#DIV/0!</v>
      </c>
      <c r="M101" s="206" t="e">
        <f>+(M57)/(U57-E57)*E99</f>
        <v>#DIV/0!</v>
      </c>
      <c r="N101" s="206" t="e">
        <f>+(N57)/(U57-E57)*E99</f>
        <v>#DIV/0!</v>
      </c>
      <c r="O101" s="206" t="e">
        <f>+(O57)/(U57-E57)*E99</f>
        <v>#DIV/0!</v>
      </c>
      <c r="P101" s="206" t="e">
        <f>+(P57)/(U57-E57)*E99</f>
        <v>#DIV/0!</v>
      </c>
      <c r="Q101" s="206" t="e">
        <f>+(Q57)/(U57-E57)*E99</f>
        <v>#DIV/0!</v>
      </c>
      <c r="R101" s="206" t="e">
        <f>+(R57)/(U57-E57)*E99</f>
        <v>#DIV/0!</v>
      </c>
      <c r="S101" s="206" t="e">
        <f>+(S57)/(U57-E57)*E99</f>
        <v>#DIV/0!</v>
      </c>
      <c r="T101" s="206" t="e">
        <f>+(T57)/(U57-E57)*E99</f>
        <v>#DIV/0!</v>
      </c>
      <c r="U101" s="204" t="e">
        <f>I101+N101+T101+E101</f>
        <v>#DIV/0!</v>
      </c>
    </row>
    <row r="102" spans="1:21" ht="15" x14ac:dyDescent="0.25">
      <c r="A102" s="1167" t="s">
        <v>751</v>
      </c>
      <c r="B102" s="1168"/>
      <c r="C102" s="1168"/>
      <c r="D102" s="205"/>
      <c r="E102" s="204">
        <f>-E99-E101</f>
        <v>0</v>
      </c>
      <c r="F102" s="204" t="e">
        <f t="shared" ref="F102:U102" si="29">F99+F101</f>
        <v>#DIV/0!</v>
      </c>
      <c r="G102" s="204" t="e">
        <f t="shared" si="29"/>
        <v>#DIV/0!</v>
      </c>
      <c r="H102" s="204" t="e">
        <f t="shared" si="29"/>
        <v>#DIV/0!</v>
      </c>
      <c r="I102" s="204" t="e">
        <f t="shared" si="29"/>
        <v>#DIV/0!</v>
      </c>
      <c r="J102" s="204" t="e">
        <f t="shared" si="29"/>
        <v>#DIV/0!</v>
      </c>
      <c r="K102" s="204" t="e">
        <f t="shared" si="29"/>
        <v>#DIV/0!</v>
      </c>
      <c r="L102" s="204" t="e">
        <f t="shared" si="29"/>
        <v>#DIV/0!</v>
      </c>
      <c r="M102" s="204" t="e">
        <f t="shared" si="29"/>
        <v>#DIV/0!</v>
      </c>
      <c r="N102" s="204" t="e">
        <f t="shared" si="29"/>
        <v>#DIV/0!</v>
      </c>
      <c r="O102" s="204" t="e">
        <f t="shared" si="29"/>
        <v>#DIV/0!</v>
      </c>
      <c r="P102" s="204" t="e">
        <f t="shared" si="29"/>
        <v>#DIV/0!</v>
      </c>
      <c r="Q102" s="204" t="e">
        <f t="shared" si="29"/>
        <v>#DIV/0!</v>
      </c>
      <c r="R102" s="204" t="e">
        <f t="shared" si="29"/>
        <v>#DIV/0!</v>
      </c>
      <c r="S102" s="204" t="e">
        <f t="shared" si="29"/>
        <v>#DIV/0!</v>
      </c>
      <c r="T102" s="204" t="e">
        <f t="shared" si="29"/>
        <v>#DIV/0!</v>
      </c>
      <c r="U102" s="204" t="e">
        <f t="shared" si="29"/>
        <v>#DIV/0!</v>
      </c>
    </row>
    <row r="103" spans="1:21" ht="15" x14ac:dyDescent="0.25">
      <c r="A103" s="1185" t="s">
        <v>750</v>
      </c>
      <c r="B103" s="1186"/>
      <c r="C103" s="1186"/>
      <c r="D103" s="203"/>
      <c r="E103" s="202"/>
      <c r="F103" s="202" t="e">
        <f>+(F57)/(I57-H57)*H102</f>
        <v>#DIV/0!</v>
      </c>
      <c r="G103" s="202" t="e">
        <f>+(G57)/(I57-H57)*H102</f>
        <v>#DIV/0!</v>
      </c>
      <c r="H103" s="202"/>
      <c r="I103" s="202"/>
      <c r="J103" s="202" t="e">
        <f>+(J57)/(N57-M57)*M102</f>
        <v>#DIV/0!</v>
      </c>
      <c r="K103" s="202" t="e">
        <f>+(K57)/(N57-M57)*M102</f>
        <v>#DIV/0!</v>
      </c>
      <c r="L103" s="202" t="e">
        <f>+(L57)/(N57-M57)*M102</f>
        <v>#DIV/0!</v>
      </c>
      <c r="M103" s="202"/>
      <c r="N103" s="202"/>
      <c r="O103" s="202" t="e">
        <f>+(O57)/(T57-S57)*S102</f>
        <v>#DIV/0!</v>
      </c>
      <c r="P103" s="202" t="e">
        <f>+(P57)/(T57-S57)*S102</f>
        <v>#DIV/0!</v>
      </c>
      <c r="Q103" s="202" t="e">
        <f>+(Q57)/(T57-S57)*S102</f>
        <v>#DIV/0!</v>
      </c>
      <c r="R103" s="202" t="e">
        <f>+(R57)/(T57-S57)*S102</f>
        <v>#DIV/0!</v>
      </c>
      <c r="S103" s="202"/>
      <c r="T103" s="202"/>
      <c r="U103" s="202"/>
    </row>
    <row r="104" spans="1:21" s="199" customFormat="1" ht="15" thickBot="1" x14ac:dyDescent="0.25">
      <c r="A104" s="1170" t="s">
        <v>749</v>
      </c>
      <c r="B104" s="1171"/>
      <c r="C104" s="1171"/>
      <c r="D104" s="201"/>
      <c r="E104" s="200" t="e">
        <f t="shared" ref="E104:U104" si="30">E32/(E98-E101)</f>
        <v>#DIV/0!</v>
      </c>
      <c r="F104" s="200" t="e">
        <f t="shared" si="30"/>
        <v>#DIV/0!</v>
      </c>
      <c r="G104" s="200" t="e">
        <f t="shared" si="30"/>
        <v>#DIV/0!</v>
      </c>
      <c r="H104" s="200" t="e">
        <f t="shared" si="30"/>
        <v>#DIV/0!</v>
      </c>
      <c r="I104" s="200" t="e">
        <f t="shared" si="30"/>
        <v>#DIV/0!</v>
      </c>
      <c r="J104" s="200" t="e">
        <f t="shared" si="30"/>
        <v>#DIV/0!</v>
      </c>
      <c r="K104" s="200" t="e">
        <f t="shared" si="30"/>
        <v>#DIV/0!</v>
      </c>
      <c r="L104" s="200" t="e">
        <f t="shared" si="30"/>
        <v>#DIV/0!</v>
      </c>
      <c r="M104" s="200" t="e">
        <f t="shared" si="30"/>
        <v>#DIV/0!</v>
      </c>
      <c r="N104" s="200" t="e">
        <f t="shared" si="30"/>
        <v>#DIV/0!</v>
      </c>
      <c r="O104" s="200" t="e">
        <f t="shared" si="30"/>
        <v>#DIV/0!</v>
      </c>
      <c r="P104" s="200" t="e">
        <f t="shared" si="30"/>
        <v>#DIV/0!</v>
      </c>
      <c r="Q104" s="200" t="e">
        <f t="shared" si="30"/>
        <v>#DIV/0!</v>
      </c>
      <c r="R104" s="200" t="e">
        <f t="shared" si="30"/>
        <v>#DIV/0!</v>
      </c>
      <c r="S104" s="200" t="e">
        <f t="shared" si="30"/>
        <v>#DIV/0!</v>
      </c>
      <c r="T104" s="200" t="e">
        <f t="shared" si="30"/>
        <v>#DIV/0!</v>
      </c>
      <c r="U104" s="200" t="e">
        <f t="shared" si="30"/>
        <v>#DIV/0!</v>
      </c>
    </row>
    <row r="105" spans="1:21" ht="16.5" thickTop="1" x14ac:dyDescent="0.25">
      <c r="A105" s="25"/>
      <c r="B105" s="25"/>
      <c r="C105" s="25"/>
      <c r="D105" s="198"/>
      <c r="E105" s="25"/>
      <c r="F105" s="25"/>
      <c r="I105" s="25"/>
      <c r="M105" s="25"/>
      <c r="O105" s="25"/>
      <c r="P105" s="25"/>
      <c r="Q105" s="25"/>
      <c r="R105" s="25"/>
      <c r="S105" s="25"/>
      <c r="T105" s="25"/>
    </row>
    <row r="106" spans="1:21" ht="15.75" x14ac:dyDescent="0.25">
      <c r="A106" s="25"/>
      <c r="B106" s="25"/>
      <c r="C106" s="25"/>
      <c r="D106" s="198"/>
      <c r="E106" s="25"/>
      <c r="F106" s="25"/>
      <c r="I106" s="25"/>
      <c r="M106" s="25"/>
      <c r="O106" s="25"/>
      <c r="P106" s="25"/>
      <c r="Q106" s="25"/>
      <c r="R106" s="25"/>
      <c r="S106" s="25"/>
      <c r="T106" s="25"/>
    </row>
    <row r="107" spans="1:21" ht="15.75" x14ac:dyDescent="0.25">
      <c r="A107" s="194"/>
      <c r="B107" s="25"/>
      <c r="C107" s="25" t="s">
        <v>482</v>
      </c>
      <c r="D107" s="231"/>
      <c r="E107" s="194"/>
      <c r="F107" s="194"/>
      <c r="I107" s="194"/>
      <c r="O107" s="25" t="s">
        <v>748</v>
      </c>
      <c r="Q107" s="25" t="s">
        <v>747</v>
      </c>
      <c r="R107" s="194"/>
      <c r="T107" s="25" t="s">
        <v>746</v>
      </c>
    </row>
    <row r="108" spans="1:21" ht="15" x14ac:dyDescent="0.25">
      <c r="A108" s="194"/>
      <c r="B108" s="194"/>
      <c r="C108" s="194"/>
      <c r="D108" s="231"/>
      <c r="E108" s="194"/>
      <c r="F108" s="194"/>
      <c r="I108" s="194"/>
      <c r="O108" s="194"/>
      <c r="Q108" s="194"/>
      <c r="R108" s="194"/>
    </row>
    <row r="109" spans="1:21" ht="15" x14ac:dyDescent="0.25">
      <c r="A109" s="194"/>
      <c r="D109" s="231"/>
      <c r="E109" s="194"/>
      <c r="F109" s="194"/>
      <c r="I109" s="194"/>
      <c r="O109" s="194"/>
      <c r="Q109" s="194"/>
      <c r="R109" s="194"/>
    </row>
    <row r="110" spans="1:21" ht="15.75" x14ac:dyDescent="0.25">
      <c r="A110" s="194"/>
      <c r="D110" s="231"/>
      <c r="E110" s="194"/>
      <c r="F110" s="194"/>
      <c r="I110" s="195"/>
      <c r="O110" s="194"/>
      <c r="Q110" s="195"/>
      <c r="R110" s="195"/>
    </row>
    <row r="111" spans="1:21" ht="15.75" x14ac:dyDescent="0.25">
      <c r="C111" s="1162" t="s">
        <v>483</v>
      </c>
      <c r="D111" s="1162"/>
      <c r="E111" s="171"/>
      <c r="F111" s="171"/>
      <c r="I111" s="167"/>
      <c r="M111" s="171"/>
      <c r="O111" s="1162" t="s">
        <v>745</v>
      </c>
      <c r="P111" s="1162"/>
      <c r="Q111" s="1162" t="s">
        <v>3</v>
      </c>
      <c r="R111" s="1162"/>
      <c r="S111" s="1162"/>
      <c r="T111" s="1162" t="s">
        <v>744</v>
      </c>
      <c r="U111" s="1162"/>
    </row>
    <row r="112" spans="1:21" ht="15.75" x14ac:dyDescent="0.25">
      <c r="C112" s="1163" t="s">
        <v>743</v>
      </c>
      <c r="D112" s="1163"/>
      <c r="E112" s="25"/>
      <c r="F112" s="25"/>
      <c r="I112" s="52"/>
      <c r="M112" s="194"/>
      <c r="O112" s="1163" t="s">
        <v>742</v>
      </c>
      <c r="P112" s="1163"/>
      <c r="Q112" s="1163" t="s">
        <v>464</v>
      </c>
      <c r="R112" s="1163"/>
      <c r="S112" s="1163"/>
      <c r="T112" s="1166" t="s">
        <v>741</v>
      </c>
      <c r="U112" s="1166"/>
    </row>
  </sheetData>
  <mergeCells count="31">
    <mergeCell ref="A2:D2"/>
    <mergeCell ref="A3:D3"/>
    <mergeCell ref="A4:D4"/>
    <mergeCell ref="A5:C6"/>
    <mergeCell ref="D5:D6"/>
    <mergeCell ref="F5:I5"/>
    <mergeCell ref="J5:N5"/>
    <mergeCell ref="O5:T5"/>
    <mergeCell ref="U5:U6"/>
    <mergeCell ref="A7:C7"/>
    <mergeCell ref="A32:C32"/>
    <mergeCell ref="E5:E6"/>
    <mergeCell ref="A100:C100"/>
    <mergeCell ref="A101:C101"/>
    <mergeCell ref="A102:C102"/>
    <mergeCell ref="A33:C33"/>
    <mergeCell ref="A57:C57"/>
    <mergeCell ref="A58:C58"/>
    <mergeCell ref="A97:C97"/>
    <mergeCell ref="A98:C98"/>
    <mergeCell ref="A103:C103"/>
    <mergeCell ref="A104:C104"/>
    <mergeCell ref="A99:C99"/>
    <mergeCell ref="C111:D111"/>
    <mergeCell ref="C112:D112"/>
    <mergeCell ref="Q111:S111"/>
    <mergeCell ref="T111:U111"/>
    <mergeCell ref="O112:P112"/>
    <mergeCell ref="Q112:S112"/>
    <mergeCell ref="T112:U112"/>
    <mergeCell ref="O111:P111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663300"/>
    <pageSetUpPr fitToPage="1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0.125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Regional Office</v>
      </c>
      <c r="C4" s="332"/>
      <c r="G4" s="331" t="s">
        <v>494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79" si="0">G10-D10</f>
        <v>0</v>
      </c>
      <c r="I10" s="246">
        <f t="shared" ref="I10:I79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500000</v>
      </c>
      <c r="D15" s="248">
        <f>SUM(D16:D18)</f>
        <v>500000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-500000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500000</v>
      </c>
      <c r="D16" s="245">
        <f t="array" ref="D16">SUM(IF((Budget[Account Code]=B16)*(Budget[Ofc Code]=$G$4)*(Budget[Date]&lt;=$D$7),(Budget[Amount])))</f>
        <v>500000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-500000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0</v>
      </c>
      <c r="D17" s="245">
        <f t="array" ref="D17">SUM(IF((Budget[Account Code]=B17)*(Budget[Ofc Code]=$G$4)*(Budget[Date]&lt;=$D$7),(Budget[Amount])))</f>
        <v>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500000</v>
      </c>
      <c r="D24" s="250">
        <f>D9+D15+D19</f>
        <v>500000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-500000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si="0"/>
        <v>0</v>
      </c>
      <c r="I26" s="246">
        <f t="shared" si="1"/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0"/>
        <v>0</v>
      </c>
      <c r="I27" s="242">
        <f t="shared" si="1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0"/>
        <v>0</v>
      </c>
      <c r="I28" s="246">
        <f t="shared" si="1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0"/>
        <v>0</v>
      </c>
      <c r="I29" s="246">
        <f t="shared" si="1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0"/>
        <v>0</v>
      </c>
      <c r="I30" s="246">
        <f t="shared" si="1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0"/>
        <v>0</v>
      </c>
      <c r="I31" s="246">
        <f t="shared" si="1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0"/>
        <v>0</v>
      </c>
      <c r="I32" s="242">
        <f t="shared" si="1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0"/>
        <v>0</v>
      </c>
      <c r="I33" s="246">
        <f t="shared" si="1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0"/>
        <v>0</v>
      </c>
      <c r="I35" s="246">
        <f t="shared" si="1"/>
        <v>0</v>
      </c>
    </row>
    <row r="36" spans="1:9" x14ac:dyDescent="0.2">
      <c r="A36" s="241" t="s">
        <v>816</v>
      </c>
      <c r="B36" s="337"/>
      <c r="C36" s="248">
        <f>SUM(C37:C45)</f>
        <v>500000</v>
      </c>
      <c r="D36" s="248">
        <f>SUM(D37:D45)</f>
        <v>500000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0"/>
        <v>-500000</v>
      </c>
      <c r="I36" s="242">
        <f t="shared" si="1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2">E37+F37</f>
        <v>0</v>
      </c>
      <c r="H37" s="246">
        <f t="shared" si="0"/>
        <v>0</v>
      </c>
      <c r="I37" s="246">
        <f t="shared" si="1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2"/>
        <v>0</v>
      </c>
      <c r="H38" s="246">
        <f t="shared" si="0"/>
        <v>0</v>
      </c>
      <c r="I38" s="246">
        <f t="shared" si="1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2"/>
        <v>0</v>
      </c>
      <c r="H39" s="246">
        <f t="shared" si="0"/>
        <v>0</v>
      </c>
      <c r="I39" s="246">
        <f t="shared" si="1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500000</v>
      </c>
      <c r="D40" s="245">
        <f t="array" ref="D40">SUM(IF((Budget[Account Code]=B40)*(Budget[Ofc Code]=$G$4)*(Budget[Date]&lt;=$D$7),(Budget[Amount])))</f>
        <v>500000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2"/>
        <v>0</v>
      </c>
      <c r="H40" s="246">
        <f t="shared" si="0"/>
        <v>-500000</v>
      </c>
      <c r="I40" s="246">
        <f t="shared" si="1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2"/>
        <v>0</v>
      </c>
      <c r="H43" s="246">
        <f t="shared" si="0"/>
        <v>0</v>
      </c>
      <c r="I43" s="246">
        <f t="shared" si="1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0</v>
      </c>
      <c r="D44" s="245">
        <f t="array" ref="D44">SUM(IF((Budget[Account Code]=B44)*(Budget[Ofc Code]=$G$4)*(Budget[Date]&lt;=$D$7),(Budget[Amount])))</f>
        <v>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0"/>
        <v>0</v>
      </c>
      <c r="I44" s="246">
        <f t="shared" si="1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0"/>
        <v>0</v>
      </c>
      <c r="I45" s="246">
        <f t="shared" si="1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0"/>
        <v>0</v>
      </c>
      <c r="I46" s="242">
        <f t="shared" si="1"/>
        <v>0</v>
      </c>
    </row>
    <row r="47" spans="1:9" x14ac:dyDescent="0.2">
      <c r="A47" s="249" t="s">
        <v>814</v>
      </c>
      <c r="B47" s="338"/>
      <c r="C47" s="250">
        <f>C26+C27+C32+C36+C46</f>
        <v>500000</v>
      </c>
      <c r="D47" s="250">
        <f>D26+D27+D32+D36+D46</f>
        <v>500000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0"/>
        <v>-500000</v>
      </c>
      <c r="I47" s="250">
        <f t="shared" si="1"/>
        <v>0</v>
      </c>
    </row>
    <row r="48" spans="1:9" x14ac:dyDescent="0.2">
      <c r="A48" s="251" t="s">
        <v>813</v>
      </c>
      <c r="B48" s="338"/>
      <c r="C48" s="250">
        <f>C24+C47</f>
        <v>1000000</v>
      </c>
      <c r="D48" s="250">
        <f>D24+D47</f>
        <v>1000000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0"/>
        <v>-1000000</v>
      </c>
      <c r="I48" s="250">
        <f t="shared" si="1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29849094.120000001</v>
      </c>
      <c r="D50" s="242">
        <f>D51+D75</f>
        <v>29849094.120000001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0"/>
        <v>-29849094.120000001</v>
      </c>
      <c r="I50" s="242">
        <f t="shared" si="1"/>
        <v>0</v>
      </c>
    </row>
    <row r="51" spans="1:9" x14ac:dyDescent="0.2">
      <c r="A51" s="243" t="s">
        <v>806</v>
      </c>
      <c r="B51" s="337"/>
      <c r="C51" s="246">
        <f>SUM(C52:C74)</f>
        <v>29849094.120000001</v>
      </c>
      <c r="D51" s="246">
        <f>SUM(D52:D74)</f>
        <v>29849094.120000001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0"/>
        <v>-29849094.120000001</v>
      </c>
      <c r="I51" s="246">
        <f t="shared" si="1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19870524</v>
      </c>
      <c r="D52" s="245">
        <f t="array" ref="D52">SUM(IF((Budget[Account Code]=B52)*(Budget[Ofc Code]=$G$4)*(Budget[Date]&lt;=$D$7),(Budget[Amount])))</f>
        <v>19870524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58" si="3">E52+F52</f>
        <v>0</v>
      </c>
      <c r="H52" s="246">
        <f t="shared" si="0"/>
        <v>-19870524</v>
      </c>
      <c r="I52" s="246">
        <f t="shared" si="1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958116</v>
      </c>
      <c r="D53" s="245">
        <f t="array" ref="D53">SUM(IF((Budget[Account Code]=B53)*(Budget[Ofc Code]=$G$4)*(Budget[Date]&lt;=$D$7),(Budget[Amount])))</f>
        <v>958116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3"/>
        <v>0</v>
      </c>
      <c r="H53" s="246">
        <f t="shared" si="0"/>
        <v>-958116</v>
      </c>
      <c r="I53" s="246">
        <f t="shared" si="1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3"/>
        <v>0</v>
      </c>
      <c r="H54" s="246">
        <f t="shared" si="0"/>
        <v>0</v>
      </c>
      <c r="I54" s="246">
        <f t="shared" si="1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1440000</v>
      </c>
      <c r="D55" s="245">
        <f t="array" ref="D55">SUM(IF((Budget[Account Code]=B55)*(Budget[Ofc Code]=$G$4)*(Budget[Date]&lt;=$D$7),(Budget[Amount])))</f>
        <v>1440000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3"/>
        <v>0</v>
      </c>
      <c r="H55" s="246">
        <f t="shared" si="0"/>
        <v>-1440000</v>
      </c>
      <c r="I55" s="246">
        <f t="shared" si="1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120000</v>
      </c>
      <c r="D56" s="245">
        <f t="array" ref="D56">SUM(IF((Budget[Account Code]=B56)*(Budget[Ofc Code]=$G$4)*(Budget[Date]&lt;=$D$7),(Budget[Amount])))</f>
        <v>120000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3"/>
        <v>0</v>
      </c>
      <c r="H56" s="246">
        <f t="shared" si="0"/>
        <v>-120000</v>
      </c>
      <c r="I56" s="246">
        <f t="shared" si="1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3"/>
        <v>0</v>
      </c>
      <c r="H57" s="246">
        <f t="shared" si="0"/>
        <v>0</v>
      </c>
      <c r="I57" s="246">
        <f t="shared" si="1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300000</v>
      </c>
      <c r="D58" s="245">
        <f t="array" ref="D58">SUM(IF((Budget[Account Code]=B58)*(Budget[Ofc Code]=$G$4)*(Budget[Date]&lt;=$D$7),(Budget[Amount])))</f>
        <v>300000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3"/>
        <v>0</v>
      </c>
      <c r="H58" s="246">
        <f t="shared" si="0"/>
        <v>-300000</v>
      </c>
      <c r="I58" s="246">
        <f t="shared" si="1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ref="G60:G74" si="4">E60+F60</f>
        <v>0</v>
      </c>
      <c r="H60" s="246">
        <f t="shared" si="0"/>
        <v>0</v>
      </c>
      <c r="I60" s="246">
        <f t="shared" si="1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57600</v>
      </c>
      <c r="D61" s="245">
        <f t="array" ref="D61">SUM(IF((Budget[Account Code]=B61)*(Budget[Ofc Code]=$G$4)*(Budget[Date]&lt;=$D$7),(Budget[Amount])))</f>
        <v>57600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4"/>
        <v>0</v>
      </c>
      <c r="H61" s="246">
        <f t="shared" si="0"/>
        <v>-57600</v>
      </c>
      <c r="I61" s="246">
        <f t="shared" si="1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19008</v>
      </c>
      <c r="D62" s="245">
        <f t="array" ref="D62">SUM(IF((Budget[Account Code]=B62)*(Budget[Ofc Code]=$G$4)*(Budget[Date]&lt;=$D$7),(Budget[Amount])))</f>
        <v>19008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4"/>
        <v>0</v>
      </c>
      <c r="H62" s="246">
        <f t="shared" si="0"/>
        <v>-19008</v>
      </c>
      <c r="I62" s="246">
        <f t="shared" si="1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10440</v>
      </c>
      <c r="D63" s="245">
        <f t="array" ref="D63">SUM(IF((Budget[Account Code]=B63)*(Budget[Ofc Code]=$G$4)*(Budget[Date]&lt;=$D$7),(Budget[Amount])))</f>
        <v>10440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4"/>
        <v>0</v>
      </c>
      <c r="H63" s="246">
        <f t="shared" si="0"/>
        <v>-10440</v>
      </c>
      <c r="I63" s="246">
        <f t="shared" si="1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400000</v>
      </c>
      <c r="D65" s="245">
        <f t="array" ref="D65">SUM(IF((Budget[Account Code]=B65)*(Budget[Ofc Code]=$G$4)*(Budget[Date]&lt;=$D$7),(Budget[Amount])))</f>
        <v>400000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4"/>
        <v>0</v>
      </c>
      <c r="H65" s="246">
        <f t="shared" si="0"/>
        <v>-400000</v>
      </c>
      <c r="I65" s="246">
        <f t="shared" si="1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4"/>
        <v>0</v>
      </c>
      <c r="H66" s="246">
        <f t="shared" si="0"/>
        <v>0</v>
      </c>
      <c r="I66" s="246">
        <f t="shared" si="1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300000</v>
      </c>
      <c r="D67" s="245">
        <f t="array" ref="D67">SUM(IF((Budget[Account Code]=B67)*(Budget[Ofc Code]=$G$4)*(Budget[Date]&lt;=$D$7),(Budget[Amount])))</f>
        <v>300000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4"/>
        <v>0</v>
      </c>
      <c r="H67" s="246">
        <f t="shared" si="0"/>
        <v>-300000</v>
      </c>
      <c r="I67" s="246">
        <f t="shared" si="1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3471440</v>
      </c>
      <c r="D68" s="245">
        <f t="array" ref="D68">SUM(IF((Budget[Account Code]=B68)*(Budget[Ofc Code]=$G$4)*(Budget[Date]&lt;=$D$7),(Budget[Amount])))</f>
        <v>3471440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4"/>
        <v>0</v>
      </c>
      <c r="H68" s="246">
        <f t="shared" si="0"/>
        <v>-3471440</v>
      </c>
      <c r="I68" s="246">
        <f t="shared" si="1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2499436.7999999998</v>
      </c>
      <c r="D69" s="245">
        <f t="array" ref="D69">SUM(IF((Budget[Account Code]=B69)*(Budget[Ofc Code]=$G$4)*(Budget[Date]&lt;=$D$7),(Budget[Amount])))</f>
        <v>2499436.7999999998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4"/>
        <v>0</v>
      </c>
      <c r="H69" s="246">
        <f t="shared" si="0"/>
        <v>-2499436.7999999998</v>
      </c>
      <c r="I69" s="246">
        <f t="shared" si="1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72000</v>
      </c>
      <c r="D70" s="245">
        <f t="array" ref="D70">SUM(IF((Budget[Account Code]=B70)*(Budget[Ofc Code]=$G$4)*(Budget[Date]&lt;=$D$7),(Budget[Amount])))</f>
        <v>72000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4"/>
        <v>0</v>
      </c>
      <c r="H70" s="246">
        <f t="shared" si="0"/>
        <v>-72000</v>
      </c>
      <c r="I70" s="246">
        <f t="shared" si="1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258529.32</v>
      </c>
      <c r="D71" s="245">
        <f t="array" ref="D71">SUM(IF((Budget[Account Code]=B71)*(Budget[Ofc Code]=$G$4)*(Budget[Date]&lt;=$D$7),(Budget[Amount])))</f>
        <v>258529.32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4"/>
        <v>0</v>
      </c>
      <c r="H71" s="246">
        <f t="shared" si="0"/>
        <v>-258529.32</v>
      </c>
      <c r="I71" s="246">
        <f t="shared" si="1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72000</v>
      </c>
      <c r="D72" s="245">
        <f t="array" ref="D72">SUM(IF((Budget[Account Code]=B72)*(Budget[Ofc Code]=$G$4)*(Budget[Date]&lt;=$D$7),(Budget[Amount])))</f>
        <v>72000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4"/>
        <v>0</v>
      </c>
      <c r="H72" s="246">
        <f t="shared" si="0"/>
        <v>-72000</v>
      </c>
      <c r="I72" s="246">
        <f t="shared" si="1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4"/>
        <v>0</v>
      </c>
      <c r="H74" s="246">
        <f t="shared" si="0"/>
        <v>0</v>
      </c>
      <c r="I74" s="246">
        <f t="shared" si="1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10594801.960000001</v>
      </c>
      <c r="D76" s="252">
        <f>D77+D139</f>
        <v>10594801.960000001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0"/>
        <v>-10594801.960000001</v>
      </c>
      <c r="I76" s="242">
        <f t="shared" si="1"/>
        <v>0</v>
      </c>
    </row>
    <row r="77" spans="1:9" x14ac:dyDescent="0.2">
      <c r="A77" s="253" t="s">
        <v>809</v>
      </c>
      <c r="B77" s="337"/>
      <c r="C77" s="254">
        <f>C78+C138</f>
        <v>10594801.960000001</v>
      </c>
      <c r="D77" s="254">
        <f>D78+D138</f>
        <v>10594801.960000001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0"/>
        <v>-10594801.960000001</v>
      </c>
      <c r="I77" s="246">
        <f t="shared" si="1"/>
        <v>0</v>
      </c>
    </row>
    <row r="78" spans="1:9" x14ac:dyDescent="0.2">
      <c r="A78" s="255" t="s">
        <v>806</v>
      </c>
      <c r="B78" s="337"/>
      <c r="C78" s="246">
        <f>SUM(C79:C137)</f>
        <v>10594801.960000001</v>
      </c>
      <c r="D78" s="246">
        <f>SUM(D79:D137)</f>
        <v>10594801.960000001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0"/>
        <v>-10594801.960000001</v>
      </c>
      <c r="I78" s="246">
        <f t="shared" si="1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180000</v>
      </c>
      <c r="D79" s="245">
        <f t="array" ref="D79">SUM(IF((Budget[Account Code]=B79)*(Budget[Ofc Code]=$G$4)*(Budget[Date]&lt;=$D$7),(Budget[Amount])))</f>
        <v>180000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5">E79+F79</f>
        <v>0</v>
      </c>
      <c r="H79" s="246">
        <f t="shared" si="0"/>
        <v>-180000</v>
      </c>
      <c r="I79" s="246">
        <f t="shared" si="1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203820</v>
      </c>
      <c r="D81" s="245">
        <f t="array" ref="D81">SUM(IF((Budget[Account Code]=B81)*(Budget[Ofc Code]=$G$4)*(Budget[Date]&lt;=$D$7),(Budget[Amount])))</f>
        <v>203820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5"/>
        <v>0</v>
      </c>
      <c r="H81" s="246">
        <f t="shared" ref="H81:H147" si="6">G81-D81</f>
        <v>-203820</v>
      </c>
      <c r="I81" s="246">
        <f t="shared" ref="I81:I147" si="7">IF((D81=0),0,G81/D81)</f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314903</v>
      </c>
      <c r="D82" s="245">
        <f t="array" ref="D82">SUM(IF((Budget[Account Code]=B82)*(Budget[Ofc Code]=$G$4)*(Budget[Date]&lt;=$D$7),(Budget[Amount])))</f>
        <v>314903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5"/>
        <v>0</v>
      </c>
      <c r="H82" s="246">
        <f t="shared" si="6"/>
        <v>-314903</v>
      </c>
      <c r="I82" s="246">
        <f t="shared" si="7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52600</v>
      </c>
      <c r="D83" s="245">
        <f t="array" ref="D83">SUM(IF((Budget[Account Code]=B83)*(Budget[Ofc Code]=$G$4)*(Budget[Date]&lt;=$D$7),(Budget[Amount])))</f>
        <v>52600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5"/>
        <v>0</v>
      </c>
      <c r="H83" s="246">
        <f t="shared" si="6"/>
        <v>-52600</v>
      </c>
      <c r="I83" s="246">
        <f t="shared" si="7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5"/>
        <v>0</v>
      </c>
      <c r="H84" s="246">
        <f t="shared" si="6"/>
        <v>0</v>
      </c>
      <c r="I84" s="246">
        <f t="shared" si="7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5"/>
        <v>0</v>
      </c>
      <c r="H85" s="246">
        <f t="shared" si="6"/>
        <v>0</v>
      </c>
      <c r="I85" s="246">
        <f t="shared" si="7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1300509</v>
      </c>
      <c r="D86" s="245">
        <f t="array" ref="D86">SUM(IF((Budget[Account Code]=B86)*(Budget[Ofc Code]=$G$4)*(Budget[Date]&lt;=$D$7),(Budget[Amount])))</f>
        <v>1300509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5"/>
        <v>0</v>
      </c>
      <c r="H86" s="246">
        <f t="shared" si="6"/>
        <v>-1300509</v>
      </c>
      <c r="I86" s="246">
        <f t="shared" si="7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5"/>
        <v>0</v>
      </c>
      <c r="H87" s="246">
        <f t="shared" si="6"/>
        <v>0</v>
      </c>
      <c r="I87" s="246">
        <f t="shared" si="7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162725</v>
      </c>
      <c r="D88" s="245">
        <f t="array" ref="D88">SUM(IF((Budget[Account Code]=B88)*(Budget[Ofc Code]=$G$4)*(Budget[Date]&lt;=$D$7),(Budget[Amount])))</f>
        <v>162725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5"/>
        <v>0</v>
      </c>
      <c r="H88" s="246">
        <f t="shared" si="6"/>
        <v>-162725</v>
      </c>
      <c r="I88" s="246">
        <f t="shared" si="7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58668</v>
      </c>
      <c r="D89" s="245">
        <f t="array" ref="D89">SUM(IF((Budget[Account Code]=B89)*(Budget[Ofc Code]=$G$4)*(Budget[Date]&lt;=$D$7),(Budget[Amount])))</f>
        <v>58668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5"/>
        <v>0</v>
      </c>
      <c r="H89" s="246">
        <f t="shared" si="6"/>
        <v>-58668</v>
      </c>
      <c r="I89" s="246">
        <f t="shared" si="7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999999.96</v>
      </c>
      <c r="D90" s="245">
        <f t="array" ref="D90">SUM(IF((Budget[Account Code]=B90)*(Budget[Ofc Code]=$G$4)*(Budget[Date]&lt;=$D$7),(Budget[Amount])))</f>
        <v>999999.96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5"/>
        <v>0</v>
      </c>
      <c r="H90" s="246">
        <f t="shared" si="6"/>
        <v>-999999.96</v>
      </c>
      <c r="I90" s="246">
        <f t="shared" si="7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5"/>
        <v>0</v>
      </c>
      <c r="H93" s="246">
        <f t="shared" si="6"/>
        <v>0</v>
      </c>
      <c r="I93" s="246">
        <f t="shared" si="7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272214</v>
      </c>
      <c r="D94" s="245">
        <f t="array" ref="D94">SUM(IF((Budget[Account Code]=B94)*(Budget[Ofc Code]=$G$4)*(Budget[Date]&lt;=$D$7),(Budget[Amount])))</f>
        <v>272214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5"/>
        <v>0</v>
      </c>
      <c r="H94" s="246">
        <f t="shared" si="6"/>
        <v>-272214</v>
      </c>
      <c r="I94" s="246">
        <f t="shared" si="7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0</v>
      </c>
      <c r="D95" s="245">
        <f t="array" ref="D95">SUM(IF((Budget[Account Code]=B95)*(Budget[Ofc Code]=$G$4)*(Budget[Date]&lt;=$D$7),(Budget[Amount])))</f>
        <v>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5"/>
        <v>0</v>
      </c>
      <c r="H95" s="246">
        <f t="shared" si="6"/>
        <v>0</v>
      </c>
      <c r="I95" s="246">
        <f t="shared" si="7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0</v>
      </c>
      <c r="D96" s="245">
        <f t="array" ref="D96">SUM(IF((Budget[Account Code]=B96)*(Budget[Ofc Code]=$G$4)*(Budget[Date]&lt;=$D$7),(Budget[Amount])))</f>
        <v>0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5"/>
        <v>0</v>
      </c>
      <c r="H96" s="246">
        <f t="shared" si="6"/>
        <v>0</v>
      </c>
      <c r="I96" s="246">
        <f t="shared" si="7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5"/>
        <v>0</v>
      </c>
      <c r="H97" s="246">
        <f t="shared" si="6"/>
        <v>0</v>
      </c>
      <c r="I97" s="246">
        <f t="shared" si="7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40800</v>
      </c>
      <c r="D98" s="245">
        <f t="array" ref="D98">SUM(IF((Budget[Account Code]=B98)*(Budget[Ofc Code]=$G$4)*(Budget[Date]&lt;=$D$7),(Budget[Amount])))</f>
        <v>40800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5"/>
        <v>0</v>
      </c>
      <c r="H98" s="246">
        <f t="shared" si="6"/>
        <v>-40800</v>
      </c>
      <c r="I98" s="246">
        <f t="shared" si="7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58344</v>
      </c>
      <c r="D99" s="245">
        <f t="array" ref="D99">SUM(IF((Budget[Account Code]=B99)*(Budget[Ofc Code]=$G$4)*(Budget[Date]&lt;=$D$7),(Budget[Amount])))</f>
        <v>58344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5"/>
        <v>0</v>
      </c>
      <c r="H99" s="246">
        <f t="shared" si="6"/>
        <v>-58344</v>
      </c>
      <c r="I99" s="246">
        <f t="shared" si="7"/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5141</v>
      </c>
      <c r="D100" s="245">
        <f t="array" ref="D100">SUM(IF((Budget[Account Code]=B100)*(Budget[Ofc Code]=$G$4)*(Budget[Date]&lt;=$D$7),(Budget[Amount])))</f>
        <v>5141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5"/>
        <v>0</v>
      </c>
      <c r="H100" s="246">
        <f t="shared" si="6"/>
        <v>-5141</v>
      </c>
      <c r="I100" s="246">
        <f t="shared" si="7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5"/>
        <v>0</v>
      </c>
      <c r="H101" s="246">
        <f t="shared" si="6"/>
        <v>0</v>
      </c>
      <c r="I101" s="246">
        <f t="shared" si="7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61200</v>
      </c>
      <c r="D102" s="245">
        <f t="array" ref="D102">SUM(IF((Budget[Account Code]=B102)*(Budget[Ofc Code]=$G$4)*(Budget[Date]&lt;=$D$7),(Budget[Amount])))</f>
        <v>61200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5"/>
        <v>0</v>
      </c>
      <c r="H102" s="246">
        <f t="shared" si="6"/>
        <v>-61200</v>
      </c>
      <c r="I102" s="246">
        <f t="shared" si="7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24480</v>
      </c>
      <c r="D103" s="245">
        <f t="array" ref="D103">SUM(IF((Budget[Account Code]=B103)*(Budget[Ofc Code]=$G$4)*(Budget[Date]&lt;=$D$7),(Budget[Amount])))</f>
        <v>24480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5"/>
        <v>0</v>
      </c>
      <c r="H103" s="246">
        <f t="shared" si="6"/>
        <v>-24480</v>
      </c>
      <c r="I103" s="246">
        <f t="shared" si="7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5"/>
        <v>0</v>
      </c>
      <c r="H104" s="246">
        <f t="shared" si="6"/>
        <v>0</v>
      </c>
      <c r="I104" s="246">
        <f t="shared" si="7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5"/>
        <v>0</v>
      </c>
      <c r="H105" s="246">
        <f t="shared" si="6"/>
        <v>0</v>
      </c>
      <c r="I105" s="246">
        <f t="shared" si="7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5"/>
        <v>0</v>
      </c>
      <c r="H106" s="246">
        <f t="shared" si="6"/>
        <v>0</v>
      </c>
      <c r="I106" s="246">
        <f t="shared" si="7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5"/>
        <v>0</v>
      </c>
      <c r="H107" s="246">
        <f t="shared" si="6"/>
        <v>0</v>
      </c>
      <c r="I107" s="246">
        <f t="shared" si="7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5"/>
        <v>0</v>
      </c>
      <c r="H108" s="246">
        <f t="shared" si="6"/>
        <v>0</v>
      </c>
      <c r="I108" s="246">
        <f t="shared" si="7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10200</v>
      </c>
      <c r="D109" s="245">
        <f t="array" ref="D109">SUM(IF((Budget[Account Code]=B109)*(Budget[Ofc Code]=$G$4)*(Budget[Date]&lt;=$D$7),(Budget[Amount])))</f>
        <v>10200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5"/>
        <v>0</v>
      </c>
      <c r="H109" s="246">
        <f t="shared" si="6"/>
        <v>-10200</v>
      </c>
      <c r="I109" s="246">
        <f t="shared" si="7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5"/>
        <v>0</v>
      </c>
      <c r="H110" s="246">
        <f t="shared" si="6"/>
        <v>0</v>
      </c>
      <c r="I110" s="246">
        <f t="shared" si="7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5"/>
        <v>0</v>
      </c>
      <c r="H111" s="246">
        <f t="shared" si="6"/>
        <v>0</v>
      </c>
      <c r="I111" s="246">
        <f t="shared" si="7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100000</v>
      </c>
      <c r="D112" s="245">
        <f t="array" ref="D112">SUM(IF((Budget[Account Code]=B112)*(Budget[Ofc Code]=$G$4)*(Budget[Date]&lt;=$D$7),(Budget[Amount])))</f>
        <v>100000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5"/>
        <v>0</v>
      </c>
      <c r="H112" s="246">
        <f t="shared" si="6"/>
        <v>-100000</v>
      </c>
      <c r="I112" s="246">
        <f t="shared" si="7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5000000</v>
      </c>
      <c r="D113" s="245">
        <f t="array" ref="D113">SUM(IF((Budget[Account Code]=B113)*(Budget[Ofc Code]=$G$4)*(Budget[Date]&lt;=$D$7),(Budget[Amount])))</f>
        <v>5000000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5"/>
        <v>0</v>
      </c>
      <c r="H113" s="246">
        <f t="shared" si="6"/>
        <v>-5000000</v>
      </c>
      <c r="I113" s="246">
        <f t="shared" si="7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100000</v>
      </c>
      <c r="D114" s="245">
        <f t="array" ref="D114">SUM(IF((Budget[Account Code]=B114)*(Budget[Ofc Code]=$G$4)*(Budget[Date]&lt;=$D$7),(Budget[Amount])))</f>
        <v>100000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5"/>
        <v>0</v>
      </c>
      <c r="H114" s="246">
        <f t="shared" si="6"/>
        <v>-100000</v>
      </c>
      <c r="I114" s="246">
        <f t="shared" si="7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5"/>
        <v>0</v>
      </c>
      <c r="H115" s="246">
        <f t="shared" si="6"/>
        <v>0</v>
      </c>
      <c r="I115" s="246">
        <f t="shared" si="7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5"/>
        <v>0</v>
      </c>
      <c r="H116" s="246">
        <f t="shared" si="6"/>
        <v>0</v>
      </c>
      <c r="I116" s="246">
        <f t="shared" si="7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5"/>
        <v>0</v>
      </c>
      <c r="H117" s="246">
        <f t="shared" si="6"/>
        <v>0</v>
      </c>
      <c r="I117" s="246">
        <f t="shared" si="7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528149</v>
      </c>
      <c r="D118" s="245">
        <f t="array" ref="D118">SUM(IF((Budget[Account Code]=B118)*(Budget[Ofc Code]=$G$4)*(Budget[Date]&lt;=$D$7),(Budget[Amount])))</f>
        <v>528149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5"/>
        <v>0</v>
      </c>
      <c r="H118" s="246">
        <f t="shared" si="6"/>
        <v>-528149</v>
      </c>
      <c r="I118" s="246">
        <f t="shared" si="7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5"/>
        <v>0</v>
      </c>
      <c r="H119" s="246">
        <f t="shared" si="6"/>
        <v>0</v>
      </c>
      <c r="I119" s="246">
        <f t="shared" si="7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5"/>
        <v>0</v>
      </c>
      <c r="H120" s="246">
        <f t="shared" si="6"/>
        <v>0</v>
      </c>
      <c r="I120" s="246">
        <f t="shared" si="7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5"/>
        <v>0</v>
      </c>
      <c r="H121" s="246">
        <f t="shared" si="6"/>
        <v>0</v>
      </c>
      <c r="I121" s="246">
        <f t="shared" si="7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hidden="1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941795</v>
      </c>
      <c r="D124" s="245">
        <f t="array" ref="D124">SUM(IF((Budget[Account Code]=B124)*(Budget[Ofc Code]=$G$4)*(Budget[Date]&lt;=$D$7),(Budget[Amount])))</f>
        <v>941795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5"/>
        <v>0</v>
      </c>
      <c r="H124" s="246">
        <f t="shared" si="6"/>
        <v>-941795</v>
      </c>
      <c r="I124" s="246">
        <f t="shared" si="7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179254</v>
      </c>
      <c r="D125" s="245">
        <f t="array" ref="D125">SUM(IF((Budget[Account Code]=B125)*(Budget[Ofc Code]=$G$4)*(Budget[Date]&lt;=$D$7),(Budget[Amount])))</f>
        <v>179254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5"/>
        <v>0</v>
      </c>
      <c r="H125" s="246">
        <f t="shared" si="6"/>
        <v>-179254</v>
      </c>
      <c r="I125" s="246">
        <f t="shared" si="7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5"/>
        <v>0</v>
      </c>
      <c r="H126" s="246">
        <f t="shared" si="6"/>
        <v>0</v>
      </c>
      <c r="I126" s="246">
        <f t="shared" si="7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5"/>
        <v>0</v>
      </c>
      <c r="H127" s="246">
        <f t="shared" si="6"/>
        <v>0</v>
      </c>
      <c r="I127" s="246">
        <f t="shared" si="7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5"/>
        <v>0</v>
      </c>
      <c r="H128" s="246">
        <f t="shared" si="6"/>
        <v>0</v>
      </c>
      <c r="I128" s="246">
        <f t="shared" si="7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5"/>
        <v>0</v>
      </c>
      <c r="H129" s="246">
        <f t="shared" si="6"/>
        <v>0</v>
      </c>
      <c r="I129" s="246">
        <f t="shared" si="7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5"/>
        <v>0</v>
      </c>
      <c r="H130" s="246">
        <f t="shared" si="6"/>
        <v>0</v>
      </c>
      <c r="I130" s="246">
        <f t="shared" si="7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5"/>
        <v>0</v>
      </c>
      <c r="H131" s="246">
        <f t="shared" si="6"/>
        <v>0</v>
      </c>
      <c r="I131" s="246">
        <f t="shared" si="7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5"/>
        <v>0</v>
      </c>
      <c r="H132" s="246">
        <f t="shared" si="6"/>
        <v>0</v>
      </c>
      <c r="I132" s="246">
        <f t="shared" si="7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5"/>
        <v>0</v>
      </c>
      <c r="H133" s="246">
        <f t="shared" si="6"/>
        <v>0</v>
      </c>
      <c r="I133" s="246">
        <f t="shared" si="7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5"/>
        <v>0</v>
      </c>
      <c r="H134" s="246">
        <f t="shared" si="6"/>
        <v>0</v>
      </c>
      <c r="I134" s="246">
        <f t="shared" si="7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5"/>
        <v>0</v>
      </c>
      <c r="H135" s="246">
        <f t="shared" si="6"/>
        <v>0</v>
      </c>
      <c r="I135" s="246">
        <f t="shared" si="7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5"/>
        <v>0</v>
      </c>
      <c r="H136" s="246">
        <f t="shared" si="6"/>
        <v>0</v>
      </c>
      <c r="I136" s="246">
        <f t="shared" si="7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5"/>
        <v>0</v>
      </c>
      <c r="H137" s="246">
        <f t="shared" si="6"/>
        <v>0</v>
      </c>
      <c r="I137" s="246">
        <f t="shared" si="7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6"/>
        <v>0</v>
      </c>
      <c r="I138" s="246">
        <f t="shared" si="7"/>
        <v>0</v>
      </c>
    </row>
    <row r="139" spans="1:9" x14ac:dyDescent="0.2">
      <c r="A139" s="253" t="s">
        <v>808</v>
      </c>
      <c r="B139" s="337"/>
      <c r="C139" s="242">
        <f>SUM(C140:C143)</f>
        <v>0</v>
      </c>
      <c r="D139" s="242">
        <f>SUM(D140:D143)</f>
        <v>0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6"/>
        <v>0</v>
      </c>
      <c r="I139" s="246">
        <f t="shared" si="7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0</v>
      </c>
      <c r="D140" s="245">
        <f t="array" ref="D140">SUM(IF((Budget[Account Code]=B140)*(Budget[Ofc Code]=$G$4)*(Budget[Date]&lt;=$D$7),(Budget[Amount])))</f>
        <v>0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6"/>
        <v>0</v>
      </c>
      <c r="I140" s="246">
        <f t="shared" si="7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6"/>
        <v>0</v>
      </c>
      <c r="I141" s="246">
        <f t="shared" si="7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6"/>
        <v>0</v>
      </c>
      <c r="I142" s="246">
        <f t="shared" si="7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6"/>
        <v>0</v>
      </c>
      <c r="I143" s="246">
        <f t="shared" si="7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6"/>
        <v>0</v>
      </c>
      <c r="I144" s="242">
        <f t="shared" si="7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6"/>
        <v>0</v>
      </c>
      <c r="I145" s="246">
        <f t="shared" si="7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6"/>
        <v>0</v>
      </c>
      <c r="I146" s="246">
        <f t="shared" si="7"/>
        <v>0</v>
      </c>
    </row>
    <row r="147" spans="1:9" x14ac:dyDescent="0.2">
      <c r="A147" s="251" t="s">
        <v>804</v>
      </c>
      <c r="B147" s="338"/>
      <c r="C147" s="250">
        <f>C50+C76+C144</f>
        <v>40443896.079999998</v>
      </c>
      <c r="D147" s="250">
        <f>D50+D76+D144</f>
        <v>40443896.079999998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6"/>
        <v>-40443896.079999998</v>
      </c>
      <c r="I147" s="250">
        <f t="shared" si="7"/>
        <v>0</v>
      </c>
    </row>
    <row r="148" spans="1:9" x14ac:dyDescent="0.2">
      <c r="A148" s="251" t="s">
        <v>785</v>
      </c>
      <c r="B148" s="338"/>
      <c r="C148" s="250">
        <f>C48-C147</f>
        <v>-39443896.079999998</v>
      </c>
      <c r="D148" s="250">
        <f>D48-D147</f>
        <v>-39443896.079999998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ref="H148:H184" si="8">G148-D148</f>
        <v>39443896.079999998</v>
      </c>
      <c r="I148" s="250">
        <f t="shared" ref="I148:I184" si="9">IF((D148=0),0,G148/D148)</f>
        <v>0</v>
      </c>
    </row>
    <row r="149" spans="1:9" x14ac:dyDescent="0.2">
      <c r="A149" s="251" t="s">
        <v>749</v>
      </c>
      <c r="B149" s="338"/>
      <c r="C149" s="250">
        <f>C48/C147</f>
        <v>0.02</v>
      </c>
      <c r="D149" s="250">
        <f>D48/D147</f>
        <v>0.02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8"/>
        <v>#DIV/0!</v>
      </c>
      <c r="I149" s="250" t="e">
        <f t="shared" si="9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8"/>
        <v>0</v>
      </c>
      <c r="I150" s="250">
        <f t="shared" si="9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8"/>
        <v>0</v>
      </c>
      <c r="I151" s="250">
        <f t="shared" si="9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-39443896.079999998</v>
      </c>
      <c r="D152" s="250">
        <f>D148+D150+D151</f>
        <v>-39443896.079999998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8"/>
        <v>39443896.079999998</v>
      </c>
      <c r="I152" s="250">
        <f t="shared" si="9"/>
        <v>0</v>
      </c>
    </row>
    <row r="153" spans="1:9" x14ac:dyDescent="0.2">
      <c r="A153" s="251" t="s">
        <v>749</v>
      </c>
      <c r="B153" s="338"/>
      <c r="C153" s="250">
        <f>C48/(C147-C150-C151)</f>
        <v>0.02</v>
      </c>
      <c r="D153" s="250">
        <f>D48/(D147-D150-D151)</f>
        <v>0.02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8"/>
        <v>#DIV/0!</v>
      </c>
      <c r="I153" s="250" t="e">
        <f t="shared" si="9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10">E155+F155</f>
        <v>0</v>
      </c>
      <c r="H155" s="246">
        <f t="shared" si="8"/>
        <v>0</v>
      </c>
      <c r="I155" s="246">
        <f t="shared" si="9"/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300000</v>
      </c>
      <c r="D156" s="245">
        <f t="array" ref="D156">SUM(IF((Budget[Account Code]=B156)*(Budget[Ofc Code]=$G$4)*(Budget[Date]&lt;=$D$7),(Budget[Amount])))</f>
        <v>300000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10"/>
        <v>0</v>
      </c>
      <c r="H156" s="246">
        <f t="shared" si="8"/>
        <v>-300000</v>
      </c>
      <c r="I156" s="246">
        <f t="shared" si="9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1500000</v>
      </c>
      <c r="D157" s="245">
        <f t="array" ref="D157">SUM(IF((Budget[Account Code]=B157)*(Budget[Ofc Code]=$G$4)*(Budget[Date]&lt;=$D$7),(Budget[Amount])))</f>
        <v>1500000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10"/>
        <v>0</v>
      </c>
      <c r="H157" s="246">
        <f t="shared" si="8"/>
        <v>-1500000</v>
      </c>
      <c r="I157" s="246">
        <f t="shared" si="9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55000</v>
      </c>
      <c r="D158" s="245">
        <f t="array" ref="D158">SUM(IF((Budget[Account Code]=B158)*(Budget[Ofc Code]=$G$4)*(Budget[Date]&lt;=$D$7),(Budget[Amount])))</f>
        <v>55000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10"/>
        <v>0</v>
      </c>
      <c r="H158" s="246">
        <f t="shared" si="8"/>
        <v>-55000</v>
      </c>
      <c r="I158" s="246">
        <f t="shared" si="9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10"/>
        <v>0</v>
      </c>
      <c r="H159" s="246">
        <f t="shared" si="8"/>
        <v>0</v>
      </c>
      <c r="I159" s="246">
        <f t="shared" si="9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116600.04</v>
      </c>
      <c r="D160" s="245">
        <f t="array" ref="D160">SUM(IF((Budget[Account Code]=B160)*(Budget[Ofc Code]=$G$4)*(Budget[Date]&lt;=$D$7),(Budget[Amount])))</f>
        <v>116600.04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10"/>
        <v>0</v>
      </c>
      <c r="H160" s="246">
        <f t="shared" si="8"/>
        <v>-116600.04</v>
      </c>
      <c r="I160" s="246">
        <f t="shared" si="9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10"/>
        <v>0</v>
      </c>
      <c r="H161" s="246">
        <f t="shared" si="8"/>
        <v>0</v>
      </c>
      <c r="I161" s="246">
        <f t="shared" si="9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1346071.12</v>
      </c>
      <c r="D162" s="245">
        <f t="array" ref="D162">SUM(IF((Budget[Account Code]=B162)*(Budget[Ofc Code]=$G$4)*(Budget[Date]&lt;=$D$7),(Budget[Amount])))</f>
        <v>1346071.12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10"/>
        <v>0</v>
      </c>
      <c r="H162" s="246">
        <f t="shared" si="8"/>
        <v>-1346071.12</v>
      </c>
      <c r="I162" s="246">
        <f t="shared" si="9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10"/>
        <v>0</v>
      </c>
      <c r="H163" s="246">
        <f t="shared" si="8"/>
        <v>0</v>
      </c>
      <c r="I163" s="246">
        <f t="shared" si="9"/>
        <v>0</v>
      </c>
    </row>
    <row r="164" spans="1:9" x14ac:dyDescent="0.2">
      <c r="A164" s="251" t="s">
        <v>789</v>
      </c>
      <c r="B164" s="338"/>
      <c r="C164" s="250">
        <f>SUM(C155:C163)</f>
        <v>3317671.16</v>
      </c>
      <c r="D164" s="250">
        <f>SUM(D155:D163)</f>
        <v>3317671.16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8"/>
        <v>-3317671.16</v>
      </c>
      <c r="I164" s="250">
        <f t="shared" si="9"/>
        <v>0</v>
      </c>
    </row>
    <row r="165" spans="1:9" x14ac:dyDescent="0.2">
      <c r="A165" s="251" t="s">
        <v>788</v>
      </c>
      <c r="B165" s="338"/>
      <c r="C165" s="250">
        <f>C147+C164</f>
        <v>43761567.240000002</v>
      </c>
      <c r="D165" s="250">
        <f>D147+D164</f>
        <v>43761567.240000002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8"/>
        <v>-43761567.240000002</v>
      </c>
      <c r="I165" s="250">
        <f t="shared" si="9"/>
        <v>0</v>
      </c>
    </row>
    <row r="166" spans="1:9" x14ac:dyDescent="0.2">
      <c r="A166" s="251" t="s">
        <v>785</v>
      </c>
      <c r="B166" s="338"/>
      <c r="C166" s="250">
        <f>C48-C165</f>
        <v>-42761567.240000002</v>
      </c>
      <c r="D166" s="250">
        <f>D48-D165</f>
        <v>-42761567.240000002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8"/>
        <v>42761567.240000002</v>
      </c>
      <c r="I166" s="250">
        <f t="shared" si="9"/>
        <v>0</v>
      </c>
    </row>
    <row r="167" spans="1:9" x14ac:dyDescent="0.2">
      <c r="A167" s="251" t="s">
        <v>749</v>
      </c>
      <c r="B167" s="338"/>
      <c r="C167" s="250">
        <f>C48/C165</f>
        <v>0.02</v>
      </c>
      <c r="D167" s="250">
        <f>D48/D165</f>
        <v>0.02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8"/>
        <v>#DIV/0!</v>
      </c>
      <c r="I167" s="250" t="e">
        <f t="shared" si="9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8"/>
        <v>0</v>
      </c>
      <c r="I168" s="250">
        <f t="shared" si="9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8"/>
        <v>0</v>
      </c>
      <c r="I169" s="250">
        <f t="shared" si="9"/>
        <v>0</v>
      </c>
    </row>
    <row r="170" spans="1:9" x14ac:dyDescent="0.2">
      <c r="A170" s="251" t="s">
        <v>785</v>
      </c>
      <c r="B170" s="338"/>
      <c r="C170" s="250">
        <f>C166+C168+C169</f>
        <v>-42761567.240000002</v>
      </c>
      <c r="D170" s="250">
        <f>D166+D168+D169</f>
        <v>-42761567.240000002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8"/>
        <v>42761567.240000002</v>
      </c>
      <c r="I170" s="250">
        <f t="shared" si="9"/>
        <v>0</v>
      </c>
    </row>
    <row r="171" spans="1:9" x14ac:dyDescent="0.2">
      <c r="A171" s="251" t="s">
        <v>792</v>
      </c>
      <c r="B171" s="338"/>
      <c r="C171" s="250">
        <f>C48/(C165-C168-C169)</f>
        <v>0.02</v>
      </c>
      <c r="D171" s="250">
        <f>D48/(D165-D168-D169)</f>
        <v>0.02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8"/>
        <v>#DIV/0!</v>
      </c>
      <c r="I171" s="250" t="e">
        <f t="shared" si="9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0</v>
      </c>
      <c r="D175" s="245">
        <f t="array" ref="D175">SUM(IF((Budget[Account Code]=B175)*(Budget[Ofc Code]=$G$4)*(Budget[Date]&lt;=$D$7),(Budget[Amount])))</f>
        <v>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si="8"/>
        <v>0</v>
      </c>
      <c r="I175" s="246">
        <f t="shared" si="9"/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8"/>
        <v>0</v>
      </c>
      <c r="I177" s="250">
        <f t="shared" si="9"/>
        <v>0</v>
      </c>
    </row>
    <row r="178" spans="1:9" x14ac:dyDescent="0.2">
      <c r="A178" s="251" t="s">
        <v>788</v>
      </c>
      <c r="B178" s="338"/>
      <c r="C178" s="250">
        <f>C165+C177</f>
        <v>43761567.240000002</v>
      </c>
      <c r="D178" s="250">
        <f>D165+D177</f>
        <v>43761567.240000002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8"/>
        <v>-43761567.240000002</v>
      </c>
      <c r="I178" s="250">
        <f t="shared" si="9"/>
        <v>0</v>
      </c>
    </row>
    <row r="179" spans="1:9" x14ac:dyDescent="0.2">
      <c r="A179" s="251" t="s">
        <v>785</v>
      </c>
      <c r="B179" s="338"/>
      <c r="C179" s="250">
        <f>C48-C178</f>
        <v>-42761567.240000002</v>
      </c>
      <c r="D179" s="250">
        <f>D48-D178</f>
        <v>-42761567.240000002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8"/>
        <v>42761567.240000002</v>
      </c>
      <c r="I179" s="250">
        <f t="shared" si="9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8"/>
        <v>0</v>
      </c>
      <c r="I180" s="250">
        <f t="shared" si="9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8"/>
        <v>0</v>
      </c>
      <c r="I181" s="250">
        <f t="shared" si="9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8"/>
        <v>0</v>
      </c>
      <c r="I182" s="250">
        <f t="shared" si="9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8"/>
        <v>0</v>
      </c>
      <c r="I183" s="250">
        <f t="shared" si="9"/>
        <v>0</v>
      </c>
    </row>
    <row r="184" spans="1:9" x14ac:dyDescent="0.2">
      <c r="A184" s="264" t="s">
        <v>749</v>
      </c>
      <c r="B184" s="338"/>
      <c r="C184" s="265">
        <f>C48/(C178-C181-C182)</f>
        <v>0.02</v>
      </c>
      <c r="D184" s="265">
        <f>D48/(D178-D181-D182)</f>
        <v>0.02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8"/>
        <v>#DIV/0!</v>
      </c>
      <c r="I184" s="265" t="e">
        <f t="shared" si="9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2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663300"/>
    <pageSetUpPr fitToPage="1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Ilocos Norte IMO</v>
      </c>
      <c r="C4" s="332"/>
      <c r="G4" s="331" t="s">
        <v>484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10900000</v>
      </c>
      <c r="D9" s="242">
        <f>D10+D11</f>
        <v>10900000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-10900000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Code]=B10)*(Budget[Sort Code]=$G$4),(Budget[Amount])))</f>
        <v>0</v>
      </c>
      <c r="D10" s="245">
        <f t="array" ref="D10">SUM(IF((Budget[Account Code]=B10)*(Budget[Sort Code]=$G$4)*(Budget[Date]&lt;=$D$7),(Budget[Amount])))</f>
        <v>0</v>
      </c>
      <c r="E10" s="245">
        <f t="array" ref="E10">((SUM(IF((CkDJ[Sort Code]=(TRIM(G$4)))*(CkDJ[Account Code]=(TRIM($B10)))*(CkDJ[Date]&lt;=$E$7),CkDJ[Credit])))+(SUM(IF((CsDJ[Sort Code]=(TRIM(G$4)))*(CsDJ[Account Code]=(TRIM($B10)))*(CsDJ[Date]&lt;=$E$7),CsDJ[Credit])))+(SUM(IF((CRDJ[Sort Code]=(TRIM(G$4)))*(CRDJ[Account Code]=(TRIM($B10)))*(CRDJ[Date]&lt;=$E$7),CRDJ[Credit])))+(SUM(IF((GJ[Sort Code]=(TRIM(G$4)))*(GJ[Account Code]=(TRIM($B10)))*(GJ[Date]&lt;=$E$7),GJ[Credit]))))-((SUM(IF((CkDJ[Sort Code]=(TRIM(G$4)))*(CkDJ[Account Code]=(TRIM($B10)))*(CkDJ[Date]&lt;=$E$7),CkDJ[Debit])))+(SUM(IF((CsDJ[Sort Code]=(TRIM(G$4)))*(CsDJ[Account Code]=(TRIM($B10)))*(CsDJ[Date]&lt;=$E$7),CsDJ[Debit])))+(SUM(IF((CRDJ[Sort Code]=(TRIM(G$4)))*(CRDJ[Account Code]=(TRIM($B10)))*(CRDJ[Date]&lt;=$E$7),CRDJ[Debit])))+(SUM(IF((GJ[Sort Code]=(TRIM(G$4)))*(GJ[Account Code]=(TRIM($B10)))*(GJ[Date]&lt;=$E$7),GJ[Debit]))))</f>
        <v>0</v>
      </c>
      <c r="F10" s="245">
        <f t="array" ref="F10">((SUM(IF((CkDJ[Date]=$A$3)*(CkDJ[Sort Code]=(TRIM(G$4)))*(CkDJ[Account Code]=(TRIM($B10))),CkDJ[Credit])))+(SUM(IF((CsDJ[Date]=$A$3)*(CsDJ[Sort Code]=(TRIM(G$4)))*(CsDJ[Account Code]=(TRIM($B10))),CsDJ[Credit])))+(SUM(IF((CRDJ[Date]=$A$3)*(CRDJ[Sort Code]=(TRIM(G$4)))*(CRDJ[Account Code]=(TRIM($B10))),CRDJ[Credit])))+(SUM(IF((GJ[Date]=$A$3)*(GJ[Sort Code]=(TRIM(G$4)))*(GJ[Account Code]=(TRIM($B10))),GJ[Credit]))))-((SUM(IF((CkDJ[Date]=$A$3)*(CkDJ[Sort Code]=(TRIM(G$4)))*(CkDJ[Account Code]=(TRIM($B10))),CkDJ[Debit])))+(SUM(IF((CsDJ[Date]=$A$3)*(CsDJ[Sort Code]=(TRIM(G$4)))*(CsDJ[Account Code]=(TRIM($B10))),CsDJ[Debit])))+(SUM(IF((CRDJ[Date]=$A$3)*(CRDJ[Sort Code]=(TRIM(G$4)))*(CRDJ[Account Code]=(TRIM($B10))),CRDJ[Debit])))+(SUM(IF((GJ[Date]=$A$3)*(GJ[Sort Code]=(TRIM(G$4)))*(GJ[Account Code]=(TRIM($B10))),GJ[Debit]))))</f>
        <v>0</v>
      </c>
      <c r="G10" s="343">
        <f>E10+F10</f>
        <v>0</v>
      </c>
      <c r="H10" s="246">
        <f t="shared" ref="H10:H23" si="0">G10-D10</f>
        <v>0</v>
      </c>
      <c r="I10" s="242">
        <f t="shared" ref="I10:I23" si="1">IF((D10=0),0,G10/D10)</f>
        <v>0</v>
      </c>
    </row>
    <row r="11" spans="1:9" x14ac:dyDescent="0.2">
      <c r="A11" s="243" t="s">
        <v>820</v>
      </c>
      <c r="B11" s="337"/>
      <c r="C11" s="245">
        <f>SUM(C12:C14)</f>
        <v>10900000</v>
      </c>
      <c r="D11" s="245">
        <f>SUM(D12:D14)</f>
        <v>10900000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-10900000</v>
      </c>
      <c r="I11" s="242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Code]=B12)*(Budget[Sort Code]=$G$4),(Budget[Amount])))</f>
        <v>10900000</v>
      </c>
      <c r="D12" s="245">
        <f t="array" ref="D12">SUM(IF((Budget[Account Code]=B12)*(Budget[Sort Code]=$G$4)*(Budget[Date]&lt;=$D$7),(Budget[Amount])))</f>
        <v>10900000</v>
      </c>
      <c r="E12" s="245">
        <f t="array" ref="E12">((SUM(IF((CkDJ[Sort Code]=(TRIM(G$4)))*(CkDJ[Account Code]=(TRIM($B12)))*(CkDJ[Date]&lt;=$E$7),CkDJ[Credit])))+(SUM(IF((CsDJ[Sort Code]=(TRIM(G$4)))*(CsDJ[Account Code]=(TRIM($B12)))*(CsDJ[Date]&lt;=$E$7),CsDJ[Credit])))+(SUM(IF((CRDJ[Sort Code]=(TRIM(G$4)))*(CRDJ[Account Code]=(TRIM($B12)))*(CRDJ[Date]&lt;=$E$7),CRDJ[Credit])))+(SUM(IF((GJ[Sort Code]=(TRIM(G$4)))*(GJ[Account Code]=(TRIM($B12)))*(GJ[Date]&lt;=$E$7),GJ[Credit]))))-((SUM(IF((CkDJ[Sort Code]=(TRIM(G$4)))*(CkDJ[Account Code]=(TRIM($B12)))*(CkDJ[Date]&lt;=$E$7),CkDJ[Debit])))+(SUM(IF((CsDJ[Sort Code]=(TRIM(G$4)))*(CsDJ[Account Code]=(TRIM($B12)))*(CsDJ[Date]&lt;=$E$7),CsDJ[Debit])))+(SUM(IF((CRDJ[Sort Code]=(TRIM(G$4)))*(CRDJ[Account Code]=(TRIM($B12)))*(CRDJ[Date]&lt;=$E$7),CRDJ[Debit])))+(SUM(IF((GJ[Sort Code]=(TRIM(G$4)))*(GJ[Account Code]=(TRIM($B12)))*(GJ[Date]&lt;=$E$7),GJ[Debit]))))</f>
        <v>0</v>
      </c>
      <c r="F12" s="245">
        <f t="array" ref="F12">((SUM(IF((CkDJ[Date]=$A$3)*(CkDJ[Sort Code]=(TRIM(G$4)))*(CkDJ[Account Code]=(TRIM($B12))),CkDJ[Credit])))+(SUM(IF((CsDJ[Date]=$A$3)*(CsDJ[Sort Code]=(TRIM(G$4)))*(CsDJ[Account Code]=(TRIM($B12))),CsDJ[Credit])))+(SUM(IF((CRDJ[Date]=$A$3)*(CRDJ[Sort Code]=(TRIM(G$4)))*(CRDJ[Account Code]=(TRIM($B12))),CRDJ[Credit])))+(SUM(IF((GJ[Date]=$A$3)*(GJ[Sort Code]=(TRIM(G$4)))*(GJ[Account Code]=(TRIM($B12))),GJ[Credit]))))-((SUM(IF((CkDJ[Date]=$A$3)*(CkDJ[Sort Code]=(TRIM(G$4)))*(CkDJ[Account Code]=(TRIM($B12))),CkDJ[Debit])))+(SUM(IF((CsDJ[Date]=$A$3)*(CsDJ[Sort Code]=(TRIM(G$4)))*(CsDJ[Account Code]=(TRIM($B12))),CsDJ[Debit])))+(SUM(IF((CRDJ[Date]=$A$3)*(CRDJ[Sort Code]=(TRIM(G$4)))*(CRDJ[Account Code]=(TRIM($B12))),CRDJ[Debit])))+(SUM(IF((GJ[Date]=$A$3)*(GJ[Sort Code]=(TRIM(G$4)))*(GJ[Account Code]=(TRIM($B12))),GJ[Debit]))))</f>
        <v>0</v>
      </c>
      <c r="G12" s="343">
        <f>E12+F12</f>
        <v>0</v>
      </c>
      <c r="H12" s="246">
        <f t="shared" si="0"/>
        <v>-10900000</v>
      </c>
      <c r="I12" s="242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Code]=B13)*(Budget[Sort Code]=$G$4),(Budget[Amount])))</f>
        <v>0</v>
      </c>
      <c r="D13" s="245">
        <f t="array" ref="D13">SUM(IF((Budget[Account Code]=B13)*(Budget[Sort Code]=$G$4)*(Budget[Date]&lt;=$D$7),(Budget[Amount])))</f>
        <v>0</v>
      </c>
      <c r="E13" s="245">
        <f t="array" ref="E13">((SUM(IF((CkDJ[Sort Code]=(TRIM(G$4)))*(CkDJ[Account Code]=(TRIM($B13)))*(CkDJ[Date]&lt;=$E$7),CkDJ[Credit])))+(SUM(IF((CsDJ[Sort Code]=(TRIM(G$4)))*(CsDJ[Account Code]=(TRIM($B13)))*(CsDJ[Date]&lt;=$E$7),CsDJ[Credit])))+(SUM(IF((CRDJ[Sort Code]=(TRIM(G$4)))*(CRDJ[Account Code]=(TRIM($B13)))*(CRDJ[Date]&lt;=$E$7),CRDJ[Credit])))+(SUM(IF((GJ[Sort Code]=(TRIM(G$4)))*(GJ[Account Code]=(TRIM($B13)))*(GJ[Date]&lt;=$E$7),GJ[Credit]))))-((SUM(IF((CkDJ[Sort Code]=(TRIM(G$4)))*(CkDJ[Account Code]=(TRIM($B13)))*(CkDJ[Date]&lt;=$E$7),CkDJ[Debit])))+(SUM(IF((CsDJ[Sort Code]=(TRIM(G$4)))*(CsDJ[Account Code]=(TRIM($B13)))*(CsDJ[Date]&lt;=$E$7),CsDJ[Debit])))+(SUM(IF((CRDJ[Sort Code]=(TRIM(G$4)))*(CRDJ[Account Code]=(TRIM($B13)))*(CRDJ[Date]&lt;=$E$7),CRDJ[Debit])))+(SUM(IF((GJ[Sort Code]=(TRIM(G$4)))*(GJ[Account Code]=(TRIM($B13)))*(GJ[Date]&lt;=$E$7),GJ[Debit]))))</f>
        <v>0</v>
      </c>
      <c r="F13" s="245">
        <f t="array" ref="F13">((SUM(IF((CkDJ[Date]=$A$3)*(CkDJ[Sort Code]=(TRIM(G$4)))*(CkDJ[Account Code]=(TRIM($B13))),CkDJ[Credit])))+(SUM(IF((CsDJ[Date]=$A$3)*(CsDJ[Sort Code]=(TRIM(G$4)))*(CsDJ[Account Code]=(TRIM($B13))),CsDJ[Credit])))+(SUM(IF((CRDJ[Date]=$A$3)*(CRDJ[Sort Code]=(TRIM(G$4)))*(CRDJ[Account Code]=(TRIM($B13))),CRDJ[Credit])))+(SUM(IF((GJ[Date]=$A$3)*(GJ[Sort Code]=(TRIM(G$4)))*(GJ[Account Code]=(TRIM($B13))),GJ[Credit]))))-((SUM(IF((CkDJ[Date]=$A$3)*(CkDJ[Sort Code]=(TRIM(G$4)))*(CkDJ[Account Code]=(TRIM($B13))),CkDJ[Debit])))+(SUM(IF((CsDJ[Date]=$A$3)*(CsDJ[Sort Code]=(TRIM(G$4)))*(CsDJ[Account Code]=(TRIM($B13))),CsDJ[Debit])))+(SUM(IF((CRDJ[Date]=$A$3)*(CRDJ[Sort Code]=(TRIM(G$4)))*(CRDJ[Account Code]=(TRIM($B13))),CRDJ[Debit])))+(SUM(IF((GJ[Date]=$A$3)*(GJ[Sort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2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Code]=B14)*(Budget[Sort Code]=$G$4),(Budget[Amount])))</f>
        <v>0</v>
      </c>
      <c r="D14" s="245">
        <f t="array" ref="D14">SUM(IF((Budget[Account Code]=B14)*(Budget[Sort Code]=$G$4)*(Budget[Date]&lt;=$D$7),(Budget[Amount])))</f>
        <v>0</v>
      </c>
      <c r="E14" s="245">
        <f t="array" ref="E14">((SUM(IF((CkDJ[Sort Code]=(TRIM(G$4)))*(CkDJ[Account Code]=(TRIM($B14)))*(CkDJ[Date]&lt;=$E$7),CkDJ[Credit])))+(SUM(IF((CsDJ[Sort Code]=(TRIM(G$4)))*(CsDJ[Account Code]=(TRIM($B14)))*(CsDJ[Date]&lt;=$E$7),CsDJ[Credit])))+(SUM(IF((CRDJ[Sort Code]=(TRIM(G$4)))*(CRDJ[Account Code]=(TRIM($B14)))*(CRDJ[Date]&lt;=$E$7),CRDJ[Credit])))+(SUM(IF((GJ[Sort Code]=(TRIM(G$4)))*(GJ[Account Code]=(TRIM($B14)))*(GJ[Date]&lt;=$E$7),GJ[Credit]))))-((SUM(IF((CkDJ[Sort Code]=(TRIM(G$4)))*(CkDJ[Account Code]=(TRIM($B14)))*(CkDJ[Date]&lt;=$E$7),CkDJ[Debit])))+(SUM(IF((CsDJ[Sort Code]=(TRIM(G$4)))*(CsDJ[Account Code]=(TRIM($B14)))*(CsDJ[Date]&lt;=$E$7),CsDJ[Debit])))+(SUM(IF((CRDJ[Sort Code]=(TRIM(G$4)))*(CRDJ[Account Code]=(TRIM($B14)))*(CRDJ[Date]&lt;=$E$7),CRDJ[Debit])))+(SUM(IF((GJ[Sort Code]=(TRIM(G$4)))*(GJ[Account Code]=(TRIM($B14)))*(GJ[Date]&lt;=$E$7),GJ[Debit]))))</f>
        <v>0</v>
      </c>
      <c r="F14" s="245">
        <f t="array" ref="F14">((SUM(IF((CkDJ[Date]=$A$3)*(CkDJ[Sort Code]=(TRIM(G$4)))*(CkDJ[Account Code]=(TRIM($B14))),CkDJ[Credit])))+(SUM(IF((CsDJ[Date]=$A$3)*(CsDJ[Sort Code]=(TRIM(G$4)))*(CsDJ[Account Code]=(TRIM($B14))),CsDJ[Credit])))+(SUM(IF((CRDJ[Date]=$A$3)*(CRDJ[Sort Code]=(TRIM(G$4)))*(CRDJ[Account Code]=(TRIM($B14))),CRDJ[Credit])))+(SUM(IF((GJ[Date]=$A$3)*(GJ[Sort Code]=(TRIM(G$4)))*(GJ[Account Code]=(TRIM($B14))),GJ[Credit]))))-((SUM(IF((CkDJ[Date]=$A$3)*(CkDJ[Sort Code]=(TRIM(G$4)))*(CkDJ[Account Code]=(TRIM($B14))),CkDJ[Debit])))+(SUM(IF((CsDJ[Date]=$A$3)*(CsDJ[Sort Code]=(TRIM(G$4)))*(CsDJ[Account Code]=(TRIM($B14))),CsDJ[Debit])))+(SUM(IF((CRDJ[Date]=$A$3)*(CRDJ[Sort Code]=(TRIM(G$4)))*(CRDJ[Account Code]=(TRIM($B14))),CRDJ[Debit])))+(SUM(IF((GJ[Date]=$A$3)*(GJ[Sort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2">
        <f t="shared" si="1"/>
        <v>0</v>
      </c>
    </row>
    <row r="15" spans="1:9" x14ac:dyDescent="0.2">
      <c r="A15" s="241" t="s">
        <v>826</v>
      </c>
      <c r="B15" s="337"/>
      <c r="C15" s="248">
        <f>SUM(C16:C18)</f>
        <v>0</v>
      </c>
      <c r="D15" s="248">
        <f>SUM(D16:D18)</f>
        <v>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Code]=B16)*(Budget[Sort Code]=$G$4),(Budget[Amount])))</f>
        <v>0</v>
      </c>
      <c r="D16" s="245">
        <f t="array" ref="D16">SUM(IF((Budget[Account Code]=B16)*(Budget[Sort Code]=$G$4)*(Budget[Date]&lt;=$D$7),(Budget[Amount])))</f>
        <v>0</v>
      </c>
      <c r="E16" s="245">
        <f t="array" ref="E16">((SUM(IF((CkDJ[Sort Code]=(TRIM(G$4)))*(CkDJ[Account Code]=(TRIM($B16)))*(CkDJ[Date]&lt;=$E$7),CkDJ[Credit])))+(SUM(IF((CsDJ[Sort Code]=(TRIM(G$4)))*(CsDJ[Account Code]=(TRIM($B16)))*(CsDJ[Date]&lt;=$E$7),CsDJ[Credit])))+(SUM(IF((CRDJ[Sort Code]=(TRIM(G$4)))*(CRDJ[Account Code]=(TRIM($B16)))*(CRDJ[Date]&lt;=$E$7),CRDJ[Credit])))+(SUM(IF((GJ[Sort Code]=(TRIM(G$4)))*(GJ[Account Code]=(TRIM($B16)))*(GJ[Date]&lt;=$E$7),GJ[Credit]))))-((SUM(IF((CkDJ[Sort Code]=(TRIM(G$4)))*(CkDJ[Account Code]=(TRIM($B16)))*(CkDJ[Date]&lt;=$E$7),CkDJ[Debit])))+(SUM(IF((CsDJ[Sort Code]=(TRIM(G$4)))*(CsDJ[Account Code]=(TRIM($B16)))*(CsDJ[Date]&lt;=$E$7),CsDJ[Debit])))+(SUM(IF((CRDJ[Sort Code]=(TRIM(G$4)))*(CRDJ[Account Code]=(TRIM($B16)))*(CRDJ[Date]&lt;=$E$7),CRDJ[Debit])))+(SUM(IF((GJ[Sort Code]=(TRIM(G$4)))*(GJ[Account Code]=(TRIM($B16)))*(GJ[Date]&lt;=$E$7),GJ[Debit]))))</f>
        <v>0</v>
      </c>
      <c r="F16" s="245">
        <f t="array" ref="F16">((SUM(IF((CkDJ[Date]=$A$3)*(CkDJ[Sort Code]=(TRIM(G$4)))*(CkDJ[Account Code]=(TRIM($B16))),CkDJ[Credit])))+(SUM(IF((CsDJ[Date]=$A$3)*(CsDJ[Sort Code]=(TRIM(G$4)))*(CsDJ[Account Code]=(TRIM($B16))),CsDJ[Credit])))+(SUM(IF((CRDJ[Date]=$A$3)*(CRDJ[Sort Code]=(TRIM(G$4)))*(CRDJ[Account Code]=(TRIM($B16))),CRDJ[Credit])))+(SUM(IF((GJ[Date]=$A$3)*(GJ[Sort Code]=(TRIM(G$4)))*(GJ[Account Code]=(TRIM($B16))),GJ[Credit]))))-((SUM(IF((CkDJ[Date]=$A$3)*(CkDJ[Sort Code]=(TRIM(G$4)))*(CkDJ[Account Code]=(TRIM($B16))),CkDJ[Debit])))+(SUM(IF((CsDJ[Date]=$A$3)*(CsDJ[Sort Code]=(TRIM(G$4)))*(CsDJ[Account Code]=(TRIM($B16))),CsDJ[Debit])))+(SUM(IF((CRDJ[Date]=$A$3)*(CRDJ[Sort Code]=(TRIM(G$4)))*(CRDJ[Account Code]=(TRIM($B16))),CRDJ[Debit])))+(SUM(IF((GJ[Date]=$A$3)*(GJ[Sort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2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Code]=B17)*(Budget[Sort Code]=$G$4),(Budget[Amount])))</f>
        <v>0</v>
      </c>
      <c r="D17" s="245">
        <f t="array" ref="D17">SUM(IF((Budget[Account Code]=B17)*(Budget[Sort Code]=$G$4)*(Budget[Date]&lt;=$D$7),(Budget[Amount])))</f>
        <v>0</v>
      </c>
      <c r="E17" s="245">
        <f t="array" ref="E17">((SUM(IF((CkDJ[Sort Code]=(TRIM(G$4)))*(CkDJ[Account Code]=(TRIM($B17)))*(CkDJ[Date]&lt;=$E$7),CkDJ[Credit])))+(SUM(IF((CsDJ[Sort Code]=(TRIM(G$4)))*(CsDJ[Account Code]=(TRIM($B17)))*(CsDJ[Date]&lt;=$E$7),CsDJ[Credit])))+(SUM(IF((CRDJ[Sort Code]=(TRIM(G$4)))*(CRDJ[Account Code]=(TRIM($B17)))*(CRDJ[Date]&lt;=$E$7),CRDJ[Credit])))+(SUM(IF((GJ[Sort Code]=(TRIM(G$4)))*(GJ[Account Code]=(TRIM($B17)))*(GJ[Date]&lt;=$E$7),GJ[Credit]))))-((SUM(IF((CkDJ[Sort Code]=(TRIM(G$4)))*(CkDJ[Account Code]=(TRIM($B17)))*(CkDJ[Date]&lt;=$E$7),CkDJ[Debit])))+(SUM(IF((CsDJ[Sort Code]=(TRIM(G$4)))*(CsDJ[Account Code]=(TRIM($B17)))*(CsDJ[Date]&lt;=$E$7),CsDJ[Debit])))+(SUM(IF((CRDJ[Sort Code]=(TRIM(G$4)))*(CRDJ[Account Code]=(TRIM($B17)))*(CRDJ[Date]&lt;=$E$7),CRDJ[Debit])))+(SUM(IF((GJ[Sort Code]=(TRIM(G$4)))*(GJ[Account Code]=(TRIM($B17)))*(GJ[Date]&lt;=$E$7),GJ[Debit]))))</f>
        <v>0</v>
      </c>
      <c r="F17" s="245">
        <f t="array" ref="F17">((SUM(IF((CkDJ[Date]=$A$3)*(CkDJ[Sort Code]=(TRIM(G$4)))*(CkDJ[Account Code]=(TRIM($B17))),CkDJ[Credit])))+(SUM(IF((CsDJ[Date]=$A$3)*(CsDJ[Sort Code]=(TRIM(G$4)))*(CsDJ[Account Code]=(TRIM($B17))),CsDJ[Credit])))+(SUM(IF((CRDJ[Date]=$A$3)*(CRDJ[Sort Code]=(TRIM(G$4)))*(CRDJ[Account Code]=(TRIM($B17))),CRDJ[Credit])))+(SUM(IF((GJ[Date]=$A$3)*(GJ[Sort Code]=(TRIM(G$4)))*(GJ[Account Code]=(TRIM($B17))),GJ[Credit]))))-((SUM(IF((CkDJ[Date]=$A$3)*(CkDJ[Sort Code]=(TRIM(G$4)))*(CkDJ[Account Code]=(TRIM($B17))),CkDJ[Debit])))+(SUM(IF((CsDJ[Date]=$A$3)*(CsDJ[Sort Code]=(TRIM(G$4)))*(CsDJ[Account Code]=(TRIM($B17))),CsDJ[Debit])))+(SUM(IF((CRDJ[Date]=$A$3)*(CRDJ[Sort Code]=(TRIM(G$4)))*(CRDJ[Account Code]=(TRIM($B17))),CRDJ[Debit])))+(SUM(IF((GJ[Date]=$A$3)*(GJ[Sort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2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Code]=B18)*(Budget[Sort Code]=$G$4),(Budget[Amount])))</f>
        <v>0</v>
      </c>
      <c r="D18" s="245">
        <f t="array" ref="D18">SUM(IF((Budget[Account Code]=B18)*(Budget[Sort Code]=$G$4)*(Budget[Date]&lt;=$D$7),(Budget[Amount])))</f>
        <v>0</v>
      </c>
      <c r="E18" s="245">
        <f t="array" ref="E18">((SUM(IF((CkDJ[Sort Code]=(TRIM(G$4)))*(CkDJ[Account Code]=(TRIM($B18)))*(CkDJ[Date]&lt;=$E$7),CkDJ[Credit])))+(SUM(IF((CsDJ[Sort Code]=(TRIM(G$4)))*(CsDJ[Account Code]=(TRIM($B18)))*(CsDJ[Date]&lt;=$E$7),CsDJ[Credit])))+(SUM(IF((CRDJ[Sort Code]=(TRIM(G$4)))*(CRDJ[Account Code]=(TRIM($B18)))*(CRDJ[Date]&lt;=$E$7),CRDJ[Credit])))+(SUM(IF((GJ[Sort Code]=(TRIM(G$4)))*(GJ[Account Code]=(TRIM($B18)))*(GJ[Date]&lt;=$E$7),GJ[Credit]))))-((SUM(IF((CkDJ[Sort Code]=(TRIM(G$4)))*(CkDJ[Account Code]=(TRIM($B18)))*(CkDJ[Date]&lt;=$E$7),CkDJ[Debit])))+(SUM(IF((CsDJ[Sort Code]=(TRIM(G$4)))*(CsDJ[Account Code]=(TRIM($B18)))*(CsDJ[Date]&lt;=$E$7),CsDJ[Debit])))+(SUM(IF((CRDJ[Sort Code]=(TRIM(G$4)))*(CRDJ[Account Code]=(TRIM($B18)))*(CRDJ[Date]&lt;=$E$7),CRDJ[Debit])))+(SUM(IF((GJ[Sort Code]=(TRIM(G$4)))*(GJ[Account Code]=(TRIM($B18)))*(GJ[Date]&lt;=$E$7),GJ[Debit]))))</f>
        <v>0</v>
      </c>
      <c r="F18" s="245">
        <f t="array" ref="F18">((SUM(IF((CkDJ[Date]=$A$3)*(CkDJ[Sort Code]=(TRIM(G$4)))*(CkDJ[Account Code]=(TRIM($B18))),CkDJ[Credit])))+(SUM(IF((CsDJ[Date]=$A$3)*(CsDJ[Sort Code]=(TRIM(G$4)))*(CsDJ[Account Code]=(TRIM($B18))),CsDJ[Credit])))+(SUM(IF((CRDJ[Date]=$A$3)*(CRDJ[Sort Code]=(TRIM(G$4)))*(CRDJ[Account Code]=(TRIM($B18))),CRDJ[Credit])))+(SUM(IF((GJ[Date]=$A$3)*(GJ[Sort Code]=(TRIM(G$4)))*(GJ[Account Code]=(TRIM($B18))),GJ[Credit]))))-((SUM(IF((CkDJ[Date]=$A$3)*(CkDJ[Sort Code]=(TRIM(G$4)))*(CkDJ[Account Code]=(TRIM($B18))),CkDJ[Debit])))+(SUM(IF((CsDJ[Date]=$A$3)*(CsDJ[Sort Code]=(TRIM(G$4)))*(CsDJ[Account Code]=(TRIM($B18))),CsDJ[Debit])))+(SUM(IF((CRDJ[Date]=$A$3)*(CRDJ[Sort Code]=(TRIM(G$4)))*(CRDJ[Account Code]=(TRIM($B18))),CRDJ[Debit])))+(SUM(IF((GJ[Date]=$A$3)*(GJ[Sort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2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Code]=B20)*(Budget[Sort Code]=$G$4),(Budget[Amount])))</f>
        <v>0</v>
      </c>
      <c r="D20" s="245">
        <f t="array" ref="D20">SUM(IF((Budget[Account Code]=B20)*(Budget[Sort Code]=$G$4)*(Budget[Date]&lt;=$D$7),(Budget[Amount])))</f>
        <v>0</v>
      </c>
      <c r="E20" s="245">
        <f t="array" ref="E20">((SUM(IF((CkDJ[Sort Code]=(TRIM(G$4)))*(CkDJ[Account Code]=(TRIM($B20)))*(CkDJ[Date]&lt;=$E$7),CkDJ[Credit])))+(SUM(IF((CsDJ[Sort Code]=(TRIM(G$4)))*(CsDJ[Account Code]=(TRIM($B20)))*(CsDJ[Date]&lt;=$E$7),CsDJ[Credit])))+(SUM(IF((CRDJ[Sort Code]=(TRIM(G$4)))*(CRDJ[Account Code]=(TRIM($B20)))*(CRDJ[Date]&lt;=$E$7),CRDJ[Credit])))+(SUM(IF((GJ[Sort Code]=(TRIM(G$4)))*(GJ[Account Code]=(TRIM($B20)))*(GJ[Date]&lt;=$E$7),GJ[Credit]))))-((SUM(IF((CkDJ[Sort Code]=(TRIM(G$4)))*(CkDJ[Account Code]=(TRIM($B20)))*(CkDJ[Date]&lt;=$E$7),CkDJ[Debit])))+(SUM(IF((CsDJ[Sort Code]=(TRIM(G$4)))*(CsDJ[Account Code]=(TRIM($B20)))*(CsDJ[Date]&lt;=$E$7),CsDJ[Debit])))+(SUM(IF((CRDJ[Sort Code]=(TRIM(G$4)))*(CRDJ[Account Code]=(TRIM($B20)))*(CRDJ[Date]&lt;=$E$7),CRDJ[Debit])))+(SUM(IF((GJ[Sort Code]=(TRIM(G$4)))*(GJ[Account Code]=(TRIM($B20)))*(GJ[Date]&lt;=$E$7),GJ[Debit]))))</f>
        <v>0</v>
      </c>
      <c r="F20" s="245">
        <f t="array" ref="F20">((SUM(IF((CkDJ[Date]=$A$3)*(CkDJ[Sort Code]=(TRIM(G$4)))*(CkDJ[Account Code]=(TRIM($B20))),CkDJ[Credit])))+(SUM(IF((CsDJ[Date]=$A$3)*(CsDJ[Sort Code]=(TRIM(G$4)))*(CsDJ[Account Code]=(TRIM($B20))),CsDJ[Credit])))+(SUM(IF((CRDJ[Date]=$A$3)*(CRDJ[Sort Code]=(TRIM(G$4)))*(CRDJ[Account Code]=(TRIM($B20))),CRDJ[Credit])))+(SUM(IF((GJ[Date]=$A$3)*(GJ[Sort Code]=(TRIM(G$4)))*(GJ[Account Code]=(TRIM($B20))),GJ[Credit]))))-((SUM(IF((CkDJ[Date]=$A$3)*(CkDJ[Sort Code]=(TRIM(G$4)))*(CkDJ[Account Code]=(TRIM($B20))),CkDJ[Debit])))+(SUM(IF((CsDJ[Date]=$A$3)*(CsDJ[Sort Code]=(TRIM(G$4)))*(CsDJ[Account Code]=(TRIM($B20))),CsDJ[Debit])))+(SUM(IF((CRDJ[Date]=$A$3)*(CRDJ[Sort Code]=(TRIM(G$4)))*(CRDJ[Account Code]=(TRIM($B20))),CRDJ[Debit])))+(SUM(IF((GJ[Date]=$A$3)*(GJ[Sort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2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2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Code]=B22)*(Budget[Sort Code]=$G$4),(Budget[Amount])))</f>
        <v>0</v>
      </c>
      <c r="D22" s="245">
        <f t="array" ref="D22">SUM(IF((Budget[Account Code]=B22)*(Budget[Sort Code]=$G$4)*(Budget[Date]&lt;=$D$7),(Budget[Amount])))</f>
        <v>0</v>
      </c>
      <c r="E22" s="245">
        <f t="array" ref="E22">((SUM(IF((CkDJ[Sort Code]=(TRIM(G$4)))*(CkDJ[Account Code]=(TRIM($B22)))*(CkDJ[Date]&lt;=$E$7),CkDJ[Credit])))+(SUM(IF((CsDJ[Sort Code]=(TRIM(G$4)))*(CsDJ[Account Code]=(TRIM($B22)))*(CsDJ[Date]&lt;=$E$7),CsDJ[Credit])))+(SUM(IF((CRDJ[Sort Code]=(TRIM(G$4)))*(CRDJ[Account Code]=(TRIM($B22)))*(CRDJ[Date]&lt;=$E$7),CRDJ[Credit])))+(SUM(IF((GJ[Sort Code]=(TRIM(G$4)))*(GJ[Account Code]=(TRIM($B22)))*(GJ[Date]&lt;=$E$7),GJ[Credit]))))-((SUM(IF((CkDJ[Sort Code]=(TRIM(G$4)))*(CkDJ[Account Code]=(TRIM($B22)))*(CkDJ[Date]&lt;=$E$7),CkDJ[Debit])))+(SUM(IF((CsDJ[Sort Code]=(TRIM(G$4)))*(CsDJ[Account Code]=(TRIM($B22)))*(CsDJ[Date]&lt;=$E$7),CsDJ[Debit])))+(SUM(IF((CRDJ[Sort Code]=(TRIM(G$4)))*(CRDJ[Account Code]=(TRIM($B22)))*(CRDJ[Date]&lt;=$E$7),CRDJ[Debit])))+(SUM(IF((GJ[Sort Code]=(TRIM(G$4)))*(GJ[Account Code]=(TRIM($B22)))*(GJ[Date]&lt;=$E$7),GJ[Debit]))))</f>
        <v>0</v>
      </c>
      <c r="F22" s="245">
        <f t="array" ref="F22">((SUM(IF((CkDJ[Date]=$A$3)*(CkDJ[Sort Code]=(TRIM(G$4)))*(CkDJ[Account Code]=(TRIM($B22))),CkDJ[Credit])))+(SUM(IF((CsDJ[Date]=$A$3)*(CsDJ[Sort Code]=(TRIM(G$4)))*(CsDJ[Account Code]=(TRIM($B22))),CsDJ[Credit])))+(SUM(IF((CRDJ[Date]=$A$3)*(CRDJ[Sort Code]=(TRIM(G$4)))*(CRDJ[Account Code]=(TRIM($B22))),CRDJ[Credit])))+(SUM(IF((GJ[Date]=$A$3)*(GJ[Sort Code]=(TRIM(G$4)))*(GJ[Account Code]=(TRIM($B22))),GJ[Credit]))))-((SUM(IF((CkDJ[Date]=$A$3)*(CkDJ[Sort Code]=(TRIM(G$4)))*(CkDJ[Account Code]=(TRIM($B22))),CkDJ[Debit])))+(SUM(IF((CsDJ[Date]=$A$3)*(CsDJ[Sort Code]=(TRIM(G$4)))*(CsDJ[Account Code]=(TRIM($B22))),CsDJ[Debit])))+(SUM(IF((CRDJ[Date]=$A$3)*(CRDJ[Sort Code]=(TRIM(G$4)))*(CRDJ[Account Code]=(TRIM($B22))),CRDJ[Debit])))+(SUM(IF((GJ[Date]=$A$3)*(GJ[Sort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2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Code]=B23)*(Budget[Sort Code]=$G$4),(Budget[Amount])))</f>
        <v>0</v>
      </c>
      <c r="D23" s="245">
        <f t="array" ref="D23">SUM(IF((Budget[Account Code]=B23)*(Budget[Sort Code]=$G$4)*(Budget[Date]&lt;=$D$7),(Budget[Amount])))</f>
        <v>0</v>
      </c>
      <c r="E23" s="245">
        <f t="array" ref="E23">((SUM(IF((CkDJ[Sort Code]=(TRIM(G$4)))*(CkDJ[Account Code]=(TRIM($B23)))*(CkDJ[Date]&lt;=$E$7),CkDJ[Credit])))+(SUM(IF((CsDJ[Sort Code]=(TRIM(G$4)))*(CsDJ[Account Code]=(TRIM($B23)))*(CsDJ[Date]&lt;=$E$7),CsDJ[Credit])))+(SUM(IF((CRDJ[Sort Code]=(TRIM(G$4)))*(CRDJ[Account Code]=(TRIM($B23)))*(CRDJ[Date]&lt;=$E$7),CRDJ[Credit])))+(SUM(IF((GJ[Sort Code]=(TRIM(G$4)))*(GJ[Account Code]=(TRIM($B23)))*(GJ[Date]&lt;=$E$7),GJ[Credit]))))-((SUM(IF((CkDJ[Sort Code]=(TRIM(G$4)))*(CkDJ[Account Code]=(TRIM($B23)))*(CkDJ[Date]&lt;=$E$7),CkDJ[Debit])))+(SUM(IF((CsDJ[Sort Code]=(TRIM(G$4)))*(CsDJ[Account Code]=(TRIM($B23)))*(CsDJ[Date]&lt;=$E$7),CsDJ[Debit])))+(SUM(IF((CRDJ[Sort Code]=(TRIM(G$4)))*(CRDJ[Account Code]=(TRIM($B23)))*(CRDJ[Date]&lt;=$E$7),CRDJ[Debit])))+(SUM(IF((GJ[Sort Code]=(TRIM(G$4)))*(GJ[Account Code]=(TRIM($B23)))*(GJ[Date]&lt;=$E$7),GJ[Debit]))))</f>
        <v>0</v>
      </c>
      <c r="F23" s="245">
        <f t="array" ref="F23">((SUM(IF((CkDJ[Date]=$A$3)*(CkDJ[Sort Code]=(TRIM(G$4)))*(CkDJ[Account Code]=(TRIM($B23))),CkDJ[Credit])))+(SUM(IF((CsDJ[Date]=$A$3)*(CsDJ[Sort Code]=(TRIM(G$4)))*(CsDJ[Account Code]=(TRIM($B23))),CsDJ[Credit])))+(SUM(IF((CRDJ[Date]=$A$3)*(CRDJ[Sort Code]=(TRIM(G$4)))*(CRDJ[Account Code]=(TRIM($B23))),CRDJ[Credit])))+(SUM(IF((GJ[Date]=$A$3)*(GJ[Sort Code]=(TRIM(G$4)))*(GJ[Account Code]=(TRIM($B23))),GJ[Credit]))))-((SUM(IF((CkDJ[Date]=$A$3)*(CkDJ[Sort Code]=(TRIM(G$4)))*(CkDJ[Account Code]=(TRIM($B23))),CkDJ[Debit])))+(SUM(IF((CsDJ[Date]=$A$3)*(CsDJ[Sort Code]=(TRIM(G$4)))*(CsDJ[Account Code]=(TRIM($B23))),CsDJ[Debit])))+(SUM(IF((CRDJ[Date]=$A$3)*(CRDJ[Sort Code]=(TRIM(G$4)))*(CRDJ[Account Code]=(TRIM($B23))),CRDJ[Debit])))+(SUM(IF((GJ[Date]=$A$3)*(GJ[Sort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2">
        <f t="shared" si="1"/>
        <v>0</v>
      </c>
    </row>
    <row r="24" spans="1:9" x14ac:dyDescent="0.2">
      <c r="A24" s="249" t="s">
        <v>814</v>
      </c>
      <c r="B24" s="338"/>
      <c r="C24" s="250">
        <f>C9+C15+C19</f>
        <v>10900000</v>
      </c>
      <c r="D24" s="250">
        <f>D9+D15+D19</f>
        <v>10900000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>G24-D24</f>
        <v>-10900000</v>
      </c>
      <c r="I24" s="250">
        <f>IF((D24=0),0,G24/D24)</f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Code]=B26)*(Budget[Sort Code]=$G$4),(Budget[Amount])))</f>
        <v>15000000</v>
      </c>
      <c r="D26" s="245">
        <f t="array" ref="D26">SUM(IF((Budget[Account Code]=B26)*(Budget[Sort Code]=$G$4)*(Budget[Date]&lt;=$D$7),(Budget[Amount])))</f>
        <v>15000000</v>
      </c>
      <c r="E26" s="245">
        <f t="array" ref="E26">((SUM(IF((CkDJ[Sort Code]=(TRIM(G$4)))*(CkDJ[Account Code]=(TRIM($B26)))*(CkDJ[Date]&lt;=$E$7),CkDJ[Credit])))+(SUM(IF((CsDJ[Sort Code]=(TRIM(G$4)))*(CsDJ[Account Code]=(TRIM($B26)))*(CsDJ[Date]&lt;=$E$7),CsDJ[Credit])))+(SUM(IF((CRDJ[Sort Code]=(TRIM(G$4)))*(CRDJ[Account Code]=(TRIM($B26)))*(CRDJ[Date]&lt;=$E$7),CRDJ[Credit])))+(SUM(IF((GJ[Sort Code]=(TRIM(G$4)))*(GJ[Account Code]=(TRIM($B26)))*(GJ[Date]&lt;=$E$7),GJ[Credit]))))-((SUM(IF((CkDJ[Sort Code]=(TRIM(G$4)))*(CkDJ[Account Code]=(TRIM($B26)))*(CkDJ[Date]&lt;=$E$7),CkDJ[Debit])))+(SUM(IF((CsDJ[Sort Code]=(TRIM(G$4)))*(CsDJ[Account Code]=(TRIM($B26)))*(CsDJ[Date]&lt;=$E$7),CsDJ[Debit])))+(SUM(IF((CRDJ[Sort Code]=(TRIM(G$4)))*(CRDJ[Account Code]=(TRIM($B26)))*(CRDJ[Date]&lt;=$E$7),CRDJ[Debit])))+(SUM(IF((GJ[Sort Code]=(TRIM(G$4)))*(GJ[Account Code]=(TRIM($B26)))*(GJ[Date]&lt;=$E$7),GJ[Debit]))))</f>
        <v>0</v>
      </c>
      <c r="F26" s="245">
        <f t="array" ref="F26">((SUM(IF((CkDJ[Date]=$A$3)*(CkDJ[Sort Code]=(TRIM(G$4)))*(CkDJ[Account Code]=(TRIM($B26))),CkDJ[Credit])))+(SUM(IF((CsDJ[Date]=$A$3)*(CsDJ[Sort Code]=(TRIM(G$4)))*(CsDJ[Account Code]=(TRIM($B26))),CsDJ[Credit])))+(SUM(IF((CRDJ[Date]=$A$3)*(CRDJ[Sort Code]=(TRIM(G$4)))*(CRDJ[Account Code]=(TRIM($B26))),CRDJ[Credit])))+(SUM(IF((GJ[Date]=$A$3)*(GJ[Sort Code]=(TRIM(G$4)))*(GJ[Account Code]=(TRIM($B26))),GJ[Credit]))))-((SUM(IF((CkDJ[Date]=$A$3)*(CkDJ[Sort Code]=(TRIM(G$4)))*(CkDJ[Account Code]=(TRIM($B26))),CkDJ[Debit])))+(SUM(IF((CsDJ[Date]=$A$3)*(CsDJ[Sort Code]=(TRIM(G$4)))*(CsDJ[Account Code]=(TRIM($B26))),CsDJ[Debit])))+(SUM(IF((CRDJ[Date]=$A$3)*(CRDJ[Sort Code]=(TRIM(G$4)))*(CRDJ[Account Code]=(TRIM($B26))),CRDJ[Debit])))+(SUM(IF((GJ[Date]=$A$3)*(GJ[Sort Code]=(TRIM(G$4)))*(GJ[Account Code]=(TRIM($B26))),GJ[Debit]))))</f>
        <v>0</v>
      </c>
      <c r="G26" s="343">
        <f>E26+F26</f>
        <v>0</v>
      </c>
      <c r="H26" s="246">
        <f t="shared" ref="H26:H46" si="2">G26-D26</f>
        <v>-15000000</v>
      </c>
      <c r="I26" s="246">
        <f t="shared" ref="I26:I46" si="3">IF((D26=0),0,G26/D26)</f>
        <v>0</v>
      </c>
    </row>
    <row r="27" spans="1:9" x14ac:dyDescent="0.2">
      <c r="A27" s="241" t="s">
        <v>822</v>
      </c>
      <c r="B27" s="337"/>
      <c r="C27" s="248">
        <f>SUM(C28:C29)</f>
        <v>6762078.0599999996</v>
      </c>
      <c r="D27" s="248">
        <f>SUM(D28:D29)</f>
        <v>6762078.0599999996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-6762078.0599999996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Code]=B28)*(Budget[Sort Code]=$G$4),(Budget[Amount])))</f>
        <v>1725000</v>
      </c>
      <c r="D28" s="245">
        <f t="array" ref="D28">SUM(IF((Budget[Account Code]=B28)*(Budget[Sort Code]=$G$4)*(Budget[Date]&lt;=$D$7),(Budget[Amount])))</f>
        <v>1725000</v>
      </c>
      <c r="E28" s="245">
        <f t="array" ref="E28">((SUM(IF((CkDJ[Sort Code]=(TRIM(G$4)))*(CkDJ[Account Code]=(TRIM($B28)))*(CkDJ[Date]&lt;=$E$7),CkDJ[Credit])))+(SUM(IF((CsDJ[Sort Code]=(TRIM(G$4)))*(CsDJ[Account Code]=(TRIM($B28)))*(CsDJ[Date]&lt;=$E$7),CsDJ[Credit])))+(SUM(IF((CRDJ[Sort Code]=(TRIM(G$4)))*(CRDJ[Account Code]=(TRIM($B28)))*(CRDJ[Date]&lt;=$E$7),CRDJ[Credit])))+(SUM(IF((GJ[Sort Code]=(TRIM(G$4)))*(GJ[Account Code]=(TRIM($B28)))*(GJ[Date]&lt;=$E$7),GJ[Credit]))))-((SUM(IF((CkDJ[Sort Code]=(TRIM(G$4)))*(CkDJ[Account Code]=(TRIM($B28)))*(CkDJ[Date]&lt;=$E$7),CkDJ[Debit])))+(SUM(IF((CsDJ[Sort Code]=(TRIM(G$4)))*(CsDJ[Account Code]=(TRIM($B28)))*(CsDJ[Date]&lt;=$E$7),CsDJ[Debit])))+(SUM(IF((CRDJ[Sort Code]=(TRIM(G$4)))*(CRDJ[Account Code]=(TRIM($B28)))*(CRDJ[Date]&lt;=$E$7),CRDJ[Debit])))+(SUM(IF((GJ[Sort Code]=(TRIM(G$4)))*(GJ[Account Code]=(TRIM($B28)))*(GJ[Date]&lt;=$E$7),GJ[Debit]))))</f>
        <v>0</v>
      </c>
      <c r="F28" s="245">
        <f t="array" ref="F28">((SUM(IF((CkDJ[Date]=$A$3)*(CkDJ[Sort Code]=(TRIM(G$4)))*(CkDJ[Account Code]=(TRIM($B28))),CkDJ[Credit])))+(SUM(IF((CsDJ[Date]=$A$3)*(CsDJ[Sort Code]=(TRIM(G$4)))*(CsDJ[Account Code]=(TRIM($B28))),CsDJ[Credit])))+(SUM(IF((CRDJ[Date]=$A$3)*(CRDJ[Sort Code]=(TRIM(G$4)))*(CRDJ[Account Code]=(TRIM($B28))),CRDJ[Credit])))+(SUM(IF((GJ[Date]=$A$3)*(GJ[Sort Code]=(TRIM(G$4)))*(GJ[Account Code]=(TRIM($B28))),GJ[Credit]))))-((SUM(IF((CkDJ[Date]=$A$3)*(CkDJ[Sort Code]=(TRIM(G$4)))*(CkDJ[Account Code]=(TRIM($B28))),CkDJ[Debit])))+(SUM(IF((CsDJ[Date]=$A$3)*(CsDJ[Sort Code]=(TRIM(G$4)))*(CsDJ[Account Code]=(TRIM($B28))),CsDJ[Debit])))+(SUM(IF((CRDJ[Date]=$A$3)*(CRDJ[Sort Code]=(TRIM(G$4)))*(CRDJ[Account Code]=(TRIM($B28))),CRDJ[Debit])))+(SUM(IF((GJ[Date]=$A$3)*(GJ[Sort Code]=(TRIM(G$4)))*(GJ[Account Code]=(TRIM($B28))),GJ[Debit]))))</f>
        <v>0</v>
      </c>
      <c r="G28" s="343">
        <f>E28+F28</f>
        <v>0</v>
      </c>
      <c r="H28" s="246">
        <f t="shared" si="2"/>
        <v>-1725000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5037078.0599999996</v>
      </c>
      <c r="D29" s="245">
        <f>SUM(D30:D31)</f>
        <v>5037078.0599999996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-5037078.0599999996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Code]=B30)*(Budget[Sort Code]=$G$4),(Budget[Amount])))</f>
        <v>5037078.0599999996</v>
      </c>
      <c r="D30" s="245">
        <f t="array" ref="D30">SUM(IF((Budget[Account Code]=B30)*(Budget[Sort Code]=$G$4)*(Budget[Date]&lt;=$D$7),(Budget[Amount])))</f>
        <v>5037078.0599999996</v>
      </c>
      <c r="E30" s="245">
        <f t="array" ref="E30">((SUM(IF((CkDJ[Sort Code]=(TRIM(G$4)))*(CkDJ[Account Code]=(TRIM($B30)))*(CkDJ[Date]&lt;=$E$7),CkDJ[Credit])))+(SUM(IF((CsDJ[Sort Code]=(TRIM(G$4)))*(CsDJ[Account Code]=(TRIM($B30)))*(CsDJ[Date]&lt;=$E$7),CsDJ[Credit])))+(SUM(IF((CRDJ[Sort Code]=(TRIM(G$4)))*(CRDJ[Account Code]=(TRIM($B30)))*(CRDJ[Date]&lt;=$E$7),CRDJ[Credit])))+(SUM(IF((GJ[Sort Code]=(TRIM(G$4)))*(GJ[Account Code]=(TRIM($B30)))*(GJ[Date]&lt;=$E$7),GJ[Credit]))))-((SUM(IF((CkDJ[Sort Code]=(TRIM(G$4)))*(CkDJ[Account Code]=(TRIM($B30)))*(CkDJ[Date]&lt;=$E$7),CkDJ[Debit])))+(SUM(IF((CsDJ[Sort Code]=(TRIM(G$4)))*(CsDJ[Account Code]=(TRIM($B30)))*(CsDJ[Date]&lt;=$E$7),CsDJ[Debit])))+(SUM(IF((CRDJ[Sort Code]=(TRIM(G$4)))*(CRDJ[Account Code]=(TRIM($B30)))*(CRDJ[Date]&lt;=$E$7),CRDJ[Debit])))+(SUM(IF((GJ[Sort Code]=(TRIM(G$4)))*(GJ[Account Code]=(TRIM($B30)))*(GJ[Date]&lt;=$E$7),GJ[Debit]))))</f>
        <v>0</v>
      </c>
      <c r="F30" s="245">
        <f t="array" ref="F30">((SUM(IF((CkDJ[Date]=$A$3)*(CkDJ[Sort Code]=(TRIM(G$4)))*(CkDJ[Account Code]=(TRIM($B30))),CkDJ[Credit])))+(SUM(IF((CsDJ[Date]=$A$3)*(CsDJ[Sort Code]=(TRIM(G$4)))*(CsDJ[Account Code]=(TRIM($B30))),CsDJ[Credit])))+(SUM(IF((CRDJ[Date]=$A$3)*(CRDJ[Sort Code]=(TRIM(G$4)))*(CRDJ[Account Code]=(TRIM($B30))),CRDJ[Credit])))+(SUM(IF((GJ[Date]=$A$3)*(GJ[Sort Code]=(TRIM(G$4)))*(GJ[Account Code]=(TRIM($B30))),GJ[Credit]))))-((SUM(IF((CkDJ[Date]=$A$3)*(CkDJ[Sort Code]=(TRIM(G$4)))*(CkDJ[Account Code]=(TRIM($B30))),CkDJ[Debit])))+(SUM(IF((CsDJ[Date]=$A$3)*(CsDJ[Sort Code]=(TRIM(G$4)))*(CsDJ[Account Code]=(TRIM($B30))),CsDJ[Debit])))+(SUM(IF((CRDJ[Date]=$A$3)*(CRDJ[Sort Code]=(TRIM(G$4)))*(CRDJ[Account Code]=(TRIM($B30))),CRDJ[Debit])))+(SUM(IF((GJ[Date]=$A$3)*(GJ[Sort Code]=(TRIM(G$4)))*(GJ[Account Code]=(TRIM($B30))),GJ[Debit]))))</f>
        <v>0</v>
      </c>
      <c r="G30" s="343">
        <f>E30+F30</f>
        <v>0</v>
      </c>
      <c r="H30" s="246">
        <f t="shared" si="2"/>
        <v>-5037078.0599999996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Code]=B31)*(Budget[Sort Code]=$G$4),(Budget[Amount])))</f>
        <v>0</v>
      </c>
      <c r="D31" s="245">
        <f t="array" ref="D31">SUM(IF((Budget[Account Code]=B31)*(Budget[Sort Code]=$G$4)*(Budget[Date]&lt;=$D$7),(Budget[Amount])))</f>
        <v>0</v>
      </c>
      <c r="E31" s="245">
        <f t="array" ref="E31">((SUM(IF((CkDJ[Sort Code]=(TRIM(G$4)))*(CkDJ[Account Code]=(TRIM($B31)))*(CkDJ[Date]&lt;=$E$7),CkDJ[Credit])))+(SUM(IF((CsDJ[Sort Code]=(TRIM(G$4)))*(CsDJ[Account Code]=(TRIM($B31)))*(CsDJ[Date]&lt;=$E$7),CsDJ[Credit])))+(SUM(IF((CRDJ[Sort Code]=(TRIM(G$4)))*(CRDJ[Account Code]=(TRIM($B31)))*(CRDJ[Date]&lt;=$E$7),CRDJ[Credit])))+(SUM(IF((GJ[Sort Code]=(TRIM(G$4)))*(GJ[Account Code]=(TRIM($B31)))*(GJ[Date]&lt;=$E$7),GJ[Credit]))))-((SUM(IF((CkDJ[Sort Code]=(TRIM(G$4)))*(CkDJ[Account Code]=(TRIM($B31)))*(CkDJ[Date]&lt;=$E$7),CkDJ[Debit])))+(SUM(IF((CsDJ[Sort Code]=(TRIM(G$4)))*(CsDJ[Account Code]=(TRIM($B31)))*(CsDJ[Date]&lt;=$E$7),CsDJ[Debit])))+(SUM(IF((CRDJ[Sort Code]=(TRIM(G$4)))*(CRDJ[Account Code]=(TRIM($B31)))*(CRDJ[Date]&lt;=$E$7),CRDJ[Debit])))+(SUM(IF((GJ[Sort Code]=(TRIM(G$4)))*(GJ[Account Code]=(TRIM($B31)))*(GJ[Date]&lt;=$E$7),GJ[Debit]))))</f>
        <v>0</v>
      </c>
      <c r="F31" s="245">
        <f t="array" ref="F31">((SUM(IF((CkDJ[Date]=$A$3)*(CkDJ[Sort Code]=(TRIM(G$4)))*(CkDJ[Account Code]=(TRIM($B31))),CkDJ[Credit])))+(SUM(IF((CsDJ[Date]=$A$3)*(CsDJ[Sort Code]=(TRIM(G$4)))*(CsDJ[Account Code]=(TRIM($B31))),CsDJ[Credit])))+(SUM(IF((CRDJ[Date]=$A$3)*(CRDJ[Sort Code]=(TRIM(G$4)))*(CRDJ[Account Code]=(TRIM($B31))),CRDJ[Credit])))+(SUM(IF((GJ[Date]=$A$3)*(GJ[Sort Code]=(TRIM(G$4)))*(GJ[Account Code]=(TRIM($B31))),GJ[Credit]))))-((SUM(IF((CkDJ[Date]=$A$3)*(CkDJ[Sort Code]=(TRIM(G$4)))*(CkDJ[Account Code]=(TRIM($B31))),CkDJ[Debit])))+(SUM(IF((CsDJ[Date]=$A$3)*(CsDJ[Sort Code]=(TRIM(G$4)))*(CsDJ[Account Code]=(TRIM($B31))),CsDJ[Debit])))+(SUM(IF((CRDJ[Date]=$A$3)*(CRDJ[Sort Code]=(TRIM(G$4)))*(CRDJ[Account Code]=(TRIM($B31))),CRDJ[Debit])))+(SUM(IF((GJ[Date]=$A$3)*(GJ[Sort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Code]=B33)*(Budget[Sort Code]=$G$4),(Budget[Amount])))</f>
        <v>0</v>
      </c>
      <c r="D33" s="245">
        <f t="array" ref="D33">SUM(IF((Budget[Account Code]=B33)*(Budget[Sort Code]=$G$4)*(Budget[Date]&lt;=$D$7),(Budget[Amount])))</f>
        <v>0</v>
      </c>
      <c r="E33" s="245">
        <f t="array" ref="E33">((SUM(IF((CkDJ[Sort Code]=(TRIM(G$4)))*(CkDJ[Account Code]=(TRIM($B33)))*(CkDJ[Date]&lt;=$E$7),CkDJ[Credit])))+(SUM(IF((CsDJ[Sort Code]=(TRIM(G$4)))*(CsDJ[Account Code]=(TRIM($B33)))*(CsDJ[Date]&lt;=$E$7),CsDJ[Credit])))+(SUM(IF((CRDJ[Sort Code]=(TRIM(G$4)))*(CRDJ[Account Code]=(TRIM($B33)))*(CRDJ[Date]&lt;=$E$7),CRDJ[Credit])))+(SUM(IF((GJ[Sort Code]=(TRIM(G$4)))*(GJ[Account Code]=(TRIM($B33)))*(GJ[Date]&lt;=$E$7),GJ[Credit]))))-((SUM(IF((CkDJ[Sort Code]=(TRIM(G$4)))*(CkDJ[Account Code]=(TRIM($B33)))*(CkDJ[Date]&lt;=$E$7),CkDJ[Debit])))+(SUM(IF((CsDJ[Sort Code]=(TRIM(G$4)))*(CsDJ[Account Code]=(TRIM($B33)))*(CsDJ[Date]&lt;=$E$7),CsDJ[Debit])))+(SUM(IF((CRDJ[Sort Code]=(TRIM(G$4)))*(CRDJ[Account Code]=(TRIM($B33)))*(CRDJ[Date]&lt;=$E$7),CRDJ[Debit])))+(SUM(IF((GJ[Sort Code]=(TRIM(G$4)))*(GJ[Account Code]=(TRIM($B33)))*(GJ[Date]&lt;=$E$7),GJ[Debit]))))</f>
        <v>0</v>
      </c>
      <c r="F33" s="245">
        <f t="array" ref="F33">((SUM(IF((CkDJ[Date]=$A$3)*(CkDJ[Sort Code]=(TRIM(G$4)))*(CkDJ[Account Code]=(TRIM($B33))),CkDJ[Credit])))+(SUM(IF((CsDJ[Date]=$A$3)*(CsDJ[Sort Code]=(TRIM(G$4)))*(CsDJ[Account Code]=(TRIM($B33))),CsDJ[Credit])))+(SUM(IF((CRDJ[Date]=$A$3)*(CRDJ[Sort Code]=(TRIM(G$4)))*(CRDJ[Account Code]=(TRIM($B33))),CRDJ[Credit])))+(SUM(IF((GJ[Date]=$A$3)*(GJ[Sort Code]=(TRIM(G$4)))*(GJ[Account Code]=(TRIM($B33))),GJ[Credit]))))-((SUM(IF((CkDJ[Date]=$A$3)*(CkDJ[Sort Code]=(TRIM(G$4)))*(CkDJ[Account Code]=(TRIM($B33))),CkDJ[Debit])))+(SUM(IF((CsDJ[Date]=$A$3)*(CsDJ[Sort Code]=(TRIM(G$4)))*(CsDJ[Account Code]=(TRIM($B33))),CsDJ[Debit])))+(SUM(IF((CRDJ[Date]=$A$3)*(CRDJ[Sort Code]=(TRIM(G$4)))*(CRDJ[Account Code]=(TRIM($B33))),CRDJ[Debit])))+(SUM(IF((GJ[Date]=$A$3)*(GJ[Sort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Code]=B34)*(Budget[Sort Code]=$G$4),(Budget[Amount])))</f>
        <v>0</v>
      </c>
      <c r="D34" s="245">
        <f t="array" ref="D34">SUM(IF((Budget[Account Code]=B34)*(Budget[Sort Code]=$G$4)*(Budget[Date]&lt;=$D$7),(Budget[Amount])))</f>
        <v>0</v>
      </c>
      <c r="E34" s="245">
        <f t="array" ref="E34">((SUM(IF((CkDJ[Sort Code]=(TRIM(G$4)))*(CkDJ[Account Code]=(TRIM($B34)))*(CkDJ[Date]&lt;=$E$7),CkDJ[Credit])))+(SUM(IF((CsDJ[Sort Code]=(TRIM(G$4)))*(CsDJ[Account Code]=(TRIM($B34)))*(CsDJ[Date]&lt;=$E$7),CsDJ[Credit])))+(SUM(IF((CRDJ[Sort Code]=(TRIM(G$4)))*(CRDJ[Account Code]=(TRIM($B34)))*(CRDJ[Date]&lt;=$E$7),CRDJ[Credit])))+(SUM(IF((GJ[Sort Code]=(TRIM(G$4)))*(GJ[Account Code]=(TRIM($B34)))*(GJ[Date]&lt;=$E$7),GJ[Credit]))))-((SUM(IF((CkDJ[Sort Code]=(TRIM(G$4)))*(CkDJ[Account Code]=(TRIM($B34)))*(CkDJ[Date]&lt;=$E$7),CkDJ[Debit])))+(SUM(IF((CsDJ[Sort Code]=(TRIM(G$4)))*(CsDJ[Account Code]=(TRIM($B34)))*(CsDJ[Date]&lt;=$E$7),CsDJ[Debit])))+(SUM(IF((CRDJ[Sort Code]=(TRIM(G$4)))*(CRDJ[Account Code]=(TRIM($B34)))*(CRDJ[Date]&lt;=$E$7),CRDJ[Debit])))+(SUM(IF((GJ[Sort Code]=(TRIM(G$4)))*(GJ[Account Code]=(TRIM($B34)))*(GJ[Date]&lt;=$E$7),GJ[Debit]))))</f>
        <v>0</v>
      </c>
      <c r="F34" s="245">
        <f t="array" ref="F34">((SUM(IF((CkDJ[Date]=$A$3)*(CkDJ[Sort Code]=(TRIM(G$4)))*(CkDJ[Account Code]=(TRIM($B34))),CkDJ[Credit])))+(SUM(IF((CsDJ[Date]=$A$3)*(CsDJ[Sort Code]=(TRIM(G$4)))*(CsDJ[Account Code]=(TRIM($B34))),CsDJ[Credit])))+(SUM(IF((CRDJ[Date]=$A$3)*(CRDJ[Sort Code]=(TRIM(G$4)))*(CRDJ[Account Code]=(TRIM($B34))),CRDJ[Credit])))+(SUM(IF((GJ[Date]=$A$3)*(GJ[Sort Code]=(TRIM(G$4)))*(GJ[Account Code]=(TRIM($B34))),GJ[Credit]))))-((SUM(IF((CkDJ[Date]=$A$3)*(CkDJ[Sort Code]=(TRIM(G$4)))*(CkDJ[Account Code]=(TRIM($B34))),CkDJ[Debit])))+(SUM(IF((CsDJ[Date]=$A$3)*(CsDJ[Sort Code]=(TRIM(G$4)))*(CsDJ[Account Code]=(TRIM($B34))),CsDJ[Debit])))+(SUM(IF((CRDJ[Date]=$A$3)*(CRDJ[Sort Code]=(TRIM(G$4)))*(CRDJ[Account Code]=(TRIM($B34))),CRDJ[Debit])))+(SUM(IF((GJ[Date]=$A$3)*(GJ[Sort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Code]=B35)*(Budget[Sort Code]=$G$4),(Budget[Amount])))</f>
        <v>0</v>
      </c>
      <c r="D35" s="245">
        <f t="array" ref="D35">SUM(IF((Budget[Account Code]=B35)*(Budget[Sort Code]=$G$4)*(Budget[Date]&lt;=$D$7),(Budget[Amount])))</f>
        <v>0</v>
      </c>
      <c r="E35" s="245">
        <f t="array" ref="E35">((SUM(IF((CkDJ[Sort Code]=(TRIM(G$4)))*(CkDJ[Account Code]=(TRIM($B35)))*(CkDJ[Date]&lt;=$E$7),CkDJ[Credit])))+(SUM(IF((CsDJ[Sort Code]=(TRIM(G$4)))*(CsDJ[Account Code]=(TRIM($B35)))*(CsDJ[Date]&lt;=$E$7),CsDJ[Credit])))+(SUM(IF((CRDJ[Sort Code]=(TRIM(G$4)))*(CRDJ[Account Code]=(TRIM($B35)))*(CRDJ[Date]&lt;=$E$7),CRDJ[Credit])))+(SUM(IF((GJ[Sort Code]=(TRIM(G$4)))*(GJ[Account Code]=(TRIM($B35)))*(GJ[Date]&lt;=$E$7),GJ[Credit]))))-((SUM(IF((CkDJ[Sort Code]=(TRIM(G$4)))*(CkDJ[Account Code]=(TRIM($B35)))*(CkDJ[Date]&lt;=$E$7),CkDJ[Debit])))+(SUM(IF((CsDJ[Sort Code]=(TRIM(G$4)))*(CsDJ[Account Code]=(TRIM($B35)))*(CsDJ[Date]&lt;=$E$7),CsDJ[Debit])))+(SUM(IF((CRDJ[Sort Code]=(TRIM(G$4)))*(CRDJ[Account Code]=(TRIM($B35)))*(CRDJ[Date]&lt;=$E$7),CRDJ[Debit])))+(SUM(IF((GJ[Sort Code]=(TRIM(G$4)))*(GJ[Account Code]=(TRIM($B35)))*(GJ[Date]&lt;=$E$7),GJ[Debit]))))</f>
        <v>0</v>
      </c>
      <c r="F35" s="245">
        <f t="array" ref="F35">((SUM(IF((CkDJ[Date]=$A$3)*(CkDJ[Sort Code]=(TRIM(G$4)))*(CkDJ[Account Code]=(TRIM($B35))),CkDJ[Credit])))+(SUM(IF((CsDJ[Date]=$A$3)*(CsDJ[Sort Code]=(TRIM(G$4)))*(CsDJ[Account Code]=(TRIM($B35))),CsDJ[Credit])))+(SUM(IF((CRDJ[Date]=$A$3)*(CRDJ[Sort Code]=(TRIM(G$4)))*(CRDJ[Account Code]=(TRIM($B35))),CRDJ[Credit])))+(SUM(IF((GJ[Date]=$A$3)*(GJ[Sort Code]=(TRIM(G$4)))*(GJ[Account Code]=(TRIM($B35))),GJ[Credit]))))-((SUM(IF((CkDJ[Date]=$A$3)*(CkDJ[Sort Code]=(TRIM(G$4)))*(CkDJ[Account Code]=(TRIM($B35))),CkDJ[Debit])))+(SUM(IF((CsDJ[Date]=$A$3)*(CsDJ[Sort Code]=(TRIM(G$4)))*(CsDJ[Account Code]=(TRIM($B35))),CsDJ[Debit])))+(SUM(IF((CRDJ[Date]=$A$3)*(CRDJ[Sort Code]=(TRIM(G$4)))*(CRDJ[Account Code]=(TRIM($B35))),CRDJ[Debit])))+(SUM(IF((GJ[Date]=$A$3)*(GJ[Sort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2950000</v>
      </c>
      <c r="D36" s="248">
        <f>SUM(D37:D45)</f>
        <v>2950000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-2950000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Code]=B37)*(Budget[Sort Code]=$G$4),(Budget[Amount])))</f>
        <v>20000</v>
      </c>
      <c r="D37" s="245">
        <f t="array" ref="D37">SUM(IF((Budget[Account Code]=B37)*(Budget[Sort Code]=$G$4)*(Budget[Date]&lt;=$D$7),(Budget[Amount])))</f>
        <v>20000</v>
      </c>
      <c r="E37" s="245">
        <f t="array" ref="E37">((SUM(IF((CkDJ[Sort Code]=(TRIM(G$4)))*(CkDJ[Account Code]=(TRIM($B37)))*(CkDJ[Date]&lt;=$E$7),CkDJ[Credit])))+(SUM(IF((CsDJ[Sort Code]=(TRIM(G$4)))*(CsDJ[Account Code]=(TRIM($B37)))*(CsDJ[Date]&lt;=$E$7),CsDJ[Credit])))+(SUM(IF((CRDJ[Sort Code]=(TRIM(G$4)))*(CRDJ[Account Code]=(TRIM($B37)))*(CRDJ[Date]&lt;=$E$7),CRDJ[Credit])))+(SUM(IF((GJ[Sort Code]=(TRIM(G$4)))*(GJ[Account Code]=(TRIM($B37)))*(GJ[Date]&lt;=$E$7),GJ[Credit]))))-((SUM(IF((CkDJ[Sort Code]=(TRIM(G$4)))*(CkDJ[Account Code]=(TRIM($B37)))*(CkDJ[Date]&lt;=$E$7),CkDJ[Debit])))+(SUM(IF((CsDJ[Sort Code]=(TRIM(G$4)))*(CsDJ[Account Code]=(TRIM($B37)))*(CsDJ[Date]&lt;=$E$7),CsDJ[Debit])))+(SUM(IF((CRDJ[Sort Code]=(TRIM(G$4)))*(CRDJ[Account Code]=(TRIM($B37)))*(CRDJ[Date]&lt;=$E$7),CRDJ[Debit])))+(SUM(IF((GJ[Sort Code]=(TRIM(G$4)))*(GJ[Account Code]=(TRIM($B37)))*(GJ[Date]&lt;=$E$7),GJ[Debit]))))</f>
        <v>0</v>
      </c>
      <c r="F37" s="245">
        <f t="array" ref="F37">((SUM(IF((CkDJ[Date]=$A$3)*(CkDJ[Sort Code]=(TRIM(G$4)))*(CkDJ[Account Code]=(TRIM($B37))),CkDJ[Credit])))+(SUM(IF((CsDJ[Date]=$A$3)*(CsDJ[Sort Code]=(TRIM(G$4)))*(CsDJ[Account Code]=(TRIM($B37))),CsDJ[Credit])))+(SUM(IF((CRDJ[Date]=$A$3)*(CRDJ[Sort Code]=(TRIM(G$4)))*(CRDJ[Account Code]=(TRIM($B37))),CRDJ[Credit])))+(SUM(IF((GJ[Date]=$A$3)*(GJ[Sort Code]=(TRIM(G$4)))*(GJ[Account Code]=(TRIM($B37))),GJ[Credit]))))-((SUM(IF((CkDJ[Date]=$A$3)*(CkDJ[Sort Code]=(TRIM(G$4)))*(CkDJ[Account Code]=(TRIM($B37))),CkDJ[Debit])))+(SUM(IF((CsDJ[Date]=$A$3)*(CsDJ[Sort Code]=(TRIM(G$4)))*(CsDJ[Account Code]=(TRIM($B37))),CsDJ[Debit])))+(SUM(IF((CRDJ[Date]=$A$3)*(CRDJ[Sort Code]=(TRIM(G$4)))*(CRDJ[Account Code]=(TRIM($B37))),CRDJ[Debit])))+(SUM(IF((GJ[Date]=$A$3)*(GJ[Sort Code]=(TRIM(G$4)))*(GJ[Account Code]=(TRIM($B37))),GJ[Debit]))))</f>
        <v>0</v>
      </c>
      <c r="G37" s="343">
        <f t="shared" ref="G37:G45" si="4">E37+F37</f>
        <v>0</v>
      </c>
      <c r="H37" s="246">
        <f t="shared" si="2"/>
        <v>-20000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Code]=B38)*(Budget[Sort Code]=$G$4),(Budget[Amount])))</f>
        <v>0</v>
      </c>
      <c r="D38" s="245">
        <f t="array" ref="D38">SUM(IF((Budget[Account Code]=B38)*(Budget[Sort Code]=$G$4)*(Budget[Date]&lt;=$D$7),(Budget[Amount])))</f>
        <v>0</v>
      </c>
      <c r="E38" s="245">
        <f t="array" ref="E38">((SUM(IF((CkDJ[Sort Code]=(TRIM(G$4)))*(CkDJ[Account Code]=(TRIM($B38)))*(CkDJ[Date]&lt;=$E$7),CkDJ[Credit])))+(SUM(IF((CsDJ[Sort Code]=(TRIM(G$4)))*(CsDJ[Account Code]=(TRIM($B38)))*(CsDJ[Date]&lt;=$E$7),CsDJ[Credit])))+(SUM(IF((CRDJ[Sort Code]=(TRIM(G$4)))*(CRDJ[Account Code]=(TRIM($B38)))*(CRDJ[Date]&lt;=$E$7),CRDJ[Credit])))+(SUM(IF((GJ[Sort Code]=(TRIM(G$4)))*(GJ[Account Code]=(TRIM($B38)))*(GJ[Date]&lt;=$E$7),GJ[Credit]))))-((SUM(IF((CkDJ[Sort Code]=(TRIM(G$4)))*(CkDJ[Account Code]=(TRIM($B38)))*(CkDJ[Date]&lt;=$E$7),CkDJ[Debit])))+(SUM(IF((CsDJ[Sort Code]=(TRIM(G$4)))*(CsDJ[Account Code]=(TRIM($B38)))*(CsDJ[Date]&lt;=$E$7),CsDJ[Debit])))+(SUM(IF((CRDJ[Sort Code]=(TRIM(G$4)))*(CRDJ[Account Code]=(TRIM($B38)))*(CRDJ[Date]&lt;=$E$7),CRDJ[Debit])))+(SUM(IF((GJ[Sort Code]=(TRIM(G$4)))*(GJ[Account Code]=(TRIM($B38)))*(GJ[Date]&lt;=$E$7),GJ[Debit]))))</f>
        <v>0</v>
      </c>
      <c r="F38" s="245">
        <f t="array" ref="F38">((SUM(IF((CkDJ[Date]=$A$3)*(CkDJ[Sort Code]=(TRIM(G$4)))*(CkDJ[Account Code]=(TRIM($B38))),CkDJ[Credit])))+(SUM(IF((CsDJ[Date]=$A$3)*(CsDJ[Sort Code]=(TRIM(G$4)))*(CsDJ[Account Code]=(TRIM($B38))),CsDJ[Credit])))+(SUM(IF((CRDJ[Date]=$A$3)*(CRDJ[Sort Code]=(TRIM(G$4)))*(CRDJ[Account Code]=(TRIM($B38))),CRDJ[Credit])))+(SUM(IF((GJ[Date]=$A$3)*(GJ[Sort Code]=(TRIM(G$4)))*(GJ[Account Code]=(TRIM($B38))),GJ[Credit]))))-((SUM(IF((CkDJ[Date]=$A$3)*(CkDJ[Sort Code]=(TRIM(G$4)))*(CkDJ[Account Code]=(TRIM($B38))),CkDJ[Debit])))+(SUM(IF((CsDJ[Date]=$A$3)*(CsDJ[Sort Code]=(TRIM(G$4)))*(CsDJ[Account Code]=(TRIM($B38))),CsDJ[Debit])))+(SUM(IF((CRDJ[Date]=$A$3)*(CRDJ[Sort Code]=(TRIM(G$4)))*(CRDJ[Account Code]=(TRIM($B38))),CRDJ[Debit])))+(SUM(IF((GJ[Date]=$A$3)*(GJ[Sort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Code]=B39)*(Budget[Sort Code]=$G$4),(Budget[Amount])))</f>
        <v>0</v>
      </c>
      <c r="D39" s="245">
        <f t="array" ref="D39">SUM(IF((Budget[Account Code]=B39)*(Budget[Sort Code]=$G$4)*(Budget[Date]&lt;=$D$7),(Budget[Amount])))</f>
        <v>0</v>
      </c>
      <c r="E39" s="245">
        <f t="array" ref="E39">((SUM(IF((CkDJ[Sort Code]=(TRIM(G$4)))*(CkDJ[Account Code]=(TRIM($B39)))*(CkDJ[Date]&lt;=$E$7),CkDJ[Credit])))+(SUM(IF((CsDJ[Sort Code]=(TRIM(G$4)))*(CsDJ[Account Code]=(TRIM($B39)))*(CsDJ[Date]&lt;=$E$7),CsDJ[Credit])))+(SUM(IF((CRDJ[Sort Code]=(TRIM(G$4)))*(CRDJ[Account Code]=(TRIM($B39)))*(CRDJ[Date]&lt;=$E$7),CRDJ[Credit])))+(SUM(IF((GJ[Sort Code]=(TRIM(G$4)))*(GJ[Account Code]=(TRIM($B39)))*(GJ[Date]&lt;=$E$7),GJ[Credit]))))-((SUM(IF((CkDJ[Sort Code]=(TRIM(G$4)))*(CkDJ[Account Code]=(TRIM($B39)))*(CkDJ[Date]&lt;=$E$7),CkDJ[Debit])))+(SUM(IF((CsDJ[Sort Code]=(TRIM(G$4)))*(CsDJ[Account Code]=(TRIM($B39)))*(CsDJ[Date]&lt;=$E$7),CsDJ[Debit])))+(SUM(IF((CRDJ[Sort Code]=(TRIM(G$4)))*(CRDJ[Account Code]=(TRIM($B39)))*(CRDJ[Date]&lt;=$E$7),CRDJ[Debit])))+(SUM(IF((GJ[Sort Code]=(TRIM(G$4)))*(GJ[Account Code]=(TRIM($B39)))*(GJ[Date]&lt;=$E$7),GJ[Debit]))))</f>
        <v>0</v>
      </c>
      <c r="F39" s="245">
        <f t="array" ref="F39">((SUM(IF((CkDJ[Date]=$A$3)*(CkDJ[Sort Code]=(TRIM(G$4)))*(CkDJ[Account Code]=(TRIM($B39))),CkDJ[Credit])))+(SUM(IF((CsDJ[Date]=$A$3)*(CsDJ[Sort Code]=(TRIM(G$4)))*(CsDJ[Account Code]=(TRIM($B39))),CsDJ[Credit])))+(SUM(IF((CRDJ[Date]=$A$3)*(CRDJ[Sort Code]=(TRIM(G$4)))*(CRDJ[Account Code]=(TRIM($B39))),CRDJ[Credit])))+(SUM(IF((GJ[Date]=$A$3)*(GJ[Sort Code]=(TRIM(G$4)))*(GJ[Account Code]=(TRIM($B39))),GJ[Credit]))))-((SUM(IF((CkDJ[Date]=$A$3)*(CkDJ[Sort Code]=(TRIM(G$4)))*(CkDJ[Account Code]=(TRIM($B39))),CkDJ[Debit])))+(SUM(IF((CsDJ[Date]=$A$3)*(CsDJ[Sort Code]=(TRIM(G$4)))*(CsDJ[Account Code]=(TRIM($B39))),CsDJ[Debit])))+(SUM(IF((CRDJ[Date]=$A$3)*(CRDJ[Sort Code]=(TRIM(G$4)))*(CRDJ[Account Code]=(TRIM($B39))),CRDJ[Debit])))+(SUM(IF((GJ[Date]=$A$3)*(GJ[Sort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Code]=B40)*(Budget[Sort Code]=$G$4),(Budget[Amount])))</f>
        <v>280000</v>
      </c>
      <c r="D40" s="245">
        <f t="array" ref="D40">SUM(IF((Budget[Account Code]=B40)*(Budget[Sort Code]=$G$4)*(Budget[Date]&lt;=$D$7),(Budget[Amount])))</f>
        <v>280000</v>
      </c>
      <c r="E40" s="245">
        <f t="array" ref="E40">((SUM(IF((CkDJ[Sort Code]=(TRIM(G$4)))*(CkDJ[Account Code]=(TRIM($B40)))*(CkDJ[Date]&lt;=$E$7),CkDJ[Credit])))+(SUM(IF((CsDJ[Sort Code]=(TRIM(G$4)))*(CsDJ[Account Code]=(TRIM($B40)))*(CsDJ[Date]&lt;=$E$7),CsDJ[Credit])))+(SUM(IF((CRDJ[Sort Code]=(TRIM(G$4)))*(CRDJ[Account Code]=(TRIM($B40)))*(CRDJ[Date]&lt;=$E$7),CRDJ[Credit])))+(SUM(IF((GJ[Sort Code]=(TRIM(G$4)))*(GJ[Account Code]=(TRIM($B40)))*(GJ[Date]&lt;=$E$7),GJ[Credit]))))-((SUM(IF((CkDJ[Sort Code]=(TRIM(G$4)))*(CkDJ[Account Code]=(TRIM($B40)))*(CkDJ[Date]&lt;=$E$7),CkDJ[Debit])))+(SUM(IF((CsDJ[Sort Code]=(TRIM(G$4)))*(CsDJ[Account Code]=(TRIM($B40)))*(CsDJ[Date]&lt;=$E$7),CsDJ[Debit])))+(SUM(IF((CRDJ[Sort Code]=(TRIM(G$4)))*(CRDJ[Account Code]=(TRIM($B40)))*(CRDJ[Date]&lt;=$E$7),CRDJ[Debit])))+(SUM(IF((GJ[Sort Code]=(TRIM(G$4)))*(GJ[Account Code]=(TRIM($B40)))*(GJ[Date]&lt;=$E$7),GJ[Debit]))))</f>
        <v>0</v>
      </c>
      <c r="F40" s="245">
        <f t="array" ref="F40">((SUM(IF((CkDJ[Date]=$A$3)*(CkDJ[Sort Code]=(TRIM(G$4)))*(CkDJ[Account Code]=(TRIM($B40))),CkDJ[Credit])))+(SUM(IF((CsDJ[Date]=$A$3)*(CsDJ[Sort Code]=(TRIM(G$4)))*(CsDJ[Account Code]=(TRIM($B40))),CsDJ[Credit])))+(SUM(IF((CRDJ[Date]=$A$3)*(CRDJ[Sort Code]=(TRIM(G$4)))*(CRDJ[Account Code]=(TRIM($B40))),CRDJ[Credit])))+(SUM(IF((GJ[Date]=$A$3)*(GJ[Sort Code]=(TRIM(G$4)))*(GJ[Account Code]=(TRIM($B40))),GJ[Credit]))))-((SUM(IF((CkDJ[Date]=$A$3)*(CkDJ[Sort Code]=(TRIM(G$4)))*(CkDJ[Account Code]=(TRIM($B40))),CkDJ[Debit])))+(SUM(IF((CsDJ[Date]=$A$3)*(CsDJ[Sort Code]=(TRIM(G$4)))*(CsDJ[Account Code]=(TRIM($B40))),CsDJ[Debit])))+(SUM(IF((CRDJ[Date]=$A$3)*(CRDJ[Sort Code]=(TRIM(G$4)))*(CRDJ[Account Code]=(TRIM($B40))),CRDJ[Debit])))+(SUM(IF((GJ[Date]=$A$3)*(GJ[Sort Code]=(TRIM(G$4)))*(GJ[Account Code]=(TRIM($B40))),GJ[Debit]))))</f>
        <v>0</v>
      </c>
      <c r="G40" s="343">
        <f t="shared" si="4"/>
        <v>0</v>
      </c>
      <c r="H40" s="246">
        <f t="shared" si="2"/>
        <v>-280000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Code]=B41)*(Budget[Sort Code]=$G$4),(Budget[Amount])))</f>
        <v>0</v>
      </c>
      <c r="D41" s="245">
        <f t="array" ref="D41">SUM(IF((Budget[Account Code]=B41)*(Budget[Sort Code]=$G$4)*(Budget[Date]&lt;=$D$7),(Budget[Amount])))</f>
        <v>0</v>
      </c>
      <c r="E41" s="245">
        <f t="array" ref="E41">((SUM(IF((CkDJ[Sort Code]=(TRIM(G$4)))*(CkDJ[Account Code]=(TRIM($B41)))*(CkDJ[Date]&lt;=$E$7),CkDJ[Credit])))+(SUM(IF((CsDJ[Sort Code]=(TRIM(G$4)))*(CsDJ[Account Code]=(TRIM($B41)))*(CsDJ[Date]&lt;=$E$7),CsDJ[Credit])))+(SUM(IF((CRDJ[Sort Code]=(TRIM(G$4)))*(CRDJ[Account Code]=(TRIM($B41)))*(CRDJ[Date]&lt;=$E$7),CRDJ[Credit])))+(SUM(IF((GJ[Sort Code]=(TRIM(G$4)))*(GJ[Account Code]=(TRIM($B41)))*(GJ[Date]&lt;=$E$7),GJ[Credit]))))-((SUM(IF((CkDJ[Sort Code]=(TRIM(G$4)))*(CkDJ[Account Code]=(TRIM($B41)))*(CkDJ[Date]&lt;=$E$7),CkDJ[Debit])))+(SUM(IF((CsDJ[Sort Code]=(TRIM(G$4)))*(CsDJ[Account Code]=(TRIM($B41)))*(CsDJ[Date]&lt;=$E$7),CsDJ[Debit])))+(SUM(IF((CRDJ[Sort Code]=(TRIM(G$4)))*(CRDJ[Account Code]=(TRIM($B41)))*(CRDJ[Date]&lt;=$E$7),CRDJ[Debit])))+(SUM(IF((GJ[Sort Code]=(TRIM(G$4)))*(GJ[Account Code]=(TRIM($B41)))*(GJ[Date]&lt;=$E$7),GJ[Debit]))))</f>
        <v>0</v>
      </c>
      <c r="F41" s="245">
        <f t="array" ref="F41">((SUM(IF((CkDJ[Date]=$A$3)*(CkDJ[Sort Code]=(TRIM(G$4)))*(CkDJ[Account Code]=(TRIM($B41))),CkDJ[Credit])))+(SUM(IF((CsDJ[Date]=$A$3)*(CsDJ[Sort Code]=(TRIM(G$4)))*(CsDJ[Account Code]=(TRIM($B41))),CsDJ[Credit])))+(SUM(IF((CRDJ[Date]=$A$3)*(CRDJ[Sort Code]=(TRIM(G$4)))*(CRDJ[Account Code]=(TRIM($B41))),CRDJ[Credit])))+(SUM(IF((GJ[Date]=$A$3)*(GJ[Sort Code]=(TRIM(G$4)))*(GJ[Account Code]=(TRIM($B41))),GJ[Credit]))))-((SUM(IF((CkDJ[Date]=$A$3)*(CkDJ[Sort Code]=(TRIM(G$4)))*(CkDJ[Account Code]=(TRIM($B41))),CkDJ[Debit])))+(SUM(IF((CsDJ[Date]=$A$3)*(CsDJ[Sort Code]=(TRIM(G$4)))*(CsDJ[Account Code]=(TRIM($B41))),CsDJ[Debit])))+(SUM(IF((CRDJ[Date]=$A$3)*(CRDJ[Sort Code]=(TRIM(G$4)))*(CRDJ[Account Code]=(TRIM($B41))),CRDJ[Debit])))+(SUM(IF((GJ[Date]=$A$3)*(GJ[Sort Code]=(TRIM(G$4)))*(GJ[Account Code]=(TRIM($B41))),GJ[Debit]))))</f>
        <v>0</v>
      </c>
      <c r="G41" s="343">
        <f t="shared" si="4"/>
        <v>0</v>
      </c>
      <c r="H41" s="246">
        <f t="shared" si="2"/>
        <v>0</v>
      </c>
      <c r="I41" s="246">
        <f t="shared" si="3"/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Code]=B42)*(Budget[Sort Code]=$G$4),(Budget[Amount])))</f>
        <v>0</v>
      </c>
      <c r="D42" s="245">
        <f t="array" ref="D42">SUM(IF((Budget[Account Code]=B42)*(Budget[Sort Code]=$G$4)*(Budget[Date]&lt;=$D$7),(Budget[Amount])))</f>
        <v>0</v>
      </c>
      <c r="E42" s="245">
        <f t="array" ref="E42">((SUM(IF((CkDJ[Sort Code]=(TRIM(G$4)))*(CkDJ[Account Code]=(TRIM($B42)))*(CkDJ[Date]&lt;=$E$7),CkDJ[Credit])))+(SUM(IF((CsDJ[Sort Code]=(TRIM(G$4)))*(CsDJ[Account Code]=(TRIM($B42)))*(CsDJ[Date]&lt;=$E$7),CsDJ[Credit])))+(SUM(IF((CRDJ[Sort Code]=(TRIM(G$4)))*(CRDJ[Account Code]=(TRIM($B42)))*(CRDJ[Date]&lt;=$E$7),CRDJ[Credit])))+(SUM(IF((GJ[Sort Code]=(TRIM(G$4)))*(GJ[Account Code]=(TRIM($B42)))*(GJ[Date]&lt;=$E$7),GJ[Credit]))))-((SUM(IF((CkDJ[Sort Code]=(TRIM(G$4)))*(CkDJ[Account Code]=(TRIM($B42)))*(CkDJ[Date]&lt;=$E$7),CkDJ[Debit])))+(SUM(IF((CsDJ[Sort Code]=(TRIM(G$4)))*(CsDJ[Account Code]=(TRIM($B42)))*(CsDJ[Date]&lt;=$E$7),CsDJ[Debit])))+(SUM(IF((CRDJ[Sort Code]=(TRIM(G$4)))*(CRDJ[Account Code]=(TRIM($B42)))*(CRDJ[Date]&lt;=$E$7),CRDJ[Debit])))+(SUM(IF((GJ[Sort Code]=(TRIM(G$4)))*(GJ[Account Code]=(TRIM($B42)))*(GJ[Date]&lt;=$E$7),GJ[Debit]))))</f>
        <v>0</v>
      </c>
      <c r="F42" s="245">
        <f t="array" ref="F42">((SUM(IF((CkDJ[Date]=$A$3)*(CkDJ[Sort Code]=(TRIM(G$4)))*(CkDJ[Account Code]=(TRIM($B42))),CkDJ[Credit])))+(SUM(IF((CsDJ[Date]=$A$3)*(CsDJ[Sort Code]=(TRIM(G$4)))*(CsDJ[Account Code]=(TRIM($B42))),CsDJ[Credit])))+(SUM(IF((CRDJ[Date]=$A$3)*(CRDJ[Sort Code]=(TRIM(G$4)))*(CRDJ[Account Code]=(TRIM($B42))),CRDJ[Credit])))+(SUM(IF((GJ[Date]=$A$3)*(GJ[Sort Code]=(TRIM(G$4)))*(GJ[Account Code]=(TRIM($B42))),GJ[Credit]))))-((SUM(IF((CkDJ[Date]=$A$3)*(CkDJ[Sort Code]=(TRIM(G$4)))*(CkDJ[Account Code]=(TRIM($B42))),CkDJ[Debit])))+(SUM(IF((CsDJ[Date]=$A$3)*(CsDJ[Sort Code]=(TRIM(G$4)))*(CsDJ[Account Code]=(TRIM($B42))),CsDJ[Debit])))+(SUM(IF((CRDJ[Date]=$A$3)*(CRDJ[Sort Code]=(TRIM(G$4)))*(CRDJ[Account Code]=(TRIM($B42))),CRDJ[Debit])))+(SUM(IF((GJ[Date]=$A$3)*(GJ[Sort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Code]=B43)*(Budget[Sort Code]=$G$4),(Budget[Amount])))</f>
        <v>0</v>
      </c>
      <c r="D43" s="245">
        <f t="array" ref="D43">SUM(IF((Budget[Account Code]=B43)*(Budget[Sort Code]=$G$4)*(Budget[Date]&lt;=$D$7),(Budget[Amount])))</f>
        <v>0</v>
      </c>
      <c r="E43" s="245">
        <f t="array" ref="E43">((SUM(IF((CkDJ[Sort Code]=(TRIM(G$4)))*(CkDJ[Account Code]=(TRIM($B43)))*(CkDJ[Date]&lt;=$E$7),CkDJ[Credit])))+(SUM(IF((CsDJ[Sort Code]=(TRIM(G$4)))*(CsDJ[Account Code]=(TRIM($B43)))*(CsDJ[Date]&lt;=$E$7),CsDJ[Credit])))+(SUM(IF((CRDJ[Sort Code]=(TRIM(G$4)))*(CRDJ[Account Code]=(TRIM($B43)))*(CRDJ[Date]&lt;=$E$7),CRDJ[Credit])))+(SUM(IF((GJ[Sort Code]=(TRIM(G$4)))*(GJ[Account Code]=(TRIM($B43)))*(GJ[Date]&lt;=$E$7),GJ[Credit]))))-((SUM(IF((CkDJ[Sort Code]=(TRIM(G$4)))*(CkDJ[Account Code]=(TRIM($B43)))*(CkDJ[Date]&lt;=$E$7),CkDJ[Debit])))+(SUM(IF((CsDJ[Sort Code]=(TRIM(G$4)))*(CsDJ[Account Code]=(TRIM($B43)))*(CsDJ[Date]&lt;=$E$7),CsDJ[Debit])))+(SUM(IF((CRDJ[Sort Code]=(TRIM(G$4)))*(CRDJ[Account Code]=(TRIM($B43)))*(CRDJ[Date]&lt;=$E$7),CRDJ[Debit])))+(SUM(IF((GJ[Sort Code]=(TRIM(G$4)))*(GJ[Account Code]=(TRIM($B43)))*(GJ[Date]&lt;=$E$7),GJ[Debit]))))</f>
        <v>0</v>
      </c>
      <c r="F43" s="245">
        <f t="array" ref="F43">((SUM(IF((CkDJ[Date]=$A$3)*(CkDJ[Sort Code]=(TRIM(G$4)))*(CkDJ[Account Code]=(TRIM($B43))),CkDJ[Credit])))+(SUM(IF((CsDJ[Date]=$A$3)*(CsDJ[Sort Code]=(TRIM(G$4)))*(CsDJ[Account Code]=(TRIM($B43))),CsDJ[Credit])))+(SUM(IF((CRDJ[Date]=$A$3)*(CRDJ[Sort Code]=(TRIM(G$4)))*(CRDJ[Account Code]=(TRIM($B43))),CRDJ[Credit])))+(SUM(IF((GJ[Date]=$A$3)*(GJ[Sort Code]=(TRIM(G$4)))*(GJ[Account Code]=(TRIM($B43))),GJ[Credit]))))-((SUM(IF((CkDJ[Date]=$A$3)*(CkDJ[Sort Code]=(TRIM(G$4)))*(CkDJ[Account Code]=(TRIM($B43))),CkDJ[Debit])))+(SUM(IF((CsDJ[Date]=$A$3)*(CsDJ[Sort Code]=(TRIM(G$4)))*(CsDJ[Account Code]=(TRIM($B43))),CsDJ[Debit])))+(SUM(IF((CRDJ[Date]=$A$3)*(CRDJ[Sort Code]=(TRIM(G$4)))*(CRDJ[Account Code]=(TRIM($B43))),CRDJ[Debit])))+(SUM(IF((GJ[Date]=$A$3)*(GJ[Sort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Code]=B44)*(Budget[Sort Code]=$G$4),(Budget[Amount])))</f>
        <v>2650000</v>
      </c>
      <c r="D44" s="245">
        <f t="array" ref="D44">SUM(IF((Budget[Account Code]=B44)*(Budget[Sort Code]=$G$4)*(Budget[Date]&lt;=$D$7),(Budget[Amount])))</f>
        <v>2650000</v>
      </c>
      <c r="E44" s="245">
        <f t="array" ref="E44">((SUM(IF((CkDJ[Sort Code]=(TRIM(G$4)))*(CkDJ[Account Code]=(TRIM($B44)))*(CkDJ[Date]&lt;=$E$7),CkDJ[Credit])))+(SUM(IF((CsDJ[Sort Code]=(TRIM(G$4)))*(CsDJ[Account Code]=(TRIM($B44)))*(CsDJ[Date]&lt;=$E$7),CsDJ[Credit])))+(SUM(IF((CRDJ[Sort Code]=(TRIM(G$4)))*(CRDJ[Account Code]=(TRIM($B44)))*(CRDJ[Date]&lt;=$E$7),CRDJ[Credit])))+(SUM(IF((GJ[Sort Code]=(TRIM(G$4)))*(GJ[Account Code]=(TRIM($B44)))*(GJ[Date]&lt;=$E$7),GJ[Credit]))))-((SUM(IF((CkDJ[Sort Code]=(TRIM(G$4)))*(CkDJ[Account Code]=(TRIM($B44)))*(CkDJ[Date]&lt;=$E$7),CkDJ[Debit])))+(SUM(IF((CsDJ[Sort Code]=(TRIM(G$4)))*(CsDJ[Account Code]=(TRIM($B44)))*(CsDJ[Date]&lt;=$E$7),CsDJ[Debit])))+(SUM(IF((CRDJ[Sort Code]=(TRIM(G$4)))*(CRDJ[Account Code]=(TRIM($B44)))*(CRDJ[Date]&lt;=$E$7),CRDJ[Debit])))+(SUM(IF((GJ[Sort Code]=(TRIM(G$4)))*(GJ[Account Code]=(TRIM($B44)))*(GJ[Date]&lt;=$E$7),GJ[Debit]))))</f>
        <v>0</v>
      </c>
      <c r="F44" s="245">
        <f t="array" ref="F44">((SUM(IF((CkDJ[Date]=$A$3)*(CkDJ[Sort Code]=(TRIM(G$4)))*(CkDJ[Account Code]=(TRIM($B44))),CkDJ[Credit])))+(SUM(IF((CsDJ[Date]=$A$3)*(CsDJ[Sort Code]=(TRIM(G$4)))*(CsDJ[Account Code]=(TRIM($B44))),CsDJ[Credit])))+(SUM(IF((CRDJ[Date]=$A$3)*(CRDJ[Sort Code]=(TRIM(G$4)))*(CRDJ[Account Code]=(TRIM($B44))),CRDJ[Credit])))+(SUM(IF((GJ[Date]=$A$3)*(GJ[Sort Code]=(TRIM(G$4)))*(GJ[Account Code]=(TRIM($B44))),GJ[Credit]))))-((SUM(IF((CkDJ[Date]=$A$3)*(CkDJ[Sort Code]=(TRIM(G$4)))*(CkDJ[Account Code]=(TRIM($B44))),CkDJ[Debit])))+(SUM(IF((CsDJ[Date]=$A$3)*(CsDJ[Sort Code]=(TRIM(G$4)))*(CsDJ[Account Code]=(TRIM($B44))),CsDJ[Debit])))+(SUM(IF((CRDJ[Date]=$A$3)*(CRDJ[Sort Code]=(TRIM(G$4)))*(CRDJ[Account Code]=(TRIM($B44))),CRDJ[Debit])))+(SUM(IF((GJ[Date]=$A$3)*(GJ[Sort Code]=(TRIM(G$4)))*(GJ[Account Code]=(TRIM($B44))),GJ[Debit]))))</f>
        <v>0</v>
      </c>
      <c r="G44" s="343">
        <f t="shared" si="4"/>
        <v>0</v>
      </c>
      <c r="H44" s="246">
        <f t="shared" si="2"/>
        <v>-2650000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Code]=B45)*(Budget[Sort Code]=$G$4),(Budget[Amount])))</f>
        <v>0</v>
      </c>
      <c r="D45" s="245">
        <f t="array" ref="D45">SUM(IF((Budget[Account Code]=B45)*(Budget[Sort Code]=$G$4)*(Budget[Date]&lt;=$D$7),(Budget[Amount])))</f>
        <v>0</v>
      </c>
      <c r="E45" s="245">
        <f t="array" ref="E45">((SUM(IF((CkDJ[Sort Code]=(TRIM(G$4)))*(CkDJ[Account Code]=(TRIM($B45)))*(CkDJ[Date]&lt;=$E$7),CkDJ[Credit])))+(SUM(IF((CsDJ[Sort Code]=(TRIM(G$4)))*(CsDJ[Account Code]=(TRIM($B45)))*(CsDJ[Date]&lt;=$E$7),CsDJ[Credit])))+(SUM(IF((CRDJ[Sort Code]=(TRIM(G$4)))*(CRDJ[Account Code]=(TRIM($B45)))*(CRDJ[Date]&lt;=$E$7),CRDJ[Credit])))+(SUM(IF((GJ[Sort Code]=(TRIM(G$4)))*(GJ[Account Code]=(TRIM($B45)))*(GJ[Date]&lt;=$E$7),GJ[Credit]))))-((SUM(IF((CkDJ[Sort Code]=(TRIM(G$4)))*(CkDJ[Account Code]=(TRIM($B45)))*(CkDJ[Date]&lt;=$E$7),CkDJ[Debit])))+(SUM(IF((CsDJ[Sort Code]=(TRIM(G$4)))*(CsDJ[Account Code]=(TRIM($B45)))*(CsDJ[Date]&lt;=$E$7),CsDJ[Debit])))+(SUM(IF((CRDJ[Sort Code]=(TRIM(G$4)))*(CRDJ[Account Code]=(TRIM($B45)))*(CRDJ[Date]&lt;=$E$7),CRDJ[Debit])))+(SUM(IF((GJ[Sort Code]=(TRIM(G$4)))*(GJ[Account Code]=(TRIM($B45)))*(GJ[Date]&lt;=$E$7),GJ[Debit]))))</f>
        <v>0</v>
      </c>
      <c r="F45" s="245">
        <f t="array" ref="F45">((SUM(IF((CkDJ[Date]=$A$3)*(CkDJ[Sort Code]=(TRIM(G$4)))*(CkDJ[Account Code]=(TRIM($B45))),CkDJ[Credit])))+(SUM(IF((CsDJ[Date]=$A$3)*(CsDJ[Sort Code]=(TRIM(G$4)))*(CsDJ[Account Code]=(TRIM($B45))),CsDJ[Credit])))+(SUM(IF((CRDJ[Date]=$A$3)*(CRDJ[Sort Code]=(TRIM(G$4)))*(CRDJ[Account Code]=(TRIM($B45))),CRDJ[Credit])))+(SUM(IF((GJ[Date]=$A$3)*(GJ[Sort Code]=(TRIM(G$4)))*(GJ[Account Code]=(TRIM($B45))),GJ[Credit]))))-((SUM(IF((CkDJ[Date]=$A$3)*(CkDJ[Sort Code]=(TRIM(G$4)))*(CkDJ[Account Code]=(TRIM($B45))),CkDJ[Debit])))+(SUM(IF((CsDJ[Date]=$A$3)*(CsDJ[Sort Code]=(TRIM(G$4)))*(CsDJ[Account Code]=(TRIM($B45))),CsDJ[Debit])))+(SUM(IF((CRDJ[Date]=$A$3)*(CRDJ[Sort Code]=(TRIM(G$4)))*(CRDJ[Account Code]=(TRIM($B45))),CRDJ[Debit])))+(SUM(IF((GJ[Date]=$A$3)*(GJ[Sort Code]=(TRIM(G$4)))*(GJ[Account Code]=(TRIM($B45))),GJ[Debit]))))</f>
        <v>0</v>
      </c>
      <c r="G45" s="343">
        <f t="shared" si="4"/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((SUM(IF((CkDJ[Sort Code]=(TRIM(G$4)))*(CkDJ[Account Code]=(TRIM($B46))),CkDJ[Credit])))+(SUM(IF((CsDJ[Sort Code]=(TRIM(G$4)))*(CsDJ[Account Code]=(TRIM($B46))),CsDJ[Credit])))+(SUM(IF((CRDJ[Sort Code]=(TRIM(G$4)))*(CRDJ[Account Code]=(TRIM($B46))),CRDJ[Credit])))+(SUM(IF((GJ[Sort Code]=(TRIM(G$4)))*(GJ[Account Code]=(TRIM($B46))),GJ[Credit]))))-((SUM(IF((CkDJ[Sort Code]=(TRIM(G$4)))*(CkDJ[Account Code]=(TRIM($B46))),CkDJ[Debit])))+(SUM(IF((CsDJ[Sort Code]=(TRIM(G$4)))*(CsDJ[Account Code]=(TRIM($B46))),CsDJ[Debit])))+(SUM(IF((CRDJ[Sort Code]=(TRIM(G$4)))*(CRDJ[Account Code]=(TRIM($B46))),CRDJ[Debit])))+(SUM(IF((GJ[Sort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24712078.059999999</v>
      </c>
      <c r="D47" s="250">
        <f>D26+D27+D32+D36+D46</f>
        <v>24712078.059999999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>G47-D47</f>
        <v>-24712078.059999999</v>
      </c>
      <c r="I47" s="250">
        <f>IF((D47=0),0,G47/D47)</f>
        <v>0</v>
      </c>
    </row>
    <row r="48" spans="1:9" x14ac:dyDescent="0.2">
      <c r="A48" s="251" t="s">
        <v>813</v>
      </c>
      <c r="B48" s="338"/>
      <c r="C48" s="250">
        <f>C24+C47</f>
        <v>35612078.060000002</v>
      </c>
      <c r="D48" s="250">
        <f>D24+D47</f>
        <v>35612078.060000002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>G48-D48</f>
        <v>-35612078.060000002</v>
      </c>
      <c r="I48" s="250">
        <f>IF((D48=0),0,G48/D48)</f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28536327.399999999</v>
      </c>
      <c r="D50" s="242">
        <f>D51+D75</f>
        <v>28536327.399999999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ref="H50:H119" si="5">G50-D50</f>
        <v>-28536327.399999999</v>
      </c>
      <c r="I50" s="242">
        <f t="shared" ref="I50:I119" si="6">IF((D50=0),0,G50/D50)</f>
        <v>0</v>
      </c>
    </row>
    <row r="51" spans="1:9" x14ac:dyDescent="0.2">
      <c r="A51" s="243" t="s">
        <v>806</v>
      </c>
      <c r="B51" s="337"/>
      <c r="C51" s="246">
        <f>SUM(C52:C74)</f>
        <v>28536327.399999999</v>
      </c>
      <c r="D51" s="246">
        <f>SUM(D52:D74)</f>
        <v>28536327.399999999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5"/>
        <v>-28536327.399999999</v>
      </c>
      <c r="I51" s="246">
        <f t="shared" si="6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Code]=B52)*(Budget[Sort Code]=$G$4),(Budget[Amount])))</f>
        <v>17860514</v>
      </c>
      <c r="D52" s="245">
        <f t="array" ref="D52">SUM(IF((Budget[Account Code]=B52)*(Budget[Sort Code]=$G$4)*(Budget[Date]&lt;=$D$7),(Budget[Amount])))</f>
        <v>17860514</v>
      </c>
      <c r="E52" s="245">
        <f t="array" ref="E52">((SUM(IF((CkDJ[Sort Code]=(TRIM(G$4)))*(CkDJ[Account Code]=(TRIM($B52)))*(CkDJ[Date]&lt;=$E$7),CkDJ[Debit])))+(SUM(IF((CsDJ[Sort Code]=(TRIM(G$4)))*(CsDJ[Account Code]=(TRIM($B52)))*(CsDJ[Date]&lt;=$E$7),CsDJ[Debit])))+(SUM(IF((CRDJ[Sort Code]=(TRIM(G$4)))*(CRDJ[Account Code]=(TRIM($B52)))*(CRDJ[Date]&lt;=$E$7),CRDJ[Debit])))+(SUM(IF((GJ[Sort Code]=(TRIM(G$4)))*(GJ[Account Code]=(TRIM($B52)))*(GJ[Date]&lt;=$E$7),GJ[Debit]))))-((SUM(IF((CkDJ[Sort Code]=(TRIM(G$4)))*(CkDJ[Account Code]=(TRIM($B52)))*(CkDJ[Date]&lt;=$E$7),CkDJ[Credit])))+(SUM(IF((CsDJ[Sort Code]=(TRIM(G$4)))*(CsDJ[Account Code]=(TRIM($B52)))*(CsDJ[Date]&lt;=$E$7),CsDJ[Credit])))+(SUM(IF((CRDJ[Sort Code]=(TRIM(G$4)))*(CRDJ[Account Code]=(TRIM($B52)))*(CRDJ[Date]&lt;=$E$7),CRDJ[Credit])))+(SUM(IF((GJ[Sort Code]=(TRIM(G$4)))*(GJ[Account Code]=(TRIM($B52)))*(GJ[Date]&lt;=$E$7),GJ[Credit]))))</f>
        <v>0</v>
      </c>
      <c r="F52" s="245">
        <f t="array" ref="F52">((SUM(IF((CkDJ[Date]=$A$3)*(CkDJ[Sort Code]=(TRIM(G$4)))*(CkDJ[Account Code]=(TRIM($B52))),CkDJ[Debit])))+(SUM(IF((CsDJ[Date]=$A$3)*(CsDJ[Sort Code]=(TRIM(G$4)))*(CsDJ[Account Code]=(TRIM($B52))),CsDJ[Debit])))+(SUM(IF((CRDJ[Date]=$A$3)*(CRDJ[Sort Code]=(TRIM(G$4)))*(CRDJ[Account Code]=(TRIM($B52))),CRDJ[Debit])))+(SUM(IF((GJ[Date]=$A$3)*(GJ[Sort Code]=(TRIM(G$4)))*(GJ[Account Code]=(TRIM($B52))),GJ[Debit]))))-((SUM(IF((CkDJ[Date]=$A$3)*(CkDJ[Sort Code]=(TRIM(G$4)))*(CkDJ[Account Code]=(TRIM($B52))),CkDJ[Credit])))+(SUM(IF((CsDJ[Date]=$A$3)*(CsDJ[Sort Code]=(TRIM(G$4)))*(CsDJ[Account Code]=(TRIM($B52))),CsDJ[Credit])))+(SUM(IF((CRDJ[Date]=$A$3)*(CRDJ[Sort Code]=(TRIM(G$4)))*(CRDJ[Account Code]=(TRIM($B52))),CRDJ[Credit])))+(SUM(IF((GJ[Date]=$A$3)*(GJ[Sort Code]=(TRIM(G$4)))*(GJ[Account Code]=(TRIM($B52))),GJ[Credit]))))</f>
        <v>0</v>
      </c>
      <c r="G52" s="343">
        <f t="shared" ref="G52:G57" si="7">E52+F52</f>
        <v>0</v>
      </c>
      <c r="H52" s="246">
        <f t="shared" si="5"/>
        <v>-17860514</v>
      </c>
      <c r="I52" s="246">
        <f t="shared" si="6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Code]=B53)*(Budget[Sort Code]=$G$4),(Budget[Amount])))</f>
        <v>1885656</v>
      </c>
      <c r="D53" s="245">
        <f t="array" ref="D53">SUM(IF((Budget[Account Code]=B53)*(Budget[Sort Code]=$G$4)*(Budget[Date]&lt;=$D$7),(Budget[Amount])))</f>
        <v>1885656</v>
      </c>
      <c r="E53" s="245">
        <f t="array" ref="E53">((SUM(IF((CkDJ[Sort Code]=(TRIM(G$4)))*(CkDJ[Account Code]=(TRIM($B53)))*(CkDJ[Date]&lt;=$E$7),CkDJ[Debit])))+(SUM(IF((CsDJ[Sort Code]=(TRIM(G$4)))*(CsDJ[Account Code]=(TRIM($B53)))*(CsDJ[Date]&lt;=$E$7),CsDJ[Debit])))+(SUM(IF((CRDJ[Sort Code]=(TRIM(G$4)))*(CRDJ[Account Code]=(TRIM($B53)))*(CRDJ[Date]&lt;=$E$7),CRDJ[Debit])))+(SUM(IF((GJ[Sort Code]=(TRIM(G$4)))*(GJ[Account Code]=(TRIM($B53)))*(GJ[Date]&lt;=$E$7),GJ[Debit]))))-((SUM(IF((CkDJ[Sort Code]=(TRIM(G$4)))*(CkDJ[Account Code]=(TRIM($B53)))*(CkDJ[Date]&lt;=$E$7),CkDJ[Credit])))+(SUM(IF((CsDJ[Sort Code]=(TRIM(G$4)))*(CsDJ[Account Code]=(TRIM($B53)))*(CsDJ[Date]&lt;=$E$7),CsDJ[Credit])))+(SUM(IF((CRDJ[Sort Code]=(TRIM(G$4)))*(CRDJ[Account Code]=(TRIM($B53)))*(CRDJ[Date]&lt;=$E$7),CRDJ[Credit])))+(SUM(IF((GJ[Sort Code]=(TRIM(G$4)))*(GJ[Account Code]=(TRIM($B53)))*(GJ[Date]&lt;=$E$7),GJ[Credit]))))</f>
        <v>0</v>
      </c>
      <c r="F53" s="245">
        <f t="array" ref="F53">((SUM(IF((CkDJ[Date]=$A$3)*(CkDJ[Sort Code]=(TRIM(G$4)))*(CkDJ[Account Code]=(TRIM($B53))),CkDJ[Debit])))+(SUM(IF((CsDJ[Date]=$A$3)*(CsDJ[Sort Code]=(TRIM(G$4)))*(CsDJ[Account Code]=(TRIM($B53))),CsDJ[Debit])))+(SUM(IF((CRDJ[Date]=$A$3)*(CRDJ[Sort Code]=(TRIM(G$4)))*(CRDJ[Account Code]=(TRIM($B53))),CRDJ[Debit])))+(SUM(IF((GJ[Date]=$A$3)*(GJ[Sort Code]=(TRIM(G$4)))*(GJ[Account Code]=(TRIM($B53))),GJ[Debit]))))-((SUM(IF((CkDJ[Date]=$A$3)*(CkDJ[Sort Code]=(TRIM(G$4)))*(CkDJ[Account Code]=(TRIM($B53))),CkDJ[Credit])))+(SUM(IF((CsDJ[Date]=$A$3)*(CsDJ[Sort Code]=(TRIM(G$4)))*(CsDJ[Account Code]=(TRIM($B53))),CsDJ[Credit])))+(SUM(IF((CRDJ[Date]=$A$3)*(CRDJ[Sort Code]=(TRIM(G$4)))*(CRDJ[Account Code]=(TRIM($B53))),CRDJ[Credit])))+(SUM(IF((GJ[Date]=$A$3)*(GJ[Sort Code]=(TRIM(G$4)))*(GJ[Account Code]=(TRIM($B53))),GJ[Credit]))))</f>
        <v>0</v>
      </c>
      <c r="G53" s="343">
        <f t="shared" si="7"/>
        <v>0</v>
      </c>
      <c r="H53" s="246">
        <f t="shared" si="5"/>
        <v>-1885656</v>
      </c>
      <c r="I53" s="246">
        <f t="shared" si="6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Code]=B54)*(Budget[Sort Code]=$G$4),(Budget[Amount])))</f>
        <v>0</v>
      </c>
      <c r="D54" s="245">
        <f t="array" ref="D54">SUM(IF((Budget[Account Code]=B54)*(Budget[Sort Code]=$G$4)*(Budget[Date]&lt;=$D$7),(Budget[Amount])))</f>
        <v>0</v>
      </c>
      <c r="E54" s="245">
        <f t="array" ref="E54">((SUM(IF((CkDJ[Sort Code]=(TRIM(G$4)))*(CkDJ[Account Code]=(TRIM($B54)))*(CkDJ[Date]&lt;=$E$7),CkDJ[Debit])))+(SUM(IF((CsDJ[Sort Code]=(TRIM(G$4)))*(CsDJ[Account Code]=(TRIM($B54)))*(CsDJ[Date]&lt;=$E$7),CsDJ[Debit])))+(SUM(IF((CRDJ[Sort Code]=(TRIM(G$4)))*(CRDJ[Account Code]=(TRIM($B54)))*(CRDJ[Date]&lt;=$E$7),CRDJ[Debit])))+(SUM(IF((GJ[Sort Code]=(TRIM(G$4)))*(GJ[Account Code]=(TRIM($B54)))*(GJ[Date]&lt;=$E$7),GJ[Debit]))))-((SUM(IF((CkDJ[Sort Code]=(TRIM(G$4)))*(CkDJ[Account Code]=(TRIM($B54)))*(CkDJ[Date]&lt;=$E$7),CkDJ[Credit])))+(SUM(IF((CsDJ[Sort Code]=(TRIM(G$4)))*(CsDJ[Account Code]=(TRIM($B54)))*(CsDJ[Date]&lt;=$E$7),CsDJ[Credit])))+(SUM(IF((CRDJ[Sort Code]=(TRIM(G$4)))*(CRDJ[Account Code]=(TRIM($B54)))*(CRDJ[Date]&lt;=$E$7),CRDJ[Credit])))+(SUM(IF((GJ[Sort Code]=(TRIM(G$4)))*(GJ[Account Code]=(TRIM($B54)))*(GJ[Date]&lt;=$E$7),GJ[Credit]))))</f>
        <v>0</v>
      </c>
      <c r="F54" s="245">
        <f t="array" ref="F54">((SUM(IF((CkDJ[Date]=$A$3)*(CkDJ[Sort Code]=(TRIM(G$4)))*(CkDJ[Account Code]=(TRIM($B54))),CkDJ[Debit])))+(SUM(IF((CsDJ[Date]=$A$3)*(CsDJ[Sort Code]=(TRIM(G$4)))*(CsDJ[Account Code]=(TRIM($B54))),CsDJ[Debit])))+(SUM(IF((CRDJ[Date]=$A$3)*(CRDJ[Sort Code]=(TRIM(G$4)))*(CRDJ[Account Code]=(TRIM($B54))),CRDJ[Debit])))+(SUM(IF((GJ[Date]=$A$3)*(GJ[Sort Code]=(TRIM(G$4)))*(GJ[Account Code]=(TRIM($B54))),GJ[Debit]))))-((SUM(IF((CkDJ[Date]=$A$3)*(CkDJ[Sort Code]=(TRIM(G$4)))*(CkDJ[Account Code]=(TRIM($B54))),CkDJ[Credit])))+(SUM(IF((CsDJ[Date]=$A$3)*(CsDJ[Sort Code]=(TRIM(G$4)))*(CsDJ[Account Code]=(TRIM($B54))),CsDJ[Credit])))+(SUM(IF((CRDJ[Date]=$A$3)*(CRDJ[Sort Code]=(TRIM(G$4)))*(CRDJ[Account Code]=(TRIM($B54))),CRDJ[Credit])))+(SUM(IF((GJ[Date]=$A$3)*(GJ[Sort Code]=(TRIM(G$4)))*(GJ[Account Code]=(TRIM($B54))),GJ[Credit]))))</f>
        <v>0</v>
      </c>
      <c r="G54" s="343">
        <f t="shared" si="7"/>
        <v>0</v>
      </c>
      <c r="H54" s="246">
        <f t="shared" si="5"/>
        <v>0</v>
      </c>
      <c r="I54" s="246">
        <f t="shared" si="6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Code]=B55)*(Budget[Sort Code]=$G$4),(Budget[Amount])))</f>
        <v>1800000</v>
      </c>
      <c r="D55" s="245">
        <f t="array" ref="D55">SUM(IF((Budget[Account Code]=B55)*(Budget[Sort Code]=$G$4)*(Budget[Date]&lt;=$D$7),(Budget[Amount])))</f>
        <v>1800000</v>
      </c>
      <c r="E55" s="245">
        <f t="array" ref="E55">((SUM(IF((CkDJ[Sort Code]=(TRIM(G$4)))*(CkDJ[Account Code]=(TRIM($B55)))*(CkDJ[Date]&lt;=$E$7),CkDJ[Debit])))+(SUM(IF((CsDJ[Sort Code]=(TRIM(G$4)))*(CsDJ[Account Code]=(TRIM($B55)))*(CsDJ[Date]&lt;=$E$7),CsDJ[Debit])))+(SUM(IF((CRDJ[Sort Code]=(TRIM(G$4)))*(CRDJ[Account Code]=(TRIM($B55)))*(CRDJ[Date]&lt;=$E$7),CRDJ[Debit])))+(SUM(IF((GJ[Sort Code]=(TRIM(G$4)))*(GJ[Account Code]=(TRIM($B55)))*(GJ[Date]&lt;=$E$7),GJ[Debit]))))-((SUM(IF((CkDJ[Sort Code]=(TRIM(G$4)))*(CkDJ[Account Code]=(TRIM($B55)))*(CkDJ[Date]&lt;=$E$7),CkDJ[Credit])))+(SUM(IF((CsDJ[Sort Code]=(TRIM(G$4)))*(CsDJ[Account Code]=(TRIM($B55)))*(CsDJ[Date]&lt;=$E$7),CsDJ[Credit])))+(SUM(IF((CRDJ[Sort Code]=(TRIM(G$4)))*(CRDJ[Account Code]=(TRIM($B55)))*(CRDJ[Date]&lt;=$E$7),CRDJ[Credit])))+(SUM(IF((GJ[Sort Code]=(TRIM(G$4)))*(GJ[Account Code]=(TRIM($B55)))*(GJ[Date]&lt;=$E$7),GJ[Credit]))))</f>
        <v>0</v>
      </c>
      <c r="F55" s="245">
        <f t="array" ref="F55">((SUM(IF((CkDJ[Date]=$A$3)*(CkDJ[Sort Code]=(TRIM(G$4)))*(CkDJ[Account Code]=(TRIM($B55))),CkDJ[Debit])))+(SUM(IF((CsDJ[Date]=$A$3)*(CsDJ[Sort Code]=(TRIM(G$4)))*(CsDJ[Account Code]=(TRIM($B55))),CsDJ[Debit])))+(SUM(IF((CRDJ[Date]=$A$3)*(CRDJ[Sort Code]=(TRIM(G$4)))*(CRDJ[Account Code]=(TRIM($B55))),CRDJ[Debit])))+(SUM(IF((GJ[Date]=$A$3)*(GJ[Sort Code]=(TRIM(G$4)))*(GJ[Account Code]=(TRIM($B55))),GJ[Debit]))))-((SUM(IF((CkDJ[Date]=$A$3)*(CkDJ[Sort Code]=(TRIM(G$4)))*(CkDJ[Account Code]=(TRIM($B55))),CkDJ[Credit])))+(SUM(IF((CsDJ[Date]=$A$3)*(CsDJ[Sort Code]=(TRIM(G$4)))*(CsDJ[Account Code]=(TRIM($B55))),CsDJ[Credit])))+(SUM(IF((CRDJ[Date]=$A$3)*(CRDJ[Sort Code]=(TRIM(G$4)))*(CRDJ[Account Code]=(TRIM($B55))),CRDJ[Credit])))+(SUM(IF((GJ[Date]=$A$3)*(GJ[Sort Code]=(TRIM(G$4)))*(GJ[Account Code]=(TRIM($B55))),GJ[Credit]))))</f>
        <v>0</v>
      </c>
      <c r="G55" s="343">
        <f t="shared" si="7"/>
        <v>0</v>
      </c>
      <c r="H55" s="246">
        <f t="shared" si="5"/>
        <v>-1800000</v>
      </c>
      <c r="I55" s="246">
        <f t="shared" si="6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Code]=B56)*(Budget[Sort Code]=$G$4),(Budget[Amount])))</f>
        <v>60000</v>
      </c>
      <c r="D56" s="245">
        <f t="array" ref="D56">SUM(IF((Budget[Account Code]=B56)*(Budget[Sort Code]=$G$4)*(Budget[Date]&lt;=$D$7),(Budget[Amount])))</f>
        <v>60000</v>
      </c>
      <c r="E56" s="245">
        <f t="array" ref="E56">((SUM(IF((CkDJ[Sort Code]=(TRIM(G$4)))*(CkDJ[Account Code]=(TRIM($B56)))*(CkDJ[Date]&lt;=$E$7),CkDJ[Debit])))+(SUM(IF((CsDJ[Sort Code]=(TRIM(G$4)))*(CsDJ[Account Code]=(TRIM($B56)))*(CsDJ[Date]&lt;=$E$7),CsDJ[Debit])))+(SUM(IF((CRDJ[Sort Code]=(TRIM(G$4)))*(CRDJ[Account Code]=(TRIM($B56)))*(CRDJ[Date]&lt;=$E$7),CRDJ[Debit])))+(SUM(IF((GJ[Sort Code]=(TRIM(G$4)))*(GJ[Account Code]=(TRIM($B56)))*(GJ[Date]&lt;=$E$7),GJ[Debit]))))-((SUM(IF((CkDJ[Sort Code]=(TRIM(G$4)))*(CkDJ[Account Code]=(TRIM($B56)))*(CkDJ[Date]&lt;=$E$7),CkDJ[Credit])))+(SUM(IF((CsDJ[Sort Code]=(TRIM(G$4)))*(CsDJ[Account Code]=(TRIM($B56)))*(CsDJ[Date]&lt;=$E$7),CsDJ[Credit])))+(SUM(IF((CRDJ[Sort Code]=(TRIM(G$4)))*(CRDJ[Account Code]=(TRIM($B56)))*(CRDJ[Date]&lt;=$E$7),CRDJ[Credit])))+(SUM(IF((GJ[Sort Code]=(TRIM(G$4)))*(GJ[Account Code]=(TRIM($B56)))*(GJ[Date]&lt;=$E$7),GJ[Credit]))))</f>
        <v>0</v>
      </c>
      <c r="F56" s="245">
        <f t="array" ref="F56">((SUM(IF((CkDJ[Date]=$A$3)*(CkDJ[Sort Code]=(TRIM(G$4)))*(CkDJ[Account Code]=(TRIM($B56))),CkDJ[Debit])))+(SUM(IF((CsDJ[Date]=$A$3)*(CsDJ[Sort Code]=(TRIM(G$4)))*(CsDJ[Account Code]=(TRIM($B56))),CsDJ[Debit])))+(SUM(IF((CRDJ[Date]=$A$3)*(CRDJ[Sort Code]=(TRIM(G$4)))*(CRDJ[Account Code]=(TRIM($B56))),CRDJ[Debit])))+(SUM(IF((GJ[Date]=$A$3)*(GJ[Sort Code]=(TRIM(G$4)))*(GJ[Account Code]=(TRIM($B56))),GJ[Debit]))))-((SUM(IF((CkDJ[Date]=$A$3)*(CkDJ[Sort Code]=(TRIM(G$4)))*(CkDJ[Account Code]=(TRIM($B56))),CkDJ[Credit])))+(SUM(IF((CsDJ[Date]=$A$3)*(CsDJ[Sort Code]=(TRIM(G$4)))*(CsDJ[Account Code]=(TRIM($B56))),CsDJ[Credit])))+(SUM(IF((CRDJ[Date]=$A$3)*(CRDJ[Sort Code]=(TRIM(G$4)))*(CRDJ[Account Code]=(TRIM($B56))),CRDJ[Credit])))+(SUM(IF((GJ[Date]=$A$3)*(GJ[Sort Code]=(TRIM(G$4)))*(GJ[Account Code]=(TRIM($B56))),GJ[Credit]))))</f>
        <v>0</v>
      </c>
      <c r="G56" s="343">
        <f t="shared" si="7"/>
        <v>0</v>
      </c>
      <c r="H56" s="246">
        <f t="shared" si="5"/>
        <v>-60000</v>
      </c>
      <c r="I56" s="246">
        <f t="shared" si="6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Code]=B57)*(Budget[Sort Code]=$G$4),(Budget[Amount])))</f>
        <v>0</v>
      </c>
      <c r="D57" s="245">
        <f t="array" ref="D57">SUM(IF((Budget[Account Code]=B57)*(Budget[Sort Code]=$G$4)*(Budget[Date]&lt;=$D$7),(Budget[Amount])))</f>
        <v>0</v>
      </c>
      <c r="E57" s="245">
        <f t="array" ref="E57">((SUM(IF((CkDJ[Sort Code]=(TRIM(G$4)))*(CkDJ[Account Code]=(TRIM($B57)))*(CkDJ[Date]&lt;=$E$7),CkDJ[Debit])))+(SUM(IF((CsDJ[Sort Code]=(TRIM(G$4)))*(CsDJ[Account Code]=(TRIM($B57)))*(CsDJ[Date]&lt;=$E$7),CsDJ[Debit])))+(SUM(IF((CRDJ[Sort Code]=(TRIM(G$4)))*(CRDJ[Account Code]=(TRIM($B57)))*(CRDJ[Date]&lt;=$E$7),CRDJ[Debit])))+(SUM(IF((GJ[Sort Code]=(TRIM(G$4)))*(GJ[Account Code]=(TRIM($B57)))*(GJ[Date]&lt;=$E$7),GJ[Debit]))))-((SUM(IF((CkDJ[Sort Code]=(TRIM(G$4)))*(CkDJ[Account Code]=(TRIM($B57)))*(CkDJ[Date]&lt;=$E$7),CkDJ[Credit])))+(SUM(IF((CsDJ[Sort Code]=(TRIM(G$4)))*(CsDJ[Account Code]=(TRIM($B57)))*(CsDJ[Date]&lt;=$E$7),CsDJ[Credit])))+(SUM(IF((CRDJ[Sort Code]=(TRIM(G$4)))*(CRDJ[Account Code]=(TRIM($B57)))*(CRDJ[Date]&lt;=$E$7),CRDJ[Credit])))+(SUM(IF((GJ[Sort Code]=(TRIM(G$4)))*(GJ[Account Code]=(TRIM($B57)))*(GJ[Date]&lt;=$E$7),GJ[Credit]))))</f>
        <v>0</v>
      </c>
      <c r="F57" s="245">
        <f t="array" ref="F57">((SUM(IF((CkDJ[Date]=$A$3)*(CkDJ[Sort Code]=(TRIM(G$4)))*(CkDJ[Account Code]=(TRIM($B57))),CkDJ[Debit])))+(SUM(IF((CsDJ[Date]=$A$3)*(CsDJ[Sort Code]=(TRIM(G$4)))*(CsDJ[Account Code]=(TRIM($B57))),CsDJ[Debit])))+(SUM(IF((CRDJ[Date]=$A$3)*(CRDJ[Sort Code]=(TRIM(G$4)))*(CRDJ[Account Code]=(TRIM($B57))),CRDJ[Debit])))+(SUM(IF((GJ[Date]=$A$3)*(GJ[Sort Code]=(TRIM(G$4)))*(GJ[Account Code]=(TRIM($B57))),GJ[Debit]))))-((SUM(IF((CkDJ[Date]=$A$3)*(CkDJ[Sort Code]=(TRIM(G$4)))*(CkDJ[Account Code]=(TRIM($B57))),CkDJ[Credit])))+(SUM(IF((CsDJ[Date]=$A$3)*(CsDJ[Sort Code]=(TRIM(G$4)))*(CsDJ[Account Code]=(TRIM($B57))),CsDJ[Credit])))+(SUM(IF((CRDJ[Date]=$A$3)*(CRDJ[Sort Code]=(TRIM(G$4)))*(CRDJ[Account Code]=(TRIM($B57))),CRDJ[Credit])))+(SUM(IF((GJ[Date]=$A$3)*(GJ[Sort Code]=(TRIM(G$4)))*(GJ[Account Code]=(TRIM($B57))),GJ[Credit]))))</f>
        <v>0</v>
      </c>
      <c r="G57" s="343">
        <f t="shared" si="7"/>
        <v>0</v>
      </c>
      <c r="H57" s="246">
        <f t="shared" si="5"/>
        <v>0</v>
      </c>
      <c r="I57" s="246">
        <f t="shared" si="6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Code]=B58)*(Budget[Sort Code]=$G$4),(Budget[Amount])))</f>
        <v>375000</v>
      </c>
      <c r="D58" s="245">
        <f t="array" ref="D58">SUM(IF((Budget[Account Code]=B58)*(Budget[Sort Code]=$G$4)*(Budget[Date]&lt;=$D$7),(Budget[Amount])))</f>
        <v>375000</v>
      </c>
      <c r="E58" s="245">
        <f t="array" ref="E58">((SUM(IF((CkDJ[Sort Code]=(TRIM(G$4)))*(CkDJ[Account Code]=(TRIM($B58)))*(CkDJ[Date]&lt;=$E$7),CkDJ[Debit])))+(SUM(IF((CsDJ[Sort Code]=(TRIM(G$4)))*(CsDJ[Account Code]=(TRIM($B58)))*(CsDJ[Date]&lt;=$E$7),CsDJ[Debit])))+(SUM(IF((CRDJ[Sort Code]=(TRIM(G$4)))*(CRDJ[Account Code]=(TRIM($B58)))*(CRDJ[Date]&lt;=$E$7),CRDJ[Debit])))+(SUM(IF((GJ[Sort Code]=(TRIM(G$4)))*(GJ[Account Code]=(TRIM($B58)))*(GJ[Date]&lt;=$E$7),GJ[Debit]))))-((SUM(IF((CkDJ[Sort Code]=(TRIM(G$4)))*(CkDJ[Account Code]=(TRIM($B58)))*(CkDJ[Date]&lt;=$E$7),CkDJ[Credit])))+(SUM(IF((CsDJ[Sort Code]=(TRIM(G$4)))*(CsDJ[Account Code]=(TRIM($B58)))*(CsDJ[Date]&lt;=$E$7),CsDJ[Credit])))+(SUM(IF((CRDJ[Sort Code]=(TRIM(G$4)))*(CRDJ[Account Code]=(TRIM($B58)))*(CRDJ[Date]&lt;=$E$7),CRDJ[Credit])))+(SUM(IF((GJ[Sort Code]=(TRIM(G$4)))*(GJ[Account Code]=(TRIM($B58)))*(GJ[Date]&lt;=$E$7),GJ[Credit]))))</f>
        <v>0</v>
      </c>
      <c r="F58" s="245">
        <f t="array" ref="F58">((SUM(IF((CkDJ[Date]=$A$3)*(CkDJ[Sort Code]=(TRIM(G$4)))*(CkDJ[Account Code]=(TRIM($B58))),CkDJ[Debit])))+(SUM(IF((CsDJ[Date]=$A$3)*(CsDJ[Sort Code]=(TRIM(G$4)))*(CsDJ[Account Code]=(TRIM($B58))),CsDJ[Debit])))+(SUM(IF((CRDJ[Date]=$A$3)*(CRDJ[Sort Code]=(TRIM(G$4)))*(CRDJ[Account Code]=(TRIM($B58))),CRDJ[Debit])))+(SUM(IF((GJ[Date]=$A$3)*(GJ[Sort Code]=(TRIM(G$4)))*(GJ[Account Code]=(TRIM($B58))),GJ[Debit]))))-((SUM(IF((CkDJ[Date]=$A$3)*(CkDJ[Sort Code]=(TRIM(G$4)))*(CkDJ[Account Code]=(TRIM($B58))),CkDJ[Credit])))+(SUM(IF((CsDJ[Date]=$A$3)*(CsDJ[Sort Code]=(TRIM(G$4)))*(CsDJ[Account Code]=(TRIM($B58))),CsDJ[Credit])))+(SUM(IF((CRDJ[Date]=$A$3)*(CRDJ[Sort Code]=(TRIM(G$4)))*(CRDJ[Account Code]=(TRIM($B58))),CRDJ[Credit])))+(SUM(IF((GJ[Date]=$A$3)*(GJ[Sort Code]=(TRIM(G$4)))*(GJ[Account Code]=(TRIM($B58))),GJ[Credit]))))</f>
        <v>0</v>
      </c>
      <c r="G58" s="343">
        <f>E58+F58</f>
        <v>0</v>
      </c>
      <c r="H58" s="246">
        <f t="shared" si="5"/>
        <v>-375000</v>
      </c>
      <c r="I58" s="246">
        <f t="shared" si="6"/>
        <v>0</v>
      </c>
    </row>
    <row r="59" spans="1:9" hidden="1" x14ac:dyDescent="0.2">
      <c r="A59" s="247" t="s">
        <v>1476</v>
      </c>
      <c r="B59" s="339" t="s">
        <v>1262</v>
      </c>
      <c r="C59" s="245">
        <f t="array" ref="C59">SUM(IF((Budget[Account Code]=B59)*(Budget[Sort Code]=$G$4),(Budget[Amount])))</f>
        <v>0</v>
      </c>
      <c r="D59" s="245">
        <f t="array" ref="D59">SUM(IF((Budget[Account Code]=B59)*(Budget[Sort Code]=$G$4)*(Budget[Date]&lt;=$D$7),(Budget[Amount])))</f>
        <v>0</v>
      </c>
      <c r="E59" s="245">
        <f t="array" ref="E59">((SUM(IF((CkDJ[Sort Code]=(TRIM(G$4)))*(CkDJ[Account Code]=(TRIM($B59)))*(CkDJ[Date]&lt;=$E$7),CkDJ[Debit])))+(SUM(IF((CsDJ[Sort Code]=(TRIM(G$4)))*(CsDJ[Account Code]=(TRIM($B59)))*(CsDJ[Date]&lt;=$E$7),CsDJ[Debit])))+(SUM(IF((CRDJ[Sort Code]=(TRIM(G$4)))*(CRDJ[Account Code]=(TRIM($B59)))*(CRDJ[Date]&lt;=$E$7),CRDJ[Debit])))+(SUM(IF((GJ[Sort Code]=(TRIM(G$4)))*(GJ[Account Code]=(TRIM($B59)))*(GJ[Date]&lt;=$E$7),GJ[Debit]))))-((SUM(IF((CkDJ[Sort Code]=(TRIM(G$4)))*(CkDJ[Account Code]=(TRIM($B59)))*(CkDJ[Date]&lt;=$E$7),CkDJ[Credit])))+(SUM(IF((CsDJ[Sort Code]=(TRIM(G$4)))*(CsDJ[Account Code]=(TRIM($B59)))*(CsDJ[Date]&lt;=$E$7),CsDJ[Credit])))+(SUM(IF((CRDJ[Sort Code]=(TRIM(G$4)))*(CRDJ[Account Code]=(TRIM($B59)))*(CRDJ[Date]&lt;=$E$7),CRDJ[Credit])))+(SUM(IF((GJ[Sort Code]=(TRIM(G$4)))*(GJ[Account Code]=(TRIM($B59)))*(GJ[Date]&lt;=$E$7),GJ[Credit]))))</f>
        <v>0</v>
      </c>
      <c r="F59" s="245">
        <f t="array" ref="F59">((SUM(IF((CkDJ[Date]=$A$3)*(CkDJ[Sort Code]=(TRIM(G$4)))*(CkDJ[Account Code]=(TRIM($B59))),CkDJ[Debit])))+(SUM(IF((CsDJ[Date]=$A$3)*(CsDJ[Sort Code]=(TRIM(G$4)))*(CsDJ[Account Code]=(TRIM($B59))),CsDJ[Debit])))+(SUM(IF((CRDJ[Date]=$A$3)*(CRDJ[Sort Code]=(TRIM(G$4)))*(CRDJ[Account Code]=(TRIM($B59))),CRDJ[Debit])))+(SUM(IF((GJ[Date]=$A$3)*(GJ[Sort Code]=(TRIM(G$4)))*(GJ[Account Code]=(TRIM($B59))),GJ[Debit]))))-((SUM(IF((CkDJ[Date]=$A$3)*(CkDJ[Sort Code]=(TRIM(G$4)))*(CkDJ[Account Code]=(TRIM($B59))),CkDJ[Credit])))+(SUM(IF((CsDJ[Date]=$A$3)*(CsDJ[Sort Code]=(TRIM(G$4)))*(CsDJ[Account Code]=(TRIM($B59))),CsDJ[Credit])))+(SUM(IF((CRDJ[Date]=$A$3)*(CRDJ[Sort Code]=(TRIM(G$4)))*(CRDJ[Account Code]=(TRIM($B59))),CRDJ[Credit])))+(SUM(IF((GJ[Date]=$A$3)*(GJ[Sort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Code]=B60)*(Budget[Sort Code]=$G$4),(Budget[Amount])))</f>
        <v>0</v>
      </c>
      <c r="D60" s="245">
        <f t="array" ref="D60">SUM(IF((Budget[Account Code]=B60)*(Budget[Sort Code]=$G$4)*(Budget[Date]&lt;=$D$7),(Budget[Amount])))</f>
        <v>0</v>
      </c>
      <c r="E60" s="245">
        <f t="array" ref="E60">((SUM(IF((CkDJ[Sort Code]=(TRIM(G$4)))*(CkDJ[Account Code]=(TRIM($B60)))*(CkDJ[Date]&lt;=$E$7),CkDJ[Debit])))+(SUM(IF((CsDJ[Sort Code]=(TRIM(G$4)))*(CsDJ[Account Code]=(TRIM($B60)))*(CsDJ[Date]&lt;=$E$7),CsDJ[Debit])))+(SUM(IF((CRDJ[Sort Code]=(TRIM(G$4)))*(CRDJ[Account Code]=(TRIM($B60)))*(CRDJ[Date]&lt;=$E$7),CRDJ[Debit])))+(SUM(IF((GJ[Sort Code]=(TRIM(G$4)))*(GJ[Account Code]=(TRIM($B60)))*(GJ[Date]&lt;=$E$7),GJ[Debit]))))-((SUM(IF((CkDJ[Sort Code]=(TRIM(G$4)))*(CkDJ[Account Code]=(TRIM($B60)))*(CkDJ[Date]&lt;=$E$7),CkDJ[Credit])))+(SUM(IF((CsDJ[Sort Code]=(TRIM(G$4)))*(CsDJ[Account Code]=(TRIM($B60)))*(CsDJ[Date]&lt;=$E$7),CsDJ[Credit])))+(SUM(IF((CRDJ[Sort Code]=(TRIM(G$4)))*(CRDJ[Account Code]=(TRIM($B60)))*(CRDJ[Date]&lt;=$E$7),CRDJ[Credit])))+(SUM(IF((GJ[Sort Code]=(TRIM(G$4)))*(GJ[Account Code]=(TRIM($B60)))*(GJ[Date]&lt;=$E$7),GJ[Credit]))))</f>
        <v>0</v>
      </c>
      <c r="F60" s="245">
        <f t="array" ref="F60">((SUM(IF((CkDJ[Date]=$A$3)*(CkDJ[Sort Code]=(TRIM(G$4)))*(CkDJ[Account Code]=(TRIM($B60))),CkDJ[Debit])))+(SUM(IF((CsDJ[Date]=$A$3)*(CsDJ[Sort Code]=(TRIM(G$4)))*(CsDJ[Account Code]=(TRIM($B60))),CsDJ[Debit])))+(SUM(IF((CRDJ[Date]=$A$3)*(CRDJ[Sort Code]=(TRIM(G$4)))*(CRDJ[Account Code]=(TRIM($B60))),CRDJ[Debit])))+(SUM(IF((GJ[Date]=$A$3)*(GJ[Sort Code]=(TRIM(G$4)))*(GJ[Account Code]=(TRIM($B60))),GJ[Debit]))))-((SUM(IF((CkDJ[Date]=$A$3)*(CkDJ[Sort Code]=(TRIM(G$4)))*(CkDJ[Account Code]=(TRIM($B60))),CkDJ[Credit])))+(SUM(IF((CsDJ[Date]=$A$3)*(CsDJ[Sort Code]=(TRIM(G$4)))*(CsDJ[Account Code]=(TRIM($B60))),CsDJ[Credit])))+(SUM(IF((CRDJ[Date]=$A$3)*(CRDJ[Sort Code]=(TRIM(G$4)))*(CRDJ[Account Code]=(TRIM($B60))),CRDJ[Credit])))+(SUM(IF((GJ[Date]=$A$3)*(GJ[Sort Code]=(TRIM(G$4)))*(GJ[Account Code]=(TRIM($B60))),GJ[Credit]))))</f>
        <v>0</v>
      </c>
      <c r="G60" s="343">
        <f t="shared" ref="G60:G74" si="8">E60+F60</f>
        <v>0</v>
      </c>
      <c r="H60" s="246">
        <f t="shared" si="5"/>
        <v>0</v>
      </c>
      <c r="I60" s="246">
        <f t="shared" si="6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Code]=B61)*(Budget[Sort Code]=$G$4),(Budget[Amount])))</f>
        <v>84000</v>
      </c>
      <c r="D61" s="245">
        <f t="array" ref="D61">SUM(IF((Budget[Account Code]=B61)*(Budget[Sort Code]=$G$4)*(Budget[Date]&lt;=$D$7),(Budget[Amount])))</f>
        <v>84000</v>
      </c>
      <c r="E61" s="245">
        <f t="array" ref="E61">((SUM(IF((CkDJ[Sort Code]=(TRIM(G$4)))*(CkDJ[Account Code]=(TRIM($B61)))*(CkDJ[Date]&lt;=$E$7),CkDJ[Debit])))+(SUM(IF((CsDJ[Sort Code]=(TRIM(G$4)))*(CsDJ[Account Code]=(TRIM($B61)))*(CsDJ[Date]&lt;=$E$7),CsDJ[Debit])))+(SUM(IF((CRDJ[Sort Code]=(TRIM(G$4)))*(CRDJ[Account Code]=(TRIM($B61)))*(CRDJ[Date]&lt;=$E$7),CRDJ[Debit])))+(SUM(IF((GJ[Sort Code]=(TRIM(G$4)))*(GJ[Account Code]=(TRIM($B61)))*(GJ[Date]&lt;=$E$7),GJ[Debit]))))-((SUM(IF((CkDJ[Sort Code]=(TRIM(G$4)))*(CkDJ[Account Code]=(TRIM($B61)))*(CkDJ[Date]&lt;=$E$7),CkDJ[Credit])))+(SUM(IF((CsDJ[Sort Code]=(TRIM(G$4)))*(CsDJ[Account Code]=(TRIM($B61)))*(CsDJ[Date]&lt;=$E$7),CsDJ[Credit])))+(SUM(IF((CRDJ[Sort Code]=(TRIM(G$4)))*(CRDJ[Account Code]=(TRIM($B61)))*(CRDJ[Date]&lt;=$E$7),CRDJ[Credit])))+(SUM(IF((GJ[Sort Code]=(TRIM(G$4)))*(GJ[Account Code]=(TRIM($B61)))*(GJ[Date]&lt;=$E$7),GJ[Credit]))))</f>
        <v>0</v>
      </c>
      <c r="F61" s="245">
        <f t="array" ref="F61">((SUM(IF((CkDJ[Date]=$A$3)*(CkDJ[Sort Code]=(TRIM(G$4)))*(CkDJ[Account Code]=(TRIM($B61))),CkDJ[Debit])))+(SUM(IF((CsDJ[Date]=$A$3)*(CsDJ[Sort Code]=(TRIM(G$4)))*(CsDJ[Account Code]=(TRIM($B61))),CsDJ[Debit])))+(SUM(IF((CRDJ[Date]=$A$3)*(CRDJ[Sort Code]=(TRIM(G$4)))*(CRDJ[Account Code]=(TRIM($B61))),CRDJ[Debit])))+(SUM(IF((GJ[Date]=$A$3)*(GJ[Sort Code]=(TRIM(G$4)))*(GJ[Account Code]=(TRIM($B61))),GJ[Debit]))))-((SUM(IF((CkDJ[Date]=$A$3)*(CkDJ[Sort Code]=(TRIM(G$4)))*(CkDJ[Account Code]=(TRIM($B61))),CkDJ[Credit])))+(SUM(IF((CsDJ[Date]=$A$3)*(CsDJ[Sort Code]=(TRIM(G$4)))*(CsDJ[Account Code]=(TRIM($B61))),CsDJ[Credit])))+(SUM(IF((CRDJ[Date]=$A$3)*(CRDJ[Sort Code]=(TRIM(G$4)))*(CRDJ[Account Code]=(TRIM($B61))),CRDJ[Credit])))+(SUM(IF((GJ[Date]=$A$3)*(GJ[Sort Code]=(TRIM(G$4)))*(GJ[Account Code]=(TRIM($B61))),GJ[Credit]))))</f>
        <v>0</v>
      </c>
      <c r="G61" s="343">
        <f t="shared" si="8"/>
        <v>0</v>
      </c>
      <c r="H61" s="246">
        <f t="shared" si="5"/>
        <v>-84000</v>
      </c>
      <c r="I61" s="246">
        <f t="shared" si="6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Code]=B62)*(Budget[Sort Code]=$G$4),(Budget[Amount])))</f>
        <v>27684</v>
      </c>
      <c r="D62" s="245">
        <f t="array" ref="D62">SUM(IF((Budget[Account Code]=B62)*(Budget[Sort Code]=$G$4)*(Budget[Date]&lt;=$D$7),(Budget[Amount])))</f>
        <v>27684</v>
      </c>
      <c r="E62" s="245">
        <f t="array" ref="E62">((SUM(IF((CkDJ[Sort Code]=(TRIM(G$4)))*(CkDJ[Account Code]=(TRIM($B62)))*(CkDJ[Date]&lt;=$E$7),CkDJ[Debit])))+(SUM(IF((CsDJ[Sort Code]=(TRIM(G$4)))*(CsDJ[Account Code]=(TRIM($B62)))*(CsDJ[Date]&lt;=$E$7),CsDJ[Debit])))+(SUM(IF((CRDJ[Sort Code]=(TRIM(G$4)))*(CRDJ[Account Code]=(TRIM($B62)))*(CRDJ[Date]&lt;=$E$7),CRDJ[Debit])))+(SUM(IF((GJ[Sort Code]=(TRIM(G$4)))*(GJ[Account Code]=(TRIM($B62)))*(GJ[Date]&lt;=$E$7),GJ[Debit]))))-((SUM(IF((CkDJ[Sort Code]=(TRIM(G$4)))*(CkDJ[Account Code]=(TRIM($B62)))*(CkDJ[Date]&lt;=$E$7),CkDJ[Credit])))+(SUM(IF((CsDJ[Sort Code]=(TRIM(G$4)))*(CsDJ[Account Code]=(TRIM($B62)))*(CsDJ[Date]&lt;=$E$7),CsDJ[Credit])))+(SUM(IF((CRDJ[Sort Code]=(TRIM(G$4)))*(CRDJ[Account Code]=(TRIM($B62)))*(CRDJ[Date]&lt;=$E$7),CRDJ[Credit])))+(SUM(IF((GJ[Sort Code]=(TRIM(G$4)))*(GJ[Account Code]=(TRIM($B62)))*(GJ[Date]&lt;=$E$7),GJ[Credit]))))</f>
        <v>0</v>
      </c>
      <c r="F62" s="245">
        <f t="array" ref="F62">((SUM(IF((CkDJ[Date]=$A$3)*(CkDJ[Sort Code]=(TRIM(G$4)))*(CkDJ[Account Code]=(TRIM($B62))),CkDJ[Debit])))+(SUM(IF((CsDJ[Date]=$A$3)*(CsDJ[Sort Code]=(TRIM(G$4)))*(CsDJ[Account Code]=(TRIM($B62))),CsDJ[Debit])))+(SUM(IF((CRDJ[Date]=$A$3)*(CRDJ[Sort Code]=(TRIM(G$4)))*(CRDJ[Account Code]=(TRIM($B62))),CRDJ[Debit])))+(SUM(IF((GJ[Date]=$A$3)*(GJ[Sort Code]=(TRIM(G$4)))*(GJ[Account Code]=(TRIM($B62))),GJ[Debit]))))-((SUM(IF((CkDJ[Date]=$A$3)*(CkDJ[Sort Code]=(TRIM(G$4)))*(CkDJ[Account Code]=(TRIM($B62))),CkDJ[Credit])))+(SUM(IF((CsDJ[Date]=$A$3)*(CsDJ[Sort Code]=(TRIM(G$4)))*(CsDJ[Account Code]=(TRIM($B62))),CsDJ[Credit])))+(SUM(IF((CRDJ[Date]=$A$3)*(CRDJ[Sort Code]=(TRIM(G$4)))*(CRDJ[Account Code]=(TRIM($B62))),CRDJ[Credit])))+(SUM(IF((GJ[Date]=$A$3)*(GJ[Sort Code]=(TRIM(G$4)))*(GJ[Account Code]=(TRIM($B62))),GJ[Credit]))))</f>
        <v>0</v>
      </c>
      <c r="G62" s="343">
        <f t="shared" si="8"/>
        <v>0</v>
      </c>
      <c r="H62" s="246">
        <f t="shared" si="5"/>
        <v>-27684</v>
      </c>
      <c r="I62" s="246">
        <f t="shared" si="6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Code]=B63)*(Budget[Sort Code]=$G$4),(Budget[Amount])))</f>
        <v>7560</v>
      </c>
      <c r="D63" s="245">
        <f t="array" ref="D63">SUM(IF((Budget[Account Code]=B63)*(Budget[Sort Code]=$G$4)*(Budget[Date]&lt;=$D$7),(Budget[Amount])))</f>
        <v>7560</v>
      </c>
      <c r="E63" s="245">
        <f t="array" ref="E63">((SUM(IF((CkDJ[Sort Code]=(TRIM(G$4)))*(CkDJ[Account Code]=(TRIM($B63)))*(CkDJ[Date]&lt;=$E$7),CkDJ[Debit])))+(SUM(IF((CsDJ[Sort Code]=(TRIM(G$4)))*(CsDJ[Account Code]=(TRIM($B63)))*(CsDJ[Date]&lt;=$E$7),CsDJ[Debit])))+(SUM(IF((CRDJ[Sort Code]=(TRIM(G$4)))*(CRDJ[Account Code]=(TRIM($B63)))*(CRDJ[Date]&lt;=$E$7),CRDJ[Debit])))+(SUM(IF((GJ[Sort Code]=(TRIM(G$4)))*(GJ[Account Code]=(TRIM($B63)))*(GJ[Date]&lt;=$E$7),GJ[Debit]))))-((SUM(IF((CkDJ[Sort Code]=(TRIM(G$4)))*(CkDJ[Account Code]=(TRIM($B63)))*(CkDJ[Date]&lt;=$E$7),CkDJ[Credit])))+(SUM(IF((CsDJ[Sort Code]=(TRIM(G$4)))*(CsDJ[Account Code]=(TRIM($B63)))*(CsDJ[Date]&lt;=$E$7),CsDJ[Credit])))+(SUM(IF((CRDJ[Sort Code]=(TRIM(G$4)))*(CRDJ[Account Code]=(TRIM($B63)))*(CRDJ[Date]&lt;=$E$7),CRDJ[Credit])))+(SUM(IF((GJ[Sort Code]=(TRIM(G$4)))*(GJ[Account Code]=(TRIM($B63)))*(GJ[Date]&lt;=$E$7),GJ[Credit]))))</f>
        <v>0</v>
      </c>
      <c r="F63" s="245">
        <f t="array" ref="F63">((SUM(IF((CkDJ[Date]=$A$3)*(CkDJ[Sort Code]=(TRIM(G$4)))*(CkDJ[Account Code]=(TRIM($B63))),CkDJ[Debit])))+(SUM(IF((CsDJ[Date]=$A$3)*(CsDJ[Sort Code]=(TRIM(G$4)))*(CsDJ[Account Code]=(TRIM($B63))),CsDJ[Debit])))+(SUM(IF((CRDJ[Date]=$A$3)*(CRDJ[Sort Code]=(TRIM(G$4)))*(CRDJ[Account Code]=(TRIM($B63))),CRDJ[Debit])))+(SUM(IF((GJ[Date]=$A$3)*(GJ[Sort Code]=(TRIM(G$4)))*(GJ[Account Code]=(TRIM($B63))),GJ[Debit]))))-((SUM(IF((CkDJ[Date]=$A$3)*(CkDJ[Sort Code]=(TRIM(G$4)))*(CkDJ[Account Code]=(TRIM($B63))),CkDJ[Credit])))+(SUM(IF((CsDJ[Date]=$A$3)*(CsDJ[Sort Code]=(TRIM(G$4)))*(CsDJ[Account Code]=(TRIM($B63))),CsDJ[Credit])))+(SUM(IF((CRDJ[Date]=$A$3)*(CRDJ[Sort Code]=(TRIM(G$4)))*(CRDJ[Account Code]=(TRIM($B63))),CRDJ[Credit])))+(SUM(IF((GJ[Date]=$A$3)*(GJ[Sort Code]=(TRIM(G$4)))*(GJ[Account Code]=(TRIM($B63))),GJ[Credit]))))</f>
        <v>0</v>
      </c>
      <c r="G63" s="343">
        <f t="shared" si="8"/>
        <v>0</v>
      </c>
      <c r="H63" s="246">
        <f t="shared" si="5"/>
        <v>-7560</v>
      </c>
      <c r="I63" s="246">
        <f t="shared" si="6"/>
        <v>0</v>
      </c>
    </row>
    <row r="64" spans="1:9" x14ac:dyDescent="0.2">
      <c r="A64" s="247" t="s">
        <v>1378</v>
      </c>
      <c r="B64" s="339" t="s">
        <v>169</v>
      </c>
      <c r="C64" s="245">
        <f t="array" ref="C64">SUM(IF((Budget[Account Code]=B64)*(Budget[Sort Code]=$G$4),(Budget[Amount])))</f>
        <v>0</v>
      </c>
      <c r="D64" s="245">
        <f t="array" ref="D64">SUM(IF((Budget[Account Code]=B64)*(Budget[Sort Code]=$G$4)*(Budget[Date]&lt;=$D$7),(Budget[Amount])))</f>
        <v>0</v>
      </c>
      <c r="E64" s="245">
        <f t="array" ref="E64">((SUM(IF((CkDJ[Sort Code]=(TRIM(G$4)))*(CkDJ[Account Code]=(TRIM($B64)))*(CkDJ[Date]&lt;=$E$7),CkDJ[Debit])))+(SUM(IF((CsDJ[Sort Code]=(TRIM(G$4)))*(CsDJ[Account Code]=(TRIM($B64)))*(CsDJ[Date]&lt;=$E$7),CsDJ[Debit])))+(SUM(IF((CRDJ[Sort Code]=(TRIM(G$4)))*(CRDJ[Account Code]=(TRIM($B64)))*(CRDJ[Date]&lt;=$E$7),CRDJ[Debit])))+(SUM(IF((GJ[Sort Code]=(TRIM(G$4)))*(GJ[Account Code]=(TRIM($B64)))*(GJ[Date]&lt;=$E$7),GJ[Debit]))))-((SUM(IF((CkDJ[Sort Code]=(TRIM(G$4)))*(CkDJ[Account Code]=(TRIM($B64)))*(CkDJ[Date]&lt;=$E$7),CkDJ[Credit])))+(SUM(IF((CsDJ[Sort Code]=(TRIM(G$4)))*(CsDJ[Account Code]=(TRIM($B64)))*(CsDJ[Date]&lt;=$E$7),CsDJ[Credit])))+(SUM(IF((CRDJ[Sort Code]=(TRIM(G$4)))*(CRDJ[Account Code]=(TRIM($B64)))*(CRDJ[Date]&lt;=$E$7),CRDJ[Credit])))+(SUM(IF((GJ[Sort Code]=(TRIM(G$4)))*(GJ[Account Code]=(TRIM($B64)))*(GJ[Date]&lt;=$E$7),GJ[Credit]))))</f>
        <v>0</v>
      </c>
      <c r="F64" s="245">
        <f t="array" ref="F64">((SUM(IF((CkDJ[Date]=$A$3)*(CkDJ[Sort Code]=(TRIM(G$4)))*(CkDJ[Account Code]=(TRIM($B64))),CkDJ[Debit])))+(SUM(IF((CsDJ[Date]=$A$3)*(CsDJ[Sort Code]=(TRIM(G$4)))*(CsDJ[Account Code]=(TRIM($B64))),CsDJ[Debit])))+(SUM(IF((CRDJ[Date]=$A$3)*(CRDJ[Sort Code]=(TRIM(G$4)))*(CRDJ[Account Code]=(TRIM($B64))),CRDJ[Debit])))+(SUM(IF((GJ[Date]=$A$3)*(GJ[Sort Code]=(TRIM(G$4)))*(GJ[Account Code]=(TRIM($B64))),GJ[Debit]))))-((SUM(IF((CkDJ[Date]=$A$3)*(CkDJ[Sort Code]=(TRIM(G$4)))*(CkDJ[Account Code]=(TRIM($B64))),CkDJ[Credit])))+(SUM(IF((CsDJ[Date]=$A$3)*(CsDJ[Sort Code]=(TRIM(G$4)))*(CsDJ[Account Code]=(TRIM($B64))),CsDJ[Credit])))+(SUM(IF((CRDJ[Date]=$A$3)*(CRDJ[Sort Code]=(TRIM(G$4)))*(CRDJ[Account Code]=(TRIM($B64))),CRDJ[Credit])))+(SUM(IF((GJ[Date]=$A$3)*(GJ[Sort Code]=(TRIM(G$4)))*(GJ[Account Code]=(TRIM($B64))),GJ[Credit]))))</f>
        <v>0</v>
      </c>
      <c r="G64" s="343">
        <f t="shared" si="8"/>
        <v>0</v>
      </c>
      <c r="H64" s="246">
        <f t="shared" si="5"/>
        <v>0</v>
      </c>
      <c r="I64" s="246">
        <f t="shared" si="6"/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Code]=B65)*(Budget[Sort Code]=$G$4),(Budget[Amount])))</f>
        <v>0</v>
      </c>
      <c r="D65" s="245">
        <f t="array" ref="D65">SUM(IF((Budget[Account Code]=B65)*(Budget[Sort Code]=$G$4)*(Budget[Date]&lt;=$D$7),(Budget[Amount])))</f>
        <v>0</v>
      </c>
      <c r="E65" s="245">
        <f t="array" ref="E65">((SUM(IF((CkDJ[Sort Code]=(TRIM(G$4)))*(CkDJ[Account Code]=(TRIM($B65)))*(CkDJ[Date]&lt;=$E$7),CkDJ[Debit])))+(SUM(IF((CsDJ[Sort Code]=(TRIM(G$4)))*(CsDJ[Account Code]=(TRIM($B65)))*(CsDJ[Date]&lt;=$E$7),CsDJ[Debit])))+(SUM(IF((CRDJ[Sort Code]=(TRIM(G$4)))*(CRDJ[Account Code]=(TRIM($B65)))*(CRDJ[Date]&lt;=$E$7),CRDJ[Debit])))+(SUM(IF((GJ[Sort Code]=(TRIM(G$4)))*(GJ[Account Code]=(TRIM($B65)))*(GJ[Date]&lt;=$E$7),GJ[Debit]))))-((SUM(IF((CkDJ[Sort Code]=(TRIM(G$4)))*(CkDJ[Account Code]=(TRIM($B65)))*(CkDJ[Date]&lt;=$E$7),CkDJ[Credit])))+(SUM(IF((CsDJ[Sort Code]=(TRIM(G$4)))*(CsDJ[Account Code]=(TRIM($B65)))*(CsDJ[Date]&lt;=$E$7),CsDJ[Credit])))+(SUM(IF((CRDJ[Sort Code]=(TRIM(G$4)))*(CRDJ[Account Code]=(TRIM($B65)))*(CRDJ[Date]&lt;=$E$7),CRDJ[Credit])))+(SUM(IF((GJ[Sort Code]=(TRIM(G$4)))*(GJ[Account Code]=(TRIM($B65)))*(GJ[Date]&lt;=$E$7),GJ[Credit]))))</f>
        <v>0</v>
      </c>
      <c r="F65" s="245">
        <f t="array" ref="F65">((SUM(IF((CkDJ[Date]=$A$3)*(CkDJ[Sort Code]=(TRIM(G$4)))*(CkDJ[Account Code]=(TRIM($B65))),CkDJ[Debit])))+(SUM(IF((CsDJ[Date]=$A$3)*(CsDJ[Sort Code]=(TRIM(G$4)))*(CsDJ[Account Code]=(TRIM($B65))),CsDJ[Debit])))+(SUM(IF((CRDJ[Date]=$A$3)*(CRDJ[Sort Code]=(TRIM(G$4)))*(CRDJ[Account Code]=(TRIM($B65))),CRDJ[Debit])))+(SUM(IF((GJ[Date]=$A$3)*(GJ[Sort Code]=(TRIM(G$4)))*(GJ[Account Code]=(TRIM($B65))),GJ[Debit]))))-((SUM(IF((CkDJ[Date]=$A$3)*(CkDJ[Sort Code]=(TRIM(G$4)))*(CkDJ[Account Code]=(TRIM($B65))),CkDJ[Credit])))+(SUM(IF((CsDJ[Date]=$A$3)*(CsDJ[Sort Code]=(TRIM(G$4)))*(CsDJ[Account Code]=(TRIM($B65))),CsDJ[Credit])))+(SUM(IF((CRDJ[Date]=$A$3)*(CRDJ[Sort Code]=(TRIM(G$4)))*(CRDJ[Account Code]=(TRIM($B65))),CRDJ[Credit])))+(SUM(IF((GJ[Date]=$A$3)*(GJ[Sort Code]=(TRIM(G$4)))*(GJ[Account Code]=(TRIM($B65))),GJ[Credit]))))</f>
        <v>0</v>
      </c>
      <c r="G65" s="343">
        <f t="shared" si="8"/>
        <v>0</v>
      </c>
      <c r="H65" s="246">
        <f t="shared" si="5"/>
        <v>0</v>
      </c>
      <c r="I65" s="246">
        <f t="shared" si="6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Code]=B66)*(Budget[Sort Code]=$G$4),(Budget[Amount])))</f>
        <v>0</v>
      </c>
      <c r="D66" s="245">
        <f t="array" ref="D66">SUM(IF((Budget[Account Code]=B66)*(Budget[Sort Code]=$G$4)*(Budget[Date]&lt;=$D$7),(Budget[Amount])))</f>
        <v>0</v>
      </c>
      <c r="E66" s="245">
        <f t="array" ref="E66">((SUM(IF((CkDJ[Sort Code]=(TRIM(G$4)))*(CkDJ[Account Code]=(TRIM($B66)))*(CkDJ[Date]&lt;=$E$7),CkDJ[Debit])))+(SUM(IF((CsDJ[Sort Code]=(TRIM(G$4)))*(CsDJ[Account Code]=(TRIM($B66)))*(CsDJ[Date]&lt;=$E$7),CsDJ[Debit])))+(SUM(IF((CRDJ[Sort Code]=(TRIM(G$4)))*(CRDJ[Account Code]=(TRIM($B66)))*(CRDJ[Date]&lt;=$E$7),CRDJ[Debit])))+(SUM(IF((GJ[Sort Code]=(TRIM(G$4)))*(GJ[Account Code]=(TRIM($B66)))*(GJ[Date]&lt;=$E$7),GJ[Debit]))))-((SUM(IF((CkDJ[Sort Code]=(TRIM(G$4)))*(CkDJ[Account Code]=(TRIM($B66)))*(CkDJ[Date]&lt;=$E$7),CkDJ[Credit])))+(SUM(IF((CsDJ[Sort Code]=(TRIM(G$4)))*(CsDJ[Account Code]=(TRIM($B66)))*(CsDJ[Date]&lt;=$E$7),CsDJ[Credit])))+(SUM(IF((CRDJ[Sort Code]=(TRIM(G$4)))*(CRDJ[Account Code]=(TRIM($B66)))*(CRDJ[Date]&lt;=$E$7),CRDJ[Credit])))+(SUM(IF((GJ[Sort Code]=(TRIM(G$4)))*(GJ[Account Code]=(TRIM($B66)))*(GJ[Date]&lt;=$E$7),GJ[Credit]))))</f>
        <v>0</v>
      </c>
      <c r="F66" s="245">
        <f t="array" ref="F66">((SUM(IF((CkDJ[Date]=$A$3)*(CkDJ[Sort Code]=(TRIM(G$4)))*(CkDJ[Account Code]=(TRIM($B66))),CkDJ[Debit])))+(SUM(IF((CsDJ[Date]=$A$3)*(CsDJ[Sort Code]=(TRIM(G$4)))*(CsDJ[Account Code]=(TRIM($B66))),CsDJ[Debit])))+(SUM(IF((CRDJ[Date]=$A$3)*(CRDJ[Sort Code]=(TRIM(G$4)))*(CRDJ[Account Code]=(TRIM($B66))),CRDJ[Debit])))+(SUM(IF((GJ[Date]=$A$3)*(GJ[Sort Code]=(TRIM(G$4)))*(GJ[Account Code]=(TRIM($B66))),GJ[Debit]))))-((SUM(IF((CkDJ[Date]=$A$3)*(CkDJ[Sort Code]=(TRIM(G$4)))*(CkDJ[Account Code]=(TRIM($B66))),CkDJ[Credit])))+(SUM(IF((CsDJ[Date]=$A$3)*(CsDJ[Sort Code]=(TRIM(G$4)))*(CsDJ[Account Code]=(TRIM($B66))),CsDJ[Credit])))+(SUM(IF((CRDJ[Date]=$A$3)*(CRDJ[Sort Code]=(TRIM(G$4)))*(CRDJ[Account Code]=(TRIM($B66))),CRDJ[Credit])))+(SUM(IF((GJ[Date]=$A$3)*(GJ[Sort Code]=(TRIM(G$4)))*(GJ[Account Code]=(TRIM($B66))),GJ[Credit]))))</f>
        <v>0</v>
      </c>
      <c r="G66" s="343">
        <f t="shared" si="8"/>
        <v>0</v>
      </c>
      <c r="H66" s="246">
        <f t="shared" si="5"/>
        <v>0</v>
      </c>
      <c r="I66" s="246">
        <f t="shared" si="6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Code]=B67)*(Budget[Sort Code]=$G$4),(Budget[Amount])))</f>
        <v>375000</v>
      </c>
      <c r="D67" s="245">
        <f t="array" ref="D67">SUM(IF((Budget[Account Code]=B67)*(Budget[Sort Code]=$G$4)*(Budget[Date]&lt;=$D$7),(Budget[Amount])))</f>
        <v>375000</v>
      </c>
      <c r="E67" s="245">
        <f t="array" ref="E67">((SUM(IF((CkDJ[Sort Code]=(TRIM(G$4)))*(CkDJ[Account Code]=(TRIM($B67)))*(CkDJ[Date]&lt;=$E$7),CkDJ[Debit])))+(SUM(IF((CsDJ[Sort Code]=(TRIM(G$4)))*(CsDJ[Account Code]=(TRIM($B67)))*(CsDJ[Date]&lt;=$E$7),CsDJ[Debit])))+(SUM(IF((CRDJ[Sort Code]=(TRIM(G$4)))*(CRDJ[Account Code]=(TRIM($B67)))*(CRDJ[Date]&lt;=$E$7),CRDJ[Debit])))+(SUM(IF((GJ[Sort Code]=(TRIM(G$4)))*(GJ[Account Code]=(TRIM($B67)))*(GJ[Date]&lt;=$E$7),GJ[Debit]))))-((SUM(IF((CkDJ[Sort Code]=(TRIM(G$4)))*(CkDJ[Account Code]=(TRIM($B67)))*(CkDJ[Date]&lt;=$E$7),CkDJ[Credit])))+(SUM(IF((CsDJ[Sort Code]=(TRIM(G$4)))*(CsDJ[Account Code]=(TRIM($B67)))*(CsDJ[Date]&lt;=$E$7),CsDJ[Credit])))+(SUM(IF((CRDJ[Sort Code]=(TRIM(G$4)))*(CRDJ[Account Code]=(TRIM($B67)))*(CRDJ[Date]&lt;=$E$7),CRDJ[Credit])))+(SUM(IF((GJ[Sort Code]=(TRIM(G$4)))*(GJ[Account Code]=(TRIM($B67)))*(GJ[Date]&lt;=$E$7),GJ[Credit]))))</f>
        <v>0</v>
      </c>
      <c r="F67" s="245">
        <f t="array" ref="F67">((SUM(IF((CkDJ[Date]=$A$3)*(CkDJ[Sort Code]=(TRIM(G$4)))*(CkDJ[Account Code]=(TRIM($B67))),CkDJ[Debit])))+(SUM(IF((CsDJ[Date]=$A$3)*(CsDJ[Sort Code]=(TRIM(G$4)))*(CsDJ[Account Code]=(TRIM($B67))),CsDJ[Debit])))+(SUM(IF((CRDJ[Date]=$A$3)*(CRDJ[Sort Code]=(TRIM(G$4)))*(CRDJ[Account Code]=(TRIM($B67))),CRDJ[Debit])))+(SUM(IF((GJ[Date]=$A$3)*(GJ[Sort Code]=(TRIM(G$4)))*(GJ[Account Code]=(TRIM($B67))),GJ[Debit]))))-((SUM(IF((CkDJ[Date]=$A$3)*(CkDJ[Sort Code]=(TRIM(G$4)))*(CkDJ[Account Code]=(TRIM($B67))),CkDJ[Credit])))+(SUM(IF((CsDJ[Date]=$A$3)*(CsDJ[Sort Code]=(TRIM(G$4)))*(CsDJ[Account Code]=(TRIM($B67))),CsDJ[Credit])))+(SUM(IF((CRDJ[Date]=$A$3)*(CRDJ[Sort Code]=(TRIM(G$4)))*(CRDJ[Account Code]=(TRIM($B67))),CRDJ[Credit])))+(SUM(IF((GJ[Date]=$A$3)*(GJ[Sort Code]=(TRIM(G$4)))*(GJ[Account Code]=(TRIM($B67))),GJ[Credit]))))</f>
        <v>0</v>
      </c>
      <c r="G67" s="343">
        <f t="shared" si="8"/>
        <v>0</v>
      </c>
      <c r="H67" s="246">
        <f t="shared" si="5"/>
        <v>-375000</v>
      </c>
      <c r="I67" s="246">
        <f t="shared" si="6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Code]=B68)*(Budget[Sort Code]=$G$4),(Budget[Amount])))</f>
        <v>3292127</v>
      </c>
      <c r="D68" s="245">
        <f t="array" ref="D68">SUM(IF((Budget[Account Code]=B68)*(Budget[Sort Code]=$G$4)*(Budget[Date]&lt;=$D$7),(Budget[Amount])))</f>
        <v>3292127</v>
      </c>
      <c r="E68" s="245">
        <f t="array" ref="E68">((SUM(IF((CkDJ[Sort Code]=(TRIM(G$4)))*(CkDJ[Account Code]=(TRIM($B68)))*(CkDJ[Date]&lt;=$E$7),CkDJ[Debit])))+(SUM(IF((CsDJ[Sort Code]=(TRIM(G$4)))*(CsDJ[Account Code]=(TRIM($B68)))*(CsDJ[Date]&lt;=$E$7),CsDJ[Debit])))+(SUM(IF((CRDJ[Sort Code]=(TRIM(G$4)))*(CRDJ[Account Code]=(TRIM($B68)))*(CRDJ[Date]&lt;=$E$7),CRDJ[Debit])))+(SUM(IF((GJ[Sort Code]=(TRIM(G$4)))*(GJ[Account Code]=(TRIM($B68)))*(GJ[Date]&lt;=$E$7),GJ[Debit]))))-((SUM(IF((CkDJ[Sort Code]=(TRIM(G$4)))*(CkDJ[Account Code]=(TRIM($B68)))*(CkDJ[Date]&lt;=$E$7),CkDJ[Credit])))+(SUM(IF((CsDJ[Sort Code]=(TRIM(G$4)))*(CsDJ[Account Code]=(TRIM($B68)))*(CsDJ[Date]&lt;=$E$7),CsDJ[Credit])))+(SUM(IF((CRDJ[Sort Code]=(TRIM(G$4)))*(CRDJ[Account Code]=(TRIM($B68)))*(CRDJ[Date]&lt;=$E$7),CRDJ[Credit])))+(SUM(IF((GJ[Sort Code]=(TRIM(G$4)))*(GJ[Account Code]=(TRIM($B68)))*(GJ[Date]&lt;=$E$7),GJ[Credit]))))</f>
        <v>0</v>
      </c>
      <c r="F68" s="245">
        <f t="array" ref="F68">((SUM(IF((CkDJ[Date]=$A$3)*(CkDJ[Sort Code]=(TRIM(G$4)))*(CkDJ[Account Code]=(TRIM($B68))),CkDJ[Debit])))+(SUM(IF((CsDJ[Date]=$A$3)*(CsDJ[Sort Code]=(TRIM(G$4)))*(CsDJ[Account Code]=(TRIM($B68))),CsDJ[Debit])))+(SUM(IF((CRDJ[Date]=$A$3)*(CRDJ[Sort Code]=(TRIM(G$4)))*(CRDJ[Account Code]=(TRIM($B68))),CRDJ[Debit])))+(SUM(IF((GJ[Date]=$A$3)*(GJ[Sort Code]=(TRIM(G$4)))*(GJ[Account Code]=(TRIM($B68))),GJ[Debit]))))-((SUM(IF((CkDJ[Date]=$A$3)*(CkDJ[Sort Code]=(TRIM(G$4)))*(CkDJ[Account Code]=(TRIM($B68))),CkDJ[Credit])))+(SUM(IF((CsDJ[Date]=$A$3)*(CsDJ[Sort Code]=(TRIM(G$4)))*(CsDJ[Account Code]=(TRIM($B68))),CsDJ[Credit])))+(SUM(IF((CRDJ[Date]=$A$3)*(CRDJ[Sort Code]=(TRIM(G$4)))*(CRDJ[Account Code]=(TRIM($B68))),CRDJ[Credit])))+(SUM(IF((GJ[Date]=$A$3)*(GJ[Sort Code]=(TRIM(G$4)))*(GJ[Account Code]=(TRIM($B68))),GJ[Credit]))))</f>
        <v>0</v>
      </c>
      <c r="G68" s="343">
        <f t="shared" si="8"/>
        <v>0</v>
      </c>
      <c r="H68" s="246">
        <f t="shared" si="5"/>
        <v>-3292127</v>
      </c>
      <c r="I68" s="246">
        <f t="shared" si="6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Code]=B69)*(Budget[Sort Code]=$G$4),(Budget[Amount])))</f>
        <v>2369540.4</v>
      </c>
      <c r="D69" s="245">
        <f t="array" ref="D69">SUM(IF((Budget[Account Code]=B69)*(Budget[Sort Code]=$G$4)*(Budget[Date]&lt;=$D$7),(Budget[Amount])))</f>
        <v>2369540.4</v>
      </c>
      <c r="E69" s="245">
        <f t="array" ref="E69">((SUM(IF((CkDJ[Sort Code]=(TRIM(G$4)))*(CkDJ[Account Code]=(TRIM($B69)))*(CkDJ[Date]&lt;=$E$7),CkDJ[Debit])))+(SUM(IF((CsDJ[Sort Code]=(TRIM(G$4)))*(CsDJ[Account Code]=(TRIM($B69)))*(CsDJ[Date]&lt;=$E$7),CsDJ[Debit])))+(SUM(IF((CRDJ[Sort Code]=(TRIM(G$4)))*(CRDJ[Account Code]=(TRIM($B69)))*(CRDJ[Date]&lt;=$E$7),CRDJ[Debit])))+(SUM(IF((GJ[Sort Code]=(TRIM(G$4)))*(GJ[Account Code]=(TRIM($B69)))*(GJ[Date]&lt;=$E$7),GJ[Debit]))))-((SUM(IF((CkDJ[Sort Code]=(TRIM(G$4)))*(CkDJ[Account Code]=(TRIM($B69)))*(CkDJ[Date]&lt;=$E$7),CkDJ[Credit])))+(SUM(IF((CsDJ[Sort Code]=(TRIM(G$4)))*(CsDJ[Account Code]=(TRIM($B69)))*(CsDJ[Date]&lt;=$E$7),CsDJ[Credit])))+(SUM(IF((CRDJ[Sort Code]=(TRIM(G$4)))*(CRDJ[Account Code]=(TRIM($B69)))*(CRDJ[Date]&lt;=$E$7),CRDJ[Credit])))+(SUM(IF((GJ[Sort Code]=(TRIM(G$4)))*(GJ[Account Code]=(TRIM($B69)))*(GJ[Date]&lt;=$E$7),GJ[Credit]))))</f>
        <v>0</v>
      </c>
      <c r="F69" s="245">
        <f t="array" ref="F69">((SUM(IF((CkDJ[Date]=$A$3)*(CkDJ[Sort Code]=(TRIM(G$4)))*(CkDJ[Account Code]=(TRIM($B69))),CkDJ[Debit])))+(SUM(IF((CsDJ[Date]=$A$3)*(CsDJ[Sort Code]=(TRIM(G$4)))*(CsDJ[Account Code]=(TRIM($B69))),CsDJ[Debit])))+(SUM(IF((CRDJ[Date]=$A$3)*(CRDJ[Sort Code]=(TRIM(G$4)))*(CRDJ[Account Code]=(TRIM($B69))),CRDJ[Debit])))+(SUM(IF((GJ[Date]=$A$3)*(GJ[Sort Code]=(TRIM(G$4)))*(GJ[Account Code]=(TRIM($B69))),GJ[Debit]))))-((SUM(IF((CkDJ[Date]=$A$3)*(CkDJ[Sort Code]=(TRIM(G$4)))*(CkDJ[Account Code]=(TRIM($B69))),CkDJ[Credit])))+(SUM(IF((CsDJ[Date]=$A$3)*(CsDJ[Sort Code]=(TRIM(G$4)))*(CsDJ[Account Code]=(TRIM($B69))),CsDJ[Credit])))+(SUM(IF((CRDJ[Date]=$A$3)*(CRDJ[Sort Code]=(TRIM(G$4)))*(CRDJ[Account Code]=(TRIM($B69))),CRDJ[Credit])))+(SUM(IF((GJ[Date]=$A$3)*(GJ[Sort Code]=(TRIM(G$4)))*(GJ[Account Code]=(TRIM($B69))),GJ[Credit]))))</f>
        <v>0</v>
      </c>
      <c r="G69" s="343">
        <f t="shared" si="8"/>
        <v>0</v>
      </c>
      <c r="H69" s="246">
        <f t="shared" si="5"/>
        <v>-2369540.4</v>
      </c>
      <c r="I69" s="246">
        <f t="shared" si="6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Code]=B70)*(Budget[Sort Code]=$G$4),(Budget[Amount])))</f>
        <v>90900</v>
      </c>
      <c r="D70" s="245">
        <f t="array" ref="D70">SUM(IF((Budget[Account Code]=B70)*(Budget[Sort Code]=$G$4)*(Budget[Date]&lt;=$D$7),(Budget[Amount])))</f>
        <v>90900</v>
      </c>
      <c r="E70" s="245">
        <f t="array" ref="E70">((SUM(IF((CkDJ[Sort Code]=(TRIM(G$4)))*(CkDJ[Account Code]=(TRIM($B70)))*(CkDJ[Date]&lt;=$E$7),CkDJ[Debit])))+(SUM(IF((CsDJ[Sort Code]=(TRIM(G$4)))*(CsDJ[Account Code]=(TRIM($B70)))*(CsDJ[Date]&lt;=$E$7),CsDJ[Debit])))+(SUM(IF((CRDJ[Sort Code]=(TRIM(G$4)))*(CRDJ[Account Code]=(TRIM($B70)))*(CRDJ[Date]&lt;=$E$7),CRDJ[Debit])))+(SUM(IF((GJ[Sort Code]=(TRIM(G$4)))*(GJ[Account Code]=(TRIM($B70)))*(GJ[Date]&lt;=$E$7),GJ[Debit]))))-((SUM(IF((CkDJ[Sort Code]=(TRIM(G$4)))*(CkDJ[Account Code]=(TRIM($B70)))*(CkDJ[Date]&lt;=$E$7),CkDJ[Credit])))+(SUM(IF((CsDJ[Sort Code]=(TRIM(G$4)))*(CsDJ[Account Code]=(TRIM($B70)))*(CsDJ[Date]&lt;=$E$7),CsDJ[Credit])))+(SUM(IF((CRDJ[Sort Code]=(TRIM(G$4)))*(CRDJ[Account Code]=(TRIM($B70)))*(CRDJ[Date]&lt;=$E$7),CRDJ[Credit])))+(SUM(IF((GJ[Sort Code]=(TRIM(G$4)))*(GJ[Account Code]=(TRIM($B70)))*(GJ[Date]&lt;=$E$7),GJ[Credit]))))</f>
        <v>0</v>
      </c>
      <c r="F70" s="245">
        <f t="array" ref="F70">((SUM(IF((CkDJ[Date]=$A$3)*(CkDJ[Sort Code]=(TRIM(G$4)))*(CkDJ[Account Code]=(TRIM($B70))),CkDJ[Debit])))+(SUM(IF((CsDJ[Date]=$A$3)*(CsDJ[Sort Code]=(TRIM(G$4)))*(CsDJ[Account Code]=(TRIM($B70))),CsDJ[Debit])))+(SUM(IF((CRDJ[Date]=$A$3)*(CRDJ[Sort Code]=(TRIM(G$4)))*(CRDJ[Account Code]=(TRIM($B70))),CRDJ[Debit])))+(SUM(IF((GJ[Date]=$A$3)*(GJ[Sort Code]=(TRIM(G$4)))*(GJ[Account Code]=(TRIM($B70))),GJ[Debit]))))-((SUM(IF((CkDJ[Date]=$A$3)*(CkDJ[Sort Code]=(TRIM(G$4)))*(CkDJ[Account Code]=(TRIM($B70))),CkDJ[Credit])))+(SUM(IF((CsDJ[Date]=$A$3)*(CsDJ[Sort Code]=(TRIM(G$4)))*(CsDJ[Account Code]=(TRIM($B70))),CsDJ[Credit])))+(SUM(IF((CRDJ[Date]=$A$3)*(CRDJ[Sort Code]=(TRIM(G$4)))*(CRDJ[Account Code]=(TRIM($B70))),CRDJ[Credit])))+(SUM(IF((GJ[Date]=$A$3)*(GJ[Sort Code]=(TRIM(G$4)))*(GJ[Account Code]=(TRIM($B70))),GJ[Credit]))))</f>
        <v>0</v>
      </c>
      <c r="G70" s="343">
        <f t="shared" si="8"/>
        <v>0</v>
      </c>
      <c r="H70" s="246">
        <f t="shared" si="5"/>
        <v>-90900</v>
      </c>
      <c r="I70" s="246">
        <f t="shared" si="6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Code]=B71)*(Budget[Sort Code]=$G$4),(Budget[Amount])))</f>
        <v>218346</v>
      </c>
      <c r="D71" s="245">
        <f t="array" ref="D71">SUM(IF((Budget[Account Code]=B71)*(Budget[Sort Code]=$G$4)*(Budget[Date]&lt;=$D$7),(Budget[Amount])))</f>
        <v>218346</v>
      </c>
      <c r="E71" s="245">
        <f t="array" ref="E71">((SUM(IF((CkDJ[Sort Code]=(TRIM(G$4)))*(CkDJ[Account Code]=(TRIM($B71)))*(CkDJ[Date]&lt;=$E$7),CkDJ[Debit])))+(SUM(IF((CsDJ[Sort Code]=(TRIM(G$4)))*(CsDJ[Account Code]=(TRIM($B71)))*(CsDJ[Date]&lt;=$E$7),CsDJ[Debit])))+(SUM(IF((CRDJ[Sort Code]=(TRIM(G$4)))*(CRDJ[Account Code]=(TRIM($B71)))*(CRDJ[Date]&lt;=$E$7),CRDJ[Debit])))+(SUM(IF((GJ[Sort Code]=(TRIM(G$4)))*(GJ[Account Code]=(TRIM($B71)))*(GJ[Date]&lt;=$E$7),GJ[Debit]))))-((SUM(IF((CkDJ[Sort Code]=(TRIM(G$4)))*(CkDJ[Account Code]=(TRIM($B71)))*(CkDJ[Date]&lt;=$E$7),CkDJ[Credit])))+(SUM(IF((CsDJ[Sort Code]=(TRIM(G$4)))*(CsDJ[Account Code]=(TRIM($B71)))*(CsDJ[Date]&lt;=$E$7),CsDJ[Credit])))+(SUM(IF((CRDJ[Sort Code]=(TRIM(G$4)))*(CRDJ[Account Code]=(TRIM($B71)))*(CRDJ[Date]&lt;=$E$7),CRDJ[Credit])))+(SUM(IF((GJ[Sort Code]=(TRIM(G$4)))*(GJ[Account Code]=(TRIM($B71)))*(GJ[Date]&lt;=$E$7),GJ[Credit]))))</f>
        <v>0</v>
      </c>
      <c r="F71" s="245">
        <f t="array" ref="F71">((SUM(IF((CkDJ[Date]=$A$3)*(CkDJ[Sort Code]=(TRIM(G$4)))*(CkDJ[Account Code]=(TRIM($B71))),CkDJ[Debit])))+(SUM(IF((CsDJ[Date]=$A$3)*(CsDJ[Sort Code]=(TRIM(G$4)))*(CsDJ[Account Code]=(TRIM($B71))),CsDJ[Debit])))+(SUM(IF((CRDJ[Date]=$A$3)*(CRDJ[Sort Code]=(TRIM(G$4)))*(CRDJ[Account Code]=(TRIM($B71))),CRDJ[Debit])))+(SUM(IF((GJ[Date]=$A$3)*(GJ[Sort Code]=(TRIM(G$4)))*(GJ[Account Code]=(TRIM($B71))),GJ[Debit]))))-((SUM(IF((CkDJ[Date]=$A$3)*(CkDJ[Sort Code]=(TRIM(G$4)))*(CkDJ[Account Code]=(TRIM($B71))),CkDJ[Credit])))+(SUM(IF((CsDJ[Date]=$A$3)*(CsDJ[Sort Code]=(TRIM(G$4)))*(CsDJ[Account Code]=(TRIM($B71))),CsDJ[Credit])))+(SUM(IF((CRDJ[Date]=$A$3)*(CRDJ[Sort Code]=(TRIM(G$4)))*(CRDJ[Account Code]=(TRIM($B71))),CRDJ[Credit])))+(SUM(IF((GJ[Date]=$A$3)*(GJ[Sort Code]=(TRIM(G$4)))*(GJ[Account Code]=(TRIM($B71))),GJ[Credit]))))</f>
        <v>0</v>
      </c>
      <c r="G71" s="343">
        <f t="shared" si="8"/>
        <v>0</v>
      </c>
      <c r="H71" s="246">
        <f t="shared" si="5"/>
        <v>-218346</v>
      </c>
      <c r="I71" s="246">
        <f t="shared" si="6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Code]=B72)*(Budget[Sort Code]=$G$4),(Budget[Amount])))</f>
        <v>90000</v>
      </c>
      <c r="D72" s="245">
        <f t="array" ref="D72">SUM(IF((Budget[Account Code]=B72)*(Budget[Sort Code]=$G$4)*(Budget[Date]&lt;=$D$7),(Budget[Amount])))</f>
        <v>90000</v>
      </c>
      <c r="E72" s="245">
        <f t="array" ref="E72">((SUM(IF((CkDJ[Sort Code]=(TRIM(G$4)))*(CkDJ[Account Code]=(TRIM($B72)))*(CkDJ[Date]&lt;=$E$7),CkDJ[Debit])))+(SUM(IF((CsDJ[Sort Code]=(TRIM(G$4)))*(CsDJ[Account Code]=(TRIM($B72)))*(CsDJ[Date]&lt;=$E$7),CsDJ[Debit])))+(SUM(IF((CRDJ[Sort Code]=(TRIM(G$4)))*(CRDJ[Account Code]=(TRIM($B72)))*(CRDJ[Date]&lt;=$E$7),CRDJ[Debit])))+(SUM(IF((GJ[Sort Code]=(TRIM(G$4)))*(GJ[Account Code]=(TRIM($B72)))*(GJ[Date]&lt;=$E$7),GJ[Debit]))))-((SUM(IF((CkDJ[Sort Code]=(TRIM(G$4)))*(CkDJ[Account Code]=(TRIM($B72)))*(CkDJ[Date]&lt;=$E$7),CkDJ[Credit])))+(SUM(IF((CsDJ[Sort Code]=(TRIM(G$4)))*(CsDJ[Account Code]=(TRIM($B72)))*(CsDJ[Date]&lt;=$E$7),CsDJ[Credit])))+(SUM(IF((CRDJ[Sort Code]=(TRIM(G$4)))*(CRDJ[Account Code]=(TRIM($B72)))*(CRDJ[Date]&lt;=$E$7),CRDJ[Credit])))+(SUM(IF((GJ[Sort Code]=(TRIM(G$4)))*(GJ[Account Code]=(TRIM($B72)))*(GJ[Date]&lt;=$E$7),GJ[Credit]))))</f>
        <v>0</v>
      </c>
      <c r="F72" s="245">
        <f t="array" ref="F72">((SUM(IF((CkDJ[Date]=$A$3)*(CkDJ[Sort Code]=(TRIM(G$4)))*(CkDJ[Account Code]=(TRIM($B72))),CkDJ[Debit])))+(SUM(IF((CsDJ[Date]=$A$3)*(CsDJ[Sort Code]=(TRIM(G$4)))*(CsDJ[Account Code]=(TRIM($B72))),CsDJ[Debit])))+(SUM(IF((CRDJ[Date]=$A$3)*(CRDJ[Sort Code]=(TRIM(G$4)))*(CRDJ[Account Code]=(TRIM($B72))),CRDJ[Debit])))+(SUM(IF((GJ[Date]=$A$3)*(GJ[Sort Code]=(TRIM(G$4)))*(GJ[Account Code]=(TRIM($B72))),GJ[Debit]))))-((SUM(IF((CkDJ[Date]=$A$3)*(CkDJ[Sort Code]=(TRIM(G$4)))*(CkDJ[Account Code]=(TRIM($B72))),CkDJ[Credit])))+(SUM(IF((CsDJ[Date]=$A$3)*(CsDJ[Sort Code]=(TRIM(G$4)))*(CsDJ[Account Code]=(TRIM($B72))),CsDJ[Credit])))+(SUM(IF((CRDJ[Date]=$A$3)*(CRDJ[Sort Code]=(TRIM(G$4)))*(CRDJ[Account Code]=(TRIM($B72))),CRDJ[Credit])))+(SUM(IF((GJ[Date]=$A$3)*(GJ[Sort Code]=(TRIM(G$4)))*(GJ[Account Code]=(TRIM($B72))),GJ[Credit]))))</f>
        <v>0</v>
      </c>
      <c r="G72" s="343">
        <f t="shared" si="8"/>
        <v>0</v>
      </c>
      <c r="H72" s="246">
        <f t="shared" si="5"/>
        <v>-90000</v>
      </c>
      <c r="I72" s="246">
        <f t="shared" si="6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Code]=B73)*(Budget[Sort Code]=$G$4),(Budget[Amount])))</f>
        <v>0</v>
      </c>
      <c r="D73" s="245">
        <f t="array" ref="D73">SUM(IF((Budget[Account Code]=B73)*(Budget[Sort Code]=$G$4)*(Budget[Date]&lt;=$D$7),(Budget[Amount])))</f>
        <v>0</v>
      </c>
      <c r="E73" s="245">
        <f t="array" ref="E73">((SUM(IF((CkDJ[Sort Code]=(TRIM(G$4)))*(CkDJ[Account Code]=(TRIM($B73)))*(CkDJ[Date]&lt;=$E$7),CkDJ[Debit])))+(SUM(IF((CsDJ[Sort Code]=(TRIM(G$4)))*(CsDJ[Account Code]=(TRIM($B73)))*(CsDJ[Date]&lt;=$E$7),CsDJ[Debit])))+(SUM(IF((CRDJ[Sort Code]=(TRIM(G$4)))*(CRDJ[Account Code]=(TRIM($B73)))*(CRDJ[Date]&lt;=$E$7),CRDJ[Debit])))+(SUM(IF((GJ[Sort Code]=(TRIM(G$4)))*(GJ[Account Code]=(TRIM($B73)))*(GJ[Date]&lt;=$E$7),GJ[Debit]))))-((SUM(IF((CkDJ[Sort Code]=(TRIM(G$4)))*(CkDJ[Account Code]=(TRIM($B73)))*(CkDJ[Date]&lt;=$E$7),CkDJ[Credit])))+(SUM(IF((CsDJ[Sort Code]=(TRIM(G$4)))*(CsDJ[Account Code]=(TRIM($B73)))*(CsDJ[Date]&lt;=$E$7),CsDJ[Credit])))+(SUM(IF((CRDJ[Sort Code]=(TRIM(G$4)))*(CRDJ[Account Code]=(TRIM($B73)))*(CRDJ[Date]&lt;=$E$7),CRDJ[Credit])))+(SUM(IF((GJ[Sort Code]=(TRIM(G$4)))*(GJ[Account Code]=(TRIM($B73)))*(GJ[Date]&lt;=$E$7),GJ[Credit]))))</f>
        <v>0</v>
      </c>
      <c r="F73" s="245">
        <f t="array" ref="F73">((SUM(IF((CkDJ[Date]=$A$3)*(CkDJ[Sort Code]=(TRIM(G$4)))*(CkDJ[Account Code]=(TRIM($B73))),CkDJ[Debit])))+(SUM(IF((CsDJ[Date]=$A$3)*(CsDJ[Sort Code]=(TRIM(G$4)))*(CsDJ[Account Code]=(TRIM($B73))),CsDJ[Debit])))+(SUM(IF((CRDJ[Date]=$A$3)*(CRDJ[Sort Code]=(TRIM(G$4)))*(CRDJ[Account Code]=(TRIM($B73))),CRDJ[Debit])))+(SUM(IF((GJ[Date]=$A$3)*(GJ[Sort Code]=(TRIM(G$4)))*(GJ[Account Code]=(TRIM($B73))),GJ[Debit]))))-((SUM(IF((CkDJ[Date]=$A$3)*(CkDJ[Sort Code]=(TRIM(G$4)))*(CkDJ[Account Code]=(TRIM($B73))),CkDJ[Credit])))+(SUM(IF((CsDJ[Date]=$A$3)*(CsDJ[Sort Code]=(TRIM(G$4)))*(CsDJ[Account Code]=(TRIM($B73))),CsDJ[Credit])))+(SUM(IF((CRDJ[Date]=$A$3)*(CRDJ[Sort Code]=(TRIM(G$4)))*(CRDJ[Account Code]=(TRIM($B73))),CRDJ[Credit])))+(SUM(IF((GJ[Date]=$A$3)*(GJ[Sort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Code]=B74)*(Budget[Sort Code]=$G$4),(Budget[Amount])))</f>
        <v>0</v>
      </c>
      <c r="D74" s="245">
        <f t="array" ref="D74">SUM(IF((Budget[Account Code]=B74)*(Budget[Sort Code]=$G$4)*(Budget[Date]&lt;=$D$7),(Budget[Amount])))</f>
        <v>0</v>
      </c>
      <c r="E74" s="245">
        <f t="array" ref="E74">((SUM(IF((CkDJ[Sort Code]=(TRIM(G$4)))*(CkDJ[Account Code]=(TRIM($B74)))*(CkDJ[Date]&lt;=$E$7),CkDJ[Debit])))+(SUM(IF((CsDJ[Sort Code]=(TRIM(G$4)))*(CsDJ[Account Code]=(TRIM($B74)))*(CsDJ[Date]&lt;=$E$7),CsDJ[Debit])))+(SUM(IF((CRDJ[Sort Code]=(TRIM(G$4)))*(CRDJ[Account Code]=(TRIM($B74)))*(CRDJ[Date]&lt;=$E$7),CRDJ[Debit])))+(SUM(IF((GJ[Sort Code]=(TRIM(G$4)))*(GJ[Account Code]=(TRIM($B74)))*(GJ[Date]&lt;=$E$7),GJ[Debit]))))-((SUM(IF((CkDJ[Sort Code]=(TRIM(G$4)))*(CkDJ[Account Code]=(TRIM($B74)))*(CkDJ[Date]&lt;=$E$7),CkDJ[Credit])))+(SUM(IF((CsDJ[Sort Code]=(TRIM(G$4)))*(CsDJ[Account Code]=(TRIM($B74)))*(CsDJ[Date]&lt;=$E$7),CsDJ[Credit])))+(SUM(IF((CRDJ[Sort Code]=(TRIM(G$4)))*(CRDJ[Account Code]=(TRIM($B74)))*(CRDJ[Date]&lt;=$E$7),CRDJ[Credit])))+(SUM(IF((GJ[Sort Code]=(TRIM(G$4)))*(GJ[Account Code]=(TRIM($B74)))*(GJ[Date]&lt;=$E$7),GJ[Credit]))))</f>
        <v>0</v>
      </c>
      <c r="F74" s="245">
        <f t="array" ref="F74">((SUM(IF((CkDJ[Date]=$A$3)*(CkDJ[Sort Code]=(TRIM(G$4)))*(CkDJ[Account Code]=(TRIM($B74))),CkDJ[Debit])))+(SUM(IF((CsDJ[Date]=$A$3)*(CsDJ[Sort Code]=(TRIM(G$4)))*(CsDJ[Account Code]=(TRIM($B74))),CsDJ[Debit])))+(SUM(IF((CRDJ[Date]=$A$3)*(CRDJ[Sort Code]=(TRIM(G$4)))*(CRDJ[Account Code]=(TRIM($B74))),CRDJ[Debit])))+(SUM(IF((GJ[Date]=$A$3)*(GJ[Sort Code]=(TRIM(G$4)))*(GJ[Account Code]=(TRIM($B74))),GJ[Debit]))))-((SUM(IF((CkDJ[Date]=$A$3)*(CkDJ[Sort Code]=(TRIM(G$4)))*(CkDJ[Account Code]=(TRIM($B74))),CkDJ[Credit])))+(SUM(IF((CsDJ[Date]=$A$3)*(CsDJ[Sort Code]=(TRIM(G$4)))*(CsDJ[Account Code]=(TRIM($B74))),CsDJ[Credit])))+(SUM(IF((CRDJ[Date]=$A$3)*(CRDJ[Sort Code]=(TRIM(G$4)))*(CRDJ[Account Code]=(TRIM($B74))),CRDJ[Credit])))+(SUM(IF((GJ[Date]=$A$3)*(GJ[Sort Code]=(TRIM(G$4)))*(GJ[Account Code]=(TRIM($B74))),GJ[Credit]))))</f>
        <v>0</v>
      </c>
      <c r="G74" s="343">
        <f t="shared" si="8"/>
        <v>0</v>
      </c>
      <c r="H74" s="246">
        <f t="shared" si="5"/>
        <v>0</v>
      </c>
      <c r="I74" s="246">
        <f t="shared" si="6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22008438.43</v>
      </c>
      <c r="D76" s="252">
        <f>D77+D139</f>
        <v>22008438.43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5"/>
        <v>-22008438.43</v>
      </c>
      <c r="I76" s="242">
        <f t="shared" si="6"/>
        <v>0</v>
      </c>
    </row>
    <row r="77" spans="1:9" x14ac:dyDescent="0.2">
      <c r="A77" s="253" t="s">
        <v>809</v>
      </c>
      <c r="B77" s="337"/>
      <c r="C77" s="254">
        <f>C78+C138</f>
        <v>13338438.470000001</v>
      </c>
      <c r="D77" s="254">
        <f>D78+D138</f>
        <v>13338438.470000001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5"/>
        <v>-13338438.470000001</v>
      </c>
      <c r="I77" s="246">
        <f t="shared" si="6"/>
        <v>0</v>
      </c>
    </row>
    <row r="78" spans="1:9" x14ac:dyDescent="0.2">
      <c r="A78" s="255" t="s">
        <v>806</v>
      </c>
      <c r="B78" s="337"/>
      <c r="C78" s="246">
        <f>SUM(C79:C137)</f>
        <v>13338438.470000001</v>
      </c>
      <c r="D78" s="246">
        <f>SUM(D79:D137)</f>
        <v>13338438.470000001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5"/>
        <v>-13338438.470000001</v>
      </c>
      <c r="I78" s="246">
        <f t="shared" si="6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Code]=B79)*(Budget[Sort Code]=$G$4),(Budget[Amount])))</f>
        <v>236160</v>
      </c>
      <c r="D79" s="245">
        <f t="array" ref="D79">SUM(IF((Budget[Account Code]=B79)*(Budget[Sort Code]=$G$4)*(Budget[Date]&lt;=$D$7),(Budget[Amount])))</f>
        <v>236160</v>
      </c>
      <c r="E79" s="245">
        <f t="array" ref="E79">((SUM(IF((CkDJ[Sort Code]=(TRIM(G$4)))*(CkDJ[Account Code]=(TRIM($B79)))*(CkDJ[Date]&lt;=$E$7),CkDJ[Debit])))+(SUM(IF((CsDJ[Sort Code]=(TRIM(G$4)))*(CsDJ[Account Code]=(TRIM($B79)))*(CsDJ[Date]&lt;=$E$7),CsDJ[Debit])))+(SUM(IF((CRDJ[Sort Code]=(TRIM(G$4)))*(CRDJ[Account Code]=(TRIM($B79)))*(CRDJ[Date]&lt;=$E$7),CRDJ[Debit])))+(SUM(IF((GJ[Sort Code]=(TRIM(G$4)))*(GJ[Account Code]=(TRIM($B79)))*(GJ[Date]&lt;=$E$7),GJ[Debit]))))-((SUM(IF((CkDJ[Sort Code]=(TRIM(G$4)))*(CkDJ[Account Code]=(TRIM($B79)))*(CkDJ[Date]&lt;=$E$7),CkDJ[Credit])))+(SUM(IF((CsDJ[Sort Code]=(TRIM(G$4)))*(CsDJ[Account Code]=(TRIM($B79)))*(CsDJ[Date]&lt;=$E$7),CsDJ[Credit])))+(SUM(IF((CRDJ[Sort Code]=(TRIM(G$4)))*(CRDJ[Account Code]=(TRIM($B79)))*(CRDJ[Date]&lt;=$E$7),CRDJ[Credit])))+(SUM(IF((GJ[Sort Code]=(TRIM(G$4)))*(GJ[Account Code]=(TRIM($B79)))*(GJ[Date]&lt;=$E$7),GJ[Credit]))))</f>
        <v>0</v>
      </c>
      <c r="F79" s="245">
        <f t="array" ref="F79">((SUM(IF((CkDJ[Date]=$A$3)*(CkDJ[Sort Code]=(TRIM(G$4)))*(CkDJ[Account Code]=(TRIM($B79))),CkDJ[Debit])))+(SUM(IF((CsDJ[Date]=$A$3)*(CsDJ[Sort Code]=(TRIM(G$4)))*(CsDJ[Account Code]=(TRIM($B79))),CsDJ[Debit])))+(SUM(IF((CRDJ[Date]=$A$3)*(CRDJ[Sort Code]=(TRIM(G$4)))*(CRDJ[Account Code]=(TRIM($B79))),CRDJ[Debit])))+(SUM(IF((GJ[Date]=$A$3)*(GJ[Sort Code]=(TRIM(G$4)))*(GJ[Account Code]=(TRIM($B79))),GJ[Debit]))))-((SUM(IF((CkDJ[Date]=$A$3)*(CkDJ[Sort Code]=(TRIM(G$4)))*(CkDJ[Account Code]=(TRIM($B79))),CkDJ[Credit])))+(SUM(IF((CsDJ[Date]=$A$3)*(CsDJ[Sort Code]=(TRIM(G$4)))*(CsDJ[Account Code]=(TRIM($B79))),CsDJ[Credit])))+(SUM(IF((CRDJ[Date]=$A$3)*(CRDJ[Sort Code]=(TRIM(G$4)))*(CRDJ[Account Code]=(TRIM($B79))),CRDJ[Credit])))+(SUM(IF((GJ[Date]=$A$3)*(GJ[Sort Code]=(TRIM(G$4)))*(GJ[Account Code]=(TRIM($B79))),GJ[Credit]))))</f>
        <v>0</v>
      </c>
      <c r="G79" s="343">
        <f t="shared" ref="G79:G137" si="9">E79+F79</f>
        <v>0</v>
      </c>
      <c r="H79" s="246">
        <f t="shared" si="5"/>
        <v>-236160</v>
      </c>
      <c r="I79" s="246">
        <f t="shared" si="6"/>
        <v>0</v>
      </c>
    </row>
    <row r="80" spans="1:9" hidden="1" x14ac:dyDescent="0.2">
      <c r="A80" s="256" t="s">
        <v>284</v>
      </c>
      <c r="B80" s="339" t="s">
        <v>1233</v>
      </c>
      <c r="C80" s="245">
        <f t="array" ref="C80">SUM(IF((Budget[Account Code]=B80)*(Budget[Sort Code]=$G$4),(Budget[Amount])))</f>
        <v>0</v>
      </c>
      <c r="D80" s="245">
        <f t="array" ref="D80">SUM(IF((Budget[Account Code]=B80)*(Budget[Sort Code]=$G$4)*(Budget[Date]&lt;=$D$7),(Budget[Amount])))</f>
        <v>0</v>
      </c>
      <c r="E80" s="245">
        <f t="array" ref="E80">((SUM(IF((CkDJ[Sort Code]=(TRIM(G$4)))*(CkDJ[Account Code]=(TRIM($B80)))*(CkDJ[Date]&lt;=$E$7),CkDJ[Debit])))+(SUM(IF((CsDJ[Sort Code]=(TRIM(G$4)))*(CsDJ[Account Code]=(TRIM($B80)))*(CsDJ[Date]&lt;=$E$7),CsDJ[Debit])))+(SUM(IF((CRDJ[Sort Code]=(TRIM(G$4)))*(CRDJ[Account Code]=(TRIM($B80)))*(CRDJ[Date]&lt;=$E$7),CRDJ[Debit])))+(SUM(IF((GJ[Sort Code]=(TRIM(G$4)))*(GJ[Account Code]=(TRIM($B80)))*(GJ[Date]&lt;=$E$7),GJ[Debit]))))-((SUM(IF((CkDJ[Sort Code]=(TRIM(G$4)))*(CkDJ[Account Code]=(TRIM($B80)))*(CkDJ[Date]&lt;=$E$7),CkDJ[Credit])))+(SUM(IF((CsDJ[Sort Code]=(TRIM(G$4)))*(CsDJ[Account Code]=(TRIM($B80)))*(CsDJ[Date]&lt;=$E$7),CsDJ[Credit])))+(SUM(IF((CRDJ[Sort Code]=(TRIM(G$4)))*(CRDJ[Account Code]=(TRIM($B80)))*(CRDJ[Date]&lt;=$E$7),CRDJ[Credit])))+(SUM(IF((GJ[Sort Code]=(TRIM(G$4)))*(GJ[Account Code]=(TRIM($B80)))*(GJ[Date]&lt;=$E$7),GJ[Credit]))))</f>
        <v>0</v>
      </c>
      <c r="F80" s="245">
        <f t="array" ref="F80">((SUM(IF((CkDJ[Date]=$A$3)*(CkDJ[Sort Code]=(TRIM(G$4)))*(CkDJ[Account Code]=(TRIM($B80))),CkDJ[Debit])))+(SUM(IF((CsDJ[Date]=$A$3)*(CsDJ[Sort Code]=(TRIM(G$4)))*(CsDJ[Account Code]=(TRIM($B80))),CsDJ[Debit])))+(SUM(IF((CRDJ[Date]=$A$3)*(CRDJ[Sort Code]=(TRIM(G$4)))*(CRDJ[Account Code]=(TRIM($B80))),CRDJ[Debit])))+(SUM(IF((GJ[Date]=$A$3)*(GJ[Sort Code]=(TRIM(G$4)))*(GJ[Account Code]=(TRIM($B80))),GJ[Debit]))))-((SUM(IF((CkDJ[Date]=$A$3)*(CkDJ[Sort Code]=(TRIM(G$4)))*(CkDJ[Account Code]=(TRIM($B80))),CkDJ[Credit])))+(SUM(IF((CsDJ[Date]=$A$3)*(CsDJ[Sort Code]=(TRIM(G$4)))*(CsDJ[Account Code]=(TRIM($B80))),CsDJ[Credit])))+(SUM(IF((CRDJ[Date]=$A$3)*(CRDJ[Sort Code]=(TRIM(G$4)))*(CRDJ[Account Code]=(TRIM($B80))),CRDJ[Credit])))+(SUM(IF((GJ[Date]=$A$3)*(GJ[Sort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Code]=B81)*(Budget[Sort Code]=$G$4),(Budget[Amount])))</f>
        <v>75000</v>
      </c>
      <c r="D81" s="245">
        <f t="array" ref="D81">SUM(IF((Budget[Account Code]=B81)*(Budget[Sort Code]=$G$4)*(Budget[Date]&lt;=$D$7),(Budget[Amount])))</f>
        <v>75000</v>
      </c>
      <c r="E81" s="245">
        <f t="array" ref="E81">((SUM(IF((CkDJ[Sort Code]=(TRIM(G$4)))*(CkDJ[Account Code]=(TRIM($B81)))*(CkDJ[Date]&lt;=$E$7),CkDJ[Debit])))+(SUM(IF((CsDJ[Sort Code]=(TRIM(G$4)))*(CsDJ[Account Code]=(TRIM($B81)))*(CsDJ[Date]&lt;=$E$7),CsDJ[Debit])))+(SUM(IF((CRDJ[Sort Code]=(TRIM(G$4)))*(CRDJ[Account Code]=(TRIM($B81)))*(CRDJ[Date]&lt;=$E$7),CRDJ[Debit])))+(SUM(IF((GJ[Sort Code]=(TRIM(G$4)))*(GJ[Account Code]=(TRIM($B81)))*(GJ[Date]&lt;=$E$7),GJ[Debit]))))-((SUM(IF((CkDJ[Sort Code]=(TRIM(G$4)))*(CkDJ[Account Code]=(TRIM($B81)))*(CkDJ[Date]&lt;=$E$7),CkDJ[Credit])))+(SUM(IF((CsDJ[Sort Code]=(TRIM(G$4)))*(CsDJ[Account Code]=(TRIM($B81)))*(CsDJ[Date]&lt;=$E$7),CsDJ[Credit])))+(SUM(IF((CRDJ[Sort Code]=(TRIM(G$4)))*(CRDJ[Account Code]=(TRIM($B81)))*(CRDJ[Date]&lt;=$E$7),CRDJ[Credit])))+(SUM(IF((GJ[Sort Code]=(TRIM(G$4)))*(GJ[Account Code]=(TRIM($B81)))*(GJ[Date]&lt;=$E$7),GJ[Credit]))))</f>
        <v>0</v>
      </c>
      <c r="F81" s="245">
        <f t="array" ref="F81">((SUM(IF((CkDJ[Date]=$A$3)*(CkDJ[Sort Code]=(TRIM(G$4)))*(CkDJ[Account Code]=(TRIM($B81))),CkDJ[Debit])))+(SUM(IF((CsDJ[Date]=$A$3)*(CsDJ[Sort Code]=(TRIM(G$4)))*(CsDJ[Account Code]=(TRIM($B81))),CsDJ[Debit])))+(SUM(IF((CRDJ[Date]=$A$3)*(CRDJ[Sort Code]=(TRIM(G$4)))*(CRDJ[Account Code]=(TRIM($B81))),CRDJ[Debit])))+(SUM(IF((GJ[Date]=$A$3)*(GJ[Sort Code]=(TRIM(G$4)))*(GJ[Account Code]=(TRIM($B81))),GJ[Debit]))))-((SUM(IF((CkDJ[Date]=$A$3)*(CkDJ[Sort Code]=(TRIM(G$4)))*(CkDJ[Account Code]=(TRIM($B81))),CkDJ[Credit])))+(SUM(IF((CsDJ[Date]=$A$3)*(CsDJ[Sort Code]=(TRIM(G$4)))*(CsDJ[Account Code]=(TRIM($B81))),CsDJ[Credit])))+(SUM(IF((CRDJ[Date]=$A$3)*(CRDJ[Sort Code]=(TRIM(G$4)))*(CRDJ[Account Code]=(TRIM($B81))),CRDJ[Credit])))+(SUM(IF((GJ[Date]=$A$3)*(GJ[Sort Code]=(TRIM(G$4)))*(GJ[Account Code]=(TRIM($B81))),GJ[Credit]))))</f>
        <v>0</v>
      </c>
      <c r="G81" s="343">
        <f t="shared" si="9"/>
        <v>0</v>
      </c>
      <c r="H81" s="246">
        <f t="shared" si="5"/>
        <v>-75000</v>
      </c>
      <c r="I81" s="246">
        <f t="shared" si="6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Code]=B82)*(Budget[Sort Code]=$G$4),(Budget[Amount])))</f>
        <v>363000</v>
      </c>
      <c r="D82" s="245">
        <f t="array" ref="D82">SUM(IF((Budget[Account Code]=B82)*(Budget[Sort Code]=$G$4)*(Budget[Date]&lt;=$D$7),(Budget[Amount])))</f>
        <v>363000</v>
      </c>
      <c r="E82" s="245">
        <f t="array" ref="E82">((SUM(IF((CkDJ[Sort Code]=(TRIM(G$4)))*(CkDJ[Account Code]=(TRIM($B82)))*(CkDJ[Date]&lt;=$E$7),CkDJ[Debit])))+(SUM(IF((CsDJ[Sort Code]=(TRIM(G$4)))*(CsDJ[Account Code]=(TRIM($B82)))*(CsDJ[Date]&lt;=$E$7),CsDJ[Debit])))+(SUM(IF((CRDJ[Sort Code]=(TRIM(G$4)))*(CRDJ[Account Code]=(TRIM($B82)))*(CRDJ[Date]&lt;=$E$7),CRDJ[Debit])))+(SUM(IF((GJ[Sort Code]=(TRIM(G$4)))*(GJ[Account Code]=(TRIM($B82)))*(GJ[Date]&lt;=$E$7),GJ[Debit]))))-((SUM(IF((CkDJ[Sort Code]=(TRIM(G$4)))*(CkDJ[Account Code]=(TRIM($B82)))*(CkDJ[Date]&lt;=$E$7),CkDJ[Credit])))+(SUM(IF((CsDJ[Sort Code]=(TRIM(G$4)))*(CsDJ[Account Code]=(TRIM($B82)))*(CsDJ[Date]&lt;=$E$7),CsDJ[Credit])))+(SUM(IF((CRDJ[Sort Code]=(TRIM(G$4)))*(CRDJ[Account Code]=(TRIM($B82)))*(CRDJ[Date]&lt;=$E$7),CRDJ[Credit])))+(SUM(IF((GJ[Sort Code]=(TRIM(G$4)))*(GJ[Account Code]=(TRIM($B82)))*(GJ[Date]&lt;=$E$7),GJ[Credit]))))</f>
        <v>0</v>
      </c>
      <c r="F82" s="245">
        <f t="array" ref="F82">((SUM(IF((CkDJ[Date]=$A$3)*(CkDJ[Sort Code]=(TRIM(G$4)))*(CkDJ[Account Code]=(TRIM($B82))),CkDJ[Debit])))+(SUM(IF((CsDJ[Date]=$A$3)*(CsDJ[Sort Code]=(TRIM(G$4)))*(CsDJ[Account Code]=(TRIM($B82))),CsDJ[Debit])))+(SUM(IF((CRDJ[Date]=$A$3)*(CRDJ[Sort Code]=(TRIM(G$4)))*(CRDJ[Account Code]=(TRIM($B82))),CRDJ[Debit])))+(SUM(IF((GJ[Date]=$A$3)*(GJ[Sort Code]=(TRIM(G$4)))*(GJ[Account Code]=(TRIM($B82))),GJ[Debit]))))-((SUM(IF((CkDJ[Date]=$A$3)*(CkDJ[Sort Code]=(TRIM(G$4)))*(CkDJ[Account Code]=(TRIM($B82))),CkDJ[Credit])))+(SUM(IF((CsDJ[Date]=$A$3)*(CsDJ[Sort Code]=(TRIM(G$4)))*(CsDJ[Account Code]=(TRIM($B82))),CsDJ[Credit])))+(SUM(IF((CRDJ[Date]=$A$3)*(CRDJ[Sort Code]=(TRIM(G$4)))*(CRDJ[Account Code]=(TRIM($B82))),CRDJ[Credit])))+(SUM(IF((GJ[Date]=$A$3)*(GJ[Sort Code]=(TRIM(G$4)))*(GJ[Account Code]=(TRIM($B82))),GJ[Credit]))))</f>
        <v>0</v>
      </c>
      <c r="G82" s="343">
        <f t="shared" si="9"/>
        <v>0</v>
      </c>
      <c r="H82" s="246">
        <f t="shared" si="5"/>
        <v>-363000</v>
      </c>
      <c r="I82" s="246">
        <f t="shared" si="6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Code]=B83)*(Budget[Sort Code]=$G$4),(Budget[Amount])))</f>
        <v>143000</v>
      </c>
      <c r="D83" s="245">
        <f t="array" ref="D83">SUM(IF((Budget[Account Code]=B83)*(Budget[Sort Code]=$G$4)*(Budget[Date]&lt;=$D$7),(Budget[Amount])))</f>
        <v>143000</v>
      </c>
      <c r="E83" s="245">
        <f t="array" ref="E83">((SUM(IF((CkDJ[Sort Code]=(TRIM(G$4)))*(CkDJ[Account Code]=(TRIM($B83)))*(CkDJ[Date]&lt;=$E$7),CkDJ[Debit])))+(SUM(IF((CsDJ[Sort Code]=(TRIM(G$4)))*(CsDJ[Account Code]=(TRIM($B83)))*(CsDJ[Date]&lt;=$E$7),CsDJ[Debit])))+(SUM(IF((CRDJ[Sort Code]=(TRIM(G$4)))*(CRDJ[Account Code]=(TRIM($B83)))*(CRDJ[Date]&lt;=$E$7),CRDJ[Debit])))+(SUM(IF((GJ[Sort Code]=(TRIM(G$4)))*(GJ[Account Code]=(TRIM($B83)))*(GJ[Date]&lt;=$E$7),GJ[Debit]))))-((SUM(IF((CkDJ[Sort Code]=(TRIM(G$4)))*(CkDJ[Account Code]=(TRIM($B83)))*(CkDJ[Date]&lt;=$E$7),CkDJ[Credit])))+(SUM(IF((CsDJ[Sort Code]=(TRIM(G$4)))*(CsDJ[Account Code]=(TRIM($B83)))*(CsDJ[Date]&lt;=$E$7),CsDJ[Credit])))+(SUM(IF((CRDJ[Sort Code]=(TRIM(G$4)))*(CRDJ[Account Code]=(TRIM($B83)))*(CRDJ[Date]&lt;=$E$7),CRDJ[Credit])))+(SUM(IF((GJ[Sort Code]=(TRIM(G$4)))*(GJ[Account Code]=(TRIM($B83)))*(GJ[Date]&lt;=$E$7),GJ[Credit]))))</f>
        <v>0</v>
      </c>
      <c r="F83" s="245">
        <f t="array" ref="F83">((SUM(IF((CkDJ[Date]=$A$3)*(CkDJ[Sort Code]=(TRIM(G$4)))*(CkDJ[Account Code]=(TRIM($B83))),CkDJ[Debit])))+(SUM(IF((CsDJ[Date]=$A$3)*(CsDJ[Sort Code]=(TRIM(G$4)))*(CsDJ[Account Code]=(TRIM($B83))),CsDJ[Debit])))+(SUM(IF((CRDJ[Date]=$A$3)*(CRDJ[Sort Code]=(TRIM(G$4)))*(CRDJ[Account Code]=(TRIM($B83))),CRDJ[Debit])))+(SUM(IF((GJ[Date]=$A$3)*(GJ[Sort Code]=(TRIM(G$4)))*(GJ[Account Code]=(TRIM($B83))),GJ[Debit]))))-((SUM(IF((CkDJ[Date]=$A$3)*(CkDJ[Sort Code]=(TRIM(G$4)))*(CkDJ[Account Code]=(TRIM($B83))),CkDJ[Credit])))+(SUM(IF((CsDJ[Date]=$A$3)*(CsDJ[Sort Code]=(TRIM(G$4)))*(CsDJ[Account Code]=(TRIM($B83))),CsDJ[Credit])))+(SUM(IF((CRDJ[Date]=$A$3)*(CRDJ[Sort Code]=(TRIM(G$4)))*(CRDJ[Account Code]=(TRIM($B83))),CRDJ[Credit])))+(SUM(IF((GJ[Date]=$A$3)*(GJ[Sort Code]=(TRIM(G$4)))*(GJ[Account Code]=(TRIM($B83))),GJ[Credit]))))</f>
        <v>0</v>
      </c>
      <c r="G83" s="343">
        <f t="shared" si="9"/>
        <v>0</v>
      </c>
      <c r="H83" s="246">
        <f t="shared" si="5"/>
        <v>-143000</v>
      </c>
      <c r="I83" s="246">
        <f t="shared" si="6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Code]=B84)*(Budget[Sort Code]=$G$4),(Budget[Amount])))</f>
        <v>11000.04</v>
      </c>
      <c r="D84" s="245">
        <f t="array" ref="D84">SUM(IF((Budget[Account Code]=B84)*(Budget[Sort Code]=$G$4)*(Budget[Date]&lt;=$D$7),(Budget[Amount])))</f>
        <v>11000.04</v>
      </c>
      <c r="E84" s="245">
        <f t="array" ref="E84">((SUM(IF((CkDJ[Sort Code]=(TRIM(G$4)))*(CkDJ[Account Code]=(TRIM($B84)))*(CkDJ[Date]&lt;=$E$7),CkDJ[Debit])))+(SUM(IF((CsDJ[Sort Code]=(TRIM(G$4)))*(CsDJ[Account Code]=(TRIM($B84)))*(CsDJ[Date]&lt;=$E$7),CsDJ[Debit])))+(SUM(IF((CRDJ[Sort Code]=(TRIM(G$4)))*(CRDJ[Account Code]=(TRIM($B84)))*(CRDJ[Date]&lt;=$E$7),CRDJ[Debit])))+(SUM(IF((GJ[Sort Code]=(TRIM(G$4)))*(GJ[Account Code]=(TRIM($B84)))*(GJ[Date]&lt;=$E$7),GJ[Debit]))))-((SUM(IF((CkDJ[Sort Code]=(TRIM(G$4)))*(CkDJ[Account Code]=(TRIM($B84)))*(CkDJ[Date]&lt;=$E$7),CkDJ[Credit])))+(SUM(IF((CsDJ[Sort Code]=(TRIM(G$4)))*(CsDJ[Account Code]=(TRIM($B84)))*(CsDJ[Date]&lt;=$E$7),CsDJ[Credit])))+(SUM(IF((CRDJ[Sort Code]=(TRIM(G$4)))*(CRDJ[Account Code]=(TRIM($B84)))*(CRDJ[Date]&lt;=$E$7),CRDJ[Credit])))+(SUM(IF((GJ[Sort Code]=(TRIM(G$4)))*(GJ[Account Code]=(TRIM($B84)))*(GJ[Date]&lt;=$E$7),GJ[Credit]))))</f>
        <v>0</v>
      </c>
      <c r="F84" s="245">
        <f t="array" ref="F84">((SUM(IF((CkDJ[Date]=$A$3)*(CkDJ[Sort Code]=(TRIM(G$4)))*(CkDJ[Account Code]=(TRIM($B84))),CkDJ[Debit])))+(SUM(IF((CsDJ[Date]=$A$3)*(CsDJ[Sort Code]=(TRIM(G$4)))*(CsDJ[Account Code]=(TRIM($B84))),CsDJ[Debit])))+(SUM(IF((CRDJ[Date]=$A$3)*(CRDJ[Sort Code]=(TRIM(G$4)))*(CRDJ[Account Code]=(TRIM($B84))),CRDJ[Debit])))+(SUM(IF((GJ[Date]=$A$3)*(GJ[Sort Code]=(TRIM(G$4)))*(GJ[Account Code]=(TRIM($B84))),GJ[Debit]))))-((SUM(IF((CkDJ[Date]=$A$3)*(CkDJ[Sort Code]=(TRIM(G$4)))*(CkDJ[Account Code]=(TRIM($B84))),CkDJ[Credit])))+(SUM(IF((CsDJ[Date]=$A$3)*(CsDJ[Sort Code]=(TRIM(G$4)))*(CsDJ[Account Code]=(TRIM($B84))),CsDJ[Credit])))+(SUM(IF((CRDJ[Date]=$A$3)*(CRDJ[Sort Code]=(TRIM(G$4)))*(CRDJ[Account Code]=(TRIM($B84))),CRDJ[Credit])))+(SUM(IF((GJ[Date]=$A$3)*(GJ[Sort Code]=(TRIM(G$4)))*(GJ[Account Code]=(TRIM($B84))),GJ[Credit]))))</f>
        <v>0</v>
      </c>
      <c r="G84" s="343">
        <f t="shared" si="9"/>
        <v>0</v>
      </c>
      <c r="H84" s="246">
        <f t="shared" si="5"/>
        <v>-11000.04</v>
      </c>
      <c r="I84" s="246">
        <f t="shared" si="6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Code]=B85)*(Budget[Sort Code]=$G$4),(Budget[Amount])))</f>
        <v>16499.88</v>
      </c>
      <c r="D85" s="245">
        <f t="array" ref="D85">SUM(IF((Budget[Account Code]=B85)*(Budget[Sort Code]=$G$4)*(Budget[Date]&lt;=$D$7),(Budget[Amount])))</f>
        <v>16499.88</v>
      </c>
      <c r="E85" s="245">
        <f t="array" ref="E85">((SUM(IF((CkDJ[Sort Code]=(TRIM(G$4)))*(CkDJ[Account Code]=(TRIM($B85)))*(CkDJ[Date]&lt;=$E$7),CkDJ[Debit])))+(SUM(IF((CsDJ[Sort Code]=(TRIM(G$4)))*(CsDJ[Account Code]=(TRIM($B85)))*(CsDJ[Date]&lt;=$E$7),CsDJ[Debit])))+(SUM(IF((CRDJ[Sort Code]=(TRIM(G$4)))*(CRDJ[Account Code]=(TRIM($B85)))*(CRDJ[Date]&lt;=$E$7),CRDJ[Debit])))+(SUM(IF((GJ[Sort Code]=(TRIM(G$4)))*(GJ[Account Code]=(TRIM($B85)))*(GJ[Date]&lt;=$E$7),GJ[Debit]))))-((SUM(IF((CkDJ[Sort Code]=(TRIM(G$4)))*(CkDJ[Account Code]=(TRIM($B85)))*(CkDJ[Date]&lt;=$E$7),CkDJ[Credit])))+(SUM(IF((CsDJ[Sort Code]=(TRIM(G$4)))*(CsDJ[Account Code]=(TRIM($B85)))*(CsDJ[Date]&lt;=$E$7),CsDJ[Credit])))+(SUM(IF((CRDJ[Sort Code]=(TRIM(G$4)))*(CRDJ[Account Code]=(TRIM($B85)))*(CRDJ[Date]&lt;=$E$7),CRDJ[Credit])))+(SUM(IF((GJ[Sort Code]=(TRIM(G$4)))*(GJ[Account Code]=(TRIM($B85)))*(GJ[Date]&lt;=$E$7),GJ[Credit]))))</f>
        <v>0</v>
      </c>
      <c r="F85" s="245">
        <f t="array" ref="F85">((SUM(IF((CkDJ[Date]=$A$3)*(CkDJ[Sort Code]=(TRIM(G$4)))*(CkDJ[Account Code]=(TRIM($B85))),CkDJ[Debit])))+(SUM(IF((CsDJ[Date]=$A$3)*(CsDJ[Sort Code]=(TRIM(G$4)))*(CsDJ[Account Code]=(TRIM($B85))),CsDJ[Debit])))+(SUM(IF((CRDJ[Date]=$A$3)*(CRDJ[Sort Code]=(TRIM(G$4)))*(CRDJ[Account Code]=(TRIM($B85))),CRDJ[Debit])))+(SUM(IF((GJ[Date]=$A$3)*(GJ[Sort Code]=(TRIM(G$4)))*(GJ[Account Code]=(TRIM($B85))),GJ[Debit]))))-((SUM(IF((CkDJ[Date]=$A$3)*(CkDJ[Sort Code]=(TRIM(G$4)))*(CkDJ[Account Code]=(TRIM($B85))),CkDJ[Credit])))+(SUM(IF((CsDJ[Date]=$A$3)*(CsDJ[Sort Code]=(TRIM(G$4)))*(CsDJ[Account Code]=(TRIM($B85))),CsDJ[Credit])))+(SUM(IF((CRDJ[Date]=$A$3)*(CRDJ[Sort Code]=(TRIM(G$4)))*(CRDJ[Account Code]=(TRIM($B85))),CRDJ[Credit])))+(SUM(IF((GJ[Date]=$A$3)*(GJ[Sort Code]=(TRIM(G$4)))*(GJ[Account Code]=(TRIM($B85))),GJ[Credit]))))</f>
        <v>0</v>
      </c>
      <c r="G85" s="343">
        <f t="shared" si="9"/>
        <v>0</v>
      </c>
      <c r="H85" s="246">
        <f t="shared" si="5"/>
        <v>-16499.88</v>
      </c>
      <c r="I85" s="246">
        <f t="shared" si="6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Code]=B86)*(Budget[Sort Code]=$G$4),(Budget[Amount])))</f>
        <v>4151172.12</v>
      </c>
      <c r="D86" s="245">
        <f t="array" ref="D86">SUM(IF((Budget[Account Code]=B86)*(Budget[Sort Code]=$G$4)*(Budget[Date]&lt;=$D$7),(Budget[Amount])))</f>
        <v>4151172.12</v>
      </c>
      <c r="E86" s="245">
        <f t="array" ref="E86">((SUM(IF((CkDJ[Sort Code]=(TRIM(G$4)))*(CkDJ[Account Code]=(TRIM($B86)))*(CkDJ[Date]&lt;=$E$7),CkDJ[Debit])))+(SUM(IF((CsDJ[Sort Code]=(TRIM(G$4)))*(CsDJ[Account Code]=(TRIM($B86)))*(CsDJ[Date]&lt;=$E$7),CsDJ[Debit])))+(SUM(IF((CRDJ[Sort Code]=(TRIM(G$4)))*(CRDJ[Account Code]=(TRIM($B86)))*(CRDJ[Date]&lt;=$E$7),CRDJ[Debit])))+(SUM(IF((GJ[Sort Code]=(TRIM(G$4)))*(GJ[Account Code]=(TRIM($B86)))*(GJ[Date]&lt;=$E$7),GJ[Debit]))))-((SUM(IF((CkDJ[Sort Code]=(TRIM(G$4)))*(CkDJ[Account Code]=(TRIM($B86)))*(CkDJ[Date]&lt;=$E$7),CkDJ[Credit])))+(SUM(IF((CsDJ[Sort Code]=(TRIM(G$4)))*(CsDJ[Account Code]=(TRIM($B86)))*(CsDJ[Date]&lt;=$E$7),CsDJ[Credit])))+(SUM(IF((CRDJ[Sort Code]=(TRIM(G$4)))*(CRDJ[Account Code]=(TRIM($B86)))*(CRDJ[Date]&lt;=$E$7),CRDJ[Credit])))+(SUM(IF((GJ[Sort Code]=(TRIM(G$4)))*(GJ[Account Code]=(TRIM($B86)))*(GJ[Date]&lt;=$E$7),GJ[Credit]))))</f>
        <v>0</v>
      </c>
      <c r="F86" s="245">
        <f t="array" ref="F86">((SUM(IF((CkDJ[Date]=$A$3)*(CkDJ[Sort Code]=(TRIM(G$4)))*(CkDJ[Account Code]=(TRIM($B86))),CkDJ[Debit])))+(SUM(IF((CsDJ[Date]=$A$3)*(CsDJ[Sort Code]=(TRIM(G$4)))*(CsDJ[Account Code]=(TRIM($B86))),CsDJ[Debit])))+(SUM(IF((CRDJ[Date]=$A$3)*(CRDJ[Sort Code]=(TRIM(G$4)))*(CRDJ[Account Code]=(TRIM($B86))),CRDJ[Debit])))+(SUM(IF((GJ[Date]=$A$3)*(GJ[Sort Code]=(TRIM(G$4)))*(GJ[Account Code]=(TRIM($B86))),GJ[Debit]))))-((SUM(IF((CkDJ[Date]=$A$3)*(CkDJ[Sort Code]=(TRIM(G$4)))*(CkDJ[Account Code]=(TRIM($B86))),CkDJ[Credit])))+(SUM(IF((CsDJ[Date]=$A$3)*(CsDJ[Sort Code]=(TRIM(G$4)))*(CsDJ[Account Code]=(TRIM($B86))),CsDJ[Credit])))+(SUM(IF((CRDJ[Date]=$A$3)*(CRDJ[Sort Code]=(TRIM(G$4)))*(CRDJ[Account Code]=(TRIM($B86))),CRDJ[Credit])))+(SUM(IF((GJ[Date]=$A$3)*(GJ[Sort Code]=(TRIM(G$4)))*(GJ[Account Code]=(TRIM($B86))),GJ[Credit]))))</f>
        <v>0</v>
      </c>
      <c r="G86" s="343">
        <f t="shared" si="9"/>
        <v>0</v>
      </c>
      <c r="H86" s="246">
        <f t="shared" si="5"/>
        <v>-4151172.12</v>
      </c>
      <c r="I86" s="246">
        <f t="shared" si="6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Code]=B87)*(Budget[Sort Code]=$G$4),(Budget[Amount])))</f>
        <v>0</v>
      </c>
      <c r="D87" s="245">
        <f t="array" ref="D87">SUM(IF((Budget[Account Code]=B87)*(Budget[Sort Code]=$G$4)*(Budget[Date]&lt;=$D$7),(Budget[Amount])))</f>
        <v>0</v>
      </c>
      <c r="E87" s="245">
        <f t="array" ref="E87">((SUM(IF((CkDJ[Sort Code]=(TRIM(G$4)))*(CkDJ[Account Code]=(TRIM($B87)))*(CkDJ[Date]&lt;=$E$7),CkDJ[Debit])))+(SUM(IF((CsDJ[Sort Code]=(TRIM(G$4)))*(CsDJ[Account Code]=(TRIM($B87)))*(CsDJ[Date]&lt;=$E$7),CsDJ[Debit])))+(SUM(IF((CRDJ[Sort Code]=(TRIM(G$4)))*(CRDJ[Account Code]=(TRIM($B87)))*(CRDJ[Date]&lt;=$E$7),CRDJ[Debit])))+(SUM(IF((GJ[Sort Code]=(TRIM(G$4)))*(GJ[Account Code]=(TRIM($B87)))*(GJ[Date]&lt;=$E$7),GJ[Debit]))))-((SUM(IF((CkDJ[Sort Code]=(TRIM(G$4)))*(CkDJ[Account Code]=(TRIM($B87)))*(CkDJ[Date]&lt;=$E$7),CkDJ[Credit])))+(SUM(IF((CsDJ[Sort Code]=(TRIM(G$4)))*(CsDJ[Account Code]=(TRIM($B87)))*(CsDJ[Date]&lt;=$E$7),CsDJ[Credit])))+(SUM(IF((CRDJ[Sort Code]=(TRIM(G$4)))*(CRDJ[Account Code]=(TRIM($B87)))*(CRDJ[Date]&lt;=$E$7),CRDJ[Credit])))+(SUM(IF((GJ[Sort Code]=(TRIM(G$4)))*(GJ[Account Code]=(TRIM($B87)))*(GJ[Date]&lt;=$E$7),GJ[Credit]))))</f>
        <v>0</v>
      </c>
      <c r="F87" s="245">
        <f t="array" ref="F87">((SUM(IF((CkDJ[Date]=$A$3)*(CkDJ[Sort Code]=(TRIM(G$4)))*(CkDJ[Account Code]=(TRIM($B87))),CkDJ[Debit])))+(SUM(IF((CsDJ[Date]=$A$3)*(CsDJ[Sort Code]=(TRIM(G$4)))*(CsDJ[Account Code]=(TRIM($B87))),CsDJ[Debit])))+(SUM(IF((CRDJ[Date]=$A$3)*(CRDJ[Sort Code]=(TRIM(G$4)))*(CRDJ[Account Code]=(TRIM($B87))),CRDJ[Debit])))+(SUM(IF((GJ[Date]=$A$3)*(GJ[Sort Code]=(TRIM(G$4)))*(GJ[Account Code]=(TRIM($B87))),GJ[Debit]))))-((SUM(IF((CkDJ[Date]=$A$3)*(CkDJ[Sort Code]=(TRIM(G$4)))*(CkDJ[Account Code]=(TRIM($B87))),CkDJ[Credit])))+(SUM(IF((CsDJ[Date]=$A$3)*(CsDJ[Sort Code]=(TRIM(G$4)))*(CsDJ[Account Code]=(TRIM($B87))),CsDJ[Credit])))+(SUM(IF((CRDJ[Date]=$A$3)*(CRDJ[Sort Code]=(TRIM(G$4)))*(CRDJ[Account Code]=(TRIM($B87))),CRDJ[Credit])))+(SUM(IF((GJ[Date]=$A$3)*(GJ[Sort Code]=(TRIM(G$4)))*(GJ[Account Code]=(TRIM($B87))),GJ[Credit]))))</f>
        <v>0</v>
      </c>
      <c r="G87" s="343">
        <f t="shared" si="9"/>
        <v>0</v>
      </c>
      <c r="H87" s="246">
        <f t="shared" si="5"/>
        <v>0</v>
      </c>
      <c r="I87" s="246">
        <f t="shared" si="6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Code]=B88)*(Budget[Sort Code]=$G$4),(Budget[Amount])))</f>
        <v>264000.12</v>
      </c>
      <c r="D88" s="245">
        <f t="array" ref="D88">SUM(IF((Budget[Account Code]=B88)*(Budget[Sort Code]=$G$4)*(Budget[Date]&lt;=$D$7),(Budget[Amount])))</f>
        <v>264000.12</v>
      </c>
      <c r="E88" s="245">
        <f t="array" ref="E88">((SUM(IF((CkDJ[Sort Code]=(TRIM(G$4)))*(CkDJ[Account Code]=(TRIM($B88)))*(CkDJ[Date]&lt;=$E$7),CkDJ[Debit])))+(SUM(IF((CsDJ[Sort Code]=(TRIM(G$4)))*(CsDJ[Account Code]=(TRIM($B88)))*(CsDJ[Date]&lt;=$E$7),CsDJ[Debit])))+(SUM(IF((CRDJ[Sort Code]=(TRIM(G$4)))*(CRDJ[Account Code]=(TRIM($B88)))*(CRDJ[Date]&lt;=$E$7),CRDJ[Debit])))+(SUM(IF((GJ[Sort Code]=(TRIM(G$4)))*(GJ[Account Code]=(TRIM($B88)))*(GJ[Date]&lt;=$E$7),GJ[Debit]))))-((SUM(IF((CkDJ[Sort Code]=(TRIM(G$4)))*(CkDJ[Account Code]=(TRIM($B88)))*(CkDJ[Date]&lt;=$E$7),CkDJ[Credit])))+(SUM(IF((CsDJ[Sort Code]=(TRIM(G$4)))*(CsDJ[Account Code]=(TRIM($B88)))*(CsDJ[Date]&lt;=$E$7),CsDJ[Credit])))+(SUM(IF((CRDJ[Sort Code]=(TRIM(G$4)))*(CRDJ[Account Code]=(TRIM($B88)))*(CRDJ[Date]&lt;=$E$7),CRDJ[Credit])))+(SUM(IF((GJ[Sort Code]=(TRIM(G$4)))*(GJ[Account Code]=(TRIM($B88)))*(GJ[Date]&lt;=$E$7),GJ[Credit]))))</f>
        <v>0</v>
      </c>
      <c r="F88" s="245">
        <f t="array" ref="F88">((SUM(IF((CkDJ[Date]=$A$3)*(CkDJ[Sort Code]=(TRIM(G$4)))*(CkDJ[Account Code]=(TRIM($B88))),CkDJ[Debit])))+(SUM(IF((CsDJ[Date]=$A$3)*(CsDJ[Sort Code]=(TRIM(G$4)))*(CsDJ[Account Code]=(TRIM($B88))),CsDJ[Debit])))+(SUM(IF((CRDJ[Date]=$A$3)*(CRDJ[Sort Code]=(TRIM(G$4)))*(CRDJ[Account Code]=(TRIM($B88))),CRDJ[Debit])))+(SUM(IF((GJ[Date]=$A$3)*(GJ[Sort Code]=(TRIM(G$4)))*(GJ[Account Code]=(TRIM($B88))),GJ[Debit]))))-((SUM(IF((CkDJ[Date]=$A$3)*(CkDJ[Sort Code]=(TRIM(G$4)))*(CkDJ[Account Code]=(TRIM($B88))),CkDJ[Credit])))+(SUM(IF((CsDJ[Date]=$A$3)*(CsDJ[Sort Code]=(TRIM(G$4)))*(CsDJ[Account Code]=(TRIM($B88))),CsDJ[Credit])))+(SUM(IF((CRDJ[Date]=$A$3)*(CRDJ[Sort Code]=(TRIM(G$4)))*(CRDJ[Account Code]=(TRIM($B88))),CRDJ[Credit])))+(SUM(IF((GJ[Date]=$A$3)*(GJ[Sort Code]=(TRIM(G$4)))*(GJ[Account Code]=(TRIM($B88))),GJ[Credit]))))</f>
        <v>0</v>
      </c>
      <c r="G88" s="343">
        <f t="shared" si="9"/>
        <v>0</v>
      </c>
      <c r="H88" s="246">
        <f t="shared" si="5"/>
        <v>-264000.12</v>
      </c>
      <c r="I88" s="246">
        <f t="shared" si="6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Code]=B89)*(Budget[Sort Code]=$G$4),(Budget[Amount])))</f>
        <v>153999.96</v>
      </c>
      <c r="D89" s="245">
        <f t="array" ref="D89">SUM(IF((Budget[Account Code]=B89)*(Budget[Sort Code]=$G$4)*(Budget[Date]&lt;=$D$7),(Budget[Amount])))</f>
        <v>153999.96</v>
      </c>
      <c r="E89" s="245">
        <f t="array" ref="E89">((SUM(IF((CkDJ[Sort Code]=(TRIM(G$4)))*(CkDJ[Account Code]=(TRIM($B89)))*(CkDJ[Date]&lt;=$E$7),CkDJ[Debit])))+(SUM(IF((CsDJ[Sort Code]=(TRIM(G$4)))*(CsDJ[Account Code]=(TRIM($B89)))*(CsDJ[Date]&lt;=$E$7),CsDJ[Debit])))+(SUM(IF((CRDJ[Sort Code]=(TRIM(G$4)))*(CRDJ[Account Code]=(TRIM($B89)))*(CRDJ[Date]&lt;=$E$7),CRDJ[Debit])))+(SUM(IF((GJ[Sort Code]=(TRIM(G$4)))*(GJ[Account Code]=(TRIM($B89)))*(GJ[Date]&lt;=$E$7),GJ[Debit]))))-((SUM(IF((CkDJ[Sort Code]=(TRIM(G$4)))*(CkDJ[Account Code]=(TRIM($B89)))*(CkDJ[Date]&lt;=$E$7),CkDJ[Credit])))+(SUM(IF((CsDJ[Sort Code]=(TRIM(G$4)))*(CsDJ[Account Code]=(TRIM($B89)))*(CsDJ[Date]&lt;=$E$7),CsDJ[Credit])))+(SUM(IF((CRDJ[Sort Code]=(TRIM(G$4)))*(CRDJ[Account Code]=(TRIM($B89)))*(CRDJ[Date]&lt;=$E$7),CRDJ[Credit])))+(SUM(IF((GJ[Sort Code]=(TRIM(G$4)))*(GJ[Account Code]=(TRIM($B89)))*(GJ[Date]&lt;=$E$7),GJ[Credit]))))</f>
        <v>0</v>
      </c>
      <c r="F89" s="245">
        <f t="array" ref="F89">((SUM(IF((CkDJ[Date]=$A$3)*(CkDJ[Sort Code]=(TRIM(G$4)))*(CkDJ[Account Code]=(TRIM($B89))),CkDJ[Debit])))+(SUM(IF((CsDJ[Date]=$A$3)*(CsDJ[Sort Code]=(TRIM(G$4)))*(CsDJ[Account Code]=(TRIM($B89))),CsDJ[Debit])))+(SUM(IF((CRDJ[Date]=$A$3)*(CRDJ[Sort Code]=(TRIM(G$4)))*(CRDJ[Account Code]=(TRIM($B89))),CRDJ[Debit])))+(SUM(IF((GJ[Date]=$A$3)*(GJ[Sort Code]=(TRIM(G$4)))*(GJ[Account Code]=(TRIM($B89))),GJ[Debit]))))-((SUM(IF((CkDJ[Date]=$A$3)*(CkDJ[Sort Code]=(TRIM(G$4)))*(CkDJ[Account Code]=(TRIM($B89))),CkDJ[Credit])))+(SUM(IF((CsDJ[Date]=$A$3)*(CsDJ[Sort Code]=(TRIM(G$4)))*(CsDJ[Account Code]=(TRIM($B89))),CsDJ[Credit])))+(SUM(IF((CRDJ[Date]=$A$3)*(CRDJ[Sort Code]=(TRIM(G$4)))*(CRDJ[Account Code]=(TRIM($B89))),CRDJ[Credit])))+(SUM(IF((GJ[Date]=$A$3)*(GJ[Sort Code]=(TRIM(G$4)))*(GJ[Account Code]=(TRIM($B89))),GJ[Credit]))))</f>
        <v>0</v>
      </c>
      <c r="G89" s="343">
        <f t="shared" si="9"/>
        <v>0</v>
      </c>
      <c r="H89" s="246">
        <f t="shared" si="5"/>
        <v>-153999.96</v>
      </c>
      <c r="I89" s="246">
        <f t="shared" si="6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Code]=B90)*(Budget[Sort Code]=$G$4),(Budget[Amount])))</f>
        <v>2749999.92</v>
      </c>
      <c r="D90" s="245">
        <f t="array" ref="D90">SUM(IF((Budget[Account Code]=B90)*(Budget[Sort Code]=$G$4)*(Budget[Date]&lt;=$D$7),(Budget[Amount])))</f>
        <v>2749999.92</v>
      </c>
      <c r="E90" s="245">
        <f t="array" ref="E90">((SUM(IF((CkDJ[Sort Code]=(TRIM(G$4)))*(CkDJ[Account Code]=(TRIM($B90)))*(CkDJ[Date]&lt;=$E$7),CkDJ[Debit])))+(SUM(IF((CsDJ[Sort Code]=(TRIM(G$4)))*(CsDJ[Account Code]=(TRIM($B90)))*(CsDJ[Date]&lt;=$E$7),CsDJ[Debit])))+(SUM(IF((CRDJ[Sort Code]=(TRIM(G$4)))*(CRDJ[Account Code]=(TRIM($B90)))*(CRDJ[Date]&lt;=$E$7),CRDJ[Debit])))+(SUM(IF((GJ[Sort Code]=(TRIM(G$4)))*(GJ[Account Code]=(TRIM($B90)))*(GJ[Date]&lt;=$E$7),GJ[Debit]))))-((SUM(IF((CkDJ[Sort Code]=(TRIM(G$4)))*(CkDJ[Account Code]=(TRIM($B90)))*(CkDJ[Date]&lt;=$E$7),CkDJ[Credit])))+(SUM(IF((CsDJ[Sort Code]=(TRIM(G$4)))*(CsDJ[Account Code]=(TRIM($B90)))*(CsDJ[Date]&lt;=$E$7),CsDJ[Credit])))+(SUM(IF((CRDJ[Sort Code]=(TRIM(G$4)))*(CRDJ[Account Code]=(TRIM($B90)))*(CRDJ[Date]&lt;=$E$7),CRDJ[Credit])))+(SUM(IF((GJ[Sort Code]=(TRIM(G$4)))*(GJ[Account Code]=(TRIM($B90)))*(GJ[Date]&lt;=$E$7),GJ[Credit]))))</f>
        <v>0</v>
      </c>
      <c r="F90" s="245">
        <f t="array" ref="F90">((SUM(IF((CkDJ[Date]=$A$3)*(CkDJ[Sort Code]=(TRIM(G$4)))*(CkDJ[Account Code]=(TRIM($B90))),CkDJ[Debit])))+(SUM(IF((CsDJ[Date]=$A$3)*(CsDJ[Sort Code]=(TRIM(G$4)))*(CsDJ[Account Code]=(TRIM($B90))),CsDJ[Debit])))+(SUM(IF((CRDJ[Date]=$A$3)*(CRDJ[Sort Code]=(TRIM(G$4)))*(CRDJ[Account Code]=(TRIM($B90))),CRDJ[Debit])))+(SUM(IF((GJ[Date]=$A$3)*(GJ[Sort Code]=(TRIM(G$4)))*(GJ[Account Code]=(TRIM($B90))),GJ[Debit]))))-((SUM(IF((CkDJ[Date]=$A$3)*(CkDJ[Sort Code]=(TRIM(G$4)))*(CkDJ[Account Code]=(TRIM($B90))),CkDJ[Credit])))+(SUM(IF((CsDJ[Date]=$A$3)*(CsDJ[Sort Code]=(TRIM(G$4)))*(CsDJ[Account Code]=(TRIM($B90))),CsDJ[Credit])))+(SUM(IF((CRDJ[Date]=$A$3)*(CRDJ[Sort Code]=(TRIM(G$4)))*(CRDJ[Account Code]=(TRIM($B90))),CRDJ[Credit])))+(SUM(IF((GJ[Date]=$A$3)*(GJ[Sort Code]=(TRIM(G$4)))*(GJ[Account Code]=(TRIM($B90))),GJ[Credit]))))</f>
        <v>0</v>
      </c>
      <c r="G90" s="343">
        <f t="shared" si="9"/>
        <v>0</v>
      </c>
      <c r="H90" s="246">
        <f t="shared" si="5"/>
        <v>-2749999.92</v>
      </c>
      <c r="I90" s="246">
        <f t="shared" si="6"/>
        <v>0</v>
      </c>
    </row>
    <row r="91" spans="1:9" hidden="1" x14ac:dyDescent="0.2">
      <c r="A91" s="256" t="s">
        <v>1475</v>
      </c>
      <c r="B91" s="339" t="s">
        <v>1265</v>
      </c>
      <c r="C91" s="245">
        <f t="array" ref="C91">SUM(IF((Budget[Account Code]=B91)*(Budget[Sort Code]=$G$4),(Budget[Amount])))</f>
        <v>0</v>
      </c>
      <c r="D91" s="245">
        <f t="array" ref="D91">SUM(IF((Budget[Account Code]=B91)*(Budget[Sort Code]=$G$4)*(Budget[Date]&lt;=$D$7),(Budget[Amount])))</f>
        <v>0</v>
      </c>
      <c r="E91" s="245">
        <f t="array" ref="E91">((SUM(IF((CkDJ[Sort Code]=(TRIM(G$4)))*(CkDJ[Account Code]=(TRIM($B91)))*(CkDJ[Date]&lt;=$E$7),CkDJ[Debit])))+(SUM(IF((CsDJ[Sort Code]=(TRIM(G$4)))*(CsDJ[Account Code]=(TRIM($B91)))*(CsDJ[Date]&lt;=$E$7),CsDJ[Debit])))+(SUM(IF((CRDJ[Sort Code]=(TRIM(G$4)))*(CRDJ[Account Code]=(TRIM($B91)))*(CRDJ[Date]&lt;=$E$7),CRDJ[Debit])))+(SUM(IF((GJ[Sort Code]=(TRIM(G$4)))*(GJ[Account Code]=(TRIM($B91)))*(GJ[Date]&lt;=$E$7),GJ[Debit]))))-((SUM(IF((CkDJ[Sort Code]=(TRIM(G$4)))*(CkDJ[Account Code]=(TRIM($B91)))*(CkDJ[Date]&lt;=$E$7),CkDJ[Credit])))+(SUM(IF((CsDJ[Sort Code]=(TRIM(G$4)))*(CsDJ[Account Code]=(TRIM($B91)))*(CsDJ[Date]&lt;=$E$7),CsDJ[Credit])))+(SUM(IF((CRDJ[Sort Code]=(TRIM(G$4)))*(CRDJ[Account Code]=(TRIM($B91)))*(CRDJ[Date]&lt;=$E$7),CRDJ[Credit])))+(SUM(IF((GJ[Sort Code]=(TRIM(G$4)))*(GJ[Account Code]=(TRIM($B91)))*(GJ[Date]&lt;=$E$7),GJ[Credit]))))</f>
        <v>0</v>
      </c>
      <c r="F91" s="245">
        <f t="array" ref="F91">((SUM(IF((CkDJ[Date]=$A$3)*(CkDJ[Sort Code]=(TRIM(G$4)))*(CkDJ[Account Code]=(TRIM($B91))),CkDJ[Debit])))+(SUM(IF((CsDJ[Date]=$A$3)*(CsDJ[Sort Code]=(TRIM(G$4)))*(CsDJ[Account Code]=(TRIM($B91))),CsDJ[Debit])))+(SUM(IF((CRDJ[Date]=$A$3)*(CRDJ[Sort Code]=(TRIM(G$4)))*(CRDJ[Account Code]=(TRIM($B91))),CRDJ[Debit])))+(SUM(IF((GJ[Date]=$A$3)*(GJ[Sort Code]=(TRIM(G$4)))*(GJ[Account Code]=(TRIM($B91))),GJ[Debit]))))-((SUM(IF((CkDJ[Date]=$A$3)*(CkDJ[Sort Code]=(TRIM(G$4)))*(CkDJ[Account Code]=(TRIM($B91))),CkDJ[Credit])))+(SUM(IF((CsDJ[Date]=$A$3)*(CsDJ[Sort Code]=(TRIM(G$4)))*(CsDJ[Account Code]=(TRIM($B91))),CsDJ[Credit])))+(SUM(IF((CRDJ[Date]=$A$3)*(CRDJ[Sort Code]=(TRIM(G$4)))*(CRDJ[Account Code]=(TRIM($B91))),CRDJ[Credit])))+(SUM(IF((GJ[Date]=$A$3)*(GJ[Sort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hidden="1" x14ac:dyDescent="0.2">
      <c r="A92" s="256" t="s">
        <v>1475</v>
      </c>
      <c r="B92" s="339" t="s">
        <v>1266</v>
      </c>
      <c r="C92" s="245">
        <f t="array" ref="C92">SUM(IF((Budget[Account Code]=B92)*(Budget[Sort Code]=$G$4),(Budget[Amount])))</f>
        <v>0</v>
      </c>
      <c r="D92" s="245">
        <f t="array" ref="D92">SUM(IF((Budget[Account Code]=B92)*(Budget[Sort Code]=$G$4)*(Budget[Date]&lt;=$D$7),(Budget[Amount])))</f>
        <v>0</v>
      </c>
      <c r="E92" s="245">
        <f t="array" ref="E92">((SUM(IF((CkDJ[Sort Code]=(TRIM(G$4)))*(CkDJ[Account Code]=(TRIM($B92)))*(CkDJ[Date]&lt;=$E$7),CkDJ[Debit])))+(SUM(IF((CsDJ[Sort Code]=(TRIM(G$4)))*(CsDJ[Account Code]=(TRIM($B92)))*(CsDJ[Date]&lt;=$E$7),CsDJ[Debit])))+(SUM(IF((CRDJ[Sort Code]=(TRIM(G$4)))*(CRDJ[Account Code]=(TRIM($B92)))*(CRDJ[Date]&lt;=$E$7),CRDJ[Debit])))+(SUM(IF((GJ[Sort Code]=(TRIM(G$4)))*(GJ[Account Code]=(TRIM($B92)))*(GJ[Date]&lt;=$E$7),GJ[Debit]))))-((SUM(IF((CkDJ[Sort Code]=(TRIM(G$4)))*(CkDJ[Account Code]=(TRIM($B92)))*(CkDJ[Date]&lt;=$E$7),CkDJ[Credit])))+(SUM(IF((CsDJ[Sort Code]=(TRIM(G$4)))*(CsDJ[Account Code]=(TRIM($B92)))*(CsDJ[Date]&lt;=$E$7),CsDJ[Credit])))+(SUM(IF((CRDJ[Sort Code]=(TRIM(G$4)))*(CRDJ[Account Code]=(TRIM($B92)))*(CRDJ[Date]&lt;=$E$7),CRDJ[Credit])))+(SUM(IF((GJ[Sort Code]=(TRIM(G$4)))*(GJ[Account Code]=(TRIM($B92)))*(GJ[Date]&lt;=$E$7),GJ[Credit]))))</f>
        <v>0</v>
      </c>
      <c r="F92" s="245">
        <f t="array" ref="F92">((SUM(IF((CkDJ[Date]=$A$3)*(CkDJ[Sort Code]=(TRIM(G$4)))*(CkDJ[Account Code]=(TRIM($B92))),CkDJ[Debit])))+(SUM(IF((CsDJ[Date]=$A$3)*(CsDJ[Sort Code]=(TRIM(G$4)))*(CsDJ[Account Code]=(TRIM($B92))),CsDJ[Debit])))+(SUM(IF((CRDJ[Date]=$A$3)*(CRDJ[Sort Code]=(TRIM(G$4)))*(CRDJ[Account Code]=(TRIM($B92))),CRDJ[Debit])))+(SUM(IF((GJ[Date]=$A$3)*(GJ[Sort Code]=(TRIM(G$4)))*(GJ[Account Code]=(TRIM($B92))),GJ[Debit]))))-((SUM(IF((CkDJ[Date]=$A$3)*(CkDJ[Sort Code]=(TRIM(G$4)))*(CkDJ[Account Code]=(TRIM($B92))),CkDJ[Credit])))+(SUM(IF((CsDJ[Date]=$A$3)*(CsDJ[Sort Code]=(TRIM(G$4)))*(CsDJ[Account Code]=(TRIM($B92))),CsDJ[Credit])))+(SUM(IF((CRDJ[Date]=$A$3)*(CRDJ[Sort Code]=(TRIM(G$4)))*(CRDJ[Account Code]=(TRIM($B92))),CRDJ[Credit])))+(SUM(IF((GJ[Date]=$A$3)*(GJ[Sort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Code]=B93)*(Budget[Sort Code]=$G$4),(Budget[Amount])))</f>
        <v>9999.9599999999991</v>
      </c>
      <c r="D93" s="245">
        <f t="array" ref="D93">SUM(IF((Budget[Account Code]=B93)*(Budget[Sort Code]=$G$4)*(Budget[Date]&lt;=$D$7),(Budget[Amount])))</f>
        <v>9999.9599999999991</v>
      </c>
      <c r="E93" s="245">
        <f t="array" ref="E93">((SUM(IF((CkDJ[Sort Code]=(TRIM(G$4)))*(CkDJ[Account Code]=(TRIM($B93)))*(CkDJ[Date]&lt;=$E$7),CkDJ[Debit])))+(SUM(IF((CsDJ[Sort Code]=(TRIM(G$4)))*(CsDJ[Account Code]=(TRIM($B93)))*(CsDJ[Date]&lt;=$E$7),CsDJ[Debit])))+(SUM(IF((CRDJ[Sort Code]=(TRIM(G$4)))*(CRDJ[Account Code]=(TRIM($B93)))*(CRDJ[Date]&lt;=$E$7),CRDJ[Debit])))+(SUM(IF((GJ[Sort Code]=(TRIM(G$4)))*(GJ[Account Code]=(TRIM($B93)))*(GJ[Date]&lt;=$E$7),GJ[Debit]))))-((SUM(IF((CkDJ[Sort Code]=(TRIM(G$4)))*(CkDJ[Account Code]=(TRIM($B93)))*(CkDJ[Date]&lt;=$E$7),CkDJ[Credit])))+(SUM(IF((CsDJ[Sort Code]=(TRIM(G$4)))*(CsDJ[Account Code]=(TRIM($B93)))*(CsDJ[Date]&lt;=$E$7),CsDJ[Credit])))+(SUM(IF((CRDJ[Sort Code]=(TRIM(G$4)))*(CRDJ[Account Code]=(TRIM($B93)))*(CRDJ[Date]&lt;=$E$7),CRDJ[Credit])))+(SUM(IF((GJ[Sort Code]=(TRIM(G$4)))*(GJ[Account Code]=(TRIM($B93)))*(GJ[Date]&lt;=$E$7),GJ[Credit]))))</f>
        <v>0</v>
      </c>
      <c r="F93" s="245">
        <f t="array" ref="F93">((SUM(IF((CkDJ[Date]=$A$3)*(CkDJ[Sort Code]=(TRIM(G$4)))*(CkDJ[Account Code]=(TRIM($B93))),CkDJ[Debit])))+(SUM(IF((CsDJ[Date]=$A$3)*(CsDJ[Sort Code]=(TRIM(G$4)))*(CsDJ[Account Code]=(TRIM($B93))),CsDJ[Debit])))+(SUM(IF((CRDJ[Date]=$A$3)*(CRDJ[Sort Code]=(TRIM(G$4)))*(CRDJ[Account Code]=(TRIM($B93))),CRDJ[Debit])))+(SUM(IF((GJ[Date]=$A$3)*(GJ[Sort Code]=(TRIM(G$4)))*(GJ[Account Code]=(TRIM($B93))),GJ[Debit]))))-((SUM(IF((CkDJ[Date]=$A$3)*(CkDJ[Sort Code]=(TRIM(G$4)))*(CkDJ[Account Code]=(TRIM($B93))),CkDJ[Credit])))+(SUM(IF((CsDJ[Date]=$A$3)*(CsDJ[Sort Code]=(TRIM(G$4)))*(CsDJ[Account Code]=(TRIM($B93))),CsDJ[Credit])))+(SUM(IF((CRDJ[Date]=$A$3)*(CRDJ[Sort Code]=(TRIM(G$4)))*(CRDJ[Account Code]=(TRIM($B93))),CRDJ[Credit])))+(SUM(IF((GJ[Date]=$A$3)*(GJ[Sort Code]=(TRIM(G$4)))*(GJ[Account Code]=(TRIM($B93))),GJ[Credit]))))</f>
        <v>0</v>
      </c>
      <c r="G93" s="343">
        <f t="shared" si="9"/>
        <v>0</v>
      </c>
      <c r="H93" s="246">
        <f t="shared" si="5"/>
        <v>-9999.9599999999991</v>
      </c>
      <c r="I93" s="246">
        <f t="shared" si="6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Code]=B94)*(Budget[Sort Code]=$G$4),(Budget[Amount])))</f>
        <v>241560</v>
      </c>
      <c r="D94" s="245">
        <f t="array" ref="D94">SUM(IF((Budget[Account Code]=B94)*(Budget[Sort Code]=$G$4)*(Budget[Date]&lt;=$D$7),(Budget[Amount])))</f>
        <v>241560</v>
      </c>
      <c r="E94" s="245">
        <f t="array" ref="E94">((SUM(IF((CkDJ[Sort Code]=(TRIM(G$4)))*(CkDJ[Account Code]=(TRIM($B94)))*(CkDJ[Date]&lt;=$E$7),CkDJ[Debit])))+(SUM(IF((CsDJ[Sort Code]=(TRIM(G$4)))*(CsDJ[Account Code]=(TRIM($B94)))*(CsDJ[Date]&lt;=$E$7),CsDJ[Debit])))+(SUM(IF((CRDJ[Sort Code]=(TRIM(G$4)))*(CRDJ[Account Code]=(TRIM($B94)))*(CRDJ[Date]&lt;=$E$7),CRDJ[Debit])))+(SUM(IF((GJ[Sort Code]=(TRIM(G$4)))*(GJ[Account Code]=(TRIM($B94)))*(GJ[Date]&lt;=$E$7),GJ[Debit]))))-((SUM(IF((CkDJ[Sort Code]=(TRIM(G$4)))*(CkDJ[Account Code]=(TRIM($B94)))*(CkDJ[Date]&lt;=$E$7),CkDJ[Credit])))+(SUM(IF((CsDJ[Sort Code]=(TRIM(G$4)))*(CsDJ[Account Code]=(TRIM($B94)))*(CsDJ[Date]&lt;=$E$7),CsDJ[Credit])))+(SUM(IF((CRDJ[Sort Code]=(TRIM(G$4)))*(CRDJ[Account Code]=(TRIM($B94)))*(CRDJ[Date]&lt;=$E$7),CRDJ[Credit])))+(SUM(IF((GJ[Sort Code]=(TRIM(G$4)))*(GJ[Account Code]=(TRIM($B94)))*(GJ[Date]&lt;=$E$7),GJ[Credit]))))</f>
        <v>0</v>
      </c>
      <c r="F94" s="245">
        <f t="array" ref="F94">((SUM(IF((CkDJ[Date]=$A$3)*(CkDJ[Sort Code]=(TRIM(G$4)))*(CkDJ[Account Code]=(TRIM($B94))),CkDJ[Debit])))+(SUM(IF((CsDJ[Date]=$A$3)*(CsDJ[Sort Code]=(TRIM(G$4)))*(CsDJ[Account Code]=(TRIM($B94))),CsDJ[Debit])))+(SUM(IF((CRDJ[Date]=$A$3)*(CRDJ[Sort Code]=(TRIM(G$4)))*(CRDJ[Account Code]=(TRIM($B94))),CRDJ[Debit])))+(SUM(IF((GJ[Date]=$A$3)*(GJ[Sort Code]=(TRIM(G$4)))*(GJ[Account Code]=(TRIM($B94))),GJ[Debit]))))-((SUM(IF((CkDJ[Date]=$A$3)*(CkDJ[Sort Code]=(TRIM(G$4)))*(CkDJ[Account Code]=(TRIM($B94))),CkDJ[Credit])))+(SUM(IF((CsDJ[Date]=$A$3)*(CsDJ[Sort Code]=(TRIM(G$4)))*(CsDJ[Account Code]=(TRIM($B94))),CsDJ[Credit])))+(SUM(IF((CRDJ[Date]=$A$3)*(CRDJ[Sort Code]=(TRIM(G$4)))*(CRDJ[Account Code]=(TRIM($B94))),CRDJ[Credit])))+(SUM(IF((GJ[Date]=$A$3)*(GJ[Sort Code]=(TRIM(G$4)))*(GJ[Account Code]=(TRIM($B94))),GJ[Credit]))))</f>
        <v>0</v>
      </c>
      <c r="G94" s="343">
        <f t="shared" si="9"/>
        <v>0</v>
      </c>
      <c r="H94" s="246">
        <f t="shared" si="5"/>
        <v>-241560</v>
      </c>
      <c r="I94" s="246">
        <f t="shared" si="6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Code]=B95)*(Budget[Sort Code]=$G$4),(Budget[Amount])))</f>
        <v>30360</v>
      </c>
      <c r="D95" s="245">
        <f t="array" ref="D95">SUM(IF((Budget[Account Code]=B95)*(Budget[Sort Code]=$G$4)*(Budget[Date]&lt;=$D$7),(Budget[Amount])))</f>
        <v>30360</v>
      </c>
      <c r="E95" s="245">
        <f t="array" ref="E95">((SUM(IF((CkDJ[Sort Code]=(TRIM(G$4)))*(CkDJ[Account Code]=(TRIM($B95)))*(CkDJ[Date]&lt;=$E$7),CkDJ[Debit])))+(SUM(IF((CsDJ[Sort Code]=(TRIM(G$4)))*(CsDJ[Account Code]=(TRIM($B95)))*(CsDJ[Date]&lt;=$E$7),CsDJ[Debit])))+(SUM(IF((CRDJ[Sort Code]=(TRIM(G$4)))*(CRDJ[Account Code]=(TRIM($B95)))*(CRDJ[Date]&lt;=$E$7),CRDJ[Debit])))+(SUM(IF((GJ[Sort Code]=(TRIM(G$4)))*(GJ[Account Code]=(TRIM($B95)))*(GJ[Date]&lt;=$E$7),GJ[Debit]))))-((SUM(IF((CkDJ[Sort Code]=(TRIM(G$4)))*(CkDJ[Account Code]=(TRIM($B95)))*(CkDJ[Date]&lt;=$E$7),CkDJ[Credit])))+(SUM(IF((CsDJ[Sort Code]=(TRIM(G$4)))*(CsDJ[Account Code]=(TRIM($B95)))*(CsDJ[Date]&lt;=$E$7),CsDJ[Credit])))+(SUM(IF((CRDJ[Sort Code]=(TRIM(G$4)))*(CRDJ[Account Code]=(TRIM($B95)))*(CRDJ[Date]&lt;=$E$7),CRDJ[Credit])))+(SUM(IF((GJ[Sort Code]=(TRIM(G$4)))*(GJ[Account Code]=(TRIM($B95)))*(GJ[Date]&lt;=$E$7),GJ[Credit]))))</f>
        <v>0</v>
      </c>
      <c r="F95" s="245">
        <f t="array" ref="F95">((SUM(IF((CkDJ[Date]=$A$3)*(CkDJ[Sort Code]=(TRIM(G$4)))*(CkDJ[Account Code]=(TRIM($B95))),CkDJ[Debit])))+(SUM(IF((CsDJ[Date]=$A$3)*(CsDJ[Sort Code]=(TRIM(G$4)))*(CsDJ[Account Code]=(TRIM($B95))),CsDJ[Debit])))+(SUM(IF((CRDJ[Date]=$A$3)*(CRDJ[Sort Code]=(TRIM(G$4)))*(CRDJ[Account Code]=(TRIM($B95))),CRDJ[Debit])))+(SUM(IF((GJ[Date]=$A$3)*(GJ[Sort Code]=(TRIM(G$4)))*(GJ[Account Code]=(TRIM($B95))),GJ[Debit]))))-((SUM(IF((CkDJ[Date]=$A$3)*(CkDJ[Sort Code]=(TRIM(G$4)))*(CkDJ[Account Code]=(TRIM($B95))),CkDJ[Credit])))+(SUM(IF((CsDJ[Date]=$A$3)*(CsDJ[Sort Code]=(TRIM(G$4)))*(CsDJ[Account Code]=(TRIM($B95))),CsDJ[Credit])))+(SUM(IF((CRDJ[Date]=$A$3)*(CRDJ[Sort Code]=(TRIM(G$4)))*(CRDJ[Account Code]=(TRIM($B95))),CRDJ[Credit])))+(SUM(IF((GJ[Date]=$A$3)*(GJ[Sort Code]=(TRIM(G$4)))*(GJ[Account Code]=(TRIM($B95))),GJ[Credit]))))</f>
        <v>0</v>
      </c>
      <c r="G95" s="343">
        <f t="shared" si="9"/>
        <v>0</v>
      </c>
      <c r="H95" s="246">
        <f t="shared" si="5"/>
        <v>-30360</v>
      </c>
      <c r="I95" s="246">
        <f t="shared" si="6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Code]=B96)*(Budget[Sort Code]=$G$4),(Budget[Amount])))</f>
        <v>0</v>
      </c>
      <c r="D96" s="245">
        <f t="array" ref="D96">SUM(IF((Budget[Account Code]=B96)*(Budget[Sort Code]=$G$4)*(Budget[Date]&lt;=$D$7),(Budget[Amount])))</f>
        <v>0</v>
      </c>
      <c r="E96" s="245">
        <f t="array" ref="E96">((SUM(IF((CkDJ[Sort Code]=(TRIM(G$4)))*(CkDJ[Account Code]=(TRIM($B96)))*(CkDJ[Date]&lt;=$E$7),CkDJ[Debit])))+(SUM(IF((CsDJ[Sort Code]=(TRIM(G$4)))*(CsDJ[Account Code]=(TRIM($B96)))*(CsDJ[Date]&lt;=$E$7),CsDJ[Debit])))+(SUM(IF((CRDJ[Sort Code]=(TRIM(G$4)))*(CRDJ[Account Code]=(TRIM($B96)))*(CRDJ[Date]&lt;=$E$7),CRDJ[Debit])))+(SUM(IF((GJ[Sort Code]=(TRIM(G$4)))*(GJ[Account Code]=(TRIM($B96)))*(GJ[Date]&lt;=$E$7),GJ[Debit]))))-((SUM(IF((CkDJ[Sort Code]=(TRIM(G$4)))*(CkDJ[Account Code]=(TRIM($B96)))*(CkDJ[Date]&lt;=$E$7),CkDJ[Credit])))+(SUM(IF((CsDJ[Sort Code]=(TRIM(G$4)))*(CsDJ[Account Code]=(TRIM($B96)))*(CsDJ[Date]&lt;=$E$7),CsDJ[Credit])))+(SUM(IF((CRDJ[Sort Code]=(TRIM(G$4)))*(CRDJ[Account Code]=(TRIM($B96)))*(CRDJ[Date]&lt;=$E$7),CRDJ[Credit])))+(SUM(IF((GJ[Sort Code]=(TRIM(G$4)))*(GJ[Account Code]=(TRIM($B96)))*(GJ[Date]&lt;=$E$7),GJ[Credit]))))</f>
        <v>0</v>
      </c>
      <c r="F96" s="245">
        <f t="array" ref="F96">((SUM(IF((CkDJ[Date]=$A$3)*(CkDJ[Sort Code]=(TRIM(G$4)))*(CkDJ[Account Code]=(TRIM($B96))),CkDJ[Debit])))+(SUM(IF((CsDJ[Date]=$A$3)*(CsDJ[Sort Code]=(TRIM(G$4)))*(CsDJ[Account Code]=(TRIM($B96))),CsDJ[Debit])))+(SUM(IF((CRDJ[Date]=$A$3)*(CRDJ[Sort Code]=(TRIM(G$4)))*(CRDJ[Account Code]=(TRIM($B96))),CRDJ[Debit])))+(SUM(IF((GJ[Date]=$A$3)*(GJ[Sort Code]=(TRIM(G$4)))*(GJ[Account Code]=(TRIM($B96))),GJ[Debit]))))-((SUM(IF((CkDJ[Date]=$A$3)*(CkDJ[Sort Code]=(TRIM(G$4)))*(CkDJ[Account Code]=(TRIM($B96))),CkDJ[Credit])))+(SUM(IF((CsDJ[Date]=$A$3)*(CsDJ[Sort Code]=(TRIM(G$4)))*(CsDJ[Account Code]=(TRIM($B96))),CsDJ[Credit])))+(SUM(IF((CRDJ[Date]=$A$3)*(CRDJ[Sort Code]=(TRIM(G$4)))*(CRDJ[Account Code]=(TRIM($B96))),CRDJ[Credit])))+(SUM(IF((GJ[Date]=$A$3)*(GJ[Sort Code]=(TRIM(G$4)))*(GJ[Account Code]=(TRIM($B96))),GJ[Credit]))))</f>
        <v>0</v>
      </c>
      <c r="G96" s="343">
        <f t="shared" si="9"/>
        <v>0</v>
      </c>
      <c r="H96" s="246">
        <f t="shared" si="5"/>
        <v>0</v>
      </c>
      <c r="I96" s="246">
        <f t="shared" si="6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Code]=B97)*(Budget[Sort Code]=$G$4),(Budget[Amount])))</f>
        <v>0</v>
      </c>
      <c r="D97" s="245">
        <f t="array" ref="D97">SUM(IF((Budget[Account Code]=B97)*(Budget[Sort Code]=$G$4)*(Budget[Date]&lt;=$D$7),(Budget[Amount])))</f>
        <v>0</v>
      </c>
      <c r="E97" s="245">
        <f t="array" ref="E97">((SUM(IF((CkDJ[Sort Code]=(TRIM(G$4)))*(CkDJ[Account Code]=(TRIM($B97)))*(CkDJ[Date]&lt;=$E$7),CkDJ[Debit])))+(SUM(IF((CsDJ[Sort Code]=(TRIM(G$4)))*(CsDJ[Account Code]=(TRIM($B97)))*(CsDJ[Date]&lt;=$E$7),CsDJ[Debit])))+(SUM(IF((CRDJ[Sort Code]=(TRIM(G$4)))*(CRDJ[Account Code]=(TRIM($B97)))*(CRDJ[Date]&lt;=$E$7),CRDJ[Debit])))+(SUM(IF((GJ[Sort Code]=(TRIM(G$4)))*(GJ[Account Code]=(TRIM($B97)))*(GJ[Date]&lt;=$E$7),GJ[Debit]))))-((SUM(IF((CkDJ[Sort Code]=(TRIM(G$4)))*(CkDJ[Account Code]=(TRIM($B97)))*(CkDJ[Date]&lt;=$E$7),CkDJ[Credit])))+(SUM(IF((CsDJ[Sort Code]=(TRIM(G$4)))*(CsDJ[Account Code]=(TRIM($B97)))*(CsDJ[Date]&lt;=$E$7),CsDJ[Credit])))+(SUM(IF((CRDJ[Sort Code]=(TRIM(G$4)))*(CRDJ[Account Code]=(TRIM($B97)))*(CRDJ[Date]&lt;=$E$7),CRDJ[Credit])))+(SUM(IF((GJ[Sort Code]=(TRIM(G$4)))*(GJ[Account Code]=(TRIM($B97)))*(GJ[Date]&lt;=$E$7),GJ[Credit]))))</f>
        <v>0</v>
      </c>
      <c r="F97" s="245">
        <f t="array" ref="F97">((SUM(IF((CkDJ[Date]=$A$3)*(CkDJ[Sort Code]=(TRIM(G$4)))*(CkDJ[Account Code]=(TRIM($B97))),CkDJ[Debit])))+(SUM(IF((CsDJ[Date]=$A$3)*(CsDJ[Sort Code]=(TRIM(G$4)))*(CsDJ[Account Code]=(TRIM($B97))),CsDJ[Debit])))+(SUM(IF((CRDJ[Date]=$A$3)*(CRDJ[Sort Code]=(TRIM(G$4)))*(CRDJ[Account Code]=(TRIM($B97))),CRDJ[Debit])))+(SUM(IF((GJ[Date]=$A$3)*(GJ[Sort Code]=(TRIM(G$4)))*(GJ[Account Code]=(TRIM($B97))),GJ[Debit]))))-((SUM(IF((CkDJ[Date]=$A$3)*(CkDJ[Sort Code]=(TRIM(G$4)))*(CkDJ[Account Code]=(TRIM($B97))),CkDJ[Credit])))+(SUM(IF((CsDJ[Date]=$A$3)*(CsDJ[Sort Code]=(TRIM(G$4)))*(CsDJ[Account Code]=(TRIM($B97))),CsDJ[Credit])))+(SUM(IF((CRDJ[Date]=$A$3)*(CRDJ[Sort Code]=(TRIM(G$4)))*(CRDJ[Account Code]=(TRIM($B97))),CRDJ[Credit])))+(SUM(IF((GJ[Date]=$A$3)*(GJ[Sort Code]=(TRIM(G$4)))*(GJ[Account Code]=(TRIM($B97))),GJ[Credit]))))</f>
        <v>0</v>
      </c>
      <c r="G97" s="343">
        <f t="shared" si="9"/>
        <v>0</v>
      </c>
      <c r="H97" s="246">
        <f t="shared" si="5"/>
        <v>0</v>
      </c>
      <c r="I97" s="246">
        <f t="shared" si="6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Code]=B98)*(Budget[Sort Code]=$G$4),(Budget[Amount])))</f>
        <v>0</v>
      </c>
      <c r="D98" s="245">
        <f t="array" ref="D98">SUM(IF((Budget[Account Code]=B98)*(Budget[Sort Code]=$G$4)*(Budget[Date]&lt;=$D$7),(Budget[Amount])))</f>
        <v>0</v>
      </c>
      <c r="E98" s="245">
        <f t="array" ref="E98">((SUM(IF((CkDJ[Sort Code]=(TRIM(G$4)))*(CkDJ[Account Code]=(TRIM($B98)))*(CkDJ[Date]&lt;=$E$7),CkDJ[Debit])))+(SUM(IF((CsDJ[Sort Code]=(TRIM(G$4)))*(CsDJ[Account Code]=(TRIM($B98)))*(CsDJ[Date]&lt;=$E$7),CsDJ[Debit])))+(SUM(IF((CRDJ[Sort Code]=(TRIM(G$4)))*(CRDJ[Account Code]=(TRIM($B98)))*(CRDJ[Date]&lt;=$E$7),CRDJ[Debit])))+(SUM(IF((GJ[Sort Code]=(TRIM(G$4)))*(GJ[Account Code]=(TRIM($B98)))*(GJ[Date]&lt;=$E$7),GJ[Debit]))))-((SUM(IF((CkDJ[Sort Code]=(TRIM(G$4)))*(CkDJ[Account Code]=(TRIM($B98)))*(CkDJ[Date]&lt;=$E$7),CkDJ[Credit])))+(SUM(IF((CsDJ[Sort Code]=(TRIM(G$4)))*(CsDJ[Account Code]=(TRIM($B98)))*(CsDJ[Date]&lt;=$E$7),CsDJ[Credit])))+(SUM(IF((CRDJ[Sort Code]=(TRIM(G$4)))*(CRDJ[Account Code]=(TRIM($B98)))*(CRDJ[Date]&lt;=$E$7),CRDJ[Credit])))+(SUM(IF((GJ[Sort Code]=(TRIM(G$4)))*(GJ[Account Code]=(TRIM($B98)))*(GJ[Date]&lt;=$E$7),GJ[Credit]))))</f>
        <v>0</v>
      </c>
      <c r="F98" s="245">
        <f t="array" ref="F98">((SUM(IF((CkDJ[Date]=$A$3)*(CkDJ[Sort Code]=(TRIM(G$4)))*(CkDJ[Account Code]=(TRIM($B98))),CkDJ[Debit])))+(SUM(IF((CsDJ[Date]=$A$3)*(CsDJ[Sort Code]=(TRIM(G$4)))*(CsDJ[Account Code]=(TRIM($B98))),CsDJ[Debit])))+(SUM(IF((CRDJ[Date]=$A$3)*(CRDJ[Sort Code]=(TRIM(G$4)))*(CRDJ[Account Code]=(TRIM($B98))),CRDJ[Debit])))+(SUM(IF((GJ[Date]=$A$3)*(GJ[Sort Code]=(TRIM(G$4)))*(GJ[Account Code]=(TRIM($B98))),GJ[Debit]))))-((SUM(IF((CkDJ[Date]=$A$3)*(CkDJ[Sort Code]=(TRIM(G$4)))*(CkDJ[Account Code]=(TRIM($B98))),CkDJ[Credit])))+(SUM(IF((CsDJ[Date]=$A$3)*(CsDJ[Sort Code]=(TRIM(G$4)))*(CsDJ[Account Code]=(TRIM($B98))),CsDJ[Credit])))+(SUM(IF((CRDJ[Date]=$A$3)*(CRDJ[Sort Code]=(TRIM(G$4)))*(CRDJ[Account Code]=(TRIM($B98))),CRDJ[Credit])))+(SUM(IF((GJ[Date]=$A$3)*(GJ[Sort Code]=(TRIM(G$4)))*(GJ[Account Code]=(TRIM($B98))),GJ[Credit]))))</f>
        <v>0</v>
      </c>
      <c r="G98" s="343">
        <f t="shared" si="9"/>
        <v>0</v>
      </c>
      <c r="H98" s="246">
        <f t="shared" si="5"/>
        <v>0</v>
      </c>
      <c r="I98" s="246">
        <f t="shared" si="6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Code]=B99)*(Budget[Sort Code]=$G$4),(Budget[Amount])))</f>
        <v>9999.9599999999991</v>
      </c>
      <c r="D99" s="245">
        <f t="array" ref="D99">SUM(IF((Budget[Account Code]=B99)*(Budget[Sort Code]=$G$4)*(Budget[Date]&lt;=$D$7),(Budget[Amount])))</f>
        <v>9999.9599999999991</v>
      </c>
      <c r="E99" s="245">
        <f t="array" ref="E99">((SUM(IF((CkDJ[Sort Code]=(TRIM(G$4)))*(CkDJ[Account Code]=(TRIM($B99)))*(CkDJ[Date]&lt;=$E$7),CkDJ[Debit])))+(SUM(IF((CsDJ[Sort Code]=(TRIM(G$4)))*(CsDJ[Account Code]=(TRIM($B99)))*(CsDJ[Date]&lt;=$E$7),CsDJ[Debit])))+(SUM(IF((CRDJ[Sort Code]=(TRIM(G$4)))*(CRDJ[Account Code]=(TRIM($B99)))*(CRDJ[Date]&lt;=$E$7),CRDJ[Debit])))+(SUM(IF((GJ[Sort Code]=(TRIM(G$4)))*(GJ[Account Code]=(TRIM($B99)))*(GJ[Date]&lt;=$E$7),GJ[Debit]))))-((SUM(IF((CkDJ[Sort Code]=(TRIM(G$4)))*(CkDJ[Account Code]=(TRIM($B99)))*(CkDJ[Date]&lt;=$E$7),CkDJ[Credit])))+(SUM(IF((CsDJ[Sort Code]=(TRIM(G$4)))*(CsDJ[Account Code]=(TRIM($B99)))*(CsDJ[Date]&lt;=$E$7),CsDJ[Credit])))+(SUM(IF((CRDJ[Sort Code]=(TRIM(G$4)))*(CRDJ[Account Code]=(TRIM($B99)))*(CRDJ[Date]&lt;=$E$7),CRDJ[Credit])))+(SUM(IF((GJ[Sort Code]=(TRIM(G$4)))*(GJ[Account Code]=(TRIM($B99)))*(GJ[Date]&lt;=$E$7),GJ[Credit]))))</f>
        <v>0</v>
      </c>
      <c r="F99" s="245">
        <f t="array" ref="F99">((SUM(IF((CkDJ[Date]=$A$3)*(CkDJ[Sort Code]=(TRIM(G$4)))*(CkDJ[Account Code]=(TRIM($B99))),CkDJ[Debit])))+(SUM(IF((CsDJ[Date]=$A$3)*(CsDJ[Sort Code]=(TRIM(G$4)))*(CsDJ[Account Code]=(TRIM($B99))),CsDJ[Debit])))+(SUM(IF((CRDJ[Date]=$A$3)*(CRDJ[Sort Code]=(TRIM(G$4)))*(CRDJ[Account Code]=(TRIM($B99))),CRDJ[Debit])))+(SUM(IF((GJ[Date]=$A$3)*(GJ[Sort Code]=(TRIM(G$4)))*(GJ[Account Code]=(TRIM($B99))),GJ[Debit]))))-((SUM(IF((CkDJ[Date]=$A$3)*(CkDJ[Sort Code]=(TRIM(G$4)))*(CkDJ[Account Code]=(TRIM($B99))),CkDJ[Credit])))+(SUM(IF((CsDJ[Date]=$A$3)*(CsDJ[Sort Code]=(TRIM(G$4)))*(CsDJ[Account Code]=(TRIM($B99))),CsDJ[Credit])))+(SUM(IF((CRDJ[Date]=$A$3)*(CRDJ[Sort Code]=(TRIM(G$4)))*(CRDJ[Account Code]=(TRIM($B99))),CRDJ[Credit])))+(SUM(IF((GJ[Date]=$A$3)*(GJ[Sort Code]=(TRIM(G$4)))*(GJ[Account Code]=(TRIM($B99))),GJ[Credit]))))</f>
        <v>0</v>
      </c>
      <c r="G99" s="343">
        <f t="shared" si="9"/>
        <v>0</v>
      </c>
      <c r="H99" s="246">
        <f t="shared" si="5"/>
        <v>-9999.9599999999991</v>
      </c>
      <c r="I99" s="246">
        <f t="shared" si="6"/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Code]=B100)*(Budget[Sort Code]=$G$4),(Budget[Amount])))</f>
        <v>0</v>
      </c>
      <c r="D100" s="245">
        <f t="array" ref="D100">SUM(IF((Budget[Account Code]=B100)*(Budget[Sort Code]=$G$4)*(Budget[Date]&lt;=$D$7),(Budget[Amount])))</f>
        <v>0</v>
      </c>
      <c r="E100" s="245">
        <f t="array" ref="E100">((SUM(IF((CkDJ[Sort Code]=(TRIM(G$4)))*(CkDJ[Account Code]=(TRIM($B100)))*(CkDJ[Date]&lt;=$E$7),CkDJ[Debit])))+(SUM(IF((CsDJ[Sort Code]=(TRIM(G$4)))*(CsDJ[Account Code]=(TRIM($B100)))*(CsDJ[Date]&lt;=$E$7),CsDJ[Debit])))+(SUM(IF((CRDJ[Sort Code]=(TRIM(G$4)))*(CRDJ[Account Code]=(TRIM($B100)))*(CRDJ[Date]&lt;=$E$7),CRDJ[Debit])))+(SUM(IF((GJ[Sort Code]=(TRIM(G$4)))*(GJ[Account Code]=(TRIM($B100)))*(GJ[Date]&lt;=$E$7),GJ[Debit]))))-((SUM(IF((CkDJ[Sort Code]=(TRIM(G$4)))*(CkDJ[Account Code]=(TRIM($B100)))*(CkDJ[Date]&lt;=$E$7),CkDJ[Credit])))+(SUM(IF((CsDJ[Sort Code]=(TRIM(G$4)))*(CsDJ[Account Code]=(TRIM($B100)))*(CsDJ[Date]&lt;=$E$7),CsDJ[Credit])))+(SUM(IF((CRDJ[Sort Code]=(TRIM(G$4)))*(CRDJ[Account Code]=(TRIM($B100)))*(CRDJ[Date]&lt;=$E$7),CRDJ[Credit])))+(SUM(IF((GJ[Sort Code]=(TRIM(G$4)))*(GJ[Account Code]=(TRIM($B100)))*(GJ[Date]&lt;=$E$7),GJ[Credit]))))</f>
        <v>0</v>
      </c>
      <c r="F100" s="245">
        <f t="array" ref="F100">((SUM(IF((CkDJ[Date]=$A$3)*(CkDJ[Sort Code]=(TRIM(G$4)))*(CkDJ[Account Code]=(TRIM($B100))),CkDJ[Debit])))+(SUM(IF((CsDJ[Date]=$A$3)*(CsDJ[Sort Code]=(TRIM(G$4)))*(CsDJ[Account Code]=(TRIM($B100))),CsDJ[Debit])))+(SUM(IF((CRDJ[Date]=$A$3)*(CRDJ[Sort Code]=(TRIM(G$4)))*(CRDJ[Account Code]=(TRIM($B100))),CRDJ[Debit])))+(SUM(IF((GJ[Date]=$A$3)*(GJ[Sort Code]=(TRIM(G$4)))*(GJ[Account Code]=(TRIM($B100))),GJ[Debit]))))-((SUM(IF((CkDJ[Date]=$A$3)*(CkDJ[Sort Code]=(TRIM(G$4)))*(CkDJ[Account Code]=(TRIM($B100))),CkDJ[Credit])))+(SUM(IF((CsDJ[Date]=$A$3)*(CsDJ[Sort Code]=(TRIM(G$4)))*(CsDJ[Account Code]=(TRIM($B100))),CsDJ[Credit])))+(SUM(IF((CRDJ[Date]=$A$3)*(CRDJ[Sort Code]=(TRIM(G$4)))*(CRDJ[Account Code]=(TRIM($B100))),CRDJ[Credit])))+(SUM(IF((GJ[Date]=$A$3)*(GJ[Sort Code]=(TRIM(G$4)))*(GJ[Account Code]=(TRIM($B100))),GJ[Credit]))))</f>
        <v>0</v>
      </c>
      <c r="G100" s="343">
        <f t="shared" si="9"/>
        <v>0</v>
      </c>
      <c r="H100" s="246">
        <f t="shared" si="5"/>
        <v>0</v>
      </c>
      <c r="I100" s="246">
        <f t="shared" si="6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Code]=B101)*(Budget[Sort Code]=$G$4),(Budget[Amount])))</f>
        <v>0</v>
      </c>
      <c r="D101" s="245">
        <f t="array" ref="D101">SUM(IF((Budget[Account Code]=B101)*(Budget[Sort Code]=$G$4)*(Budget[Date]&lt;=$D$7),(Budget[Amount])))</f>
        <v>0</v>
      </c>
      <c r="E101" s="245">
        <f t="array" ref="E101">((SUM(IF((CkDJ[Sort Code]=(TRIM(G$4)))*(CkDJ[Account Code]=(TRIM($B101)))*(CkDJ[Date]&lt;=$E$7),CkDJ[Debit])))+(SUM(IF((CsDJ[Sort Code]=(TRIM(G$4)))*(CsDJ[Account Code]=(TRIM($B101)))*(CsDJ[Date]&lt;=$E$7),CsDJ[Debit])))+(SUM(IF((CRDJ[Sort Code]=(TRIM(G$4)))*(CRDJ[Account Code]=(TRIM($B101)))*(CRDJ[Date]&lt;=$E$7),CRDJ[Debit])))+(SUM(IF((GJ[Sort Code]=(TRIM(G$4)))*(GJ[Account Code]=(TRIM($B101)))*(GJ[Date]&lt;=$E$7),GJ[Debit]))))-((SUM(IF((CkDJ[Sort Code]=(TRIM(G$4)))*(CkDJ[Account Code]=(TRIM($B101)))*(CkDJ[Date]&lt;=$E$7),CkDJ[Credit])))+(SUM(IF((CsDJ[Sort Code]=(TRIM(G$4)))*(CsDJ[Account Code]=(TRIM($B101)))*(CsDJ[Date]&lt;=$E$7),CsDJ[Credit])))+(SUM(IF((CRDJ[Sort Code]=(TRIM(G$4)))*(CRDJ[Account Code]=(TRIM($B101)))*(CRDJ[Date]&lt;=$E$7),CRDJ[Credit])))+(SUM(IF((GJ[Sort Code]=(TRIM(G$4)))*(GJ[Account Code]=(TRIM($B101)))*(GJ[Date]&lt;=$E$7),GJ[Credit]))))</f>
        <v>0</v>
      </c>
      <c r="F101" s="245">
        <f t="array" ref="F101">((SUM(IF((CkDJ[Date]=$A$3)*(CkDJ[Sort Code]=(TRIM(G$4)))*(CkDJ[Account Code]=(TRIM($B101))),CkDJ[Debit])))+(SUM(IF((CsDJ[Date]=$A$3)*(CsDJ[Sort Code]=(TRIM(G$4)))*(CsDJ[Account Code]=(TRIM($B101))),CsDJ[Debit])))+(SUM(IF((CRDJ[Date]=$A$3)*(CRDJ[Sort Code]=(TRIM(G$4)))*(CRDJ[Account Code]=(TRIM($B101))),CRDJ[Debit])))+(SUM(IF((GJ[Date]=$A$3)*(GJ[Sort Code]=(TRIM(G$4)))*(GJ[Account Code]=(TRIM($B101))),GJ[Debit]))))-((SUM(IF((CkDJ[Date]=$A$3)*(CkDJ[Sort Code]=(TRIM(G$4)))*(CkDJ[Account Code]=(TRIM($B101))),CkDJ[Credit])))+(SUM(IF((CsDJ[Date]=$A$3)*(CsDJ[Sort Code]=(TRIM(G$4)))*(CsDJ[Account Code]=(TRIM($B101))),CsDJ[Credit])))+(SUM(IF((CRDJ[Date]=$A$3)*(CRDJ[Sort Code]=(TRIM(G$4)))*(CRDJ[Account Code]=(TRIM($B101))),CRDJ[Credit])))+(SUM(IF((GJ[Date]=$A$3)*(GJ[Sort Code]=(TRIM(G$4)))*(GJ[Account Code]=(TRIM($B101))),GJ[Credit]))))</f>
        <v>0</v>
      </c>
      <c r="G101" s="343">
        <f t="shared" si="9"/>
        <v>0</v>
      </c>
      <c r="H101" s="246">
        <f t="shared" si="5"/>
        <v>0</v>
      </c>
      <c r="I101" s="246">
        <f t="shared" si="6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Code]=B102)*(Budget[Sort Code]=$G$4),(Budget[Amount])))</f>
        <v>0</v>
      </c>
      <c r="D102" s="245">
        <f t="array" ref="D102">SUM(IF((Budget[Account Code]=B102)*(Budget[Sort Code]=$G$4)*(Budget[Date]&lt;=$D$7),(Budget[Amount])))</f>
        <v>0</v>
      </c>
      <c r="E102" s="245">
        <f t="array" ref="E102">((SUM(IF((CkDJ[Sort Code]=(TRIM(G$4)))*(CkDJ[Account Code]=(TRIM($B102)))*(CkDJ[Date]&lt;=$E$7),CkDJ[Debit])))+(SUM(IF((CsDJ[Sort Code]=(TRIM(G$4)))*(CsDJ[Account Code]=(TRIM($B102)))*(CsDJ[Date]&lt;=$E$7),CsDJ[Debit])))+(SUM(IF((CRDJ[Sort Code]=(TRIM(G$4)))*(CRDJ[Account Code]=(TRIM($B102)))*(CRDJ[Date]&lt;=$E$7),CRDJ[Debit])))+(SUM(IF((GJ[Sort Code]=(TRIM(G$4)))*(GJ[Account Code]=(TRIM($B102)))*(GJ[Date]&lt;=$E$7),GJ[Debit]))))-((SUM(IF((CkDJ[Sort Code]=(TRIM(G$4)))*(CkDJ[Account Code]=(TRIM($B102)))*(CkDJ[Date]&lt;=$E$7),CkDJ[Credit])))+(SUM(IF((CsDJ[Sort Code]=(TRIM(G$4)))*(CsDJ[Account Code]=(TRIM($B102)))*(CsDJ[Date]&lt;=$E$7),CsDJ[Credit])))+(SUM(IF((CRDJ[Sort Code]=(TRIM(G$4)))*(CRDJ[Account Code]=(TRIM($B102)))*(CRDJ[Date]&lt;=$E$7),CRDJ[Credit])))+(SUM(IF((GJ[Sort Code]=(TRIM(G$4)))*(GJ[Account Code]=(TRIM($B102)))*(GJ[Date]&lt;=$E$7),GJ[Credit]))))</f>
        <v>0</v>
      </c>
      <c r="F102" s="245">
        <f t="array" ref="F102">((SUM(IF((CkDJ[Date]=$A$3)*(CkDJ[Sort Code]=(TRIM(G$4)))*(CkDJ[Account Code]=(TRIM($B102))),CkDJ[Debit])))+(SUM(IF((CsDJ[Date]=$A$3)*(CsDJ[Sort Code]=(TRIM(G$4)))*(CsDJ[Account Code]=(TRIM($B102))),CsDJ[Debit])))+(SUM(IF((CRDJ[Date]=$A$3)*(CRDJ[Sort Code]=(TRIM(G$4)))*(CRDJ[Account Code]=(TRIM($B102))),CRDJ[Debit])))+(SUM(IF((GJ[Date]=$A$3)*(GJ[Sort Code]=(TRIM(G$4)))*(GJ[Account Code]=(TRIM($B102))),GJ[Debit]))))-((SUM(IF((CkDJ[Date]=$A$3)*(CkDJ[Sort Code]=(TRIM(G$4)))*(CkDJ[Account Code]=(TRIM($B102))),CkDJ[Credit])))+(SUM(IF((CsDJ[Date]=$A$3)*(CsDJ[Sort Code]=(TRIM(G$4)))*(CsDJ[Account Code]=(TRIM($B102))),CsDJ[Credit])))+(SUM(IF((CRDJ[Date]=$A$3)*(CRDJ[Sort Code]=(TRIM(G$4)))*(CRDJ[Account Code]=(TRIM($B102))),CRDJ[Credit])))+(SUM(IF((GJ[Date]=$A$3)*(GJ[Sort Code]=(TRIM(G$4)))*(GJ[Account Code]=(TRIM($B102))),GJ[Credit]))))</f>
        <v>0</v>
      </c>
      <c r="G102" s="343">
        <f t="shared" si="9"/>
        <v>0</v>
      </c>
      <c r="H102" s="246">
        <f t="shared" si="5"/>
        <v>0</v>
      </c>
      <c r="I102" s="246">
        <f t="shared" si="6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Code]=B103)*(Budget[Sort Code]=$G$4),(Budget[Amount])))</f>
        <v>0</v>
      </c>
      <c r="D103" s="245">
        <f t="array" ref="D103">SUM(IF((Budget[Account Code]=B103)*(Budget[Sort Code]=$G$4)*(Budget[Date]&lt;=$D$7),(Budget[Amount])))</f>
        <v>0</v>
      </c>
      <c r="E103" s="245">
        <f t="array" ref="E103">((SUM(IF((CkDJ[Sort Code]=(TRIM(G$4)))*(CkDJ[Account Code]=(TRIM($B103)))*(CkDJ[Date]&lt;=$E$7),CkDJ[Debit])))+(SUM(IF((CsDJ[Sort Code]=(TRIM(G$4)))*(CsDJ[Account Code]=(TRIM($B103)))*(CsDJ[Date]&lt;=$E$7),CsDJ[Debit])))+(SUM(IF((CRDJ[Sort Code]=(TRIM(G$4)))*(CRDJ[Account Code]=(TRIM($B103)))*(CRDJ[Date]&lt;=$E$7),CRDJ[Debit])))+(SUM(IF((GJ[Sort Code]=(TRIM(G$4)))*(GJ[Account Code]=(TRIM($B103)))*(GJ[Date]&lt;=$E$7),GJ[Debit]))))-((SUM(IF((CkDJ[Sort Code]=(TRIM(G$4)))*(CkDJ[Account Code]=(TRIM($B103)))*(CkDJ[Date]&lt;=$E$7),CkDJ[Credit])))+(SUM(IF((CsDJ[Sort Code]=(TRIM(G$4)))*(CsDJ[Account Code]=(TRIM($B103)))*(CsDJ[Date]&lt;=$E$7),CsDJ[Credit])))+(SUM(IF((CRDJ[Sort Code]=(TRIM(G$4)))*(CRDJ[Account Code]=(TRIM($B103)))*(CRDJ[Date]&lt;=$E$7),CRDJ[Credit])))+(SUM(IF((GJ[Sort Code]=(TRIM(G$4)))*(GJ[Account Code]=(TRIM($B103)))*(GJ[Date]&lt;=$E$7),GJ[Credit]))))</f>
        <v>0</v>
      </c>
      <c r="F103" s="245">
        <f t="array" ref="F103">((SUM(IF((CkDJ[Date]=$A$3)*(CkDJ[Sort Code]=(TRIM(G$4)))*(CkDJ[Account Code]=(TRIM($B103))),CkDJ[Debit])))+(SUM(IF((CsDJ[Date]=$A$3)*(CsDJ[Sort Code]=(TRIM(G$4)))*(CsDJ[Account Code]=(TRIM($B103))),CsDJ[Debit])))+(SUM(IF((CRDJ[Date]=$A$3)*(CRDJ[Sort Code]=(TRIM(G$4)))*(CRDJ[Account Code]=(TRIM($B103))),CRDJ[Debit])))+(SUM(IF((GJ[Date]=$A$3)*(GJ[Sort Code]=(TRIM(G$4)))*(GJ[Account Code]=(TRIM($B103))),GJ[Debit]))))-((SUM(IF((CkDJ[Date]=$A$3)*(CkDJ[Sort Code]=(TRIM(G$4)))*(CkDJ[Account Code]=(TRIM($B103))),CkDJ[Credit])))+(SUM(IF((CsDJ[Date]=$A$3)*(CsDJ[Sort Code]=(TRIM(G$4)))*(CsDJ[Account Code]=(TRIM($B103))),CsDJ[Credit])))+(SUM(IF((CRDJ[Date]=$A$3)*(CRDJ[Sort Code]=(TRIM(G$4)))*(CRDJ[Account Code]=(TRIM($B103))),CRDJ[Credit])))+(SUM(IF((GJ[Date]=$A$3)*(GJ[Sort Code]=(TRIM(G$4)))*(GJ[Account Code]=(TRIM($B103))),GJ[Credit]))))</f>
        <v>0</v>
      </c>
      <c r="G103" s="343">
        <f t="shared" si="9"/>
        <v>0</v>
      </c>
      <c r="H103" s="246">
        <f t="shared" si="5"/>
        <v>0</v>
      </c>
      <c r="I103" s="246">
        <f t="shared" si="6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Code]=B104)*(Budget[Sort Code]=$G$4),(Budget[Amount])))</f>
        <v>0</v>
      </c>
      <c r="D104" s="245">
        <f t="array" ref="D104">SUM(IF((Budget[Account Code]=B104)*(Budget[Sort Code]=$G$4)*(Budget[Date]&lt;=$D$7),(Budget[Amount])))</f>
        <v>0</v>
      </c>
      <c r="E104" s="245">
        <f t="array" ref="E104">((SUM(IF((CkDJ[Sort Code]=(TRIM(G$4)))*(CkDJ[Account Code]=(TRIM($B104)))*(CkDJ[Date]&lt;=$E$7),CkDJ[Debit])))+(SUM(IF((CsDJ[Sort Code]=(TRIM(G$4)))*(CsDJ[Account Code]=(TRIM($B104)))*(CsDJ[Date]&lt;=$E$7),CsDJ[Debit])))+(SUM(IF((CRDJ[Sort Code]=(TRIM(G$4)))*(CRDJ[Account Code]=(TRIM($B104)))*(CRDJ[Date]&lt;=$E$7),CRDJ[Debit])))+(SUM(IF((GJ[Sort Code]=(TRIM(G$4)))*(GJ[Account Code]=(TRIM($B104)))*(GJ[Date]&lt;=$E$7),GJ[Debit]))))-((SUM(IF((CkDJ[Sort Code]=(TRIM(G$4)))*(CkDJ[Account Code]=(TRIM($B104)))*(CkDJ[Date]&lt;=$E$7),CkDJ[Credit])))+(SUM(IF((CsDJ[Sort Code]=(TRIM(G$4)))*(CsDJ[Account Code]=(TRIM($B104)))*(CsDJ[Date]&lt;=$E$7),CsDJ[Credit])))+(SUM(IF((CRDJ[Sort Code]=(TRIM(G$4)))*(CRDJ[Account Code]=(TRIM($B104)))*(CRDJ[Date]&lt;=$E$7),CRDJ[Credit])))+(SUM(IF((GJ[Sort Code]=(TRIM(G$4)))*(GJ[Account Code]=(TRIM($B104)))*(GJ[Date]&lt;=$E$7),GJ[Credit]))))</f>
        <v>0</v>
      </c>
      <c r="F104" s="245">
        <f t="array" ref="F104">((SUM(IF((CkDJ[Date]=$A$3)*(CkDJ[Sort Code]=(TRIM(G$4)))*(CkDJ[Account Code]=(TRIM($B104))),CkDJ[Debit])))+(SUM(IF((CsDJ[Date]=$A$3)*(CsDJ[Sort Code]=(TRIM(G$4)))*(CsDJ[Account Code]=(TRIM($B104))),CsDJ[Debit])))+(SUM(IF((CRDJ[Date]=$A$3)*(CRDJ[Sort Code]=(TRIM(G$4)))*(CRDJ[Account Code]=(TRIM($B104))),CRDJ[Debit])))+(SUM(IF((GJ[Date]=$A$3)*(GJ[Sort Code]=(TRIM(G$4)))*(GJ[Account Code]=(TRIM($B104))),GJ[Debit]))))-((SUM(IF((CkDJ[Date]=$A$3)*(CkDJ[Sort Code]=(TRIM(G$4)))*(CkDJ[Account Code]=(TRIM($B104))),CkDJ[Credit])))+(SUM(IF((CsDJ[Date]=$A$3)*(CsDJ[Sort Code]=(TRIM(G$4)))*(CsDJ[Account Code]=(TRIM($B104))),CsDJ[Credit])))+(SUM(IF((CRDJ[Date]=$A$3)*(CRDJ[Sort Code]=(TRIM(G$4)))*(CRDJ[Account Code]=(TRIM($B104))),CRDJ[Credit])))+(SUM(IF((GJ[Date]=$A$3)*(GJ[Sort Code]=(TRIM(G$4)))*(GJ[Account Code]=(TRIM($B104))),GJ[Credit]))))</f>
        <v>0</v>
      </c>
      <c r="G104" s="343">
        <f t="shared" si="9"/>
        <v>0</v>
      </c>
      <c r="H104" s="246">
        <f t="shared" si="5"/>
        <v>0</v>
      </c>
      <c r="I104" s="246">
        <f t="shared" si="6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Code]=B105)*(Budget[Sort Code]=$G$4),(Budget[Amount])))</f>
        <v>0</v>
      </c>
      <c r="D105" s="245">
        <f t="array" ref="D105">SUM(IF((Budget[Account Code]=B105)*(Budget[Sort Code]=$G$4)*(Budget[Date]&lt;=$D$7),(Budget[Amount])))</f>
        <v>0</v>
      </c>
      <c r="E105" s="245">
        <f t="array" ref="E105">((SUM(IF((CkDJ[Sort Code]=(TRIM(G$4)))*(CkDJ[Account Code]=(TRIM($B105)))*(CkDJ[Date]&lt;=$E$7),CkDJ[Debit])))+(SUM(IF((CsDJ[Sort Code]=(TRIM(G$4)))*(CsDJ[Account Code]=(TRIM($B105)))*(CsDJ[Date]&lt;=$E$7),CsDJ[Debit])))+(SUM(IF((CRDJ[Sort Code]=(TRIM(G$4)))*(CRDJ[Account Code]=(TRIM($B105)))*(CRDJ[Date]&lt;=$E$7),CRDJ[Debit])))+(SUM(IF((GJ[Sort Code]=(TRIM(G$4)))*(GJ[Account Code]=(TRIM($B105)))*(GJ[Date]&lt;=$E$7),GJ[Debit]))))-((SUM(IF((CkDJ[Sort Code]=(TRIM(G$4)))*(CkDJ[Account Code]=(TRIM($B105)))*(CkDJ[Date]&lt;=$E$7),CkDJ[Credit])))+(SUM(IF((CsDJ[Sort Code]=(TRIM(G$4)))*(CsDJ[Account Code]=(TRIM($B105)))*(CsDJ[Date]&lt;=$E$7),CsDJ[Credit])))+(SUM(IF((CRDJ[Sort Code]=(TRIM(G$4)))*(CRDJ[Account Code]=(TRIM($B105)))*(CRDJ[Date]&lt;=$E$7),CRDJ[Credit])))+(SUM(IF((GJ[Sort Code]=(TRIM(G$4)))*(GJ[Account Code]=(TRIM($B105)))*(GJ[Date]&lt;=$E$7),GJ[Credit]))))</f>
        <v>0</v>
      </c>
      <c r="F105" s="245">
        <f t="array" ref="F105">((SUM(IF((CkDJ[Date]=$A$3)*(CkDJ[Sort Code]=(TRIM(G$4)))*(CkDJ[Account Code]=(TRIM($B105))),CkDJ[Debit])))+(SUM(IF((CsDJ[Date]=$A$3)*(CsDJ[Sort Code]=(TRIM(G$4)))*(CsDJ[Account Code]=(TRIM($B105))),CsDJ[Debit])))+(SUM(IF((CRDJ[Date]=$A$3)*(CRDJ[Sort Code]=(TRIM(G$4)))*(CRDJ[Account Code]=(TRIM($B105))),CRDJ[Debit])))+(SUM(IF((GJ[Date]=$A$3)*(GJ[Sort Code]=(TRIM(G$4)))*(GJ[Account Code]=(TRIM($B105))),GJ[Debit]))))-((SUM(IF((CkDJ[Date]=$A$3)*(CkDJ[Sort Code]=(TRIM(G$4)))*(CkDJ[Account Code]=(TRIM($B105))),CkDJ[Credit])))+(SUM(IF((CsDJ[Date]=$A$3)*(CsDJ[Sort Code]=(TRIM(G$4)))*(CsDJ[Account Code]=(TRIM($B105))),CsDJ[Credit])))+(SUM(IF((CRDJ[Date]=$A$3)*(CRDJ[Sort Code]=(TRIM(G$4)))*(CRDJ[Account Code]=(TRIM($B105))),CRDJ[Credit])))+(SUM(IF((GJ[Date]=$A$3)*(GJ[Sort Code]=(TRIM(G$4)))*(GJ[Account Code]=(TRIM($B105))),GJ[Credit]))))</f>
        <v>0</v>
      </c>
      <c r="G105" s="343">
        <f t="shared" si="9"/>
        <v>0</v>
      </c>
      <c r="H105" s="246">
        <f t="shared" si="5"/>
        <v>0</v>
      </c>
      <c r="I105" s="246">
        <f t="shared" si="6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Code]=B106)*(Budget[Sort Code]=$G$4),(Budget[Amount])))</f>
        <v>0</v>
      </c>
      <c r="D106" s="245">
        <f t="array" ref="D106">SUM(IF((Budget[Account Code]=B106)*(Budget[Sort Code]=$G$4)*(Budget[Date]&lt;=$D$7),(Budget[Amount])))</f>
        <v>0</v>
      </c>
      <c r="E106" s="245">
        <f t="array" ref="E106">((SUM(IF((CkDJ[Sort Code]=(TRIM(G$4)))*(CkDJ[Account Code]=(TRIM($B106)))*(CkDJ[Date]&lt;=$E$7),CkDJ[Debit])))+(SUM(IF((CsDJ[Sort Code]=(TRIM(G$4)))*(CsDJ[Account Code]=(TRIM($B106)))*(CsDJ[Date]&lt;=$E$7),CsDJ[Debit])))+(SUM(IF((CRDJ[Sort Code]=(TRIM(G$4)))*(CRDJ[Account Code]=(TRIM($B106)))*(CRDJ[Date]&lt;=$E$7),CRDJ[Debit])))+(SUM(IF((GJ[Sort Code]=(TRIM(G$4)))*(GJ[Account Code]=(TRIM($B106)))*(GJ[Date]&lt;=$E$7),GJ[Debit]))))-((SUM(IF((CkDJ[Sort Code]=(TRIM(G$4)))*(CkDJ[Account Code]=(TRIM($B106)))*(CkDJ[Date]&lt;=$E$7),CkDJ[Credit])))+(SUM(IF((CsDJ[Sort Code]=(TRIM(G$4)))*(CsDJ[Account Code]=(TRIM($B106)))*(CsDJ[Date]&lt;=$E$7),CsDJ[Credit])))+(SUM(IF((CRDJ[Sort Code]=(TRIM(G$4)))*(CRDJ[Account Code]=(TRIM($B106)))*(CRDJ[Date]&lt;=$E$7),CRDJ[Credit])))+(SUM(IF((GJ[Sort Code]=(TRIM(G$4)))*(GJ[Account Code]=(TRIM($B106)))*(GJ[Date]&lt;=$E$7),GJ[Credit]))))</f>
        <v>0</v>
      </c>
      <c r="F106" s="245">
        <f t="array" ref="F106">((SUM(IF((CkDJ[Date]=$A$3)*(CkDJ[Sort Code]=(TRIM(G$4)))*(CkDJ[Account Code]=(TRIM($B106))),CkDJ[Debit])))+(SUM(IF((CsDJ[Date]=$A$3)*(CsDJ[Sort Code]=(TRIM(G$4)))*(CsDJ[Account Code]=(TRIM($B106))),CsDJ[Debit])))+(SUM(IF((CRDJ[Date]=$A$3)*(CRDJ[Sort Code]=(TRIM(G$4)))*(CRDJ[Account Code]=(TRIM($B106))),CRDJ[Debit])))+(SUM(IF((GJ[Date]=$A$3)*(GJ[Sort Code]=(TRIM(G$4)))*(GJ[Account Code]=(TRIM($B106))),GJ[Debit]))))-((SUM(IF((CkDJ[Date]=$A$3)*(CkDJ[Sort Code]=(TRIM(G$4)))*(CkDJ[Account Code]=(TRIM($B106))),CkDJ[Credit])))+(SUM(IF((CsDJ[Date]=$A$3)*(CsDJ[Sort Code]=(TRIM(G$4)))*(CsDJ[Account Code]=(TRIM($B106))),CsDJ[Credit])))+(SUM(IF((CRDJ[Date]=$A$3)*(CRDJ[Sort Code]=(TRIM(G$4)))*(CRDJ[Account Code]=(TRIM($B106))),CRDJ[Credit])))+(SUM(IF((GJ[Date]=$A$3)*(GJ[Sort Code]=(TRIM(G$4)))*(GJ[Account Code]=(TRIM($B106))),GJ[Credit]))))</f>
        <v>0</v>
      </c>
      <c r="G106" s="343">
        <f t="shared" si="9"/>
        <v>0</v>
      </c>
      <c r="H106" s="246">
        <f t="shared" si="5"/>
        <v>0</v>
      </c>
      <c r="I106" s="246">
        <f t="shared" si="6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Code]=B107)*(Budget[Sort Code]=$G$4),(Budget[Amount])))</f>
        <v>0</v>
      </c>
      <c r="D107" s="245">
        <f t="array" ref="D107">SUM(IF((Budget[Account Code]=B107)*(Budget[Sort Code]=$G$4)*(Budget[Date]&lt;=$D$7),(Budget[Amount])))</f>
        <v>0</v>
      </c>
      <c r="E107" s="245">
        <f t="array" ref="E107">((SUM(IF((CkDJ[Sort Code]=(TRIM(G$4)))*(CkDJ[Account Code]=(TRIM($B107)))*(CkDJ[Date]&lt;=$E$7),CkDJ[Debit])))+(SUM(IF((CsDJ[Sort Code]=(TRIM(G$4)))*(CsDJ[Account Code]=(TRIM($B107)))*(CsDJ[Date]&lt;=$E$7),CsDJ[Debit])))+(SUM(IF((CRDJ[Sort Code]=(TRIM(G$4)))*(CRDJ[Account Code]=(TRIM($B107)))*(CRDJ[Date]&lt;=$E$7),CRDJ[Debit])))+(SUM(IF((GJ[Sort Code]=(TRIM(G$4)))*(GJ[Account Code]=(TRIM($B107)))*(GJ[Date]&lt;=$E$7),GJ[Debit]))))-((SUM(IF((CkDJ[Sort Code]=(TRIM(G$4)))*(CkDJ[Account Code]=(TRIM($B107)))*(CkDJ[Date]&lt;=$E$7),CkDJ[Credit])))+(SUM(IF((CsDJ[Sort Code]=(TRIM(G$4)))*(CsDJ[Account Code]=(TRIM($B107)))*(CsDJ[Date]&lt;=$E$7),CsDJ[Credit])))+(SUM(IF((CRDJ[Sort Code]=(TRIM(G$4)))*(CRDJ[Account Code]=(TRIM($B107)))*(CRDJ[Date]&lt;=$E$7),CRDJ[Credit])))+(SUM(IF((GJ[Sort Code]=(TRIM(G$4)))*(GJ[Account Code]=(TRIM($B107)))*(GJ[Date]&lt;=$E$7),GJ[Credit]))))</f>
        <v>0</v>
      </c>
      <c r="F107" s="245">
        <f t="array" ref="F107">((SUM(IF((CkDJ[Date]=$A$3)*(CkDJ[Sort Code]=(TRIM(G$4)))*(CkDJ[Account Code]=(TRIM($B107))),CkDJ[Debit])))+(SUM(IF((CsDJ[Date]=$A$3)*(CsDJ[Sort Code]=(TRIM(G$4)))*(CsDJ[Account Code]=(TRIM($B107))),CsDJ[Debit])))+(SUM(IF((CRDJ[Date]=$A$3)*(CRDJ[Sort Code]=(TRIM(G$4)))*(CRDJ[Account Code]=(TRIM($B107))),CRDJ[Debit])))+(SUM(IF((GJ[Date]=$A$3)*(GJ[Sort Code]=(TRIM(G$4)))*(GJ[Account Code]=(TRIM($B107))),GJ[Debit]))))-((SUM(IF((CkDJ[Date]=$A$3)*(CkDJ[Sort Code]=(TRIM(G$4)))*(CkDJ[Account Code]=(TRIM($B107))),CkDJ[Credit])))+(SUM(IF((CsDJ[Date]=$A$3)*(CsDJ[Sort Code]=(TRIM(G$4)))*(CsDJ[Account Code]=(TRIM($B107))),CsDJ[Credit])))+(SUM(IF((CRDJ[Date]=$A$3)*(CRDJ[Sort Code]=(TRIM(G$4)))*(CRDJ[Account Code]=(TRIM($B107))),CRDJ[Credit])))+(SUM(IF((GJ[Date]=$A$3)*(GJ[Sort Code]=(TRIM(G$4)))*(GJ[Account Code]=(TRIM($B107))),GJ[Credit]))))</f>
        <v>0</v>
      </c>
      <c r="G107" s="343">
        <f t="shared" si="9"/>
        <v>0</v>
      </c>
      <c r="H107" s="246">
        <f t="shared" si="5"/>
        <v>0</v>
      </c>
      <c r="I107" s="246">
        <f t="shared" si="6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Code]=B108)*(Budget[Sort Code]=$G$4),(Budget[Amount])))</f>
        <v>0</v>
      </c>
      <c r="D108" s="245">
        <f t="array" ref="D108">SUM(IF((Budget[Account Code]=B108)*(Budget[Sort Code]=$G$4)*(Budget[Date]&lt;=$D$7),(Budget[Amount])))</f>
        <v>0</v>
      </c>
      <c r="E108" s="245">
        <f t="array" ref="E108">((SUM(IF((CkDJ[Sort Code]=(TRIM(G$4)))*(CkDJ[Account Code]=(TRIM($B108)))*(CkDJ[Date]&lt;=$E$7),CkDJ[Debit])))+(SUM(IF((CsDJ[Sort Code]=(TRIM(G$4)))*(CsDJ[Account Code]=(TRIM($B108)))*(CsDJ[Date]&lt;=$E$7),CsDJ[Debit])))+(SUM(IF((CRDJ[Sort Code]=(TRIM(G$4)))*(CRDJ[Account Code]=(TRIM($B108)))*(CRDJ[Date]&lt;=$E$7),CRDJ[Debit])))+(SUM(IF((GJ[Sort Code]=(TRIM(G$4)))*(GJ[Account Code]=(TRIM($B108)))*(GJ[Date]&lt;=$E$7),GJ[Debit]))))-((SUM(IF((CkDJ[Sort Code]=(TRIM(G$4)))*(CkDJ[Account Code]=(TRIM($B108)))*(CkDJ[Date]&lt;=$E$7),CkDJ[Credit])))+(SUM(IF((CsDJ[Sort Code]=(TRIM(G$4)))*(CsDJ[Account Code]=(TRIM($B108)))*(CsDJ[Date]&lt;=$E$7),CsDJ[Credit])))+(SUM(IF((CRDJ[Sort Code]=(TRIM(G$4)))*(CRDJ[Account Code]=(TRIM($B108)))*(CRDJ[Date]&lt;=$E$7),CRDJ[Credit])))+(SUM(IF((GJ[Sort Code]=(TRIM(G$4)))*(GJ[Account Code]=(TRIM($B108)))*(GJ[Date]&lt;=$E$7),GJ[Credit]))))</f>
        <v>0</v>
      </c>
      <c r="F108" s="245">
        <f t="array" ref="F108">((SUM(IF((CkDJ[Date]=$A$3)*(CkDJ[Sort Code]=(TRIM(G$4)))*(CkDJ[Account Code]=(TRIM($B108))),CkDJ[Debit])))+(SUM(IF((CsDJ[Date]=$A$3)*(CsDJ[Sort Code]=(TRIM(G$4)))*(CsDJ[Account Code]=(TRIM($B108))),CsDJ[Debit])))+(SUM(IF((CRDJ[Date]=$A$3)*(CRDJ[Sort Code]=(TRIM(G$4)))*(CRDJ[Account Code]=(TRIM($B108))),CRDJ[Debit])))+(SUM(IF((GJ[Date]=$A$3)*(GJ[Sort Code]=(TRIM(G$4)))*(GJ[Account Code]=(TRIM($B108))),GJ[Debit]))))-((SUM(IF((CkDJ[Date]=$A$3)*(CkDJ[Sort Code]=(TRIM(G$4)))*(CkDJ[Account Code]=(TRIM($B108))),CkDJ[Credit])))+(SUM(IF((CsDJ[Date]=$A$3)*(CsDJ[Sort Code]=(TRIM(G$4)))*(CsDJ[Account Code]=(TRIM($B108))),CsDJ[Credit])))+(SUM(IF((CRDJ[Date]=$A$3)*(CRDJ[Sort Code]=(TRIM(G$4)))*(CRDJ[Account Code]=(TRIM($B108))),CRDJ[Credit])))+(SUM(IF((GJ[Date]=$A$3)*(GJ[Sort Code]=(TRIM(G$4)))*(GJ[Account Code]=(TRIM($B108))),GJ[Credit]))))</f>
        <v>0</v>
      </c>
      <c r="G108" s="343">
        <f t="shared" si="9"/>
        <v>0</v>
      </c>
      <c r="H108" s="246">
        <f t="shared" si="5"/>
        <v>0</v>
      </c>
      <c r="I108" s="246">
        <f t="shared" si="6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Code]=B109)*(Budget[Sort Code]=$G$4),(Budget[Amount])))</f>
        <v>0</v>
      </c>
      <c r="D109" s="245">
        <f t="array" ref="D109">SUM(IF((Budget[Account Code]=B109)*(Budget[Sort Code]=$G$4)*(Budget[Date]&lt;=$D$7),(Budget[Amount])))</f>
        <v>0</v>
      </c>
      <c r="E109" s="245">
        <f t="array" ref="E109">((SUM(IF((CkDJ[Sort Code]=(TRIM(G$4)))*(CkDJ[Account Code]=(TRIM($B109)))*(CkDJ[Date]&lt;=$E$7),CkDJ[Debit])))+(SUM(IF((CsDJ[Sort Code]=(TRIM(G$4)))*(CsDJ[Account Code]=(TRIM($B109)))*(CsDJ[Date]&lt;=$E$7),CsDJ[Debit])))+(SUM(IF((CRDJ[Sort Code]=(TRIM(G$4)))*(CRDJ[Account Code]=(TRIM($B109)))*(CRDJ[Date]&lt;=$E$7),CRDJ[Debit])))+(SUM(IF((GJ[Sort Code]=(TRIM(G$4)))*(GJ[Account Code]=(TRIM($B109)))*(GJ[Date]&lt;=$E$7),GJ[Debit]))))-((SUM(IF((CkDJ[Sort Code]=(TRIM(G$4)))*(CkDJ[Account Code]=(TRIM($B109)))*(CkDJ[Date]&lt;=$E$7),CkDJ[Credit])))+(SUM(IF((CsDJ[Sort Code]=(TRIM(G$4)))*(CsDJ[Account Code]=(TRIM($B109)))*(CsDJ[Date]&lt;=$E$7),CsDJ[Credit])))+(SUM(IF((CRDJ[Sort Code]=(TRIM(G$4)))*(CRDJ[Account Code]=(TRIM($B109)))*(CRDJ[Date]&lt;=$E$7),CRDJ[Credit])))+(SUM(IF((GJ[Sort Code]=(TRIM(G$4)))*(GJ[Account Code]=(TRIM($B109)))*(GJ[Date]&lt;=$E$7),GJ[Credit]))))</f>
        <v>0</v>
      </c>
      <c r="F109" s="245">
        <f t="array" ref="F109">((SUM(IF((CkDJ[Date]=$A$3)*(CkDJ[Sort Code]=(TRIM(G$4)))*(CkDJ[Account Code]=(TRIM($B109))),CkDJ[Debit])))+(SUM(IF((CsDJ[Date]=$A$3)*(CsDJ[Sort Code]=(TRIM(G$4)))*(CsDJ[Account Code]=(TRIM($B109))),CsDJ[Debit])))+(SUM(IF((CRDJ[Date]=$A$3)*(CRDJ[Sort Code]=(TRIM(G$4)))*(CRDJ[Account Code]=(TRIM($B109))),CRDJ[Debit])))+(SUM(IF((GJ[Date]=$A$3)*(GJ[Sort Code]=(TRIM(G$4)))*(GJ[Account Code]=(TRIM($B109))),GJ[Debit]))))-((SUM(IF((CkDJ[Date]=$A$3)*(CkDJ[Sort Code]=(TRIM(G$4)))*(CkDJ[Account Code]=(TRIM($B109))),CkDJ[Credit])))+(SUM(IF((CsDJ[Date]=$A$3)*(CsDJ[Sort Code]=(TRIM(G$4)))*(CsDJ[Account Code]=(TRIM($B109))),CsDJ[Credit])))+(SUM(IF((CRDJ[Date]=$A$3)*(CRDJ[Sort Code]=(TRIM(G$4)))*(CRDJ[Account Code]=(TRIM($B109))),CRDJ[Credit])))+(SUM(IF((GJ[Date]=$A$3)*(GJ[Sort Code]=(TRIM(G$4)))*(GJ[Account Code]=(TRIM($B109))),GJ[Credit]))))</f>
        <v>0</v>
      </c>
      <c r="G109" s="343">
        <f t="shared" si="9"/>
        <v>0</v>
      </c>
      <c r="H109" s="246">
        <f t="shared" si="5"/>
        <v>0</v>
      </c>
      <c r="I109" s="246">
        <f t="shared" si="6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Code]=B110)*(Budget[Sort Code]=$G$4),(Budget[Amount])))</f>
        <v>0</v>
      </c>
      <c r="D110" s="245">
        <f t="array" ref="D110">SUM(IF((Budget[Account Code]=B110)*(Budget[Sort Code]=$G$4)*(Budget[Date]&lt;=$D$7),(Budget[Amount])))</f>
        <v>0</v>
      </c>
      <c r="E110" s="245">
        <f t="array" ref="E110">((SUM(IF((CkDJ[Sort Code]=(TRIM(G$4)))*(CkDJ[Account Code]=(TRIM($B110)))*(CkDJ[Date]&lt;=$E$7),CkDJ[Debit])))+(SUM(IF((CsDJ[Sort Code]=(TRIM(G$4)))*(CsDJ[Account Code]=(TRIM($B110)))*(CsDJ[Date]&lt;=$E$7),CsDJ[Debit])))+(SUM(IF((CRDJ[Sort Code]=(TRIM(G$4)))*(CRDJ[Account Code]=(TRIM($B110)))*(CRDJ[Date]&lt;=$E$7),CRDJ[Debit])))+(SUM(IF((GJ[Sort Code]=(TRIM(G$4)))*(GJ[Account Code]=(TRIM($B110)))*(GJ[Date]&lt;=$E$7),GJ[Debit]))))-((SUM(IF((CkDJ[Sort Code]=(TRIM(G$4)))*(CkDJ[Account Code]=(TRIM($B110)))*(CkDJ[Date]&lt;=$E$7),CkDJ[Credit])))+(SUM(IF((CsDJ[Sort Code]=(TRIM(G$4)))*(CsDJ[Account Code]=(TRIM($B110)))*(CsDJ[Date]&lt;=$E$7),CsDJ[Credit])))+(SUM(IF((CRDJ[Sort Code]=(TRIM(G$4)))*(CRDJ[Account Code]=(TRIM($B110)))*(CRDJ[Date]&lt;=$E$7),CRDJ[Credit])))+(SUM(IF((GJ[Sort Code]=(TRIM(G$4)))*(GJ[Account Code]=(TRIM($B110)))*(GJ[Date]&lt;=$E$7),GJ[Credit]))))</f>
        <v>0</v>
      </c>
      <c r="F110" s="245">
        <f t="array" ref="F110">((SUM(IF((CkDJ[Date]=$A$3)*(CkDJ[Sort Code]=(TRIM(G$4)))*(CkDJ[Account Code]=(TRIM($B110))),CkDJ[Debit])))+(SUM(IF((CsDJ[Date]=$A$3)*(CsDJ[Sort Code]=(TRIM(G$4)))*(CsDJ[Account Code]=(TRIM($B110))),CsDJ[Debit])))+(SUM(IF((CRDJ[Date]=$A$3)*(CRDJ[Sort Code]=(TRIM(G$4)))*(CRDJ[Account Code]=(TRIM($B110))),CRDJ[Debit])))+(SUM(IF((GJ[Date]=$A$3)*(GJ[Sort Code]=(TRIM(G$4)))*(GJ[Account Code]=(TRIM($B110))),GJ[Debit]))))-((SUM(IF((CkDJ[Date]=$A$3)*(CkDJ[Sort Code]=(TRIM(G$4)))*(CkDJ[Account Code]=(TRIM($B110))),CkDJ[Credit])))+(SUM(IF((CsDJ[Date]=$A$3)*(CsDJ[Sort Code]=(TRIM(G$4)))*(CsDJ[Account Code]=(TRIM($B110))),CsDJ[Credit])))+(SUM(IF((CRDJ[Date]=$A$3)*(CRDJ[Sort Code]=(TRIM(G$4)))*(CRDJ[Account Code]=(TRIM($B110))),CRDJ[Credit])))+(SUM(IF((GJ[Date]=$A$3)*(GJ[Sort Code]=(TRIM(G$4)))*(GJ[Account Code]=(TRIM($B110))),GJ[Credit]))))</f>
        <v>0</v>
      </c>
      <c r="G110" s="343">
        <f t="shared" si="9"/>
        <v>0</v>
      </c>
      <c r="H110" s="246">
        <f t="shared" si="5"/>
        <v>0</v>
      </c>
      <c r="I110" s="246">
        <f t="shared" si="6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Code]=B111)*(Budget[Sort Code]=$G$4),(Budget[Amount])))</f>
        <v>250200</v>
      </c>
      <c r="D111" s="245">
        <f t="array" ref="D111">SUM(IF((Budget[Account Code]=B111)*(Budget[Sort Code]=$G$4)*(Budget[Date]&lt;=$D$7),(Budget[Amount])))</f>
        <v>250200</v>
      </c>
      <c r="E111" s="245">
        <f t="array" ref="E111">((SUM(IF((CkDJ[Sort Code]=(TRIM(G$4)))*(CkDJ[Account Code]=(TRIM($B111)))*(CkDJ[Date]&lt;=$E$7),CkDJ[Debit])))+(SUM(IF((CsDJ[Sort Code]=(TRIM(G$4)))*(CsDJ[Account Code]=(TRIM($B111)))*(CsDJ[Date]&lt;=$E$7),CsDJ[Debit])))+(SUM(IF((CRDJ[Sort Code]=(TRIM(G$4)))*(CRDJ[Account Code]=(TRIM($B111)))*(CRDJ[Date]&lt;=$E$7),CRDJ[Debit])))+(SUM(IF((GJ[Sort Code]=(TRIM(G$4)))*(GJ[Account Code]=(TRIM($B111)))*(GJ[Date]&lt;=$E$7),GJ[Debit]))))-((SUM(IF((CkDJ[Sort Code]=(TRIM(G$4)))*(CkDJ[Account Code]=(TRIM($B111)))*(CkDJ[Date]&lt;=$E$7),CkDJ[Credit])))+(SUM(IF((CsDJ[Sort Code]=(TRIM(G$4)))*(CsDJ[Account Code]=(TRIM($B111)))*(CsDJ[Date]&lt;=$E$7),CsDJ[Credit])))+(SUM(IF((CRDJ[Sort Code]=(TRIM(G$4)))*(CRDJ[Account Code]=(TRIM($B111)))*(CRDJ[Date]&lt;=$E$7),CRDJ[Credit])))+(SUM(IF((GJ[Sort Code]=(TRIM(G$4)))*(GJ[Account Code]=(TRIM($B111)))*(GJ[Date]&lt;=$E$7),GJ[Credit]))))</f>
        <v>0</v>
      </c>
      <c r="F111" s="245">
        <f t="array" ref="F111">((SUM(IF((CkDJ[Date]=$A$3)*(CkDJ[Sort Code]=(TRIM(G$4)))*(CkDJ[Account Code]=(TRIM($B111))),CkDJ[Debit])))+(SUM(IF((CsDJ[Date]=$A$3)*(CsDJ[Sort Code]=(TRIM(G$4)))*(CsDJ[Account Code]=(TRIM($B111))),CsDJ[Debit])))+(SUM(IF((CRDJ[Date]=$A$3)*(CRDJ[Sort Code]=(TRIM(G$4)))*(CRDJ[Account Code]=(TRIM($B111))),CRDJ[Debit])))+(SUM(IF((GJ[Date]=$A$3)*(GJ[Sort Code]=(TRIM(G$4)))*(GJ[Account Code]=(TRIM($B111))),GJ[Debit]))))-((SUM(IF((CkDJ[Date]=$A$3)*(CkDJ[Sort Code]=(TRIM(G$4)))*(CkDJ[Account Code]=(TRIM($B111))),CkDJ[Credit])))+(SUM(IF((CsDJ[Date]=$A$3)*(CsDJ[Sort Code]=(TRIM(G$4)))*(CsDJ[Account Code]=(TRIM($B111))),CsDJ[Credit])))+(SUM(IF((CRDJ[Date]=$A$3)*(CRDJ[Sort Code]=(TRIM(G$4)))*(CRDJ[Account Code]=(TRIM($B111))),CRDJ[Credit])))+(SUM(IF((GJ[Date]=$A$3)*(GJ[Sort Code]=(TRIM(G$4)))*(GJ[Account Code]=(TRIM($B111))),GJ[Credit]))))</f>
        <v>0</v>
      </c>
      <c r="G111" s="343">
        <f t="shared" si="9"/>
        <v>0</v>
      </c>
      <c r="H111" s="246">
        <f t="shared" si="5"/>
        <v>-250200</v>
      </c>
      <c r="I111" s="246">
        <f t="shared" si="6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Code]=B112)*(Budget[Sort Code]=$G$4),(Budget[Amount])))</f>
        <v>3550000.12</v>
      </c>
      <c r="D112" s="245">
        <f t="array" ref="D112">SUM(IF((Budget[Account Code]=B112)*(Budget[Sort Code]=$G$4)*(Budget[Date]&lt;=$D$7),(Budget[Amount])))</f>
        <v>3550000.12</v>
      </c>
      <c r="E112" s="245">
        <f t="array" ref="E112">((SUM(IF((CkDJ[Sort Code]=(TRIM(G$4)))*(CkDJ[Account Code]=(TRIM($B112)))*(CkDJ[Date]&lt;=$E$7),CkDJ[Debit])))+(SUM(IF((CsDJ[Sort Code]=(TRIM(G$4)))*(CsDJ[Account Code]=(TRIM($B112)))*(CsDJ[Date]&lt;=$E$7),CsDJ[Debit])))+(SUM(IF((CRDJ[Sort Code]=(TRIM(G$4)))*(CRDJ[Account Code]=(TRIM($B112)))*(CRDJ[Date]&lt;=$E$7),CRDJ[Debit])))+(SUM(IF((GJ[Sort Code]=(TRIM(G$4)))*(GJ[Account Code]=(TRIM($B112)))*(GJ[Date]&lt;=$E$7),GJ[Debit]))))-((SUM(IF((CkDJ[Sort Code]=(TRIM(G$4)))*(CkDJ[Account Code]=(TRIM($B112)))*(CkDJ[Date]&lt;=$E$7),CkDJ[Credit])))+(SUM(IF((CsDJ[Sort Code]=(TRIM(G$4)))*(CsDJ[Account Code]=(TRIM($B112)))*(CsDJ[Date]&lt;=$E$7),CsDJ[Credit])))+(SUM(IF((CRDJ[Sort Code]=(TRIM(G$4)))*(CRDJ[Account Code]=(TRIM($B112)))*(CRDJ[Date]&lt;=$E$7),CRDJ[Credit])))+(SUM(IF((GJ[Sort Code]=(TRIM(G$4)))*(GJ[Account Code]=(TRIM($B112)))*(GJ[Date]&lt;=$E$7),GJ[Credit]))))</f>
        <v>0</v>
      </c>
      <c r="F112" s="245">
        <f t="array" ref="F112">((SUM(IF((CkDJ[Date]=$A$3)*(CkDJ[Sort Code]=(TRIM(G$4)))*(CkDJ[Account Code]=(TRIM($B112))),CkDJ[Debit])))+(SUM(IF((CsDJ[Date]=$A$3)*(CsDJ[Sort Code]=(TRIM(G$4)))*(CsDJ[Account Code]=(TRIM($B112))),CsDJ[Debit])))+(SUM(IF((CRDJ[Date]=$A$3)*(CRDJ[Sort Code]=(TRIM(G$4)))*(CRDJ[Account Code]=(TRIM($B112))),CRDJ[Debit])))+(SUM(IF((GJ[Date]=$A$3)*(GJ[Sort Code]=(TRIM(G$4)))*(GJ[Account Code]=(TRIM($B112))),GJ[Debit]))))-((SUM(IF((CkDJ[Date]=$A$3)*(CkDJ[Sort Code]=(TRIM(G$4)))*(CkDJ[Account Code]=(TRIM($B112))),CkDJ[Credit])))+(SUM(IF((CsDJ[Date]=$A$3)*(CsDJ[Sort Code]=(TRIM(G$4)))*(CsDJ[Account Code]=(TRIM($B112))),CsDJ[Credit])))+(SUM(IF((CRDJ[Date]=$A$3)*(CRDJ[Sort Code]=(TRIM(G$4)))*(CRDJ[Account Code]=(TRIM($B112))),CRDJ[Credit])))+(SUM(IF((GJ[Date]=$A$3)*(GJ[Sort Code]=(TRIM(G$4)))*(GJ[Account Code]=(TRIM($B112))),GJ[Credit]))))</f>
        <v>0</v>
      </c>
      <c r="G112" s="343">
        <f t="shared" si="9"/>
        <v>0</v>
      </c>
      <c r="H112" s="246">
        <f t="shared" si="5"/>
        <v>-3550000.12</v>
      </c>
      <c r="I112" s="246">
        <f t="shared" si="6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Code]=B113)*(Budget[Sort Code]=$G$4),(Budget[Amount])))</f>
        <v>0</v>
      </c>
      <c r="D113" s="245">
        <f t="array" ref="D113">SUM(IF((Budget[Account Code]=B113)*(Budget[Sort Code]=$G$4)*(Budget[Date]&lt;=$D$7),(Budget[Amount])))</f>
        <v>0</v>
      </c>
      <c r="E113" s="245">
        <f t="array" ref="E113">((SUM(IF((CkDJ[Sort Code]=(TRIM(G$4)))*(CkDJ[Account Code]=(TRIM($B113)))*(CkDJ[Date]&lt;=$E$7),CkDJ[Debit])))+(SUM(IF((CsDJ[Sort Code]=(TRIM(G$4)))*(CsDJ[Account Code]=(TRIM($B113)))*(CsDJ[Date]&lt;=$E$7),CsDJ[Debit])))+(SUM(IF((CRDJ[Sort Code]=(TRIM(G$4)))*(CRDJ[Account Code]=(TRIM($B113)))*(CRDJ[Date]&lt;=$E$7),CRDJ[Debit])))+(SUM(IF((GJ[Sort Code]=(TRIM(G$4)))*(GJ[Account Code]=(TRIM($B113)))*(GJ[Date]&lt;=$E$7),GJ[Debit]))))-((SUM(IF((CkDJ[Sort Code]=(TRIM(G$4)))*(CkDJ[Account Code]=(TRIM($B113)))*(CkDJ[Date]&lt;=$E$7),CkDJ[Credit])))+(SUM(IF((CsDJ[Sort Code]=(TRIM(G$4)))*(CsDJ[Account Code]=(TRIM($B113)))*(CsDJ[Date]&lt;=$E$7),CsDJ[Credit])))+(SUM(IF((CRDJ[Sort Code]=(TRIM(G$4)))*(CRDJ[Account Code]=(TRIM($B113)))*(CRDJ[Date]&lt;=$E$7),CRDJ[Credit])))+(SUM(IF((GJ[Sort Code]=(TRIM(G$4)))*(GJ[Account Code]=(TRIM($B113)))*(GJ[Date]&lt;=$E$7),GJ[Credit]))))</f>
        <v>0</v>
      </c>
      <c r="F113" s="245">
        <f t="array" ref="F113">((SUM(IF((CkDJ[Date]=$A$3)*(CkDJ[Sort Code]=(TRIM(G$4)))*(CkDJ[Account Code]=(TRIM($B113))),CkDJ[Debit])))+(SUM(IF((CsDJ[Date]=$A$3)*(CsDJ[Sort Code]=(TRIM(G$4)))*(CsDJ[Account Code]=(TRIM($B113))),CsDJ[Debit])))+(SUM(IF((CRDJ[Date]=$A$3)*(CRDJ[Sort Code]=(TRIM(G$4)))*(CRDJ[Account Code]=(TRIM($B113))),CRDJ[Debit])))+(SUM(IF((GJ[Date]=$A$3)*(GJ[Sort Code]=(TRIM(G$4)))*(GJ[Account Code]=(TRIM($B113))),GJ[Debit]))))-((SUM(IF((CkDJ[Date]=$A$3)*(CkDJ[Sort Code]=(TRIM(G$4)))*(CkDJ[Account Code]=(TRIM($B113))),CkDJ[Credit])))+(SUM(IF((CsDJ[Date]=$A$3)*(CsDJ[Sort Code]=(TRIM(G$4)))*(CsDJ[Account Code]=(TRIM($B113))),CsDJ[Credit])))+(SUM(IF((CRDJ[Date]=$A$3)*(CRDJ[Sort Code]=(TRIM(G$4)))*(CRDJ[Account Code]=(TRIM($B113))),CRDJ[Credit])))+(SUM(IF((GJ[Date]=$A$3)*(GJ[Sort Code]=(TRIM(G$4)))*(GJ[Account Code]=(TRIM($B113))),GJ[Credit]))))</f>
        <v>0</v>
      </c>
      <c r="G113" s="343">
        <f t="shared" si="9"/>
        <v>0</v>
      </c>
      <c r="H113" s="246">
        <f t="shared" si="5"/>
        <v>0</v>
      </c>
      <c r="I113" s="246">
        <f t="shared" si="6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Code]=B114)*(Budget[Sort Code]=$G$4),(Budget[Amount])))</f>
        <v>0</v>
      </c>
      <c r="D114" s="245">
        <f t="array" ref="D114">SUM(IF((Budget[Account Code]=B114)*(Budget[Sort Code]=$G$4)*(Budget[Date]&lt;=$D$7),(Budget[Amount])))</f>
        <v>0</v>
      </c>
      <c r="E114" s="245">
        <f t="array" ref="E114">((SUM(IF((CkDJ[Sort Code]=(TRIM(G$4)))*(CkDJ[Account Code]=(TRIM($B114)))*(CkDJ[Date]&lt;=$E$7),CkDJ[Debit])))+(SUM(IF((CsDJ[Sort Code]=(TRIM(G$4)))*(CsDJ[Account Code]=(TRIM($B114)))*(CsDJ[Date]&lt;=$E$7),CsDJ[Debit])))+(SUM(IF((CRDJ[Sort Code]=(TRIM(G$4)))*(CRDJ[Account Code]=(TRIM($B114)))*(CRDJ[Date]&lt;=$E$7),CRDJ[Debit])))+(SUM(IF((GJ[Sort Code]=(TRIM(G$4)))*(GJ[Account Code]=(TRIM($B114)))*(GJ[Date]&lt;=$E$7),GJ[Debit]))))-((SUM(IF((CkDJ[Sort Code]=(TRIM(G$4)))*(CkDJ[Account Code]=(TRIM($B114)))*(CkDJ[Date]&lt;=$E$7),CkDJ[Credit])))+(SUM(IF((CsDJ[Sort Code]=(TRIM(G$4)))*(CsDJ[Account Code]=(TRIM($B114)))*(CsDJ[Date]&lt;=$E$7),CsDJ[Credit])))+(SUM(IF((CRDJ[Sort Code]=(TRIM(G$4)))*(CRDJ[Account Code]=(TRIM($B114)))*(CRDJ[Date]&lt;=$E$7),CRDJ[Credit])))+(SUM(IF((GJ[Sort Code]=(TRIM(G$4)))*(GJ[Account Code]=(TRIM($B114)))*(GJ[Date]&lt;=$E$7),GJ[Credit]))))</f>
        <v>0</v>
      </c>
      <c r="F114" s="245">
        <f t="array" ref="F114">((SUM(IF((CkDJ[Date]=$A$3)*(CkDJ[Sort Code]=(TRIM(G$4)))*(CkDJ[Account Code]=(TRIM($B114))),CkDJ[Debit])))+(SUM(IF((CsDJ[Date]=$A$3)*(CsDJ[Sort Code]=(TRIM(G$4)))*(CsDJ[Account Code]=(TRIM($B114))),CsDJ[Debit])))+(SUM(IF((CRDJ[Date]=$A$3)*(CRDJ[Sort Code]=(TRIM(G$4)))*(CRDJ[Account Code]=(TRIM($B114))),CRDJ[Debit])))+(SUM(IF((GJ[Date]=$A$3)*(GJ[Sort Code]=(TRIM(G$4)))*(GJ[Account Code]=(TRIM($B114))),GJ[Debit]))))-((SUM(IF((CkDJ[Date]=$A$3)*(CkDJ[Sort Code]=(TRIM(G$4)))*(CkDJ[Account Code]=(TRIM($B114))),CkDJ[Credit])))+(SUM(IF((CsDJ[Date]=$A$3)*(CsDJ[Sort Code]=(TRIM(G$4)))*(CsDJ[Account Code]=(TRIM($B114))),CsDJ[Credit])))+(SUM(IF((CRDJ[Date]=$A$3)*(CRDJ[Sort Code]=(TRIM(G$4)))*(CRDJ[Account Code]=(TRIM($B114))),CRDJ[Credit])))+(SUM(IF((GJ[Date]=$A$3)*(GJ[Sort Code]=(TRIM(G$4)))*(GJ[Account Code]=(TRIM($B114))),GJ[Credit]))))</f>
        <v>0</v>
      </c>
      <c r="G114" s="343">
        <f t="shared" si="9"/>
        <v>0</v>
      </c>
      <c r="H114" s="246">
        <f t="shared" si="5"/>
        <v>0</v>
      </c>
      <c r="I114" s="246">
        <f t="shared" si="6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Code]=B115)*(Budget[Sort Code]=$G$4),(Budget[Amount])))</f>
        <v>0</v>
      </c>
      <c r="D115" s="245">
        <f t="array" ref="D115">SUM(IF((Budget[Account Code]=B115)*(Budget[Sort Code]=$G$4)*(Budget[Date]&lt;=$D$7),(Budget[Amount])))</f>
        <v>0</v>
      </c>
      <c r="E115" s="245">
        <f t="array" ref="E115">((SUM(IF((CkDJ[Sort Code]=(TRIM(G$4)))*(CkDJ[Account Code]=(TRIM($B115)))*(CkDJ[Date]&lt;=$E$7),CkDJ[Debit])))+(SUM(IF((CsDJ[Sort Code]=(TRIM(G$4)))*(CsDJ[Account Code]=(TRIM($B115)))*(CsDJ[Date]&lt;=$E$7),CsDJ[Debit])))+(SUM(IF((CRDJ[Sort Code]=(TRIM(G$4)))*(CRDJ[Account Code]=(TRIM($B115)))*(CRDJ[Date]&lt;=$E$7),CRDJ[Debit])))+(SUM(IF((GJ[Sort Code]=(TRIM(G$4)))*(GJ[Account Code]=(TRIM($B115)))*(GJ[Date]&lt;=$E$7),GJ[Debit]))))-((SUM(IF((CkDJ[Sort Code]=(TRIM(G$4)))*(CkDJ[Account Code]=(TRIM($B115)))*(CkDJ[Date]&lt;=$E$7),CkDJ[Credit])))+(SUM(IF((CsDJ[Sort Code]=(TRIM(G$4)))*(CsDJ[Account Code]=(TRIM($B115)))*(CsDJ[Date]&lt;=$E$7),CsDJ[Credit])))+(SUM(IF((CRDJ[Sort Code]=(TRIM(G$4)))*(CRDJ[Account Code]=(TRIM($B115)))*(CRDJ[Date]&lt;=$E$7),CRDJ[Credit])))+(SUM(IF((GJ[Sort Code]=(TRIM(G$4)))*(GJ[Account Code]=(TRIM($B115)))*(GJ[Date]&lt;=$E$7),GJ[Credit]))))</f>
        <v>0</v>
      </c>
      <c r="F115" s="245">
        <f t="array" ref="F115">((SUM(IF((CkDJ[Date]=$A$3)*(CkDJ[Sort Code]=(TRIM(G$4)))*(CkDJ[Account Code]=(TRIM($B115))),CkDJ[Debit])))+(SUM(IF((CsDJ[Date]=$A$3)*(CsDJ[Sort Code]=(TRIM(G$4)))*(CsDJ[Account Code]=(TRIM($B115))),CsDJ[Debit])))+(SUM(IF((CRDJ[Date]=$A$3)*(CRDJ[Sort Code]=(TRIM(G$4)))*(CRDJ[Account Code]=(TRIM($B115))),CRDJ[Debit])))+(SUM(IF((GJ[Date]=$A$3)*(GJ[Sort Code]=(TRIM(G$4)))*(GJ[Account Code]=(TRIM($B115))),GJ[Debit]))))-((SUM(IF((CkDJ[Date]=$A$3)*(CkDJ[Sort Code]=(TRIM(G$4)))*(CkDJ[Account Code]=(TRIM($B115))),CkDJ[Credit])))+(SUM(IF((CsDJ[Date]=$A$3)*(CsDJ[Sort Code]=(TRIM(G$4)))*(CsDJ[Account Code]=(TRIM($B115))),CsDJ[Credit])))+(SUM(IF((CRDJ[Date]=$A$3)*(CRDJ[Sort Code]=(TRIM(G$4)))*(CRDJ[Account Code]=(TRIM($B115))),CRDJ[Credit])))+(SUM(IF((GJ[Date]=$A$3)*(GJ[Sort Code]=(TRIM(G$4)))*(GJ[Account Code]=(TRIM($B115))),GJ[Credit]))))</f>
        <v>0</v>
      </c>
      <c r="G115" s="343">
        <f t="shared" si="9"/>
        <v>0</v>
      </c>
      <c r="H115" s="246">
        <f t="shared" si="5"/>
        <v>0</v>
      </c>
      <c r="I115" s="246">
        <f t="shared" si="6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Code]=B116)*(Budget[Sort Code]=$G$4),(Budget[Amount])))</f>
        <v>0</v>
      </c>
      <c r="D116" s="245">
        <f t="array" ref="D116">SUM(IF((Budget[Account Code]=B116)*(Budget[Sort Code]=$G$4)*(Budget[Date]&lt;=$D$7),(Budget[Amount])))</f>
        <v>0</v>
      </c>
      <c r="E116" s="245">
        <f t="array" ref="E116">((SUM(IF((CkDJ[Sort Code]=(TRIM(G$4)))*(CkDJ[Account Code]=(TRIM($B116)))*(CkDJ[Date]&lt;=$E$7),CkDJ[Debit])))+(SUM(IF((CsDJ[Sort Code]=(TRIM(G$4)))*(CsDJ[Account Code]=(TRIM($B116)))*(CsDJ[Date]&lt;=$E$7),CsDJ[Debit])))+(SUM(IF((CRDJ[Sort Code]=(TRIM(G$4)))*(CRDJ[Account Code]=(TRIM($B116)))*(CRDJ[Date]&lt;=$E$7),CRDJ[Debit])))+(SUM(IF((GJ[Sort Code]=(TRIM(G$4)))*(GJ[Account Code]=(TRIM($B116)))*(GJ[Date]&lt;=$E$7),GJ[Debit]))))-((SUM(IF((CkDJ[Sort Code]=(TRIM(G$4)))*(CkDJ[Account Code]=(TRIM($B116)))*(CkDJ[Date]&lt;=$E$7),CkDJ[Credit])))+(SUM(IF((CsDJ[Sort Code]=(TRIM(G$4)))*(CsDJ[Account Code]=(TRIM($B116)))*(CsDJ[Date]&lt;=$E$7),CsDJ[Credit])))+(SUM(IF((CRDJ[Sort Code]=(TRIM(G$4)))*(CRDJ[Account Code]=(TRIM($B116)))*(CRDJ[Date]&lt;=$E$7),CRDJ[Credit])))+(SUM(IF((GJ[Sort Code]=(TRIM(G$4)))*(GJ[Account Code]=(TRIM($B116)))*(GJ[Date]&lt;=$E$7),GJ[Credit]))))</f>
        <v>0</v>
      </c>
      <c r="F116" s="245">
        <f t="array" ref="F116">((SUM(IF((CkDJ[Date]=$A$3)*(CkDJ[Sort Code]=(TRIM(G$4)))*(CkDJ[Account Code]=(TRIM($B116))),CkDJ[Debit])))+(SUM(IF((CsDJ[Date]=$A$3)*(CsDJ[Sort Code]=(TRIM(G$4)))*(CsDJ[Account Code]=(TRIM($B116))),CsDJ[Debit])))+(SUM(IF((CRDJ[Date]=$A$3)*(CRDJ[Sort Code]=(TRIM(G$4)))*(CRDJ[Account Code]=(TRIM($B116))),CRDJ[Debit])))+(SUM(IF((GJ[Date]=$A$3)*(GJ[Sort Code]=(TRIM(G$4)))*(GJ[Account Code]=(TRIM($B116))),GJ[Debit]))))-((SUM(IF((CkDJ[Date]=$A$3)*(CkDJ[Sort Code]=(TRIM(G$4)))*(CkDJ[Account Code]=(TRIM($B116))),CkDJ[Credit])))+(SUM(IF((CsDJ[Date]=$A$3)*(CsDJ[Sort Code]=(TRIM(G$4)))*(CsDJ[Account Code]=(TRIM($B116))),CsDJ[Credit])))+(SUM(IF((CRDJ[Date]=$A$3)*(CRDJ[Sort Code]=(TRIM(G$4)))*(CRDJ[Account Code]=(TRIM($B116))),CRDJ[Credit])))+(SUM(IF((GJ[Date]=$A$3)*(GJ[Sort Code]=(TRIM(G$4)))*(GJ[Account Code]=(TRIM($B116))),GJ[Credit]))))</f>
        <v>0</v>
      </c>
      <c r="G116" s="343">
        <f t="shared" si="9"/>
        <v>0</v>
      </c>
      <c r="H116" s="246">
        <f t="shared" si="5"/>
        <v>0</v>
      </c>
      <c r="I116" s="246">
        <f t="shared" si="6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Code]=B117)*(Budget[Sort Code]=$G$4),(Budget[Amount])))</f>
        <v>0</v>
      </c>
      <c r="D117" s="245">
        <f t="array" ref="D117">SUM(IF((Budget[Account Code]=B117)*(Budget[Sort Code]=$G$4)*(Budget[Date]&lt;=$D$7),(Budget[Amount])))</f>
        <v>0</v>
      </c>
      <c r="E117" s="245">
        <f t="array" ref="E117">((SUM(IF((CkDJ[Sort Code]=(TRIM(G$4)))*(CkDJ[Account Code]=(TRIM($B117)))*(CkDJ[Date]&lt;=$E$7),CkDJ[Debit])))+(SUM(IF((CsDJ[Sort Code]=(TRIM(G$4)))*(CsDJ[Account Code]=(TRIM($B117)))*(CsDJ[Date]&lt;=$E$7),CsDJ[Debit])))+(SUM(IF((CRDJ[Sort Code]=(TRIM(G$4)))*(CRDJ[Account Code]=(TRIM($B117)))*(CRDJ[Date]&lt;=$E$7),CRDJ[Debit])))+(SUM(IF((GJ[Sort Code]=(TRIM(G$4)))*(GJ[Account Code]=(TRIM($B117)))*(GJ[Date]&lt;=$E$7),GJ[Debit]))))-((SUM(IF((CkDJ[Sort Code]=(TRIM(G$4)))*(CkDJ[Account Code]=(TRIM($B117)))*(CkDJ[Date]&lt;=$E$7),CkDJ[Credit])))+(SUM(IF((CsDJ[Sort Code]=(TRIM(G$4)))*(CsDJ[Account Code]=(TRIM($B117)))*(CsDJ[Date]&lt;=$E$7),CsDJ[Credit])))+(SUM(IF((CRDJ[Sort Code]=(TRIM(G$4)))*(CRDJ[Account Code]=(TRIM($B117)))*(CRDJ[Date]&lt;=$E$7),CRDJ[Credit])))+(SUM(IF((GJ[Sort Code]=(TRIM(G$4)))*(GJ[Account Code]=(TRIM($B117)))*(GJ[Date]&lt;=$E$7),GJ[Credit]))))</f>
        <v>0</v>
      </c>
      <c r="F117" s="245">
        <f t="array" ref="F117">((SUM(IF((CkDJ[Date]=$A$3)*(CkDJ[Sort Code]=(TRIM(G$4)))*(CkDJ[Account Code]=(TRIM($B117))),CkDJ[Debit])))+(SUM(IF((CsDJ[Date]=$A$3)*(CsDJ[Sort Code]=(TRIM(G$4)))*(CsDJ[Account Code]=(TRIM($B117))),CsDJ[Debit])))+(SUM(IF((CRDJ[Date]=$A$3)*(CRDJ[Sort Code]=(TRIM(G$4)))*(CRDJ[Account Code]=(TRIM($B117))),CRDJ[Debit])))+(SUM(IF((GJ[Date]=$A$3)*(GJ[Sort Code]=(TRIM(G$4)))*(GJ[Account Code]=(TRIM($B117))),GJ[Debit]))))-((SUM(IF((CkDJ[Date]=$A$3)*(CkDJ[Sort Code]=(TRIM(G$4)))*(CkDJ[Account Code]=(TRIM($B117))),CkDJ[Credit])))+(SUM(IF((CsDJ[Date]=$A$3)*(CsDJ[Sort Code]=(TRIM(G$4)))*(CsDJ[Account Code]=(TRIM($B117))),CsDJ[Credit])))+(SUM(IF((CRDJ[Date]=$A$3)*(CRDJ[Sort Code]=(TRIM(G$4)))*(CRDJ[Account Code]=(TRIM($B117))),CRDJ[Credit])))+(SUM(IF((GJ[Date]=$A$3)*(GJ[Sort Code]=(TRIM(G$4)))*(GJ[Account Code]=(TRIM($B117))),GJ[Credit]))))</f>
        <v>0</v>
      </c>
      <c r="G117" s="343">
        <f t="shared" si="9"/>
        <v>0</v>
      </c>
      <c r="H117" s="246">
        <f t="shared" si="5"/>
        <v>0</v>
      </c>
      <c r="I117" s="246">
        <f t="shared" si="6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Code]=B118)*(Budget[Sort Code]=$G$4),(Budget[Amount])))</f>
        <v>1047026.64</v>
      </c>
      <c r="D118" s="245">
        <f t="array" ref="D118">SUM(IF((Budget[Account Code]=B118)*(Budget[Sort Code]=$G$4)*(Budget[Date]&lt;=$D$7),(Budget[Amount])))</f>
        <v>1047026.64</v>
      </c>
      <c r="E118" s="245">
        <f t="array" ref="E118">((SUM(IF((CkDJ[Sort Code]=(TRIM(G$4)))*(CkDJ[Account Code]=(TRIM($B118)))*(CkDJ[Date]&lt;=$E$7),CkDJ[Debit])))+(SUM(IF((CsDJ[Sort Code]=(TRIM(G$4)))*(CsDJ[Account Code]=(TRIM($B118)))*(CsDJ[Date]&lt;=$E$7),CsDJ[Debit])))+(SUM(IF((CRDJ[Sort Code]=(TRIM(G$4)))*(CRDJ[Account Code]=(TRIM($B118)))*(CRDJ[Date]&lt;=$E$7),CRDJ[Debit])))+(SUM(IF((GJ[Sort Code]=(TRIM(G$4)))*(GJ[Account Code]=(TRIM($B118)))*(GJ[Date]&lt;=$E$7),GJ[Debit]))))-((SUM(IF((CkDJ[Sort Code]=(TRIM(G$4)))*(CkDJ[Account Code]=(TRIM($B118)))*(CkDJ[Date]&lt;=$E$7),CkDJ[Credit])))+(SUM(IF((CsDJ[Sort Code]=(TRIM(G$4)))*(CsDJ[Account Code]=(TRIM($B118)))*(CsDJ[Date]&lt;=$E$7),CsDJ[Credit])))+(SUM(IF((CRDJ[Sort Code]=(TRIM(G$4)))*(CRDJ[Account Code]=(TRIM($B118)))*(CRDJ[Date]&lt;=$E$7),CRDJ[Credit])))+(SUM(IF((GJ[Sort Code]=(TRIM(G$4)))*(GJ[Account Code]=(TRIM($B118)))*(GJ[Date]&lt;=$E$7),GJ[Credit]))))</f>
        <v>0</v>
      </c>
      <c r="F118" s="245">
        <f t="array" ref="F118">((SUM(IF((CkDJ[Date]=$A$3)*(CkDJ[Sort Code]=(TRIM(G$4)))*(CkDJ[Account Code]=(TRIM($B118))),CkDJ[Debit])))+(SUM(IF((CsDJ[Date]=$A$3)*(CsDJ[Sort Code]=(TRIM(G$4)))*(CsDJ[Account Code]=(TRIM($B118))),CsDJ[Debit])))+(SUM(IF((CRDJ[Date]=$A$3)*(CRDJ[Sort Code]=(TRIM(G$4)))*(CRDJ[Account Code]=(TRIM($B118))),CRDJ[Debit])))+(SUM(IF((GJ[Date]=$A$3)*(GJ[Sort Code]=(TRIM(G$4)))*(GJ[Account Code]=(TRIM($B118))),GJ[Debit]))))-((SUM(IF((CkDJ[Date]=$A$3)*(CkDJ[Sort Code]=(TRIM(G$4)))*(CkDJ[Account Code]=(TRIM($B118))),CkDJ[Credit])))+(SUM(IF((CsDJ[Date]=$A$3)*(CsDJ[Sort Code]=(TRIM(G$4)))*(CsDJ[Account Code]=(TRIM($B118))),CsDJ[Credit])))+(SUM(IF((CRDJ[Date]=$A$3)*(CRDJ[Sort Code]=(TRIM(G$4)))*(CRDJ[Account Code]=(TRIM($B118))),CRDJ[Credit])))+(SUM(IF((GJ[Date]=$A$3)*(GJ[Sort Code]=(TRIM(G$4)))*(GJ[Account Code]=(TRIM($B118))),GJ[Credit]))))</f>
        <v>0</v>
      </c>
      <c r="G118" s="343">
        <f t="shared" si="9"/>
        <v>0</v>
      </c>
      <c r="H118" s="246">
        <f t="shared" si="5"/>
        <v>-1047026.64</v>
      </c>
      <c r="I118" s="246">
        <f t="shared" si="6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Code]=B119)*(Budget[Sort Code]=$G$4),(Budget[Amount])))</f>
        <v>0</v>
      </c>
      <c r="D119" s="245">
        <f t="array" ref="D119">SUM(IF((Budget[Account Code]=B119)*(Budget[Sort Code]=$G$4)*(Budget[Date]&lt;=$D$7),(Budget[Amount])))</f>
        <v>0</v>
      </c>
      <c r="E119" s="245">
        <f t="array" ref="E119">((SUM(IF((CkDJ[Sort Code]=(TRIM(G$4)))*(CkDJ[Account Code]=(TRIM($B119)))*(CkDJ[Date]&lt;=$E$7),CkDJ[Debit])))+(SUM(IF((CsDJ[Sort Code]=(TRIM(G$4)))*(CsDJ[Account Code]=(TRIM($B119)))*(CsDJ[Date]&lt;=$E$7),CsDJ[Debit])))+(SUM(IF((CRDJ[Sort Code]=(TRIM(G$4)))*(CRDJ[Account Code]=(TRIM($B119)))*(CRDJ[Date]&lt;=$E$7),CRDJ[Debit])))+(SUM(IF((GJ[Sort Code]=(TRIM(G$4)))*(GJ[Account Code]=(TRIM($B119)))*(GJ[Date]&lt;=$E$7),GJ[Debit]))))-((SUM(IF((CkDJ[Sort Code]=(TRIM(G$4)))*(CkDJ[Account Code]=(TRIM($B119)))*(CkDJ[Date]&lt;=$E$7),CkDJ[Credit])))+(SUM(IF((CsDJ[Sort Code]=(TRIM(G$4)))*(CsDJ[Account Code]=(TRIM($B119)))*(CsDJ[Date]&lt;=$E$7),CsDJ[Credit])))+(SUM(IF((CRDJ[Sort Code]=(TRIM(G$4)))*(CRDJ[Account Code]=(TRIM($B119)))*(CRDJ[Date]&lt;=$E$7),CRDJ[Credit])))+(SUM(IF((GJ[Sort Code]=(TRIM(G$4)))*(GJ[Account Code]=(TRIM($B119)))*(GJ[Date]&lt;=$E$7),GJ[Credit]))))</f>
        <v>0</v>
      </c>
      <c r="F119" s="245">
        <f t="array" ref="F119">((SUM(IF((CkDJ[Date]=$A$3)*(CkDJ[Sort Code]=(TRIM(G$4)))*(CkDJ[Account Code]=(TRIM($B119))),CkDJ[Debit])))+(SUM(IF((CsDJ[Date]=$A$3)*(CsDJ[Sort Code]=(TRIM(G$4)))*(CsDJ[Account Code]=(TRIM($B119))),CsDJ[Debit])))+(SUM(IF((CRDJ[Date]=$A$3)*(CRDJ[Sort Code]=(TRIM(G$4)))*(CRDJ[Account Code]=(TRIM($B119))),CRDJ[Debit])))+(SUM(IF((GJ[Date]=$A$3)*(GJ[Sort Code]=(TRIM(G$4)))*(GJ[Account Code]=(TRIM($B119))),GJ[Debit]))))-((SUM(IF((CkDJ[Date]=$A$3)*(CkDJ[Sort Code]=(TRIM(G$4)))*(CkDJ[Account Code]=(TRIM($B119))),CkDJ[Credit])))+(SUM(IF((CsDJ[Date]=$A$3)*(CsDJ[Sort Code]=(TRIM(G$4)))*(CsDJ[Account Code]=(TRIM($B119))),CsDJ[Credit])))+(SUM(IF((CRDJ[Date]=$A$3)*(CRDJ[Sort Code]=(TRIM(G$4)))*(CRDJ[Account Code]=(TRIM($B119))),CRDJ[Credit])))+(SUM(IF((GJ[Date]=$A$3)*(GJ[Sort Code]=(TRIM(G$4)))*(GJ[Account Code]=(TRIM($B119))),GJ[Credit]))))</f>
        <v>0</v>
      </c>
      <c r="G119" s="343">
        <f t="shared" si="9"/>
        <v>0</v>
      </c>
      <c r="H119" s="246">
        <f t="shared" si="5"/>
        <v>0</v>
      </c>
      <c r="I119" s="246">
        <f t="shared" si="6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Code]=B120)*(Budget[Sort Code]=$G$4),(Budget[Amount])))</f>
        <v>0</v>
      </c>
      <c r="D120" s="245">
        <f t="array" ref="D120">SUM(IF((Budget[Account Code]=B120)*(Budget[Sort Code]=$G$4)*(Budget[Date]&lt;=$D$7),(Budget[Amount])))</f>
        <v>0</v>
      </c>
      <c r="E120" s="245">
        <f t="array" ref="E120">((SUM(IF((CkDJ[Sort Code]=(TRIM(G$4)))*(CkDJ[Account Code]=(TRIM($B120)))*(CkDJ[Date]&lt;=$E$7),CkDJ[Debit])))+(SUM(IF((CsDJ[Sort Code]=(TRIM(G$4)))*(CsDJ[Account Code]=(TRIM($B120)))*(CsDJ[Date]&lt;=$E$7),CsDJ[Debit])))+(SUM(IF((CRDJ[Sort Code]=(TRIM(G$4)))*(CRDJ[Account Code]=(TRIM($B120)))*(CRDJ[Date]&lt;=$E$7),CRDJ[Debit])))+(SUM(IF((GJ[Sort Code]=(TRIM(G$4)))*(GJ[Account Code]=(TRIM($B120)))*(GJ[Date]&lt;=$E$7),GJ[Debit]))))-((SUM(IF((CkDJ[Sort Code]=(TRIM(G$4)))*(CkDJ[Account Code]=(TRIM($B120)))*(CkDJ[Date]&lt;=$E$7),CkDJ[Credit])))+(SUM(IF((CsDJ[Sort Code]=(TRIM(G$4)))*(CsDJ[Account Code]=(TRIM($B120)))*(CsDJ[Date]&lt;=$E$7),CsDJ[Credit])))+(SUM(IF((CRDJ[Sort Code]=(TRIM(G$4)))*(CRDJ[Account Code]=(TRIM($B120)))*(CRDJ[Date]&lt;=$E$7),CRDJ[Credit])))+(SUM(IF((GJ[Sort Code]=(TRIM(G$4)))*(GJ[Account Code]=(TRIM($B120)))*(GJ[Date]&lt;=$E$7),GJ[Credit]))))</f>
        <v>0</v>
      </c>
      <c r="F120" s="245">
        <f t="array" ref="F120">((SUM(IF((CkDJ[Date]=$A$3)*(CkDJ[Sort Code]=(TRIM(G$4)))*(CkDJ[Account Code]=(TRIM($B120))),CkDJ[Debit])))+(SUM(IF((CsDJ[Date]=$A$3)*(CsDJ[Sort Code]=(TRIM(G$4)))*(CsDJ[Account Code]=(TRIM($B120))),CsDJ[Debit])))+(SUM(IF((CRDJ[Date]=$A$3)*(CRDJ[Sort Code]=(TRIM(G$4)))*(CRDJ[Account Code]=(TRIM($B120))),CRDJ[Debit])))+(SUM(IF((GJ[Date]=$A$3)*(GJ[Sort Code]=(TRIM(G$4)))*(GJ[Account Code]=(TRIM($B120))),GJ[Debit]))))-((SUM(IF((CkDJ[Date]=$A$3)*(CkDJ[Sort Code]=(TRIM(G$4)))*(CkDJ[Account Code]=(TRIM($B120))),CkDJ[Credit])))+(SUM(IF((CsDJ[Date]=$A$3)*(CsDJ[Sort Code]=(TRIM(G$4)))*(CsDJ[Account Code]=(TRIM($B120))),CsDJ[Credit])))+(SUM(IF((CRDJ[Date]=$A$3)*(CRDJ[Sort Code]=(TRIM(G$4)))*(CRDJ[Account Code]=(TRIM($B120))),CRDJ[Credit])))+(SUM(IF((GJ[Date]=$A$3)*(GJ[Sort Code]=(TRIM(G$4)))*(GJ[Account Code]=(TRIM($B120))),GJ[Credit]))))</f>
        <v>0</v>
      </c>
      <c r="G120" s="343">
        <f t="shared" si="9"/>
        <v>0</v>
      </c>
      <c r="H120" s="246">
        <f t="shared" ref="H120:H184" si="10">G120-D120</f>
        <v>0</v>
      </c>
      <c r="I120" s="246">
        <f t="shared" ref="I120:I184" si="11">IF((D120=0),0,G120/D120)</f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Code]=B121)*(Budget[Sort Code]=$G$4),(Budget[Amount])))</f>
        <v>0</v>
      </c>
      <c r="D121" s="245">
        <f t="array" ref="D121">SUM(IF((Budget[Account Code]=B121)*(Budget[Sort Code]=$G$4)*(Budget[Date]&lt;=$D$7),(Budget[Amount])))</f>
        <v>0</v>
      </c>
      <c r="E121" s="245">
        <f t="array" ref="E121">((SUM(IF((CkDJ[Sort Code]=(TRIM(G$4)))*(CkDJ[Account Code]=(TRIM($B121)))*(CkDJ[Date]&lt;=$E$7),CkDJ[Debit])))+(SUM(IF((CsDJ[Sort Code]=(TRIM(G$4)))*(CsDJ[Account Code]=(TRIM($B121)))*(CsDJ[Date]&lt;=$E$7),CsDJ[Debit])))+(SUM(IF((CRDJ[Sort Code]=(TRIM(G$4)))*(CRDJ[Account Code]=(TRIM($B121)))*(CRDJ[Date]&lt;=$E$7),CRDJ[Debit])))+(SUM(IF((GJ[Sort Code]=(TRIM(G$4)))*(GJ[Account Code]=(TRIM($B121)))*(GJ[Date]&lt;=$E$7),GJ[Debit]))))-((SUM(IF((CkDJ[Sort Code]=(TRIM(G$4)))*(CkDJ[Account Code]=(TRIM($B121)))*(CkDJ[Date]&lt;=$E$7),CkDJ[Credit])))+(SUM(IF((CsDJ[Sort Code]=(TRIM(G$4)))*(CsDJ[Account Code]=(TRIM($B121)))*(CsDJ[Date]&lt;=$E$7),CsDJ[Credit])))+(SUM(IF((CRDJ[Sort Code]=(TRIM(G$4)))*(CRDJ[Account Code]=(TRIM($B121)))*(CRDJ[Date]&lt;=$E$7),CRDJ[Credit])))+(SUM(IF((GJ[Sort Code]=(TRIM(G$4)))*(GJ[Account Code]=(TRIM($B121)))*(GJ[Date]&lt;=$E$7),GJ[Credit]))))</f>
        <v>0</v>
      </c>
      <c r="F121" s="245">
        <f t="array" ref="F121">((SUM(IF((CkDJ[Date]=$A$3)*(CkDJ[Sort Code]=(TRIM(G$4)))*(CkDJ[Account Code]=(TRIM($B121))),CkDJ[Debit])))+(SUM(IF((CsDJ[Date]=$A$3)*(CsDJ[Sort Code]=(TRIM(G$4)))*(CsDJ[Account Code]=(TRIM($B121))),CsDJ[Debit])))+(SUM(IF((CRDJ[Date]=$A$3)*(CRDJ[Sort Code]=(TRIM(G$4)))*(CRDJ[Account Code]=(TRIM($B121))),CRDJ[Debit])))+(SUM(IF((GJ[Date]=$A$3)*(GJ[Sort Code]=(TRIM(G$4)))*(GJ[Account Code]=(TRIM($B121))),GJ[Debit]))))-((SUM(IF((CkDJ[Date]=$A$3)*(CkDJ[Sort Code]=(TRIM(G$4)))*(CkDJ[Account Code]=(TRIM($B121))),CkDJ[Credit])))+(SUM(IF((CsDJ[Date]=$A$3)*(CsDJ[Sort Code]=(TRIM(G$4)))*(CsDJ[Account Code]=(TRIM($B121))),CsDJ[Credit])))+(SUM(IF((CRDJ[Date]=$A$3)*(CRDJ[Sort Code]=(TRIM(G$4)))*(CRDJ[Account Code]=(TRIM($B121))),CRDJ[Credit])))+(SUM(IF((GJ[Date]=$A$3)*(GJ[Sort Code]=(TRIM(G$4)))*(GJ[Account Code]=(TRIM($B121))),GJ[Credit]))))</f>
        <v>0</v>
      </c>
      <c r="G121" s="343">
        <f t="shared" si="9"/>
        <v>0</v>
      </c>
      <c r="H121" s="246">
        <f t="shared" si="10"/>
        <v>0</v>
      </c>
      <c r="I121" s="246">
        <f t="shared" si="11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Code]=B122)*(Budget[Sort Code]=$G$4),(Budget[Amount])))</f>
        <v>0</v>
      </c>
      <c r="D122" s="245">
        <f t="array" ref="D122">SUM(IF((Budget[Account Code]=B122)*(Budget[Sort Code]=$G$4)*(Budget[Date]&lt;=$D$7),(Budget[Amount])))</f>
        <v>0</v>
      </c>
      <c r="E122" s="245">
        <f t="array" ref="E122">((SUM(IF((CkDJ[Sort Code]=(TRIM(G$4)))*(CkDJ[Account Code]=(TRIM($B122)))*(CkDJ[Date]&lt;=$E$7),CkDJ[Debit])))+(SUM(IF((CsDJ[Sort Code]=(TRIM(G$4)))*(CsDJ[Account Code]=(TRIM($B122)))*(CsDJ[Date]&lt;=$E$7),CsDJ[Debit])))+(SUM(IF((CRDJ[Sort Code]=(TRIM(G$4)))*(CRDJ[Account Code]=(TRIM($B122)))*(CRDJ[Date]&lt;=$E$7),CRDJ[Debit])))+(SUM(IF((GJ[Sort Code]=(TRIM(G$4)))*(GJ[Account Code]=(TRIM($B122)))*(GJ[Date]&lt;=$E$7),GJ[Debit]))))-((SUM(IF((CkDJ[Sort Code]=(TRIM(G$4)))*(CkDJ[Account Code]=(TRIM($B122)))*(CkDJ[Date]&lt;=$E$7),CkDJ[Credit])))+(SUM(IF((CsDJ[Sort Code]=(TRIM(G$4)))*(CsDJ[Account Code]=(TRIM($B122)))*(CsDJ[Date]&lt;=$E$7),CsDJ[Credit])))+(SUM(IF((CRDJ[Sort Code]=(TRIM(G$4)))*(CRDJ[Account Code]=(TRIM($B122)))*(CRDJ[Date]&lt;=$E$7),CRDJ[Credit])))+(SUM(IF((GJ[Sort Code]=(TRIM(G$4)))*(GJ[Account Code]=(TRIM($B122)))*(GJ[Date]&lt;=$E$7),GJ[Credit]))))</f>
        <v>0</v>
      </c>
      <c r="F122" s="245">
        <f t="array" ref="F122">((SUM(IF((CkDJ[Date]=$A$3)*(CkDJ[Sort Code]=(TRIM(G$4)))*(CkDJ[Account Code]=(TRIM($B122))),CkDJ[Debit])))+(SUM(IF((CsDJ[Date]=$A$3)*(CsDJ[Sort Code]=(TRIM(G$4)))*(CsDJ[Account Code]=(TRIM($B122))),CsDJ[Debit])))+(SUM(IF((CRDJ[Date]=$A$3)*(CRDJ[Sort Code]=(TRIM(G$4)))*(CRDJ[Account Code]=(TRIM($B122))),CRDJ[Debit])))+(SUM(IF((GJ[Date]=$A$3)*(GJ[Sort Code]=(TRIM(G$4)))*(GJ[Account Code]=(TRIM($B122))),GJ[Debit]))))-((SUM(IF((CkDJ[Date]=$A$3)*(CkDJ[Sort Code]=(TRIM(G$4)))*(CkDJ[Account Code]=(TRIM($B122))),CkDJ[Credit])))+(SUM(IF((CsDJ[Date]=$A$3)*(CsDJ[Sort Code]=(TRIM(G$4)))*(CsDJ[Account Code]=(TRIM($B122))),CsDJ[Credit])))+(SUM(IF((CRDJ[Date]=$A$3)*(CRDJ[Sort Code]=(TRIM(G$4)))*(CRDJ[Account Code]=(TRIM($B122))),CRDJ[Credit])))+(SUM(IF((GJ[Date]=$A$3)*(GJ[Sort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hidden="1" x14ac:dyDescent="0.2">
      <c r="A123" s="256" t="s">
        <v>315</v>
      </c>
      <c r="B123" s="339" t="s">
        <v>270</v>
      </c>
      <c r="C123" s="245">
        <f t="array" ref="C123">SUM(IF((Budget[Account Code]=B123)*(Budget[Sort Code]=$G$4),(Budget[Amount])))</f>
        <v>0</v>
      </c>
      <c r="D123" s="245">
        <f t="array" ref="D123">SUM(IF((Budget[Account Code]=B123)*(Budget[Sort Code]=$G$4)*(Budget[Date]&lt;=$D$7),(Budget[Amount])))</f>
        <v>0</v>
      </c>
      <c r="E123" s="245">
        <f t="array" ref="E123">((SUM(IF((CkDJ[Sort Code]=(TRIM(G$4)))*(CkDJ[Account Code]=(TRIM($B123)))*(CkDJ[Date]&lt;=$E$7),CkDJ[Debit])))+(SUM(IF((CsDJ[Sort Code]=(TRIM(G$4)))*(CsDJ[Account Code]=(TRIM($B123)))*(CsDJ[Date]&lt;=$E$7),CsDJ[Debit])))+(SUM(IF((CRDJ[Sort Code]=(TRIM(G$4)))*(CRDJ[Account Code]=(TRIM($B123)))*(CRDJ[Date]&lt;=$E$7),CRDJ[Debit])))+(SUM(IF((GJ[Sort Code]=(TRIM(G$4)))*(GJ[Account Code]=(TRIM($B123)))*(GJ[Date]&lt;=$E$7),GJ[Debit]))))-((SUM(IF((CkDJ[Sort Code]=(TRIM(G$4)))*(CkDJ[Account Code]=(TRIM($B123)))*(CkDJ[Date]&lt;=$E$7),CkDJ[Credit])))+(SUM(IF((CsDJ[Sort Code]=(TRIM(G$4)))*(CsDJ[Account Code]=(TRIM($B123)))*(CsDJ[Date]&lt;=$E$7),CsDJ[Credit])))+(SUM(IF((CRDJ[Sort Code]=(TRIM(G$4)))*(CRDJ[Account Code]=(TRIM($B123)))*(CRDJ[Date]&lt;=$E$7),CRDJ[Credit])))+(SUM(IF((GJ[Sort Code]=(TRIM(G$4)))*(GJ[Account Code]=(TRIM($B123)))*(GJ[Date]&lt;=$E$7),GJ[Credit]))))</f>
        <v>0</v>
      </c>
      <c r="F123" s="245">
        <f t="array" ref="F123">((SUM(IF((CkDJ[Date]=$A$3)*(CkDJ[Sort Code]=(TRIM(G$4)))*(CkDJ[Account Code]=(TRIM($B123))),CkDJ[Debit])))+(SUM(IF((CsDJ[Date]=$A$3)*(CsDJ[Sort Code]=(TRIM(G$4)))*(CsDJ[Account Code]=(TRIM($B123))),CsDJ[Debit])))+(SUM(IF((CRDJ[Date]=$A$3)*(CRDJ[Sort Code]=(TRIM(G$4)))*(CRDJ[Account Code]=(TRIM($B123))),CRDJ[Debit])))+(SUM(IF((GJ[Date]=$A$3)*(GJ[Sort Code]=(TRIM(G$4)))*(GJ[Account Code]=(TRIM($B123))),GJ[Debit]))))-((SUM(IF((CkDJ[Date]=$A$3)*(CkDJ[Sort Code]=(TRIM(G$4)))*(CkDJ[Account Code]=(TRIM($B123))),CkDJ[Credit])))+(SUM(IF((CsDJ[Date]=$A$3)*(CsDJ[Sort Code]=(TRIM(G$4)))*(CsDJ[Account Code]=(TRIM($B123))),CsDJ[Credit])))+(SUM(IF((CRDJ[Date]=$A$3)*(CRDJ[Sort Code]=(TRIM(G$4)))*(CRDJ[Account Code]=(TRIM($B123))),CRDJ[Credit])))+(SUM(IF((GJ[Date]=$A$3)*(GJ[Sort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Code]=B124)*(Budget[Sort Code]=$G$4),(Budget[Amount])))</f>
        <v>0</v>
      </c>
      <c r="D124" s="245">
        <f t="array" ref="D124">SUM(IF((Budget[Account Code]=B124)*(Budget[Sort Code]=$G$4)*(Budget[Date]&lt;=$D$7),(Budget[Amount])))</f>
        <v>0</v>
      </c>
      <c r="E124" s="245">
        <f t="array" ref="E124">((SUM(IF((CkDJ[Sort Code]=(TRIM(G$4)))*(CkDJ[Account Code]=(TRIM($B124)))*(CkDJ[Date]&lt;=$E$7),CkDJ[Debit])))+(SUM(IF((CsDJ[Sort Code]=(TRIM(G$4)))*(CsDJ[Account Code]=(TRIM($B124)))*(CsDJ[Date]&lt;=$E$7),CsDJ[Debit])))+(SUM(IF((CRDJ[Sort Code]=(TRIM(G$4)))*(CRDJ[Account Code]=(TRIM($B124)))*(CRDJ[Date]&lt;=$E$7),CRDJ[Debit])))+(SUM(IF((GJ[Sort Code]=(TRIM(G$4)))*(GJ[Account Code]=(TRIM($B124)))*(GJ[Date]&lt;=$E$7),GJ[Debit]))))-((SUM(IF((CkDJ[Sort Code]=(TRIM(G$4)))*(CkDJ[Account Code]=(TRIM($B124)))*(CkDJ[Date]&lt;=$E$7),CkDJ[Credit])))+(SUM(IF((CsDJ[Sort Code]=(TRIM(G$4)))*(CsDJ[Account Code]=(TRIM($B124)))*(CsDJ[Date]&lt;=$E$7),CsDJ[Credit])))+(SUM(IF((CRDJ[Sort Code]=(TRIM(G$4)))*(CRDJ[Account Code]=(TRIM($B124)))*(CRDJ[Date]&lt;=$E$7),CRDJ[Credit])))+(SUM(IF((GJ[Sort Code]=(TRIM(G$4)))*(GJ[Account Code]=(TRIM($B124)))*(GJ[Date]&lt;=$E$7),GJ[Credit]))))</f>
        <v>0</v>
      </c>
      <c r="F124" s="245">
        <f t="array" ref="F124">((SUM(IF((CkDJ[Date]=$A$3)*(CkDJ[Sort Code]=(TRIM(G$4)))*(CkDJ[Account Code]=(TRIM($B124))),CkDJ[Debit])))+(SUM(IF((CsDJ[Date]=$A$3)*(CsDJ[Sort Code]=(TRIM(G$4)))*(CsDJ[Account Code]=(TRIM($B124))),CsDJ[Debit])))+(SUM(IF((CRDJ[Date]=$A$3)*(CRDJ[Sort Code]=(TRIM(G$4)))*(CRDJ[Account Code]=(TRIM($B124))),CRDJ[Debit])))+(SUM(IF((GJ[Date]=$A$3)*(GJ[Sort Code]=(TRIM(G$4)))*(GJ[Account Code]=(TRIM($B124))),GJ[Debit]))))-((SUM(IF((CkDJ[Date]=$A$3)*(CkDJ[Sort Code]=(TRIM(G$4)))*(CkDJ[Account Code]=(TRIM($B124))),CkDJ[Credit])))+(SUM(IF((CsDJ[Date]=$A$3)*(CsDJ[Sort Code]=(TRIM(G$4)))*(CsDJ[Account Code]=(TRIM($B124))),CsDJ[Credit])))+(SUM(IF((CRDJ[Date]=$A$3)*(CRDJ[Sort Code]=(TRIM(G$4)))*(CRDJ[Account Code]=(TRIM($B124))),CRDJ[Credit])))+(SUM(IF((GJ[Date]=$A$3)*(GJ[Sort Code]=(TRIM(G$4)))*(GJ[Account Code]=(TRIM($B124))),GJ[Credit]))))</f>
        <v>0</v>
      </c>
      <c r="G124" s="343">
        <f t="shared" si="9"/>
        <v>0</v>
      </c>
      <c r="H124" s="246">
        <f t="shared" si="10"/>
        <v>0</v>
      </c>
      <c r="I124" s="246">
        <f t="shared" si="11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Code]=B125)*(Budget[Sort Code]=$G$4),(Budget[Amount])))</f>
        <v>35459.75</v>
      </c>
      <c r="D125" s="245">
        <f t="array" ref="D125">SUM(IF((Budget[Account Code]=B125)*(Budget[Sort Code]=$G$4)*(Budget[Date]&lt;=$D$7),(Budget[Amount])))</f>
        <v>35459.75</v>
      </c>
      <c r="E125" s="245">
        <f t="array" ref="E125">((SUM(IF((CkDJ[Sort Code]=(TRIM(G$4)))*(CkDJ[Account Code]=(TRIM($B125)))*(CkDJ[Date]&lt;=$E$7),CkDJ[Debit])))+(SUM(IF((CsDJ[Sort Code]=(TRIM(G$4)))*(CsDJ[Account Code]=(TRIM($B125)))*(CsDJ[Date]&lt;=$E$7),CsDJ[Debit])))+(SUM(IF((CRDJ[Sort Code]=(TRIM(G$4)))*(CRDJ[Account Code]=(TRIM($B125)))*(CRDJ[Date]&lt;=$E$7),CRDJ[Debit])))+(SUM(IF((GJ[Sort Code]=(TRIM(G$4)))*(GJ[Account Code]=(TRIM($B125)))*(GJ[Date]&lt;=$E$7),GJ[Debit]))))-((SUM(IF((CkDJ[Sort Code]=(TRIM(G$4)))*(CkDJ[Account Code]=(TRIM($B125)))*(CkDJ[Date]&lt;=$E$7),CkDJ[Credit])))+(SUM(IF((CsDJ[Sort Code]=(TRIM(G$4)))*(CsDJ[Account Code]=(TRIM($B125)))*(CsDJ[Date]&lt;=$E$7),CsDJ[Credit])))+(SUM(IF((CRDJ[Sort Code]=(TRIM(G$4)))*(CRDJ[Account Code]=(TRIM($B125)))*(CRDJ[Date]&lt;=$E$7),CRDJ[Credit])))+(SUM(IF((GJ[Sort Code]=(TRIM(G$4)))*(GJ[Account Code]=(TRIM($B125)))*(GJ[Date]&lt;=$E$7),GJ[Credit]))))</f>
        <v>0</v>
      </c>
      <c r="F125" s="245">
        <f t="array" ref="F125">((SUM(IF((CkDJ[Date]=$A$3)*(CkDJ[Sort Code]=(TRIM(G$4)))*(CkDJ[Account Code]=(TRIM($B125))),CkDJ[Debit])))+(SUM(IF((CsDJ[Date]=$A$3)*(CsDJ[Sort Code]=(TRIM(G$4)))*(CsDJ[Account Code]=(TRIM($B125))),CsDJ[Debit])))+(SUM(IF((CRDJ[Date]=$A$3)*(CRDJ[Sort Code]=(TRIM(G$4)))*(CRDJ[Account Code]=(TRIM($B125))),CRDJ[Debit])))+(SUM(IF((GJ[Date]=$A$3)*(GJ[Sort Code]=(TRIM(G$4)))*(GJ[Account Code]=(TRIM($B125))),GJ[Debit]))))-((SUM(IF((CkDJ[Date]=$A$3)*(CkDJ[Sort Code]=(TRIM(G$4)))*(CkDJ[Account Code]=(TRIM($B125))),CkDJ[Credit])))+(SUM(IF((CsDJ[Date]=$A$3)*(CsDJ[Sort Code]=(TRIM(G$4)))*(CsDJ[Account Code]=(TRIM($B125))),CsDJ[Credit])))+(SUM(IF((CRDJ[Date]=$A$3)*(CRDJ[Sort Code]=(TRIM(G$4)))*(CRDJ[Account Code]=(TRIM($B125))),CRDJ[Credit])))+(SUM(IF((GJ[Date]=$A$3)*(GJ[Sort Code]=(TRIM(G$4)))*(GJ[Account Code]=(TRIM($B125))),GJ[Credit]))))</f>
        <v>0</v>
      </c>
      <c r="G125" s="343">
        <f t="shared" si="9"/>
        <v>0</v>
      </c>
      <c r="H125" s="246">
        <f t="shared" si="10"/>
        <v>-35459.75</v>
      </c>
      <c r="I125" s="246">
        <f t="shared" si="11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Code]=B126)*(Budget[Sort Code]=$G$4),(Budget[Amount])))</f>
        <v>0</v>
      </c>
      <c r="D126" s="245">
        <f t="array" ref="D126">SUM(IF((Budget[Account Code]=B126)*(Budget[Sort Code]=$G$4)*(Budget[Date]&lt;=$D$7),(Budget[Amount])))</f>
        <v>0</v>
      </c>
      <c r="E126" s="245">
        <f t="array" ref="E126">((SUM(IF((CkDJ[Sort Code]=(TRIM(G$4)))*(CkDJ[Account Code]=(TRIM($B126)))*(CkDJ[Date]&lt;=$E$7),CkDJ[Debit])))+(SUM(IF((CsDJ[Sort Code]=(TRIM(G$4)))*(CsDJ[Account Code]=(TRIM($B126)))*(CsDJ[Date]&lt;=$E$7),CsDJ[Debit])))+(SUM(IF((CRDJ[Sort Code]=(TRIM(G$4)))*(CRDJ[Account Code]=(TRIM($B126)))*(CRDJ[Date]&lt;=$E$7),CRDJ[Debit])))+(SUM(IF((GJ[Sort Code]=(TRIM(G$4)))*(GJ[Account Code]=(TRIM($B126)))*(GJ[Date]&lt;=$E$7),GJ[Debit]))))-((SUM(IF((CkDJ[Sort Code]=(TRIM(G$4)))*(CkDJ[Account Code]=(TRIM($B126)))*(CkDJ[Date]&lt;=$E$7),CkDJ[Credit])))+(SUM(IF((CsDJ[Sort Code]=(TRIM(G$4)))*(CsDJ[Account Code]=(TRIM($B126)))*(CsDJ[Date]&lt;=$E$7),CsDJ[Credit])))+(SUM(IF((CRDJ[Sort Code]=(TRIM(G$4)))*(CRDJ[Account Code]=(TRIM($B126)))*(CRDJ[Date]&lt;=$E$7),CRDJ[Credit])))+(SUM(IF((GJ[Sort Code]=(TRIM(G$4)))*(GJ[Account Code]=(TRIM($B126)))*(GJ[Date]&lt;=$E$7),GJ[Credit]))))</f>
        <v>0</v>
      </c>
      <c r="F126" s="245">
        <f t="array" ref="F126">((SUM(IF((CkDJ[Date]=$A$3)*(CkDJ[Sort Code]=(TRIM(G$4)))*(CkDJ[Account Code]=(TRIM($B126))),CkDJ[Debit])))+(SUM(IF((CsDJ[Date]=$A$3)*(CsDJ[Sort Code]=(TRIM(G$4)))*(CsDJ[Account Code]=(TRIM($B126))),CsDJ[Debit])))+(SUM(IF((CRDJ[Date]=$A$3)*(CRDJ[Sort Code]=(TRIM(G$4)))*(CRDJ[Account Code]=(TRIM($B126))),CRDJ[Debit])))+(SUM(IF((GJ[Date]=$A$3)*(GJ[Sort Code]=(TRIM(G$4)))*(GJ[Account Code]=(TRIM($B126))),GJ[Debit]))))-((SUM(IF((CkDJ[Date]=$A$3)*(CkDJ[Sort Code]=(TRIM(G$4)))*(CkDJ[Account Code]=(TRIM($B126))),CkDJ[Credit])))+(SUM(IF((CsDJ[Date]=$A$3)*(CsDJ[Sort Code]=(TRIM(G$4)))*(CsDJ[Account Code]=(TRIM($B126))),CsDJ[Credit])))+(SUM(IF((CRDJ[Date]=$A$3)*(CRDJ[Sort Code]=(TRIM(G$4)))*(CRDJ[Account Code]=(TRIM($B126))),CRDJ[Credit])))+(SUM(IF((GJ[Date]=$A$3)*(GJ[Sort Code]=(TRIM(G$4)))*(GJ[Account Code]=(TRIM($B126))),GJ[Credit]))))</f>
        <v>0</v>
      </c>
      <c r="G126" s="343">
        <f t="shared" si="9"/>
        <v>0</v>
      </c>
      <c r="H126" s="246">
        <f t="shared" si="10"/>
        <v>0</v>
      </c>
      <c r="I126" s="246">
        <f t="shared" si="11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Code]=B127)*(Budget[Sort Code]=$G$4),(Budget[Amount])))</f>
        <v>0</v>
      </c>
      <c r="D127" s="245">
        <f t="array" ref="D127">SUM(IF((Budget[Account Code]=B127)*(Budget[Sort Code]=$G$4)*(Budget[Date]&lt;=$D$7),(Budget[Amount])))</f>
        <v>0</v>
      </c>
      <c r="E127" s="245">
        <f t="array" ref="E127">((SUM(IF((CkDJ[Sort Code]=(TRIM(G$4)))*(CkDJ[Account Code]=(TRIM($B127)))*(CkDJ[Date]&lt;=$E$7),CkDJ[Debit])))+(SUM(IF((CsDJ[Sort Code]=(TRIM(G$4)))*(CsDJ[Account Code]=(TRIM($B127)))*(CsDJ[Date]&lt;=$E$7),CsDJ[Debit])))+(SUM(IF((CRDJ[Sort Code]=(TRIM(G$4)))*(CRDJ[Account Code]=(TRIM($B127)))*(CRDJ[Date]&lt;=$E$7),CRDJ[Debit])))+(SUM(IF((GJ[Sort Code]=(TRIM(G$4)))*(GJ[Account Code]=(TRIM($B127)))*(GJ[Date]&lt;=$E$7),GJ[Debit]))))-((SUM(IF((CkDJ[Sort Code]=(TRIM(G$4)))*(CkDJ[Account Code]=(TRIM($B127)))*(CkDJ[Date]&lt;=$E$7),CkDJ[Credit])))+(SUM(IF((CsDJ[Sort Code]=(TRIM(G$4)))*(CsDJ[Account Code]=(TRIM($B127)))*(CsDJ[Date]&lt;=$E$7),CsDJ[Credit])))+(SUM(IF((CRDJ[Sort Code]=(TRIM(G$4)))*(CRDJ[Account Code]=(TRIM($B127)))*(CRDJ[Date]&lt;=$E$7),CRDJ[Credit])))+(SUM(IF((GJ[Sort Code]=(TRIM(G$4)))*(GJ[Account Code]=(TRIM($B127)))*(GJ[Date]&lt;=$E$7),GJ[Credit]))))</f>
        <v>0</v>
      </c>
      <c r="F127" s="245">
        <f t="array" ref="F127">((SUM(IF((CkDJ[Date]=$A$3)*(CkDJ[Sort Code]=(TRIM(G$4)))*(CkDJ[Account Code]=(TRIM($B127))),CkDJ[Debit])))+(SUM(IF((CsDJ[Date]=$A$3)*(CsDJ[Sort Code]=(TRIM(G$4)))*(CsDJ[Account Code]=(TRIM($B127))),CsDJ[Debit])))+(SUM(IF((CRDJ[Date]=$A$3)*(CRDJ[Sort Code]=(TRIM(G$4)))*(CRDJ[Account Code]=(TRIM($B127))),CRDJ[Debit])))+(SUM(IF((GJ[Date]=$A$3)*(GJ[Sort Code]=(TRIM(G$4)))*(GJ[Account Code]=(TRIM($B127))),GJ[Debit]))))-((SUM(IF((CkDJ[Date]=$A$3)*(CkDJ[Sort Code]=(TRIM(G$4)))*(CkDJ[Account Code]=(TRIM($B127))),CkDJ[Credit])))+(SUM(IF((CsDJ[Date]=$A$3)*(CsDJ[Sort Code]=(TRIM(G$4)))*(CsDJ[Account Code]=(TRIM($B127))),CsDJ[Credit])))+(SUM(IF((CRDJ[Date]=$A$3)*(CRDJ[Sort Code]=(TRIM(G$4)))*(CRDJ[Account Code]=(TRIM($B127))),CRDJ[Credit])))+(SUM(IF((GJ[Date]=$A$3)*(GJ[Sort Code]=(TRIM(G$4)))*(GJ[Account Code]=(TRIM($B127))),GJ[Credit]))))</f>
        <v>0</v>
      </c>
      <c r="G127" s="343">
        <f t="shared" si="9"/>
        <v>0</v>
      </c>
      <c r="H127" s="246">
        <f t="shared" si="10"/>
        <v>0</v>
      </c>
      <c r="I127" s="246">
        <f t="shared" si="11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Code]=B128)*(Budget[Sort Code]=$G$4),(Budget[Amount])))</f>
        <v>0</v>
      </c>
      <c r="D128" s="245">
        <f t="array" ref="D128">SUM(IF((Budget[Account Code]=B128)*(Budget[Sort Code]=$G$4)*(Budget[Date]&lt;=$D$7),(Budget[Amount])))</f>
        <v>0</v>
      </c>
      <c r="E128" s="245">
        <f t="array" ref="E128">((SUM(IF((CkDJ[Sort Code]=(TRIM(G$4)))*(CkDJ[Account Code]=(TRIM($B128)))*(CkDJ[Date]&lt;=$E$7),CkDJ[Debit])))+(SUM(IF((CsDJ[Sort Code]=(TRIM(G$4)))*(CsDJ[Account Code]=(TRIM($B128)))*(CsDJ[Date]&lt;=$E$7),CsDJ[Debit])))+(SUM(IF((CRDJ[Sort Code]=(TRIM(G$4)))*(CRDJ[Account Code]=(TRIM($B128)))*(CRDJ[Date]&lt;=$E$7),CRDJ[Debit])))+(SUM(IF((GJ[Sort Code]=(TRIM(G$4)))*(GJ[Account Code]=(TRIM($B128)))*(GJ[Date]&lt;=$E$7),GJ[Debit]))))-((SUM(IF((CkDJ[Sort Code]=(TRIM(G$4)))*(CkDJ[Account Code]=(TRIM($B128)))*(CkDJ[Date]&lt;=$E$7),CkDJ[Credit])))+(SUM(IF((CsDJ[Sort Code]=(TRIM(G$4)))*(CsDJ[Account Code]=(TRIM($B128)))*(CsDJ[Date]&lt;=$E$7),CsDJ[Credit])))+(SUM(IF((CRDJ[Sort Code]=(TRIM(G$4)))*(CRDJ[Account Code]=(TRIM($B128)))*(CRDJ[Date]&lt;=$E$7),CRDJ[Credit])))+(SUM(IF((GJ[Sort Code]=(TRIM(G$4)))*(GJ[Account Code]=(TRIM($B128)))*(GJ[Date]&lt;=$E$7),GJ[Credit]))))</f>
        <v>0</v>
      </c>
      <c r="F128" s="245">
        <f t="array" ref="F128">((SUM(IF((CkDJ[Date]=$A$3)*(CkDJ[Sort Code]=(TRIM(G$4)))*(CkDJ[Account Code]=(TRIM($B128))),CkDJ[Debit])))+(SUM(IF((CsDJ[Date]=$A$3)*(CsDJ[Sort Code]=(TRIM(G$4)))*(CsDJ[Account Code]=(TRIM($B128))),CsDJ[Debit])))+(SUM(IF((CRDJ[Date]=$A$3)*(CRDJ[Sort Code]=(TRIM(G$4)))*(CRDJ[Account Code]=(TRIM($B128))),CRDJ[Debit])))+(SUM(IF((GJ[Date]=$A$3)*(GJ[Sort Code]=(TRIM(G$4)))*(GJ[Account Code]=(TRIM($B128))),GJ[Debit]))))-((SUM(IF((CkDJ[Date]=$A$3)*(CkDJ[Sort Code]=(TRIM(G$4)))*(CkDJ[Account Code]=(TRIM($B128))),CkDJ[Credit])))+(SUM(IF((CsDJ[Date]=$A$3)*(CsDJ[Sort Code]=(TRIM(G$4)))*(CsDJ[Account Code]=(TRIM($B128))),CsDJ[Credit])))+(SUM(IF((CRDJ[Date]=$A$3)*(CRDJ[Sort Code]=(TRIM(G$4)))*(CRDJ[Account Code]=(TRIM($B128))),CRDJ[Credit])))+(SUM(IF((GJ[Date]=$A$3)*(GJ[Sort Code]=(TRIM(G$4)))*(GJ[Account Code]=(TRIM($B128))),GJ[Credit]))))</f>
        <v>0</v>
      </c>
      <c r="G128" s="343">
        <f t="shared" si="9"/>
        <v>0</v>
      </c>
      <c r="H128" s="246">
        <f t="shared" si="10"/>
        <v>0</v>
      </c>
      <c r="I128" s="246">
        <f t="shared" si="11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Code]=B129)*(Budget[Sort Code]=$G$4),(Budget[Amount])))</f>
        <v>0</v>
      </c>
      <c r="D129" s="245">
        <f t="array" ref="D129">SUM(IF((Budget[Account Code]=B129)*(Budget[Sort Code]=$G$4)*(Budget[Date]&lt;=$D$7),(Budget[Amount])))</f>
        <v>0</v>
      </c>
      <c r="E129" s="245">
        <f t="array" ref="E129">((SUM(IF((CkDJ[Sort Code]=(TRIM(G$4)))*(CkDJ[Account Code]=(TRIM($B129)))*(CkDJ[Date]&lt;=$E$7),CkDJ[Debit])))+(SUM(IF((CsDJ[Sort Code]=(TRIM(G$4)))*(CsDJ[Account Code]=(TRIM($B129)))*(CsDJ[Date]&lt;=$E$7),CsDJ[Debit])))+(SUM(IF((CRDJ[Sort Code]=(TRIM(G$4)))*(CRDJ[Account Code]=(TRIM($B129)))*(CRDJ[Date]&lt;=$E$7),CRDJ[Debit])))+(SUM(IF((GJ[Sort Code]=(TRIM(G$4)))*(GJ[Account Code]=(TRIM($B129)))*(GJ[Date]&lt;=$E$7),GJ[Debit]))))-((SUM(IF((CkDJ[Sort Code]=(TRIM(G$4)))*(CkDJ[Account Code]=(TRIM($B129)))*(CkDJ[Date]&lt;=$E$7),CkDJ[Credit])))+(SUM(IF((CsDJ[Sort Code]=(TRIM(G$4)))*(CsDJ[Account Code]=(TRIM($B129)))*(CsDJ[Date]&lt;=$E$7),CsDJ[Credit])))+(SUM(IF((CRDJ[Sort Code]=(TRIM(G$4)))*(CRDJ[Account Code]=(TRIM($B129)))*(CRDJ[Date]&lt;=$E$7),CRDJ[Credit])))+(SUM(IF((GJ[Sort Code]=(TRIM(G$4)))*(GJ[Account Code]=(TRIM($B129)))*(GJ[Date]&lt;=$E$7),GJ[Credit]))))</f>
        <v>0</v>
      </c>
      <c r="F129" s="245">
        <f t="array" ref="F129">((SUM(IF((CkDJ[Date]=$A$3)*(CkDJ[Sort Code]=(TRIM(G$4)))*(CkDJ[Account Code]=(TRIM($B129))),CkDJ[Debit])))+(SUM(IF((CsDJ[Date]=$A$3)*(CsDJ[Sort Code]=(TRIM(G$4)))*(CsDJ[Account Code]=(TRIM($B129))),CsDJ[Debit])))+(SUM(IF((CRDJ[Date]=$A$3)*(CRDJ[Sort Code]=(TRIM(G$4)))*(CRDJ[Account Code]=(TRIM($B129))),CRDJ[Debit])))+(SUM(IF((GJ[Date]=$A$3)*(GJ[Sort Code]=(TRIM(G$4)))*(GJ[Account Code]=(TRIM($B129))),GJ[Debit]))))-((SUM(IF((CkDJ[Date]=$A$3)*(CkDJ[Sort Code]=(TRIM(G$4)))*(CkDJ[Account Code]=(TRIM($B129))),CkDJ[Credit])))+(SUM(IF((CsDJ[Date]=$A$3)*(CsDJ[Sort Code]=(TRIM(G$4)))*(CsDJ[Account Code]=(TRIM($B129))),CsDJ[Credit])))+(SUM(IF((CRDJ[Date]=$A$3)*(CRDJ[Sort Code]=(TRIM(G$4)))*(CRDJ[Account Code]=(TRIM($B129))),CRDJ[Credit])))+(SUM(IF((GJ[Date]=$A$3)*(GJ[Sort Code]=(TRIM(G$4)))*(GJ[Account Code]=(TRIM($B129))),GJ[Credit]))))</f>
        <v>0</v>
      </c>
      <c r="G129" s="343">
        <f t="shared" si="9"/>
        <v>0</v>
      </c>
      <c r="H129" s="246">
        <f t="shared" si="10"/>
        <v>0</v>
      </c>
      <c r="I129" s="246">
        <f t="shared" si="11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Code]=B130)*(Budget[Sort Code]=$G$4),(Budget[Amount])))</f>
        <v>0</v>
      </c>
      <c r="D130" s="245">
        <f t="array" ref="D130">SUM(IF((Budget[Account Code]=B130)*(Budget[Sort Code]=$G$4)*(Budget[Date]&lt;=$D$7),(Budget[Amount])))</f>
        <v>0</v>
      </c>
      <c r="E130" s="245">
        <f t="array" ref="E130">((SUM(IF((CkDJ[Sort Code]=(TRIM(G$4)))*(CkDJ[Account Code]=(TRIM($B130)))*(CkDJ[Date]&lt;=$E$7),CkDJ[Debit])))+(SUM(IF((CsDJ[Sort Code]=(TRIM(G$4)))*(CsDJ[Account Code]=(TRIM($B130)))*(CsDJ[Date]&lt;=$E$7),CsDJ[Debit])))+(SUM(IF((CRDJ[Sort Code]=(TRIM(G$4)))*(CRDJ[Account Code]=(TRIM($B130)))*(CRDJ[Date]&lt;=$E$7),CRDJ[Debit])))+(SUM(IF((GJ[Sort Code]=(TRIM(G$4)))*(GJ[Account Code]=(TRIM($B130)))*(GJ[Date]&lt;=$E$7),GJ[Debit]))))-((SUM(IF((CkDJ[Sort Code]=(TRIM(G$4)))*(CkDJ[Account Code]=(TRIM($B130)))*(CkDJ[Date]&lt;=$E$7),CkDJ[Credit])))+(SUM(IF((CsDJ[Sort Code]=(TRIM(G$4)))*(CsDJ[Account Code]=(TRIM($B130)))*(CsDJ[Date]&lt;=$E$7),CsDJ[Credit])))+(SUM(IF((CRDJ[Sort Code]=(TRIM(G$4)))*(CRDJ[Account Code]=(TRIM($B130)))*(CRDJ[Date]&lt;=$E$7),CRDJ[Credit])))+(SUM(IF((GJ[Sort Code]=(TRIM(G$4)))*(GJ[Account Code]=(TRIM($B130)))*(GJ[Date]&lt;=$E$7),GJ[Credit]))))</f>
        <v>0</v>
      </c>
      <c r="F130" s="245">
        <f t="array" ref="F130">((SUM(IF((CkDJ[Date]=$A$3)*(CkDJ[Sort Code]=(TRIM(G$4)))*(CkDJ[Account Code]=(TRIM($B130))),CkDJ[Debit])))+(SUM(IF((CsDJ[Date]=$A$3)*(CsDJ[Sort Code]=(TRIM(G$4)))*(CsDJ[Account Code]=(TRIM($B130))),CsDJ[Debit])))+(SUM(IF((CRDJ[Date]=$A$3)*(CRDJ[Sort Code]=(TRIM(G$4)))*(CRDJ[Account Code]=(TRIM($B130))),CRDJ[Debit])))+(SUM(IF((GJ[Date]=$A$3)*(GJ[Sort Code]=(TRIM(G$4)))*(GJ[Account Code]=(TRIM($B130))),GJ[Debit]))))-((SUM(IF((CkDJ[Date]=$A$3)*(CkDJ[Sort Code]=(TRIM(G$4)))*(CkDJ[Account Code]=(TRIM($B130))),CkDJ[Credit])))+(SUM(IF((CsDJ[Date]=$A$3)*(CsDJ[Sort Code]=(TRIM(G$4)))*(CsDJ[Account Code]=(TRIM($B130))),CsDJ[Credit])))+(SUM(IF((CRDJ[Date]=$A$3)*(CRDJ[Sort Code]=(TRIM(G$4)))*(CRDJ[Account Code]=(TRIM($B130))),CRDJ[Credit])))+(SUM(IF((GJ[Date]=$A$3)*(GJ[Sort Code]=(TRIM(G$4)))*(GJ[Account Code]=(TRIM($B130))),GJ[Credit]))))</f>
        <v>0</v>
      </c>
      <c r="G130" s="343">
        <f t="shared" si="9"/>
        <v>0</v>
      </c>
      <c r="H130" s="246">
        <f t="shared" si="10"/>
        <v>0</v>
      </c>
      <c r="I130" s="246">
        <f t="shared" si="11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Code]=B131)*(Budget[Sort Code]=$G$4),(Budget[Amount])))</f>
        <v>0</v>
      </c>
      <c r="D131" s="245">
        <f t="array" ref="D131">SUM(IF((Budget[Account Code]=B131)*(Budget[Sort Code]=$G$4)*(Budget[Date]&lt;=$D$7),(Budget[Amount])))</f>
        <v>0</v>
      </c>
      <c r="E131" s="245">
        <f t="array" ref="E131">((SUM(IF((CkDJ[Sort Code]=(TRIM(G$4)))*(CkDJ[Account Code]=(TRIM($B131)))*(CkDJ[Date]&lt;=$E$7),CkDJ[Debit])))+(SUM(IF((CsDJ[Sort Code]=(TRIM(G$4)))*(CsDJ[Account Code]=(TRIM($B131)))*(CsDJ[Date]&lt;=$E$7),CsDJ[Debit])))+(SUM(IF((CRDJ[Sort Code]=(TRIM(G$4)))*(CRDJ[Account Code]=(TRIM($B131)))*(CRDJ[Date]&lt;=$E$7),CRDJ[Debit])))+(SUM(IF((GJ[Sort Code]=(TRIM(G$4)))*(GJ[Account Code]=(TRIM($B131)))*(GJ[Date]&lt;=$E$7),GJ[Debit]))))-((SUM(IF((CkDJ[Sort Code]=(TRIM(G$4)))*(CkDJ[Account Code]=(TRIM($B131)))*(CkDJ[Date]&lt;=$E$7),CkDJ[Credit])))+(SUM(IF((CsDJ[Sort Code]=(TRIM(G$4)))*(CsDJ[Account Code]=(TRIM($B131)))*(CsDJ[Date]&lt;=$E$7),CsDJ[Credit])))+(SUM(IF((CRDJ[Sort Code]=(TRIM(G$4)))*(CRDJ[Account Code]=(TRIM($B131)))*(CRDJ[Date]&lt;=$E$7),CRDJ[Credit])))+(SUM(IF((GJ[Sort Code]=(TRIM(G$4)))*(GJ[Account Code]=(TRIM($B131)))*(GJ[Date]&lt;=$E$7),GJ[Credit]))))</f>
        <v>0</v>
      </c>
      <c r="F131" s="245">
        <f t="array" ref="F131">((SUM(IF((CkDJ[Date]=$A$3)*(CkDJ[Sort Code]=(TRIM(G$4)))*(CkDJ[Account Code]=(TRIM($B131))),CkDJ[Debit])))+(SUM(IF((CsDJ[Date]=$A$3)*(CsDJ[Sort Code]=(TRIM(G$4)))*(CsDJ[Account Code]=(TRIM($B131))),CsDJ[Debit])))+(SUM(IF((CRDJ[Date]=$A$3)*(CRDJ[Sort Code]=(TRIM(G$4)))*(CRDJ[Account Code]=(TRIM($B131))),CRDJ[Debit])))+(SUM(IF((GJ[Date]=$A$3)*(GJ[Sort Code]=(TRIM(G$4)))*(GJ[Account Code]=(TRIM($B131))),GJ[Debit]))))-((SUM(IF((CkDJ[Date]=$A$3)*(CkDJ[Sort Code]=(TRIM(G$4)))*(CkDJ[Account Code]=(TRIM($B131))),CkDJ[Credit])))+(SUM(IF((CsDJ[Date]=$A$3)*(CsDJ[Sort Code]=(TRIM(G$4)))*(CsDJ[Account Code]=(TRIM($B131))),CsDJ[Credit])))+(SUM(IF((CRDJ[Date]=$A$3)*(CRDJ[Sort Code]=(TRIM(G$4)))*(CRDJ[Account Code]=(TRIM($B131))),CRDJ[Credit])))+(SUM(IF((GJ[Date]=$A$3)*(GJ[Sort Code]=(TRIM(G$4)))*(GJ[Account Code]=(TRIM($B131))),GJ[Credit]))))</f>
        <v>0</v>
      </c>
      <c r="G131" s="343">
        <f t="shared" si="9"/>
        <v>0</v>
      </c>
      <c r="H131" s="246">
        <f t="shared" si="10"/>
        <v>0</v>
      </c>
      <c r="I131" s="246">
        <f t="shared" si="11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Code]=B132)*(Budget[Sort Code]=$G$4),(Budget[Amount])))</f>
        <v>0</v>
      </c>
      <c r="D132" s="245">
        <f t="array" ref="D132">SUM(IF((Budget[Account Code]=B132)*(Budget[Sort Code]=$G$4)*(Budget[Date]&lt;=$D$7),(Budget[Amount])))</f>
        <v>0</v>
      </c>
      <c r="E132" s="245">
        <f t="array" ref="E132">((SUM(IF((CkDJ[Sort Code]=(TRIM(G$4)))*(CkDJ[Account Code]=(TRIM($B132)))*(CkDJ[Date]&lt;=$E$7),CkDJ[Debit])))+(SUM(IF((CsDJ[Sort Code]=(TRIM(G$4)))*(CsDJ[Account Code]=(TRIM($B132)))*(CsDJ[Date]&lt;=$E$7),CsDJ[Debit])))+(SUM(IF((CRDJ[Sort Code]=(TRIM(G$4)))*(CRDJ[Account Code]=(TRIM($B132)))*(CRDJ[Date]&lt;=$E$7),CRDJ[Debit])))+(SUM(IF((GJ[Sort Code]=(TRIM(G$4)))*(GJ[Account Code]=(TRIM($B132)))*(GJ[Date]&lt;=$E$7),GJ[Debit]))))-((SUM(IF((CkDJ[Sort Code]=(TRIM(G$4)))*(CkDJ[Account Code]=(TRIM($B132)))*(CkDJ[Date]&lt;=$E$7),CkDJ[Credit])))+(SUM(IF((CsDJ[Sort Code]=(TRIM(G$4)))*(CsDJ[Account Code]=(TRIM($B132)))*(CsDJ[Date]&lt;=$E$7),CsDJ[Credit])))+(SUM(IF((CRDJ[Sort Code]=(TRIM(G$4)))*(CRDJ[Account Code]=(TRIM($B132)))*(CRDJ[Date]&lt;=$E$7),CRDJ[Credit])))+(SUM(IF((GJ[Sort Code]=(TRIM(G$4)))*(GJ[Account Code]=(TRIM($B132)))*(GJ[Date]&lt;=$E$7),GJ[Credit]))))</f>
        <v>0</v>
      </c>
      <c r="F132" s="245">
        <f t="array" ref="F132">((SUM(IF((CkDJ[Date]=$A$3)*(CkDJ[Sort Code]=(TRIM(G$4)))*(CkDJ[Account Code]=(TRIM($B132))),CkDJ[Debit])))+(SUM(IF((CsDJ[Date]=$A$3)*(CsDJ[Sort Code]=(TRIM(G$4)))*(CsDJ[Account Code]=(TRIM($B132))),CsDJ[Debit])))+(SUM(IF((CRDJ[Date]=$A$3)*(CRDJ[Sort Code]=(TRIM(G$4)))*(CRDJ[Account Code]=(TRIM($B132))),CRDJ[Debit])))+(SUM(IF((GJ[Date]=$A$3)*(GJ[Sort Code]=(TRIM(G$4)))*(GJ[Account Code]=(TRIM($B132))),GJ[Debit]))))-((SUM(IF((CkDJ[Date]=$A$3)*(CkDJ[Sort Code]=(TRIM(G$4)))*(CkDJ[Account Code]=(TRIM($B132))),CkDJ[Credit])))+(SUM(IF((CsDJ[Date]=$A$3)*(CsDJ[Sort Code]=(TRIM(G$4)))*(CsDJ[Account Code]=(TRIM($B132))),CsDJ[Credit])))+(SUM(IF((CRDJ[Date]=$A$3)*(CRDJ[Sort Code]=(TRIM(G$4)))*(CRDJ[Account Code]=(TRIM($B132))),CRDJ[Credit])))+(SUM(IF((GJ[Date]=$A$3)*(GJ[Sort Code]=(TRIM(G$4)))*(GJ[Account Code]=(TRIM($B132))),GJ[Credit]))))</f>
        <v>0</v>
      </c>
      <c r="G132" s="343">
        <f t="shared" si="9"/>
        <v>0</v>
      </c>
      <c r="H132" s="246">
        <f t="shared" si="10"/>
        <v>0</v>
      </c>
      <c r="I132" s="246">
        <f t="shared" si="11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Code]=B133)*(Budget[Sort Code]=$G$4),(Budget[Amount])))</f>
        <v>0</v>
      </c>
      <c r="D133" s="245">
        <f t="array" ref="D133">SUM(IF((Budget[Account Code]=B133)*(Budget[Sort Code]=$G$4)*(Budget[Date]&lt;=$D$7),(Budget[Amount])))</f>
        <v>0</v>
      </c>
      <c r="E133" s="245">
        <f t="array" ref="E133">((SUM(IF((CkDJ[Sort Code]=(TRIM(G$4)))*(CkDJ[Account Code]=(TRIM($B133)))*(CkDJ[Date]&lt;=$E$7),CkDJ[Debit])))+(SUM(IF((CsDJ[Sort Code]=(TRIM(G$4)))*(CsDJ[Account Code]=(TRIM($B133)))*(CsDJ[Date]&lt;=$E$7),CsDJ[Debit])))+(SUM(IF((CRDJ[Sort Code]=(TRIM(G$4)))*(CRDJ[Account Code]=(TRIM($B133)))*(CRDJ[Date]&lt;=$E$7),CRDJ[Debit])))+(SUM(IF((GJ[Sort Code]=(TRIM(G$4)))*(GJ[Account Code]=(TRIM($B133)))*(GJ[Date]&lt;=$E$7),GJ[Debit]))))-((SUM(IF((CkDJ[Sort Code]=(TRIM(G$4)))*(CkDJ[Account Code]=(TRIM($B133)))*(CkDJ[Date]&lt;=$E$7),CkDJ[Credit])))+(SUM(IF((CsDJ[Sort Code]=(TRIM(G$4)))*(CsDJ[Account Code]=(TRIM($B133)))*(CsDJ[Date]&lt;=$E$7),CsDJ[Credit])))+(SUM(IF((CRDJ[Sort Code]=(TRIM(G$4)))*(CRDJ[Account Code]=(TRIM($B133)))*(CRDJ[Date]&lt;=$E$7),CRDJ[Credit])))+(SUM(IF((GJ[Sort Code]=(TRIM(G$4)))*(GJ[Account Code]=(TRIM($B133)))*(GJ[Date]&lt;=$E$7),GJ[Credit]))))</f>
        <v>0</v>
      </c>
      <c r="F133" s="245">
        <f t="array" ref="F133">((SUM(IF((CkDJ[Date]=$A$3)*(CkDJ[Sort Code]=(TRIM(G$4)))*(CkDJ[Account Code]=(TRIM($B133))),CkDJ[Debit])))+(SUM(IF((CsDJ[Date]=$A$3)*(CsDJ[Sort Code]=(TRIM(G$4)))*(CsDJ[Account Code]=(TRIM($B133))),CsDJ[Debit])))+(SUM(IF((CRDJ[Date]=$A$3)*(CRDJ[Sort Code]=(TRIM(G$4)))*(CRDJ[Account Code]=(TRIM($B133))),CRDJ[Debit])))+(SUM(IF((GJ[Date]=$A$3)*(GJ[Sort Code]=(TRIM(G$4)))*(GJ[Account Code]=(TRIM($B133))),GJ[Debit]))))-((SUM(IF((CkDJ[Date]=$A$3)*(CkDJ[Sort Code]=(TRIM(G$4)))*(CkDJ[Account Code]=(TRIM($B133))),CkDJ[Credit])))+(SUM(IF((CsDJ[Date]=$A$3)*(CsDJ[Sort Code]=(TRIM(G$4)))*(CsDJ[Account Code]=(TRIM($B133))),CsDJ[Credit])))+(SUM(IF((CRDJ[Date]=$A$3)*(CRDJ[Sort Code]=(TRIM(G$4)))*(CRDJ[Account Code]=(TRIM($B133))),CRDJ[Credit])))+(SUM(IF((GJ[Date]=$A$3)*(GJ[Sort Code]=(TRIM(G$4)))*(GJ[Account Code]=(TRIM($B133))),GJ[Credit]))))</f>
        <v>0</v>
      </c>
      <c r="G133" s="343">
        <f t="shared" si="9"/>
        <v>0</v>
      </c>
      <c r="H133" s="246">
        <f t="shared" si="10"/>
        <v>0</v>
      </c>
      <c r="I133" s="246">
        <f t="shared" si="11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Code]=B134)*(Budget[Sort Code]=$G$4),(Budget[Amount])))</f>
        <v>0</v>
      </c>
      <c r="D134" s="245">
        <f t="array" ref="D134">SUM(IF((Budget[Account Code]=B134)*(Budget[Sort Code]=$G$4)*(Budget[Date]&lt;=$D$7),(Budget[Amount])))</f>
        <v>0</v>
      </c>
      <c r="E134" s="245">
        <f t="array" ref="E134">((SUM(IF((CkDJ[Sort Code]=(TRIM(G$4)))*(CkDJ[Account Code]=(TRIM($B134)))*(CkDJ[Date]&lt;=$E$7),CkDJ[Debit])))+(SUM(IF((CsDJ[Sort Code]=(TRIM(G$4)))*(CsDJ[Account Code]=(TRIM($B134)))*(CsDJ[Date]&lt;=$E$7),CsDJ[Debit])))+(SUM(IF((CRDJ[Sort Code]=(TRIM(G$4)))*(CRDJ[Account Code]=(TRIM($B134)))*(CRDJ[Date]&lt;=$E$7),CRDJ[Debit])))+(SUM(IF((GJ[Sort Code]=(TRIM(G$4)))*(GJ[Account Code]=(TRIM($B134)))*(GJ[Date]&lt;=$E$7),GJ[Debit]))))-((SUM(IF((CkDJ[Sort Code]=(TRIM(G$4)))*(CkDJ[Account Code]=(TRIM($B134)))*(CkDJ[Date]&lt;=$E$7),CkDJ[Credit])))+(SUM(IF((CsDJ[Sort Code]=(TRIM(G$4)))*(CsDJ[Account Code]=(TRIM($B134)))*(CsDJ[Date]&lt;=$E$7),CsDJ[Credit])))+(SUM(IF((CRDJ[Sort Code]=(TRIM(G$4)))*(CRDJ[Account Code]=(TRIM($B134)))*(CRDJ[Date]&lt;=$E$7),CRDJ[Credit])))+(SUM(IF((GJ[Sort Code]=(TRIM(G$4)))*(GJ[Account Code]=(TRIM($B134)))*(GJ[Date]&lt;=$E$7),GJ[Credit]))))</f>
        <v>0</v>
      </c>
      <c r="F134" s="245">
        <f t="array" ref="F134">((SUM(IF((CkDJ[Date]=$A$3)*(CkDJ[Sort Code]=(TRIM(G$4)))*(CkDJ[Account Code]=(TRIM($B134))),CkDJ[Debit])))+(SUM(IF((CsDJ[Date]=$A$3)*(CsDJ[Sort Code]=(TRIM(G$4)))*(CsDJ[Account Code]=(TRIM($B134))),CsDJ[Debit])))+(SUM(IF((CRDJ[Date]=$A$3)*(CRDJ[Sort Code]=(TRIM(G$4)))*(CRDJ[Account Code]=(TRIM($B134))),CRDJ[Debit])))+(SUM(IF((GJ[Date]=$A$3)*(GJ[Sort Code]=(TRIM(G$4)))*(GJ[Account Code]=(TRIM($B134))),GJ[Debit]))))-((SUM(IF((CkDJ[Date]=$A$3)*(CkDJ[Sort Code]=(TRIM(G$4)))*(CkDJ[Account Code]=(TRIM($B134))),CkDJ[Credit])))+(SUM(IF((CsDJ[Date]=$A$3)*(CsDJ[Sort Code]=(TRIM(G$4)))*(CsDJ[Account Code]=(TRIM($B134))),CsDJ[Credit])))+(SUM(IF((CRDJ[Date]=$A$3)*(CRDJ[Sort Code]=(TRIM(G$4)))*(CRDJ[Account Code]=(TRIM($B134))),CRDJ[Credit])))+(SUM(IF((GJ[Date]=$A$3)*(GJ[Sort Code]=(TRIM(G$4)))*(GJ[Account Code]=(TRIM($B134))),GJ[Credit]))))</f>
        <v>0</v>
      </c>
      <c r="G134" s="343">
        <f t="shared" si="9"/>
        <v>0</v>
      </c>
      <c r="H134" s="246">
        <f t="shared" si="10"/>
        <v>0</v>
      </c>
      <c r="I134" s="246">
        <f t="shared" si="11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Code]=B135)*(Budget[Sort Code]=$G$4),(Budget[Amount])))</f>
        <v>0</v>
      </c>
      <c r="D135" s="245">
        <f t="array" ref="D135">SUM(IF((Budget[Account Code]=B135)*(Budget[Sort Code]=$G$4)*(Budget[Date]&lt;=$D$7),(Budget[Amount])))</f>
        <v>0</v>
      </c>
      <c r="E135" s="245">
        <f t="array" ref="E135">((SUM(IF((CkDJ[Sort Code]=(TRIM(G$4)))*(CkDJ[Account Code]=(TRIM($B135)))*(CkDJ[Date]&lt;=$E$7),CkDJ[Debit])))+(SUM(IF((CsDJ[Sort Code]=(TRIM(G$4)))*(CsDJ[Account Code]=(TRIM($B135)))*(CsDJ[Date]&lt;=$E$7),CsDJ[Debit])))+(SUM(IF((CRDJ[Sort Code]=(TRIM(G$4)))*(CRDJ[Account Code]=(TRIM($B135)))*(CRDJ[Date]&lt;=$E$7),CRDJ[Debit])))+(SUM(IF((GJ[Sort Code]=(TRIM(G$4)))*(GJ[Account Code]=(TRIM($B135)))*(GJ[Date]&lt;=$E$7),GJ[Debit]))))-((SUM(IF((CkDJ[Sort Code]=(TRIM(G$4)))*(CkDJ[Account Code]=(TRIM($B135)))*(CkDJ[Date]&lt;=$E$7),CkDJ[Credit])))+(SUM(IF((CsDJ[Sort Code]=(TRIM(G$4)))*(CsDJ[Account Code]=(TRIM($B135)))*(CsDJ[Date]&lt;=$E$7),CsDJ[Credit])))+(SUM(IF((CRDJ[Sort Code]=(TRIM(G$4)))*(CRDJ[Account Code]=(TRIM($B135)))*(CRDJ[Date]&lt;=$E$7),CRDJ[Credit])))+(SUM(IF((GJ[Sort Code]=(TRIM(G$4)))*(GJ[Account Code]=(TRIM($B135)))*(GJ[Date]&lt;=$E$7),GJ[Credit]))))</f>
        <v>0</v>
      </c>
      <c r="F135" s="245">
        <f t="array" ref="F135">((SUM(IF((CkDJ[Date]=$A$3)*(CkDJ[Sort Code]=(TRIM(G$4)))*(CkDJ[Account Code]=(TRIM($B135))),CkDJ[Debit])))+(SUM(IF((CsDJ[Date]=$A$3)*(CsDJ[Sort Code]=(TRIM(G$4)))*(CsDJ[Account Code]=(TRIM($B135))),CsDJ[Debit])))+(SUM(IF((CRDJ[Date]=$A$3)*(CRDJ[Sort Code]=(TRIM(G$4)))*(CRDJ[Account Code]=(TRIM($B135))),CRDJ[Debit])))+(SUM(IF((GJ[Date]=$A$3)*(GJ[Sort Code]=(TRIM(G$4)))*(GJ[Account Code]=(TRIM($B135))),GJ[Debit]))))-((SUM(IF((CkDJ[Date]=$A$3)*(CkDJ[Sort Code]=(TRIM(G$4)))*(CkDJ[Account Code]=(TRIM($B135))),CkDJ[Credit])))+(SUM(IF((CsDJ[Date]=$A$3)*(CsDJ[Sort Code]=(TRIM(G$4)))*(CsDJ[Account Code]=(TRIM($B135))),CsDJ[Credit])))+(SUM(IF((CRDJ[Date]=$A$3)*(CRDJ[Sort Code]=(TRIM(G$4)))*(CRDJ[Account Code]=(TRIM($B135))),CRDJ[Credit])))+(SUM(IF((GJ[Date]=$A$3)*(GJ[Sort Code]=(TRIM(G$4)))*(GJ[Account Code]=(TRIM($B135))),GJ[Credit]))))</f>
        <v>0</v>
      </c>
      <c r="G135" s="343">
        <f t="shared" si="9"/>
        <v>0</v>
      </c>
      <c r="H135" s="246">
        <f t="shared" si="10"/>
        <v>0</v>
      </c>
      <c r="I135" s="246">
        <f t="shared" si="11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Code]=B136)*(Budget[Sort Code]=$G$4),(Budget[Amount])))</f>
        <v>0</v>
      </c>
      <c r="D136" s="245">
        <f t="array" ref="D136">SUM(IF((Budget[Account Code]=B136)*(Budget[Sort Code]=$G$4)*(Budget[Date]&lt;=$D$7),(Budget[Amount])))</f>
        <v>0</v>
      </c>
      <c r="E136" s="245">
        <f t="array" ref="E136">((SUM(IF((CkDJ[Sort Code]=(TRIM(G$4)))*(CkDJ[Account Code]=(TRIM($B136)))*(CkDJ[Date]&lt;=$E$7),CkDJ[Debit])))+(SUM(IF((CsDJ[Sort Code]=(TRIM(G$4)))*(CsDJ[Account Code]=(TRIM($B136)))*(CsDJ[Date]&lt;=$E$7),CsDJ[Debit])))+(SUM(IF((CRDJ[Sort Code]=(TRIM(G$4)))*(CRDJ[Account Code]=(TRIM($B136)))*(CRDJ[Date]&lt;=$E$7),CRDJ[Debit])))+(SUM(IF((GJ[Sort Code]=(TRIM(G$4)))*(GJ[Account Code]=(TRIM($B136)))*(GJ[Date]&lt;=$E$7),GJ[Debit]))))-((SUM(IF((CkDJ[Sort Code]=(TRIM(G$4)))*(CkDJ[Account Code]=(TRIM($B136)))*(CkDJ[Date]&lt;=$E$7),CkDJ[Credit])))+(SUM(IF((CsDJ[Sort Code]=(TRIM(G$4)))*(CsDJ[Account Code]=(TRIM($B136)))*(CsDJ[Date]&lt;=$E$7),CsDJ[Credit])))+(SUM(IF((CRDJ[Sort Code]=(TRIM(G$4)))*(CRDJ[Account Code]=(TRIM($B136)))*(CRDJ[Date]&lt;=$E$7),CRDJ[Credit])))+(SUM(IF((GJ[Sort Code]=(TRIM(G$4)))*(GJ[Account Code]=(TRIM($B136)))*(GJ[Date]&lt;=$E$7),GJ[Credit]))))</f>
        <v>0</v>
      </c>
      <c r="F136" s="245">
        <f t="array" ref="F136">((SUM(IF((CkDJ[Date]=$A$3)*(CkDJ[Sort Code]=(TRIM(G$4)))*(CkDJ[Account Code]=(TRIM($B136))),CkDJ[Debit])))+(SUM(IF((CsDJ[Date]=$A$3)*(CsDJ[Sort Code]=(TRIM(G$4)))*(CsDJ[Account Code]=(TRIM($B136))),CsDJ[Debit])))+(SUM(IF((CRDJ[Date]=$A$3)*(CRDJ[Sort Code]=(TRIM(G$4)))*(CRDJ[Account Code]=(TRIM($B136))),CRDJ[Debit])))+(SUM(IF((GJ[Date]=$A$3)*(GJ[Sort Code]=(TRIM(G$4)))*(GJ[Account Code]=(TRIM($B136))),GJ[Debit]))))-((SUM(IF((CkDJ[Date]=$A$3)*(CkDJ[Sort Code]=(TRIM(G$4)))*(CkDJ[Account Code]=(TRIM($B136))),CkDJ[Credit])))+(SUM(IF((CsDJ[Date]=$A$3)*(CsDJ[Sort Code]=(TRIM(G$4)))*(CsDJ[Account Code]=(TRIM($B136))),CsDJ[Credit])))+(SUM(IF((CRDJ[Date]=$A$3)*(CRDJ[Sort Code]=(TRIM(G$4)))*(CRDJ[Account Code]=(TRIM($B136))),CRDJ[Credit])))+(SUM(IF((GJ[Date]=$A$3)*(GJ[Sort Code]=(TRIM(G$4)))*(GJ[Account Code]=(TRIM($B136))),GJ[Credit]))))</f>
        <v>0</v>
      </c>
      <c r="G136" s="343">
        <f t="shared" si="9"/>
        <v>0</v>
      </c>
      <c r="H136" s="246">
        <f t="shared" si="10"/>
        <v>0</v>
      </c>
      <c r="I136" s="246">
        <f t="shared" si="11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Code]=B137)*(Budget[Sort Code]=$G$4),(Budget[Amount])))</f>
        <v>0</v>
      </c>
      <c r="D137" s="245">
        <f t="array" ref="D137">SUM(IF((Budget[Account Code]=B137)*(Budget[Sort Code]=$G$4)*(Budget[Date]&lt;=$D$7),(Budget[Amount])))</f>
        <v>0</v>
      </c>
      <c r="E137" s="245">
        <f t="array" ref="E137">((SUM(IF((CkDJ[Sort Code]=(TRIM(G$4)))*(CkDJ[Account Code]=(TRIM($B137)))*(CkDJ[Date]&lt;=$E$7),CkDJ[Debit])))+(SUM(IF((CsDJ[Sort Code]=(TRIM(G$4)))*(CsDJ[Account Code]=(TRIM($B137)))*(CsDJ[Date]&lt;=$E$7),CsDJ[Debit])))+(SUM(IF((CRDJ[Sort Code]=(TRIM(G$4)))*(CRDJ[Account Code]=(TRIM($B137)))*(CRDJ[Date]&lt;=$E$7),CRDJ[Debit])))+(SUM(IF((GJ[Sort Code]=(TRIM(G$4)))*(GJ[Account Code]=(TRIM($B137)))*(GJ[Date]&lt;=$E$7),GJ[Debit]))))-((SUM(IF((CkDJ[Sort Code]=(TRIM(G$4)))*(CkDJ[Account Code]=(TRIM($B137)))*(CkDJ[Date]&lt;=$E$7),CkDJ[Credit])))+(SUM(IF((CsDJ[Sort Code]=(TRIM(G$4)))*(CsDJ[Account Code]=(TRIM($B137)))*(CsDJ[Date]&lt;=$E$7),CsDJ[Credit])))+(SUM(IF((CRDJ[Sort Code]=(TRIM(G$4)))*(CRDJ[Account Code]=(TRIM($B137)))*(CRDJ[Date]&lt;=$E$7),CRDJ[Credit])))+(SUM(IF((GJ[Sort Code]=(TRIM(G$4)))*(GJ[Account Code]=(TRIM($B137)))*(GJ[Date]&lt;=$E$7),GJ[Credit]))))</f>
        <v>0</v>
      </c>
      <c r="F137" s="245">
        <f t="array" ref="F137">((SUM(IF((CkDJ[Date]=$A$3)*(CkDJ[Sort Code]=(TRIM(G$4)))*(CkDJ[Account Code]=(TRIM($B137))),CkDJ[Debit])))+(SUM(IF((CsDJ[Date]=$A$3)*(CsDJ[Sort Code]=(TRIM(G$4)))*(CsDJ[Account Code]=(TRIM($B137))),CsDJ[Debit])))+(SUM(IF((CRDJ[Date]=$A$3)*(CRDJ[Sort Code]=(TRIM(G$4)))*(CRDJ[Account Code]=(TRIM($B137))),CRDJ[Debit])))+(SUM(IF((GJ[Date]=$A$3)*(GJ[Sort Code]=(TRIM(G$4)))*(GJ[Account Code]=(TRIM($B137))),GJ[Debit]))))-((SUM(IF((CkDJ[Date]=$A$3)*(CkDJ[Sort Code]=(TRIM(G$4)))*(CkDJ[Account Code]=(TRIM($B137))),CkDJ[Credit])))+(SUM(IF((CsDJ[Date]=$A$3)*(CsDJ[Sort Code]=(TRIM(G$4)))*(CsDJ[Account Code]=(TRIM($B137))),CsDJ[Credit])))+(SUM(IF((CRDJ[Date]=$A$3)*(CRDJ[Sort Code]=(TRIM(G$4)))*(CRDJ[Account Code]=(TRIM($B137))),CRDJ[Credit])))+(SUM(IF((GJ[Date]=$A$3)*(GJ[Sort Code]=(TRIM(G$4)))*(GJ[Account Code]=(TRIM($B137))),GJ[Credit]))))</f>
        <v>0</v>
      </c>
      <c r="G137" s="343">
        <f t="shared" si="9"/>
        <v>0</v>
      </c>
      <c r="H137" s="246">
        <f t="shared" si="10"/>
        <v>0</v>
      </c>
      <c r="I137" s="246">
        <f t="shared" si="11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10"/>
        <v>0</v>
      </c>
      <c r="I138" s="246">
        <f t="shared" si="11"/>
        <v>0</v>
      </c>
    </row>
    <row r="139" spans="1:9" x14ac:dyDescent="0.2">
      <c r="A139" s="253" t="s">
        <v>808</v>
      </c>
      <c r="B139" s="337"/>
      <c r="C139" s="242">
        <f>SUM(C140:C143)</f>
        <v>8669999.9600000009</v>
      </c>
      <c r="D139" s="242">
        <f>SUM(D140:D143)</f>
        <v>8669999.9600000009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10"/>
        <v>-8669999.9600000009</v>
      </c>
      <c r="I139" s="246">
        <f t="shared" si="11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Code]=B140)*(Budget[Sort Code]=$G$4),(Budget[Amount])))</f>
        <v>8669999.9600000009</v>
      </c>
      <c r="D140" s="245">
        <f t="array" ref="D140">SUM(IF((Budget[Account Code]=B140)*(Budget[Sort Code]=$G$4)*(Budget[Date]&lt;=$D$7),(Budget[Amount])))</f>
        <v>8669999.9600000009</v>
      </c>
      <c r="E140" s="245">
        <f t="array" ref="E140">((SUM(IF((CkDJ[Sort Code]=(TRIM(G$4)))*(CkDJ[Account Code]=(TRIM($B140)))*(CkDJ[Date]&lt;=$E$7),CkDJ[Debit])))+(SUM(IF((CsDJ[Sort Code]=(TRIM(G$4)))*(CsDJ[Account Code]=(TRIM($B140)))*(CsDJ[Date]&lt;=$E$7),CsDJ[Debit])))+(SUM(IF((CRDJ[Sort Code]=(TRIM(G$4)))*(CRDJ[Account Code]=(TRIM($B140)))*(CRDJ[Date]&lt;=$E$7),CRDJ[Debit])))+(SUM(IF((GJ[Sort Code]=(TRIM(G$4)))*(GJ[Account Code]=(TRIM($B140)))*(GJ[Date]&lt;=$E$7),GJ[Debit]))))-((SUM(IF((CkDJ[Sort Code]=(TRIM(G$4)))*(CkDJ[Account Code]=(TRIM($B140)))*(CkDJ[Date]&lt;=$E$7),CkDJ[Credit])))+(SUM(IF((CsDJ[Sort Code]=(TRIM(G$4)))*(CsDJ[Account Code]=(TRIM($B140)))*(CsDJ[Date]&lt;=$E$7),CsDJ[Credit])))+(SUM(IF((CRDJ[Sort Code]=(TRIM(G$4)))*(CRDJ[Account Code]=(TRIM($B140)))*(CRDJ[Date]&lt;=$E$7),CRDJ[Credit])))+(SUM(IF((GJ[Sort Code]=(TRIM(G$4)))*(GJ[Account Code]=(TRIM($B140)))*(GJ[Date]&lt;=$E$7),GJ[Credit]))))</f>
        <v>0</v>
      </c>
      <c r="F140" s="245">
        <f t="array" ref="F140">((SUM(IF((CkDJ[Date]=$A$3)*(CkDJ[Sort Code]=(TRIM(G$4)))*(CkDJ[Account Code]=(TRIM($B140))),CkDJ[Debit])))+(SUM(IF((CsDJ[Date]=$A$3)*(CsDJ[Sort Code]=(TRIM(G$4)))*(CsDJ[Account Code]=(TRIM($B140))),CsDJ[Debit])))+(SUM(IF((CRDJ[Date]=$A$3)*(CRDJ[Sort Code]=(TRIM(G$4)))*(CRDJ[Account Code]=(TRIM($B140))),CRDJ[Debit])))+(SUM(IF((GJ[Date]=$A$3)*(GJ[Sort Code]=(TRIM(G$4)))*(GJ[Account Code]=(TRIM($B140))),GJ[Debit]))))-((SUM(IF((CkDJ[Date]=$A$3)*(CkDJ[Sort Code]=(TRIM(G$4)))*(CkDJ[Account Code]=(TRIM($B140))),CkDJ[Credit])))+(SUM(IF((CsDJ[Date]=$A$3)*(CsDJ[Sort Code]=(TRIM(G$4)))*(CsDJ[Account Code]=(TRIM($B140))),CsDJ[Credit])))+(SUM(IF((CRDJ[Date]=$A$3)*(CRDJ[Sort Code]=(TRIM(G$4)))*(CRDJ[Account Code]=(TRIM($B140))),CRDJ[Credit])))+(SUM(IF((GJ[Date]=$A$3)*(GJ[Sort Code]=(TRIM(G$4)))*(GJ[Account Code]=(TRIM($B140))),GJ[Credit]))))</f>
        <v>0</v>
      </c>
      <c r="G140" s="343">
        <f>E140+F140</f>
        <v>0</v>
      </c>
      <c r="H140" s="246">
        <f t="shared" si="10"/>
        <v>-8669999.9600000009</v>
      </c>
      <c r="I140" s="246">
        <f t="shared" si="11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Code]=B141)*(Budget[Sort Code]=$G$4),(Budget[Amount])))</f>
        <v>0</v>
      </c>
      <c r="D141" s="245">
        <f t="array" ref="D141">SUM(IF((Budget[Account Code]=B141)*(Budget[Sort Code]=$G$4)*(Budget[Date]&lt;=$D$7),(Budget[Amount])))</f>
        <v>0</v>
      </c>
      <c r="E141" s="245">
        <f t="array" ref="E141">((SUM(IF((CkDJ[Sort Code]=(TRIM(G$4)))*(CkDJ[Account Code]=(TRIM($B141)))*(CkDJ[Date]&lt;=$E$7),CkDJ[Debit])))+(SUM(IF((CsDJ[Sort Code]=(TRIM(G$4)))*(CsDJ[Account Code]=(TRIM($B141)))*(CsDJ[Date]&lt;=$E$7),CsDJ[Debit])))+(SUM(IF((CRDJ[Sort Code]=(TRIM(G$4)))*(CRDJ[Account Code]=(TRIM($B141)))*(CRDJ[Date]&lt;=$E$7),CRDJ[Debit])))+(SUM(IF((GJ[Sort Code]=(TRIM(G$4)))*(GJ[Account Code]=(TRIM($B141)))*(GJ[Date]&lt;=$E$7),GJ[Debit]))))-((SUM(IF((CkDJ[Sort Code]=(TRIM(G$4)))*(CkDJ[Account Code]=(TRIM($B141)))*(CkDJ[Date]&lt;=$E$7),CkDJ[Credit])))+(SUM(IF((CsDJ[Sort Code]=(TRIM(G$4)))*(CsDJ[Account Code]=(TRIM($B141)))*(CsDJ[Date]&lt;=$E$7),CsDJ[Credit])))+(SUM(IF((CRDJ[Sort Code]=(TRIM(G$4)))*(CRDJ[Account Code]=(TRIM($B141)))*(CRDJ[Date]&lt;=$E$7),CRDJ[Credit])))+(SUM(IF((GJ[Sort Code]=(TRIM(G$4)))*(GJ[Account Code]=(TRIM($B141)))*(GJ[Date]&lt;=$E$7),GJ[Credit]))))</f>
        <v>0</v>
      </c>
      <c r="F141" s="245">
        <f t="array" ref="F141">((SUM(IF((CkDJ[Date]=$A$3)*(CkDJ[Sort Code]=(TRIM(G$4)))*(CkDJ[Account Code]=(TRIM($B141))),CkDJ[Debit])))+(SUM(IF((CsDJ[Date]=$A$3)*(CsDJ[Sort Code]=(TRIM(G$4)))*(CsDJ[Account Code]=(TRIM($B141))),CsDJ[Debit])))+(SUM(IF((CRDJ[Date]=$A$3)*(CRDJ[Sort Code]=(TRIM(G$4)))*(CRDJ[Account Code]=(TRIM($B141))),CRDJ[Debit])))+(SUM(IF((GJ[Date]=$A$3)*(GJ[Sort Code]=(TRIM(G$4)))*(GJ[Account Code]=(TRIM($B141))),GJ[Debit]))))-((SUM(IF((CkDJ[Date]=$A$3)*(CkDJ[Sort Code]=(TRIM(G$4)))*(CkDJ[Account Code]=(TRIM($B141))),CkDJ[Credit])))+(SUM(IF((CsDJ[Date]=$A$3)*(CsDJ[Sort Code]=(TRIM(G$4)))*(CsDJ[Account Code]=(TRIM($B141))),CsDJ[Credit])))+(SUM(IF((CRDJ[Date]=$A$3)*(CRDJ[Sort Code]=(TRIM(G$4)))*(CRDJ[Account Code]=(TRIM($B141))),CRDJ[Credit])))+(SUM(IF((GJ[Date]=$A$3)*(GJ[Sort Code]=(TRIM(G$4)))*(GJ[Account Code]=(TRIM($B141))),GJ[Credit]))))</f>
        <v>0</v>
      </c>
      <c r="G141" s="343">
        <f>E141+F141</f>
        <v>0</v>
      </c>
      <c r="H141" s="246">
        <f t="shared" si="10"/>
        <v>0</v>
      </c>
      <c r="I141" s="246">
        <f t="shared" si="11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Code]=B142)*(Budget[Sort Code]=$G$4),(Budget[Amount])))</f>
        <v>0</v>
      </c>
      <c r="D142" s="245">
        <f t="array" ref="D142">SUM(IF((Budget[Account Code]=B142)*(Budget[Sort Code]=$G$4)*(Budget[Date]&lt;=$D$7),(Budget[Amount])))</f>
        <v>0</v>
      </c>
      <c r="E142" s="245">
        <f t="array" ref="E142">((SUM(IF((CkDJ[Sort Code]=(TRIM(G$4)))*(CkDJ[Account Code]=(TRIM($B142)))*(CkDJ[Date]&lt;=$E$7),CkDJ[Debit])))+(SUM(IF((CsDJ[Sort Code]=(TRIM(G$4)))*(CsDJ[Account Code]=(TRIM($B142)))*(CsDJ[Date]&lt;=$E$7),CsDJ[Debit])))+(SUM(IF((CRDJ[Sort Code]=(TRIM(G$4)))*(CRDJ[Account Code]=(TRIM($B142)))*(CRDJ[Date]&lt;=$E$7),CRDJ[Debit])))+(SUM(IF((GJ[Sort Code]=(TRIM(G$4)))*(GJ[Account Code]=(TRIM($B142)))*(GJ[Date]&lt;=$E$7),GJ[Debit]))))-((SUM(IF((CkDJ[Sort Code]=(TRIM(G$4)))*(CkDJ[Account Code]=(TRIM($B142)))*(CkDJ[Date]&lt;=$E$7),CkDJ[Credit])))+(SUM(IF((CsDJ[Sort Code]=(TRIM(G$4)))*(CsDJ[Account Code]=(TRIM($B142)))*(CsDJ[Date]&lt;=$E$7),CsDJ[Credit])))+(SUM(IF((CRDJ[Sort Code]=(TRIM(G$4)))*(CRDJ[Account Code]=(TRIM($B142)))*(CRDJ[Date]&lt;=$E$7),CRDJ[Credit])))+(SUM(IF((GJ[Sort Code]=(TRIM(G$4)))*(GJ[Account Code]=(TRIM($B142)))*(GJ[Date]&lt;=$E$7),GJ[Credit]))))</f>
        <v>0</v>
      </c>
      <c r="F142" s="245">
        <f t="array" ref="F142">((SUM(IF((CkDJ[Date]=$A$3)*(CkDJ[Sort Code]=(TRIM(G$4)))*(CkDJ[Account Code]=(TRIM($B142))),CkDJ[Debit])))+(SUM(IF((CsDJ[Date]=$A$3)*(CsDJ[Sort Code]=(TRIM(G$4)))*(CsDJ[Account Code]=(TRIM($B142))),CsDJ[Debit])))+(SUM(IF((CRDJ[Date]=$A$3)*(CRDJ[Sort Code]=(TRIM(G$4)))*(CRDJ[Account Code]=(TRIM($B142))),CRDJ[Debit])))+(SUM(IF((GJ[Date]=$A$3)*(GJ[Sort Code]=(TRIM(G$4)))*(GJ[Account Code]=(TRIM($B142))),GJ[Debit]))))-((SUM(IF((CkDJ[Date]=$A$3)*(CkDJ[Sort Code]=(TRIM(G$4)))*(CkDJ[Account Code]=(TRIM($B142))),CkDJ[Credit])))+(SUM(IF((CsDJ[Date]=$A$3)*(CsDJ[Sort Code]=(TRIM(G$4)))*(CsDJ[Account Code]=(TRIM($B142))),CsDJ[Credit])))+(SUM(IF((CRDJ[Date]=$A$3)*(CRDJ[Sort Code]=(TRIM(G$4)))*(CRDJ[Account Code]=(TRIM($B142))),CRDJ[Credit])))+(SUM(IF((GJ[Date]=$A$3)*(GJ[Sort Code]=(TRIM(G$4)))*(GJ[Account Code]=(TRIM($B142))),GJ[Credit]))))</f>
        <v>0</v>
      </c>
      <c r="G142" s="343">
        <f>E142+F142</f>
        <v>0</v>
      </c>
      <c r="H142" s="246">
        <f t="shared" si="10"/>
        <v>0</v>
      </c>
      <c r="I142" s="246">
        <f t="shared" si="11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Code]=B143)*(Budget[Sort Code]=$G$4),(Budget[Amount])))</f>
        <v>0</v>
      </c>
      <c r="D143" s="245">
        <f t="array" ref="D143">SUM(IF((Budget[Account Code]=B143)*(Budget[Sort Code]=$G$4)*(Budget[Date]&lt;=$D$7),(Budget[Amount])))</f>
        <v>0</v>
      </c>
      <c r="E143" s="245">
        <f t="array" ref="E143">((SUM(IF((CkDJ[Sort Code]=(TRIM(G$4)))*(CkDJ[Account Code]=(TRIM($B143)))*(CkDJ[Date]&lt;=$E$7),CkDJ[Debit])))+(SUM(IF((CsDJ[Sort Code]=(TRIM(G$4)))*(CsDJ[Account Code]=(TRIM($B143)))*(CsDJ[Date]&lt;=$E$7),CsDJ[Debit])))+(SUM(IF((CRDJ[Sort Code]=(TRIM(G$4)))*(CRDJ[Account Code]=(TRIM($B143)))*(CRDJ[Date]&lt;=$E$7),CRDJ[Debit])))+(SUM(IF((GJ[Sort Code]=(TRIM(G$4)))*(GJ[Account Code]=(TRIM($B143)))*(GJ[Date]&lt;=$E$7),GJ[Debit]))))-((SUM(IF((CkDJ[Sort Code]=(TRIM(G$4)))*(CkDJ[Account Code]=(TRIM($B143)))*(CkDJ[Date]&lt;=$E$7),CkDJ[Credit])))+(SUM(IF((CsDJ[Sort Code]=(TRIM(G$4)))*(CsDJ[Account Code]=(TRIM($B143)))*(CsDJ[Date]&lt;=$E$7),CsDJ[Credit])))+(SUM(IF((CRDJ[Sort Code]=(TRIM(G$4)))*(CRDJ[Account Code]=(TRIM($B143)))*(CRDJ[Date]&lt;=$E$7),CRDJ[Credit])))+(SUM(IF((GJ[Sort Code]=(TRIM(G$4)))*(GJ[Account Code]=(TRIM($B143)))*(GJ[Date]&lt;=$E$7),GJ[Credit]))))</f>
        <v>0</v>
      </c>
      <c r="F143" s="245">
        <f t="array" ref="F143">((SUM(IF((CkDJ[Date]=$A$3)*(CkDJ[Sort Code]=(TRIM(G$4)))*(CkDJ[Account Code]=(TRIM($B143))),CkDJ[Debit])))+(SUM(IF((CsDJ[Date]=$A$3)*(CsDJ[Sort Code]=(TRIM(G$4)))*(CsDJ[Account Code]=(TRIM($B143))),CsDJ[Debit])))+(SUM(IF((CRDJ[Date]=$A$3)*(CRDJ[Sort Code]=(TRIM(G$4)))*(CRDJ[Account Code]=(TRIM($B143))),CRDJ[Debit])))+(SUM(IF((GJ[Date]=$A$3)*(GJ[Sort Code]=(TRIM(G$4)))*(GJ[Account Code]=(TRIM($B143))),GJ[Debit]))))-((SUM(IF((CkDJ[Date]=$A$3)*(CkDJ[Sort Code]=(TRIM(G$4)))*(CkDJ[Account Code]=(TRIM($B143))),CkDJ[Credit])))+(SUM(IF((CsDJ[Date]=$A$3)*(CsDJ[Sort Code]=(TRIM(G$4)))*(CsDJ[Account Code]=(TRIM($B143))),CsDJ[Credit])))+(SUM(IF((CRDJ[Date]=$A$3)*(CRDJ[Sort Code]=(TRIM(G$4)))*(CRDJ[Account Code]=(TRIM($B143))),CRDJ[Credit])))+(SUM(IF((GJ[Date]=$A$3)*(GJ[Sort Code]=(TRIM(G$4)))*(GJ[Account Code]=(TRIM($B143))),GJ[Credit]))))</f>
        <v>0</v>
      </c>
      <c r="G143" s="343">
        <f>E143+F143</f>
        <v>0</v>
      </c>
      <c r="H143" s="246">
        <f t="shared" si="10"/>
        <v>0</v>
      </c>
      <c r="I143" s="246">
        <f t="shared" si="11"/>
        <v>0</v>
      </c>
    </row>
    <row r="144" spans="1:9" x14ac:dyDescent="0.2">
      <c r="A144" s="239" t="s">
        <v>807</v>
      </c>
      <c r="B144" s="337"/>
      <c r="C144" s="252">
        <f>C145+C146</f>
        <v>15000000</v>
      </c>
      <c r="D144" s="252">
        <f>D145+D146</f>
        <v>15000000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10"/>
        <v>-15000000</v>
      </c>
      <c r="I144" s="242">
        <f t="shared" si="11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Code]=B145)*(Budget[Sort Code]=$G$4),(Budget[Amount])))</f>
        <v>15000000</v>
      </c>
      <c r="D145" s="245">
        <f t="array" ref="D145">SUM(IF((Budget[Account Code]=B145)*(Budget[Sort Code]=$G$4)*(Budget[Date]&lt;=$D$7),(Budget[Amount])))</f>
        <v>15000000</v>
      </c>
      <c r="E145" s="245">
        <f t="array" ref="E145">((SUM(IF((CkDJ[Sort Code]=(TRIM(G$4)))*(CkDJ[Account Code]=(TRIM($B145)))*(CkDJ[Date]&lt;=$E$7),CkDJ[Debit])))+(SUM(IF((CsDJ[Sort Code]=(TRIM(G$4)))*(CsDJ[Account Code]=(TRIM($B145)))*(CsDJ[Date]&lt;=$E$7),CsDJ[Debit])))+(SUM(IF((CRDJ[Sort Code]=(TRIM(G$4)))*(CRDJ[Account Code]=(TRIM($B145)))*(CRDJ[Date]&lt;=$E$7),CRDJ[Debit])))+(SUM(IF((GJ[Sort Code]=(TRIM(G$4)))*(GJ[Account Code]=(TRIM($B145)))*(GJ[Date]&lt;=$E$7),GJ[Debit]))))-((SUM(IF((CkDJ[Sort Code]=(TRIM(G$4)))*(CkDJ[Account Code]=(TRIM($B145)))*(CkDJ[Date]&lt;=$E$7),CkDJ[Credit])))+(SUM(IF((CsDJ[Sort Code]=(TRIM(G$4)))*(CsDJ[Account Code]=(TRIM($B145)))*(CsDJ[Date]&lt;=$E$7),CsDJ[Credit])))+(SUM(IF((CRDJ[Sort Code]=(TRIM(G$4)))*(CRDJ[Account Code]=(TRIM($B145)))*(CRDJ[Date]&lt;=$E$7),CRDJ[Credit])))+(SUM(IF((GJ[Sort Code]=(TRIM(G$4)))*(GJ[Account Code]=(TRIM($B145)))*(GJ[Date]&lt;=$E$7),GJ[Credit]))))</f>
        <v>0</v>
      </c>
      <c r="F145" s="245">
        <f t="array" ref="F145">((SUM(IF((CkDJ[Date]=$A$3)*(CkDJ[Sort Code]=(TRIM(G$4)))*(CkDJ[Account Code]=(TRIM($B145))),CkDJ[Debit])))+(SUM(IF((CsDJ[Date]=$A$3)*(CsDJ[Sort Code]=(TRIM(G$4)))*(CsDJ[Account Code]=(TRIM($B145))),CsDJ[Debit])))+(SUM(IF((CRDJ[Date]=$A$3)*(CRDJ[Sort Code]=(TRIM(G$4)))*(CRDJ[Account Code]=(TRIM($B145))),CRDJ[Debit])))+(SUM(IF((GJ[Date]=$A$3)*(GJ[Sort Code]=(TRIM(G$4)))*(GJ[Account Code]=(TRIM($B145))),GJ[Debit]))))-((SUM(IF((CkDJ[Date]=$A$3)*(CkDJ[Sort Code]=(TRIM(G$4)))*(CkDJ[Account Code]=(TRIM($B145))),CkDJ[Credit])))+(SUM(IF((CsDJ[Date]=$A$3)*(CsDJ[Sort Code]=(TRIM(G$4)))*(CsDJ[Account Code]=(TRIM($B145))),CsDJ[Credit])))+(SUM(IF((CRDJ[Date]=$A$3)*(CRDJ[Sort Code]=(TRIM(G$4)))*(CRDJ[Account Code]=(TRIM($B145))),CRDJ[Credit])))+(SUM(IF((GJ[Date]=$A$3)*(GJ[Sort Code]=(TRIM(G$4)))*(GJ[Account Code]=(TRIM($B145))),GJ[Credit]))))</f>
        <v>0</v>
      </c>
      <c r="G145" s="343">
        <f>E145+F145</f>
        <v>0</v>
      </c>
      <c r="H145" s="246">
        <f t="shared" si="10"/>
        <v>-15000000</v>
      </c>
      <c r="I145" s="246">
        <f t="shared" si="11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10"/>
        <v>0</v>
      </c>
      <c r="I146" s="246">
        <f t="shared" si="11"/>
        <v>0</v>
      </c>
    </row>
    <row r="147" spans="1:9" x14ac:dyDescent="0.2">
      <c r="A147" s="251" t="s">
        <v>804</v>
      </c>
      <c r="B147" s="338"/>
      <c r="C147" s="250">
        <f>C50+C76+C144</f>
        <v>65544765.829999998</v>
      </c>
      <c r="D147" s="250">
        <f>D50+D76+D144</f>
        <v>65544765.829999998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10"/>
        <v>-65544765.829999998</v>
      </c>
      <c r="I147" s="250">
        <f t="shared" si="11"/>
        <v>0</v>
      </c>
    </row>
    <row r="148" spans="1:9" x14ac:dyDescent="0.2">
      <c r="A148" s="251" t="s">
        <v>785</v>
      </c>
      <c r="B148" s="338"/>
      <c r="C148" s="250">
        <f>C48-C147</f>
        <v>-29932687.77</v>
      </c>
      <c r="D148" s="250">
        <f>D48-D147</f>
        <v>-29932687.77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10"/>
        <v>29932687.77</v>
      </c>
      <c r="I148" s="250">
        <f t="shared" si="11"/>
        <v>0</v>
      </c>
    </row>
    <row r="149" spans="1:9" x14ac:dyDescent="0.2">
      <c r="A149" s="251" t="s">
        <v>749</v>
      </c>
      <c r="B149" s="338"/>
      <c r="C149" s="250">
        <f>C48/C147</f>
        <v>0.54</v>
      </c>
      <c r="D149" s="250">
        <f>D48/D147</f>
        <v>0.54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10"/>
        <v>#DIV/0!</v>
      </c>
      <c r="I149" s="250" t="e">
        <f t="shared" si="11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10"/>
        <v>0</v>
      </c>
      <c r="I150" s="250">
        <f t="shared" si="11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10"/>
        <v>0</v>
      </c>
      <c r="I151" s="250">
        <f t="shared" si="11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-29932687.77</v>
      </c>
      <c r="D152" s="250">
        <f>D148+D150+D151</f>
        <v>-29932687.77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10"/>
        <v>29932687.77</v>
      </c>
      <c r="I152" s="250">
        <f t="shared" si="11"/>
        <v>0</v>
      </c>
    </row>
    <row r="153" spans="1:9" x14ac:dyDescent="0.2">
      <c r="A153" s="251" t="s">
        <v>749</v>
      </c>
      <c r="B153" s="338"/>
      <c r="C153" s="250">
        <f>C48/(C147-C150-C151)</f>
        <v>0.54</v>
      </c>
      <c r="D153" s="250">
        <f>D48/(D147-D150-D151)</f>
        <v>0.54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10"/>
        <v>#DIV/0!</v>
      </c>
      <c r="I153" s="250" t="e">
        <f t="shared" si="11"/>
        <v>#DIV/0!</v>
      </c>
    </row>
    <row r="154" spans="1:9" x14ac:dyDescent="0.2">
      <c r="A154" s="257" t="s">
        <v>801</v>
      </c>
      <c r="B154" s="340"/>
      <c r="C154" s="258"/>
      <c r="D154" s="258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Code]=B155)*(Budget[Sort Code]=$G$4),(Budget[Amount])))</f>
        <v>0</v>
      </c>
      <c r="D155" s="245">
        <f t="array" ref="D155">SUM(IF((Budget[Account Code]=B155)*(Budget[Sort Code]=$G$4)*(Budget[Date]&lt;=$D$7),(Budget[Amount])))</f>
        <v>0</v>
      </c>
      <c r="E155" s="245">
        <f t="array" ref="E155">((SUM(IF((CkDJ[Sort Code]=(TRIM(G$4)))*(CkDJ[Account Code]=(TRIM($B155)))*(CkDJ[Date]&lt;=$E$7),CkDJ[Debit])))+(SUM(IF((CsDJ[Sort Code]=(TRIM(G$4)))*(CsDJ[Account Code]=(TRIM($B155)))*(CsDJ[Date]&lt;=$E$7),CsDJ[Debit])))+(SUM(IF((CRDJ[Sort Code]=(TRIM(G$4)))*(CRDJ[Account Code]=(TRIM($B155)))*(CRDJ[Date]&lt;=$E$7),CRDJ[Debit])))+(SUM(IF((GJ[Sort Code]=(TRIM(G$4)))*(GJ[Account Code]=(TRIM($B155)))*(GJ[Date]&lt;=$E$7),GJ[Debit]))))-((SUM(IF((CkDJ[Sort Code]=(TRIM(G$4)))*(CkDJ[Account Code]=(TRIM($B155)))*(CkDJ[Date]&lt;=$E$7),CkDJ[Credit])))+(SUM(IF((CsDJ[Sort Code]=(TRIM(G$4)))*(CsDJ[Account Code]=(TRIM($B155)))*(CsDJ[Date]&lt;=$E$7),CsDJ[Credit])))+(SUM(IF((CRDJ[Sort Code]=(TRIM(G$4)))*(CRDJ[Account Code]=(TRIM($B155)))*(CRDJ[Date]&lt;=$E$7),CRDJ[Credit])))+(SUM(IF((GJ[Sort Code]=(TRIM(G$4)))*(GJ[Account Code]=(TRIM($B155)))*(GJ[Date]&lt;=$E$7),GJ[Credit]))))</f>
        <v>0</v>
      </c>
      <c r="F155" s="245">
        <f t="array" ref="F155">((SUM(IF((CkDJ[Date]=$A$3)*(CkDJ[Sort Code]=(TRIM(G$4)))*(CkDJ[Account Code]=(TRIM($B155))),CkDJ[Debit])))+(SUM(IF((CsDJ[Date]=$A$3)*(CsDJ[Sort Code]=(TRIM(G$4)))*(CsDJ[Account Code]=(TRIM($B155))),CsDJ[Debit])))+(SUM(IF((CRDJ[Date]=$A$3)*(CRDJ[Sort Code]=(TRIM(G$4)))*(CRDJ[Account Code]=(TRIM($B155))),CRDJ[Debit])))+(SUM(IF((GJ[Date]=$A$3)*(GJ[Sort Code]=(TRIM(G$4)))*(GJ[Account Code]=(TRIM($B155))),GJ[Debit]))))-((SUM(IF((CkDJ[Date]=$A$3)*(CkDJ[Sort Code]=(TRIM(G$4)))*(CkDJ[Account Code]=(TRIM($B155))),CkDJ[Credit])))+(SUM(IF((CsDJ[Date]=$A$3)*(CsDJ[Sort Code]=(TRIM(G$4)))*(CsDJ[Account Code]=(TRIM($B155))),CsDJ[Credit])))+(SUM(IF((CRDJ[Date]=$A$3)*(CRDJ[Sort Code]=(TRIM(G$4)))*(CRDJ[Account Code]=(TRIM($B155))),CRDJ[Credit])))+(SUM(IF((GJ[Date]=$A$3)*(GJ[Sort Code]=(TRIM(G$4)))*(GJ[Account Code]=(TRIM($B155))),GJ[Credit]))))</f>
        <v>0</v>
      </c>
      <c r="G155" s="343">
        <f t="shared" ref="G155:G163" si="12">E155+F155</f>
        <v>0</v>
      </c>
      <c r="H155" s="246">
        <f t="shared" si="10"/>
        <v>0</v>
      </c>
      <c r="I155" s="246">
        <f t="shared" si="11"/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Code]=B156)*(Budget[Sort Code]=$G$4),(Budget[Amount])))</f>
        <v>1648347</v>
      </c>
      <c r="D156" s="245">
        <f t="array" ref="D156">SUM(IF((Budget[Account Code]=B156)*(Budget[Sort Code]=$G$4)*(Budget[Date]&lt;=$D$7),(Budget[Amount])))</f>
        <v>1648347</v>
      </c>
      <c r="E156" s="245">
        <f t="array" ref="E156">((SUM(IF((CkDJ[Sort Code]=(TRIM(G$4)))*(CkDJ[Account Code]=(TRIM($B156)))*(CkDJ[Date]&lt;=$E$7),CkDJ[Debit])))+(SUM(IF((CsDJ[Sort Code]=(TRIM(G$4)))*(CsDJ[Account Code]=(TRIM($B156)))*(CsDJ[Date]&lt;=$E$7),CsDJ[Debit])))+(SUM(IF((CRDJ[Sort Code]=(TRIM(G$4)))*(CRDJ[Account Code]=(TRIM($B156)))*(CRDJ[Date]&lt;=$E$7),CRDJ[Debit])))+(SUM(IF((GJ[Sort Code]=(TRIM(G$4)))*(GJ[Account Code]=(TRIM($B156)))*(GJ[Date]&lt;=$E$7),GJ[Debit]))))-((SUM(IF((CkDJ[Sort Code]=(TRIM(G$4)))*(CkDJ[Account Code]=(TRIM($B156)))*(CkDJ[Date]&lt;=$E$7),CkDJ[Credit])))+(SUM(IF((CsDJ[Sort Code]=(TRIM(G$4)))*(CsDJ[Account Code]=(TRIM($B156)))*(CsDJ[Date]&lt;=$E$7),CsDJ[Credit])))+(SUM(IF((CRDJ[Sort Code]=(TRIM(G$4)))*(CRDJ[Account Code]=(TRIM($B156)))*(CRDJ[Date]&lt;=$E$7),CRDJ[Credit])))+(SUM(IF((GJ[Sort Code]=(TRIM(G$4)))*(GJ[Account Code]=(TRIM($B156)))*(GJ[Date]&lt;=$E$7),GJ[Credit]))))</f>
        <v>0</v>
      </c>
      <c r="F156" s="245">
        <f t="array" ref="F156">((SUM(IF((CkDJ[Date]=$A$3)*(CkDJ[Sort Code]=(TRIM(G$4)))*(CkDJ[Account Code]=(TRIM($B156))),CkDJ[Debit])))+(SUM(IF((CsDJ[Date]=$A$3)*(CsDJ[Sort Code]=(TRIM(G$4)))*(CsDJ[Account Code]=(TRIM($B156))),CsDJ[Debit])))+(SUM(IF((CRDJ[Date]=$A$3)*(CRDJ[Sort Code]=(TRIM(G$4)))*(CRDJ[Account Code]=(TRIM($B156))),CRDJ[Debit])))+(SUM(IF((GJ[Date]=$A$3)*(GJ[Sort Code]=(TRIM(G$4)))*(GJ[Account Code]=(TRIM($B156))),GJ[Debit]))))-((SUM(IF((CkDJ[Date]=$A$3)*(CkDJ[Sort Code]=(TRIM(G$4)))*(CkDJ[Account Code]=(TRIM($B156))),CkDJ[Credit])))+(SUM(IF((CsDJ[Date]=$A$3)*(CsDJ[Sort Code]=(TRIM(G$4)))*(CsDJ[Account Code]=(TRIM($B156))),CsDJ[Credit])))+(SUM(IF((CRDJ[Date]=$A$3)*(CRDJ[Sort Code]=(TRIM(G$4)))*(CRDJ[Account Code]=(TRIM($B156))),CRDJ[Credit])))+(SUM(IF((GJ[Date]=$A$3)*(GJ[Sort Code]=(TRIM(G$4)))*(GJ[Account Code]=(TRIM($B156))),GJ[Credit]))))</f>
        <v>0</v>
      </c>
      <c r="G156" s="343">
        <f t="shared" si="12"/>
        <v>0</v>
      </c>
      <c r="H156" s="246">
        <f t="shared" si="10"/>
        <v>-1648347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Code]=B157)*(Budget[Sort Code]=$G$4),(Budget[Amount])))</f>
        <v>0</v>
      </c>
      <c r="D157" s="245">
        <f t="array" ref="D157">SUM(IF((Budget[Account Code]=B157)*(Budget[Sort Code]=$G$4)*(Budget[Date]&lt;=$D$7),(Budget[Amount])))</f>
        <v>0</v>
      </c>
      <c r="E157" s="245">
        <f t="array" ref="E157">((SUM(IF((CkDJ[Sort Code]=(TRIM(G$4)))*(CkDJ[Account Code]=(TRIM($B157)))*(CkDJ[Date]&lt;=$E$7),CkDJ[Debit])))+(SUM(IF((CsDJ[Sort Code]=(TRIM(G$4)))*(CsDJ[Account Code]=(TRIM($B157)))*(CsDJ[Date]&lt;=$E$7),CsDJ[Debit])))+(SUM(IF((CRDJ[Sort Code]=(TRIM(G$4)))*(CRDJ[Account Code]=(TRIM($B157)))*(CRDJ[Date]&lt;=$E$7),CRDJ[Debit])))+(SUM(IF((GJ[Sort Code]=(TRIM(G$4)))*(GJ[Account Code]=(TRIM($B157)))*(GJ[Date]&lt;=$E$7),GJ[Debit]))))-((SUM(IF((CkDJ[Sort Code]=(TRIM(G$4)))*(CkDJ[Account Code]=(TRIM($B157)))*(CkDJ[Date]&lt;=$E$7),CkDJ[Credit])))+(SUM(IF((CsDJ[Sort Code]=(TRIM(G$4)))*(CsDJ[Account Code]=(TRIM($B157)))*(CsDJ[Date]&lt;=$E$7),CsDJ[Credit])))+(SUM(IF((CRDJ[Sort Code]=(TRIM(G$4)))*(CRDJ[Account Code]=(TRIM($B157)))*(CRDJ[Date]&lt;=$E$7),CRDJ[Credit])))+(SUM(IF((GJ[Sort Code]=(TRIM(G$4)))*(GJ[Account Code]=(TRIM($B157)))*(GJ[Date]&lt;=$E$7),GJ[Credit]))))</f>
        <v>0</v>
      </c>
      <c r="F157" s="245">
        <f t="array" ref="F157">((SUM(IF((CkDJ[Date]=$A$3)*(CkDJ[Sort Code]=(TRIM(G$4)))*(CkDJ[Account Code]=(TRIM($B157))),CkDJ[Debit])))+(SUM(IF((CsDJ[Date]=$A$3)*(CsDJ[Sort Code]=(TRIM(G$4)))*(CsDJ[Account Code]=(TRIM($B157))),CsDJ[Debit])))+(SUM(IF((CRDJ[Date]=$A$3)*(CRDJ[Sort Code]=(TRIM(G$4)))*(CRDJ[Account Code]=(TRIM($B157))),CRDJ[Debit])))+(SUM(IF((GJ[Date]=$A$3)*(GJ[Sort Code]=(TRIM(G$4)))*(GJ[Account Code]=(TRIM($B157))),GJ[Debit]))))-((SUM(IF((CkDJ[Date]=$A$3)*(CkDJ[Sort Code]=(TRIM(G$4)))*(CkDJ[Account Code]=(TRIM($B157))),CkDJ[Credit])))+(SUM(IF((CsDJ[Date]=$A$3)*(CsDJ[Sort Code]=(TRIM(G$4)))*(CsDJ[Account Code]=(TRIM($B157))),CsDJ[Credit])))+(SUM(IF((CRDJ[Date]=$A$3)*(CRDJ[Sort Code]=(TRIM(G$4)))*(CRDJ[Account Code]=(TRIM($B157))),CRDJ[Credit])))+(SUM(IF((GJ[Date]=$A$3)*(GJ[Sort Code]=(TRIM(G$4)))*(GJ[Account Code]=(TRIM($B157))),GJ[Credit]))))</f>
        <v>0</v>
      </c>
      <c r="G157" s="343">
        <f t="shared" si="12"/>
        <v>0</v>
      </c>
      <c r="H157" s="246">
        <f t="shared" si="10"/>
        <v>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Code]=B158)*(Budget[Sort Code]=$G$4),(Budget[Amount])))</f>
        <v>70000</v>
      </c>
      <c r="D158" s="245">
        <f t="array" ref="D158">SUM(IF((Budget[Account Code]=B158)*(Budget[Sort Code]=$G$4)*(Budget[Date]&lt;=$D$7),(Budget[Amount])))</f>
        <v>70000</v>
      </c>
      <c r="E158" s="245">
        <f t="array" ref="E158">((SUM(IF((CkDJ[Sort Code]=(TRIM(G$4)))*(CkDJ[Account Code]=(TRIM($B158)))*(CkDJ[Date]&lt;=$E$7),CkDJ[Debit])))+(SUM(IF((CsDJ[Sort Code]=(TRIM(G$4)))*(CsDJ[Account Code]=(TRIM($B158)))*(CsDJ[Date]&lt;=$E$7),CsDJ[Debit])))+(SUM(IF((CRDJ[Sort Code]=(TRIM(G$4)))*(CRDJ[Account Code]=(TRIM($B158)))*(CRDJ[Date]&lt;=$E$7),CRDJ[Debit])))+(SUM(IF((GJ[Sort Code]=(TRIM(G$4)))*(GJ[Account Code]=(TRIM($B158)))*(GJ[Date]&lt;=$E$7),GJ[Debit]))))-((SUM(IF((CkDJ[Sort Code]=(TRIM(G$4)))*(CkDJ[Account Code]=(TRIM($B158)))*(CkDJ[Date]&lt;=$E$7),CkDJ[Credit])))+(SUM(IF((CsDJ[Sort Code]=(TRIM(G$4)))*(CsDJ[Account Code]=(TRIM($B158)))*(CsDJ[Date]&lt;=$E$7),CsDJ[Credit])))+(SUM(IF((CRDJ[Sort Code]=(TRIM(G$4)))*(CRDJ[Account Code]=(TRIM($B158)))*(CRDJ[Date]&lt;=$E$7),CRDJ[Credit])))+(SUM(IF((GJ[Sort Code]=(TRIM(G$4)))*(GJ[Account Code]=(TRIM($B158)))*(GJ[Date]&lt;=$E$7),GJ[Credit]))))</f>
        <v>0</v>
      </c>
      <c r="F158" s="245">
        <f t="array" ref="F158">((SUM(IF((CkDJ[Date]=$A$3)*(CkDJ[Sort Code]=(TRIM(G$4)))*(CkDJ[Account Code]=(TRIM($B158))),CkDJ[Debit])))+(SUM(IF((CsDJ[Date]=$A$3)*(CsDJ[Sort Code]=(TRIM(G$4)))*(CsDJ[Account Code]=(TRIM($B158))),CsDJ[Debit])))+(SUM(IF((CRDJ[Date]=$A$3)*(CRDJ[Sort Code]=(TRIM(G$4)))*(CRDJ[Account Code]=(TRIM($B158))),CRDJ[Debit])))+(SUM(IF((GJ[Date]=$A$3)*(GJ[Sort Code]=(TRIM(G$4)))*(GJ[Account Code]=(TRIM($B158))),GJ[Debit]))))-((SUM(IF((CkDJ[Date]=$A$3)*(CkDJ[Sort Code]=(TRIM(G$4)))*(CkDJ[Account Code]=(TRIM($B158))),CkDJ[Credit])))+(SUM(IF((CsDJ[Date]=$A$3)*(CsDJ[Sort Code]=(TRIM(G$4)))*(CsDJ[Account Code]=(TRIM($B158))),CsDJ[Credit])))+(SUM(IF((CRDJ[Date]=$A$3)*(CRDJ[Sort Code]=(TRIM(G$4)))*(CRDJ[Account Code]=(TRIM($B158))),CRDJ[Credit])))+(SUM(IF((GJ[Date]=$A$3)*(GJ[Sort Code]=(TRIM(G$4)))*(GJ[Account Code]=(TRIM($B158))),GJ[Credit]))))</f>
        <v>0</v>
      </c>
      <c r="G158" s="343">
        <f t="shared" si="12"/>
        <v>0</v>
      </c>
      <c r="H158" s="246">
        <f t="shared" si="10"/>
        <v>-70000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Code]=B159)*(Budget[Sort Code]=$G$4),(Budget[Amount])))</f>
        <v>0</v>
      </c>
      <c r="D159" s="245">
        <f t="array" ref="D159">SUM(IF((Budget[Account Code]=B159)*(Budget[Sort Code]=$G$4)*(Budget[Date]&lt;=$D$7),(Budget[Amount])))</f>
        <v>0</v>
      </c>
      <c r="E159" s="245">
        <f t="array" ref="E159">((SUM(IF((CkDJ[Sort Code]=(TRIM(G$4)))*(CkDJ[Account Code]=(TRIM($B159)))*(CkDJ[Date]&lt;=$E$7),CkDJ[Debit])))+(SUM(IF((CsDJ[Sort Code]=(TRIM(G$4)))*(CsDJ[Account Code]=(TRIM($B159)))*(CsDJ[Date]&lt;=$E$7),CsDJ[Debit])))+(SUM(IF((CRDJ[Sort Code]=(TRIM(G$4)))*(CRDJ[Account Code]=(TRIM($B159)))*(CRDJ[Date]&lt;=$E$7),CRDJ[Debit])))+(SUM(IF((GJ[Sort Code]=(TRIM(G$4)))*(GJ[Account Code]=(TRIM($B159)))*(GJ[Date]&lt;=$E$7),GJ[Debit]))))-((SUM(IF((CkDJ[Sort Code]=(TRIM(G$4)))*(CkDJ[Account Code]=(TRIM($B159)))*(CkDJ[Date]&lt;=$E$7),CkDJ[Credit])))+(SUM(IF((CsDJ[Sort Code]=(TRIM(G$4)))*(CsDJ[Account Code]=(TRIM($B159)))*(CsDJ[Date]&lt;=$E$7),CsDJ[Credit])))+(SUM(IF((CRDJ[Sort Code]=(TRIM(G$4)))*(CRDJ[Account Code]=(TRIM($B159)))*(CRDJ[Date]&lt;=$E$7),CRDJ[Credit])))+(SUM(IF((GJ[Sort Code]=(TRIM(G$4)))*(GJ[Account Code]=(TRIM($B159)))*(GJ[Date]&lt;=$E$7),GJ[Credit]))))</f>
        <v>0</v>
      </c>
      <c r="F159" s="245">
        <f t="array" ref="F159">((SUM(IF((CkDJ[Date]=$A$3)*(CkDJ[Sort Code]=(TRIM(G$4)))*(CkDJ[Account Code]=(TRIM($B159))),CkDJ[Debit])))+(SUM(IF((CsDJ[Date]=$A$3)*(CsDJ[Sort Code]=(TRIM(G$4)))*(CsDJ[Account Code]=(TRIM($B159))),CsDJ[Debit])))+(SUM(IF((CRDJ[Date]=$A$3)*(CRDJ[Sort Code]=(TRIM(G$4)))*(CRDJ[Account Code]=(TRIM($B159))),CRDJ[Debit])))+(SUM(IF((GJ[Date]=$A$3)*(GJ[Sort Code]=(TRIM(G$4)))*(GJ[Account Code]=(TRIM($B159))),GJ[Debit]))))-((SUM(IF((CkDJ[Date]=$A$3)*(CkDJ[Sort Code]=(TRIM(G$4)))*(CkDJ[Account Code]=(TRIM($B159))),CkDJ[Credit])))+(SUM(IF((CsDJ[Date]=$A$3)*(CsDJ[Sort Code]=(TRIM(G$4)))*(CsDJ[Account Code]=(TRIM($B159))),CsDJ[Credit])))+(SUM(IF((CRDJ[Date]=$A$3)*(CRDJ[Sort Code]=(TRIM(G$4)))*(CRDJ[Account Code]=(TRIM($B159))),CRDJ[Credit])))+(SUM(IF((GJ[Date]=$A$3)*(GJ[Sort Code]=(TRIM(G$4)))*(GJ[Account Code]=(TRIM($B159))),GJ[Credit]))))</f>
        <v>0</v>
      </c>
      <c r="G159" s="343">
        <f t="shared" si="12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Code]=B160)*(Budget[Sort Code]=$G$4),(Budget[Amount])))</f>
        <v>80000</v>
      </c>
      <c r="D160" s="245">
        <f t="array" ref="D160">SUM(IF((Budget[Account Code]=B160)*(Budget[Sort Code]=$G$4)*(Budget[Date]&lt;=$D$7),(Budget[Amount])))</f>
        <v>80000</v>
      </c>
      <c r="E160" s="245">
        <f t="array" ref="E160">((SUM(IF((CkDJ[Sort Code]=(TRIM(G$4)))*(CkDJ[Account Code]=(TRIM($B160)))*(CkDJ[Date]&lt;=$E$7),CkDJ[Debit])))+(SUM(IF((CsDJ[Sort Code]=(TRIM(G$4)))*(CsDJ[Account Code]=(TRIM($B160)))*(CsDJ[Date]&lt;=$E$7),CsDJ[Debit])))+(SUM(IF((CRDJ[Sort Code]=(TRIM(G$4)))*(CRDJ[Account Code]=(TRIM($B160)))*(CRDJ[Date]&lt;=$E$7),CRDJ[Debit])))+(SUM(IF((GJ[Sort Code]=(TRIM(G$4)))*(GJ[Account Code]=(TRIM($B160)))*(GJ[Date]&lt;=$E$7),GJ[Debit]))))-((SUM(IF((CkDJ[Sort Code]=(TRIM(G$4)))*(CkDJ[Account Code]=(TRIM($B160)))*(CkDJ[Date]&lt;=$E$7),CkDJ[Credit])))+(SUM(IF((CsDJ[Sort Code]=(TRIM(G$4)))*(CsDJ[Account Code]=(TRIM($B160)))*(CsDJ[Date]&lt;=$E$7),CsDJ[Credit])))+(SUM(IF((CRDJ[Sort Code]=(TRIM(G$4)))*(CRDJ[Account Code]=(TRIM($B160)))*(CRDJ[Date]&lt;=$E$7),CRDJ[Credit])))+(SUM(IF((GJ[Sort Code]=(TRIM(G$4)))*(GJ[Account Code]=(TRIM($B160)))*(GJ[Date]&lt;=$E$7),GJ[Credit]))))</f>
        <v>0</v>
      </c>
      <c r="F160" s="245">
        <f t="array" ref="F160">((SUM(IF((CkDJ[Date]=$A$3)*(CkDJ[Sort Code]=(TRIM(G$4)))*(CkDJ[Account Code]=(TRIM($B160))),CkDJ[Debit])))+(SUM(IF((CsDJ[Date]=$A$3)*(CsDJ[Sort Code]=(TRIM(G$4)))*(CsDJ[Account Code]=(TRIM($B160))),CsDJ[Debit])))+(SUM(IF((CRDJ[Date]=$A$3)*(CRDJ[Sort Code]=(TRIM(G$4)))*(CRDJ[Account Code]=(TRIM($B160))),CRDJ[Debit])))+(SUM(IF((GJ[Date]=$A$3)*(GJ[Sort Code]=(TRIM(G$4)))*(GJ[Account Code]=(TRIM($B160))),GJ[Debit]))))-((SUM(IF((CkDJ[Date]=$A$3)*(CkDJ[Sort Code]=(TRIM(G$4)))*(CkDJ[Account Code]=(TRIM($B160))),CkDJ[Credit])))+(SUM(IF((CsDJ[Date]=$A$3)*(CsDJ[Sort Code]=(TRIM(G$4)))*(CsDJ[Account Code]=(TRIM($B160))),CsDJ[Credit])))+(SUM(IF((CRDJ[Date]=$A$3)*(CRDJ[Sort Code]=(TRIM(G$4)))*(CRDJ[Account Code]=(TRIM($B160))),CRDJ[Credit])))+(SUM(IF((GJ[Date]=$A$3)*(GJ[Sort Code]=(TRIM(G$4)))*(GJ[Account Code]=(TRIM($B160))),GJ[Credit]))))</f>
        <v>0</v>
      </c>
      <c r="G160" s="343">
        <f t="shared" si="12"/>
        <v>0</v>
      </c>
      <c r="H160" s="246">
        <f t="shared" si="10"/>
        <v>-80000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Code]=B161)*(Budget[Sort Code]=$G$4),(Budget[Amount])))</f>
        <v>0</v>
      </c>
      <c r="D161" s="245">
        <f t="array" ref="D161">SUM(IF((Budget[Account Code]=B161)*(Budget[Sort Code]=$G$4)*(Budget[Date]&lt;=$D$7),(Budget[Amount])))</f>
        <v>0</v>
      </c>
      <c r="E161" s="245">
        <f t="array" ref="E161">((SUM(IF((CkDJ[Sort Code]=(TRIM(G$4)))*(CkDJ[Account Code]=(TRIM($B161)))*(CkDJ[Date]&lt;=$E$7),CkDJ[Debit])))+(SUM(IF((CsDJ[Sort Code]=(TRIM(G$4)))*(CsDJ[Account Code]=(TRIM($B161)))*(CsDJ[Date]&lt;=$E$7),CsDJ[Debit])))+(SUM(IF((CRDJ[Sort Code]=(TRIM(G$4)))*(CRDJ[Account Code]=(TRIM($B161)))*(CRDJ[Date]&lt;=$E$7),CRDJ[Debit])))+(SUM(IF((GJ[Sort Code]=(TRIM(G$4)))*(GJ[Account Code]=(TRIM($B161)))*(GJ[Date]&lt;=$E$7),GJ[Debit]))))-((SUM(IF((CkDJ[Sort Code]=(TRIM(G$4)))*(CkDJ[Account Code]=(TRIM($B161)))*(CkDJ[Date]&lt;=$E$7),CkDJ[Credit])))+(SUM(IF((CsDJ[Sort Code]=(TRIM(G$4)))*(CsDJ[Account Code]=(TRIM($B161)))*(CsDJ[Date]&lt;=$E$7),CsDJ[Credit])))+(SUM(IF((CRDJ[Sort Code]=(TRIM(G$4)))*(CRDJ[Account Code]=(TRIM($B161)))*(CRDJ[Date]&lt;=$E$7),CRDJ[Credit])))+(SUM(IF((GJ[Sort Code]=(TRIM(G$4)))*(GJ[Account Code]=(TRIM($B161)))*(GJ[Date]&lt;=$E$7),GJ[Credit]))))</f>
        <v>0</v>
      </c>
      <c r="F161" s="245">
        <f t="array" ref="F161">((SUM(IF((CkDJ[Date]=$A$3)*(CkDJ[Sort Code]=(TRIM(G$4)))*(CkDJ[Account Code]=(TRIM($B161))),CkDJ[Debit])))+(SUM(IF((CsDJ[Date]=$A$3)*(CsDJ[Sort Code]=(TRIM(G$4)))*(CsDJ[Account Code]=(TRIM($B161))),CsDJ[Debit])))+(SUM(IF((CRDJ[Date]=$A$3)*(CRDJ[Sort Code]=(TRIM(G$4)))*(CRDJ[Account Code]=(TRIM($B161))),CRDJ[Debit])))+(SUM(IF((GJ[Date]=$A$3)*(GJ[Sort Code]=(TRIM(G$4)))*(GJ[Account Code]=(TRIM($B161))),GJ[Debit]))))-((SUM(IF((CkDJ[Date]=$A$3)*(CkDJ[Sort Code]=(TRIM(G$4)))*(CkDJ[Account Code]=(TRIM($B161))),CkDJ[Credit])))+(SUM(IF((CsDJ[Date]=$A$3)*(CsDJ[Sort Code]=(TRIM(G$4)))*(CsDJ[Account Code]=(TRIM($B161))),CsDJ[Credit])))+(SUM(IF((CRDJ[Date]=$A$3)*(CRDJ[Sort Code]=(TRIM(G$4)))*(CRDJ[Account Code]=(TRIM($B161))),CRDJ[Credit])))+(SUM(IF((GJ[Date]=$A$3)*(GJ[Sort Code]=(TRIM(G$4)))*(GJ[Account Code]=(TRIM($B161))),GJ[Credit]))))</f>
        <v>0</v>
      </c>
      <c r="G161" s="343">
        <f t="shared" si="12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Code]=B162)*(Budget[Sort Code]=$G$4),(Budget[Amount])))</f>
        <v>1783583.33</v>
      </c>
      <c r="D162" s="245">
        <f t="array" ref="D162">SUM(IF((Budget[Account Code]=B162)*(Budget[Sort Code]=$G$4)*(Budget[Date]&lt;=$D$7),(Budget[Amount])))</f>
        <v>1783583.33</v>
      </c>
      <c r="E162" s="245">
        <f t="array" ref="E162">((SUM(IF((CkDJ[Sort Code]=(TRIM(G$4)))*(CkDJ[Account Code]=(TRIM($B162)))*(CkDJ[Date]&lt;=$E$7),CkDJ[Debit])))+(SUM(IF((CsDJ[Sort Code]=(TRIM(G$4)))*(CsDJ[Account Code]=(TRIM($B162)))*(CsDJ[Date]&lt;=$E$7),CsDJ[Debit])))+(SUM(IF((CRDJ[Sort Code]=(TRIM(G$4)))*(CRDJ[Account Code]=(TRIM($B162)))*(CRDJ[Date]&lt;=$E$7),CRDJ[Debit])))+(SUM(IF((GJ[Sort Code]=(TRIM(G$4)))*(GJ[Account Code]=(TRIM($B162)))*(GJ[Date]&lt;=$E$7),GJ[Debit]))))-((SUM(IF((CkDJ[Sort Code]=(TRIM(G$4)))*(CkDJ[Account Code]=(TRIM($B162)))*(CkDJ[Date]&lt;=$E$7),CkDJ[Credit])))+(SUM(IF((CsDJ[Sort Code]=(TRIM(G$4)))*(CsDJ[Account Code]=(TRIM($B162)))*(CsDJ[Date]&lt;=$E$7),CsDJ[Credit])))+(SUM(IF((CRDJ[Sort Code]=(TRIM(G$4)))*(CRDJ[Account Code]=(TRIM($B162)))*(CRDJ[Date]&lt;=$E$7),CRDJ[Credit])))+(SUM(IF((GJ[Sort Code]=(TRIM(G$4)))*(GJ[Account Code]=(TRIM($B162)))*(GJ[Date]&lt;=$E$7),GJ[Credit]))))</f>
        <v>0</v>
      </c>
      <c r="F162" s="245">
        <f t="array" ref="F162">((SUM(IF((CkDJ[Date]=$A$3)*(CkDJ[Sort Code]=(TRIM(G$4)))*(CkDJ[Account Code]=(TRIM($B162))),CkDJ[Debit])))+(SUM(IF((CsDJ[Date]=$A$3)*(CsDJ[Sort Code]=(TRIM(G$4)))*(CsDJ[Account Code]=(TRIM($B162))),CsDJ[Debit])))+(SUM(IF((CRDJ[Date]=$A$3)*(CRDJ[Sort Code]=(TRIM(G$4)))*(CRDJ[Account Code]=(TRIM($B162))),CRDJ[Debit])))+(SUM(IF((GJ[Date]=$A$3)*(GJ[Sort Code]=(TRIM(G$4)))*(GJ[Account Code]=(TRIM($B162))),GJ[Debit]))))-((SUM(IF((CkDJ[Date]=$A$3)*(CkDJ[Sort Code]=(TRIM(G$4)))*(CkDJ[Account Code]=(TRIM($B162))),CkDJ[Credit])))+(SUM(IF((CsDJ[Date]=$A$3)*(CsDJ[Sort Code]=(TRIM(G$4)))*(CsDJ[Account Code]=(TRIM($B162))),CsDJ[Credit])))+(SUM(IF((CRDJ[Date]=$A$3)*(CRDJ[Sort Code]=(TRIM(G$4)))*(CRDJ[Account Code]=(TRIM($B162))),CRDJ[Credit])))+(SUM(IF((GJ[Date]=$A$3)*(GJ[Sort Code]=(TRIM(G$4)))*(GJ[Account Code]=(TRIM($B162))),GJ[Credit]))))</f>
        <v>0</v>
      </c>
      <c r="G162" s="343">
        <f t="shared" si="12"/>
        <v>0</v>
      </c>
      <c r="H162" s="246">
        <f t="shared" si="10"/>
        <v>-1783583.33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Code]=B163)*(Budget[Sort Code]=$G$4),(Budget[Amount])))</f>
        <v>0</v>
      </c>
      <c r="D163" s="245">
        <f t="array" ref="D163">SUM(IF((Budget[Account Code]=B163)*(Budget[Sort Code]=$G$4)*(Budget[Date]&lt;=$D$7),(Budget[Amount])))</f>
        <v>0</v>
      </c>
      <c r="E163" s="245">
        <f t="array" ref="E163">((SUM(IF((CkDJ[Sort Code]=(TRIM(G$4)))*(CkDJ[Account Code]=(TRIM($B163)))*(CkDJ[Date]&lt;=$E$7),CkDJ[Debit])))+(SUM(IF((CsDJ[Sort Code]=(TRIM(G$4)))*(CsDJ[Account Code]=(TRIM($B163)))*(CsDJ[Date]&lt;=$E$7),CsDJ[Debit])))+(SUM(IF((CRDJ[Sort Code]=(TRIM(G$4)))*(CRDJ[Account Code]=(TRIM($B163)))*(CRDJ[Date]&lt;=$E$7),CRDJ[Debit])))+(SUM(IF((GJ[Sort Code]=(TRIM(G$4)))*(GJ[Account Code]=(TRIM($B163)))*(GJ[Date]&lt;=$E$7),GJ[Debit]))))-((SUM(IF((CkDJ[Sort Code]=(TRIM(G$4)))*(CkDJ[Account Code]=(TRIM($B163)))*(CkDJ[Date]&lt;=$E$7),CkDJ[Credit])))+(SUM(IF((CsDJ[Sort Code]=(TRIM(G$4)))*(CsDJ[Account Code]=(TRIM($B163)))*(CsDJ[Date]&lt;=$E$7),CsDJ[Credit])))+(SUM(IF((CRDJ[Sort Code]=(TRIM(G$4)))*(CRDJ[Account Code]=(TRIM($B163)))*(CRDJ[Date]&lt;=$E$7),CRDJ[Credit])))+(SUM(IF((GJ[Sort Code]=(TRIM(G$4)))*(GJ[Account Code]=(TRIM($B163)))*(GJ[Date]&lt;=$E$7),GJ[Credit]))))</f>
        <v>0</v>
      </c>
      <c r="F163" s="245">
        <f t="array" ref="F163">((SUM(IF((CkDJ[Date]=$A$3)*(CkDJ[Sort Code]=(TRIM(G$4)))*(CkDJ[Account Code]=(TRIM($B163))),CkDJ[Debit])))+(SUM(IF((CsDJ[Date]=$A$3)*(CsDJ[Sort Code]=(TRIM(G$4)))*(CsDJ[Account Code]=(TRIM($B163))),CsDJ[Debit])))+(SUM(IF((CRDJ[Date]=$A$3)*(CRDJ[Sort Code]=(TRIM(G$4)))*(CRDJ[Account Code]=(TRIM($B163))),CRDJ[Debit])))+(SUM(IF((GJ[Date]=$A$3)*(GJ[Sort Code]=(TRIM(G$4)))*(GJ[Account Code]=(TRIM($B163))),GJ[Debit]))))-((SUM(IF((CkDJ[Date]=$A$3)*(CkDJ[Sort Code]=(TRIM(G$4)))*(CkDJ[Account Code]=(TRIM($B163))),CkDJ[Credit])))+(SUM(IF((CsDJ[Date]=$A$3)*(CsDJ[Sort Code]=(TRIM(G$4)))*(CsDJ[Account Code]=(TRIM($B163))),CsDJ[Credit])))+(SUM(IF((CRDJ[Date]=$A$3)*(CRDJ[Sort Code]=(TRIM(G$4)))*(CRDJ[Account Code]=(TRIM($B163))),CRDJ[Credit])))+(SUM(IF((GJ[Date]=$A$3)*(GJ[Sort Code]=(TRIM(G$4)))*(GJ[Account Code]=(TRIM($B163))),GJ[Credit]))))</f>
        <v>0</v>
      </c>
      <c r="G163" s="343">
        <f t="shared" si="12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3581930.33</v>
      </c>
      <c r="D164" s="250">
        <f>SUM(D155:D163)</f>
        <v>3581930.33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-3581930.33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69126696.159999996</v>
      </c>
      <c r="D165" s="250">
        <f>D147+D164</f>
        <v>69126696.159999996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-69126696.159999996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-33514618.100000001</v>
      </c>
      <c r="D166" s="250">
        <f>D48-D165</f>
        <v>-33514618.100000001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33514618.100000001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0.52</v>
      </c>
      <c r="D167" s="250">
        <f>D48/D165</f>
        <v>0.52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-33514618.100000001</v>
      </c>
      <c r="D170" s="250">
        <f>D166+D168+D169</f>
        <v>-33514618.100000001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33514618.100000001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0.52</v>
      </c>
      <c r="D171" s="250">
        <f>D48/(D165-D168-D169)</f>
        <v>0.52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260"/>
      <c r="D172" s="260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262"/>
      <c r="D174" s="262"/>
      <c r="E174" s="348"/>
      <c r="F174" s="348"/>
      <c r="G174" s="263"/>
      <c r="H174" s="263">
        <f t="shared" si="10"/>
        <v>0</v>
      </c>
      <c r="I174" s="263">
        <f t="shared" si="11"/>
        <v>0</v>
      </c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Code]=B175)*(Budget[Sort Code]=$G$4),(Budget[Amount])))</f>
        <v>4000000</v>
      </c>
      <c r="D175" s="245">
        <f t="array" ref="D175">SUM(IF((Budget[Account Code]=B175)*(Budget[Sort Code]=$G$4)*(Budget[Date]&lt;=$D$7),(Budget[Amount])))</f>
        <v>4000000</v>
      </c>
      <c r="E175" s="245">
        <f t="array" ref="E175">((SUM(IF((CkDJ[Sort Code]=(TRIM(G$4)))*(CkDJ[Account Code]=(TRIM($B175)))*(CkDJ[Date]&lt;=$E$7),CkDJ[Debit])))+(SUM(IF((CsDJ[Sort Code]=(TRIM(G$4)))*(CsDJ[Account Code]=(TRIM($B175)))*(CsDJ[Date]&lt;=$E$7),CsDJ[Debit])))+(SUM(IF((CRDJ[Sort Code]=(TRIM(G$4)))*(CRDJ[Account Code]=(TRIM($B175)))*(CRDJ[Date]&lt;=$E$7),CRDJ[Debit])))+(SUM(IF((GJ[Sort Code]=(TRIM(G$4)))*(GJ[Account Code]=(TRIM($B175)))*(GJ[Date]&lt;=$E$7),GJ[Debit]))))-((SUM(IF((CkDJ[Sort Code]=(TRIM(G$4)))*(CkDJ[Account Code]=(TRIM($B175)))*(CkDJ[Date]&lt;=$E$7),CkDJ[Credit])))+(SUM(IF((CsDJ[Sort Code]=(TRIM(G$4)))*(CsDJ[Account Code]=(TRIM($B175)))*(CsDJ[Date]&lt;=$E$7),CsDJ[Credit])))+(SUM(IF((CRDJ[Sort Code]=(TRIM(G$4)))*(CRDJ[Account Code]=(TRIM($B175)))*(CRDJ[Date]&lt;=$E$7),CRDJ[Credit])))+(SUM(IF((GJ[Sort Code]=(TRIM(G$4)))*(GJ[Account Code]=(TRIM($B175)))*(GJ[Date]&lt;=$E$7),GJ[Credit]))))</f>
        <v>0</v>
      </c>
      <c r="F175" s="245">
        <f t="array" ref="F175">((SUM(IF((CkDJ[Date]=$A$3)*(CkDJ[Sort Code]=(TRIM(G$4)))*(CkDJ[Account Code]=(TRIM($B175))),CkDJ[Debit])))+(SUM(IF((CsDJ[Date]=$A$3)*(CsDJ[Sort Code]=(TRIM(G$4)))*(CsDJ[Account Code]=(TRIM($B175))),CsDJ[Debit])))+(SUM(IF((CRDJ[Date]=$A$3)*(CRDJ[Sort Code]=(TRIM(G$4)))*(CRDJ[Account Code]=(TRIM($B175))),CRDJ[Debit])))+(SUM(IF((GJ[Date]=$A$3)*(GJ[Sort Code]=(TRIM(G$4)))*(GJ[Account Code]=(TRIM($B175))),GJ[Debit]))))-((SUM(IF((CkDJ[Date]=$A$3)*(CkDJ[Sort Code]=(TRIM(G$4)))*(CkDJ[Account Code]=(TRIM($B175))),CkDJ[Credit])))+(SUM(IF((CsDJ[Date]=$A$3)*(CsDJ[Sort Code]=(TRIM(G$4)))*(CsDJ[Account Code]=(TRIM($B175))),CsDJ[Credit])))+(SUM(IF((CRDJ[Date]=$A$3)*(CRDJ[Sort Code]=(TRIM(G$4)))*(CRDJ[Account Code]=(TRIM($B175))),CRDJ[Credit])))+(SUM(IF((GJ[Date]=$A$3)*(GJ[Sort Code]=(TRIM(G$4)))*(GJ[Account Code]=(TRIM($B175))),GJ[Credit]))))</f>
        <v>0</v>
      </c>
      <c r="G175" s="343">
        <f>E175+F175</f>
        <v>0</v>
      </c>
      <c r="H175" s="246">
        <f t="shared" si="10"/>
        <v>-4000000</v>
      </c>
      <c r="I175" s="246">
        <f t="shared" si="11"/>
        <v>0</v>
      </c>
    </row>
    <row r="176" spans="1:9" x14ac:dyDescent="0.2">
      <c r="A176" s="253"/>
      <c r="B176" s="337"/>
      <c r="C176" s="244"/>
      <c r="D176" s="244"/>
      <c r="E176" s="245"/>
      <c r="F176" s="245"/>
      <c r="G176" s="246"/>
      <c r="H176" s="246">
        <f t="shared" si="10"/>
        <v>0</v>
      </c>
      <c r="I176" s="246">
        <f t="shared" si="11"/>
        <v>0</v>
      </c>
    </row>
    <row r="177" spans="1:9" x14ac:dyDescent="0.2">
      <c r="A177" s="251" t="s">
        <v>789</v>
      </c>
      <c r="B177" s="338"/>
      <c r="C177" s="250">
        <f>SUM(C174:C176)</f>
        <v>4000000</v>
      </c>
      <c r="D177" s="250">
        <f>SUM(D174:D176)</f>
        <v>4000000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0"/>
        <v>-4000000</v>
      </c>
      <c r="I177" s="250">
        <f t="shared" si="11"/>
        <v>0</v>
      </c>
    </row>
    <row r="178" spans="1:9" x14ac:dyDescent="0.2">
      <c r="A178" s="251" t="s">
        <v>788</v>
      </c>
      <c r="B178" s="338"/>
      <c r="C178" s="250">
        <f>C165+C177</f>
        <v>73126696.159999996</v>
      </c>
      <c r="D178" s="250">
        <f>D165+D177</f>
        <v>73126696.159999996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0"/>
        <v>-73126696.159999996</v>
      </c>
      <c r="I178" s="250">
        <f t="shared" si="11"/>
        <v>0</v>
      </c>
    </row>
    <row r="179" spans="1:9" x14ac:dyDescent="0.2">
      <c r="A179" s="251" t="s">
        <v>785</v>
      </c>
      <c r="B179" s="338"/>
      <c r="C179" s="250">
        <f>C48-C178</f>
        <v>-37514618.100000001</v>
      </c>
      <c r="D179" s="250">
        <f>D48-D178</f>
        <v>-37514618.100000001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0"/>
        <v>37514618.100000001</v>
      </c>
      <c r="I179" s="250">
        <f t="shared" si="11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0"/>
        <v>0</v>
      </c>
      <c r="I180" s="250">
        <f t="shared" si="11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0"/>
        <v>0</v>
      </c>
      <c r="I181" s="250">
        <f t="shared" si="11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0"/>
        <v>0</v>
      </c>
      <c r="I182" s="250">
        <f t="shared" si="11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0"/>
        <v>0</v>
      </c>
      <c r="I183" s="250">
        <f t="shared" si="11"/>
        <v>0</v>
      </c>
    </row>
    <row r="184" spans="1:9" x14ac:dyDescent="0.2">
      <c r="A184" s="264" t="s">
        <v>749</v>
      </c>
      <c r="B184" s="338"/>
      <c r="C184" s="265">
        <f>C48/(C178-C181-C182)</f>
        <v>0.49</v>
      </c>
      <c r="D184" s="265">
        <f>D48/(D178-D181-D182)</f>
        <v>0.49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0"/>
        <v>#DIV/0!</v>
      </c>
      <c r="I184" s="265" t="e">
        <f t="shared" si="11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2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663300"/>
    <pageSetUpPr fitToPage="1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Ilocos Sur IMO</v>
      </c>
      <c r="C4" s="332"/>
      <c r="G4" s="331" t="s">
        <v>485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Code]=B10)*(Budget[Sort Code]=$G$4),(Budget[Amount])))</f>
        <v>0</v>
      </c>
      <c r="D10" s="245">
        <f t="array" ref="D10">SUM(IF((Budget[Account Code]=B10)*(Budget[Sort Code]=$G$4)*(Budget[Date]&lt;=$D$7),(Budget[Amount])))</f>
        <v>0</v>
      </c>
      <c r="E10" s="245">
        <f t="array" ref="E10">((SUM(IF((CkDJ[Sort Code]=(TRIM(G$4)))*(CkDJ[Account Code]=(TRIM($B10)))*(CkDJ[Date]&lt;=$E$7),CkDJ[Credit])))+(SUM(IF((CsDJ[Sort Code]=(TRIM(G$4)))*(CsDJ[Account Code]=(TRIM($B10)))*(CsDJ[Date]&lt;=$E$7),CsDJ[Credit])))+(SUM(IF((CRDJ[Sort Code]=(TRIM(G$4)))*(CRDJ[Account Code]=(TRIM($B10)))*(CRDJ[Date]&lt;=$E$7),CRDJ[Credit])))+(SUM(IF((GJ[Sort Code]=(TRIM(G$4)))*(GJ[Account Code]=(TRIM($B10)))*(GJ[Date]&lt;=$E$7),GJ[Credit]))))-((SUM(IF((CkDJ[Sort Code]=(TRIM(G$4)))*(CkDJ[Account Code]=(TRIM($B10)))*(CkDJ[Date]&lt;=$E$7),CkDJ[Debit])))+(SUM(IF((CsDJ[Sort Code]=(TRIM(G$4)))*(CsDJ[Account Code]=(TRIM($B10)))*(CsDJ[Date]&lt;=$E$7),CsDJ[Debit])))+(SUM(IF((CRDJ[Sort Code]=(TRIM(G$4)))*(CRDJ[Account Code]=(TRIM($B10)))*(CRDJ[Date]&lt;=$E$7),CRDJ[Debit])))+(SUM(IF((GJ[Sort Code]=(TRIM(G$4)))*(GJ[Account Code]=(TRIM($B10)))*(GJ[Date]&lt;=$E$7),GJ[Debit]))))</f>
        <v>0</v>
      </c>
      <c r="F10" s="245">
        <f t="array" ref="F10">((SUM(IF((CkDJ[Date]=$A$3)*(CkDJ[Sort Code]=(TRIM(G$4)))*(CkDJ[Account Code]=(TRIM($B10))),CkDJ[Credit])))+(SUM(IF((CsDJ[Date]=$A$3)*(CsDJ[Sort Code]=(TRIM(G$4)))*(CsDJ[Account Code]=(TRIM($B10))),CsDJ[Credit])))+(SUM(IF((CRDJ[Date]=$A$3)*(CRDJ[Sort Code]=(TRIM(G$4)))*(CRDJ[Account Code]=(TRIM($B10))),CRDJ[Credit])))+(SUM(IF((GJ[Date]=$A$3)*(GJ[Sort Code]=(TRIM(G$4)))*(GJ[Account Code]=(TRIM($B10))),GJ[Credit]))))-((SUM(IF((CkDJ[Date]=$A$3)*(CkDJ[Sort Code]=(TRIM(G$4)))*(CkDJ[Account Code]=(TRIM($B10))),CkDJ[Debit])))+(SUM(IF((CsDJ[Date]=$A$3)*(CsDJ[Sort Code]=(TRIM(G$4)))*(CsDJ[Account Code]=(TRIM($B10))),CsDJ[Debit])))+(SUM(IF((CRDJ[Date]=$A$3)*(CRDJ[Sort Code]=(TRIM(G$4)))*(CRDJ[Account Code]=(TRIM($B10))),CRDJ[Debit])))+(SUM(IF((GJ[Date]=$A$3)*(GJ[Sort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2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2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Code]=B12)*(Budget[Sort Code]=$G$4),(Budget[Amount])))</f>
        <v>0</v>
      </c>
      <c r="D12" s="245">
        <f t="array" ref="D12">SUM(IF((Budget[Account Code]=B12)*(Budget[Sort Code]=$G$4)*(Budget[Date]&lt;=$D$7),(Budget[Amount])))</f>
        <v>0</v>
      </c>
      <c r="E12" s="245">
        <f t="array" ref="E12">((SUM(IF((CkDJ[Sort Code]=(TRIM(G$4)))*(CkDJ[Account Code]=(TRIM($B12)))*(CkDJ[Date]&lt;=$E$7),CkDJ[Credit])))+(SUM(IF((CsDJ[Sort Code]=(TRIM(G$4)))*(CsDJ[Account Code]=(TRIM($B12)))*(CsDJ[Date]&lt;=$E$7),CsDJ[Credit])))+(SUM(IF((CRDJ[Sort Code]=(TRIM(G$4)))*(CRDJ[Account Code]=(TRIM($B12)))*(CRDJ[Date]&lt;=$E$7),CRDJ[Credit])))+(SUM(IF((GJ[Sort Code]=(TRIM(G$4)))*(GJ[Account Code]=(TRIM($B12)))*(GJ[Date]&lt;=$E$7),GJ[Credit]))))-((SUM(IF((CkDJ[Sort Code]=(TRIM(G$4)))*(CkDJ[Account Code]=(TRIM($B12)))*(CkDJ[Date]&lt;=$E$7),CkDJ[Debit])))+(SUM(IF((CsDJ[Sort Code]=(TRIM(G$4)))*(CsDJ[Account Code]=(TRIM($B12)))*(CsDJ[Date]&lt;=$E$7),CsDJ[Debit])))+(SUM(IF((CRDJ[Sort Code]=(TRIM(G$4)))*(CRDJ[Account Code]=(TRIM($B12)))*(CRDJ[Date]&lt;=$E$7),CRDJ[Debit])))+(SUM(IF((GJ[Sort Code]=(TRIM(G$4)))*(GJ[Account Code]=(TRIM($B12)))*(GJ[Date]&lt;=$E$7),GJ[Debit]))))</f>
        <v>0</v>
      </c>
      <c r="F12" s="245">
        <f t="array" ref="F12">((SUM(IF((CkDJ[Date]=$A$3)*(CkDJ[Sort Code]=(TRIM(G$4)))*(CkDJ[Account Code]=(TRIM($B12))),CkDJ[Credit])))+(SUM(IF((CsDJ[Date]=$A$3)*(CsDJ[Sort Code]=(TRIM(G$4)))*(CsDJ[Account Code]=(TRIM($B12))),CsDJ[Credit])))+(SUM(IF((CRDJ[Date]=$A$3)*(CRDJ[Sort Code]=(TRIM(G$4)))*(CRDJ[Account Code]=(TRIM($B12))),CRDJ[Credit])))+(SUM(IF((GJ[Date]=$A$3)*(GJ[Sort Code]=(TRIM(G$4)))*(GJ[Account Code]=(TRIM($B12))),GJ[Credit]))))-((SUM(IF((CkDJ[Date]=$A$3)*(CkDJ[Sort Code]=(TRIM(G$4)))*(CkDJ[Account Code]=(TRIM($B12))),CkDJ[Debit])))+(SUM(IF((CsDJ[Date]=$A$3)*(CsDJ[Sort Code]=(TRIM(G$4)))*(CsDJ[Account Code]=(TRIM($B12))),CsDJ[Debit])))+(SUM(IF((CRDJ[Date]=$A$3)*(CRDJ[Sort Code]=(TRIM(G$4)))*(CRDJ[Account Code]=(TRIM($B12))),CRDJ[Debit])))+(SUM(IF((GJ[Date]=$A$3)*(GJ[Sort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2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Code]=B13)*(Budget[Sort Code]=$G$4),(Budget[Amount])))</f>
        <v>0</v>
      </c>
      <c r="D13" s="245">
        <f t="array" ref="D13">SUM(IF((Budget[Account Code]=B13)*(Budget[Sort Code]=$G$4)*(Budget[Date]&lt;=$D$7),(Budget[Amount])))</f>
        <v>0</v>
      </c>
      <c r="E13" s="245">
        <f t="array" ref="E13">((SUM(IF((CkDJ[Sort Code]=(TRIM(G$4)))*(CkDJ[Account Code]=(TRIM($B13)))*(CkDJ[Date]&lt;=$E$7),CkDJ[Credit])))+(SUM(IF((CsDJ[Sort Code]=(TRIM(G$4)))*(CsDJ[Account Code]=(TRIM($B13)))*(CsDJ[Date]&lt;=$E$7),CsDJ[Credit])))+(SUM(IF((CRDJ[Sort Code]=(TRIM(G$4)))*(CRDJ[Account Code]=(TRIM($B13)))*(CRDJ[Date]&lt;=$E$7),CRDJ[Credit])))+(SUM(IF((GJ[Sort Code]=(TRIM(G$4)))*(GJ[Account Code]=(TRIM($B13)))*(GJ[Date]&lt;=$E$7),GJ[Credit]))))-((SUM(IF((CkDJ[Sort Code]=(TRIM(G$4)))*(CkDJ[Account Code]=(TRIM($B13)))*(CkDJ[Date]&lt;=$E$7),CkDJ[Debit])))+(SUM(IF((CsDJ[Sort Code]=(TRIM(G$4)))*(CsDJ[Account Code]=(TRIM($B13)))*(CsDJ[Date]&lt;=$E$7),CsDJ[Debit])))+(SUM(IF((CRDJ[Sort Code]=(TRIM(G$4)))*(CRDJ[Account Code]=(TRIM($B13)))*(CRDJ[Date]&lt;=$E$7),CRDJ[Debit])))+(SUM(IF((GJ[Sort Code]=(TRIM(G$4)))*(GJ[Account Code]=(TRIM($B13)))*(GJ[Date]&lt;=$E$7),GJ[Debit]))))</f>
        <v>0</v>
      </c>
      <c r="F13" s="245">
        <f t="array" ref="F13">((SUM(IF((CkDJ[Date]=$A$3)*(CkDJ[Sort Code]=(TRIM(G$4)))*(CkDJ[Account Code]=(TRIM($B13))),CkDJ[Credit])))+(SUM(IF((CsDJ[Date]=$A$3)*(CsDJ[Sort Code]=(TRIM(G$4)))*(CsDJ[Account Code]=(TRIM($B13))),CsDJ[Credit])))+(SUM(IF((CRDJ[Date]=$A$3)*(CRDJ[Sort Code]=(TRIM(G$4)))*(CRDJ[Account Code]=(TRIM($B13))),CRDJ[Credit])))+(SUM(IF((GJ[Date]=$A$3)*(GJ[Sort Code]=(TRIM(G$4)))*(GJ[Account Code]=(TRIM($B13))),GJ[Credit]))))-((SUM(IF((CkDJ[Date]=$A$3)*(CkDJ[Sort Code]=(TRIM(G$4)))*(CkDJ[Account Code]=(TRIM($B13))),CkDJ[Debit])))+(SUM(IF((CsDJ[Date]=$A$3)*(CsDJ[Sort Code]=(TRIM(G$4)))*(CsDJ[Account Code]=(TRIM($B13))),CsDJ[Debit])))+(SUM(IF((CRDJ[Date]=$A$3)*(CRDJ[Sort Code]=(TRIM(G$4)))*(CRDJ[Account Code]=(TRIM($B13))),CRDJ[Debit])))+(SUM(IF((GJ[Date]=$A$3)*(GJ[Sort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2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Code]=B14)*(Budget[Sort Code]=$G$4),(Budget[Amount])))</f>
        <v>0</v>
      </c>
      <c r="D14" s="245">
        <f t="array" ref="D14">SUM(IF((Budget[Account Code]=B14)*(Budget[Sort Code]=$G$4)*(Budget[Date]&lt;=$D$7),(Budget[Amount])))</f>
        <v>0</v>
      </c>
      <c r="E14" s="245">
        <f t="array" ref="E14">((SUM(IF((CkDJ[Sort Code]=(TRIM(G$4)))*(CkDJ[Account Code]=(TRIM($B14)))*(CkDJ[Date]&lt;=$E$7),CkDJ[Credit])))+(SUM(IF((CsDJ[Sort Code]=(TRIM(G$4)))*(CsDJ[Account Code]=(TRIM($B14)))*(CsDJ[Date]&lt;=$E$7),CsDJ[Credit])))+(SUM(IF((CRDJ[Sort Code]=(TRIM(G$4)))*(CRDJ[Account Code]=(TRIM($B14)))*(CRDJ[Date]&lt;=$E$7),CRDJ[Credit])))+(SUM(IF((GJ[Sort Code]=(TRIM(G$4)))*(GJ[Account Code]=(TRIM($B14)))*(GJ[Date]&lt;=$E$7),GJ[Credit]))))-((SUM(IF((CkDJ[Sort Code]=(TRIM(G$4)))*(CkDJ[Account Code]=(TRIM($B14)))*(CkDJ[Date]&lt;=$E$7),CkDJ[Debit])))+(SUM(IF((CsDJ[Sort Code]=(TRIM(G$4)))*(CsDJ[Account Code]=(TRIM($B14)))*(CsDJ[Date]&lt;=$E$7),CsDJ[Debit])))+(SUM(IF((CRDJ[Sort Code]=(TRIM(G$4)))*(CRDJ[Account Code]=(TRIM($B14)))*(CRDJ[Date]&lt;=$E$7),CRDJ[Debit])))+(SUM(IF((GJ[Sort Code]=(TRIM(G$4)))*(GJ[Account Code]=(TRIM($B14)))*(GJ[Date]&lt;=$E$7),GJ[Debit]))))</f>
        <v>0</v>
      </c>
      <c r="F14" s="245">
        <f t="array" ref="F14">((SUM(IF((CkDJ[Date]=$A$3)*(CkDJ[Sort Code]=(TRIM(G$4)))*(CkDJ[Account Code]=(TRIM($B14))),CkDJ[Credit])))+(SUM(IF((CsDJ[Date]=$A$3)*(CsDJ[Sort Code]=(TRIM(G$4)))*(CsDJ[Account Code]=(TRIM($B14))),CsDJ[Credit])))+(SUM(IF((CRDJ[Date]=$A$3)*(CRDJ[Sort Code]=(TRIM(G$4)))*(CRDJ[Account Code]=(TRIM($B14))),CRDJ[Credit])))+(SUM(IF((GJ[Date]=$A$3)*(GJ[Sort Code]=(TRIM(G$4)))*(GJ[Account Code]=(TRIM($B14))),GJ[Credit]))))-((SUM(IF((CkDJ[Date]=$A$3)*(CkDJ[Sort Code]=(TRIM(G$4)))*(CkDJ[Account Code]=(TRIM($B14))),CkDJ[Debit])))+(SUM(IF((CsDJ[Date]=$A$3)*(CsDJ[Sort Code]=(TRIM(G$4)))*(CsDJ[Account Code]=(TRIM($B14))),CsDJ[Debit])))+(SUM(IF((CRDJ[Date]=$A$3)*(CRDJ[Sort Code]=(TRIM(G$4)))*(CRDJ[Account Code]=(TRIM($B14))),CRDJ[Debit])))+(SUM(IF((GJ[Date]=$A$3)*(GJ[Sort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2">
        <f t="shared" si="1"/>
        <v>0</v>
      </c>
    </row>
    <row r="15" spans="1:9" x14ac:dyDescent="0.2">
      <c r="A15" s="241" t="s">
        <v>826</v>
      </c>
      <c r="B15" s="337"/>
      <c r="C15" s="248">
        <f>SUM(C16:C18)</f>
        <v>1500000</v>
      </c>
      <c r="D15" s="248">
        <f>SUM(D16:D18)</f>
        <v>1500000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-1500000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Code]=B16)*(Budget[Sort Code]=$G$4),(Budget[Amount])))</f>
        <v>1500000</v>
      </c>
      <c r="D16" s="245">
        <f t="array" ref="D16">SUM(IF((Budget[Account Code]=B16)*(Budget[Sort Code]=$G$4)*(Budget[Date]&lt;=$D$7),(Budget[Amount])))</f>
        <v>1500000</v>
      </c>
      <c r="E16" s="245">
        <f t="array" ref="E16">((SUM(IF((CkDJ[Sort Code]=(TRIM(G$4)))*(CkDJ[Account Code]=(TRIM($B16)))*(CkDJ[Date]&lt;=$E$7),CkDJ[Credit])))+(SUM(IF((CsDJ[Sort Code]=(TRIM(G$4)))*(CsDJ[Account Code]=(TRIM($B16)))*(CsDJ[Date]&lt;=$E$7),CsDJ[Credit])))+(SUM(IF((CRDJ[Sort Code]=(TRIM(G$4)))*(CRDJ[Account Code]=(TRIM($B16)))*(CRDJ[Date]&lt;=$E$7),CRDJ[Credit])))+(SUM(IF((GJ[Sort Code]=(TRIM(G$4)))*(GJ[Account Code]=(TRIM($B16)))*(GJ[Date]&lt;=$E$7),GJ[Credit]))))-((SUM(IF((CkDJ[Sort Code]=(TRIM(G$4)))*(CkDJ[Account Code]=(TRIM($B16)))*(CkDJ[Date]&lt;=$E$7),CkDJ[Debit])))+(SUM(IF((CsDJ[Sort Code]=(TRIM(G$4)))*(CsDJ[Account Code]=(TRIM($B16)))*(CsDJ[Date]&lt;=$E$7),CsDJ[Debit])))+(SUM(IF((CRDJ[Sort Code]=(TRIM(G$4)))*(CRDJ[Account Code]=(TRIM($B16)))*(CRDJ[Date]&lt;=$E$7),CRDJ[Debit])))+(SUM(IF((GJ[Sort Code]=(TRIM(G$4)))*(GJ[Account Code]=(TRIM($B16)))*(GJ[Date]&lt;=$E$7),GJ[Debit]))))</f>
        <v>0</v>
      </c>
      <c r="F16" s="245">
        <f t="array" ref="F16">((SUM(IF((CkDJ[Date]=$A$3)*(CkDJ[Sort Code]=(TRIM(G$4)))*(CkDJ[Account Code]=(TRIM($B16))),CkDJ[Credit])))+(SUM(IF((CsDJ[Date]=$A$3)*(CsDJ[Sort Code]=(TRIM(G$4)))*(CsDJ[Account Code]=(TRIM($B16))),CsDJ[Credit])))+(SUM(IF((CRDJ[Date]=$A$3)*(CRDJ[Sort Code]=(TRIM(G$4)))*(CRDJ[Account Code]=(TRIM($B16))),CRDJ[Credit])))+(SUM(IF((GJ[Date]=$A$3)*(GJ[Sort Code]=(TRIM(G$4)))*(GJ[Account Code]=(TRIM($B16))),GJ[Credit]))))-((SUM(IF((CkDJ[Date]=$A$3)*(CkDJ[Sort Code]=(TRIM(G$4)))*(CkDJ[Account Code]=(TRIM($B16))),CkDJ[Debit])))+(SUM(IF((CsDJ[Date]=$A$3)*(CsDJ[Sort Code]=(TRIM(G$4)))*(CsDJ[Account Code]=(TRIM($B16))),CsDJ[Debit])))+(SUM(IF((CRDJ[Date]=$A$3)*(CRDJ[Sort Code]=(TRIM(G$4)))*(CRDJ[Account Code]=(TRIM($B16))),CRDJ[Debit])))+(SUM(IF((GJ[Date]=$A$3)*(GJ[Sort Code]=(TRIM(G$4)))*(GJ[Account Code]=(TRIM($B16))),GJ[Debit]))))</f>
        <v>0</v>
      </c>
      <c r="G16" s="343">
        <f>E16+F16</f>
        <v>0</v>
      </c>
      <c r="H16" s="246">
        <f t="shared" si="0"/>
        <v>-1500000</v>
      </c>
      <c r="I16" s="242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Code]=B17)*(Budget[Sort Code]=$G$4),(Budget[Amount])))</f>
        <v>0</v>
      </c>
      <c r="D17" s="245">
        <f t="array" ref="D17">SUM(IF((Budget[Account Code]=B17)*(Budget[Sort Code]=$G$4)*(Budget[Date]&lt;=$D$7),(Budget[Amount])))</f>
        <v>0</v>
      </c>
      <c r="E17" s="245">
        <f t="array" ref="E17">((SUM(IF((CkDJ[Sort Code]=(TRIM(G$4)))*(CkDJ[Account Code]=(TRIM($B17)))*(CkDJ[Date]&lt;=$E$7),CkDJ[Credit])))+(SUM(IF((CsDJ[Sort Code]=(TRIM(G$4)))*(CsDJ[Account Code]=(TRIM($B17)))*(CsDJ[Date]&lt;=$E$7),CsDJ[Credit])))+(SUM(IF((CRDJ[Sort Code]=(TRIM(G$4)))*(CRDJ[Account Code]=(TRIM($B17)))*(CRDJ[Date]&lt;=$E$7),CRDJ[Credit])))+(SUM(IF((GJ[Sort Code]=(TRIM(G$4)))*(GJ[Account Code]=(TRIM($B17)))*(GJ[Date]&lt;=$E$7),GJ[Credit]))))-((SUM(IF((CkDJ[Sort Code]=(TRIM(G$4)))*(CkDJ[Account Code]=(TRIM($B17)))*(CkDJ[Date]&lt;=$E$7),CkDJ[Debit])))+(SUM(IF((CsDJ[Sort Code]=(TRIM(G$4)))*(CsDJ[Account Code]=(TRIM($B17)))*(CsDJ[Date]&lt;=$E$7),CsDJ[Debit])))+(SUM(IF((CRDJ[Sort Code]=(TRIM(G$4)))*(CRDJ[Account Code]=(TRIM($B17)))*(CRDJ[Date]&lt;=$E$7),CRDJ[Debit])))+(SUM(IF((GJ[Sort Code]=(TRIM(G$4)))*(GJ[Account Code]=(TRIM($B17)))*(GJ[Date]&lt;=$E$7),GJ[Debit]))))</f>
        <v>0</v>
      </c>
      <c r="F17" s="245">
        <f t="array" ref="F17">((SUM(IF((CkDJ[Date]=$A$3)*(CkDJ[Sort Code]=(TRIM(G$4)))*(CkDJ[Account Code]=(TRIM($B17))),CkDJ[Credit])))+(SUM(IF((CsDJ[Date]=$A$3)*(CsDJ[Sort Code]=(TRIM(G$4)))*(CsDJ[Account Code]=(TRIM($B17))),CsDJ[Credit])))+(SUM(IF((CRDJ[Date]=$A$3)*(CRDJ[Sort Code]=(TRIM(G$4)))*(CRDJ[Account Code]=(TRIM($B17))),CRDJ[Credit])))+(SUM(IF((GJ[Date]=$A$3)*(GJ[Sort Code]=(TRIM(G$4)))*(GJ[Account Code]=(TRIM($B17))),GJ[Credit]))))-((SUM(IF((CkDJ[Date]=$A$3)*(CkDJ[Sort Code]=(TRIM(G$4)))*(CkDJ[Account Code]=(TRIM($B17))),CkDJ[Debit])))+(SUM(IF((CsDJ[Date]=$A$3)*(CsDJ[Sort Code]=(TRIM(G$4)))*(CsDJ[Account Code]=(TRIM($B17))),CsDJ[Debit])))+(SUM(IF((CRDJ[Date]=$A$3)*(CRDJ[Sort Code]=(TRIM(G$4)))*(CRDJ[Account Code]=(TRIM($B17))),CRDJ[Debit])))+(SUM(IF((GJ[Date]=$A$3)*(GJ[Sort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2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Code]=B18)*(Budget[Sort Code]=$G$4),(Budget[Amount])))</f>
        <v>0</v>
      </c>
      <c r="D18" s="245">
        <f t="array" ref="D18">SUM(IF((Budget[Account Code]=B18)*(Budget[Sort Code]=$G$4)*(Budget[Date]&lt;=$D$7),(Budget[Amount])))</f>
        <v>0</v>
      </c>
      <c r="E18" s="245">
        <f t="array" ref="E18">((SUM(IF((CkDJ[Sort Code]=(TRIM(G$4)))*(CkDJ[Account Code]=(TRIM($B18)))*(CkDJ[Date]&lt;=$E$7),CkDJ[Credit])))+(SUM(IF((CsDJ[Sort Code]=(TRIM(G$4)))*(CsDJ[Account Code]=(TRIM($B18)))*(CsDJ[Date]&lt;=$E$7),CsDJ[Credit])))+(SUM(IF((CRDJ[Sort Code]=(TRIM(G$4)))*(CRDJ[Account Code]=(TRIM($B18)))*(CRDJ[Date]&lt;=$E$7),CRDJ[Credit])))+(SUM(IF((GJ[Sort Code]=(TRIM(G$4)))*(GJ[Account Code]=(TRIM($B18)))*(GJ[Date]&lt;=$E$7),GJ[Credit]))))-((SUM(IF((CkDJ[Sort Code]=(TRIM(G$4)))*(CkDJ[Account Code]=(TRIM($B18)))*(CkDJ[Date]&lt;=$E$7),CkDJ[Debit])))+(SUM(IF((CsDJ[Sort Code]=(TRIM(G$4)))*(CsDJ[Account Code]=(TRIM($B18)))*(CsDJ[Date]&lt;=$E$7),CsDJ[Debit])))+(SUM(IF((CRDJ[Sort Code]=(TRIM(G$4)))*(CRDJ[Account Code]=(TRIM($B18)))*(CRDJ[Date]&lt;=$E$7),CRDJ[Debit])))+(SUM(IF((GJ[Sort Code]=(TRIM(G$4)))*(GJ[Account Code]=(TRIM($B18)))*(GJ[Date]&lt;=$E$7),GJ[Debit]))))</f>
        <v>0</v>
      </c>
      <c r="F18" s="245">
        <f t="array" ref="F18">((SUM(IF((CkDJ[Date]=$A$3)*(CkDJ[Sort Code]=(TRIM(G$4)))*(CkDJ[Account Code]=(TRIM($B18))),CkDJ[Credit])))+(SUM(IF((CsDJ[Date]=$A$3)*(CsDJ[Sort Code]=(TRIM(G$4)))*(CsDJ[Account Code]=(TRIM($B18))),CsDJ[Credit])))+(SUM(IF((CRDJ[Date]=$A$3)*(CRDJ[Sort Code]=(TRIM(G$4)))*(CRDJ[Account Code]=(TRIM($B18))),CRDJ[Credit])))+(SUM(IF((GJ[Date]=$A$3)*(GJ[Sort Code]=(TRIM(G$4)))*(GJ[Account Code]=(TRIM($B18))),GJ[Credit]))))-((SUM(IF((CkDJ[Date]=$A$3)*(CkDJ[Sort Code]=(TRIM(G$4)))*(CkDJ[Account Code]=(TRIM($B18))),CkDJ[Debit])))+(SUM(IF((CsDJ[Date]=$A$3)*(CsDJ[Sort Code]=(TRIM(G$4)))*(CsDJ[Account Code]=(TRIM($B18))),CsDJ[Debit])))+(SUM(IF((CRDJ[Date]=$A$3)*(CRDJ[Sort Code]=(TRIM(G$4)))*(CRDJ[Account Code]=(TRIM($B18))),CRDJ[Debit])))+(SUM(IF((GJ[Date]=$A$3)*(GJ[Sort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2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Code]=B20)*(Budget[Sort Code]=$G$4),(Budget[Amount])))</f>
        <v>0</v>
      </c>
      <c r="D20" s="245">
        <f t="array" ref="D20">SUM(IF((Budget[Account Code]=B20)*(Budget[Sort Code]=$G$4)*(Budget[Date]&lt;=$D$7),(Budget[Amount])))</f>
        <v>0</v>
      </c>
      <c r="E20" s="245">
        <f t="array" ref="E20">((SUM(IF((CkDJ[Sort Code]=(TRIM(G$4)))*(CkDJ[Account Code]=(TRIM($B20)))*(CkDJ[Date]&lt;=$E$7),CkDJ[Credit])))+(SUM(IF((CsDJ[Sort Code]=(TRIM(G$4)))*(CsDJ[Account Code]=(TRIM($B20)))*(CsDJ[Date]&lt;=$E$7),CsDJ[Credit])))+(SUM(IF((CRDJ[Sort Code]=(TRIM(G$4)))*(CRDJ[Account Code]=(TRIM($B20)))*(CRDJ[Date]&lt;=$E$7),CRDJ[Credit])))+(SUM(IF((GJ[Sort Code]=(TRIM(G$4)))*(GJ[Account Code]=(TRIM($B20)))*(GJ[Date]&lt;=$E$7),GJ[Credit]))))-((SUM(IF((CkDJ[Sort Code]=(TRIM(G$4)))*(CkDJ[Account Code]=(TRIM($B20)))*(CkDJ[Date]&lt;=$E$7),CkDJ[Debit])))+(SUM(IF((CsDJ[Sort Code]=(TRIM(G$4)))*(CsDJ[Account Code]=(TRIM($B20)))*(CsDJ[Date]&lt;=$E$7),CsDJ[Debit])))+(SUM(IF((CRDJ[Sort Code]=(TRIM(G$4)))*(CRDJ[Account Code]=(TRIM($B20)))*(CRDJ[Date]&lt;=$E$7),CRDJ[Debit])))+(SUM(IF((GJ[Sort Code]=(TRIM(G$4)))*(GJ[Account Code]=(TRIM($B20)))*(GJ[Date]&lt;=$E$7),GJ[Debit]))))</f>
        <v>0</v>
      </c>
      <c r="F20" s="245">
        <f t="array" ref="F20">((SUM(IF((CkDJ[Date]=$A$3)*(CkDJ[Sort Code]=(TRIM(G$4)))*(CkDJ[Account Code]=(TRIM($B20))),CkDJ[Credit])))+(SUM(IF((CsDJ[Date]=$A$3)*(CsDJ[Sort Code]=(TRIM(G$4)))*(CsDJ[Account Code]=(TRIM($B20))),CsDJ[Credit])))+(SUM(IF((CRDJ[Date]=$A$3)*(CRDJ[Sort Code]=(TRIM(G$4)))*(CRDJ[Account Code]=(TRIM($B20))),CRDJ[Credit])))+(SUM(IF((GJ[Date]=$A$3)*(GJ[Sort Code]=(TRIM(G$4)))*(GJ[Account Code]=(TRIM($B20))),GJ[Credit]))))-((SUM(IF((CkDJ[Date]=$A$3)*(CkDJ[Sort Code]=(TRIM(G$4)))*(CkDJ[Account Code]=(TRIM($B20))),CkDJ[Debit])))+(SUM(IF((CsDJ[Date]=$A$3)*(CsDJ[Sort Code]=(TRIM(G$4)))*(CsDJ[Account Code]=(TRIM($B20))),CsDJ[Debit])))+(SUM(IF((CRDJ[Date]=$A$3)*(CRDJ[Sort Code]=(TRIM(G$4)))*(CRDJ[Account Code]=(TRIM($B20))),CRDJ[Debit])))+(SUM(IF((GJ[Date]=$A$3)*(GJ[Sort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2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2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Code]=B22)*(Budget[Sort Code]=$G$4),(Budget[Amount])))</f>
        <v>0</v>
      </c>
      <c r="D22" s="245">
        <f t="array" ref="D22">SUM(IF((Budget[Account Code]=B22)*(Budget[Sort Code]=$G$4)*(Budget[Date]&lt;=$D$7),(Budget[Amount])))</f>
        <v>0</v>
      </c>
      <c r="E22" s="245">
        <f t="array" ref="E22">((SUM(IF((CkDJ[Sort Code]=(TRIM(G$4)))*(CkDJ[Account Code]=(TRIM($B22)))*(CkDJ[Date]&lt;=$E$7),CkDJ[Credit])))+(SUM(IF((CsDJ[Sort Code]=(TRIM(G$4)))*(CsDJ[Account Code]=(TRIM($B22)))*(CsDJ[Date]&lt;=$E$7),CsDJ[Credit])))+(SUM(IF((CRDJ[Sort Code]=(TRIM(G$4)))*(CRDJ[Account Code]=(TRIM($B22)))*(CRDJ[Date]&lt;=$E$7),CRDJ[Credit])))+(SUM(IF((GJ[Sort Code]=(TRIM(G$4)))*(GJ[Account Code]=(TRIM($B22)))*(GJ[Date]&lt;=$E$7),GJ[Credit]))))-((SUM(IF((CkDJ[Sort Code]=(TRIM(G$4)))*(CkDJ[Account Code]=(TRIM($B22)))*(CkDJ[Date]&lt;=$E$7),CkDJ[Debit])))+(SUM(IF((CsDJ[Sort Code]=(TRIM(G$4)))*(CsDJ[Account Code]=(TRIM($B22)))*(CsDJ[Date]&lt;=$E$7),CsDJ[Debit])))+(SUM(IF((CRDJ[Sort Code]=(TRIM(G$4)))*(CRDJ[Account Code]=(TRIM($B22)))*(CRDJ[Date]&lt;=$E$7),CRDJ[Debit])))+(SUM(IF((GJ[Sort Code]=(TRIM(G$4)))*(GJ[Account Code]=(TRIM($B22)))*(GJ[Date]&lt;=$E$7),GJ[Debit]))))</f>
        <v>0</v>
      </c>
      <c r="F22" s="245">
        <f t="array" ref="F22">((SUM(IF((CkDJ[Date]=$A$3)*(CkDJ[Sort Code]=(TRIM(G$4)))*(CkDJ[Account Code]=(TRIM($B22))),CkDJ[Credit])))+(SUM(IF((CsDJ[Date]=$A$3)*(CsDJ[Sort Code]=(TRIM(G$4)))*(CsDJ[Account Code]=(TRIM($B22))),CsDJ[Credit])))+(SUM(IF((CRDJ[Date]=$A$3)*(CRDJ[Sort Code]=(TRIM(G$4)))*(CRDJ[Account Code]=(TRIM($B22))),CRDJ[Credit])))+(SUM(IF((GJ[Date]=$A$3)*(GJ[Sort Code]=(TRIM(G$4)))*(GJ[Account Code]=(TRIM($B22))),GJ[Credit]))))-((SUM(IF((CkDJ[Date]=$A$3)*(CkDJ[Sort Code]=(TRIM(G$4)))*(CkDJ[Account Code]=(TRIM($B22))),CkDJ[Debit])))+(SUM(IF((CsDJ[Date]=$A$3)*(CsDJ[Sort Code]=(TRIM(G$4)))*(CsDJ[Account Code]=(TRIM($B22))),CsDJ[Debit])))+(SUM(IF((CRDJ[Date]=$A$3)*(CRDJ[Sort Code]=(TRIM(G$4)))*(CRDJ[Account Code]=(TRIM($B22))),CRDJ[Debit])))+(SUM(IF((GJ[Date]=$A$3)*(GJ[Sort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2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Code]=B23)*(Budget[Sort Code]=$G$4),(Budget[Amount])))</f>
        <v>0</v>
      </c>
      <c r="D23" s="245">
        <f t="array" ref="D23">SUM(IF((Budget[Account Code]=B23)*(Budget[Sort Code]=$G$4)*(Budget[Date]&lt;=$D$7),(Budget[Amount])))</f>
        <v>0</v>
      </c>
      <c r="E23" s="245">
        <f t="array" ref="E23">((SUM(IF((CkDJ[Sort Code]=(TRIM(G$4)))*(CkDJ[Account Code]=(TRIM($B23)))*(CkDJ[Date]&lt;=$E$7),CkDJ[Credit])))+(SUM(IF((CsDJ[Sort Code]=(TRIM(G$4)))*(CsDJ[Account Code]=(TRIM($B23)))*(CsDJ[Date]&lt;=$E$7),CsDJ[Credit])))+(SUM(IF((CRDJ[Sort Code]=(TRIM(G$4)))*(CRDJ[Account Code]=(TRIM($B23)))*(CRDJ[Date]&lt;=$E$7),CRDJ[Credit])))+(SUM(IF((GJ[Sort Code]=(TRIM(G$4)))*(GJ[Account Code]=(TRIM($B23)))*(GJ[Date]&lt;=$E$7),GJ[Credit]))))-((SUM(IF((CkDJ[Sort Code]=(TRIM(G$4)))*(CkDJ[Account Code]=(TRIM($B23)))*(CkDJ[Date]&lt;=$E$7),CkDJ[Debit])))+(SUM(IF((CsDJ[Sort Code]=(TRIM(G$4)))*(CsDJ[Account Code]=(TRIM($B23)))*(CsDJ[Date]&lt;=$E$7),CsDJ[Debit])))+(SUM(IF((CRDJ[Sort Code]=(TRIM(G$4)))*(CRDJ[Account Code]=(TRIM($B23)))*(CRDJ[Date]&lt;=$E$7),CRDJ[Debit])))+(SUM(IF((GJ[Sort Code]=(TRIM(G$4)))*(GJ[Account Code]=(TRIM($B23)))*(GJ[Date]&lt;=$E$7),GJ[Debit]))))</f>
        <v>0</v>
      </c>
      <c r="F23" s="245">
        <f t="array" ref="F23">((SUM(IF((CkDJ[Date]=$A$3)*(CkDJ[Sort Code]=(TRIM(G$4)))*(CkDJ[Account Code]=(TRIM($B23))),CkDJ[Credit])))+(SUM(IF((CsDJ[Date]=$A$3)*(CsDJ[Sort Code]=(TRIM(G$4)))*(CsDJ[Account Code]=(TRIM($B23))),CsDJ[Credit])))+(SUM(IF((CRDJ[Date]=$A$3)*(CRDJ[Sort Code]=(TRIM(G$4)))*(CRDJ[Account Code]=(TRIM($B23))),CRDJ[Credit])))+(SUM(IF((GJ[Date]=$A$3)*(GJ[Sort Code]=(TRIM(G$4)))*(GJ[Account Code]=(TRIM($B23))),GJ[Credit]))))-((SUM(IF((CkDJ[Date]=$A$3)*(CkDJ[Sort Code]=(TRIM(G$4)))*(CkDJ[Account Code]=(TRIM($B23))),CkDJ[Debit])))+(SUM(IF((CsDJ[Date]=$A$3)*(CsDJ[Sort Code]=(TRIM(G$4)))*(CsDJ[Account Code]=(TRIM($B23))),CsDJ[Debit])))+(SUM(IF((CRDJ[Date]=$A$3)*(CRDJ[Sort Code]=(TRIM(G$4)))*(CRDJ[Account Code]=(TRIM($B23))),CRDJ[Debit])))+(SUM(IF((GJ[Date]=$A$3)*(GJ[Sort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2">
        <f t="shared" si="1"/>
        <v>0</v>
      </c>
    </row>
    <row r="24" spans="1:9" x14ac:dyDescent="0.2">
      <c r="A24" s="249" t="s">
        <v>814</v>
      </c>
      <c r="B24" s="338"/>
      <c r="C24" s="250">
        <f>C9+C15+C19</f>
        <v>1500000</v>
      </c>
      <c r="D24" s="250">
        <f>D9+D15+D19</f>
        <v>1500000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-1500000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Code]=B26)*(Budget[Sort Code]=$G$4),(Budget[Amount])))</f>
        <v>0</v>
      </c>
      <c r="D26" s="245">
        <f t="array" ref="D26">SUM(IF((Budget[Account Code]=B26)*(Budget[Sort Code]=$G$4)*(Budget[Date]&lt;=$D$7),(Budget[Amount])))</f>
        <v>0</v>
      </c>
      <c r="E26" s="245">
        <f t="array" ref="E26">((SUM(IF((CkDJ[Sort Code]=(TRIM(G$4)))*(CkDJ[Account Code]=(TRIM($B26)))*(CkDJ[Date]&lt;=$E$7),CkDJ[Credit])))+(SUM(IF((CsDJ[Sort Code]=(TRIM(G$4)))*(CsDJ[Account Code]=(TRIM($B26)))*(CsDJ[Date]&lt;=$E$7),CsDJ[Credit])))+(SUM(IF((CRDJ[Sort Code]=(TRIM(G$4)))*(CRDJ[Account Code]=(TRIM($B26)))*(CRDJ[Date]&lt;=$E$7),CRDJ[Credit])))+(SUM(IF((GJ[Sort Code]=(TRIM(G$4)))*(GJ[Account Code]=(TRIM($B26)))*(GJ[Date]&lt;=$E$7),GJ[Credit]))))-((SUM(IF((CkDJ[Sort Code]=(TRIM(G$4)))*(CkDJ[Account Code]=(TRIM($B26)))*(CkDJ[Date]&lt;=$E$7),CkDJ[Debit])))+(SUM(IF((CsDJ[Sort Code]=(TRIM(G$4)))*(CsDJ[Account Code]=(TRIM($B26)))*(CsDJ[Date]&lt;=$E$7),CsDJ[Debit])))+(SUM(IF((CRDJ[Sort Code]=(TRIM(G$4)))*(CRDJ[Account Code]=(TRIM($B26)))*(CRDJ[Date]&lt;=$E$7),CRDJ[Debit])))+(SUM(IF((GJ[Sort Code]=(TRIM(G$4)))*(GJ[Account Code]=(TRIM($B26)))*(GJ[Date]&lt;=$E$7),GJ[Debit]))))</f>
        <v>0</v>
      </c>
      <c r="F26" s="245">
        <f t="array" ref="F26">((SUM(IF((CkDJ[Date]=$A$3)*(CkDJ[Sort Code]=(TRIM(G$4)))*(CkDJ[Account Code]=(TRIM($B26))),CkDJ[Credit])))+(SUM(IF((CsDJ[Date]=$A$3)*(CsDJ[Sort Code]=(TRIM(G$4)))*(CsDJ[Account Code]=(TRIM($B26))),CsDJ[Credit])))+(SUM(IF((CRDJ[Date]=$A$3)*(CRDJ[Sort Code]=(TRIM(G$4)))*(CRDJ[Account Code]=(TRIM($B26))),CRDJ[Credit])))+(SUM(IF((GJ[Date]=$A$3)*(GJ[Sort Code]=(TRIM(G$4)))*(GJ[Account Code]=(TRIM($B26))),GJ[Credit]))))-((SUM(IF((CkDJ[Date]=$A$3)*(CkDJ[Sort Code]=(TRIM(G$4)))*(CkDJ[Account Code]=(TRIM($B26))),CkDJ[Debit])))+(SUM(IF((CsDJ[Date]=$A$3)*(CsDJ[Sort Code]=(TRIM(G$4)))*(CsDJ[Account Code]=(TRIM($B26))),CsDJ[Debit])))+(SUM(IF((CRDJ[Date]=$A$3)*(CRDJ[Sort Code]=(TRIM(G$4)))*(CRDJ[Account Code]=(TRIM($B26))),CRDJ[Debit])))+(SUM(IF((GJ[Date]=$A$3)*(GJ[Sort Code]=(TRIM(G$4)))*(GJ[Account Code]=(TRIM($B26))),GJ[Debit]))))</f>
        <v>0</v>
      </c>
      <c r="G26" s="343">
        <f>E26+F26</f>
        <v>0</v>
      </c>
      <c r="H26" s="246">
        <f t="shared" ref="H26:H48" si="2">G26-D26</f>
        <v>0</v>
      </c>
      <c r="I26" s="246">
        <f t="shared" ref="I26:I4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Code]=B28)*(Budget[Sort Code]=$G$4),(Budget[Amount])))</f>
        <v>0</v>
      </c>
      <c r="D28" s="245">
        <f t="array" ref="D28">SUM(IF((Budget[Account Code]=B28)*(Budget[Sort Code]=$G$4)*(Budget[Date]&lt;=$D$7),(Budget[Amount])))</f>
        <v>0</v>
      </c>
      <c r="E28" s="245">
        <f t="array" ref="E28">((SUM(IF((CkDJ[Sort Code]=(TRIM(G$4)))*(CkDJ[Account Code]=(TRIM($B28)))*(CkDJ[Date]&lt;=$E$7),CkDJ[Credit])))+(SUM(IF((CsDJ[Sort Code]=(TRIM(G$4)))*(CsDJ[Account Code]=(TRIM($B28)))*(CsDJ[Date]&lt;=$E$7),CsDJ[Credit])))+(SUM(IF((CRDJ[Sort Code]=(TRIM(G$4)))*(CRDJ[Account Code]=(TRIM($B28)))*(CRDJ[Date]&lt;=$E$7),CRDJ[Credit])))+(SUM(IF((GJ[Sort Code]=(TRIM(G$4)))*(GJ[Account Code]=(TRIM($B28)))*(GJ[Date]&lt;=$E$7),GJ[Credit]))))-((SUM(IF((CkDJ[Sort Code]=(TRIM(G$4)))*(CkDJ[Account Code]=(TRIM($B28)))*(CkDJ[Date]&lt;=$E$7),CkDJ[Debit])))+(SUM(IF((CsDJ[Sort Code]=(TRIM(G$4)))*(CsDJ[Account Code]=(TRIM($B28)))*(CsDJ[Date]&lt;=$E$7),CsDJ[Debit])))+(SUM(IF((CRDJ[Sort Code]=(TRIM(G$4)))*(CRDJ[Account Code]=(TRIM($B28)))*(CRDJ[Date]&lt;=$E$7),CRDJ[Debit])))+(SUM(IF((GJ[Sort Code]=(TRIM(G$4)))*(GJ[Account Code]=(TRIM($B28)))*(GJ[Date]&lt;=$E$7),GJ[Debit]))))</f>
        <v>0</v>
      </c>
      <c r="F28" s="245">
        <f t="array" ref="F28">((SUM(IF((CkDJ[Date]=$A$3)*(CkDJ[Sort Code]=(TRIM(G$4)))*(CkDJ[Account Code]=(TRIM($B28))),CkDJ[Credit])))+(SUM(IF((CsDJ[Date]=$A$3)*(CsDJ[Sort Code]=(TRIM(G$4)))*(CsDJ[Account Code]=(TRIM($B28))),CsDJ[Credit])))+(SUM(IF((CRDJ[Date]=$A$3)*(CRDJ[Sort Code]=(TRIM(G$4)))*(CRDJ[Account Code]=(TRIM($B28))),CRDJ[Credit])))+(SUM(IF((GJ[Date]=$A$3)*(GJ[Sort Code]=(TRIM(G$4)))*(GJ[Account Code]=(TRIM($B28))),GJ[Credit]))))-((SUM(IF((CkDJ[Date]=$A$3)*(CkDJ[Sort Code]=(TRIM(G$4)))*(CkDJ[Account Code]=(TRIM($B28))),CkDJ[Debit])))+(SUM(IF((CsDJ[Date]=$A$3)*(CsDJ[Sort Code]=(TRIM(G$4)))*(CsDJ[Account Code]=(TRIM($B28))),CsDJ[Debit])))+(SUM(IF((CRDJ[Date]=$A$3)*(CRDJ[Sort Code]=(TRIM(G$4)))*(CRDJ[Account Code]=(TRIM($B28))),CRDJ[Debit])))+(SUM(IF((GJ[Date]=$A$3)*(GJ[Sort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Code]=B30)*(Budget[Sort Code]=$G$4),(Budget[Amount])))</f>
        <v>0</v>
      </c>
      <c r="D30" s="245">
        <f t="array" ref="D30">SUM(IF((Budget[Account Code]=B30)*(Budget[Sort Code]=$G$4)*(Budget[Date]&lt;=$D$7),(Budget[Amount])))</f>
        <v>0</v>
      </c>
      <c r="E30" s="245">
        <f t="array" ref="E30">((SUM(IF((CkDJ[Sort Code]=(TRIM(G$4)))*(CkDJ[Account Code]=(TRIM($B30)))*(CkDJ[Date]&lt;=$E$7),CkDJ[Credit])))+(SUM(IF((CsDJ[Sort Code]=(TRIM(G$4)))*(CsDJ[Account Code]=(TRIM($B30)))*(CsDJ[Date]&lt;=$E$7),CsDJ[Credit])))+(SUM(IF((CRDJ[Sort Code]=(TRIM(G$4)))*(CRDJ[Account Code]=(TRIM($B30)))*(CRDJ[Date]&lt;=$E$7),CRDJ[Credit])))+(SUM(IF((GJ[Sort Code]=(TRIM(G$4)))*(GJ[Account Code]=(TRIM($B30)))*(GJ[Date]&lt;=$E$7),GJ[Credit]))))-((SUM(IF((CkDJ[Sort Code]=(TRIM(G$4)))*(CkDJ[Account Code]=(TRIM($B30)))*(CkDJ[Date]&lt;=$E$7),CkDJ[Debit])))+(SUM(IF((CsDJ[Sort Code]=(TRIM(G$4)))*(CsDJ[Account Code]=(TRIM($B30)))*(CsDJ[Date]&lt;=$E$7),CsDJ[Debit])))+(SUM(IF((CRDJ[Sort Code]=(TRIM(G$4)))*(CRDJ[Account Code]=(TRIM($B30)))*(CRDJ[Date]&lt;=$E$7),CRDJ[Debit])))+(SUM(IF((GJ[Sort Code]=(TRIM(G$4)))*(GJ[Account Code]=(TRIM($B30)))*(GJ[Date]&lt;=$E$7),GJ[Debit]))))</f>
        <v>0</v>
      </c>
      <c r="F30" s="245">
        <f t="array" ref="F30">((SUM(IF((CkDJ[Date]=$A$3)*(CkDJ[Sort Code]=(TRIM(G$4)))*(CkDJ[Account Code]=(TRIM($B30))),CkDJ[Credit])))+(SUM(IF((CsDJ[Date]=$A$3)*(CsDJ[Sort Code]=(TRIM(G$4)))*(CsDJ[Account Code]=(TRIM($B30))),CsDJ[Credit])))+(SUM(IF((CRDJ[Date]=$A$3)*(CRDJ[Sort Code]=(TRIM(G$4)))*(CRDJ[Account Code]=(TRIM($B30))),CRDJ[Credit])))+(SUM(IF((GJ[Date]=$A$3)*(GJ[Sort Code]=(TRIM(G$4)))*(GJ[Account Code]=(TRIM($B30))),GJ[Credit]))))-((SUM(IF((CkDJ[Date]=$A$3)*(CkDJ[Sort Code]=(TRIM(G$4)))*(CkDJ[Account Code]=(TRIM($B30))),CkDJ[Debit])))+(SUM(IF((CsDJ[Date]=$A$3)*(CsDJ[Sort Code]=(TRIM(G$4)))*(CsDJ[Account Code]=(TRIM($B30))),CsDJ[Debit])))+(SUM(IF((CRDJ[Date]=$A$3)*(CRDJ[Sort Code]=(TRIM(G$4)))*(CRDJ[Account Code]=(TRIM($B30))),CRDJ[Debit])))+(SUM(IF((GJ[Date]=$A$3)*(GJ[Sort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Code]=B31)*(Budget[Sort Code]=$G$4),(Budget[Amount])))</f>
        <v>0</v>
      </c>
      <c r="D31" s="245">
        <f t="array" ref="D31">SUM(IF((Budget[Account Code]=B31)*(Budget[Sort Code]=$G$4)*(Budget[Date]&lt;=$D$7),(Budget[Amount])))</f>
        <v>0</v>
      </c>
      <c r="E31" s="245">
        <f t="array" ref="E31">((SUM(IF((CkDJ[Sort Code]=(TRIM(G$4)))*(CkDJ[Account Code]=(TRIM($B31)))*(CkDJ[Date]&lt;=$E$7),CkDJ[Credit])))+(SUM(IF((CsDJ[Sort Code]=(TRIM(G$4)))*(CsDJ[Account Code]=(TRIM($B31)))*(CsDJ[Date]&lt;=$E$7),CsDJ[Credit])))+(SUM(IF((CRDJ[Sort Code]=(TRIM(G$4)))*(CRDJ[Account Code]=(TRIM($B31)))*(CRDJ[Date]&lt;=$E$7),CRDJ[Credit])))+(SUM(IF((GJ[Sort Code]=(TRIM(G$4)))*(GJ[Account Code]=(TRIM($B31)))*(GJ[Date]&lt;=$E$7),GJ[Credit]))))-((SUM(IF((CkDJ[Sort Code]=(TRIM(G$4)))*(CkDJ[Account Code]=(TRIM($B31)))*(CkDJ[Date]&lt;=$E$7),CkDJ[Debit])))+(SUM(IF((CsDJ[Sort Code]=(TRIM(G$4)))*(CsDJ[Account Code]=(TRIM($B31)))*(CsDJ[Date]&lt;=$E$7),CsDJ[Debit])))+(SUM(IF((CRDJ[Sort Code]=(TRIM(G$4)))*(CRDJ[Account Code]=(TRIM($B31)))*(CRDJ[Date]&lt;=$E$7),CRDJ[Debit])))+(SUM(IF((GJ[Sort Code]=(TRIM(G$4)))*(GJ[Account Code]=(TRIM($B31)))*(GJ[Date]&lt;=$E$7),GJ[Debit]))))</f>
        <v>0</v>
      </c>
      <c r="F31" s="245">
        <f t="array" ref="F31">((SUM(IF((CkDJ[Date]=$A$3)*(CkDJ[Sort Code]=(TRIM(G$4)))*(CkDJ[Account Code]=(TRIM($B31))),CkDJ[Credit])))+(SUM(IF((CsDJ[Date]=$A$3)*(CsDJ[Sort Code]=(TRIM(G$4)))*(CsDJ[Account Code]=(TRIM($B31))),CsDJ[Credit])))+(SUM(IF((CRDJ[Date]=$A$3)*(CRDJ[Sort Code]=(TRIM(G$4)))*(CRDJ[Account Code]=(TRIM($B31))),CRDJ[Credit])))+(SUM(IF((GJ[Date]=$A$3)*(GJ[Sort Code]=(TRIM(G$4)))*(GJ[Account Code]=(TRIM($B31))),GJ[Credit]))))-((SUM(IF((CkDJ[Date]=$A$3)*(CkDJ[Sort Code]=(TRIM(G$4)))*(CkDJ[Account Code]=(TRIM($B31))),CkDJ[Debit])))+(SUM(IF((CsDJ[Date]=$A$3)*(CsDJ[Sort Code]=(TRIM(G$4)))*(CsDJ[Account Code]=(TRIM($B31))),CsDJ[Debit])))+(SUM(IF((CRDJ[Date]=$A$3)*(CRDJ[Sort Code]=(TRIM(G$4)))*(CRDJ[Account Code]=(TRIM($B31))),CRDJ[Debit])))+(SUM(IF((GJ[Date]=$A$3)*(GJ[Sort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Code]=B33)*(Budget[Sort Code]=$G$4),(Budget[Amount])))</f>
        <v>0</v>
      </c>
      <c r="D33" s="245">
        <f t="array" ref="D33">SUM(IF((Budget[Account Code]=B33)*(Budget[Sort Code]=$G$4)*(Budget[Date]&lt;=$D$7),(Budget[Amount])))</f>
        <v>0</v>
      </c>
      <c r="E33" s="245">
        <f t="array" ref="E33">((SUM(IF((CkDJ[Sort Code]=(TRIM(G$4)))*(CkDJ[Account Code]=(TRIM($B33)))*(CkDJ[Date]&lt;=$E$7),CkDJ[Credit])))+(SUM(IF((CsDJ[Sort Code]=(TRIM(G$4)))*(CsDJ[Account Code]=(TRIM($B33)))*(CsDJ[Date]&lt;=$E$7),CsDJ[Credit])))+(SUM(IF((CRDJ[Sort Code]=(TRIM(G$4)))*(CRDJ[Account Code]=(TRIM($B33)))*(CRDJ[Date]&lt;=$E$7),CRDJ[Credit])))+(SUM(IF((GJ[Sort Code]=(TRIM(G$4)))*(GJ[Account Code]=(TRIM($B33)))*(GJ[Date]&lt;=$E$7),GJ[Credit]))))-((SUM(IF((CkDJ[Sort Code]=(TRIM(G$4)))*(CkDJ[Account Code]=(TRIM($B33)))*(CkDJ[Date]&lt;=$E$7),CkDJ[Debit])))+(SUM(IF((CsDJ[Sort Code]=(TRIM(G$4)))*(CsDJ[Account Code]=(TRIM($B33)))*(CsDJ[Date]&lt;=$E$7),CsDJ[Debit])))+(SUM(IF((CRDJ[Sort Code]=(TRIM(G$4)))*(CRDJ[Account Code]=(TRIM($B33)))*(CRDJ[Date]&lt;=$E$7),CRDJ[Debit])))+(SUM(IF((GJ[Sort Code]=(TRIM(G$4)))*(GJ[Account Code]=(TRIM($B33)))*(GJ[Date]&lt;=$E$7),GJ[Debit]))))</f>
        <v>0</v>
      </c>
      <c r="F33" s="245">
        <f t="array" ref="F33">((SUM(IF((CkDJ[Date]=$A$3)*(CkDJ[Sort Code]=(TRIM(G$4)))*(CkDJ[Account Code]=(TRIM($B33))),CkDJ[Credit])))+(SUM(IF((CsDJ[Date]=$A$3)*(CsDJ[Sort Code]=(TRIM(G$4)))*(CsDJ[Account Code]=(TRIM($B33))),CsDJ[Credit])))+(SUM(IF((CRDJ[Date]=$A$3)*(CRDJ[Sort Code]=(TRIM(G$4)))*(CRDJ[Account Code]=(TRIM($B33))),CRDJ[Credit])))+(SUM(IF((GJ[Date]=$A$3)*(GJ[Sort Code]=(TRIM(G$4)))*(GJ[Account Code]=(TRIM($B33))),GJ[Credit]))))-((SUM(IF((CkDJ[Date]=$A$3)*(CkDJ[Sort Code]=(TRIM(G$4)))*(CkDJ[Account Code]=(TRIM($B33))),CkDJ[Debit])))+(SUM(IF((CsDJ[Date]=$A$3)*(CsDJ[Sort Code]=(TRIM(G$4)))*(CsDJ[Account Code]=(TRIM($B33))),CsDJ[Debit])))+(SUM(IF((CRDJ[Date]=$A$3)*(CRDJ[Sort Code]=(TRIM(G$4)))*(CRDJ[Account Code]=(TRIM($B33))),CRDJ[Debit])))+(SUM(IF((GJ[Date]=$A$3)*(GJ[Sort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Code]=B34)*(Budget[Sort Code]=$G$4),(Budget[Amount])))</f>
        <v>0</v>
      </c>
      <c r="D34" s="245">
        <f t="array" ref="D34">SUM(IF((Budget[Account Code]=B34)*(Budget[Sort Code]=$G$4)*(Budget[Date]&lt;=$D$7),(Budget[Amount])))</f>
        <v>0</v>
      </c>
      <c r="E34" s="245">
        <f t="array" ref="E34">((SUM(IF((CkDJ[Sort Code]=(TRIM(G$4)))*(CkDJ[Account Code]=(TRIM($B34)))*(CkDJ[Date]&lt;=$E$7),CkDJ[Credit])))+(SUM(IF((CsDJ[Sort Code]=(TRIM(G$4)))*(CsDJ[Account Code]=(TRIM($B34)))*(CsDJ[Date]&lt;=$E$7),CsDJ[Credit])))+(SUM(IF((CRDJ[Sort Code]=(TRIM(G$4)))*(CRDJ[Account Code]=(TRIM($B34)))*(CRDJ[Date]&lt;=$E$7),CRDJ[Credit])))+(SUM(IF((GJ[Sort Code]=(TRIM(G$4)))*(GJ[Account Code]=(TRIM($B34)))*(GJ[Date]&lt;=$E$7),GJ[Credit]))))-((SUM(IF((CkDJ[Sort Code]=(TRIM(G$4)))*(CkDJ[Account Code]=(TRIM($B34)))*(CkDJ[Date]&lt;=$E$7),CkDJ[Debit])))+(SUM(IF((CsDJ[Sort Code]=(TRIM(G$4)))*(CsDJ[Account Code]=(TRIM($B34)))*(CsDJ[Date]&lt;=$E$7),CsDJ[Debit])))+(SUM(IF((CRDJ[Sort Code]=(TRIM(G$4)))*(CRDJ[Account Code]=(TRIM($B34)))*(CRDJ[Date]&lt;=$E$7),CRDJ[Debit])))+(SUM(IF((GJ[Sort Code]=(TRIM(G$4)))*(GJ[Account Code]=(TRIM($B34)))*(GJ[Date]&lt;=$E$7),GJ[Debit]))))</f>
        <v>0</v>
      </c>
      <c r="F34" s="245">
        <f t="array" ref="F34">((SUM(IF((CkDJ[Date]=$A$3)*(CkDJ[Sort Code]=(TRIM(G$4)))*(CkDJ[Account Code]=(TRIM($B34))),CkDJ[Credit])))+(SUM(IF((CsDJ[Date]=$A$3)*(CsDJ[Sort Code]=(TRIM(G$4)))*(CsDJ[Account Code]=(TRIM($B34))),CsDJ[Credit])))+(SUM(IF((CRDJ[Date]=$A$3)*(CRDJ[Sort Code]=(TRIM(G$4)))*(CRDJ[Account Code]=(TRIM($B34))),CRDJ[Credit])))+(SUM(IF((GJ[Date]=$A$3)*(GJ[Sort Code]=(TRIM(G$4)))*(GJ[Account Code]=(TRIM($B34))),GJ[Credit]))))-((SUM(IF((CkDJ[Date]=$A$3)*(CkDJ[Sort Code]=(TRIM(G$4)))*(CkDJ[Account Code]=(TRIM($B34))),CkDJ[Debit])))+(SUM(IF((CsDJ[Date]=$A$3)*(CsDJ[Sort Code]=(TRIM(G$4)))*(CsDJ[Account Code]=(TRIM($B34))),CsDJ[Debit])))+(SUM(IF((CRDJ[Date]=$A$3)*(CRDJ[Sort Code]=(TRIM(G$4)))*(CRDJ[Account Code]=(TRIM($B34))),CRDJ[Debit])))+(SUM(IF((GJ[Date]=$A$3)*(GJ[Sort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Code]=B35)*(Budget[Sort Code]=$G$4),(Budget[Amount])))</f>
        <v>0</v>
      </c>
      <c r="D35" s="245">
        <f t="array" ref="D35">SUM(IF((Budget[Account Code]=B35)*(Budget[Sort Code]=$G$4)*(Budget[Date]&lt;=$D$7),(Budget[Amount])))</f>
        <v>0</v>
      </c>
      <c r="E35" s="245">
        <f t="array" ref="E35">((SUM(IF((CkDJ[Sort Code]=(TRIM(G$4)))*(CkDJ[Account Code]=(TRIM($B35)))*(CkDJ[Date]&lt;=$E$7),CkDJ[Credit])))+(SUM(IF((CsDJ[Sort Code]=(TRIM(G$4)))*(CsDJ[Account Code]=(TRIM($B35)))*(CsDJ[Date]&lt;=$E$7),CsDJ[Credit])))+(SUM(IF((CRDJ[Sort Code]=(TRIM(G$4)))*(CRDJ[Account Code]=(TRIM($B35)))*(CRDJ[Date]&lt;=$E$7),CRDJ[Credit])))+(SUM(IF((GJ[Sort Code]=(TRIM(G$4)))*(GJ[Account Code]=(TRIM($B35)))*(GJ[Date]&lt;=$E$7),GJ[Credit]))))-((SUM(IF((CkDJ[Sort Code]=(TRIM(G$4)))*(CkDJ[Account Code]=(TRIM($B35)))*(CkDJ[Date]&lt;=$E$7),CkDJ[Debit])))+(SUM(IF((CsDJ[Sort Code]=(TRIM(G$4)))*(CsDJ[Account Code]=(TRIM($B35)))*(CsDJ[Date]&lt;=$E$7),CsDJ[Debit])))+(SUM(IF((CRDJ[Sort Code]=(TRIM(G$4)))*(CRDJ[Account Code]=(TRIM($B35)))*(CRDJ[Date]&lt;=$E$7),CRDJ[Debit])))+(SUM(IF((GJ[Sort Code]=(TRIM(G$4)))*(GJ[Account Code]=(TRIM($B35)))*(GJ[Date]&lt;=$E$7),GJ[Debit]))))</f>
        <v>0</v>
      </c>
      <c r="F35" s="245">
        <f t="array" ref="F35">((SUM(IF((CkDJ[Date]=$A$3)*(CkDJ[Sort Code]=(TRIM(G$4)))*(CkDJ[Account Code]=(TRIM($B35))),CkDJ[Credit])))+(SUM(IF((CsDJ[Date]=$A$3)*(CsDJ[Sort Code]=(TRIM(G$4)))*(CsDJ[Account Code]=(TRIM($B35))),CsDJ[Credit])))+(SUM(IF((CRDJ[Date]=$A$3)*(CRDJ[Sort Code]=(TRIM(G$4)))*(CRDJ[Account Code]=(TRIM($B35))),CRDJ[Credit])))+(SUM(IF((GJ[Date]=$A$3)*(GJ[Sort Code]=(TRIM(G$4)))*(GJ[Account Code]=(TRIM($B35))),GJ[Credit]))))-((SUM(IF((CkDJ[Date]=$A$3)*(CkDJ[Sort Code]=(TRIM(G$4)))*(CkDJ[Account Code]=(TRIM($B35))),CkDJ[Debit])))+(SUM(IF((CsDJ[Date]=$A$3)*(CsDJ[Sort Code]=(TRIM(G$4)))*(CsDJ[Account Code]=(TRIM($B35))),CsDJ[Debit])))+(SUM(IF((CRDJ[Date]=$A$3)*(CRDJ[Sort Code]=(TRIM(G$4)))*(CRDJ[Account Code]=(TRIM($B35))),CRDJ[Debit])))+(SUM(IF((GJ[Date]=$A$3)*(GJ[Sort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1628000</v>
      </c>
      <c r="D36" s="248">
        <f>SUM(D37:D45)</f>
        <v>1628000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-1628000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Code]=B37)*(Budget[Sort Code]=$G$4),(Budget[Amount])))</f>
        <v>0</v>
      </c>
      <c r="D37" s="245">
        <f t="array" ref="D37">SUM(IF((Budget[Account Code]=B37)*(Budget[Sort Code]=$G$4)*(Budget[Date]&lt;=$D$7),(Budget[Amount])))</f>
        <v>0</v>
      </c>
      <c r="E37" s="245">
        <f t="array" ref="E37">((SUM(IF((CkDJ[Sort Code]=(TRIM(G$4)))*(CkDJ[Account Code]=(TRIM($B37)))*(CkDJ[Date]&lt;=$E$7),CkDJ[Credit])))+(SUM(IF((CsDJ[Sort Code]=(TRIM(G$4)))*(CsDJ[Account Code]=(TRIM($B37)))*(CsDJ[Date]&lt;=$E$7),CsDJ[Credit])))+(SUM(IF((CRDJ[Sort Code]=(TRIM(G$4)))*(CRDJ[Account Code]=(TRIM($B37)))*(CRDJ[Date]&lt;=$E$7),CRDJ[Credit])))+(SUM(IF((GJ[Sort Code]=(TRIM(G$4)))*(GJ[Account Code]=(TRIM($B37)))*(GJ[Date]&lt;=$E$7),GJ[Credit]))))-((SUM(IF((CkDJ[Sort Code]=(TRIM(G$4)))*(CkDJ[Account Code]=(TRIM($B37)))*(CkDJ[Date]&lt;=$E$7),CkDJ[Debit])))+(SUM(IF((CsDJ[Sort Code]=(TRIM(G$4)))*(CsDJ[Account Code]=(TRIM($B37)))*(CsDJ[Date]&lt;=$E$7),CsDJ[Debit])))+(SUM(IF((CRDJ[Sort Code]=(TRIM(G$4)))*(CRDJ[Account Code]=(TRIM($B37)))*(CRDJ[Date]&lt;=$E$7),CRDJ[Debit])))+(SUM(IF((GJ[Sort Code]=(TRIM(G$4)))*(GJ[Account Code]=(TRIM($B37)))*(GJ[Date]&lt;=$E$7),GJ[Debit]))))</f>
        <v>0</v>
      </c>
      <c r="F37" s="245">
        <f t="array" ref="F37">((SUM(IF((CkDJ[Date]=$A$3)*(CkDJ[Sort Code]=(TRIM(G$4)))*(CkDJ[Account Code]=(TRIM($B37))),CkDJ[Credit])))+(SUM(IF((CsDJ[Date]=$A$3)*(CsDJ[Sort Code]=(TRIM(G$4)))*(CsDJ[Account Code]=(TRIM($B37))),CsDJ[Credit])))+(SUM(IF((CRDJ[Date]=$A$3)*(CRDJ[Sort Code]=(TRIM(G$4)))*(CRDJ[Account Code]=(TRIM($B37))),CRDJ[Credit])))+(SUM(IF((GJ[Date]=$A$3)*(GJ[Sort Code]=(TRIM(G$4)))*(GJ[Account Code]=(TRIM($B37))),GJ[Credit]))))-((SUM(IF((CkDJ[Date]=$A$3)*(CkDJ[Sort Code]=(TRIM(G$4)))*(CkDJ[Account Code]=(TRIM($B37))),CkDJ[Debit])))+(SUM(IF((CsDJ[Date]=$A$3)*(CsDJ[Sort Code]=(TRIM(G$4)))*(CsDJ[Account Code]=(TRIM($B37))),CsDJ[Debit])))+(SUM(IF((CRDJ[Date]=$A$3)*(CRDJ[Sort Code]=(TRIM(G$4)))*(CRDJ[Account Code]=(TRIM($B37))),CRDJ[Debit])))+(SUM(IF((GJ[Date]=$A$3)*(GJ[Sort Code]=(TRIM(G$4)))*(GJ[Account Code]=(TRIM($B37))),GJ[Debit]))))</f>
        <v>0</v>
      </c>
      <c r="G37" s="343">
        <f t="shared" ref="G37:G45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Code]=B38)*(Budget[Sort Code]=$G$4),(Budget[Amount])))</f>
        <v>0</v>
      </c>
      <c r="D38" s="245">
        <f t="array" ref="D38">SUM(IF((Budget[Account Code]=B38)*(Budget[Sort Code]=$G$4)*(Budget[Date]&lt;=$D$7),(Budget[Amount])))</f>
        <v>0</v>
      </c>
      <c r="E38" s="245">
        <f t="array" ref="E38">((SUM(IF((CkDJ[Sort Code]=(TRIM(G$4)))*(CkDJ[Account Code]=(TRIM($B38)))*(CkDJ[Date]&lt;=$E$7),CkDJ[Credit])))+(SUM(IF((CsDJ[Sort Code]=(TRIM(G$4)))*(CsDJ[Account Code]=(TRIM($B38)))*(CsDJ[Date]&lt;=$E$7),CsDJ[Credit])))+(SUM(IF((CRDJ[Sort Code]=(TRIM(G$4)))*(CRDJ[Account Code]=(TRIM($B38)))*(CRDJ[Date]&lt;=$E$7),CRDJ[Credit])))+(SUM(IF((GJ[Sort Code]=(TRIM(G$4)))*(GJ[Account Code]=(TRIM($B38)))*(GJ[Date]&lt;=$E$7),GJ[Credit]))))-((SUM(IF((CkDJ[Sort Code]=(TRIM(G$4)))*(CkDJ[Account Code]=(TRIM($B38)))*(CkDJ[Date]&lt;=$E$7),CkDJ[Debit])))+(SUM(IF((CsDJ[Sort Code]=(TRIM(G$4)))*(CsDJ[Account Code]=(TRIM($B38)))*(CsDJ[Date]&lt;=$E$7),CsDJ[Debit])))+(SUM(IF((CRDJ[Sort Code]=(TRIM(G$4)))*(CRDJ[Account Code]=(TRIM($B38)))*(CRDJ[Date]&lt;=$E$7),CRDJ[Debit])))+(SUM(IF((GJ[Sort Code]=(TRIM(G$4)))*(GJ[Account Code]=(TRIM($B38)))*(GJ[Date]&lt;=$E$7),GJ[Debit]))))</f>
        <v>0</v>
      </c>
      <c r="F38" s="245">
        <f t="array" ref="F38">((SUM(IF((CkDJ[Date]=$A$3)*(CkDJ[Sort Code]=(TRIM(G$4)))*(CkDJ[Account Code]=(TRIM($B38))),CkDJ[Credit])))+(SUM(IF((CsDJ[Date]=$A$3)*(CsDJ[Sort Code]=(TRIM(G$4)))*(CsDJ[Account Code]=(TRIM($B38))),CsDJ[Credit])))+(SUM(IF((CRDJ[Date]=$A$3)*(CRDJ[Sort Code]=(TRIM(G$4)))*(CRDJ[Account Code]=(TRIM($B38))),CRDJ[Credit])))+(SUM(IF((GJ[Date]=$A$3)*(GJ[Sort Code]=(TRIM(G$4)))*(GJ[Account Code]=(TRIM($B38))),GJ[Credit]))))-((SUM(IF((CkDJ[Date]=$A$3)*(CkDJ[Sort Code]=(TRIM(G$4)))*(CkDJ[Account Code]=(TRIM($B38))),CkDJ[Debit])))+(SUM(IF((CsDJ[Date]=$A$3)*(CsDJ[Sort Code]=(TRIM(G$4)))*(CsDJ[Account Code]=(TRIM($B38))),CsDJ[Debit])))+(SUM(IF((CRDJ[Date]=$A$3)*(CRDJ[Sort Code]=(TRIM(G$4)))*(CRDJ[Account Code]=(TRIM($B38))),CRDJ[Debit])))+(SUM(IF((GJ[Date]=$A$3)*(GJ[Sort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Code]=B39)*(Budget[Sort Code]=$G$4),(Budget[Amount])))</f>
        <v>0</v>
      </c>
      <c r="D39" s="245">
        <f t="array" ref="D39">SUM(IF((Budget[Account Code]=B39)*(Budget[Sort Code]=$G$4)*(Budget[Date]&lt;=$D$7),(Budget[Amount])))</f>
        <v>0</v>
      </c>
      <c r="E39" s="245">
        <f t="array" ref="E39">((SUM(IF((CkDJ[Sort Code]=(TRIM(G$4)))*(CkDJ[Account Code]=(TRIM($B39)))*(CkDJ[Date]&lt;=$E$7),CkDJ[Credit])))+(SUM(IF((CsDJ[Sort Code]=(TRIM(G$4)))*(CsDJ[Account Code]=(TRIM($B39)))*(CsDJ[Date]&lt;=$E$7),CsDJ[Credit])))+(SUM(IF((CRDJ[Sort Code]=(TRIM(G$4)))*(CRDJ[Account Code]=(TRIM($B39)))*(CRDJ[Date]&lt;=$E$7),CRDJ[Credit])))+(SUM(IF((GJ[Sort Code]=(TRIM(G$4)))*(GJ[Account Code]=(TRIM($B39)))*(GJ[Date]&lt;=$E$7),GJ[Credit]))))-((SUM(IF((CkDJ[Sort Code]=(TRIM(G$4)))*(CkDJ[Account Code]=(TRIM($B39)))*(CkDJ[Date]&lt;=$E$7),CkDJ[Debit])))+(SUM(IF((CsDJ[Sort Code]=(TRIM(G$4)))*(CsDJ[Account Code]=(TRIM($B39)))*(CsDJ[Date]&lt;=$E$7),CsDJ[Debit])))+(SUM(IF((CRDJ[Sort Code]=(TRIM(G$4)))*(CRDJ[Account Code]=(TRIM($B39)))*(CRDJ[Date]&lt;=$E$7),CRDJ[Debit])))+(SUM(IF((GJ[Sort Code]=(TRIM(G$4)))*(GJ[Account Code]=(TRIM($B39)))*(GJ[Date]&lt;=$E$7),GJ[Debit]))))</f>
        <v>0</v>
      </c>
      <c r="F39" s="245">
        <f t="array" ref="F39">((SUM(IF((CkDJ[Date]=$A$3)*(CkDJ[Sort Code]=(TRIM(G$4)))*(CkDJ[Account Code]=(TRIM($B39))),CkDJ[Credit])))+(SUM(IF((CsDJ[Date]=$A$3)*(CsDJ[Sort Code]=(TRIM(G$4)))*(CsDJ[Account Code]=(TRIM($B39))),CsDJ[Credit])))+(SUM(IF((CRDJ[Date]=$A$3)*(CRDJ[Sort Code]=(TRIM(G$4)))*(CRDJ[Account Code]=(TRIM($B39))),CRDJ[Credit])))+(SUM(IF((GJ[Date]=$A$3)*(GJ[Sort Code]=(TRIM(G$4)))*(GJ[Account Code]=(TRIM($B39))),GJ[Credit]))))-((SUM(IF((CkDJ[Date]=$A$3)*(CkDJ[Sort Code]=(TRIM(G$4)))*(CkDJ[Account Code]=(TRIM($B39))),CkDJ[Debit])))+(SUM(IF((CsDJ[Date]=$A$3)*(CsDJ[Sort Code]=(TRIM(G$4)))*(CsDJ[Account Code]=(TRIM($B39))),CsDJ[Debit])))+(SUM(IF((CRDJ[Date]=$A$3)*(CRDJ[Sort Code]=(TRIM(G$4)))*(CRDJ[Account Code]=(TRIM($B39))),CRDJ[Debit])))+(SUM(IF((GJ[Date]=$A$3)*(GJ[Sort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Code]=B40)*(Budget[Sort Code]=$G$4),(Budget[Amount])))</f>
        <v>0</v>
      </c>
      <c r="D40" s="245">
        <f t="array" ref="D40">SUM(IF((Budget[Account Code]=B40)*(Budget[Sort Code]=$G$4)*(Budget[Date]&lt;=$D$7),(Budget[Amount])))</f>
        <v>0</v>
      </c>
      <c r="E40" s="245">
        <f t="array" ref="E40">((SUM(IF((CkDJ[Sort Code]=(TRIM(G$4)))*(CkDJ[Account Code]=(TRIM($B40)))*(CkDJ[Date]&lt;=$E$7),CkDJ[Credit])))+(SUM(IF((CsDJ[Sort Code]=(TRIM(G$4)))*(CsDJ[Account Code]=(TRIM($B40)))*(CsDJ[Date]&lt;=$E$7),CsDJ[Credit])))+(SUM(IF((CRDJ[Sort Code]=(TRIM(G$4)))*(CRDJ[Account Code]=(TRIM($B40)))*(CRDJ[Date]&lt;=$E$7),CRDJ[Credit])))+(SUM(IF((GJ[Sort Code]=(TRIM(G$4)))*(GJ[Account Code]=(TRIM($B40)))*(GJ[Date]&lt;=$E$7),GJ[Credit]))))-((SUM(IF((CkDJ[Sort Code]=(TRIM(G$4)))*(CkDJ[Account Code]=(TRIM($B40)))*(CkDJ[Date]&lt;=$E$7),CkDJ[Debit])))+(SUM(IF((CsDJ[Sort Code]=(TRIM(G$4)))*(CsDJ[Account Code]=(TRIM($B40)))*(CsDJ[Date]&lt;=$E$7),CsDJ[Debit])))+(SUM(IF((CRDJ[Sort Code]=(TRIM(G$4)))*(CRDJ[Account Code]=(TRIM($B40)))*(CRDJ[Date]&lt;=$E$7),CRDJ[Debit])))+(SUM(IF((GJ[Sort Code]=(TRIM(G$4)))*(GJ[Account Code]=(TRIM($B40)))*(GJ[Date]&lt;=$E$7),GJ[Debit]))))</f>
        <v>0</v>
      </c>
      <c r="F40" s="245">
        <f t="array" ref="F40">((SUM(IF((CkDJ[Date]=$A$3)*(CkDJ[Sort Code]=(TRIM(G$4)))*(CkDJ[Account Code]=(TRIM($B40))),CkDJ[Credit])))+(SUM(IF((CsDJ[Date]=$A$3)*(CsDJ[Sort Code]=(TRIM(G$4)))*(CsDJ[Account Code]=(TRIM($B40))),CsDJ[Credit])))+(SUM(IF((CRDJ[Date]=$A$3)*(CRDJ[Sort Code]=(TRIM(G$4)))*(CRDJ[Account Code]=(TRIM($B40))),CRDJ[Credit])))+(SUM(IF((GJ[Date]=$A$3)*(GJ[Sort Code]=(TRIM(G$4)))*(GJ[Account Code]=(TRIM($B40))),GJ[Credit]))))-((SUM(IF((CkDJ[Date]=$A$3)*(CkDJ[Sort Code]=(TRIM(G$4)))*(CkDJ[Account Code]=(TRIM($B40))),CkDJ[Debit])))+(SUM(IF((CsDJ[Date]=$A$3)*(CsDJ[Sort Code]=(TRIM(G$4)))*(CsDJ[Account Code]=(TRIM($B40))),CsDJ[Debit])))+(SUM(IF((CRDJ[Date]=$A$3)*(CRDJ[Sort Code]=(TRIM(G$4)))*(CRDJ[Account Code]=(TRIM($B40))),CRDJ[Debit])))+(SUM(IF((GJ[Date]=$A$3)*(GJ[Sort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Code]=B41)*(Budget[Sort Code]=$G$4),(Budget[Amount])))</f>
        <v>0</v>
      </c>
      <c r="D41" s="245">
        <f t="array" ref="D41">SUM(IF((Budget[Account Code]=B41)*(Budget[Sort Code]=$G$4)*(Budget[Date]&lt;=$D$7),(Budget[Amount])))</f>
        <v>0</v>
      </c>
      <c r="E41" s="245">
        <f t="array" ref="E41">((SUM(IF((CkDJ[Sort Code]=(TRIM(G$4)))*(CkDJ[Account Code]=(TRIM($B41)))*(CkDJ[Date]&lt;=$E$7),CkDJ[Credit])))+(SUM(IF((CsDJ[Sort Code]=(TRIM(G$4)))*(CsDJ[Account Code]=(TRIM($B41)))*(CsDJ[Date]&lt;=$E$7),CsDJ[Credit])))+(SUM(IF((CRDJ[Sort Code]=(TRIM(G$4)))*(CRDJ[Account Code]=(TRIM($B41)))*(CRDJ[Date]&lt;=$E$7),CRDJ[Credit])))+(SUM(IF((GJ[Sort Code]=(TRIM(G$4)))*(GJ[Account Code]=(TRIM($B41)))*(GJ[Date]&lt;=$E$7),GJ[Credit]))))-((SUM(IF((CkDJ[Sort Code]=(TRIM(G$4)))*(CkDJ[Account Code]=(TRIM($B41)))*(CkDJ[Date]&lt;=$E$7),CkDJ[Debit])))+(SUM(IF((CsDJ[Sort Code]=(TRIM(G$4)))*(CsDJ[Account Code]=(TRIM($B41)))*(CsDJ[Date]&lt;=$E$7),CsDJ[Debit])))+(SUM(IF((CRDJ[Sort Code]=(TRIM(G$4)))*(CRDJ[Account Code]=(TRIM($B41)))*(CRDJ[Date]&lt;=$E$7),CRDJ[Debit])))+(SUM(IF((GJ[Sort Code]=(TRIM(G$4)))*(GJ[Account Code]=(TRIM($B41)))*(GJ[Date]&lt;=$E$7),GJ[Debit]))))</f>
        <v>0</v>
      </c>
      <c r="F41" s="245">
        <f t="array" ref="F41">((SUM(IF((CkDJ[Date]=$A$3)*(CkDJ[Sort Code]=(TRIM(G$4)))*(CkDJ[Account Code]=(TRIM($B41))),CkDJ[Credit])))+(SUM(IF((CsDJ[Date]=$A$3)*(CsDJ[Sort Code]=(TRIM(G$4)))*(CsDJ[Account Code]=(TRIM($B41))),CsDJ[Credit])))+(SUM(IF((CRDJ[Date]=$A$3)*(CRDJ[Sort Code]=(TRIM(G$4)))*(CRDJ[Account Code]=(TRIM($B41))),CRDJ[Credit])))+(SUM(IF((GJ[Date]=$A$3)*(GJ[Sort Code]=(TRIM(G$4)))*(GJ[Account Code]=(TRIM($B41))),GJ[Credit]))))-((SUM(IF((CkDJ[Date]=$A$3)*(CkDJ[Sort Code]=(TRIM(G$4)))*(CkDJ[Account Code]=(TRIM($B41))),CkDJ[Debit])))+(SUM(IF((CsDJ[Date]=$A$3)*(CsDJ[Sort Code]=(TRIM(G$4)))*(CsDJ[Account Code]=(TRIM($B41))),CsDJ[Debit])))+(SUM(IF((CRDJ[Date]=$A$3)*(CRDJ[Sort Code]=(TRIM(G$4)))*(CRDJ[Account Code]=(TRIM($B41))),CRDJ[Debit])))+(SUM(IF((GJ[Date]=$A$3)*(GJ[Sort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Code]=B42)*(Budget[Sort Code]=$G$4),(Budget[Amount])))</f>
        <v>0</v>
      </c>
      <c r="D42" s="245">
        <f t="array" ref="D42">SUM(IF((Budget[Account Code]=B42)*(Budget[Sort Code]=$G$4)*(Budget[Date]&lt;=$D$7),(Budget[Amount])))</f>
        <v>0</v>
      </c>
      <c r="E42" s="245">
        <f t="array" ref="E42">((SUM(IF((CkDJ[Sort Code]=(TRIM(G$4)))*(CkDJ[Account Code]=(TRIM($B42)))*(CkDJ[Date]&lt;=$E$7),CkDJ[Credit])))+(SUM(IF((CsDJ[Sort Code]=(TRIM(G$4)))*(CsDJ[Account Code]=(TRIM($B42)))*(CsDJ[Date]&lt;=$E$7),CsDJ[Credit])))+(SUM(IF((CRDJ[Sort Code]=(TRIM(G$4)))*(CRDJ[Account Code]=(TRIM($B42)))*(CRDJ[Date]&lt;=$E$7),CRDJ[Credit])))+(SUM(IF((GJ[Sort Code]=(TRIM(G$4)))*(GJ[Account Code]=(TRIM($B42)))*(GJ[Date]&lt;=$E$7),GJ[Credit]))))-((SUM(IF((CkDJ[Sort Code]=(TRIM(G$4)))*(CkDJ[Account Code]=(TRIM($B42)))*(CkDJ[Date]&lt;=$E$7),CkDJ[Debit])))+(SUM(IF((CsDJ[Sort Code]=(TRIM(G$4)))*(CsDJ[Account Code]=(TRIM($B42)))*(CsDJ[Date]&lt;=$E$7),CsDJ[Debit])))+(SUM(IF((CRDJ[Sort Code]=(TRIM(G$4)))*(CRDJ[Account Code]=(TRIM($B42)))*(CRDJ[Date]&lt;=$E$7),CRDJ[Debit])))+(SUM(IF((GJ[Sort Code]=(TRIM(G$4)))*(GJ[Account Code]=(TRIM($B42)))*(GJ[Date]&lt;=$E$7),GJ[Debit]))))</f>
        <v>0</v>
      </c>
      <c r="F42" s="245">
        <f t="array" ref="F42">((SUM(IF((CkDJ[Date]=$A$3)*(CkDJ[Sort Code]=(TRIM(G$4)))*(CkDJ[Account Code]=(TRIM($B42))),CkDJ[Credit])))+(SUM(IF((CsDJ[Date]=$A$3)*(CsDJ[Sort Code]=(TRIM(G$4)))*(CsDJ[Account Code]=(TRIM($B42))),CsDJ[Credit])))+(SUM(IF((CRDJ[Date]=$A$3)*(CRDJ[Sort Code]=(TRIM(G$4)))*(CRDJ[Account Code]=(TRIM($B42))),CRDJ[Credit])))+(SUM(IF((GJ[Date]=$A$3)*(GJ[Sort Code]=(TRIM(G$4)))*(GJ[Account Code]=(TRIM($B42))),GJ[Credit]))))-((SUM(IF((CkDJ[Date]=$A$3)*(CkDJ[Sort Code]=(TRIM(G$4)))*(CkDJ[Account Code]=(TRIM($B42))),CkDJ[Debit])))+(SUM(IF((CsDJ[Date]=$A$3)*(CsDJ[Sort Code]=(TRIM(G$4)))*(CsDJ[Account Code]=(TRIM($B42))),CsDJ[Debit])))+(SUM(IF((CRDJ[Date]=$A$3)*(CRDJ[Sort Code]=(TRIM(G$4)))*(CRDJ[Account Code]=(TRIM($B42))),CRDJ[Debit])))+(SUM(IF((GJ[Date]=$A$3)*(GJ[Sort Code]=(TRIM(G$4)))*(GJ[Account Code]=(TRIM($B42))),GJ[Debit]))))</f>
        <v>0</v>
      </c>
      <c r="G42" s="343">
        <f t="shared" si="4"/>
        <v>0</v>
      </c>
      <c r="H42" s="246">
        <f t="shared" si="2"/>
        <v>0</v>
      </c>
      <c r="I42" s="246">
        <f t="shared" si="3"/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Code]=B43)*(Budget[Sort Code]=$G$4),(Budget[Amount])))</f>
        <v>0</v>
      </c>
      <c r="D43" s="245">
        <f t="array" ref="D43">SUM(IF((Budget[Account Code]=B43)*(Budget[Sort Code]=$G$4)*(Budget[Date]&lt;=$D$7),(Budget[Amount])))</f>
        <v>0</v>
      </c>
      <c r="E43" s="245">
        <f t="array" ref="E43">((SUM(IF((CkDJ[Sort Code]=(TRIM(G$4)))*(CkDJ[Account Code]=(TRIM($B43)))*(CkDJ[Date]&lt;=$E$7),CkDJ[Credit])))+(SUM(IF((CsDJ[Sort Code]=(TRIM(G$4)))*(CsDJ[Account Code]=(TRIM($B43)))*(CsDJ[Date]&lt;=$E$7),CsDJ[Credit])))+(SUM(IF((CRDJ[Sort Code]=(TRIM(G$4)))*(CRDJ[Account Code]=(TRIM($B43)))*(CRDJ[Date]&lt;=$E$7),CRDJ[Credit])))+(SUM(IF((GJ[Sort Code]=(TRIM(G$4)))*(GJ[Account Code]=(TRIM($B43)))*(GJ[Date]&lt;=$E$7),GJ[Credit]))))-((SUM(IF((CkDJ[Sort Code]=(TRIM(G$4)))*(CkDJ[Account Code]=(TRIM($B43)))*(CkDJ[Date]&lt;=$E$7),CkDJ[Debit])))+(SUM(IF((CsDJ[Sort Code]=(TRIM(G$4)))*(CsDJ[Account Code]=(TRIM($B43)))*(CsDJ[Date]&lt;=$E$7),CsDJ[Debit])))+(SUM(IF((CRDJ[Sort Code]=(TRIM(G$4)))*(CRDJ[Account Code]=(TRIM($B43)))*(CRDJ[Date]&lt;=$E$7),CRDJ[Debit])))+(SUM(IF((GJ[Sort Code]=(TRIM(G$4)))*(GJ[Account Code]=(TRIM($B43)))*(GJ[Date]&lt;=$E$7),GJ[Debit]))))</f>
        <v>0</v>
      </c>
      <c r="F43" s="245">
        <f t="array" ref="F43">((SUM(IF((CkDJ[Date]=$A$3)*(CkDJ[Sort Code]=(TRIM(G$4)))*(CkDJ[Account Code]=(TRIM($B43))),CkDJ[Credit])))+(SUM(IF((CsDJ[Date]=$A$3)*(CsDJ[Sort Code]=(TRIM(G$4)))*(CsDJ[Account Code]=(TRIM($B43))),CsDJ[Credit])))+(SUM(IF((CRDJ[Date]=$A$3)*(CRDJ[Sort Code]=(TRIM(G$4)))*(CRDJ[Account Code]=(TRIM($B43))),CRDJ[Credit])))+(SUM(IF((GJ[Date]=$A$3)*(GJ[Sort Code]=(TRIM(G$4)))*(GJ[Account Code]=(TRIM($B43))),GJ[Credit]))))-((SUM(IF((CkDJ[Date]=$A$3)*(CkDJ[Sort Code]=(TRIM(G$4)))*(CkDJ[Account Code]=(TRIM($B43))),CkDJ[Debit])))+(SUM(IF((CsDJ[Date]=$A$3)*(CsDJ[Sort Code]=(TRIM(G$4)))*(CsDJ[Account Code]=(TRIM($B43))),CsDJ[Debit])))+(SUM(IF((CRDJ[Date]=$A$3)*(CRDJ[Sort Code]=(TRIM(G$4)))*(CRDJ[Account Code]=(TRIM($B43))),CRDJ[Debit])))+(SUM(IF((GJ[Date]=$A$3)*(GJ[Sort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Code]=B44)*(Budget[Sort Code]=$G$4),(Budget[Amount])))</f>
        <v>1628000</v>
      </c>
      <c r="D44" s="245">
        <f t="array" ref="D44">SUM(IF((Budget[Account Code]=B44)*(Budget[Sort Code]=$G$4)*(Budget[Date]&lt;=$D$7),(Budget[Amount])))</f>
        <v>1628000</v>
      </c>
      <c r="E44" s="245">
        <f t="array" ref="E44">((SUM(IF((CkDJ[Sort Code]=(TRIM(G$4)))*(CkDJ[Account Code]=(TRIM($B44)))*(CkDJ[Date]&lt;=$E$7),CkDJ[Credit])))+(SUM(IF((CsDJ[Sort Code]=(TRIM(G$4)))*(CsDJ[Account Code]=(TRIM($B44)))*(CsDJ[Date]&lt;=$E$7),CsDJ[Credit])))+(SUM(IF((CRDJ[Sort Code]=(TRIM(G$4)))*(CRDJ[Account Code]=(TRIM($B44)))*(CRDJ[Date]&lt;=$E$7),CRDJ[Credit])))+(SUM(IF((GJ[Sort Code]=(TRIM(G$4)))*(GJ[Account Code]=(TRIM($B44)))*(GJ[Date]&lt;=$E$7),GJ[Credit]))))-((SUM(IF((CkDJ[Sort Code]=(TRIM(G$4)))*(CkDJ[Account Code]=(TRIM($B44)))*(CkDJ[Date]&lt;=$E$7),CkDJ[Debit])))+(SUM(IF((CsDJ[Sort Code]=(TRIM(G$4)))*(CsDJ[Account Code]=(TRIM($B44)))*(CsDJ[Date]&lt;=$E$7),CsDJ[Debit])))+(SUM(IF((CRDJ[Sort Code]=(TRIM(G$4)))*(CRDJ[Account Code]=(TRIM($B44)))*(CRDJ[Date]&lt;=$E$7),CRDJ[Debit])))+(SUM(IF((GJ[Sort Code]=(TRIM(G$4)))*(GJ[Account Code]=(TRIM($B44)))*(GJ[Date]&lt;=$E$7),GJ[Debit]))))</f>
        <v>0</v>
      </c>
      <c r="F44" s="245">
        <f t="array" ref="F44">((SUM(IF((CkDJ[Date]=$A$3)*(CkDJ[Sort Code]=(TRIM(G$4)))*(CkDJ[Account Code]=(TRIM($B44))),CkDJ[Credit])))+(SUM(IF((CsDJ[Date]=$A$3)*(CsDJ[Sort Code]=(TRIM(G$4)))*(CsDJ[Account Code]=(TRIM($B44))),CsDJ[Credit])))+(SUM(IF((CRDJ[Date]=$A$3)*(CRDJ[Sort Code]=(TRIM(G$4)))*(CRDJ[Account Code]=(TRIM($B44))),CRDJ[Credit])))+(SUM(IF((GJ[Date]=$A$3)*(GJ[Sort Code]=(TRIM(G$4)))*(GJ[Account Code]=(TRIM($B44))),GJ[Credit]))))-((SUM(IF((CkDJ[Date]=$A$3)*(CkDJ[Sort Code]=(TRIM(G$4)))*(CkDJ[Account Code]=(TRIM($B44))),CkDJ[Debit])))+(SUM(IF((CsDJ[Date]=$A$3)*(CsDJ[Sort Code]=(TRIM(G$4)))*(CsDJ[Account Code]=(TRIM($B44))),CsDJ[Debit])))+(SUM(IF((CRDJ[Date]=$A$3)*(CRDJ[Sort Code]=(TRIM(G$4)))*(CRDJ[Account Code]=(TRIM($B44))),CRDJ[Debit])))+(SUM(IF((GJ[Date]=$A$3)*(GJ[Sort Code]=(TRIM(G$4)))*(GJ[Account Code]=(TRIM($B44))),GJ[Debit]))))</f>
        <v>0</v>
      </c>
      <c r="G44" s="343">
        <f t="shared" si="4"/>
        <v>0</v>
      </c>
      <c r="H44" s="246">
        <f t="shared" si="2"/>
        <v>-1628000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Code]=B45)*(Budget[Sort Code]=$G$4),(Budget[Amount])))</f>
        <v>0</v>
      </c>
      <c r="D45" s="245">
        <f t="array" ref="D45">SUM(IF((Budget[Account Code]=B45)*(Budget[Sort Code]=$G$4)*(Budget[Date]&lt;=$D$7),(Budget[Amount])))</f>
        <v>0</v>
      </c>
      <c r="E45" s="245">
        <f t="array" ref="E45">((SUM(IF((CkDJ[Sort Code]=(TRIM(G$4)))*(CkDJ[Account Code]=(TRIM($B45)))*(CkDJ[Date]&lt;=$E$7),CkDJ[Credit])))+(SUM(IF((CsDJ[Sort Code]=(TRIM(G$4)))*(CsDJ[Account Code]=(TRIM($B45)))*(CsDJ[Date]&lt;=$E$7),CsDJ[Credit])))+(SUM(IF((CRDJ[Sort Code]=(TRIM(G$4)))*(CRDJ[Account Code]=(TRIM($B45)))*(CRDJ[Date]&lt;=$E$7),CRDJ[Credit])))+(SUM(IF((GJ[Sort Code]=(TRIM(G$4)))*(GJ[Account Code]=(TRIM($B45)))*(GJ[Date]&lt;=$E$7),GJ[Credit]))))-((SUM(IF((CkDJ[Sort Code]=(TRIM(G$4)))*(CkDJ[Account Code]=(TRIM($B45)))*(CkDJ[Date]&lt;=$E$7),CkDJ[Debit])))+(SUM(IF((CsDJ[Sort Code]=(TRIM(G$4)))*(CsDJ[Account Code]=(TRIM($B45)))*(CsDJ[Date]&lt;=$E$7),CsDJ[Debit])))+(SUM(IF((CRDJ[Sort Code]=(TRIM(G$4)))*(CRDJ[Account Code]=(TRIM($B45)))*(CRDJ[Date]&lt;=$E$7),CRDJ[Debit])))+(SUM(IF((GJ[Sort Code]=(TRIM(G$4)))*(GJ[Account Code]=(TRIM($B45)))*(GJ[Date]&lt;=$E$7),GJ[Debit]))))</f>
        <v>0</v>
      </c>
      <c r="F45" s="245">
        <f t="array" ref="F45">((SUM(IF((CkDJ[Date]=$A$3)*(CkDJ[Sort Code]=(TRIM(G$4)))*(CkDJ[Account Code]=(TRIM($B45))),CkDJ[Credit])))+(SUM(IF((CsDJ[Date]=$A$3)*(CsDJ[Sort Code]=(TRIM(G$4)))*(CsDJ[Account Code]=(TRIM($B45))),CsDJ[Credit])))+(SUM(IF((CRDJ[Date]=$A$3)*(CRDJ[Sort Code]=(TRIM(G$4)))*(CRDJ[Account Code]=(TRIM($B45))),CRDJ[Credit])))+(SUM(IF((GJ[Date]=$A$3)*(GJ[Sort Code]=(TRIM(G$4)))*(GJ[Account Code]=(TRIM($B45))),GJ[Credit]))))-((SUM(IF((CkDJ[Date]=$A$3)*(CkDJ[Sort Code]=(TRIM(G$4)))*(CkDJ[Account Code]=(TRIM($B45))),CkDJ[Debit])))+(SUM(IF((CsDJ[Date]=$A$3)*(CsDJ[Sort Code]=(TRIM(G$4)))*(CsDJ[Account Code]=(TRIM($B45))),CsDJ[Debit])))+(SUM(IF((CRDJ[Date]=$A$3)*(CRDJ[Sort Code]=(TRIM(G$4)))*(CRDJ[Account Code]=(TRIM($B45))),CRDJ[Debit])))+(SUM(IF((GJ[Date]=$A$3)*(GJ[Sort Code]=(TRIM(G$4)))*(GJ[Account Code]=(TRIM($B45))),GJ[Debit]))))</f>
        <v>0</v>
      </c>
      <c r="G45" s="343">
        <f t="shared" si="4"/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((SUM(IF((CkDJ[Sort Code]=(TRIM(G$4)))*(CkDJ[Account Code]=(TRIM($B46))),CkDJ[Credit])))+(SUM(IF((CsDJ[Sort Code]=(TRIM(G$4)))*(CsDJ[Account Code]=(TRIM($B46))),CsDJ[Credit])))+(SUM(IF((CRDJ[Sort Code]=(TRIM(G$4)))*(CRDJ[Account Code]=(TRIM($B46))),CRDJ[Credit])))+(SUM(IF((GJ[Sort Code]=(TRIM(G$4)))*(GJ[Account Code]=(TRIM($B46))),GJ[Credit]))))-((SUM(IF((CkDJ[Sort Code]=(TRIM(G$4)))*(CkDJ[Account Code]=(TRIM($B46))),CkDJ[Debit])))+(SUM(IF((CsDJ[Sort Code]=(TRIM(G$4)))*(CsDJ[Account Code]=(TRIM($B46))),CsDJ[Debit])))+(SUM(IF((CRDJ[Sort Code]=(TRIM(G$4)))*(CRDJ[Account Code]=(TRIM($B46))),CRDJ[Debit])))+(SUM(IF((GJ[Sort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1628000</v>
      </c>
      <c r="D47" s="250">
        <f>D26+D27+D32+D36+D46</f>
        <v>1628000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-1628000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3128000</v>
      </c>
      <c r="D48" s="250">
        <f>D24+D47</f>
        <v>3128000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-3128000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24175060.399999999</v>
      </c>
      <c r="D50" s="242">
        <f>D51+D75</f>
        <v>24175060.399999999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ref="H50:H119" si="5">G50-D50</f>
        <v>-24175060.399999999</v>
      </c>
      <c r="I50" s="242">
        <f t="shared" ref="I50:I119" si="6">IF((D50=0),0,G50/D50)</f>
        <v>0</v>
      </c>
    </row>
    <row r="51" spans="1:9" x14ac:dyDescent="0.2">
      <c r="A51" s="243" t="s">
        <v>806</v>
      </c>
      <c r="B51" s="337"/>
      <c r="C51" s="246">
        <f>SUM(C52:C74)</f>
        <v>24175060.399999999</v>
      </c>
      <c r="D51" s="246">
        <f>SUM(D52:D74)</f>
        <v>24175060.399999999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5"/>
        <v>-24175060.399999999</v>
      </c>
      <c r="I51" s="246">
        <f t="shared" si="6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Code]=B52)*(Budget[Sort Code]=$G$4),(Budget[Amount])))</f>
        <v>15598824</v>
      </c>
      <c r="D52" s="245">
        <f t="array" ref="D52">SUM(IF((Budget[Account Code]=B52)*(Budget[Sort Code]=$G$4)*(Budget[Date]&lt;=$D$7),(Budget[Amount])))</f>
        <v>15598824</v>
      </c>
      <c r="E52" s="245">
        <f t="array" ref="E52">((SUM(IF((CkDJ[Sort Code]=(TRIM(G$4)))*(CkDJ[Account Code]=(TRIM($B52)))*(CkDJ[Date]&lt;=$E$7),CkDJ[Debit])))+(SUM(IF((CsDJ[Sort Code]=(TRIM(G$4)))*(CsDJ[Account Code]=(TRIM($B52)))*(CsDJ[Date]&lt;=$E$7),CsDJ[Debit])))+(SUM(IF((CRDJ[Sort Code]=(TRIM(G$4)))*(CRDJ[Account Code]=(TRIM($B52)))*(CRDJ[Date]&lt;=$E$7),CRDJ[Debit])))+(SUM(IF((GJ[Sort Code]=(TRIM(G$4)))*(GJ[Account Code]=(TRIM($B52)))*(GJ[Date]&lt;=$E$7),GJ[Debit]))))-((SUM(IF((CkDJ[Sort Code]=(TRIM(G$4)))*(CkDJ[Account Code]=(TRIM($B52)))*(CkDJ[Date]&lt;=$E$7),CkDJ[Credit])))+(SUM(IF((CsDJ[Sort Code]=(TRIM(G$4)))*(CsDJ[Account Code]=(TRIM($B52)))*(CsDJ[Date]&lt;=$E$7),CsDJ[Credit])))+(SUM(IF((CRDJ[Sort Code]=(TRIM(G$4)))*(CRDJ[Account Code]=(TRIM($B52)))*(CRDJ[Date]&lt;=$E$7),CRDJ[Credit])))+(SUM(IF((GJ[Sort Code]=(TRIM(G$4)))*(GJ[Account Code]=(TRIM($B52)))*(GJ[Date]&lt;=$E$7),GJ[Credit]))))</f>
        <v>0</v>
      </c>
      <c r="F52" s="245">
        <f t="array" ref="F52">((SUM(IF((CkDJ[Date]=$A$3)*(CkDJ[Sort Code]=(TRIM(G$4)))*(CkDJ[Account Code]=(TRIM($B52))),CkDJ[Debit])))+(SUM(IF((CsDJ[Date]=$A$3)*(CsDJ[Sort Code]=(TRIM(G$4)))*(CsDJ[Account Code]=(TRIM($B52))),CsDJ[Debit])))+(SUM(IF((CRDJ[Date]=$A$3)*(CRDJ[Sort Code]=(TRIM(G$4)))*(CRDJ[Account Code]=(TRIM($B52))),CRDJ[Debit])))+(SUM(IF((GJ[Date]=$A$3)*(GJ[Sort Code]=(TRIM(G$4)))*(GJ[Account Code]=(TRIM($B52))),GJ[Debit]))))-((SUM(IF((CkDJ[Date]=$A$3)*(CkDJ[Sort Code]=(TRIM(G$4)))*(CkDJ[Account Code]=(TRIM($B52))),CkDJ[Credit])))+(SUM(IF((CsDJ[Date]=$A$3)*(CsDJ[Sort Code]=(TRIM(G$4)))*(CsDJ[Account Code]=(TRIM($B52))),CsDJ[Credit])))+(SUM(IF((CRDJ[Date]=$A$3)*(CRDJ[Sort Code]=(TRIM(G$4)))*(CRDJ[Account Code]=(TRIM($B52))),CRDJ[Credit])))+(SUM(IF((GJ[Date]=$A$3)*(GJ[Sort Code]=(TRIM(G$4)))*(GJ[Account Code]=(TRIM($B52))),GJ[Credit]))))</f>
        <v>0</v>
      </c>
      <c r="G52" s="343">
        <f t="shared" ref="G52:G57" si="7">E52+F52</f>
        <v>0</v>
      </c>
      <c r="H52" s="246">
        <f t="shared" si="5"/>
        <v>-15598824</v>
      </c>
      <c r="I52" s="246">
        <f t="shared" si="6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Code]=B53)*(Budget[Sort Code]=$G$4),(Budget[Amount])))</f>
        <v>828168</v>
      </c>
      <c r="D53" s="245">
        <f t="array" ref="D53">SUM(IF((Budget[Account Code]=B53)*(Budget[Sort Code]=$G$4)*(Budget[Date]&lt;=$D$7),(Budget[Amount])))</f>
        <v>828168</v>
      </c>
      <c r="E53" s="245">
        <f t="array" ref="E53">((SUM(IF((CkDJ[Sort Code]=(TRIM(G$4)))*(CkDJ[Account Code]=(TRIM($B53)))*(CkDJ[Date]&lt;=$E$7),CkDJ[Debit])))+(SUM(IF((CsDJ[Sort Code]=(TRIM(G$4)))*(CsDJ[Account Code]=(TRIM($B53)))*(CsDJ[Date]&lt;=$E$7),CsDJ[Debit])))+(SUM(IF((CRDJ[Sort Code]=(TRIM(G$4)))*(CRDJ[Account Code]=(TRIM($B53)))*(CRDJ[Date]&lt;=$E$7),CRDJ[Debit])))+(SUM(IF((GJ[Sort Code]=(TRIM(G$4)))*(GJ[Account Code]=(TRIM($B53)))*(GJ[Date]&lt;=$E$7),GJ[Debit]))))-((SUM(IF((CkDJ[Sort Code]=(TRIM(G$4)))*(CkDJ[Account Code]=(TRIM($B53)))*(CkDJ[Date]&lt;=$E$7),CkDJ[Credit])))+(SUM(IF((CsDJ[Sort Code]=(TRIM(G$4)))*(CsDJ[Account Code]=(TRIM($B53)))*(CsDJ[Date]&lt;=$E$7),CsDJ[Credit])))+(SUM(IF((CRDJ[Sort Code]=(TRIM(G$4)))*(CRDJ[Account Code]=(TRIM($B53)))*(CRDJ[Date]&lt;=$E$7),CRDJ[Credit])))+(SUM(IF((GJ[Sort Code]=(TRIM(G$4)))*(GJ[Account Code]=(TRIM($B53)))*(GJ[Date]&lt;=$E$7),GJ[Credit]))))</f>
        <v>0</v>
      </c>
      <c r="F53" s="245">
        <f t="array" ref="F53">((SUM(IF((CkDJ[Date]=$A$3)*(CkDJ[Sort Code]=(TRIM(G$4)))*(CkDJ[Account Code]=(TRIM($B53))),CkDJ[Debit])))+(SUM(IF((CsDJ[Date]=$A$3)*(CsDJ[Sort Code]=(TRIM(G$4)))*(CsDJ[Account Code]=(TRIM($B53))),CsDJ[Debit])))+(SUM(IF((CRDJ[Date]=$A$3)*(CRDJ[Sort Code]=(TRIM(G$4)))*(CRDJ[Account Code]=(TRIM($B53))),CRDJ[Debit])))+(SUM(IF((GJ[Date]=$A$3)*(GJ[Sort Code]=(TRIM(G$4)))*(GJ[Account Code]=(TRIM($B53))),GJ[Debit]))))-((SUM(IF((CkDJ[Date]=$A$3)*(CkDJ[Sort Code]=(TRIM(G$4)))*(CkDJ[Account Code]=(TRIM($B53))),CkDJ[Credit])))+(SUM(IF((CsDJ[Date]=$A$3)*(CsDJ[Sort Code]=(TRIM(G$4)))*(CsDJ[Account Code]=(TRIM($B53))),CsDJ[Credit])))+(SUM(IF((CRDJ[Date]=$A$3)*(CRDJ[Sort Code]=(TRIM(G$4)))*(CRDJ[Account Code]=(TRIM($B53))),CRDJ[Credit])))+(SUM(IF((GJ[Date]=$A$3)*(GJ[Sort Code]=(TRIM(G$4)))*(GJ[Account Code]=(TRIM($B53))),GJ[Credit]))))</f>
        <v>0</v>
      </c>
      <c r="G53" s="343">
        <f t="shared" si="7"/>
        <v>0</v>
      </c>
      <c r="H53" s="246">
        <f t="shared" si="5"/>
        <v>-828168</v>
      </c>
      <c r="I53" s="246">
        <f t="shared" si="6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Code]=B54)*(Budget[Sort Code]=$G$4),(Budget[Amount])))</f>
        <v>0</v>
      </c>
      <c r="D54" s="245">
        <f t="array" ref="D54">SUM(IF((Budget[Account Code]=B54)*(Budget[Sort Code]=$G$4)*(Budget[Date]&lt;=$D$7),(Budget[Amount])))</f>
        <v>0</v>
      </c>
      <c r="E54" s="245">
        <f t="array" ref="E54">((SUM(IF((CkDJ[Sort Code]=(TRIM(G$4)))*(CkDJ[Account Code]=(TRIM($B54)))*(CkDJ[Date]&lt;=$E$7),CkDJ[Debit])))+(SUM(IF((CsDJ[Sort Code]=(TRIM(G$4)))*(CsDJ[Account Code]=(TRIM($B54)))*(CsDJ[Date]&lt;=$E$7),CsDJ[Debit])))+(SUM(IF((CRDJ[Sort Code]=(TRIM(G$4)))*(CRDJ[Account Code]=(TRIM($B54)))*(CRDJ[Date]&lt;=$E$7),CRDJ[Debit])))+(SUM(IF((GJ[Sort Code]=(TRIM(G$4)))*(GJ[Account Code]=(TRIM($B54)))*(GJ[Date]&lt;=$E$7),GJ[Debit]))))-((SUM(IF((CkDJ[Sort Code]=(TRIM(G$4)))*(CkDJ[Account Code]=(TRIM($B54)))*(CkDJ[Date]&lt;=$E$7),CkDJ[Credit])))+(SUM(IF((CsDJ[Sort Code]=(TRIM(G$4)))*(CsDJ[Account Code]=(TRIM($B54)))*(CsDJ[Date]&lt;=$E$7),CsDJ[Credit])))+(SUM(IF((CRDJ[Sort Code]=(TRIM(G$4)))*(CRDJ[Account Code]=(TRIM($B54)))*(CRDJ[Date]&lt;=$E$7),CRDJ[Credit])))+(SUM(IF((GJ[Sort Code]=(TRIM(G$4)))*(GJ[Account Code]=(TRIM($B54)))*(GJ[Date]&lt;=$E$7),GJ[Credit]))))</f>
        <v>0</v>
      </c>
      <c r="F54" s="245">
        <f t="array" ref="F54">((SUM(IF((CkDJ[Date]=$A$3)*(CkDJ[Sort Code]=(TRIM(G$4)))*(CkDJ[Account Code]=(TRIM($B54))),CkDJ[Debit])))+(SUM(IF((CsDJ[Date]=$A$3)*(CsDJ[Sort Code]=(TRIM(G$4)))*(CsDJ[Account Code]=(TRIM($B54))),CsDJ[Debit])))+(SUM(IF((CRDJ[Date]=$A$3)*(CRDJ[Sort Code]=(TRIM(G$4)))*(CRDJ[Account Code]=(TRIM($B54))),CRDJ[Debit])))+(SUM(IF((GJ[Date]=$A$3)*(GJ[Sort Code]=(TRIM(G$4)))*(GJ[Account Code]=(TRIM($B54))),GJ[Debit]))))-((SUM(IF((CkDJ[Date]=$A$3)*(CkDJ[Sort Code]=(TRIM(G$4)))*(CkDJ[Account Code]=(TRIM($B54))),CkDJ[Credit])))+(SUM(IF((CsDJ[Date]=$A$3)*(CsDJ[Sort Code]=(TRIM(G$4)))*(CsDJ[Account Code]=(TRIM($B54))),CsDJ[Credit])))+(SUM(IF((CRDJ[Date]=$A$3)*(CRDJ[Sort Code]=(TRIM(G$4)))*(CRDJ[Account Code]=(TRIM($B54))),CRDJ[Credit])))+(SUM(IF((GJ[Date]=$A$3)*(GJ[Sort Code]=(TRIM(G$4)))*(GJ[Account Code]=(TRIM($B54))),GJ[Credit]))))</f>
        <v>0</v>
      </c>
      <c r="G54" s="343">
        <f t="shared" si="7"/>
        <v>0</v>
      </c>
      <c r="H54" s="246">
        <f t="shared" si="5"/>
        <v>0</v>
      </c>
      <c r="I54" s="246">
        <f t="shared" si="6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Code]=B55)*(Budget[Sort Code]=$G$4),(Budget[Amount])))</f>
        <v>1512000</v>
      </c>
      <c r="D55" s="245">
        <f t="array" ref="D55">SUM(IF((Budget[Account Code]=B55)*(Budget[Sort Code]=$G$4)*(Budget[Date]&lt;=$D$7),(Budget[Amount])))</f>
        <v>1512000</v>
      </c>
      <c r="E55" s="245">
        <f t="array" ref="E55">((SUM(IF((CkDJ[Sort Code]=(TRIM(G$4)))*(CkDJ[Account Code]=(TRIM($B55)))*(CkDJ[Date]&lt;=$E$7),CkDJ[Debit])))+(SUM(IF((CsDJ[Sort Code]=(TRIM(G$4)))*(CsDJ[Account Code]=(TRIM($B55)))*(CsDJ[Date]&lt;=$E$7),CsDJ[Debit])))+(SUM(IF((CRDJ[Sort Code]=(TRIM(G$4)))*(CRDJ[Account Code]=(TRIM($B55)))*(CRDJ[Date]&lt;=$E$7),CRDJ[Debit])))+(SUM(IF((GJ[Sort Code]=(TRIM(G$4)))*(GJ[Account Code]=(TRIM($B55)))*(GJ[Date]&lt;=$E$7),GJ[Debit]))))-((SUM(IF((CkDJ[Sort Code]=(TRIM(G$4)))*(CkDJ[Account Code]=(TRIM($B55)))*(CkDJ[Date]&lt;=$E$7),CkDJ[Credit])))+(SUM(IF((CsDJ[Sort Code]=(TRIM(G$4)))*(CsDJ[Account Code]=(TRIM($B55)))*(CsDJ[Date]&lt;=$E$7),CsDJ[Credit])))+(SUM(IF((CRDJ[Sort Code]=(TRIM(G$4)))*(CRDJ[Account Code]=(TRIM($B55)))*(CRDJ[Date]&lt;=$E$7),CRDJ[Credit])))+(SUM(IF((GJ[Sort Code]=(TRIM(G$4)))*(GJ[Account Code]=(TRIM($B55)))*(GJ[Date]&lt;=$E$7),GJ[Credit]))))</f>
        <v>0</v>
      </c>
      <c r="F55" s="245">
        <f t="array" ref="F55">((SUM(IF((CkDJ[Date]=$A$3)*(CkDJ[Sort Code]=(TRIM(G$4)))*(CkDJ[Account Code]=(TRIM($B55))),CkDJ[Debit])))+(SUM(IF((CsDJ[Date]=$A$3)*(CsDJ[Sort Code]=(TRIM(G$4)))*(CsDJ[Account Code]=(TRIM($B55))),CsDJ[Debit])))+(SUM(IF((CRDJ[Date]=$A$3)*(CRDJ[Sort Code]=(TRIM(G$4)))*(CRDJ[Account Code]=(TRIM($B55))),CRDJ[Debit])))+(SUM(IF((GJ[Date]=$A$3)*(GJ[Sort Code]=(TRIM(G$4)))*(GJ[Account Code]=(TRIM($B55))),GJ[Debit]))))-((SUM(IF((CkDJ[Date]=$A$3)*(CkDJ[Sort Code]=(TRIM(G$4)))*(CkDJ[Account Code]=(TRIM($B55))),CkDJ[Credit])))+(SUM(IF((CsDJ[Date]=$A$3)*(CsDJ[Sort Code]=(TRIM(G$4)))*(CsDJ[Account Code]=(TRIM($B55))),CsDJ[Credit])))+(SUM(IF((CRDJ[Date]=$A$3)*(CRDJ[Sort Code]=(TRIM(G$4)))*(CRDJ[Account Code]=(TRIM($B55))),CRDJ[Credit])))+(SUM(IF((GJ[Date]=$A$3)*(GJ[Sort Code]=(TRIM(G$4)))*(GJ[Account Code]=(TRIM($B55))),GJ[Credit]))))</f>
        <v>0</v>
      </c>
      <c r="G55" s="343">
        <f t="shared" si="7"/>
        <v>0</v>
      </c>
      <c r="H55" s="246">
        <f t="shared" si="5"/>
        <v>-1512000</v>
      </c>
      <c r="I55" s="246">
        <f t="shared" si="6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Code]=B56)*(Budget[Sort Code]=$G$4),(Budget[Amount])))</f>
        <v>120000</v>
      </c>
      <c r="D56" s="245">
        <f t="array" ref="D56">SUM(IF((Budget[Account Code]=B56)*(Budget[Sort Code]=$G$4)*(Budget[Date]&lt;=$D$7),(Budget[Amount])))</f>
        <v>120000</v>
      </c>
      <c r="E56" s="245">
        <f t="array" ref="E56">((SUM(IF((CkDJ[Sort Code]=(TRIM(G$4)))*(CkDJ[Account Code]=(TRIM($B56)))*(CkDJ[Date]&lt;=$E$7),CkDJ[Debit])))+(SUM(IF((CsDJ[Sort Code]=(TRIM(G$4)))*(CsDJ[Account Code]=(TRIM($B56)))*(CsDJ[Date]&lt;=$E$7),CsDJ[Debit])))+(SUM(IF((CRDJ[Sort Code]=(TRIM(G$4)))*(CRDJ[Account Code]=(TRIM($B56)))*(CRDJ[Date]&lt;=$E$7),CRDJ[Debit])))+(SUM(IF((GJ[Sort Code]=(TRIM(G$4)))*(GJ[Account Code]=(TRIM($B56)))*(GJ[Date]&lt;=$E$7),GJ[Debit]))))-((SUM(IF((CkDJ[Sort Code]=(TRIM(G$4)))*(CkDJ[Account Code]=(TRIM($B56)))*(CkDJ[Date]&lt;=$E$7),CkDJ[Credit])))+(SUM(IF((CsDJ[Sort Code]=(TRIM(G$4)))*(CsDJ[Account Code]=(TRIM($B56)))*(CsDJ[Date]&lt;=$E$7),CsDJ[Credit])))+(SUM(IF((CRDJ[Sort Code]=(TRIM(G$4)))*(CRDJ[Account Code]=(TRIM($B56)))*(CRDJ[Date]&lt;=$E$7),CRDJ[Credit])))+(SUM(IF((GJ[Sort Code]=(TRIM(G$4)))*(GJ[Account Code]=(TRIM($B56)))*(GJ[Date]&lt;=$E$7),GJ[Credit]))))</f>
        <v>0</v>
      </c>
      <c r="F56" s="245">
        <f t="array" ref="F56">((SUM(IF((CkDJ[Date]=$A$3)*(CkDJ[Sort Code]=(TRIM(G$4)))*(CkDJ[Account Code]=(TRIM($B56))),CkDJ[Debit])))+(SUM(IF((CsDJ[Date]=$A$3)*(CsDJ[Sort Code]=(TRIM(G$4)))*(CsDJ[Account Code]=(TRIM($B56))),CsDJ[Debit])))+(SUM(IF((CRDJ[Date]=$A$3)*(CRDJ[Sort Code]=(TRIM(G$4)))*(CRDJ[Account Code]=(TRIM($B56))),CRDJ[Debit])))+(SUM(IF((GJ[Date]=$A$3)*(GJ[Sort Code]=(TRIM(G$4)))*(GJ[Account Code]=(TRIM($B56))),GJ[Debit]))))-((SUM(IF((CkDJ[Date]=$A$3)*(CkDJ[Sort Code]=(TRIM(G$4)))*(CkDJ[Account Code]=(TRIM($B56))),CkDJ[Credit])))+(SUM(IF((CsDJ[Date]=$A$3)*(CsDJ[Sort Code]=(TRIM(G$4)))*(CsDJ[Account Code]=(TRIM($B56))),CsDJ[Credit])))+(SUM(IF((CRDJ[Date]=$A$3)*(CRDJ[Sort Code]=(TRIM(G$4)))*(CRDJ[Account Code]=(TRIM($B56))),CRDJ[Credit])))+(SUM(IF((GJ[Date]=$A$3)*(GJ[Sort Code]=(TRIM(G$4)))*(GJ[Account Code]=(TRIM($B56))),GJ[Credit]))))</f>
        <v>0</v>
      </c>
      <c r="G56" s="343">
        <f t="shared" si="7"/>
        <v>0</v>
      </c>
      <c r="H56" s="246">
        <f t="shared" si="5"/>
        <v>-120000</v>
      </c>
      <c r="I56" s="246">
        <f t="shared" si="6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Code]=B57)*(Budget[Sort Code]=$G$4),(Budget[Amount])))</f>
        <v>0</v>
      </c>
      <c r="D57" s="245">
        <f t="array" ref="D57">SUM(IF((Budget[Account Code]=B57)*(Budget[Sort Code]=$G$4)*(Budget[Date]&lt;=$D$7),(Budget[Amount])))</f>
        <v>0</v>
      </c>
      <c r="E57" s="245">
        <f t="array" ref="E57">((SUM(IF((CkDJ[Sort Code]=(TRIM(G$4)))*(CkDJ[Account Code]=(TRIM($B57)))*(CkDJ[Date]&lt;=$E$7),CkDJ[Debit])))+(SUM(IF((CsDJ[Sort Code]=(TRIM(G$4)))*(CsDJ[Account Code]=(TRIM($B57)))*(CsDJ[Date]&lt;=$E$7),CsDJ[Debit])))+(SUM(IF((CRDJ[Sort Code]=(TRIM(G$4)))*(CRDJ[Account Code]=(TRIM($B57)))*(CRDJ[Date]&lt;=$E$7),CRDJ[Debit])))+(SUM(IF((GJ[Sort Code]=(TRIM(G$4)))*(GJ[Account Code]=(TRIM($B57)))*(GJ[Date]&lt;=$E$7),GJ[Debit]))))-((SUM(IF((CkDJ[Sort Code]=(TRIM(G$4)))*(CkDJ[Account Code]=(TRIM($B57)))*(CkDJ[Date]&lt;=$E$7),CkDJ[Credit])))+(SUM(IF((CsDJ[Sort Code]=(TRIM(G$4)))*(CsDJ[Account Code]=(TRIM($B57)))*(CsDJ[Date]&lt;=$E$7),CsDJ[Credit])))+(SUM(IF((CRDJ[Sort Code]=(TRIM(G$4)))*(CRDJ[Account Code]=(TRIM($B57)))*(CRDJ[Date]&lt;=$E$7),CRDJ[Credit])))+(SUM(IF((GJ[Sort Code]=(TRIM(G$4)))*(GJ[Account Code]=(TRIM($B57)))*(GJ[Date]&lt;=$E$7),GJ[Credit]))))</f>
        <v>0</v>
      </c>
      <c r="F57" s="245">
        <f t="array" ref="F57">((SUM(IF((CkDJ[Date]=$A$3)*(CkDJ[Sort Code]=(TRIM(G$4)))*(CkDJ[Account Code]=(TRIM($B57))),CkDJ[Debit])))+(SUM(IF((CsDJ[Date]=$A$3)*(CsDJ[Sort Code]=(TRIM(G$4)))*(CsDJ[Account Code]=(TRIM($B57))),CsDJ[Debit])))+(SUM(IF((CRDJ[Date]=$A$3)*(CRDJ[Sort Code]=(TRIM(G$4)))*(CRDJ[Account Code]=(TRIM($B57))),CRDJ[Debit])))+(SUM(IF((GJ[Date]=$A$3)*(GJ[Sort Code]=(TRIM(G$4)))*(GJ[Account Code]=(TRIM($B57))),GJ[Debit]))))-((SUM(IF((CkDJ[Date]=$A$3)*(CkDJ[Sort Code]=(TRIM(G$4)))*(CkDJ[Account Code]=(TRIM($B57))),CkDJ[Credit])))+(SUM(IF((CsDJ[Date]=$A$3)*(CsDJ[Sort Code]=(TRIM(G$4)))*(CsDJ[Account Code]=(TRIM($B57))),CsDJ[Credit])))+(SUM(IF((CRDJ[Date]=$A$3)*(CRDJ[Sort Code]=(TRIM(G$4)))*(CRDJ[Account Code]=(TRIM($B57))),CRDJ[Credit])))+(SUM(IF((GJ[Date]=$A$3)*(GJ[Sort Code]=(TRIM(G$4)))*(GJ[Account Code]=(TRIM($B57))),GJ[Credit]))))</f>
        <v>0</v>
      </c>
      <c r="G57" s="343">
        <f t="shared" si="7"/>
        <v>0</v>
      </c>
      <c r="H57" s="246">
        <f t="shared" si="5"/>
        <v>0</v>
      </c>
      <c r="I57" s="246">
        <f t="shared" si="6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Code]=B58)*(Budget[Sort Code]=$G$4),(Budget[Amount])))</f>
        <v>328000</v>
      </c>
      <c r="D58" s="245">
        <f t="array" ref="D58">SUM(IF((Budget[Account Code]=B58)*(Budget[Sort Code]=$G$4)*(Budget[Date]&lt;=$D$7),(Budget[Amount])))</f>
        <v>328000</v>
      </c>
      <c r="E58" s="245">
        <f t="array" ref="E58">((SUM(IF((CkDJ[Sort Code]=(TRIM(G$4)))*(CkDJ[Account Code]=(TRIM($B58)))*(CkDJ[Date]&lt;=$E$7),CkDJ[Debit])))+(SUM(IF((CsDJ[Sort Code]=(TRIM(G$4)))*(CsDJ[Account Code]=(TRIM($B58)))*(CsDJ[Date]&lt;=$E$7),CsDJ[Debit])))+(SUM(IF((CRDJ[Sort Code]=(TRIM(G$4)))*(CRDJ[Account Code]=(TRIM($B58)))*(CRDJ[Date]&lt;=$E$7),CRDJ[Debit])))+(SUM(IF((GJ[Sort Code]=(TRIM(G$4)))*(GJ[Account Code]=(TRIM($B58)))*(GJ[Date]&lt;=$E$7),GJ[Debit]))))-((SUM(IF((CkDJ[Sort Code]=(TRIM(G$4)))*(CkDJ[Account Code]=(TRIM($B58)))*(CkDJ[Date]&lt;=$E$7),CkDJ[Credit])))+(SUM(IF((CsDJ[Sort Code]=(TRIM(G$4)))*(CsDJ[Account Code]=(TRIM($B58)))*(CsDJ[Date]&lt;=$E$7),CsDJ[Credit])))+(SUM(IF((CRDJ[Sort Code]=(TRIM(G$4)))*(CRDJ[Account Code]=(TRIM($B58)))*(CRDJ[Date]&lt;=$E$7),CRDJ[Credit])))+(SUM(IF((GJ[Sort Code]=(TRIM(G$4)))*(GJ[Account Code]=(TRIM($B58)))*(GJ[Date]&lt;=$E$7),GJ[Credit]))))</f>
        <v>0</v>
      </c>
      <c r="F58" s="245">
        <f t="array" ref="F58">((SUM(IF((CkDJ[Date]=$A$3)*(CkDJ[Sort Code]=(TRIM(G$4)))*(CkDJ[Account Code]=(TRIM($B58))),CkDJ[Debit])))+(SUM(IF((CsDJ[Date]=$A$3)*(CsDJ[Sort Code]=(TRIM(G$4)))*(CsDJ[Account Code]=(TRIM($B58))),CsDJ[Debit])))+(SUM(IF((CRDJ[Date]=$A$3)*(CRDJ[Sort Code]=(TRIM(G$4)))*(CRDJ[Account Code]=(TRIM($B58))),CRDJ[Debit])))+(SUM(IF((GJ[Date]=$A$3)*(GJ[Sort Code]=(TRIM(G$4)))*(GJ[Account Code]=(TRIM($B58))),GJ[Debit]))))-((SUM(IF((CkDJ[Date]=$A$3)*(CkDJ[Sort Code]=(TRIM(G$4)))*(CkDJ[Account Code]=(TRIM($B58))),CkDJ[Credit])))+(SUM(IF((CsDJ[Date]=$A$3)*(CsDJ[Sort Code]=(TRIM(G$4)))*(CsDJ[Account Code]=(TRIM($B58))),CsDJ[Credit])))+(SUM(IF((CRDJ[Date]=$A$3)*(CRDJ[Sort Code]=(TRIM(G$4)))*(CRDJ[Account Code]=(TRIM($B58))),CRDJ[Credit])))+(SUM(IF((GJ[Date]=$A$3)*(GJ[Sort Code]=(TRIM(G$4)))*(GJ[Account Code]=(TRIM($B58))),GJ[Credit]))))</f>
        <v>0</v>
      </c>
      <c r="G58" s="343">
        <f>E58+F58</f>
        <v>0</v>
      </c>
      <c r="H58" s="246">
        <f t="shared" si="5"/>
        <v>-328000</v>
      </c>
      <c r="I58" s="246">
        <f t="shared" si="6"/>
        <v>0</v>
      </c>
    </row>
    <row r="59" spans="1:9" hidden="1" x14ac:dyDescent="0.2">
      <c r="A59" s="247" t="s">
        <v>1476</v>
      </c>
      <c r="B59" s="339" t="s">
        <v>1262</v>
      </c>
      <c r="C59" s="245">
        <f t="array" ref="C59">SUM(IF((Budget[Account Code]=B59)*(Budget[Sort Code]=$G$4),(Budget[Amount])))</f>
        <v>0</v>
      </c>
      <c r="D59" s="245">
        <f t="array" ref="D59">SUM(IF((Budget[Account Code]=B59)*(Budget[Sort Code]=$G$4)*(Budget[Date]&lt;=$D$7),(Budget[Amount])))</f>
        <v>0</v>
      </c>
      <c r="E59" s="245">
        <f t="array" ref="E59">((SUM(IF((CkDJ[Sort Code]=(TRIM(G$4)))*(CkDJ[Account Code]=(TRIM($B59)))*(CkDJ[Date]&lt;=$E$7),CkDJ[Debit])))+(SUM(IF((CsDJ[Sort Code]=(TRIM(G$4)))*(CsDJ[Account Code]=(TRIM($B59)))*(CsDJ[Date]&lt;=$E$7),CsDJ[Debit])))+(SUM(IF((CRDJ[Sort Code]=(TRIM(G$4)))*(CRDJ[Account Code]=(TRIM($B59)))*(CRDJ[Date]&lt;=$E$7),CRDJ[Debit])))+(SUM(IF((GJ[Sort Code]=(TRIM(G$4)))*(GJ[Account Code]=(TRIM($B59)))*(GJ[Date]&lt;=$E$7),GJ[Debit]))))-((SUM(IF((CkDJ[Sort Code]=(TRIM(G$4)))*(CkDJ[Account Code]=(TRIM($B59)))*(CkDJ[Date]&lt;=$E$7),CkDJ[Credit])))+(SUM(IF((CsDJ[Sort Code]=(TRIM(G$4)))*(CsDJ[Account Code]=(TRIM($B59)))*(CsDJ[Date]&lt;=$E$7),CsDJ[Credit])))+(SUM(IF((CRDJ[Sort Code]=(TRIM(G$4)))*(CRDJ[Account Code]=(TRIM($B59)))*(CRDJ[Date]&lt;=$E$7),CRDJ[Credit])))+(SUM(IF((GJ[Sort Code]=(TRIM(G$4)))*(GJ[Account Code]=(TRIM($B59)))*(GJ[Date]&lt;=$E$7),GJ[Credit]))))</f>
        <v>0</v>
      </c>
      <c r="F59" s="245">
        <f t="array" ref="F59">((SUM(IF((CkDJ[Date]=$A$3)*(CkDJ[Sort Code]=(TRIM(G$4)))*(CkDJ[Account Code]=(TRIM($B59))),CkDJ[Debit])))+(SUM(IF((CsDJ[Date]=$A$3)*(CsDJ[Sort Code]=(TRIM(G$4)))*(CsDJ[Account Code]=(TRIM($B59))),CsDJ[Debit])))+(SUM(IF((CRDJ[Date]=$A$3)*(CRDJ[Sort Code]=(TRIM(G$4)))*(CRDJ[Account Code]=(TRIM($B59))),CRDJ[Debit])))+(SUM(IF((GJ[Date]=$A$3)*(GJ[Sort Code]=(TRIM(G$4)))*(GJ[Account Code]=(TRIM($B59))),GJ[Debit]))))-((SUM(IF((CkDJ[Date]=$A$3)*(CkDJ[Sort Code]=(TRIM(G$4)))*(CkDJ[Account Code]=(TRIM($B59))),CkDJ[Credit])))+(SUM(IF((CsDJ[Date]=$A$3)*(CsDJ[Sort Code]=(TRIM(G$4)))*(CsDJ[Account Code]=(TRIM($B59))),CsDJ[Credit])))+(SUM(IF((CRDJ[Date]=$A$3)*(CRDJ[Sort Code]=(TRIM(G$4)))*(CRDJ[Account Code]=(TRIM($B59))),CRDJ[Credit])))+(SUM(IF((GJ[Date]=$A$3)*(GJ[Sort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Code]=B60)*(Budget[Sort Code]=$G$4),(Budget[Amount])))</f>
        <v>0</v>
      </c>
      <c r="D60" s="245">
        <f t="array" ref="D60">SUM(IF((Budget[Account Code]=B60)*(Budget[Sort Code]=$G$4)*(Budget[Date]&lt;=$D$7),(Budget[Amount])))</f>
        <v>0</v>
      </c>
      <c r="E60" s="245">
        <f t="array" ref="E60">((SUM(IF((CkDJ[Sort Code]=(TRIM(G$4)))*(CkDJ[Account Code]=(TRIM($B60)))*(CkDJ[Date]&lt;=$E$7),CkDJ[Debit])))+(SUM(IF((CsDJ[Sort Code]=(TRIM(G$4)))*(CsDJ[Account Code]=(TRIM($B60)))*(CsDJ[Date]&lt;=$E$7),CsDJ[Debit])))+(SUM(IF((CRDJ[Sort Code]=(TRIM(G$4)))*(CRDJ[Account Code]=(TRIM($B60)))*(CRDJ[Date]&lt;=$E$7),CRDJ[Debit])))+(SUM(IF((GJ[Sort Code]=(TRIM(G$4)))*(GJ[Account Code]=(TRIM($B60)))*(GJ[Date]&lt;=$E$7),GJ[Debit]))))-((SUM(IF((CkDJ[Sort Code]=(TRIM(G$4)))*(CkDJ[Account Code]=(TRIM($B60)))*(CkDJ[Date]&lt;=$E$7),CkDJ[Credit])))+(SUM(IF((CsDJ[Sort Code]=(TRIM(G$4)))*(CsDJ[Account Code]=(TRIM($B60)))*(CsDJ[Date]&lt;=$E$7),CsDJ[Credit])))+(SUM(IF((CRDJ[Sort Code]=(TRIM(G$4)))*(CRDJ[Account Code]=(TRIM($B60)))*(CRDJ[Date]&lt;=$E$7),CRDJ[Credit])))+(SUM(IF((GJ[Sort Code]=(TRIM(G$4)))*(GJ[Account Code]=(TRIM($B60)))*(GJ[Date]&lt;=$E$7),GJ[Credit]))))</f>
        <v>0</v>
      </c>
      <c r="F60" s="245">
        <f t="array" ref="F60">((SUM(IF((CkDJ[Date]=$A$3)*(CkDJ[Sort Code]=(TRIM(G$4)))*(CkDJ[Account Code]=(TRIM($B60))),CkDJ[Debit])))+(SUM(IF((CsDJ[Date]=$A$3)*(CsDJ[Sort Code]=(TRIM(G$4)))*(CsDJ[Account Code]=(TRIM($B60))),CsDJ[Debit])))+(SUM(IF((CRDJ[Date]=$A$3)*(CRDJ[Sort Code]=(TRIM(G$4)))*(CRDJ[Account Code]=(TRIM($B60))),CRDJ[Debit])))+(SUM(IF((GJ[Date]=$A$3)*(GJ[Sort Code]=(TRIM(G$4)))*(GJ[Account Code]=(TRIM($B60))),GJ[Debit]))))-((SUM(IF((CkDJ[Date]=$A$3)*(CkDJ[Sort Code]=(TRIM(G$4)))*(CkDJ[Account Code]=(TRIM($B60))),CkDJ[Credit])))+(SUM(IF((CsDJ[Date]=$A$3)*(CsDJ[Sort Code]=(TRIM(G$4)))*(CsDJ[Account Code]=(TRIM($B60))),CsDJ[Credit])))+(SUM(IF((CRDJ[Date]=$A$3)*(CRDJ[Sort Code]=(TRIM(G$4)))*(CRDJ[Account Code]=(TRIM($B60))),CRDJ[Credit])))+(SUM(IF((GJ[Date]=$A$3)*(GJ[Sort Code]=(TRIM(G$4)))*(GJ[Account Code]=(TRIM($B60))),GJ[Credit]))))</f>
        <v>0</v>
      </c>
      <c r="G60" s="343">
        <f t="shared" ref="G60:G74" si="8">E60+F60</f>
        <v>0</v>
      </c>
      <c r="H60" s="246">
        <f t="shared" si="5"/>
        <v>0</v>
      </c>
      <c r="I60" s="246">
        <f t="shared" si="6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Code]=B61)*(Budget[Sort Code]=$G$4),(Budget[Amount])))</f>
        <v>36000</v>
      </c>
      <c r="D61" s="245">
        <f t="array" ref="D61">SUM(IF((Budget[Account Code]=B61)*(Budget[Sort Code]=$G$4)*(Budget[Date]&lt;=$D$7),(Budget[Amount])))</f>
        <v>36000</v>
      </c>
      <c r="E61" s="245">
        <f t="array" ref="E61">((SUM(IF((CkDJ[Sort Code]=(TRIM(G$4)))*(CkDJ[Account Code]=(TRIM($B61)))*(CkDJ[Date]&lt;=$E$7),CkDJ[Debit])))+(SUM(IF((CsDJ[Sort Code]=(TRIM(G$4)))*(CsDJ[Account Code]=(TRIM($B61)))*(CsDJ[Date]&lt;=$E$7),CsDJ[Debit])))+(SUM(IF((CRDJ[Sort Code]=(TRIM(G$4)))*(CRDJ[Account Code]=(TRIM($B61)))*(CRDJ[Date]&lt;=$E$7),CRDJ[Debit])))+(SUM(IF((GJ[Sort Code]=(TRIM(G$4)))*(GJ[Account Code]=(TRIM($B61)))*(GJ[Date]&lt;=$E$7),GJ[Debit]))))-((SUM(IF((CkDJ[Sort Code]=(TRIM(G$4)))*(CkDJ[Account Code]=(TRIM($B61)))*(CkDJ[Date]&lt;=$E$7),CkDJ[Credit])))+(SUM(IF((CsDJ[Sort Code]=(TRIM(G$4)))*(CsDJ[Account Code]=(TRIM($B61)))*(CsDJ[Date]&lt;=$E$7),CsDJ[Credit])))+(SUM(IF((CRDJ[Sort Code]=(TRIM(G$4)))*(CRDJ[Account Code]=(TRIM($B61)))*(CRDJ[Date]&lt;=$E$7),CRDJ[Credit])))+(SUM(IF((GJ[Sort Code]=(TRIM(G$4)))*(GJ[Account Code]=(TRIM($B61)))*(GJ[Date]&lt;=$E$7),GJ[Credit]))))</f>
        <v>0</v>
      </c>
      <c r="F61" s="245">
        <f t="array" ref="F61">((SUM(IF((CkDJ[Date]=$A$3)*(CkDJ[Sort Code]=(TRIM(G$4)))*(CkDJ[Account Code]=(TRIM($B61))),CkDJ[Debit])))+(SUM(IF((CsDJ[Date]=$A$3)*(CsDJ[Sort Code]=(TRIM(G$4)))*(CsDJ[Account Code]=(TRIM($B61))),CsDJ[Debit])))+(SUM(IF((CRDJ[Date]=$A$3)*(CRDJ[Sort Code]=(TRIM(G$4)))*(CRDJ[Account Code]=(TRIM($B61))),CRDJ[Debit])))+(SUM(IF((GJ[Date]=$A$3)*(GJ[Sort Code]=(TRIM(G$4)))*(GJ[Account Code]=(TRIM($B61))),GJ[Debit]))))-((SUM(IF((CkDJ[Date]=$A$3)*(CkDJ[Sort Code]=(TRIM(G$4)))*(CkDJ[Account Code]=(TRIM($B61))),CkDJ[Credit])))+(SUM(IF((CsDJ[Date]=$A$3)*(CsDJ[Sort Code]=(TRIM(G$4)))*(CsDJ[Account Code]=(TRIM($B61))),CsDJ[Credit])))+(SUM(IF((CRDJ[Date]=$A$3)*(CRDJ[Sort Code]=(TRIM(G$4)))*(CRDJ[Account Code]=(TRIM($B61))),CRDJ[Credit])))+(SUM(IF((GJ[Date]=$A$3)*(GJ[Sort Code]=(TRIM(G$4)))*(GJ[Account Code]=(TRIM($B61))),GJ[Credit]))))</f>
        <v>0</v>
      </c>
      <c r="G61" s="343">
        <f t="shared" si="8"/>
        <v>0</v>
      </c>
      <c r="H61" s="246">
        <f t="shared" si="5"/>
        <v>-36000</v>
      </c>
      <c r="I61" s="246">
        <f t="shared" si="6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Code]=B62)*(Budget[Sort Code]=$G$4),(Budget[Amount])))</f>
        <v>11880</v>
      </c>
      <c r="D62" s="245">
        <f t="array" ref="D62">SUM(IF((Budget[Account Code]=B62)*(Budget[Sort Code]=$G$4)*(Budget[Date]&lt;=$D$7),(Budget[Amount])))</f>
        <v>11880</v>
      </c>
      <c r="E62" s="245">
        <f t="array" ref="E62">((SUM(IF((CkDJ[Sort Code]=(TRIM(G$4)))*(CkDJ[Account Code]=(TRIM($B62)))*(CkDJ[Date]&lt;=$E$7),CkDJ[Debit])))+(SUM(IF((CsDJ[Sort Code]=(TRIM(G$4)))*(CsDJ[Account Code]=(TRIM($B62)))*(CsDJ[Date]&lt;=$E$7),CsDJ[Debit])))+(SUM(IF((CRDJ[Sort Code]=(TRIM(G$4)))*(CRDJ[Account Code]=(TRIM($B62)))*(CRDJ[Date]&lt;=$E$7),CRDJ[Debit])))+(SUM(IF((GJ[Sort Code]=(TRIM(G$4)))*(GJ[Account Code]=(TRIM($B62)))*(GJ[Date]&lt;=$E$7),GJ[Debit]))))-((SUM(IF((CkDJ[Sort Code]=(TRIM(G$4)))*(CkDJ[Account Code]=(TRIM($B62)))*(CkDJ[Date]&lt;=$E$7),CkDJ[Credit])))+(SUM(IF((CsDJ[Sort Code]=(TRIM(G$4)))*(CsDJ[Account Code]=(TRIM($B62)))*(CsDJ[Date]&lt;=$E$7),CsDJ[Credit])))+(SUM(IF((CRDJ[Sort Code]=(TRIM(G$4)))*(CRDJ[Account Code]=(TRIM($B62)))*(CRDJ[Date]&lt;=$E$7),CRDJ[Credit])))+(SUM(IF((GJ[Sort Code]=(TRIM(G$4)))*(GJ[Account Code]=(TRIM($B62)))*(GJ[Date]&lt;=$E$7),GJ[Credit]))))</f>
        <v>0</v>
      </c>
      <c r="F62" s="245">
        <f t="array" ref="F62">((SUM(IF((CkDJ[Date]=$A$3)*(CkDJ[Sort Code]=(TRIM(G$4)))*(CkDJ[Account Code]=(TRIM($B62))),CkDJ[Debit])))+(SUM(IF((CsDJ[Date]=$A$3)*(CsDJ[Sort Code]=(TRIM(G$4)))*(CsDJ[Account Code]=(TRIM($B62))),CsDJ[Debit])))+(SUM(IF((CRDJ[Date]=$A$3)*(CRDJ[Sort Code]=(TRIM(G$4)))*(CRDJ[Account Code]=(TRIM($B62))),CRDJ[Debit])))+(SUM(IF((GJ[Date]=$A$3)*(GJ[Sort Code]=(TRIM(G$4)))*(GJ[Account Code]=(TRIM($B62))),GJ[Debit]))))-((SUM(IF((CkDJ[Date]=$A$3)*(CkDJ[Sort Code]=(TRIM(G$4)))*(CkDJ[Account Code]=(TRIM($B62))),CkDJ[Credit])))+(SUM(IF((CsDJ[Date]=$A$3)*(CsDJ[Sort Code]=(TRIM(G$4)))*(CsDJ[Account Code]=(TRIM($B62))),CsDJ[Credit])))+(SUM(IF((CRDJ[Date]=$A$3)*(CRDJ[Sort Code]=(TRIM(G$4)))*(CRDJ[Account Code]=(TRIM($B62))),CRDJ[Credit])))+(SUM(IF((GJ[Date]=$A$3)*(GJ[Sort Code]=(TRIM(G$4)))*(GJ[Account Code]=(TRIM($B62))),GJ[Credit]))))</f>
        <v>0</v>
      </c>
      <c r="G62" s="343">
        <f t="shared" si="8"/>
        <v>0</v>
      </c>
      <c r="H62" s="246">
        <f t="shared" si="5"/>
        <v>-11880</v>
      </c>
      <c r="I62" s="246">
        <f t="shared" si="6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Code]=B63)*(Budget[Sort Code]=$G$4),(Budget[Amount])))</f>
        <v>2160</v>
      </c>
      <c r="D63" s="245">
        <f t="array" ref="D63">SUM(IF((Budget[Account Code]=B63)*(Budget[Sort Code]=$G$4)*(Budget[Date]&lt;=$D$7),(Budget[Amount])))</f>
        <v>2160</v>
      </c>
      <c r="E63" s="245">
        <f t="array" ref="E63">((SUM(IF((CkDJ[Sort Code]=(TRIM(G$4)))*(CkDJ[Account Code]=(TRIM($B63)))*(CkDJ[Date]&lt;=$E$7),CkDJ[Debit])))+(SUM(IF((CsDJ[Sort Code]=(TRIM(G$4)))*(CsDJ[Account Code]=(TRIM($B63)))*(CsDJ[Date]&lt;=$E$7),CsDJ[Debit])))+(SUM(IF((CRDJ[Sort Code]=(TRIM(G$4)))*(CRDJ[Account Code]=(TRIM($B63)))*(CRDJ[Date]&lt;=$E$7),CRDJ[Debit])))+(SUM(IF((GJ[Sort Code]=(TRIM(G$4)))*(GJ[Account Code]=(TRIM($B63)))*(GJ[Date]&lt;=$E$7),GJ[Debit]))))-((SUM(IF((CkDJ[Sort Code]=(TRIM(G$4)))*(CkDJ[Account Code]=(TRIM($B63)))*(CkDJ[Date]&lt;=$E$7),CkDJ[Credit])))+(SUM(IF((CsDJ[Sort Code]=(TRIM(G$4)))*(CsDJ[Account Code]=(TRIM($B63)))*(CsDJ[Date]&lt;=$E$7),CsDJ[Credit])))+(SUM(IF((CRDJ[Sort Code]=(TRIM(G$4)))*(CRDJ[Account Code]=(TRIM($B63)))*(CRDJ[Date]&lt;=$E$7),CRDJ[Credit])))+(SUM(IF((GJ[Sort Code]=(TRIM(G$4)))*(GJ[Account Code]=(TRIM($B63)))*(GJ[Date]&lt;=$E$7),GJ[Credit]))))</f>
        <v>0</v>
      </c>
      <c r="F63" s="245">
        <f t="array" ref="F63">((SUM(IF((CkDJ[Date]=$A$3)*(CkDJ[Sort Code]=(TRIM(G$4)))*(CkDJ[Account Code]=(TRIM($B63))),CkDJ[Debit])))+(SUM(IF((CsDJ[Date]=$A$3)*(CsDJ[Sort Code]=(TRIM(G$4)))*(CsDJ[Account Code]=(TRIM($B63))),CsDJ[Debit])))+(SUM(IF((CRDJ[Date]=$A$3)*(CRDJ[Sort Code]=(TRIM(G$4)))*(CRDJ[Account Code]=(TRIM($B63))),CRDJ[Debit])))+(SUM(IF((GJ[Date]=$A$3)*(GJ[Sort Code]=(TRIM(G$4)))*(GJ[Account Code]=(TRIM($B63))),GJ[Debit]))))-((SUM(IF((CkDJ[Date]=$A$3)*(CkDJ[Sort Code]=(TRIM(G$4)))*(CkDJ[Account Code]=(TRIM($B63))),CkDJ[Credit])))+(SUM(IF((CsDJ[Date]=$A$3)*(CsDJ[Sort Code]=(TRIM(G$4)))*(CsDJ[Account Code]=(TRIM($B63))),CsDJ[Credit])))+(SUM(IF((CRDJ[Date]=$A$3)*(CRDJ[Sort Code]=(TRIM(G$4)))*(CRDJ[Account Code]=(TRIM($B63))),CRDJ[Credit])))+(SUM(IF((GJ[Date]=$A$3)*(GJ[Sort Code]=(TRIM(G$4)))*(GJ[Account Code]=(TRIM($B63))),GJ[Credit]))))</f>
        <v>0</v>
      </c>
      <c r="G63" s="343">
        <f t="shared" si="8"/>
        <v>0</v>
      </c>
      <c r="H63" s="246">
        <f t="shared" si="5"/>
        <v>-2160</v>
      </c>
      <c r="I63" s="246">
        <f t="shared" si="6"/>
        <v>0</v>
      </c>
    </row>
    <row r="64" spans="1:9" x14ac:dyDescent="0.2">
      <c r="A64" s="247" t="s">
        <v>1378</v>
      </c>
      <c r="B64" s="339" t="s">
        <v>169</v>
      </c>
      <c r="C64" s="245">
        <f t="array" ref="C64">SUM(IF((Budget[Account Code]=B64)*(Budget[Sort Code]=$G$4),(Budget[Amount])))</f>
        <v>0</v>
      </c>
      <c r="D64" s="245">
        <f t="array" ref="D64">SUM(IF((Budget[Account Code]=B64)*(Budget[Sort Code]=$G$4)*(Budget[Date]&lt;=$D$7),(Budget[Amount])))</f>
        <v>0</v>
      </c>
      <c r="E64" s="245">
        <f t="array" ref="E64">((SUM(IF((CkDJ[Sort Code]=(TRIM(G$4)))*(CkDJ[Account Code]=(TRIM($B64)))*(CkDJ[Date]&lt;=$E$7),CkDJ[Debit])))+(SUM(IF((CsDJ[Sort Code]=(TRIM(G$4)))*(CsDJ[Account Code]=(TRIM($B64)))*(CsDJ[Date]&lt;=$E$7),CsDJ[Debit])))+(SUM(IF((CRDJ[Sort Code]=(TRIM(G$4)))*(CRDJ[Account Code]=(TRIM($B64)))*(CRDJ[Date]&lt;=$E$7),CRDJ[Debit])))+(SUM(IF((GJ[Sort Code]=(TRIM(G$4)))*(GJ[Account Code]=(TRIM($B64)))*(GJ[Date]&lt;=$E$7),GJ[Debit]))))-((SUM(IF((CkDJ[Sort Code]=(TRIM(G$4)))*(CkDJ[Account Code]=(TRIM($B64)))*(CkDJ[Date]&lt;=$E$7),CkDJ[Credit])))+(SUM(IF((CsDJ[Sort Code]=(TRIM(G$4)))*(CsDJ[Account Code]=(TRIM($B64)))*(CsDJ[Date]&lt;=$E$7),CsDJ[Credit])))+(SUM(IF((CRDJ[Sort Code]=(TRIM(G$4)))*(CRDJ[Account Code]=(TRIM($B64)))*(CRDJ[Date]&lt;=$E$7),CRDJ[Credit])))+(SUM(IF((GJ[Sort Code]=(TRIM(G$4)))*(GJ[Account Code]=(TRIM($B64)))*(GJ[Date]&lt;=$E$7),GJ[Credit]))))</f>
        <v>0</v>
      </c>
      <c r="F64" s="245">
        <f t="array" ref="F64">((SUM(IF((CkDJ[Date]=$A$3)*(CkDJ[Sort Code]=(TRIM(G$4)))*(CkDJ[Account Code]=(TRIM($B64))),CkDJ[Debit])))+(SUM(IF((CsDJ[Date]=$A$3)*(CsDJ[Sort Code]=(TRIM(G$4)))*(CsDJ[Account Code]=(TRIM($B64))),CsDJ[Debit])))+(SUM(IF((CRDJ[Date]=$A$3)*(CRDJ[Sort Code]=(TRIM(G$4)))*(CRDJ[Account Code]=(TRIM($B64))),CRDJ[Debit])))+(SUM(IF((GJ[Date]=$A$3)*(GJ[Sort Code]=(TRIM(G$4)))*(GJ[Account Code]=(TRIM($B64))),GJ[Debit]))))-((SUM(IF((CkDJ[Date]=$A$3)*(CkDJ[Sort Code]=(TRIM(G$4)))*(CkDJ[Account Code]=(TRIM($B64))),CkDJ[Credit])))+(SUM(IF((CsDJ[Date]=$A$3)*(CsDJ[Sort Code]=(TRIM(G$4)))*(CsDJ[Account Code]=(TRIM($B64))),CsDJ[Credit])))+(SUM(IF((CRDJ[Date]=$A$3)*(CRDJ[Sort Code]=(TRIM(G$4)))*(CRDJ[Account Code]=(TRIM($B64))),CRDJ[Credit])))+(SUM(IF((GJ[Date]=$A$3)*(GJ[Sort Code]=(TRIM(G$4)))*(GJ[Account Code]=(TRIM($B64))),GJ[Credit]))))</f>
        <v>0</v>
      </c>
      <c r="G64" s="343">
        <f t="shared" si="8"/>
        <v>0</v>
      </c>
      <c r="H64" s="246">
        <f t="shared" si="5"/>
        <v>0</v>
      </c>
      <c r="I64" s="246">
        <f t="shared" si="6"/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Code]=B65)*(Budget[Sort Code]=$G$4),(Budget[Amount])))</f>
        <v>300000</v>
      </c>
      <c r="D65" s="245">
        <f t="array" ref="D65">SUM(IF((Budget[Account Code]=B65)*(Budget[Sort Code]=$G$4)*(Budget[Date]&lt;=$D$7),(Budget[Amount])))</f>
        <v>300000</v>
      </c>
      <c r="E65" s="245">
        <f t="array" ref="E65">((SUM(IF((CkDJ[Sort Code]=(TRIM(G$4)))*(CkDJ[Account Code]=(TRIM($B65)))*(CkDJ[Date]&lt;=$E$7),CkDJ[Debit])))+(SUM(IF((CsDJ[Sort Code]=(TRIM(G$4)))*(CsDJ[Account Code]=(TRIM($B65)))*(CsDJ[Date]&lt;=$E$7),CsDJ[Debit])))+(SUM(IF((CRDJ[Sort Code]=(TRIM(G$4)))*(CRDJ[Account Code]=(TRIM($B65)))*(CRDJ[Date]&lt;=$E$7),CRDJ[Debit])))+(SUM(IF((GJ[Sort Code]=(TRIM(G$4)))*(GJ[Account Code]=(TRIM($B65)))*(GJ[Date]&lt;=$E$7),GJ[Debit]))))-((SUM(IF((CkDJ[Sort Code]=(TRIM(G$4)))*(CkDJ[Account Code]=(TRIM($B65)))*(CkDJ[Date]&lt;=$E$7),CkDJ[Credit])))+(SUM(IF((CsDJ[Sort Code]=(TRIM(G$4)))*(CsDJ[Account Code]=(TRIM($B65)))*(CsDJ[Date]&lt;=$E$7),CsDJ[Credit])))+(SUM(IF((CRDJ[Sort Code]=(TRIM(G$4)))*(CRDJ[Account Code]=(TRIM($B65)))*(CRDJ[Date]&lt;=$E$7),CRDJ[Credit])))+(SUM(IF((GJ[Sort Code]=(TRIM(G$4)))*(GJ[Account Code]=(TRIM($B65)))*(GJ[Date]&lt;=$E$7),GJ[Credit]))))</f>
        <v>0</v>
      </c>
      <c r="F65" s="245">
        <f t="array" ref="F65">((SUM(IF((CkDJ[Date]=$A$3)*(CkDJ[Sort Code]=(TRIM(G$4)))*(CkDJ[Account Code]=(TRIM($B65))),CkDJ[Debit])))+(SUM(IF((CsDJ[Date]=$A$3)*(CsDJ[Sort Code]=(TRIM(G$4)))*(CsDJ[Account Code]=(TRIM($B65))),CsDJ[Debit])))+(SUM(IF((CRDJ[Date]=$A$3)*(CRDJ[Sort Code]=(TRIM(G$4)))*(CRDJ[Account Code]=(TRIM($B65))),CRDJ[Debit])))+(SUM(IF((GJ[Date]=$A$3)*(GJ[Sort Code]=(TRIM(G$4)))*(GJ[Account Code]=(TRIM($B65))),GJ[Debit]))))-((SUM(IF((CkDJ[Date]=$A$3)*(CkDJ[Sort Code]=(TRIM(G$4)))*(CkDJ[Account Code]=(TRIM($B65))),CkDJ[Credit])))+(SUM(IF((CsDJ[Date]=$A$3)*(CsDJ[Sort Code]=(TRIM(G$4)))*(CsDJ[Account Code]=(TRIM($B65))),CsDJ[Credit])))+(SUM(IF((CRDJ[Date]=$A$3)*(CRDJ[Sort Code]=(TRIM(G$4)))*(CRDJ[Account Code]=(TRIM($B65))),CRDJ[Credit])))+(SUM(IF((GJ[Date]=$A$3)*(GJ[Sort Code]=(TRIM(G$4)))*(GJ[Account Code]=(TRIM($B65))),GJ[Credit]))))</f>
        <v>0</v>
      </c>
      <c r="G65" s="343">
        <f t="shared" si="8"/>
        <v>0</v>
      </c>
      <c r="H65" s="246">
        <f t="shared" si="5"/>
        <v>-300000</v>
      </c>
      <c r="I65" s="246">
        <f t="shared" si="6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Code]=B66)*(Budget[Sort Code]=$G$4),(Budget[Amount])))</f>
        <v>0</v>
      </c>
      <c r="D66" s="245">
        <f t="array" ref="D66">SUM(IF((Budget[Account Code]=B66)*(Budget[Sort Code]=$G$4)*(Budget[Date]&lt;=$D$7),(Budget[Amount])))</f>
        <v>0</v>
      </c>
      <c r="E66" s="245">
        <f t="array" ref="E66">((SUM(IF((CkDJ[Sort Code]=(TRIM(G$4)))*(CkDJ[Account Code]=(TRIM($B66)))*(CkDJ[Date]&lt;=$E$7),CkDJ[Debit])))+(SUM(IF((CsDJ[Sort Code]=(TRIM(G$4)))*(CsDJ[Account Code]=(TRIM($B66)))*(CsDJ[Date]&lt;=$E$7),CsDJ[Debit])))+(SUM(IF((CRDJ[Sort Code]=(TRIM(G$4)))*(CRDJ[Account Code]=(TRIM($B66)))*(CRDJ[Date]&lt;=$E$7),CRDJ[Debit])))+(SUM(IF((GJ[Sort Code]=(TRIM(G$4)))*(GJ[Account Code]=(TRIM($B66)))*(GJ[Date]&lt;=$E$7),GJ[Debit]))))-((SUM(IF((CkDJ[Sort Code]=(TRIM(G$4)))*(CkDJ[Account Code]=(TRIM($B66)))*(CkDJ[Date]&lt;=$E$7),CkDJ[Credit])))+(SUM(IF((CsDJ[Sort Code]=(TRIM(G$4)))*(CsDJ[Account Code]=(TRIM($B66)))*(CsDJ[Date]&lt;=$E$7),CsDJ[Credit])))+(SUM(IF((CRDJ[Sort Code]=(TRIM(G$4)))*(CRDJ[Account Code]=(TRIM($B66)))*(CRDJ[Date]&lt;=$E$7),CRDJ[Credit])))+(SUM(IF((GJ[Sort Code]=(TRIM(G$4)))*(GJ[Account Code]=(TRIM($B66)))*(GJ[Date]&lt;=$E$7),GJ[Credit]))))</f>
        <v>0</v>
      </c>
      <c r="F66" s="245">
        <f t="array" ref="F66">((SUM(IF((CkDJ[Date]=$A$3)*(CkDJ[Sort Code]=(TRIM(G$4)))*(CkDJ[Account Code]=(TRIM($B66))),CkDJ[Debit])))+(SUM(IF((CsDJ[Date]=$A$3)*(CsDJ[Sort Code]=(TRIM(G$4)))*(CsDJ[Account Code]=(TRIM($B66))),CsDJ[Debit])))+(SUM(IF((CRDJ[Date]=$A$3)*(CRDJ[Sort Code]=(TRIM(G$4)))*(CRDJ[Account Code]=(TRIM($B66))),CRDJ[Debit])))+(SUM(IF((GJ[Date]=$A$3)*(GJ[Sort Code]=(TRIM(G$4)))*(GJ[Account Code]=(TRIM($B66))),GJ[Debit]))))-((SUM(IF((CkDJ[Date]=$A$3)*(CkDJ[Sort Code]=(TRIM(G$4)))*(CkDJ[Account Code]=(TRIM($B66))),CkDJ[Credit])))+(SUM(IF((CsDJ[Date]=$A$3)*(CsDJ[Sort Code]=(TRIM(G$4)))*(CsDJ[Account Code]=(TRIM($B66))),CsDJ[Credit])))+(SUM(IF((CRDJ[Date]=$A$3)*(CRDJ[Sort Code]=(TRIM(G$4)))*(CRDJ[Account Code]=(TRIM($B66))),CRDJ[Credit])))+(SUM(IF((GJ[Date]=$A$3)*(GJ[Sort Code]=(TRIM(G$4)))*(GJ[Account Code]=(TRIM($B66))),GJ[Credit]))))</f>
        <v>0</v>
      </c>
      <c r="G66" s="343">
        <f t="shared" si="8"/>
        <v>0</v>
      </c>
      <c r="H66" s="246">
        <f t="shared" si="5"/>
        <v>0</v>
      </c>
      <c r="I66" s="246">
        <f t="shared" si="6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Code]=B67)*(Budget[Sort Code]=$G$4),(Budget[Amount])))</f>
        <v>365000</v>
      </c>
      <c r="D67" s="245">
        <f t="array" ref="D67">SUM(IF((Budget[Account Code]=B67)*(Budget[Sort Code]=$G$4)*(Budget[Date]&lt;=$D$7),(Budget[Amount])))</f>
        <v>365000</v>
      </c>
      <c r="E67" s="245">
        <f t="array" ref="E67">((SUM(IF((CkDJ[Sort Code]=(TRIM(G$4)))*(CkDJ[Account Code]=(TRIM($B67)))*(CkDJ[Date]&lt;=$E$7),CkDJ[Debit])))+(SUM(IF((CsDJ[Sort Code]=(TRIM(G$4)))*(CsDJ[Account Code]=(TRIM($B67)))*(CsDJ[Date]&lt;=$E$7),CsDJ[Debit])))+(SUM(IF((CRDJ[Sort Code]=(TRIM(G$4)))*(CRDJ[Account Code]=(TRIM($B67)))*(CRDJ[Date]&lt;=$E$7),CRDJ[Debit])))+(SUM(IF((GJ[Sort Code]=(TRIM(G$4)))*(GJ[Account Code]=(TRIM($B67)))*(GJ[Date]&lt;=$E$7),GJ[Debit]))))-((SUM(IF((CkDJ[Sort Code]=(TRIM(G$4)))*(CkDJ[Account Code]=(TRIM($B67)))*(CkDJ[Date]&lt;=$E$7),CkDJ[Credit])))+(SUM(IF((CsDJ[Sort Code]=(TRIM(G$4)))*(CsDJ[Account Code]=(TRIM($B67)))*(CsDJ[Date]&lt;=$E$7),CsDJ[Credit])))+(SUM(IF((CRDJ[Sort Code]=(TRIM(G$4)))*(CRDJ[Account Code]=(TRIM($B67)))*(CRDJ[Date]&lt;=$E$7),CRDJ[Credit])))+(SUM(IF((GJ[Sort Code]=(TRIM(G$4)))*(GJ[Account Code]=(TRIM($B67)))*(GJ[Date]&lt;=$E$7),GJ[Credit]))))</f>
        <v>0</v>
      </c>
      <c r="F67" s="245">
        <f t="array" ref="F67">((SUM(IF((CkDJ[Date]=$A$3)*(CkDJ[Sort Code]=(TRIM(G$4)))*(CkDJ[Account Code]=(TRIM($B67))),CkDJ[Debit])))+(SUM(IF((CsDJ[Date]=$A$3)*(CsDJ[Sort Code]=(TRIM(G$4)))*(CsDJ[Account Code]=(TRIM($B67))),CsDJ[Debit])))+(SUM(IF((CRDJ[Date]=$A$3)*(CRDJ[Sort Code]=(TRIM(G$4)))*(CRDJ[Account Code]=(TRIM($B67))),CRDJ[Debit])))+(SUM(IF((GJ[Date]=$A$3)*(GJ[Sort Code]=(TRIM(G$4)))*(GJ[Account Code]=(TRIM($B67))),GJ[Debit]))))-((SUM(IF((CkDJ[Date]=$A$3)*(CkDJ[Sort Code]=(TRIM(G$4)))*(CkDJ[Account Code]=(TRIM($B67))),CkDJ[Credit])))+(SUM(IF((CsDJ[Date]=$A$3)*(CsDJ[Sort Code]=(TRIM(G$4)))*(CsDJ[Account Code]=(TRIM($B67))),CsDJ[Credit])))+(SUM(IF((CRDJ[Date]=$A$3)*(CRDJ[Sort Code]=(TRIM(G$4)))*(CRDJ[Account Code]=(TRIM($B67))),CRDJ[Credit])))+(SUM(IF((GJ[Date]=$A$3)*(GJ[Sort Code]=(TRIM(G$4)))*(GJ[Account Code]=(TRIM($B67))),GJ[Credit]))))</f>
        <v>0</v>
      </c>
      <c r="G67" s="343">
        <f t="shared" si="8"/>
        <v>0</v>
      </c>
      <c r="H67" s="246">
        <f t="shared" si="5"/>
        <v>-365000</v>
      </c>
      <c r="I67" s="246">
        <f t="shared" si="6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Code]=B68)*(Budget[Sort Code]=$G$4),(Budget[Amount])))</f>
        <v>2737832</v>
      </c>
      <c r="D68" s="245">
        <f t="array" ref="D68">SUM(IF((Budget[Account Code]=B68)*(Budget[Sort Code]=$G$4)*(Budget[Date]&lt;=$D$7),(Budget[Amount])))</f>
        <v>2737832</v>
      </c>
      <c r="E68" s="245">
        <f t="array" ref="E68">((SUM(IF((CkDJ[Sort Code]=(TRIM(G$4)))*(CkDJ[Account Code]=(TRIM($B68)))*(CkDJ[Date]&lt;=$E$7),CkDJ[Debit])))+(SUM(IF((CsDJ[Sort Code]=(TRIM(G$4)))*(CsDJ[Account Code]=(TRIM($B68)))*(CsDJ[Date]&lt;=$E$7),CsDJ[Debit])))+(SUM(IF((CRDJ[Sort Code]=(TRIM(G$4)))*(CRDJ[Account Code]=(TRIM($B68)))*(CRDJ[Date]&lt;=$E$7),CRDJ[Debit])))+(SUM(IF((GJ[Sort Code]=(TRIM(G$4)))*(GJ[Account Code]=(TRIM($B68)))*(GJ[Date]&lt;=$E$7),GJ[Debit]))))-((SUM(IF((CkDJ[Sort Code]=(TRIM(G$4)))*(CkDJ[Account Code]=(TRIM($B68)))*(CkDJ[Date]&lt;=$E$7),CkDJ[Credit])))+(SUM(IF((CsDJ[Sort Code]=(TRIM(G$4)))*(CsDJ[Account Code]=(TRIM($B68)))*(CsDJ[Date]&lt;=$E$7),CsDJ[Credit])))+(SUM(IF((CRDJ[Sort Code]=(TRIM(G$4)))*(CRDJ[Account Code]=(TRIM($B68)))*(CRDJ[Date]&lt;=$E$7),CRDJ[Credit])))+(SUM(IF((GJ[Sort Code]=(TRIM(G$4)))*(GJ[Account Code]=(TRIM($B68)))*(GJ[Date]&lt;=$E$7),GJ[Credit]))))</f>
        <v>0</v>
      </c>
      <c r="F68" s="245">
        <f t="array" ref="F68">((SUM(IF((CkDJ[Date]=$A$3)*(CkDJ[Sort Code]=(TRIM(G$4)))*(CkDJ[Account Code]=(TRIM($B68))),CkDJ[Debit])))+(SUM(IF((CsDJ[Date]=$A$3)*(CsDJ[Sort Code]=(TRIM(G$4)))*(CsDJ[Account Code]=(TRIM($B68))),CsDJ[Debit])))+(SUM(IF((CRDJ[Date]=$A$3)*(CRDJ[Sort Code]=(TRIM(G$4)))*(CRDJ[Account Code]=(TRIM($B68))),CRDJ[Debit])))+(SUM(IF((GJ[Date]=$A$3)*(GJ[Sort Code]=(TRIM(G$4)))*(GJ[Account Code]=(TRIM($B68))),GJ[Debit]))))-((SUM(IF((CkDJ[Date]=$A$3)*(CkDJ[Sort Code]=(TRIM(G$4)))*(CkDJ[Account Code]=(TRIM($B68))),CkDJ[Credit])))+(SUM(IF((CsDJ[Date]=$A$3)*(CsDJ[Sort Code]=(TRIM(G$4)))*(CsDJ[Account Code]=(TRIM($B68))),CsDJ[Credit])))+(SUM(IF((CRDJ[Date]=$A$3)*(CRDJ[Sort Code]=(TRIM(G$4)))*(CRDJ[Account Code]=(TRIM($B68))),CRDJ[Credit])))+(SUM(IF((GJ[Date]=$A$3)*(GJ[Sort Code]=(TRIM(G$4)))*(GJ[Account Code]=(TRIM($B68))),GJ[Credit]))))</f>
        <v>0</v>
      </c>
      <c r="G68" s="343">
        <f t="shared" si="8"/>
        <v>0</v>
      </c>
      <c r="H68" s="246">
        <f t="shared" si="5"/>
        <v>-2737832</v>
      </c>
      <c r="I68" s="246">
        <f t="shared" si="6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Code]=B69)*(Budget[Sort Code]=$G$4),(Budget[Amount])))</f>
        <v>1971242.4</v>
      </c>
      <c r="D69" s="245">
        <f t="array" ref="D69">SUM(IF((Budget[Account Code]=B69)*(Budget[Sort Code]=$G$4)*(Budget[Date]&lt;=$D$7),(Budget[Amount])))</f>
        <v>1971242.4</v>
      </c>
      <c r="E69" s="245">
        <f t="array" ref="E69">((SUM(IF((CkDJ[Sort Code]=(TRIM(G$4)))*(CkDJ[Account Code]=(TRIM($B69)))*(CkDJ[Date]&lt;=$E$7),CkDJ[Debit])))+(SUM(IF((CsDJ[Sort Code]=(TRIM(G$4)))*(CsDJ[Account Code]=(TRIM($B69)))*(CsDJ[Date]&lt;=$E$7),CsDJ[Debit])))+(SUM(IF((CRDJ[Sort Code]=(TRIM(G$4)))*(CRDJ[Account Code]=(TRIM($B69)))*(CRDJ[Date]&lt;=$E$7),CRDJ[Debit])))+(SUM(IF((GJ[Sort Code]=(TRIM(G$4)))*(GJ[Account Code]=(TRIM($B69)))*(GJ[Date]&lt;=$E$7),GJ[Debit]))))-((SUM(IF((CkDJ[Sort Code]=(TRIM(G$4)))*(CkDJ[Account Code]=(TRIM($B69)))*(CkDJ[Date]&lt;=$E$7),CkDJ[Credit])))+(SUM(IF((CsDJ[Sort Code]=(TRIM(G$4)))*(CsDJ[Account Code]=(TRIM($B69)))*(CsDJ[Date]&lt;=$E$7),CsDJ[Credit])))+(SUM(IF((CRDJ[Sort Code]=(TRIM(G$4)))*(CRDJ[Account Code]=(TRIM($B69)))*(CRDJ[Date]&lt;=$E$7),CRDJ[Credit])))+(SUM(IF((GJ[Sort Code]=(TRIM(G$4)))*(GJ[Account Code]=(TRIM($B69)))*(GJ[Date]&lt;=$E$7),GJ[Credit]))))</f>
        <v>0</v>
      </c>
      <c r="F69" s="245">
        <f t="array" ref="F69">((SUM(IF((CkDJ[Date]=$A$3)*(CkDJ[Sort Code]=(TRIM(G$4)))*(CkDJ[Account Code]=(TRIM($B69))),CkDJ[Debit])))+(SUM(IF((CsDJ[Date]=$A$3)*(CsDJ[Sort Code]=(TRIM(G$4)))*(CsDJ[Account Code]=(TRIM($B69))),CsDJ[Debit])))+(SUM(IF((CRDJ[Date]=$A$3)*(CRDJ[Sort Code]=(TRIM(G$4)))*(CRDJ[Account Code]=(TRIM($B69))),CRDJ[Debit])))+(SUM(IF((GJ[Date]=$A$3)*(GJ[Sort Code]=(TRIM(G$4)))*(GJ[Account Code]=(TRIM($B69))),GJ[Debit]))))-((SUM(IF((CkDJ[Date]=$A$3)*(CkDJ[Sort Code]=(TRIM(G$4)))*(CkDJ[Account Code]=(TRIM($B69))),CkDJ[Credit])))+(SUM(IF((CsDJ[Date]=$A$3)*(CsDJ[Sort Code]=(TRIM(G$4)))*(CsDJ[Account Code]=(TRIM($B69))),CsDJ[Credit])))+(SUM(IF((CRDJ[Date]=$A$3)*(CRDJ[Sort Code]=(TRIM(G$4)))*(CRDJ[Account Code]=(TRIM($B69))),CRDJ[Credit])))+(SUM(IF((GJ[Date]=$A$3)*(GJ[Sort Code]=(TRIM(G$4)))*(GJ[Account Code]=(TRIM($B69))),GJ[Credit]))))</f>
        <v>0</v>
      </c>
      <c r="G69" s="343">
        <f t="shared" si="8"/>
        <v>0</v>
      </c>
      <c r="H69" s="246">
        <f t="shared" si="5"/>
        <v>-1971242.4</v>
      </c>
      <c r="I69" s="246">
        <f t="shared" si="6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Code]=B70)*(Budget[Sort Code]=$G$4),(Budget[Amount])))</f>
        <v>75720</v>
      </c>
      <c r="D70" s="245">
        <f t="array" ref="D70">SUM(IF((Budget[Account Code]=B70)*(Budget[Sort Code]=$G$4)*(Budget[Date]&lt;=$D$7),(Budget[Amount])))</f>
        <v>75720</v>
      </c>
      <c r="E70" s="245">
        <f t="array" ref="E70">((SUM(IF((CkDJ[Sort Code]=(TRIM(G$4)))*(CkDJ[Account Code]=(TRIM($B70)))*(CkDJ[Date]&lt;=$E$7),CkDJ[Debit])))+(SUM(IF((CsDJ[Sort Code]=(TRIM(G$4)))*(CsDJ[Account Code]=(TRIM($B70)))*(CsDJ[Date]&lt;=$E$7),CsDJ[Debit])))+(SUM(IF((CRDJ[Sort Code]=(TRIM(G$4)))*(CRDJ[Account Code]=(TRIM($B70)))*(CRDJ[Date]&lt;=$E$7),CRDJ[Debit])))+(SUM(IF((GJ[Sort Code]=(TRIM(G$4)))*(GJ[Account Code]=(TRIM($B70)))*(GJ[Date]&lt;=$E$7),GJ[Debit]))))-((SUM(IF((CkDJ[Sort Code]=(TRIM(G$4)))*(CkDJ[Account Code]=(TRIM($B70)))*(CkDJ[Date]&lt;=$E$7),CkDJ[Credit])))+(SUM(IF((CsDJ[Sort Code]=(TRIM(G$4)))*(CsDJ[Account Code]=(TRIM($B70)))*(CsDJ[Date]&lt;=$E$7),CsDJ[Credit])))+(SUM(IF((CRDJ[Sort Code]=(TRIM(G$4)))*(CRDJ[Account Code]=(TRIM($B70)))*(CRDJ[Date]&lt;=$E$7),CRDJ[Credit])))+(SUM(IF((GJ[Sort Code]=(TRIM(G$4)))*(GJ[Account Code]=(TRIM($B70)))*(GJ[Date]&lt;=$E$7),GJ[Credit]))))</f>
        <v>0</v>
      </c>
      <c r="F70" s="245">
        <f t="array" ref="F70">((SUM(IF((CkDJ[Date]=$A$3)*(CkDJ[Sort Code]=(TRIM(G$4)))*(CkDJ[Account Code]=(TRIM($B70))),CkDJ[Debit])))+(SUM(IF((CsDJ[Date]=$A$3)*(CsDJ[Sort Code]=(TRIM(G$4)))*(CsDJ[Account Code]=(TRIM($B70))),CsDJ[Debit])))+(SUM(IF((CRDJ[Date]=$A$3)*(CRDJ[Sort Code]=(TRIM(G$4)))*(CRDJ[Account Code]=(TRIM($B70))),CRDJ[Debit])))+(SUM(IF((GJ[Date]=$A$3)*(GJ[Sort Code]=(TRIM(G$4)))*(GJ[Account Code]=(TRIM($B70))),GJ[Debit]))))-((SUM(IF((CkDJ[Date]=$A$3)*(CkDJ[Sort Code]=(TRIM(G$4)))*(CkDJ[Account Code]=(TRIM($B70))),CkDJ[Credit])))+(SUM(IF((CsDJ[Date]=$A$3)*(CsDJ[Sort Code]=(TRIM(G$4)))*(CsDJ[Account Code]=(TRIM($B70))),CsDJ[Credit])))+(SUM(IF((CRDJ[Date]=$A$3)*(CRDJ[Sort Code]=(TRIM(G$4)))*(CRDJ[Account Code]=(TRIM($B70))),CRDJ[Credit])))+(SUM(IF((GJ[Date]=$A$3)*(GJ[Sort Code]=(TRIM(G$4)))*(GJ[Account Code]=(TRIM($B70))),GJ[Credit]))))</f>
        <v>0</v>
      </c>
      <c r="G70" s="343">
        <f t="shared" si="8"/>
        <v>0</v>
      </c>
      <c r="H70" s="246">
        <f t="shared" si="5"/>
        <v>-75720</v>
      </c>
      <c r="I70" s="246">
        <f t="shared" si="6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Code]=B71)*(Budget[Sort Code]=$G$4),(Budget[Amount])))</f>
        <v>212514</v>
      </c>
      <c r="D71" s="245">
        <f t="array" ref="D71">SUM(IF((Budget[Account Code]=B71)*(Budget[Sort Code]=$G$4)*(Budget[Date]&lt;=$D$7),(Budget[Amount])))</f>
        <v>212514</v>
      </c>
      <c r="E71" s="245">
        <f t="array" ref="E71">((SUM(IF((CkDJ[Sort Code]=(TRIM(G$4)))*(CkDJ[Account Code]=(TRIM($B71)))*(CkDJ[Date]&lt;=$E$7),CkDJ[Debit])))+(SUM(IF((CsDJ[Sort Code]=(TRIM(G$4)))*(CsDJ[Account Code]=(TRIM($B71)))*(CsDJ[Date]&lt;=$E$7),CsDJ[Debit])))+(SUM(IF((CRDJ[Sort Code]=(TRIM(G$4)))*(CRDJ[Account Code]=(TRIM($B71)))*(CRDJ[Date]&lt;=$E$7),CRDJ[Debit])))+(SUM(IF((GJ[Sort Code]=(TRIM(G$4)))*(GJ[Account Code]=(TRIM($B71)))*(GJ[Date]&lt;=$E$7),GJ[Debit]))))-((SUM(IF((CkDJ[Sort Code]=(TRIM(G$4)))*(CkDJ[Account Code]=(TRIM($B71)))*(CkDJ[Date]&lt;=$E$7),CkDJ[Credit])))+(SUM(IF((CsDJ[Sort Code]=(TRIM(G$4)))*(CsDJ[Account Code]=(TRIM($B71)))*(CsDJ[Date]&lt;=$E$7),CsDJ[Credit])))+(SUM(IF((CRDJ[Sort Code]=(TRIM(G$4)))*(CRDJ[Account Code]=(TRIM($B71)))*(CRDJ[Date]&lt;=$E$7),CRDJ[Credit])))+(SUM(IF((GJ[Sort Code]=(TRIM(G$4)))*(GJ[Account Code]=(TRIM($B71)))*(GJ[Date]&lt;=$E$7),GJ[Credit]))))</f>
        <v>0</v>
      </c>
      <c r="F71" s="245">
        <f t="array" ref="F71">((SUM(IF((CkDJ[Date]=$A$3)*(CkDJ[Sort Code]=(TRIM(G$4)))*(CkDJ[Account Code]=(TRIM($B71))),CkDJ[Debit])))+(SUM(IF((CsDJ[Date]=$A$3)*(CsDJ[Sort Code]=(TRIM(G$4)))*(CsDJ[Account Code]=(TRIM($B71))),CsDJ[Debit])))+(SUM(IF((CRDJ[Date]=$A$3)*(CRDJ[Sort Code]=(TRIM(G$4)))*(CRDJ[Account Code]=(TRIM($B71))),CRDJ[Debit])))+(SUM(IF((GJ[Date]=$A$3)*(GJ[Sort Code]=(TRIM(G$4)))*(GJ[Account Code]=(TRIM($B71))),GJ[Debit]))))-((SUM(IF((CkDJ[Date]=$A$3)*(CkDJ[Sort Code]=(TRIM(G$4)))*(CkDJ[Account Code]=(TRIM($B71))),CkDJ[Credit])))+(SUM(IF((CsDJ[Date]=$A$3)*(CsDJ[Sort Code]=(TRIM(G$4)))*(CsDJ[Account Code]=(TRIM($B71))),CsDJ[Credit])))+(SUM(IF((CRDJ[Date]=$A$3)*(CRDJ[Sort Code]=(TRIM(G$4)))*(CRDJ[Account Code]=(TRIM($B71))),CRDJ[Credit])))+(SUM(IF((GJ[Date]=$A$3)*(GJ[Sort Code]=(TRIM(G$4)))*(GJ[Account Code]=(TRIM($B71))),GJ[Credit]))))</f>
        <v>0</v>
      </c>
      <c r="G71" s="343">
        <f t="shared" si="8"/>
        <v>0</v>
      </c>
      <c r="H71" s="246">
        <f t="shared" si="5"/>
        <v>-212514</v>
      </c>
      <c r="I71" s="246">
        <f t="shared" si="6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Code]=B72)*(Budget[Sort Code]=$G$4),(Budget[Amount])))</f>
        <v>75720</v>
      </c>
      <c r="D72" s="245">
        <f t="array" ref="D72">SUM(IF((Budget[Account Code]=B72)*(Budget[Sort Code]=$G$4)*(Budget[Date]&lt;=$D$7),(Budget[Amount])))</f>
        <v>75720</v>
      </c>
      <c r="E72" s="245">
        <f t="array" ref="E72">((SUM(IF((CkDJ[Sort Code]=(TRIM(G$4)))*(CkDJ[Account Code]=(TRIM($B72)))*(CkDJ[Date]&lt;=$E$7),CkDJ[Debit])))+(SUM(IF((CsDJ[Sort Code]=(TRIM(G$4)))*(CsDJ[Account Code]=(TRIM($B72)))*(CsDJ[Date]&lt;=$E$7),CsDJ[Debit])))+(SUM(IF((CRDJ[Sort Code]=(TRIM(G$4)))*(CRDJ[Account Code]=(TRIM($B72)))*(CRDJ[Date]&lt;=$E$7),CRDJ[Debit])))+(SUM(IF((GJ[Sort Code]=(TRIM(G$4)))*(GJ[Account Code]=(TRIM($B72)))*(GJ[Date]&lt;=$E$7),GJ[Debit]))))-((SUM(IF((CkDJ[Sort Code]=(TRIM(G$4)))*(CkDJ[Account Code]=(TRIM($B72)))*(CkDJ[Date]&lt;=$E$7),CkDJ[Credit])))+(SUM(IF((CsDJ[Sort Code]=(TRIM(G$4)))*(CsDJ[Account Code]=(TRIM($B72)))*(CsDJ[Date]&lt;=$E$7),CsDJ[Credit])))+(SUM(IF((CRDJ[Sort Code]=(TRIM(G$4)))*(CRDJ[Account Code]=(TRIM($B72)))*(CRDJ[Date]&lt;=$E$7),CRDJ[Credit])))+(SUM(IF((GJ[Sort Code]=(TRIM(G$4)))*(GJ[Account Code]=(TRIM($B72)))*(GJ[Date]&lt;=$E$7),GJ[Credit]))))</f>
        <v>0</v>
      </c>
      <c r="F72" s="245">
        <f t="array" ref="F72">((SUM(IF((CkDJ[Date]=$A$3)*(CkDJ[Sort Code]=(TRIM(G$4)))*(CkDJ[Account Code]=(TRIM($B72))),CkDJ[Debit])))+(SUM(IF((CsDJ[Date]=$A$3)*(CsDJ[Sort Code]=(TRIM(G$4)))*(CsDJ[Account Code]=(TRIM($B72))),CsDJ[Debit])))+(SUM(IF((CRDJ[Date]=$A$3)*(CRDJ[Sort Code]=(TRIM(G$4)))*(CRDJ[Account Code]=(TRIM($B72))),CRDJ[Debit])))+(SUM(IF((GJ[Date]=$A$3)*(GJ[Sort Code]=(TRIM(G$4)))*(GJ[Account Code]=(TRIM($B72))),GJ[Debit]))))-((SUM(IF((CkDJ[Date]=$A$3)*(CkDJ[Sort Code]=(TRIM(G$4)))*(CkDJ[Account Code]=(TRIM($B72))),CkDJ[Credit])))+(SUM(IF((CsDJ[Date]=$A$3)*(CsDJ[Sort Code]=(TRIM(G$4)))*(CsDJ[Account Code]=(TRIM($B72))),CsDJ[Credit])))+(SUM(IF((CRDJ[Date]=$A$3)*(CRDJ[Sort Code]=(TRIM(G$4)))*(CRDJ[Account Code]=(TRIM($B72))),CRDJ[Credit])))+(SUM(IF((GJ[Date]=$A$3)*(GJ[Sort Code]=(TRIM(G$4)))*(GJ[Account Code]=(TRIM($B72))),GJ[Credit]))))</f>
        <v>0</v>
      </c>
      <c r="G72" s="343">
        <f t="shared" si="8"/>
        <v>0</v>
      </c>
      <c r="H72" s="246">
        <f t="shared" si="5"/>
        <v>-75720</v>
      </c>
      <c r="I72" s="246">
        <f t="shared" si="6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Code]=B73)*(Budget[Sort Code]=$G$4),(Budget[Amount])))</f>
        <v>0</v>
      </c>
      <c r="D73" s="245">
        <f t="array" ref="D73">SUM(IF((Budget[Account Code]=B73)*(Budget[Sort Code]=$G$4)*(Budget[Date]&lt;=$D$7),(Budget[Amount])))</f>
        <v>0</v>
      </c>
      <c r="E73" s="245">
        <f t="array" ref="E73">((SUM(IF((CkDJ[Sort Code]=(TRIM(G$4)))*(CkDJ[Account Code]=(TRIM($B73)))*(CkDJ[Date]&lt;=$E$7),CkDJ[Debit])))+(SUM(IF((CsDJ[Sort Code]=(TRIM(G$4)))*(CsDJ[Account Code]=(TRIM($B73)))*(CsDJ[Date]&lt;=$E$7),CsDJ[Debit])))+(SUM(IF((CRDJ[Sort Code]=(TRIM(G$4)))*(CRDJ[Account Code]=(TRIM($B73)))*(CRDJ[Date]&lt;=$E$7),CRDJ[Debit])))+(SUM(IF((GJ[Sort Code]=(TRIM(G$4)))*(GJ[Account Code]=(TRIM($B73)))*(GJ[Date]&lt;=$E$7),GJ[Debit]))))-((SUM(IF((CkDJ[Sort Code]=(TRIM(G$4)))*(CkDJ[Account Code]=(TRIM($B73)))*(CkDJ[Date]&lt;=$E$7),CkDJ[Credit])))+(SUM(IF((CsDJ[Sort Code]=(TRIM(G$4)))*(CsDJ[Account Code]=(TRIM($B73)))*(CsDJ[Date]&lt;=$E$7),CsDJ[Credit])))+(SUM(IF((CRDJ[Sort Code]=(TRIM(G$4)))*(CRDJ[Account Code]=(TRIM($B73)))*(CRDJ[Date]&lt;=$E$7),CRDJ[Credit])))+(SUM(IF((GJ[Sort Code]=(TRIM(G$4)))*(GJ[Account Code]=(TRIM($B73)))*(GJ[Date]&lt;=$E$7),GJ[Credit]))))</f>
        <v>0</v>
      </c>
      <c r="F73" s="245">
        <f t="array" ref="F73">((SUM(IF((CkDJ[Date]=$A$3)*(CkDJ[Sort Code]=(TRIM(G$4)))*(CkDJ[Account Code]=(TRIM($B73))),CkDJ[Debit])))+(SUM(IF((CsDJ[Date]=$A$3)*(CsDJ[Sort Code]=(TRIM(G$4)))*(CsDJ[Account Code]=(TRIM($B73))),CsDJ[Debit])))+(SUM(IF((CRDJ[Date]=$A$3)*(CRDJ[Sort Code]=(TRIM(G$4)))*(CRDJ[Account Code]=(TRIM($B73))),CRDJ[Debit])))+(SUM(IF((GJ[Date]=$A$3)*(GJ[Sort Code]=(TRIM(G$4)))*(GJ[Account Code]=(TRIM($B73))),GJ[Debit]))))-((SUM(IF((CkDJ[Date]=$A$3)*(CkDJ[Sort Code]=(TRIM(G$4)))*(CkDJ[Account Code]=(TRIM($B73))),CkDJ[Credit])))+(SUM(IF((CsDJ[Date]=$A$3)*(CsDJ[Sort Code]=(TRIM(G$4)))*(CsDJ[Account Code]=(TRIM($B73))),CsDJ[Credit])))+(SUM(IF((CRDJ[Date]=$A$3)*(CRDJ[Sort Code]=(TRIM(G$4)))*(CRDJ[Account Code]=(TRIM($B73))),CRDJ[Credit])))+(SUM(IF((GJ[Date]=$A$3)*(GJ[Sort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Code]=B74)*(Budget[Sort Code]=$G$4),(Budget[Amount])))</f>
        <v>0</v>
      </c>
      <c r="D74" s="245">
        <f t="array" ref="D74">SUM(IF((Budget[Account Code]=B74)*(Budget[Sort Code]=$G$4)*(Budget[Date]&lt;=$D$7),(Budget[Amount])))</f>
        <v>0</v>
      </c>
      <c r="E74" s="245">
        <f t="array" ref="E74">((SUM(IF((CkDJ[Sort Code]=(TRIM(G$4)))*(CkDJ[Account Code]=(TRIM($B74)))*(CkDJ[Date]&lt;=$E$7),CkDJ[Debit])))+(SUM(IF((CsDJ[Sort Code]=(TRIM(G$4)))*(CsDJ[Account Code]=(TRIM($B74)))*(CsDJ[Date]&lt;=$E$7),CsDJ[Debit])))+(SUM(IF((CRDJ[Sort Code]=(TRIM(G$4)))*(CRDJ[Account Code]=(TRIM($B74)))*(CRDJ[Date]&lt;=$E$7),CRDJ[Debit])))+(SUM(IF((GJ[Sort Code]=(TRIM(G$4)))*(GJ[Account Code]=(TRIM($B74)))*(GJ[Date]&lt;=$E$7),GJ[Debit]))))-((SUM(IF((CkDJ[Sort Code]=(TRIM(G$4)))*(CkDJ[Account Code]=(TRIM($B74)))*(CkDJ[Date]&lt;=$E$7),CkDJ[Credit])))+(SUM(IF((CsDJ[Sort Code]=(TRIM(G$4)))*(CsDJ[Account Code]=(TRIM($B74)))*(CsDJ[Date]&lt;=$E$7),CsDJ[Credit])))+(SUM(IF((CRDJ[Sort Code]=(TRIM(G$4)))*(CRDJ[Account Code]=(TRIM($B74)))*(CRDJ[Date]&lt;=$E$7),CRDJ[Credit])))+(SUM(IF((GJ[Sort Code]=(TRIM(G$4)))*(GJ[Account Code]=(TRIM($B74)))*(GJ[Date]&lt;=$E$7),GJ[Credit]))))</f>
        <v>0</v>
      </c>
      <c r="F74" s="245">
        <f t="array" ref="F74">((SUM(IF((CkDJ[Date]=$A$3)*(CkDJ[Sort Code]=(TRIM(G$4)))*(CkDJ[Account Code]=(TRIM($B74))),CkDJ[Debit])))+(SUM(IF((CsDJ[Date]=$A$3)*(CsDJ[Sort Code]=(TRIM(G$4)))*(CsDJ[Account Code]=(TRIM($B74))),CsDJ[Debit])))+(SUM(IF((CRDJ[Date]=$A$3)*(CRDJ[Sort Code]=(TRIM(G$4)))*(CRDJ[Account Code]=(TRIM($B74))),CRDJ[Debit])))+(SUM(IF((GJ[Date]=$A$3)*(GJ[Sort Code]=(TRIM(G$4)))*(GJ[Account Code]=(TRIM($B74))),GJ[Debit]))))-((SUM(IF((CkDJ[Date]=$A$3)*(CkDJ[Sort Code]=(TRIM(G$4)))*(CkDJ[Account Code]=(TRIM($B74))),CkDJ[Credit])))+(SUM(IF((CsDJ[Date]=$A$3)*(CsDJ[Sort Code]=(TRIM(G$4)))*(CsDJ[Account Code]=(TRIM($B74))),CsDJ[Credit])))+(SUM(IF((CRDJ[Date]=$A$3)*(CRDJ[Sort Code]=(TRIM(G$4)))*(CRDJ[Account Code]=(TRIM($B74))),CRDJ[Credit])))+(SUM(IF((GJ[Date]=$A$3)*(GJ[Sort Code]=(TRIM(G$4)))*(GJ[Account Code]=(TRIM($B74))),GJ[Credit]))))</f>
        <v>0</v>
      </c>
      <c r="G74" s="343">
        <f t="shared" si="8"/>
        <v>0</v>
      </c>
      <c r="H74" s="246">
        <f t="shared" si="5"/>
        <v>0</v>
      </c>
      <c r="I74" s="246">
        <f t="shared" si="6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8100704.4699999997</v>
      </c>
      <c r="D76" s="252">
        <f>D77+D139</f>
        <v>8100704.4699999997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5"/>
        <v>-8100704.4699999997</v>
      </c>
      <c r="I76" s="242">
        <f t="shared" si="6"/>
        <v>0</v>
      </c>
    </row>
    <row r="77" spans="1:9" x14ac:dyDescent="0.2">
      <c r="A77" s="253" t="s">
        <v>809</v>
      </c>
      <c r="B77" s="337"/>
      <c r="C77" s="254">
        <f>C78+C138</f>
        <v>5206596.42</v>
      </c>
      <c r="D77" s="254">
        <f>D78+D138</f>
        <v>5206596.42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5"/>
        <v>-5206596.42</v>
      </c>
      <c r="I77" s="246">
        <f t="shared" si="6"/>
        <v>0</v>
      </c>
    </row>
    <row r="78" spans="1:9" x14ac:dyDescent="0.2">
      <c r="A78" s="255" t="s">
        <v>806</v>
      </c>
      <c r="B78" s="337"/>
      <c r="C78" s="246">
        <f>SUM(C79:C137)</f>
        <v>5206596.42</v>
      </c>
      <c r="D78" s="246">
        <f>SUM(D79:D137)</f>
        <v>5206596.42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5"/>
        <v>-5206596.42</v>
      </c>
      <c r="I78" s="246">
        <f t="shared" si="6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Code]=B79)*(Budget[Sort Code]=$G$4),(Budget[Amount])))</f>
        <v>100000</v>
      </c>
      <c r="D79" s="245">
        <f t="array" ref="D79">SUM(IF((Budget[Account Code]=B79)*(Budget[Sort Code]=$G$4)*(Budget[Date]&lt;=$D$7),(Budget[Amount])))</f>
        <v>100000</v>
      </c>
      <c r="E79" s="245">
        <f t="array" ref="E79">((SUM(IF((CkDJ[Sort Code]=(TRIM(G$4)))*(CkDJ[Account Code]=(TRIM($B79)))*(CkDJ[Date]&lt;=$E$7),CkDJ[Debit])))+(SUM(IF((CsDJ[Sort Code]=(TRIM(G$4)))*(CsDJ[Account Code]=(TRIM($B79)))*(CsDJ[Date]&lt;=$E$7),CsDJ[Debit])))+(SUM(IF((CRDJ[Sort Code]=(TRIM(G$4)))*(CRDJ[Account Code]=(TRIM($B79)))*(CRDJ[Date]&lt;=$E$7),CRDJ[Debit])))+(SUM(IF((GJ[Sort Code]=(TRIM(G$4)))*(GJ[Account Code]=(TRIM($B79)))*(GJ[Date]&lt;=$E$7),GJ[Debit]))))-((SUM(IF((CkDJ[Sort Code]=(TRIM(G$4)))*(CkDJ[Account Code]=(TRIM($B79)))*(CkDJ[Date]&lt;=$E$7),CkDJ[Credit])))+(SUM(IF((CsDJ[Sort Code]=(TRIM(G$4)))*(CsDJ[Account Code]=(TRIM($B79)))*(CsDJ[Date]&lt;=$E$7),CsDJ[Credit])))+(SUM(IF((CRDJ[Sort Code]=(TRIM(G$4)))*(CRDJ[Account Code]=(TRIM($B79)))*(CRDJ[Date]&lt;=$E$7),CRDJ[Credit])))+(SUM(IF((GJ[Sort Code]=(TRIM(G$4)))*(GJ[Account Code]=(TRIM($B79)))*(GJ[Date]&lt;=$E$7),GJ[Credit]))))</f>
        <v>0</v>
      </c>
      <c r="F79" s="245">
        <f t="array" ref="F79">((SUM(IF((CkDJ[Date]=$A$3)*(CkDJ[Sort Code]=(TRIM(G$4)))*(CkDJ[Account Code]=(TRIM($B79))),CkDJ[Debit])))+(SUM(IF((CsDJ[Date]=$A$3)*(CsDJ[Sort Code]=(TRIM(G$4)))*(CsDJ[Account Code]=(TRIM($B79))),CsDJ[Debit])))+(SUM(IF((CRDJ[Date]=$A$3)*(CRDJ[Sort Code]=(TRIM(G$4)))*(CRDJ[Account Code]=(TRIM($B79))),CRDJ[Debit])))+(SUM(IF((GJ[Date]=$A$3)*(GJ[Sort Code]=(TRIM(G$4)))*(GJ[Account Code]=(TRIM($B79))),GJ[Debit]))))-((SUM(IF((CkDJ[Date]=$A$3)*(CkDJ[Sort Code]=(TRIM(G$4)))*(CkDJ[Account Code]=(TRIM($B79))),CkDJ[Credit])))+(SUM(IF((CsDJ[Date]=$A$3)*(CsDJ[Sort Code]=(TRIM(G$4)))*(CsDJ[Account Code]=(TRIM($B79))),CsDJ[Credit])))+(SUM(IF((CRDJ[Date]=$A$3)*(CRDJ[Sort Code]=(TRIM(G$4)))*(CRDJ[Account Code]=(TRIM($B79))),CRDJ[Credit])))+(SUM(IF((GJ[Date]=$A$3)*(GJ[Sort Code]=(TRIM(G$4)))*(GJ[Account Code]=(TRIM($B79))),GJ[Credit]))))</f>
        <v>0</v>
      </c>
      <c r="G79" s="343">
        <f t="shared" ref="G79:G137" si="9">E79+F79</f>
        <v>0</v>
      </c>
      <c r="H79" s="246">
        <f t="shared" si="5"/>
        <v>-100000</v>
      </c>
      <c r="I79" s="246">
        <f t="shared" si="6"/>
        <v>0</v>
      </c>
    </row>
    <row r="80" spans="1:9" hidden="1" x14ac:dyDescent="0.2">
      <c r="A80" s="256" t="s">
        <v>284</v>
      </c>
      <c r="B80" s="339" t="s">
        <v>1233</v>
      </c>
      <c r="C80" s="245">
        <f t="array" ref="C80">SUM(IF((Budget[Account Code]=B80)*(Budget[Sort Code]=$G$4),(Budget[Amount])))</f>
        <v>0</v>
      </c>
      <c r="D80" s="245">
        <f t="array" ref="D80">SUM(IF((Budget[Account Code]=B80)*(Budget[Sort Code]=$G$4)*(Budget[Date]&lt;=$D$7),(Budget[Amount])))</f>
        <v>0</v>
      </c>
      <c r="E80" s="245">
        <f t="array" ref="E80">((SUM(IF((CkDJ[Sort Code]=(TRIM(G$4)))*(CkDJ[Account Code]=(TRIM($B80)))*(CkDJ[Date]&lt;=$E$7),CkDJ[Debit])))+(SUM(IF((CsDJ[Sort Code]=(TRIM(G$4)))*(CsDJ[Account Code]=(TRIM($B80)))*(CsDJ[Date]&lt;=$E$7),CsDJ[Debit])))+(SUM(IF((CRDJ[Sort Code]=(TRIM(G$4)))*(CRDJ[Account Code]=(TRIM($B80)))*(CRDJ[Date]&lt;=$E$7),CRDJ[Debit])))+(SUM(IF((GJ[Sort Code]=(TRIM(G$4)))*(GJ[Account Code]=(TRIM($B80)))*(GJ[Date]&lt;=$E$7),GJ[Debit]))))-((SUM(IF((CkDJ[Sort Code]=(TRIM(G$4)))*(CkDJ[Account Code]=(TRIM($B80)))*(CkDJ[Date]&lt;=$E$7),CkDJ[Credit])))+(SUM(IF((CsDJ[Sort Code]=(TRIM(G$4)))*(CsDJ[Account Code]=(TRIM($B80)))*(CsDJ[Date]&lt;=$E$7),CsDJ[Credit])))+(SUM(IF((CRDJ[Sort Code]=(TRIM(G$4)))*(CRDJ[Account Code]=(TRIM($B80)))*(CRDJ[Date]&lt;=$E$7),CRDJ[Credit])))+(SUM(IF((GJ[Sort Code]=(TRIM(G$4)))*(GJ[Account Code]=(TRIM($B80)))*(GJ[Date]&lt;=$E$7),GJ[Credit]))))</f>
        <v>0</v>
      </c>
      <c r="F80" s="245">
        <f t="array" ref="F80">((SUM(IF((CkDJ[Date]=$A$3)*(CkDJ[Sort Code]=(TRIM(G$4)))*(CkDJ[Account Code]=(TRIM($B80))),CkDJ[Debit])))+(SUM(IF((CsDJ[Date]=$A$3)*(CsDJ[Sort Code]=(TRIM(G$4)))*(CsDJ[Account Code]=(TRIM($B80))),CsDJ[Debit])))+(SUM(IF((CRDJ[Date]=$A$3)*(CRDJ[Sort Code]=(TRIM(G$4)))*(CRDJ[Account Code]=(TRIM($B80))),CRDJ[Debit])))+(SUM(IF((GJ[Date]=$A$3)*(GJ[Sort Code]=(TRIM(G$4)))*(GJ[Account Code]=(TRIM($B80))),GJ[Debit]))))-((SUM(IF((CkDJ[Date]=$A$3)*(CkDJ[Sort Code]=(TRIM(G$4)))*(CkDJ[Account Code]=(TRIM($B80))),CkDJ[Credit])))+(SUM(IF((CsDJ[Date]=$A$3)*(CsDJ[Sort Code]=(TRIM(G$4)))*(CsDJ[Account Code]=(TRIM($B80))),CsDJ[Credit])))+(SUM(IF((CRDJ[Date]=$A$3)*(CRDJ[Sort Code]=(TRIM(G$4)))*(CRDJ[Account Code]=(TRIM($B80))),CRDJ[Credit])))+(SUM(IF((GJ[Date]=$A$3)*(GJ[Sort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Code]=B81)*(Budget[Sort Code]=$G$4),(Budget[Amount])))</f>
        <v>150000</v>
      </c>
      <c r="D81" s="245">
        <f t="array" ref="D81">SUM(IF((Budget[Account Code]=B81)*(Budget[Sort Code]=$G$4)*(Budget[Date]&lt;=$D$7),(Budget[Amount])))</f>
        <v>150000</v>
      </c>
      <c r="E81" s="245">
        <f t="array" ref="E81">((SUM(IF((CkDJ[Sort Code]=(TRIM(G$4)))*(CkDJ[Account Code]=(TRIM($B81)))*(CkDJ[Date]&lt;=$E$7),CkDJ[Debit])))+(SUM(IF((CsDJ[Sort Code]=(TRIM(G$4)))*(CsDJ[Account Code]=(TRIM($B81)))*(CsDJ[Date]&lt;=$E$7),CsDJ[Debit])))+(SUM(IF((CRDJ[Sort Code]=(TRIM(G$4)))*(CRDJ[Account Code]=(TRIM($B81)))*(CRDJ[Date]&lt;=$E$7),CRDJ[Debit])))+(SUM(IF((GJ[Sort Code]=(TRIM(G$4)))*(GJ[Account Code]=(TRIM($B81)))*(GJ[Date]&lt;=$E$7),GJ[Debit]))))-((SUM(IF((CkDJ[Sort Code]=(TRIM(G$4)))*(CkDJ[Account Code]=(TRIM($B81)))*(CkDJ[Date]&lt;=$E$7),CkDJ[Credit])))+(SUM(IF((CsDJ[Sort Code]=(TRIM(G$4)))*(CsDJ[Account Code]=(TRIM($B81)))*(CsDJ[Date]&lt;=$E$7),CsDJ[Credit])))+(SUM(IF((CRDJ[Sort Code]=(TRIM(G$4)))*(CRDJ[Account Code]=(TRIM($B81)))*(CRDJ[Date]&lt;=$E$7),CRDJ[Credit])))+(SUM(IF((GJ[Sort Code]=(TRIM(G$4)))*(GJ[Account Code]=(TRIM($B81)))*(GJ[Date]&lt;=$E$7),GJ[Credit]))))</f>
        <v>0</v>
      </c>
      <c r="F81" s="245">
        <f t="array" ref="F81">((SUM(IF((CkDJ[Date]=$A$3)*(CkDJ[Sort Code]=(TRIM(G$4)))*(CkDJ[Account Code]=(TRIM($B81))),CkDJ[Debit])))+(SUM(IF((CsDJ[Date]=$A$3)*(CsDJ[Sort Code]=(TRIM(G$4)))*(CsDJ[Account Code]=(TRIM($B81))),CsDJ[Debit])))+(SUM(IF((CRDJ[Date]=$A$3)*(CRDJ[Sort Code]=(TRIM(G$4)))*(CRDJ[Account Code]=(TRIM($B81))),CRDJ[Debit])))+(SUM(IF((GJ[Date]=$A$3)*(GJ[Sort Code]=(TRIM(G$4)))*(GJ[Account Code]=(TRIM($B81))),GJ[Debit]))))-((SUM(IF((CkDJ[Date]=$A$3)*(CkDJ[Sort Code]=(TRIM(G$4)))*(CkDJ[Account Code]=(TRIM($B81))),CkDJ[Credit])))+(SUM(IF((CsDJ[Date]=$A$3)*(CsDJ[Sort Code]=(TRIM(G$4)))*(CsDJ[Account Code]=(TRIM($B81))),CsDJ[Credit])))+(SUM(IF((CRDJ[Date]=$A$3)*(CRDJ[Sort Code]=(TRIM(G$4)))*(CRDJ[Account Code]=(TRIM($B81))),CRDJ[Credit])))+(SUM(IF((GJ[Date]=$A$3)*(GJ[Sort Code]=(TRIM(G$4)))*(GJ[Account Code]=(TRIM($B81))),GJ[Credit]))))</f>
        <v>0</v>
      </c>
      <c r="G81" s="343">
        <f t="shared" si="9"/>
        <v>0</v>
      </c>
      <c r="H81" s="246">
        <f t="shared" si="5"/>
        <v>-150000</v>
      </c>
      <c r="I81" s="246">
        <f t="shared" si="6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Code]=B82)*(Budget[Sort Code]=$G$4),(Budget[Amount])))</f>
        <v>500000</v>
      </c>
      <c r="D82" s="245">
        <f t="array" ref="D82">SUM(IF((Budget[Account Code]=B82)*(Budget[Sort Code]=$G$4)*(Budget[Date]&lt;=$D$7),(Budget[Amount])))</f>
        <v>500000</v>
      </c>
      <c r="E82" s="245">
        <f t="array" ref="E82">((SUM(IF((CkDJ[Sort Code]=(TRIM(G$4)))*(CkDJ[Account Code]=(TRIM($B82)))*(CkDJ[Date]&lt;=$E$7),CkDJ[Debit])))+(SUM(IF((CsDJ[Sort Code]=(TRIM(G$4)))*(CsDJ[Account Code]=(TRIM($B82)))*(CsDJ[Date]&lt;=$E$7),CsDJ[Debit])))+(SUM(IF((CRDJ[Sort Code]=(TRIM(G$4)))*(CRDJ[Account Code]=(TRIM($B82)))*(CRDJ[Date]&lt;=$E$7),CRDJ[Debit])))+(SUM(IF((GJ[Sort Code]=(TRIM(G$4)))*(GJ[Account Code]=(TRIM($B82)))*(GJ[Date]&lt;=$E$7),GJ[Debit]))))-((SUM(IF((CkDJ[Sort Code]=(TRIM(G$4)))*(CkDJ[Account Code]=(TRIM($B82)))*(CkDJ[Date]&lt;=$E$7),CkDJ[Credit])))+(SUM(IF((CsDJ[Sort Code]=(TRIM(G$4)))*(CsDJ[Account Code]=(TRIM($B82)))*(CsDJ[Date]&lt;=$E$7),CsDJ[Credit])))+(SUM(IF((CRDJ[Sort Code]=(TRIM(G$4)))*(CRDJ[Account Code]=(TRIM($B82)))*(CRDJ[Date]&lt;=$E$7),CRDJ[Credit])))+(SUM(IF((GJ[Sort Code]=(TRIM(G$4)))*(GJ[Account Code]=(TRIM($B82)))*(GJ[Date]&lt;=$E$7),GJ[Credit]))))</f>
        <v>0</v>
      </c>
      <c r="F82" s="245">
        <f t="array" ref="F82">((SUM(IF((CkDJ[Date]=$A$3)*(CkDJ[Sort Code]=(TRIM(G$4)))*(CkDJ[Account Code]=(TRIM($B82))),CkDJ[Debit])))+(SUM(IF((CsDJ[Date]=$A$3)*(CsDJ[Sort Code]=(TRIM(G$4)))*(CsDJ[Account Code]=(TRIM($B82))),CsDJ[Debit])))+(SUM(IF((CRDJ[Date]=$A$3)*(CRDJ[Sort Code]=(TRIM(G$4)))*(CRDJ[Account Code]=(TRIM($B82))),CRDJ[Debit])))+(SUM(IF((GJ[Date]=$A$3)*(GJ[Sort Code]=(TRIM(G$4)))*(GJ[Account Code]=(TRIM($B82))),GJ[Debit]))))-((SUM(IF((CkDJ[Date]=$A$3)*(CkDJ[Sort Code]=(TRIM(G$4)))*(CkDJ[Account Code]=(TRIM($B82))),CkDJ[Credit])))+(SUM(IF((CsDJ[Date]=$A$3)*(CsDJ[Sort Code]=(TRIM(G$4)))*(CsDJ[Account Code]=(TRIM($B82))),CsDJ[Credit])))+(SUM(IF((CRDJ[Date]=$A$3)*(CRDJ[Sort Code]=(TRIM(G$4)))*(CRDJ[Account Code]=(TRIM($B82))),CRDJ[Credit])))+(SUM(IF((GJ[Date]=$A$3)*(GJ[Sort Code]=(TRIM(G$4)))*(GJ[Account Code]=(TRIM($B82))),GJ[Credit]))))</f>
        <v>0</v>
      </c>
      <c r="G82" s="343">
        <f t="shared" si="9"/>
        <v>0</v>
      </c>
      <c r="H82" s="246">
        <f t="shared" si="5"/>
        <v>-500000</v>
      </c>
      <c r="I82" s="246">
        <f t="shared" si="6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Code]=B83)*(Budget[Sort Code]=$G$4),(Budget[Amount])))</f>
        <v>0</v>
      </c>
      <c r="D83" s="245">
        <f t="array" ref="D83">SUM(IF((Budget[Account Code]=B83)*(Budget[Sort Code]=$G$4)*(Budget[Date]&lt;=$D$7),(Budget[Amount])))</f>
        <v>0</v>
      </c>
      <c r="E83" s="245">
        <f t="array" ref="E83">((SUM(IF((CkDJ[Sort Code]=(TRIM(G$4)))*(CkDJ[Account Code]=(TRIM($B83)))*(CkDJ[Date]&lt;=$E$7),CkDJ[Debit])))+(SUM(IF((CsDJ[Sort Code]=(TRIM(G$4)))*(CsDJ[Account Code]=(TRIM($B83)))*(CsDJ[Date]&lt;=$E$7),CsDJ[Debit])))+(SUM(IF((CRDJ[Sort Code]=(TRIM(G$4)))*(CRDJ[Account Code]=(TRIM($B83)))*(CRDJ[Date]&lt;=$E$7),CRDJ[Debit])))+(SUM(IF((GJ[Sort Code]=(TRIM(G$4)))*(GJ[Account Code]=(TRIM($B83)))*(GJ[Date]&lt;=$E$7),GJ[Debit]))))-((SUM(IF((CkDJ[Sort Code]=(TRIM(G$4)))*(CkDJ[Account Code]=(TRIM($B83)))*(CkDJ[Date]&lt;=$E$7),CkDJ[Credit])))+(SUM(IF((CsDJ[Sort Code]=(TRIM(G$4)))*(CsDJ[Account Code]=(TRIM($B83)))*(CsDJ[Date]&lt;=$E$7),CsDJ[Credit])))+(SUM(IF((CRDJ[Sort Code]=(TRIM(G$4)))*(CRDJ[Account Code]=(TRIM($B83)))*(CRDJ[Date]&lt;=$E$7),CRDJ[Credit])))+(SUM(IF((GJ[Sort Code]=(TRIM(G$4)))*(GJ[Account Code]=(TRIM($B83)))*(GJ[Date]&lt;=$E$7),GJ[Credit]))))</f>
        <v>0</v>
      </c>
      <c r="F83" s="245">
        <f t="array" ref="F83">((SUM(IF((CkDJ[Date]=$A$3)*(CkDJ[Sort Code]=(TRIM(G$4)))*(CkDJ[Account Code]=(TRIM($B83))),CkDJ[Debit])))+(SUM(IF((CsDJ[Date]=$A$3)*(CsDJ[Sort Code]=(TRIM(G$4)))*(CsDJ[Account Code]=(TRIM($B83))),CsDJ[Debit])))+(SUM(IF((CRDJ[Date]=$A$3)*(CRDJ[Sort Code]=(TRIM(G$4)))*(CRDJ[Account Code]=(TRIM($B83))),CRDJ[Debit])))+(SUM(IF((GJ[Date]=$A$3)*(GJ[Sort Code]=(TRIM(G$4)))*(GJ[Account Code]=(TRIM($B83))),GJ[Debit]))))-((SUM(IF((CkDJ[Date]=$A$3)*(CkDJ[Sort Code]=(TRIM(G$4)))*(CkDJ[Account Code]=(TRIM($B83))),CkDJ[Credit])))+(SUM(IF((CsDJ[Date]=$A$3)*(CsDJ[Sort Code]=(TRIM(G$4)))*(CsDJ[Account Code]=(TRIM($B83))),CsDJ[Credit])))+(SUM(IF((CRDJ[Date]=$A$3)*(CRDJ[Sort Code]=(TRIM(G$4)))*(CRDJ[Account Code]=(TRIM($B83))),CRDJ[Credit])))+(SUM(IF((GJ[Date]=$A$3)*(GJ[Sort Code]=(TRIM(G$4)))*(GJ[Account Code]=(TRIM($B83))),GJ[Credit]))))</f>
        <v>0</v>
      </c>
      <c r="G83" s="343">
        <f t="shared" si="9"/>
        <v>0</v>
      </c>
      <c r="H83" s="246">
        <f t="shared" si="5"/>
        <v>0</v>
      </c>
      <c r="I83" s="246">
        <f t="shared" si="6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Code]=B84)*(Budget[Sort Code]=$G$4),(Budget[Amount])))</f>
        <v>0</v>
      </c>
      <c r="D84" s="245">
        <f t="array" ref="D84">SUM(IF((Budget[Account Code]=B84)*(Budget[Sort Code]=$G$4)*(Budget[Date]&lt;=$D$7),(Budget[Amount])))</f>
        <v>0</v>
      </c>
      <c r="E84" s="245">
        <f t="array" ref="E84">((SUM(IF((CkDJ[Sort Code]=(TRIM(G$4)))*(CkDJ[Account Code]=(TRIM($B84)))*(CkDJ[Date]&lt;=$E$7),CkDJ[Debit])))+(SUM(IF((CsDJ[Sort Code]=(TRIM(G$4)))*(CsDJ[Account Code]=(TRIM($B84)))*(CsDJ[Date]&lt;=$E$7),CsDJ[Debit])))+(SUM(IF((CRDJ[Sort Code]=(TRIM(G$4)))*(CRDJ[Account Code]=(TRIM($B84)))*(CRDJ[Date]&lt;=$E$7),CRDJ[Debit])))+(SUM(IF((GJ[Sort Code]=(TRIM(G$4)))*(GJ[Account Code]=(TRIM($B84)))*(GJ[Date]&lt;=$E$7),GJ[Debit]))))-((SUM(IF((CkDJ[Sort Code]=(TRIM(G$4)))*(CkDJ[Account Code]=(TRIM($B84)))*(CkDJ[Date]&lt;=$E$7),CkDJ[Credit])))+(SUM(IF((CsDJ[Sort Code]=(TRIM(G$4)))*(CsDJ[Account Code]=(TRIM($B84)))*(CsDJ[Date]&lt;=$E$7),CsDJ[Credit])))+(SUM(IF((CRDJ[Sort Code]=(TRIM(G$4)))*(CRDJ[Account Code]=(TRIM($B84)))*(CRDJ[Date]&lt;=$E$7),CRDJ[Credit])))+(SUM(IF((GJ[Sort Code]=(TRIM(G$4)))*(GJ[Account Code]=(TRIM($B84)))*(GJ[Date]&lt;=$E$7),GJ[Credit]))))</f>
        <v>0</v>
      </c>
      <c r="F84" s="245">
        <f t="array" ref="F84">((SUM(IF((CkDJ[Date]=$A$3)*(CkDJ[Sort Code]=(TRIM(G$4)))*(CkDJ[Account Code]=(TRIM($B84))),CkDJ[Debit])))+(SUM(IF((CsDJ[Date]=$A$3)*(CsDJ[Sort Code]=(TRIM(G$4)))*(CsDJ[Account Code]=(TRIM($B84))),CsDJ[Debit])))+(SUM(IF((CRDJ[Date]=$A$3)*(CRDJ[Sort Code]=(TRIM(G$4)))*(CRDJ[Account Code]=(TRIM($B84))),CRDJ[Debit])))+(SUM(IF((GJ[Date]=$A$3)*(GJ[Sort Code]=(TRIM(G$4)))*(GJ[Account Code]=(TRIM($B84))),GJ[Debit]))))-((SUM(IF((CkDJ[Date]=$A$3)*(CkDJ[Sort Code]=(TRIM(G$4)))*(CkDJ[Account Code]=(TRIM($B84))),CkDJ[Credit])))+(SUM(IF((CsDJ[Date]=$A$3)*(CsDJ[Sort Code]=(TRIM(G$4)))*(CsDJ[Account Code]=(TRIM($B84))),CsDJ[Credit])))+(SUM(IF((CRDJ[Date]=$A$3)*(CRDJ[Sort Code]=(TRIM(G$4)))*(CRDJ[Account Code]=(TRIM($B84))),CRDJ[Credit])))+(SUM(IF((GJ[Date]=$A$3)*(GJ[Sort Code]=(TRIM(G$4)))*(GJ[Account Code]=(TRIM($B84))),GJ[Credit]))))</f>
        <v>0</v>
      </c>
      <c r="G84" s="343">
        <f t="shared" si="9"/>
        <v>0</v>
      </c>
      <c r="H84" s="246">
        <f t="shared" si="5"/>
        <v>0</v>
      </c>
      <c r="I84" s="246">
        <f t="shared" si="6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Code]=B85)*(Budget[Sort Code]=$G$4),(Budget[Amount])))</f>
        <v>0</v>
      </c>
      <c r="D85" s="245">
        <f t="array" ref="D85">SUM(IF((Budget[Account Code]=B85)*(Budget[Sort Code]=$G$4)*(Budget[Date]&lt;=$D$7),(Budget[Amount])))</f>
        <v>0</v>
      </c>
      <c r="E85" s="245">
        <f t="array" ref="E85">((SUM(IF((CkDJ[Sort Code]=(TRIM(G$4)))*(CkDJ[Account Code]=(TRIM($B85)))*(CkDJ[Date]&lt;=$E$7),CkDJ[Debit])))+(SUM(IF((CsDJ[Sort Code]=(TRIM(G$4)))*(CsDJ[Account Code]=(TRIM($B85)))*(CsDJ[Date]&lt;=$E$7),CsDJ[Debit])))+(SUM(IF((CRDJ[Sort Code]=(TRIM(G$4)))*(CRDJ[Account Code]=(TRIM($B85)))*(CRDJ[Date]&lt;=$E$7),CRDJ[Debit])))+(SUM(IF((GJ[Sort Code]=(TRIM(G$4)))*(GJ[Account Code]=(TRIM($B85)))*(GJ[Date]&lt;=$E$7),GJ[Debit]))))-((SUM(IF((CkDJ[Sort Code]=(TRIM(G$4)))*(CkDJ[Account Code]=(TRIM($B85)))*(CkDJ[Date]&lt;=$E$7),CkDJ[Credit])))+(SUM(IF((CsDJ[Sort Code]=(TRIM(G$4)))*(CsDJ[Account Code]=(TRIM($B85)))*(CsDJ[Date]&lt;=$E$7),CsDJ[Credit])))+(SUM(IF((CRDJ[Sort Code]=(TRIM(G$4)))*(CRDJ[Account Code]=(TRIM($B85)))*(CRDJ[Date]&lt;=$E$7),CRDJ[Credit])))+(SUM(IF((GJ[Sort Code]=(TRIM(G$4)))*(GJ[Account Code]=(TRIM($B85)))*(GJ[Date]&lt;=$E$7),GJ[Credit]))))</f>
        <v>0</v>
      </c>
      <c r="F85" s="245">
        <f t="array" ref="F85">((SUM(IF((CkDJ[Date]=$A$3)*(CkDJ[Sort Code]=(TRIM(G$4)))*(CkDJ[Account Code]=(TRIM($B85))),CkDJ[Debit])))+(SUM(IF((CsDJ[Date]=$A$3)*(CsDJ[Sort Code]=(TRIM(G$4)))*(CsDJ[Account Code]=(TRIM($B85))),CsDJ[Debit])))+(SUM(IF((CRDJ[Date]=$A$3)*(CRDJ[Sort Code]=(TRIM(G$4)))*(CRDJ[Account Code]=(TRIM($B85))),CRDJ[Debit])))+(SUM(IF((GJ[Date]=$A$3)*(GJ[Sort Code]=(TRIM(G$4)))*(GJ[Account Code]=(TRIM($B85))),GJ[Debit]))))-((SUM(IF((CkDJ[Date]=$A$3)*(CkDJ[Sort Code]=(TRIM(G$4)))*(CkDJ[Account Code]=(TRIM($B85))),CkDJ[Credit])))+(SUM(IF((CsDJ[Date]=$A$3)*(CsDJ[Sort Code]=(TRIM(G$4)))*(CsDJ[Account Code]=(TRIM($B85))),CsDJ[Credit])))+(SUM(IF((CRDJ[Date]=$A$3)*(CRDJ[Sort Code]=(TRIM(G$4)))*(CRDJ[Account Code]=(TRIM($B85))),CRDJ[Credit])))+(SUM(IF((GJ[Date]=$A$3)*(GJ[Sort Code]=(TRIM(G$4)))*(GJ[Account Code]=(TRIM($B85))),GJ[Credit]))))</f>
        <v>0</v>
      </c>
      <c r="G85" s="343">
        <f t="shared" si="9"/>
        <v>0</v>
      </c>
      <c r="H85" s="246">
        <f t="shared" si="5"/>
        <v>0</v>
      </c>
      <c r="I85" s="246">
        <f t="shared" si="6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Code]=B86)*(Budget[Sort Code]=$G$4),(Budget[Amount])))</f>
        <v>1000000</v>
      </c>
      <c r="D86" s="245">
        <f t="array" ref="D86">SUM(IF((Budget[Account Code]=B86)*(Budget[Sort Code]=$G$4)*(Budget[Date]&lt;=$D$7),(Budget[Amount])))</f>
        <v>1000000</v>
      </c>
      <c r="E86" s="245">
        <f t="array" ref="E86">((SUM(IF((CkDJ[Sort Code]=(TRIM(G$4)))*(CkDJ[Account Code]=(TRIM($B86)))*(CkDJ[Date]&lt;=$E$7),CkDJ[Debit])))+(SUM(IF((CsDJ[Sort Code]=(TRIM(G$4)))*(CsDJ[Account Code]=(TRIM($B86)))*(CsDJ[Date]&lt;=$E$7),CsDJ[Debit])))+(SUM(IF((CRDJ[Sort Code]=(TRIM(G$4)))*(CRDJ[Account Code]=(TRIM($B86)))*(CRDJ[Date]&lt;=$E$7),CRDJ[Debit])))+(SUM(IF((GJ[Sort Code]=(TRIM(G$4)))*(GJ[Account Code]=(TRIM($B86)))*(GJ[Date]&lt;=$E$7),GJ[Debit]))))-((SUM(IF((CkDJ[Sort Code]=(TRIM(G$4)))*(CkDJ[Account Code]=(TRIM($B86)))*(CkDJ[Date]&lt;=$E$7),CkDJ[Credit])))+(SUM(IF((CsDJ[Sort Code]=(TRIM(G$4)))*(CsDJ[Account Code]=(TRIM($B86)))*(CsDJ[Date]&lt;=$E$7),CsDJ[Credit])))+(SUM(IF((CRDJ[Sort Code]=(TRIM(G$4)))*(CRDJ[Account Code]=(TRIM($B86)))*(CRDJ[Date]&lt;=$E$7),CRDJ[Credit])))+(SUM(IF((GJ[Sort Code]=(TRIM(G$4)))*(GJ[Account Code]=(TRIM($B86)))*(GJ[Date]&lt;=$E$7),GJ[Credit]))))</f>
        <v>0</v>
      </c>
      <c r="F86" s="245">
        <f t="array" ref="F86">((SUM(IF((CkDJ[Date]=$A$3)*(CkDJ[Sort Code]=(TRIM(G$4)))*(CkDJ[Account Code]=(TRIM($B86))),CkDJ[Debit])))+(SUM(IF((CsDJ[Date]=$A$3)*(CsDJ[Sort Code]=(TRIM(G$4)))*(CsDJ[Account Code]=(TRIM($B86))),CsDJ[Debit])))+(SUM(IF((CRDJ[Date]=$A$3)*(CRDJ[Sort Code]=(TRIM(G$4)))*(CRDJ[Account Code]=(TRIM($B86))),CRDJ[Debit])))+(SUM(IF((GJ[Date]=$A$3)*(GJ[Sort Code]=(TRIM(G$4)))*(GJ[Account Code]=(TRIM($B86))),GJ[Debit]))))-((SUM(IF((CkDJ[Date]=$A$3)*(CkDJ[Sort Code]=(TRIM(G$4)))*(CkDJ[Account Code]=(TRIM($B86))),CkDJ[Credit])))+(SUM(IF((CsDJ[Date]=$A$3)*(CsDJ[Sort Code]=(TRIM(G$4)))*(CsDJ[Account Code]=(TRIM($B86))),CsDJ[Credit])))+(SUM(IF((CRDJ[Date]=$A$3)*(CRDJ[Sort Code]=(TRIM(G$4)))*(CRDJ[Account Code]=(TRIM($B86))),CRDJ[Credit])))+(SUM(IF((GJ[Date]=$A$3)*(GJ[Sort Code]=(TRIM(G$4)))*(GJ[Account Code]=(TRIM($B86))),GJ[Credit]))))</f>
        <v>0</v>
      </c>
      <c r="G86" s="343">
        <f t="shared" si="9"/>
        <v>0</v>
      </c>
      <c r="H86" s="246">
        <f t="shared" si="5"/>
        <v>-1000000</v>
      </c>
      <c r="I86" s="246">
        <f t="shared" si="6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Code]=B87)*(Budget[Sort Code]=$G$4),(Budget[Amount])))</f>
        <v>0</v>
      </c>
      <c r="D87" s="245">
        <f t="array" ref="D87">SUM(IF((Budget[Account Code]=B87)*(Budget[Sort Code]=$G$4)*(Budget[Date]&lt;=$D$7),(Budget[Amount])))</f>
        <v>0</v>
      </c>
      <c r="E87" s="245">
        <f t="array" ref="E87">((SUM(IF((CkDJ[Sort Code]=(TRIM(G$4)))*(CkDJ[Account Code]=(TRIM($B87)))*(CkDJ[Date]&lt;=$E$7),CkDJ[Debit])))+(SUM(IF((CsDJ[Sort Code]=(TRIM(G$4)))*(CsDJ[Account Code]=(TRIM($B87)))*(CsDJ[Date]&lt;=$E$7),CsDJ[Debit])))+(SUM(IF((CRDJ[Sort Code]=(TRIM(G$4)))*(CRDJ[Account Code]=(TRIM($B87)))*(CRDJ[Date]&lt;=$E$7),CRDJ[Debit])))+(SUM(IF((GJ[Sort Code]=(TRIM(G$4)))*(GJ[Account Code]=(TRIM($B87)))*(GJ[Date]&lt;=$E$7),GJ[Debit]))))-((SUM(IF((CkDJ[Sort Code]=(TRIM(G$4)))*(CkDJ[Account Code]=(TRIM($B87)))*(CkDJ[Date]&lt;=$E$7),CkDJ[Credit])))+(SUM(IF((CsDJ[Sort Code]=(TRIM(G$4)))*(CsDJ[Account Code]=(TRIM($B87)))*(CsDJ[Date]&lt;=$E$7),CsDJ[Credit])))+(SUM(IF((CRDJ[Sort Code]=(TRIM(G$4)))*(CRDJ[Account Code]=(TRIM($B87)))*(CRDJ[Date]&lt;=$E$7),CRDJ[Credit])))+(SUM(IF((GJ[Sort Code]=(TRIM(G$4)))*(GJ[Account Code]=(TRIM($B87)))*(GJ[Date]&lt;=$E$7),GJ[Credit]))))</f>
        <v>0</v>
      </c>
      <c r="F87" s="245">
        <f t="array" ref="F87">((SUM(IF((CkDJ[Date]=$A$3)*(CkDJ[Sort Code]=(TRIM(G$4)))*(CkDJ[Account Code]=(TRIM($B87))),CkDJ[Debit])))+(SUM(IF((CsDJ[Date]=$A$3)*(CsDJ[Sort Code]=(TRIM(G$4)))*(CsDJ[Account Code]=(TRIM($B87))),CsDJ[Debit])))+(SUM(IF((CRDJ[Date]=$A$3)*(CRDJ[Sort Code]=(TRIM(G$4)))*(CRDJ[Account Code]=(TRIM($B87))),CRDJ[Debit])))+(SUM(IF((GJ[Date]=$A$3)*(GJ[Sort Code]=(TRIM(G$4)))*(GJ[Account Code]=(TRIM($B87))),GJ[Debit]))))-((SUM(IF((CkDJ[Date]=$A$3)*(CkDJ[Sort Code]=(TRIM(G$4)))*(CkDJ[Account Code]=(TRIM($B87))),CkDJ[Credit])))+(SUM(IF((CsDJ[Date]=$A$3)*(CsDJ[Sort Code]=(TRIM(G$4)))*(CsDJ[Account Code]=(TRIM($B87))),CsDJ[Credit])))+(SUM(IF((CRDJ[Date]=$A$3)*(CRDJ[Sort Code]=(TRIM(G$4)))*(CRDJ[Account Code]=(TRIM($B87))),CRDJ[Credit])))+(SUM(IF((GJ[Date]=$A$3)*(GJ[Sort Code]=(TRIM(G$4)))*(GJ[Account Code]=(TRIM($B87))),GJ[Credit]))))</f>
        <v>0</v>
      </c>
      <c r="G87" s="343">
        <f t="shared" si="9"/>
        <v>0</v>
      </c>
      <c r="H87" s="246">
        <f t="shared" si="5"/>
        <v>0</v>
      </c>
      <c r="I87" s="246">
        <f t="shared" si="6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Code]=B88)*(Budget[Sort Code]=$G$4),(Budget[Amount])))</f>
        <v>125000</v>
      </c>
      <c r="D88" s="245">
        <f t="array" ref="D88">SUM(IF((Budget[Account Code]=B88)*(Budget[Sort Code]=$G$4)*(Budget[Date]&lt;=$D$7),(Budget[Amount])))</f>
        <v>125000</v>
      </c>
      <c r="E88" s="245">
        <f t="array" ref="E88">((SUM(IF((CkDJ[Sort Code]=(TRIM(G$4)))*(CkDJ[Account Code]=(TRIM($B88)))*(CkDJ[Date]&lt;=$E$7),CkDJ[Debit])))+(SUM(IF((CsDJ[Sort Code]=(TRIM(G$4)))*(CsDJ[Account Code]=(TRIM($B88)))*(CsDJ[Date]&lt;=$E$7),CsDJ[Debit])))+(SUM(IF((CRDJ[Sort Code]=(TRIM(G$4)))*(CRDJ[Account Code]=(TRIM($B88)))*(CRDJ[Date]&lt;=$E$7),CRDJ[Debit])))+(SUM(IF((GJ[Sort Code]=(TRIM(G$4)))*(GJ[Account Code]=(TRIM($B88)))*(GJ[Date]&lt;=$E$7),GJ[Debit]))))-((SUM(IF((CkDJ[Sort Code]=(TRIM(G$4)))*(CkDJ[Account Code]=(TRIM($B88)))*(CkDJ[Date]&lt;=$E$7),CkDJ[Credit])))+(SUM(IF((CsDJ[Sort Code]=(TRIM(G$4)))*(CsDJ[Account Code]=(TRIM($B88)))*(CsDJ[Date]&lt;=$E$7),CsDJ[Credit])))+(SUM(IF((CRDJ[Sort Code]=(TRIM(G$4)))*(CRDJ[Account Code]=(TRIM($B88)))*(CRDJ[Date]&lt;=$E$7),CRDJ[Credit])))+(SUM(IF((GJ[Sort Code]=(TRIM(G$4)))*(GJ[Account Code]=(TRIM($B88)))*(GJ[Date]&lt;=$E$7),GJ[Credit]))))</f>
        <v>0</v>
      </c>
      <c r="F88" s="245">
        <f t="array" ref="F88">((SUM(IF((CkDJ[Date]=$A$3)*(CkDJ[Sort Code]=(TRIM(G$4)))*(CkDJ[Account Code]=(TRIM($B88))),CkDJ[Debit])))+(SUM(IF((CsDJ[Date]=$A$3)*(CsDJ[Sort Code]=(TRIM(G$4)))*(CsDJ[Account Code]=(TRIM($B88))),CsDJ[Debit])))+(SUM(IF((CRDJ[Date]=$A$3)*(CRDJ[Sort Code]=(TRIM(G$4)))*(CRDJ[Account Code]=(TRIM($B88))),CRDJ[Debit])))+(SUM(IF((GJ[Date]=$A$3)*(GJ[Sort Code]=(TRIM(G$4)))*(GJ[Account Code]=(TRIM($B88))),GJ[Debit]))))-((SUM(IF((CkDJ[Date]=$A$3)*(CkDJ[Sort Code]=(TRIM(G$4)))*(CkDJ[Account Code]=(TRIM($B88))),CkDJ[Credit])))+(SUM(IF((CsDJ[Date]=$A$3)*(CsDJ[Sort Code]=(TRIM(G$4)))*(CsDJ[Account Code]=(TRIM($B88))),CsDJ[Credit])))+(SUM(IF((CRDJ[Date]=$A$3)*(CRDJ[Sort Code]=(TRIM(G$4)))*(CRDJ[Account Code]=(TRIM($B88))),CRDJ[Credit])))+(SUM(IF((GJ[Date]=$A$3)*(GJ[Sort Code]=(TRIM(G$4)))*(GJ[Account Code]=(TRIM($B88))),GJ[Credit]))))</f>
        <v>0</v>
      </c>
      <c r="G88" s="343">
        <f t="shared" si="9"/>
        <v>0</v>
      </c>
      <c r="H88" s="246">
        <f t="shared" si="5"/>
        <v>-125000</v>
      </c>
      <c r="I88" s="246">
        <f t="shared" si="6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Code]=B89)*(Budget[Sort Code]=$G$4),(Budget[Amount])))</f>
        <v>67200</v>
      </c>
      <c r="D89" s="245">
        <f t="array" ref="D89">SUM(IF((Budget[Account Code]=B89)*(Budget[Sort Code]=$G$4)*(Budget[Date]&lt;=$D$7),(Budget[Amount])))</f>
        <v>67200</v>
      </c>
      <c r="E89" s="245">
        <f t="array" ref="E89">((SUM(IF((CkDJ[Sort Code]=(TRIM(G$4)))*(CkDJ[Account Code]=(TRIM($B89)))*(CkDJ[Date]&lt;=$E$7),CkDJ[Debit])))+(SUM(IF((CsDJ[Sort Code]=(TRIM(G$4)))*(CsDJ[Account Code]=(TRIM($B89)))*(CsDJ[Date]&lt;=$E$7),CsDJ[Debit])))+(SUM(IF((CRDJ[Sort Code]=(TRIM(G$4)))*(CRDJ[Account Code]=(TRIM($B89)))*(CRDJ[Date]&lt;=$E$7),CRDJ[Debit])))+(SUM(IF((GJ[Sort Code]=(TRIM(G$4)))*(GJ[Account Code]=(TRIM($B89)))*(GJ[Date]&lt;=$E$7),GJ[Debit]))))-((SUM(IF((CkDJ[Sort Code]=(TRIM(G$4)))*(CkDJ[Account Code]=(TRIM($B89)))*(CkDJ[Date]&lt;=$E$7),CkDJ[Credit])))+(SUM(IF((CsDJ[Sort Code]=(TRIM(G$4)))*(CsDJ[Account Code]=(TRIM($B89)))*(CsDJ[Date]&lt;=$E$7),CsDJ[Credit])))+(SUM(IF((CRDJ[Sort Code]=(TRIM(G$4)))*(CRDJ[Account Code]=(TRIM($B89)))*(CRDJ[Date]&lt;=$E$7),CRDJ[Credit])))+(SUM(IF((GJ[Sort Code]=(TRIM(G$4)))*(GJ[Account Code]=(TRIM($B89)))*(GJ[Date]&lt;=$E$7),GJ[Credit]))))</f>
        <v>0</v>
      </c>
      <c r="F89" s="245">
        <f t="array" ref="F89">((SUM(IF((CkDJ[Date]=$A$3)*(CkDJ[Sort Code]=(TRIM(G$4)))*(CkDJ[Account Code]=(TRIM($B89))),CkDJ[Debit])))+(SUM(IF((CsDJ[Date]=$A$3)*(CsDJ[Sort Code]=(TRIM(G$4)))*(CsDJ[Account Code]=(TRIM($B89))),CsDJ[Debit])))+(SUM(IF((CRDJ[Date]=$A$3)*(CRDJ[Sort Code]=(TRIM(G$4)))*(CRDJ[Account Code]=(TRIM($B89))),CRDJ[Debit])))+(SUM(IF((GJ[Date]=$A$3)*(GJ[Sort Code]=(TRIM(G$4)))*(GJ[Account Code]=(TRIM($B89))),GJ[Debit]))))-((SUM(IF((CkDJ[Date]=$A$3)*(CkDJ[Sort Code]=(TRIM(G$4)))*(CkDJ[Account Code]=(TRIM($B89))),CkDJ[Credit])))+(SUM(IF((CsDJ[Date]=$A$3)*(CsDJ[Sort Code]=(TRIM(G$4)))*(CsDJ[Account Code]=(TRIM($B89))),CsDJ[Credit])))+(SUM(IF((CRDJ[Date]=$A$3)*(CRDJ[Sort Code]=(TRIM(G$4)))*(CRDJ[Account Code]=(TRIM($B89))),CRDJ[Credit])))+(SUM(IF((GJ[Date]=$A$3)*(GJ[Sort Code]=(TRIM(G$4)))*(GJ[Account Code]=(TRIM($B89))),GJ[Credit]))))</f>
        <v>0</v>
      </c>
      <c r="G89" s="343">
        <f t="shared" si="9"/>
        <v>0</v>
      </c>
      <c r="H89" s="246">
        <f t="shared" si="5"/>
        <v>-67200</v>
      </c>
      <c r="I89" s="246">
        <f t="shared" si="6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Code]=B90)*(Budget[Sort Code]=$G$4),(Budget[Amount])))</f>
        <v>828000</v>
      </c>
      <c r="D90" s="245">
        <f t="array" ref="D90">SUM(IF((Budget[Account Code]=B90)*(Budget[Sort Code]=$G$4)*(Budget[Date]&lt;=$D$7),(Budget[Amount])))</f>
        <v>828000</v>
      </c>
      <c r="E90" s="245">
        <f t="array" ref="E90">((SUM(IF((CkDJ[Sort Code]=(TRIM(G$4)))*(CkDJ[Account Code]=(TRIM($B90)))*(CkDJ[Date]&lt;=$E$7),CkDJ[Debit])))+(SUM(IF((CsDJ[Sort Code]=(TRIM(G$4)))*(CsDJ[Account Code]=(TRIM($B90)))*(CsDJ[Date]&lt;=$E$7),CsDJ[Debit])))+(SUM(IF((CRDJ[Sort Code]=(TRIM(G$4)))*(CRDJ[Account Code]=(TRIM($B90)))*(CRDJ[Date]&lt;=$E$7),CRDJ[Debit])))+(SUM(IF((GJ[Sort Code]=(TRIM(G$4)))*(GJ[Account Code]=(TRIM($B90)))*(GJ[Date]&lt;=$E$7),GJ[Debit]))))-((SUM(IF((CkDJ[Sort Code]=(TRIM(G$4)))*(CkDJ[Account Code]=(TRIM($B90)))*(CkDJ[Date]&lt;=$E$7),CkDJ[Credit])))+(SUM(IF((CsDJ[Sort Code]=(TRIM(G$4)))*(CsDJ[Account Code]=(TRIM($B90)))*(CsDJ[Date]&lt;=$E$7),CsDJ[Credit])))+(SUM(IF((CRDJ[Sort Code]=(TRIM(G$4)))*(CRDJ[Account Code]=(TRIM($B90)))*(CRDJ[Date]&lt;=$E$7),CRDJ[Credit])))+(SUM(IF((GJ[Sort Code]=(TRIM(G$4)))*(GJ[Account Code]=(TRIM($B90)))*(GJ[Date]&lt;=$E$7),GJ[Credit]))))</f>
        <v>0</v>
      </c>
      <c r="F90" s="245">
        <f t="array" ref="F90">((SUM(IF((CkDJ[Date]=$A$3)*(CkDJ[Sort Code]=(TRIM(G$4)))*(CkDJ[Account Code]=(TRIM($B90))),CkDJ[Debit])))+(SUM(IF((CsDJ[Date]=$A$3)*(CsDJ[Sort Code]=(TRIM(G$4)))*(CsDJ[Account Code]=(TRIM($B90))),CsDJ[Debit])))+(SUM(IF((CRDJ[Date]=$A$3)*(CRDJ[Sort Code]=(TRIM(G$4)))*(CRDJ[Account Code]=(TRIM($B90))),CRDJ[Debit])))+(SUM(IF((GJ[Date]=$A$3)*(GJ[Sort Code]=(TRIM(G$4)))*(GJ[Account Code]=(TRIM($B90))),GJ[Debit]))))-((SUM(IF((CkDJ[Date]=$A$3)*(CkDJ[Sort Code]=(TRIM(G$4)))*(CkDJ[Account Code]=(TRIM($B90))),CkDJ[Credit])))+(SUM(IF((CsDJ[Date]=$A$3)*(CsDJ[Sort Code]=(TRIM(G$4)))*(CsDJ[Account Code]=(TRIM($B90))),CsDJ[Credit])))+(SUM(IF((CRDJ[Date]=$A$3)*(CRDJ[Sort Code]=(TRIM(G$4)))*(CRDJ[Account Code]=(TRIM($B90))),CRDJ[Credit])))+(SUM(IF((GJ[Date]=$A$3)*(GJ[Sort Code]=(TRIM(G$4)))*(GJ[Account Code]=(TRIM($B90))),GJ[Credit]))))</f>
        <v>0</v>
      </c>
      <c r="G90" s="343">
        <f t="shared" si="9"/>
        <v>0</v>
      </c>
      <c r="H90" s="246">
        <f t="shared" si="5"/>
        <v>-828000</v>
      </c>
      <c r="I90" s="246">
        <f t="shared" si="6"/>
        <v>0</v>
      </c>
    </row>
    <row r="91" spans="1:9" hidden="1" x14ac:dyDescent="0.2">
      <c r="A91" s="256" t="s">
        <v>1475</v>
      </c>
      <c r="B91" s="339" t="s">
        <v>1265</v>
      </c>
      <c r="C91" s="245">
        <f t="array" ref="C91">SUM(IF((Budget[Account Code]=B91)*(Budget[Sort Code]=$G$4),(Budget[Amount])))</f>
        <v>0</v>
      </c>
      <c r="D91" s="245">
        <f t="array" ref="D91">SUM(IF((Budget[Account Code]=B91)*(Budget[Sort Code]=$G$4)*(Budget[Date]&lt;=$D$7),(Budget[Amount])))</f>
        <v>0</v>
      </c>
      <c r="E91" s="245">
        <f t="array" ref="E91">((SUM(IF((CkDJ[Sort Code]=(TRIM(G$4)))*(CkDJ[Account Code]=(TRIM($B91)))*(CkDJ[Date]&lt;=$E$7),CkDJ[Debit])))+(SUM(IF((CsDJ[Sort Code]=(TRIM(G$4)))*(CsDJ[Account Code]=(TRIM($B91)))*(CsDJ[Date]&lt;=$E$7),CsDJ[Debit])))+(SUM(IF((CRDJ[Sort Code]=(TRIM(G$4)))*(CRDJ[Account Code]=(TRIM($B91)))*(CRDJ[Date]&lt;=$E$7),CRDJ[Debit])))+(SUM(IF((GJ[Sort Code]=(TRIM(G$4)))*(GJ[Account Code]=(TRIM($B91)))*(GJ[Date]&lt;=$E$7),GJ[Debit]))))-((SUM(IF((CkDJ[Sort Code]=(TRIM(G$4)))*(CkDJ[Account Code]=(TRIM($B91)))*(CkDJ[Date]&lt;=$E$7),CkDJ[Credit])))+(SUM(IF((CsDJ[Sort Code]=(TRIM(G$4)))*(CsDJ[Account Code]=(TRIM($B91)))*(CsDJ[Date]&lt;=$E$7),CsDJ[Credit])))+(SUM(IF((CRDJ[Sort Code]=(TRIM(G$4)))*(CRDJ[Account Code]=(TRIM($B91)))*(CRDJ[Date]&lt;=$E$7),CRDJ[Credit])))+(SUM(IF((GJ[Sort Code]=(TRIM(G$4)))*(GJ[Account Code]=(TRIM($B91)))*(GJ[Date]&lt;=$E$7),GJ[Credit]))))</f>
        <v>0</v>
      </c>
      <c r="F91" s="245">
        <f t="array" ref="F91">((SUM(IF((CkDJ[Date]=$A$3)*(CkDJ[Sort Code]=(TRIM(G$4)))*(CkDJ[Account Code]=(TRIM($B91))),CkDJ[Debit])))+(SUM(IF((CsDJ[Date]=$A$3)*(CsDJ[Sort Code]=(TRIM(G$4)))*(CsDJ[Account Code]=(TRIM($B91))),CsDJ[Debit])))+(SUM(IF((CRDJ[Date]=$A$3)*(CRDJ[Sort Code]=(TRIM(G$4)))*(CRDJ[Account Code]=(TRIM($B91))),CRDJ[Debit])))+(SUM(IF((GJ[Date]=$A$3)*(GJ[Sort Code]=(TRIM(G$4)))*(GJ[Account Code]=(TRIM($B91))),GJ[Debit]))))-((SUM(IF((CkDJ[Date]=$A$3)*(CkDJ[Sort Code]=(TRIM(G$4)))*(CkDJ[Account Code]=(TRIM($B91))),CkDJ[Credit])))+(SUM(IF((CsDJ[Date]=$A$3)*(CsDJ[Sort Code]=(TRIM(G$4)))*(CsDJ[Account Code]=(TRIM($B91))),CsDJ[Credit])))+(SUM(IF((CRDJ[Date]=$A$3)*(CRDJ[Sort Code]=(TRIM(G$4)))*(CRDJ[Account Code]=(TRIM($B91))),CRDJ[Credit])))+(SUM(IF((GJ[Date]=$A$3)*(GJ[Sort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hidden="1" x14ac:dyDescent="0.2">
      <c r="A92" s="256" t="s">
        <v>1475</v>
      </c>
      <c r="B92" s="339" t="s">
        <v>1266</v>
      </c>
      <c r="C92" s="245">
        <f t="array" ref="C92">SUM(IF((Budget[Account Code]=B92)*(Budget[Sort Code]=$G$4),(Budget[Amount])))</f>
        <v>0</v>
      </c>
      <c r="D92" s="245">
        <f t="array" ref="D92">SUM(IF((Budget[Account Code]=B92)*(Budget[Sort Code]=$G$4)*(Budget[Date]&lt;=$D$7),(Budget[Amount])))</f>
        <v>0</v>
      </c>
      <c r="E92" s="245">
        <f t="array" ref="E92">((SUM(IF((CkDJ[Sort Code]=(TRIM(G$4)))*(CkDJ[Account Code]=(TRIM($B92)))*(CkDJ[Date]&lt;=$E$7),CkDJ[Debit])))+(SUM(IF((CsDJ[Sort Code]=(TRIM(G$4)))*(CsDJ[Account Code]=(TRIM($B92)))*(CsDJ[Date]&lt;=$E$7),CsDJ[Debit])))+(SUM(IF((CRDJ[Sort Code]=(TRIM(G$4)))*(CRDJ[Account Code]=(TRIM($B92)))*(CRDJ[Date]&lt;=$E$7),CRDJ[Debit])))+(SUM(IF((GJ[Sort Code]=(TRIM(G$4)))*(GJ[Account Code]=(TRIM($B92)))*(GJ[Date]&lt;=$E$7),GJ[Debit]))))-((SUM(IF((CkDJ[Sort Code]=(TRIM(G$4)))*(CkDJ[Account Code]=(TRIM($B92)))*(CkDJ[Date]&lt;=$E$7),CkDJ[Credit])))+(SUM(IF((CsDJ[Sort Code]=(TRIM(G$4)))*(CsDJ[Account Code]=(TRIM($B92)))*(CsDJ[Date]&lt;=$E$7),CsDJ[Credit])))+(SUM(IF((CRDJ[Sort Code]=(TRIM(G$4)))*(CRDJ[Account Code]=(TRIM($B92)))*(CRDJ[Date]&lt;=$E$7),CRDJ[Credit])))+(SUM(IF((GJ[Sort Code]=(TRIM(G$4)))*(GJ[Account Code]=(TRIM($B92)))*(GJ[Date]&lt;=$E$7),GJ[Credit]))))</f>
        <v>0</v>
      </c>
      <c r="F92" s="245">
        <f t="array" ref="F92">((SUM(IF((CkDJ[Date]=$A$3)*(CkDJ[Sort Code]=(TRIM(G$4)))*(CkDJ[Account Code]=(TRIM($B92))),CkDJ[Debit])))+(SUM(IF((CsDJ[Date]=$A$3)*(CsDJ[Sort Code]=(TRIM(G$4)))*(CsDJ[Account Code]=(TRIM($B92))),CsDJ[Debit])))+(SUM(IF((CRDJ[Date]=$A$3)*(CRDJ[Sort Code]=(TRIM(G$4)))*(CRDJ[Account Code]=(TRIM($B92))),CRDJ[Debit])))+(SUM(IF((GJ[Date]=$A$3)*(GJ[Sort Code]=(TRIM(G$4)))*(GJ[Account Code]=(TRIM($B92))),GJ[Debit]))))-((SUM(IF((CkDJ[Date]=$A$3)*(CkDJ[Sort Code]=(TRIM(G$4)))*(CkDJ[Account Code]=(TRIM($B92))),CkDJ[Credit])))+(SUM(IF((CsDJ[Date]=$A$3)*(CsDJ[Sort Code]=(TRIM(G$4)))*(CsDJ[Account Code]=(TRIM($B92))),CsDJ[Credit])))+(SUM(IF((CRDJ[Date]=$A$3)*(CRDJ[Sort Code]=(TRIM(G$4)))*(CRDJ[Account Code]=(TRIM($B92))),CRDJ[Credit])))+(SUM(IF((GJ[Date]=$A$3)*(GJ[Sort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Code]=B93)*(Budget[Sort Code]=$G$4),(Budget[Amount])))</f>
        <v>0</v>
      </c>
      <c r="D93" s="245">
        <f t="array" ref="D93">SUM(IF((Budget[Account Code]=B93)*(Budget[Sort Code]=$G$4)*(Budget[Date]&lt;=$D$7),(Budget[Amount])))</f>
        <v>0</v>
      </c>
      <c r="E93" s="245">
        <f t="array" ref="E93">((SUM(IF((CkDJ[Sort Code]=(TRIM(G$4)))*(CkDJ[Account Code]=(TRIM($B93)))*(CkDJ[Date]&lt;=$E$7),CkDJ[Debit])))+(SUM(IF((CsDJ[Sort Code]=(TRIM(G$4)))*(CsDJ[Account Code]=(TRIM($B93)))*(CsDJ[Date]&lt;=$E$7),CsDJ[Debit])))+(SUM(IF((CRDJ[Sort Code]=(TRIM(G$4)))*(CRDJ[Account Code]=(TRIM($B93)))*(CRDJ[Date]&lt;=$E$7),CRDJ[Debit])))+(SUM(IF((GJ[Sort Code]=(TRIM(G$4)))*(GJ[Account Code]=(TRIM($B93)))*(GJ[Date]&lt;=$E$7),GJ[Debit]))))-((SUM(IF((CkDJ[Sort Code]=(TRIM(G$4)))*(CkDJ[Account Code]=(TRIM($B93)))*(CkDJ[Date]&lt;=$E$7),CkDJ[Credit])))+(SUM(IF((CsDJ[Sort Code]=(TRIM(G$4)))*(CsDJ[Account Code]=(TRIM($B93)))*(CsDJ[Date]&lt;=$E$7),CsDJ[Credit])))+(SUM(IF((CRDJ[Sort Code]=(TRIM(G$4)))*(CRDJ[Account Code]=(TRIM($B93)))*(CRDJ[Date]&lt;=$E$7),CRDJ[Credit])))+(SUM(IF((GJ[Sort Code]=(TRIM(G$4)))*(GJ[Account Code]=(TRIM($B93)))*(GJ[Date]&lt;=$E$7),GJ[Credit]))))</f>
        <v>0</v>
      </c>
      <c r="F93" s="245">
        <f t="array" ref="F93">((SUM(IF((CkDJ[Date]=$A$3)*(CkDJ[Sort Code]=(TRIM(G$4)))*(CkDJ[Account Code]=(TRIM($B93))),CkDJ[Debit])))+(SUM(IF((CsDJ[Date]=$A$3)*(CsDJ[Sort Code]=(TRIM(G$4)))*(CsDJ[Account Code]=(TRIM($B93))),CsDJ[Debit])))+(SUM(IF((CRDJ[Date]=$A$3)*(CRDJ[Sort Code]=(TRIM(G$4)))*(CRDJ[Account Code]=(TRIM($B93))),CRDJ[Debit])))+(SUM(IF((GJ[Date]=$A$3)*(GJ[Sort Code]=(TRIM(G$4)))*(GJ[Account Code]=(TRIM($B93))),GJ[Debit]))))-((SUM(IF((CkDJ[Date]=$A$3)*(CkDJ[Sort Code]=(TRIM(G$4)))*(CkDJ[Account Code]=(TRIM($B93))),CkDJ[Credit])))+(SUM(IF((CsDJ[Date]=$A$3)*(CsDJ[Sort Code]=(TRIM(G$4)))*(CsDJ[Account Code]=(TRIM($B93))),CsDJ[Credit])))+(SUM(IF((CRDJ[Date]=$A$3)*(CRDJ[Sort Code]=(TRIM(G$4)))*(CRDJ[Account Code]=(TRIM($B93))),CRDJ[Credit])))+(SUM(IF((GJ[Date]=$A$3)*(GJ[Sort Code]=(TRIM(G$4)))*(GJ[Account Code]=(TRIM($B93))),GJ[Credit]))))</f>
        <v>0</v>
      </c>
      <c r="G93" s="343">
        <f t="shared" si="9"/>
        <v>0</v>
      </c>
      <c r="H93" s="246">
        <f t="shared" si="5"/>
        <v>0</v>
      </c>
      <c r="I93" s="246">
        <f t="shared" si="6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Code]=B94)*(Budget[Sort Code]=$G$4),(Budget[Amount])))</f>
        <v>204036</v>
      </c>
      <c r="D94" s="245">
        <f t="array" ref="D94">SUM(IF((Budget[Account Code]=B94)*(Budget[Sort Code]=$G$4)*(Budget[Date]&lt;=$D$7),(Budget[Amount])))</f>
        <v>204036</v>
      </c>
      <c r="E94" s="245">
        <f t="array" ref="E94">((SUM(IF((CkDJ[Sort Code]=(TRIM(G$4)))*(CkDJ[Account Code]=(TRIM($B94)))*(CkDJ[Date]&lt;=$E$7),CkDJ[Debit])))+(SUM(IF((CsDJ[Sort Code]=(TRIM(G$4)))*(CsDJ[Account Code]=(TRIM($B94)))*(CsDJ[Date]&lt;=$E$7),CsDJ[Debit])))+(SUM(IF((CRDJ[Sort Code]=(TRIM(G$4)))*(CRDJ[Account Code]=(TRIM($B94)))*(CRDJ[Date]&lt;=$E$7),CRDJ[Debit])))+(SUM(IF((GJ[Sort Code]=(TRIM(G$4)))*(GJ[Account Code]=(TRIM($B94)))*(GJ[Date]&lt;=$E$7),GJ[Debit]))))-((SUM(IF((CkDJ[Sort Code]=(TRIM(G$4)))*(CkDJ[Account Code]=(TRIM($B94)))*(CkDJ[Date]&lt;=$E$7),CkDJ[Credit])))+(SUM(IF((CsDJ[Sort Code]=(TRIM(G$4)))*(CsDJ[Account Code]=(TRIM($B94)))*(CsDJ[Date]&lt;=$E$7),CsDJ[Credit])))+(SUM(IF((CRDJ[Sort Code]=(TRIM(G$4)))*(CRDJ[Account Code]=(TRIM($B94)))*(CRDJ[Date]&lt;=$E$7),CRDJ[Credit])))+(SUM(IF((GJ[Sort Code]=(TRIM(G$4)))*(GJ[Account Code]=(TRIM($B94)))*(GJ[Date]&lt;=$E$7),GJ[Credit]))))</f>
        <v>0</v>
      </c>
      <c r="F94" s="245">
        <f t="array" ref="F94">((SUM(IF((CkDJ[Date]=$A$3)*(CkDJ[Sort Code]=(TRIM(G$4)))*(CkDJ[Account Code]=(TRIM($B94))),CkDJ[Debit])))+(SUM(IF((CsDJ[Date]=$A$3)*(CsDJ[Sort Code]=(TRIM(G$4)))*(CsDJ[Account Code]=(TRIM($B94))),CsDJ[Debit])))+(SUM(IF((CRDJ[Date]=$A$3)*(CRDJ[Sort Code]=(TRIM(G$4)))*(CRDJ[Account Code]=(TRIM($B94))),CRDJ[Debit])))+(SUM(IF((GJ[Date]=$A$3)*(GJ[Sort Code]=(TRIM(G$4)))*(GJ[Account Code]=(TRIM($B94))),GJ[Debit]))))-((SUM(IF((CkDJ[Date]=$A$3)*(CkDJ[Sort Code]=(TRIM(G$4)))*(CkDJ[Account Code]=(TRIM($B94))),CkDJ[Credit])))+(SUM(IF((CsDJ[Date]=$A$3)*(CsDJ[Sort Code]=(TRIM(G$4)))*(CsDJ[Account Code]=(TRIM($B94))),CsDJ[Credit])))+(SUM(IF((CRDJ[Date]=$A$3)*(CRDJ[Sort Code]=(TRIM(G$4)))*(CRDJ[Account Code]=(TRIM($B94))),CRDJ[Credit])))+(SUM(IF((GJ[Date]=$A$3)*(GJ[Sort Code]=(TRIM(G$4)))*(GJ[Account Code]=(TRIM($B94))),GJ[Credit]))))</f>
        <v>0</v>
      </c>
      <c r="G94" s="343">
        <f t="shared" si="9"/>
        <v>0</v>
      </c>
      <c r="H94" s="246">
        <f t="shared" si="5"/>
        <v>-204036</v>
      </c>
      <c r="I94" s="246">
        <f t="shared" si="6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Code]=B95)*(Budget[Sort Code]=$G$4),(Budget[Amount])))</f>
        <v>61200</v>
      </c>
      <c r="D95" s="245">
        <f t="array" ref="D95">SUM(IF((Budget[Account Code]=B95)*(Budget[Sort Code]=$G$4)*(Budget[Date]&lt;=$D$7),(Budget[Amount])))</f>
        <v>61200</v>
      </c>
      <c r="E95" s="245">
        <f t="array" ref="E95">((SUM(IF((CkDJ[Sort Code]=(TRIM(G$4)))*(CkDJ[Account Code]=(TRIM($B95)))*(CkDJ[Date]&lt;=$E$7),CkDJ[Debit])))+(SUM(IF((CsDJ[Sort Code]=(TRIM(G$4)))*(CsDJ[Account Code]=(TRIM($B95)))*(CsDJ[Date]&lt;=$E$7),CsDJ[Debit])))+(SUM(IF((CRDJ[Sort Code]=(TRIM(G$4)))*(CRDJ[Account Code]=(TRIM($B95)))*(CRDJ[Date]&lt;=$E$7),CRDJ[Debit])))+(SUM(IF((GJ[Sort Code]=(TRIM(G$4)))*(GJ[Account Code]=(TRIM($B95)))*(GJ[Date]&lt;=$E$7),GJ[Debit]))))-((SUM(IF((CkDJ[Sort Code]=(TRIM(G$4)))*(CkDJ[Account Code]=(TRIM($B95)))*(CkDJ[Date]&lt;=$E$7),CkDJ[Credit])))+(SUM(IF((CsDJ[Sort Code]=(TRIM(G$4)))*(CsDJ[Account Code]=(TRIM($B95)))*(CsDJ[Date]&lt;=$E$7),CsDJ[Credit])))+(SUM(IF((CRDJ[Sort Code]=(TRIM(G$4)))*(CRDJ[Account Code]=(TRIM($B95)))*(CRDJ[Date]&lt;=$E$7),CRDJ[Credit])))+(SUM(IF((GJ[Sort Code]=(TRIM(G$4)))*(GJ[Account Code]=(TRIM($B95)))*(GJ[Date]&lt;=$E$7),GJ[Credit]))))</f>
        <v>0</v>
      </c>
      <c r="F95" s="245">
        <f t="array" ref="F95">((SUM(IF((CkDJ[Date]=$A$3)*(CkDJ[Sort Code]=(TRIM(G$4)))*(CkDJ[Account Code]=(TRIM($B95))),CkDJ[Debit])))+(SUM(IF((CsDJ[Date]=$A$3)*(CsDJ[Sort Code]=(TRIM(G$4)))*(CsDJ[Account Code]=(TRIM($B95))),CsDJ[Debit])))+(SUM(IF((CRDJ[Date]=$A$3)*(CRDJ[Sort Code]=(TRIM(G$4)))*(CRDJ[Account Code]=(TRIM($B95))),CRDJ[Debit])))+(SUM(IF((GJ[Date]=$A$3)*(GJ[Sort Code]=(TRIM(G$4)))*(GJ[Account Code]=(TRIM($B95))),GJ[Debit]))))-((SUM(IF((CkDJ[Date]=$A$3)*(CkDJ[Sort Code]=(TRIM(G$4)))*(CkDJ[Account Code]=(TRIM($B95))),CkDJ[Credit])))+(SUM(IF((CsDJ[Date]=$A$3)*(CsDJ[Sort Code]=(TRIM(G$4)))*(CsDJ[Account Code]=(TRIM($B95))),CsDJ[Credit])))+(SUM(IF((CRDJ[Date]=$A$3)*(CRDJ[Sort Code]=(TRIM(G$4)))*(CRDJ[Account Code]=(TRIM($B95))),CRDJ[Credit])))+(SUM(IF((GJ[Date]=$A$3)*(GJ[Sort Code]=(TRIM(G$4)))*(GJ[Account Code]=(TRIM($B95))),GJ[Credit]))))</f>
        <v>0</v>
      </c>
      <c r="G95" s="343">
        <f t="shared" si="9"/>
        <v>0</v>
      </c>
      <c r="H95" s="246">
        <f t="shared" si="5"/>
        <v>-61200</v>
      </c>
      <c r="I95" s="246">
        <f t="shared" si="6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Code]=B96)*(Budget[Sort Code]=$G$4),(Budget[Amount])))</f>
        <v>0</v>
      </c>
      <c r="D96" s="245">
        <f t="array" ref="D96">SUM(IF((Budget[Account Code]=B96)*(Budget[Sort Code]=$G$4)*(Budget[Date]&lt;=$D$7),(Budget[Amount])))</f>
        <v>0</v>
      </c>
      <c r="E96" s="245">
        <f t="array" ref="E96">((SUM(IF((CkDJ[Sort Code]=(TRIM(G$4)))*(CkDJ[Account Code]=(TRIM($B96)))*(CkDJ[Date]&lt;=$E$7),CkDJ[Debit])))+(SUM(IF((CsDJ[Sort Code]=(TRIM(G$4)))*(CsDJ[Account Code]=(TRIM($B96)))*(CsDJ[Date]&lt;=$E$7),CsDJ[Debit])))+(SUM(IF((CRDJ[Sort Code]=(TRIM(G$4)))*(CRDJ[Account Code]=(TRIM($B96)))*(CRDJ[Date]&lt;=$E$7),CRDJ[Debit])))+(SUM(IF((GJ[Sort Code]=(TRIM(G$4)))*(GJ[Account Code]=(TRIM($B96)))*(GJ[Date]&lt;=$E$7),GJ[Debit]))))-((SUM(IF((CkDJ[Sort Code]=(TRIM(G$4)))*(CkDJ[Account Code]=(TRIM($B96)))*(CkDJ[Date]&lt;=$E$7),CkDJ[Credit])))+(SUM(IF((CsDJ[Sort Code]=(TRIM(G$4)))*(CsDJ[Account Code]=(TRIM($B96)))*(CsDJ[Date]&lt;=$E$7),CsDJ[Credit])))+(SUM(IF((CRDJ[Sort Code]=(TRIM(G$4)))*(CRDJ[Account Code]=(TRIM($B96)))*(CRDJ[Date]&lt;=$E$7),CRDJ[Credit])))+(SUM(IF((GJ[Sort Code]=(TRIM(G$4)))*(GJ[Account Code]=(TRIM($B96)))*(GJ[Date]&lt;=$E$7),GJ[Credit]))))</f>
        <v>0</v>
      </c>
      <c r="F96" s="245">
        <f t="array" ref="F96">((SUM(IF((CkDJ[Date]=$A$3)*(CkDJ[Sort Code]=(TRIM(G$4)))*(CkDJ[Account Code]=(TRIM($B96))),CkDJ[Debit])))+(SUM(IF((CsDJ[Date]=$A$3)*(CsDJ[Sort Code]=(TRIM(G$4)))*(CsDJ[Account Code]=(TRIM($B96))),CsDJ[Debit])))+(SUM(IF((CRDJ[Date]=$A$3)*(CRDJ[Sort Code]=(TRIM(G$4)))*(CRDJ[Account Code]=(TRIM($B96))),CRDJ[Debit])))+(SUM(IF((GJ[Date]=$A$3)*(GJ[Sort Code]=(TRIM(G$4)))*(GJ[Account Code]=(TRIM($B96))),GJ[Debit]))))-((SUM(IF((CkDJ[Date]=$A$3)*(CkDJ[Sort Code]=(TRIM(G$4)))*(CkDJ[Account Code]=(TRIM($B96))),CkDJ[Credit])))+(SUM(IF((CsDJ[Date]=$A$3)*(CsDJ[Sort Code]=(TRIM(G$4)))*(CsDJ[Account Code]=(TRIM($B96))),CsDJ[Credit])))+(SUM(IF((CRDJ[Date]=$A$3)*(CRDJ[Sort Code]=(TRIM(G$4)))*(CRDJ[Account Code]=(TRIM($B96))),CRDJ[Credit])))+(SUM(IF((GJ[Date]=$A$3)*(GJ[Sort Code]=(TRIM(G$4)))*(GJ[Account Code]=(TRIM($B96))),GJ[Credit]))))</f>
        <v>0</v>
      </c>
      <c r="G96" s="343">
        <f t="shared" si="9"/>
        <v>0</v>
      </c>
      <c r="H96" s="246">
        <f t="shared" si="5"/>
        <v>0</v>
      </c>
      <c r="I96" s="246">
        <f t="shared" si="6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Code]=B97)*(Budget[Sort Code]=$G$4),(Budget[Amount])))</f>
        <v>0</v>
      </c>
      <c r="D97" s="245">
        <f t="array" ref="D97">SUM(IF((Budget[Account Code]=B97)*(Budget[Sort Code]=$G$4)*(Budget[Date]&lt;=$D$7),(Budget[Amount])))</f>
        <v>0</v>
      </c>
      <c r="E97" s="245">
        <f t="array" ref="E97">((SUM(IF((CkDJ[Sort Code]=(TRIM(G$4)))*(CkDJ[Account Code]=(TRIM($B97)))*(CkDJ[Date]&lt;=$E$7),CkDJ[Debit])))+(SUM(IF((CsDJ[Sort Code]=(TRIM(G$4)))*(CsDJ[Account Code]=(TRIM($B97)))*(CsDJ[Date]&lt;=$E$7),CsDJ[Debit])))+(SUM(IF((CRDJ[Sort Code]=(TRIM(G$4)))*(CRDJ[Account Code]=(TRIM($B97)))*(CRDJ[Date]&lt;=$E$7),CRDJ[Debit])))+(SUM(IF((GJ[Sort Code]=(TRIM(G$4)))*(GJ[Account Code]=(TRIM($B97)))*(GJ[Date]&lt;=$E$7),GJ[Debit]))))-((SUM(IF((CkDJ[Sort Code]=(TRIM(G$4)))*(CkDJ[Account Code]=(TRIM($B97)))*(CkDJ[Date]&lt;=$E$7),CkDJ[Credit])))+(SUM(IF((CsDJ[Sort Code]=(TRIM(G$4)))*(CsDJ[Account Code]=(TRIM($B97)))*(CsDJ[Date]&lt;=$E$7),CsDJ[Credit])))+(SUM(IF((CRDJ[Sort Code]=(TRIM(G$4)))*(CRDJ[Account Code]=(TRIM($B97)))*(CRDJ[Date]&lt;=$E$7),CRDJ[Credit])))+(SUM(IF((GJ[Sort Code]=(TRIM(G$4)))*(GJ[Account Code]=(TRIM($B97)))*(GJ[Date]&lt;=$E$7),GJ[Credit]))))</f>
        <v>0</v>
      </c>
      <c r="F97" s="245">
        <f t="array" ref="F97">((SUM(IF((CkDJ[Date]=$A$3)*(CkDJ[Sort Code]=(TRIM(G$4)))*(CkDJ[Account Code]=(TRIM($B97))),CkDJ[Debit])))+(SUM(IF((CsDJ[Date]=$A$3)*(CsDJ[Sort Code]=(TRIM(G$4)))*(CsDJ[Account Code]=(TRIM($B97))),CsDJ[Debit])))+(SUM(IF((CRDJ[Date]=$A$3)*(CRDJ[Sort Code]=(TRIM(G$4)))*(CRDJ[Account Code]=(TRIM($B97))),CRDJ[Debit])))+(SUM(IF((GJ[Date]=$A$3)*(GJ[Sort Code]=(TRIM(G$4)))*(GJ[Account Code]=(TRIM($B97))),GJ[Debit]))))-((SUM(IF((CkDJ[Date]=$A$3)*(CkDJ[Sort Code]=(TRIM(G$4)))*(CkDJ[Account Code]=(TRIM($B97))),CkDJ[Credit])))+(SUM(IF((CsDJ[Date]=$A$3)*(CsDJ[Sort Code]=(TRIM(G$4)))*(CsDJ[Account Code]=(TRIM($B97))),CsDJ[Credit])))+(SUM(IF((CRDJ[Date]=$A$3)*(CRDJ[Sort Code]=(TRIM(G$4)))*(CRDJ[Account Code]=(TRIM($B97))),CRDJ[Credit])))+(SUM(IF((GJ[Date]=$A$3)*(GJ[Sort Code]=(TRIM(G$4)))*(GJ[Account Code]=(TRIM($B97))),GJ[Credit]))))</f>
        <v>0</v>
      </c>
      <c r="G97" s="343">
        <f t="shared" si="9"/>
        <v>0</v>
      </c>
      <c r="H97" s="246">
        <f t="shared" si="5"/>
        <v>0</v>
      </c>
      <c r="I97" s="246">
        <f t="shared" si="6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Code]=B98)*(Budget[Sort Code]=$G$4),(Budget[Amount])))</f>
        <v>0</v>
      </c>
      <c r="D98" s="245">
        <f t="array" ref="D98">SUM(IF((Budget[Account Code]=B98)*(Budget[Sort Code]=$G$4)*(Budget[Date]&lt;=$D$7),(Budget[Amount])))</f>
        <v>0</v>
      </c>
      <c r="E98" s="245">
        <f t="array" ref="E98">((SUM(IF((CkDJ[Sort Code]=(TRIM(G$4)))*(CkDJ[Account Code]=(TRIM($B98)))*(CkDJ[Date]&lt;=$E$7),CkDJ[Debit])))+(SUM(IF((CsDJ[Sort Code]=(TRIM(G$4)))*(CsDJ[Account Code]=(TRIM($B98)))*(CsDJ[Date]&lt;=$E$7),CsDJ[Debit])))+(SUM(IF((CRDJ[Sort Code]=(TRIM(G$4)))*(CRDJ[Account Code]=(TRIM($B98)))*(CRDJ[Date]&lt;=$E$7),CRDJ[Debit])))+(SUM(IF((GJ[Sort Code]=(TRIM(G$4)))*(GJ[Account Code]=(TRIM($B98)))*(GJ[Date]&lt;=$E$7),GJ[Debit]))))-((SUM(IF((CkDJ[Sort Code]=(TRIM(G$4)))*(CkDJ[Account Code]=(TRIM($B98)))*(CkDJ[Date]&lt;=$E$7),CkDJ[Credit])))+(SUM(IF((CsDJ[Sort Code]=(TRIM(G$4)))*(CsDJ[Account Code]=(TRIM($B98)))*(CsDJ[Date]&lt;=$E$7),CsDJ[Credit])))+(SUM(IF((CRDJ[Sort Code]=(TRIM(G$4)))*(CRDJ[Account Code]=(TRIM($B98)))*(CRDJ[Date]&lt;=$E$7),CRDJ[Credit])))+(SUM(IF((GJ[Sort Code]=(TRIM(G$4)))*(GJ[Account Code]=(TRIM($B98)))*(GJ[Date]&lt;=$E$7),GJ[Credit]))))</f>
        <v>0</v>
      </c>
      <c r="F98" s="245">
        <f t="array" ref="F98">((SUM(IF((CkDJ[Date]=$A$3)*(CkDJ[Sort Code]=(TRIM(G$4)))*(CkDJ[Account Code]=(TRIM($B98))),CkDJ[Debit])))+(SUM(IF((CsDJ[Date]=$A$3)*(CsDJ[Sort Code]=(TRIM(G$4)))*(CsDJ[Account Code]=(TRIM($B98))),CsDJ[Debit])))+(SUM(IF((CRDJ[Date]=$A$3)*(CRDJ[Sort Code]=(TRIM(G$4)))*(CRDJ[Account Code]=(TRIM($B98))),CRDJ[Debit])))+(SUM(IF((GJ[Date]=$A$3)*(GJ[Sort Code]=(TRIM(G$4)))*(GJ[Account Code]=(TRIM($B98))),GJ[Debit]))))-((SUM(IF((CkDJ[Date]=$A$3)*(CkDJ[Sort Code]=(TRIM(G$4)))*(CkDJ[Account Code]=(TRIM($B98))),CkDJ[Credit])))+(SUM(IF((CsDJ[Date]=$A$3)*(CsDJ[Sort Code]=(TRIM(G$4)))*(CsDJ[Account Code]=(TRIM($B98))),CsDJ[Credit])))+(SUM(IF((CRDJ[Date]=$A$3)*(CRDJ[Sort Code]=(TRIM(G$4)))*(CRDJ[Account Code]=(TRIM($B98))),CRDJ[Credit])))+(SUM(IF((GJ[Date]=$A$3)*(GJ[Sort Code]=(TRIM(G$4)))*(GJ[Account Code]=(TRIM($B98))),GJ[Credit]))))</f>
        <v>0</v>
      </c>
      <c r="G98" s="343">
        <f t="shared" si="9"/>
        <v>0</v>
      </c>
      <c r="H98" s="246">
        <f t="shared" si="5"/>
        <v>0</v>
      </c>
      <c r="I98" s="246">
        <f t="shared" si="6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Code]=B99)*(Budget[Sort Code]=$G$4),(Budget[Amount])))</f>
        <v>0</v>
      </c>
      <c r="D99" s="245">
        <f t="array" ref="D99">SUM(IF((Budget[Account Code]=B99)*(Budget[Sort Code]=$G$4)*(Budget[Date]&lt;=$D$7),(Budget[Amount])))</f>
        <v>0</v>
      </c>
      <c r="E99" s="245">
        <f t="array" ref="E99">((SUM(IF((CkDJ[Sort Code]=(TRIM(G$4)))*(CkDJ[Account Code]=(TRIM($B99)))*(CkDJ[Date]&lt;=$E$7),CkDJ[Debit])))+(SUM(IF((CsDJ[Sort Code]=(TRIM(G$4)))*(CsDJ[Account Code]=(TRIM($B99)))*(CsDJ[Date]&lt;=$E$7),CsDJ[Debit])))+(SUM(IF((CRDJ[Sort Code]=(TRIM(G$4)))*(CRDJ[Account Code]=(TRIM($B99)))*(CRDJ[Date]&lt;=$E$7),CRDJ[Debit])))+(SUM(IF((GJ[Sort Code]=(TRIM(G$4)))*(GJ[Account Code]=(TRIM($B99)))*(GJ[Date]&lt;=$E$7),GJ[Debit]))))-((SUM(IF((CkDJ[Sort Code]=(TRIM(G$4)))*(CkDJ[Account Code]=(TRIM($B99)))*(CkDJ[Date]&lt;=$E$7),CkDJ[Credit])))+(SUM(IF((CsDJ[Sort Code]=(TRIM(G$4)))*(CsDJ[Account Code]=(TRIM($B99)))*(CsDJ[Date]&lt;=$E$7),CsDJ[Credit])))+(SUM(IF((CRDJ[Sort Code]=(TRIM(G$4)))*(CRDJ[Account Code]=(TRIM($B99)))*(CRDJ[Date]&lt;=$E$7),CRDJ[Credit])))+(SUM(IF((GJ[Sort Code]=(TRIM(G$4)))*(GJ[Account Code]=(TRIM($B99)))*(GJ[Date]&lt;=$E$7),GJ[Credit]))))</f>
        <v>0</v>
      </c>
      <c r="F99" s="245">
        <f t="array" ref="F99">((SUM(IF((CkDJ[Date]=$A$3)*(CkDJ[Sort Code]=(TRIM(G$4)))*(CkDJ[Account Code]=(TRIM($B99))),CkDJ[Debit])))+(SUM(IF((CsDJ[Date]=$A$3)*(CsDJ[Sort Code]=(TRIM(G$4)))*(CsDJ[Account Code]=(TRIM($B99))),CsDJ[Debit])))+(SUM(IF((CRDJ[Date]=$A$3)*(CRDJ[Sort Code]=(TRIM(G$4)))*(CRDJ[Account Code]=(TRIM($B99))),CRDJ[Debit])))+(SUM(IF((GJ[Date]=$A$3)*(GJ[Sort Code]=(TRIM(G$4)))*(GJ[Account Code]=(TRIM($B99))),GJ[Debit]))))-((SUM(IF((CkDJ[Date]=$A$3)*(CkDJ[Sort Code]=(TRIM(G$4)))*(CkDJ[Account Code]=(TRIM($B99))),CkDJ[Credit])))+(SUM(IF((CsDJ[Date]=$A$3)*(CsDJ[Sort Code]=(TRIM(G$4)))*(CsDJ[Account Code]=(TRIM($B99))),CsDJ[Credit])))+(SUM(IF((CRDJ[Date]=$A$3)*(CRDJ[Sort Code]=(TRIM(G$4)))*(CRDJ[Account Code]=(TRIM($B99))),CRDJ[Credit])))+(SUM(IF((GJ[Date]=$A$3)*(GJ[Sort Code]=(TRIM(G$4)))*(GJ[Account Code]=(TRIM($B99))),GJ[Credit]))))</f>
        <v>0</v>
      </c>
      <c r="G99" s="343">
        <f t="shared" si="9"/>
        <v>0</v>
      </c>
      <c r="H99" s="246">
        <f t="shared" si="5"/>
        <v>0</v>
      </c>
      <c r="I99" s="246">
        <f t="shared" si="6"/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Code]=B100)*(Budget[Sort Code]=$G$4),(Budget[Amount])))</f>
        <v>0</v>
      </c>
      <c r="D100" s="245">
        <f t="array" ref="D100">SUM(IF((Budget[Account Code]=B100)*(Budget[Sort Code]=$G$4)*(Budget[Date]&lt;=$D$7),(Budget[Amount])))</f>
        <v>0</v>
      </c>
      <c r="E100" s="245">
        <f t="array" ref="E100">((SUM(IF((CkDJ[Sort Code]=(TRIM(G$4)))*(CkDJ[Account Code]=(TRIM($B100)))*(CkDJ[Date]&lt;=$E$7),CkDJ[Debit])))+(SUM(IF((CsDJ[Sort Code]=(TRIM(G$4)))*(CsDJ[Account Code]=(TRIM($B100)))*(CsDJ[Date]&lt;=$E$7),CsDJ[Debit])))+(SUM(IF((CRDJ[Sort Code]=(TRIM(G$4)))*(CRDJ[Account Code]=(TRIM($B100)))*(CRDJ[Date]&lt;=$E$7),CRDJ[Debit])))+(SUM(IF((GJ[Sort Code]=(TRIM(G$4)))*(GJ[Account Code]=(TRIM($B100)))*(GJ[Date]&lt;=$E$7),GJ[Debit]))))-((SUM(IF((CkDJ[Sort Code]=(TRIM(G$4)))*(CkDJ[Account Code]=(TRIM($B100)))*(CkDJ[Date]&lt;=$E$7),CkDJ[Credit])))+(SUM(IF((CsDJ[Sort Code]=(TRIM(G$4)))*(CsDJ[Account Code]=(TRIM($B100)))*(CsDJ[Date]&lt;=$E$7),CsDJ[Credit])))+(SUM(IF((CRDJ[Sort Code]=(TRIM(G$4)))*(CRDJ[Account Code]=(TRIM($B100)))*(CRDJ[Date]&lt;=$E$7),CRDJ[Credit])))+(SUM(IF((GJ[Sort Code]=(TRIM(G$4)))*(GJ[Account Code]=(TRIM($B100)))*(GJ[Date]&lt;=$E$7),GJ[Credit]))))</f>
        <v>0</v>
      </c>
      <c r="F100" s="245">
        <f t="array" ref="F100">((SUM(IF((CkDJ[Date]=$A$3)*(CkDJ[Sort Code]=(TRIM(G$4)))*(CkDJ[Account Code]=(TRIM($B100))),CkDJ[Debit])))+(SUM(IF((CsDJ[Date]=$A$3)*(CsDJ[Sort Code]=(TRIM(G$4)))*(CsDJ[Account Code]=(TRIM($B100))),CsDJ[Debit])))+(SUM(IF((CRDJ[Date]=$A$3)*(CRDJ[Sort Code]=(TRIM(G$4)))*(CRDJ[Account Code]=(TRIM($B100))),CRDJ[Debit])))+(SUM(IF((GJ[Date]=$A$3)*(GJ[Sort Code]=(TRIM(G$4)))*(GJ[Account Code]=(TRIM($B100))),GJ[Debit]))))-((SUM(IF((CkDJ[Date]=$A$3)*(CkDJ[Sort Code]=(TRIM(G$4)))*(CkDJ[Account Code]=(TRIM($B100))),CkDJ[Credit])))+(SUM(IF((CsDJ[Date]=$A$3)*(CsDJ[Sort Code]=(TRIM(G$4)))*(CsDJ[Account Code]=(TRIM($B100))),CsDJ[Credit])))+(SUM(IF((CRDJ[Date]=$A$3)*(CRDJ[Sort Code]=(TRIM(G$4)))*(CRDJ[Account Code]=(TRIM($B100))),CRDJ[Credit])))+(SUM(IF((GJ[Date]=$A$3)*(GJ[Sort Code]=(TRIM(G$4)))*(GJ[Account Code]=(TRIM($B100))),GJ[Credit]))))</f>
        <v>0</v>
      </c>
      <c r="G100" s="343">
        <f t="shared" si="9"/>
        <v>0</v>
      </c>
      <c r="H100" s="246">
        <f t="shared" si="5"/>
        <v>0</v>
      </c>
      <c r="I100" s="246">
        <f t="shared" si="6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Code]=B101)*(Budget[Sort Code]=$G$4),(Budget[Amount])))</f>
        <v>0</v>
      </c>
      <c r="D101" s="245">
        <f t="array" ref="D101">SUM(IF((Budget[Account Code]=B101)*(Budget[Sort Code]=$G$4)*(Budget[Date]&lt;=$D$7),(Budget[Amount])))</f>
        <v>0</v>
      </c>
      <c r="E101" s="245">
        <f t="array" ref="E101">((SUM(IF((CkDJ[Sort Code]=(TRIM(G$4)))*(CkDJ[Account Code]=(TRIM($B101)))*(CkDJ[Date]&lt;=$E$7),CkDJ[Debit])))+(SUM(IF((CsDJ[Sort Code]=(TRIM(G$4)))*(CsDJ[Account Code]=(TRIM($B101)))*(CsDJ[Date]&lt;=$E$7),CsDJ[Debit])))+(SUM(IF((CRDJ[Sort Code]=(TRIM(G$4)))*(CRDJ[Account Code]=(TRIM($B101)))*(CRDJ[Date]&lt;=$E$7),CRDJ[Debit])))+(SUM(IF((GJ[Sort Code]=(TRIM(G$4)))*(GJ[Account Code]=(TRIM($B101)))*(GJ[Date]&lt;=$E$7),GJ[Debit]))))-((SUM(IF((CkDJ[Sort Code]=(TRIM(G$4)))*(CkDJ[Account Code]=(TRIM($B101)))*(CkDJ[Date]&lt;=$E$7),CkDJ[Credit])))+(SUM(IF((CsDJ[Sort Code]=(TRIM(G$4)))*(CsDJ[Account Code]=(TRIM($B101)))*(CsDJ[Date]&lt;=$E$7),CsDJ[Credit])))+(SUM(IF((CRDJ[Sort Code]=(TRIM(G$4)))*(CRDJ[Account Code]=(TRIM($B101)))*(CRDJ[Date]&lt;=$E$7),CRDJ[Credit])))+(SUM(IF((GJ[Sort Code]=(TRIM(G$4)))*(GJ[Account Code]=(TRIM($B101)))*(GJ[Date]&lt;=$E$7),GJ[Credit]))))</f>
        <v>0</v>
      </c>
      <c r="F101" s="245">
        <f t="array" ref="F101">((SUM(IF((CkDJ[Date]=$A$3)*(CkDJ[Sort Code]=(TRIM(G$4)))*(CkDJ[Account Code]=(TRIM($B101))),CkDJ[Debit])))+(SUM(IF((CsDJ[Date]=$A$3)*(CsDJ[Sort Code]=(TRIM(G$4)))*(CsDJ[Account Code]=(TRIM($B101))),CsDJ[Debit])))+(SUM(IF((CRDJ[Date]=$A$3)*(CRDJ[Sort Code]=(TRIM(G$4)))*(CRDJ[Account Code]=(TRIM($B101))),CRDJ[Debit])))+(SUM(IF((GJ[Date]=$A$3)*(GJ[Sort Code]=(TRIM(G$4)))*(GJ[Account Code]=(TRIM($B101))),GJ[Debit]))))-((SUM(IF((CkDJ[Date]=$A$3)*(CkDJ[Sort Code]=(TRIM(G$4)))*(CkDJ[Account Code]=(TRIM($B101))),CkDJ[Credit])))+(SUM(IF((CsDJ[Date]=$A$3)*(CsDJ[Sort Code]=(TRIM(G$4)))*(CsDJ[Account Code]=(TRIM($B101))),CsDJ[Credit])))+(SUM(IF((CRDJ[Date]=$A$3)*(CRDJ[Sort Code]=(TRIM(G$4)))*(CRDJ[Account Code]=(TRIM($B101))),CRDJ[Credit])))+(SUM(IF((GJ[Date]=$A$3)*(GJ[Sort Code]=(TRIM(G$4)))*(GJ[Account Code]=(TRIM($B101))),GJ[Credit]))))</f>
        <v>0</v>
      </c>
      <c r="G101" s="343">
        <f t="shared" si="9"/>
        <v>0</v>
      </c>
      <c r="H101" s="246">
        <f t="shared" si="5"/>
        <v>0</v>
      </c>
      <c r="I101" s="246">
        <f t="shared" si="6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Code]=B102)*(Budget[Sort Code]=$G$4),(Budget[Amount])))</f>
        <v>0</v>
      </c>
      <c r="D102" s="245">
        <f t="array" ref="D102">SUM(IF((Budget[Account Code]=B102)*(Budget[Sort Code]=$G$4)*(Budget[Date]&lt;=$D$7),(Budget[Amount])))</f>
        <v>0</v>
      </c>
      <c r="E102" s="245">
        <f t="array" ref="E102">((SUM(IF((CkDJ[Sort Code]=(TRIM(G$4)))*(CkDJ[Account Code]=(TRIM($B102)))*(CkDJ[Date]&lt;=$E$7),CkDJ[Debit])))+(SUM(IF((CsDJ[Sort Code]=(TRIM(G$4)))*(CsDJ[Account Code]=(TRIM($B102)))*(CsDJ[Date]&lt;=$E$7),CsDJ[Debit])))+(SUM(IF((CRDJ[Sort Code]=(TRIM(G$4)))*(CRDJ[Account Code]=(TRIM($B102)))*(CRDJ[Date]&lt;=$E$7),CRDJ[Debit])))+(SUM(IF((GJ[Sort Code]=(TRIM(G$4)))*(GJ[Account Code]=(TRIM($B102)))*(GJ[Date]&lt;=$E$7),GJ[Debit]))))-((SUM(IF((CkDJ[Sort Code]=(TRIM(G$4)))*(CkDJ[Account Code]=(TRIM($B102)))*(CkDJ[Date]&lt;=$E$7),CkDJ[Credit])))+(SUM(IF((CsDJ[Sort Code]=(TRIM(G$4)))*(CsDJ[Account Code]=(TRIM($B102)))*(CsDJ[Date]&lt;=$E$7),CsDJ[Credit])))+(SUM(IF((CRDJ[Sort Code]=(TRIM(G$4)))*(CRDJ[Account Code]=(TRIM($B102)))*(CRDJ[Date]&lt;=$E$7),CRDJ[Credit])))+(SUM(IF((GJ[Sort Code]=(TRIM(G$4)))*(GJ[Account Code]=(TRIM($B102)))*(GJ[Date]&lt;=$E$7),GJ[Credit]))))</f>
        <v>0</v>
      </c>
      <c r="F102" s="245">
        <f t="array" ref="F102">((SUM(IF((CkDJ[Date]=$A$3)*(CkDJ[Sort Code]=(TRIM(G$4)))*(CkDJ[Account Code]=(TRIM($B102))),CkDJ[Debit])))+(SUM(IF((CsDJ[Date]=$A$3)*(CsDJ[Sort Code]=(TRIM(G$4)))*(CsDJ[Account Code]=(TRIM($B102))),CsDJ[Debit])))+(SUM(IF((CRDJ[Date]=$A$3)*(CRDJ[Sort Code]=(TRIM(G$4)))*(CRDJ[Account Code]=(TRIM($B102))),CRDJ[Debit])))+(SUM(IF((GJ[Date]=$A$3)*(GJ[Sort Code]=(TRIM(G$4)))*(GJ[Account Code]=(TRIM($B102))),GJ[Debit]))))-((SUM(IF((CkDJ[Date]=$A$3)*(CkDJ[Sort Code]=(TRIM(G$4)))*(CkDJ[Account Code]=(TRIM($B102))),CkDJ[Credit])))+(SUM(IF((CsDJ[Date]=$A$3)*(CsDJ[Sort Code]=(TRIM(G$4)))*(CsDJ[Account Code]=(TRIM($B102))),CsDJ[Credit])))+(SUM(IF((CRDJ[Date]=$A$3)*(CRDJ[Sort Code]=(TRIM(G$4)))*(CRDJ[Account Code]=(TRIM($B102))),CRDJ[Credit])))+(SUM(IF((GJ[Date]=$A$3)*(GJ[Sort Code]=(TRIM(G$4)))*(GJ[Account Code]=(TRIM($B102))),GJ[Credit]))))</f>
        <v>0</v>
      </c>
      <c r="G102" s="343">
        <f t="shared" si="9"/>
        <v>0</v>
      </c>
      <c r="H102" s="246">
        <f t="shared" si="5"/>
        <v>0</v>
      </c>
      <c r="I102" s="246">
        <f t="shared" si="6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Code]=B103)*(Budget[Sort Code]=$G$4),(Budget[Amount])))</f>
        <v>0</v>
      </c>
      <c r="D103" s="245">
        <f t="array" ref="D103">SUM(IF((Budget[Account Code]=B103)*(Budget[Sort Code]=$G$4)*(Budget[Date]&lt;=$D$7),(Budget[Amount])))</f>
        <v>0</v>
      </c>
      <c r="E103" s="245">
        <f t="array" ref="E103">((SUM(IF((CkDJ[Sort Code]=(TRIM(G$4)))*(CkDJ[Account Code]=(TRIM($B103)))*(CkDJ[Date]&lt;=$E$7),CkDJ[Debit])))+(SUM(IF((CsDJ[Sort Code]=(TRIM(G$4)))*(CsDJ[Account Code]=(TRIM($B103)))*(CsDJ[Date]&lt;=$E$7),CsDJ[Debit])))+(SUM(IF((CRDJ[Sort Code]=(TRIM(G$4)))*(CRDJ[Account Code]=(TRIM($B103)))*(CRDJ[Date]&lt;=$E$7),CRDJ[Debit])))+(SUM(IF((GJ[Sort Code]=(TRIM(G$4)))*(GJ[Account Code]=(TRIM($B103)))*(GJ[Date]&lt;=$E$7),GJ[Debit]))))-((SUM(IF((CkDJ[Sort Code]=(TRIM(G$4)))*(CkDJ[Account Code]=(TRIM($B103)))*(CkDJ[Date]&lt;=$E$7),CkDJ[Credit])))+(SUM(IF((CsDJ[Sort Code]=(TRIM(G$4)))*(CsDJ[Account Code]=(TRIM($B103)))*(CsDJ[Date]&lt;=$E$7),CsDJ[Credit])))+(SUM(IF((CRDJ[Sort Code]=(TRIM(G$4)))*(CRDJ[Account Code]=(TRIM($B103)))*(CRDJ[Date]&lt;=$E$7),CRDJ[Credit])))+(SUM(IF((GJ[Sort Code]=(TRIM(G$4)))*(GJ[Account Code]=(TRIM($B103)))*(GJ[Date]&lt;=$E$7),GJ[Credit]))))</f>
        <v>0</v>
      </c>
      <c r="F103" s="245">
        <f t="array" ref="F103">((SUM(IF((CkDJ[Date]=$A$3)*(CkDJ[Sort Code]=(TRIM(G$4)))*(CkDJ[Account Code]=(TRIM($B103))),CkDJ[Debit])))+(SUM(IF((CsDJ[Date]=$A$3)*(CsDJ[Sort Code]=(TRIM(G$4)))*(CsDJ[Account Code]=(TRIM($B103))),CsDJ[Debit])))+(SUM(IF((CRDJ[Date]=$A$3)*(CRDJ[Sort Code]=(TRIM(G$4)))*(CRDJ[Account Code]=(TRIM($B103))),CRDJ[Debit])))+(SUM(IF((GJ[Date]=$A$3)*(GJ[Sort Code]=(TRIM(G$4)))*(GJ[Account Code]=(TRIM($B103))),GJ[Debit]))))-((SUM(IF((CkDJ[Date]=$A$3)*(CkDJ[Sort Code]=(TRIM(G$4)))*(CkDJ[Account Code]=(TRIM($B103))),CkDJ[Credit])))+(SUM(IF((CsDJ[Date]=$A$3)*(CsDJ[Sort Code]=(TRIM(G$4)))*(CsDJ[Account Code]=(TRIM($B103))),CsDJ[Credit])))+(SUM(IF((CRDJ[Date]=$A$3)*(CRDJ[Sort Code]=(TRIM(G$4)))*(CRDJ[Account Code]=(TRIM($B103))),CRDJ[Credit])))+(SUM(IF((GJ[Date]=$A$3)*(GJ[Sort Code]=(TRIM(G$4)))*(GJ[Account Code]=(TRIM($B103))),GJ[Credit]))))</f>
        <v>0</v>
      </c>
      <c r="G103" s="343">
        <f t="shared" si="9"/>
        <v>0</v>
      </c>
      <c r="H103" s="246">
        <f t="shared" si="5"/>
        <v>0</v>
      </c>
      <c r="I103" s="246">
        <f t="shared" si="6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Code]=B104)*(Budget[Sort Code]=$G$4),(Budget[Amount])))</f>
        <v>0</v>
      </c>
      <c r="D104" s="245">
        <f t="array" ref="D104">SUM(IF((Budget[Account Code]=B104)*(Budget[Sort Code]=$G$4)*(Budget[Date]&lt;=$D$7),(Budget[Amount])))</f>
        <v>0</v>
      </c>
      <c r="E104" s="245">
        <f t="array" ref="E104">((SUM(IF((CkDJ[Sort Code]=(TRIM(G$4)))*(CkDJ[Account Code]=(TRIM($B104)))*(CkDJ[Date]&lt;=$E$7),CkDJ[Debit])))+(SUM(IF((CsDJ[Sort Code]=(TRIM(G$4)))*(CsDJ[Account Code]=(TRIM($B104)))*(CsDJ[Date]&lt;=$E$7),CsDJ[Debit])))+(SUM(IF((CRDJ[Sort Code]=(TRIM(G$4)))*(CRDJ[Account Code]=(TRIM($B104)))*(CRDJ[Date]&lt;=$E$7),CRDJ[Debit])))+(SUM(IF((GJ[Sort Code]=(TRIM(G$4)))*(GJ[Account Code]=(TRIM($B104)))*(GJ[Date]&lt;=$E$7),GJ[Debit]))))-((SUM(IF((CkDJ[Sort Code]=(TRIM(G$4)))*(CkDJ[Account Code]=(TRIM($B104)))*(CkDJ[Date]&lt;=$E$7),CkDJ[Credit])))+(SUM(IF((CsDJ[Sort Code]=(TRIM(G$4)))*(CsDJ[Account Code]=(TRIM($B104)))*(CsDJ[Date]&lt;=$E$7),CsDJ[Credit])))+(SUM(IF((CRDJ[Sort Code]=(TRIM(G$4)))*(CRDJ[Account Code]=(TRIM($B104)))*(CRDJ[Date]&lt;=$E$7),CRDJ[Credit])))+(SUM(IF((GJ[Sort Code]=(TRIM(G$4)))*(GJ[Account Code]=(TRIM($B104)))*(GJ[Date]&lt;=$E$7),GJ[Credit]))))</f>
        <v>0</v>
      </c>
      <c r="F104" s="245">
        <f t="array" ref="F104">((SUM(IF((CkDJ[Date]=$A$3)*(CkDJ[Sort Code]=(TRIM(G$4)))*(CkDJ[Account Code]=(TRIM($B104))),CkDJ[Debit])))+(SUM(IF((CsDJ[Date]=$A$3)*(CsDJ[Sort Code]=(TRIM(G$4)))*(CsDJ[Account Code]=(TRIM($B104))),CsDJ[Debit])))+(SUM(IF((CRDJ[Date]=$A$3)*(CRDJ[Sort Code]=(TRIM(G$4)))*(CRDJ[Account Code]=(TRIM($B104))),CRDJ[Debit])))+(SUM(IF((GJ[Date]=$A$3)*(GJ[Sort Code]=(TRIM(G$4)))*(GJ[Account Code]=(TRIM($B104))),GJ[Debit]))))-((SUM(IF((CkDJ[Date]=$A$3)*(CkDJ[Sort Code]=(TRIM(G$4)))*(CkDJ[Account Code]=(TRIM($B104))),CkDJ[Credit])))+(SUM(IF((CsDJ[Date]=$A$3)*(CsDJ[Sort Code]=(TRIM(G$4)))*(CsDJ[Account Code]=(TRIM($B104))),CsDJ[Credit])))+(SUM(IF((CRDJ[Date]=$A$3)*(CRDJ[Sort Code]=(TRIM(G$4)))*(CRDJ[Account Code]=(TRIM($B104))),CRDJ[Credit])))+(SUM(IF((GJ[Date]=$A$3)*(GJ[Sort Code]=(TRIM(G$4)))*(GJ[Account Code]=(TRIM($B104))),GJ[Credit]))))</f>
        <v>0</v>
      </c>
      <c r="G104" s="343">
        <f t="shared" si="9"/>
        <v>0</v>
      </c>
      <c r="H104" s="246">
        <f t="shared" si="5"/>
        <v>0</v>
      </c>
      <c r="I104" s="246">
        <f t="shared" si="6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Code]=B105)*(Budget[Sort Code]=$G$4),(Budget[Amount])))</f>
        <v>0</v>
      </c>
      <c r="D105" s="245">
        <f t="array" ref="D105">SUM(IF((Budget[Account Code]=B105)*(Budget[Sort Code]=$G$4)*(Budget[Date]&lt;=$D$7),(Budget[Amount])))</f>
        <v>0</v>
      </c>
      <c r="E105" s="245">
        <f t="array" ref="E105">((SUM(IF((CkDJ[Sort Code]=(TRIM(G$4)))*(CkDJ[Account Code]=(TRIM($B105)))*(CkDJ[Date]&lt;=$E$7),CkDJ[Debit])))+(SUM(IF((CsDJ[Sort Code]=(TRIM(G$4)))*(CsDJ[Account Code]=(TRIM($B105)))*(CsDJ[Date]&lt;=$E$7),CsDJ[Debit])))+(SUM(IF((CRDJ[Sort Code]=(TRIM(G$4)))*(CRDJ[Account Code]=(TRIM($B105)))*(CRDJ[Date]&lt;=$E$7),CRDJ[Debit])))+(SUM(IF((GJ[Sort Code]=(TRIM(G$4)))*(GJ[Account Code]=(TRIM($B105)))*(GJ[Date]&lt;=$E$7),GJ[Debit]))))-((SUM(IF((CkDJ[Sort Code]=(TRIM(G$4)))*(CkDJ[Account Code]=(TRIM($B105)))*(CkDJ[Date]&lt;=$E$7),CkDJ[Credit])))+(SUM(IF((CsDJ[Sort Code]=(TRIM(G$4)))*(CsDJ[Account Code]=(TRIM($B105)))*(CsDJ[Date]&lt;=$E$7),CsDJ[Credit])))+(SUM(IF((CRDJ[Sort Code]=(TRIM(G$4)))*(CRDJ[Account Code]=(TRIM($B105)))*(CRDJ[Date]&lt;=$E$7),CRDJ[Credit])))+(SUM(IF((GJ[Sort Code]=(TRIM(G$4)))*(GJ[Account Code]=(TRIM($B105)))*(GJ[Date]&lt;=$E$7),GJ[Credit]))))</f>
        <v>0</v>
      </c>
      <c r="F105" s="245">
        <f t="array" ref="F105">((SUM(IF((CkDJ[Date]=$A$3)*(CkDJ[Sort Code]=(TRIM(G$4)))*(CkDJ[Account Code]=(TRIM($B105))),CkDJ[Debit])))+(SUM(IF((CsDJ[Date]=$A$3)*(CsDJ[Sort Code]=(TRIM(G$4)))*(CsDJ[Account Code]=(TRIM($B105))),CsDJ[Debit])))+(SUM(IF((CRDJ[Date]=$A$3)*(CRDJ[Sort Code]=(TRIM(G$4)))*(CRDJ[Account Code]=(TRIM($B105))),CRDJ[Debit])))+(SUM(IF((GJ[Date]=$A$3)*(GJ[Sort Code]=(TRIM(G$4)))*(GJ[Account Code]=(TRIM($B105))),GJ[Debit]))))-((SUM(IF((CkDJ[Date]=$A$3)*(CkDJ[Sort Code]=(TRIM(G$4)))*(CkDJ[Account Code]=(TRIM($B105))),CkDJ[Credit])))+(SUM(IF((CsDJ[Date]=$A$3)*(CsDJ[Sort Code]=(TRIM(G$4)))*(CsDJ[Account Code]=(TRIM($B105))),CsDJ[Credit])))+(SUM(IF((CRDJ[Date]=$A$3)*(CRDJ[Sort Code]=(TRIM(G$4)))*(CRDJ[Account Code]=(TRIM($B105))),CRDJ[Credit])))+(SUM(IF((GJ[Date]=$A$3)*(GJ[Sort Code]=(TRIM(G$4)))*(GJ[Account Code]=(TRIM($B105))),GJ[Credit]))))</f>
        <v>0</v>
      </c>
      <c r="G105" s="343">
        <f t="shared" si="9"/>
        <v>0</v>
      </c>
      <c r="H105" s="246">
        <f t="shared" si="5"/>
        <v>0</v>
      </c>
      <c r="I105" s="246">
        <f t="shared" si="6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Code]=B106)*(Budget[Sort Code]=$G$4),(Budget[Amount])))</f>
        <v>0</v>
      </c>
      <c r="D106" s="245">
        <f t="array" ref="D106">SUM(IF((Budget[Account Code]=B106)*(Budget[Sort Code]=$G$4)*(Budget[Date]&lt;=$D$7),(Budget[Amount])))</f>
        <v>0</v>
      </c>
      <c r="E106" s="245">
        <f t="array" ref="E106">((SUM(IF((CkDJ[Sort Code]=(TRIM(G$4)))*(CkDJ[Account Code]=(TRIM($B106)))*(CkDJ[Date]&lt;=$E$7),CkDJ[Debit])))+(SUM(IF((CsDJ[Sort Code]=(TRIM(G$4)))*(CsDJ[Account Code]=(TRIM($B106)))*(CsDJ[Date]&lt;=$E$7),CsDJ[Debit])))+(SUM(IF((CRDJ[Sort Code]=(TRIM(G$4)))*(CRDJ[Account Code]=(TRIM($B106)))*(CRDJ[Date]&lt;=$E$7),CRDJ[Debit])))+(SUM(IF((GJ[Sort Code]=(TRIM(G$4)))*(GJ[Account Code]=(TRIM($B106)))*(GJ[Date]&lt;=$E$7),GJ[Debit]))))-((SUM(IF((CkDJ[Sort Code]=(TRIM(G$4)))*(CkDJ[Account Code]=(TRIM($B106)))*(CkDJ[Date]&lt;=$E$7),CkDJ[Credit])))+(SUM(IF((CsDJ[Sort Code]=(TRIM(G$4)))*(CsDJ[Account Code]=(TRIM($B106)))*(CsDJ[Date]&lt;=$E$7),CsDJ[Credit])))+(SUM(IF((CRDJ[Sort Code]=(TRIM(G$4)))*(CRDJ[Account Code]=(TRIM($B106)))*(CRDJ[Date]&lt;=$E$7),CRDJ[Credit])))+(SUM(IF((GJ[Sort Code]=(TRIM(G$4)))*(GJ[Account Code]=(TRIM($B106)))*(GJ[Date]&lt;=$E$7),GJ[Credit]))))</f>
        <v>0</v>
      </c>
      <c r="F106" s="245">
        <f t="array" ref="F106">((SUM(IF((CkDJ[Date]=$A$3)*(CkDJ[Sort Code]=(TRIM(G$4)))*(CkDJ[Account Code]=(TRIM($B106))),CkDJ[Debit])))+(SUM(IF((CsDJ[Date]=$A$3)*(CsDJ[Sort Code]=(TRIM(G$4)))*(CsDJ[Account Code]=(TRIM($B106))),CsDJ[Debit])))+(SUM(IF((CRDJ[Date]=$A$3)*(CRDJ[Sort Code]=(TRIM(G$4)))*(CRDJ[Account Code]=(TRIM($B106))),CRDJ[Debit])))+(SUM(IF((GJ[Date]=$A$3)*(GJ[Sort Code]=(TRIM(G$4)))*(GJ[Account Code]=(TRIM($B106))),GJ[Debit]))))-((SUM(IF((CkDJ[Date]=$A$3)*(CkDJ[Sort Code]=(TRIM(G$4)))*(CkDJ[Account Code]=(TRIM($B106))),CkDJ[Credit])))+(SUM(IF((CsDJ[Date]=$A$3)*(CsDJ[Sort Code]=(TRIM(G$4)))*(CsDJ[Account Code]=(TRIM($B106))),CsDJ[Credit])))+(SUM(IF((CRDJ[Date]=$A$3)*(CRDJ[Sort Code]=(TRIM(G$4)))*(CRDJ[Account Code]=(TRIM($B106))),CRDJ[Credit])))+(SUM(IF((GJ[Date]=$A$3)*(GJ[Sort Code]=(TRIM(G$4)))*(GJ[Account Code]=(TRIM($B106))),GJ[Credit]))))</f>
        <v>0</v>
      </c>
      <c r="G106" s="343">
        <f t="shared" si="9"/>
        <v>0</v>
      </c>
      <c r="H106" s="246">
        <f t="shared" si="5"/>
        <v>0</v>
      </c>
      <c r="I106" s="246">
        <f t="shared" si="6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Code]=B107)*(Budget[Sort Code]=$G$4),(Budget[Amount])))</f>
        <v>0</v>
      </c>
      <c r="D107" s="245">
        <f t="array" ref="D107">SUM(IF((Budget[Account Code]=B107)*(Budget[Sort Code]=$G$4)*(Budget[Date]&lt;=$D$7),(Budget[Amount])))</f>
        <v>0</v>
      </c>
      <c r="E107" s="245">
        <f t="array" ref="E107">((SUM(IF((CkDJ[Sort Code]=(TRIM(G$4)))*(CkDJ[Account Code]=(TRIM($B107)))*(CkDJ[Date]&lt;=$E$7),CkDJ[Debit])))+(SUM(IF((CsDJ[Sort Code]=(TRIM(G$4)))*(CsDJ[Account Code]=(TRIM($B107)))*(CsDJ[Date]&lt;=$E$7),CsDJ[Debit])))+(SUM(IF((CRDJ[Sort Code]=(TRIM(G$4)))*(CRDJ[Account Code]=(TRIM($B107)))*(CRDJ[Date]&lt;=$E$7),CRDJ[Debit])))+(SUM(IF((GJ[Sort Code]=(TRIM(G$4)))*(GJ[Account Code]=(TRIM($B107)))*(GJ[Date]&lt;=$E$7),GJ[Debit]))))-((SUM(IF((CkDJ[Sort Code]=(TRIM(G$4)))*(CkDJ[Account Code]=(TRIM($B107)))*(CkDJ[Date]&lt;=$E$7),CkDJ[Credit])))+(SUM(IF((CsDJ[Sort Code]=(TRIM(G$4)))*(CsDJ[Account Code]=(TRIM($B107)))*(CsDJ[Date]&lt;=$E$7),CsDJ[Credit])))+(SUM(IF((CRDJ[Sort Code]=(TRIM(G$4)))*(CRDJ[Account Code]=(TRIM($B107)))*(CRDJ[Date]&lt;=$E$7),CRDJ[Credit])))+(SUM(IF((GJ[Sort Code]=(TRIM(G$4)))*(GJ[Account Code]=(TRIM($B107)))*(GJ[Date]&lt;=$E$7),GJ[Credit]))))</f>
        <v>0</v>
      </c>
      <c r="F107" s="245">
        <f t="array" ref="F107">((SUM(IF((CkDJ[Date]=$A$3)*(CkDJ[Sort Code]=(TRIM(G$4)))*(CkDJ[Account Code]=(TRIM($B107))),CkDJ[Debit])))+(SUM(IF((CsDJ[Date]=$A$3)*(CsDJ[Sort Code]=(TRIM(G$4)))*(CsDJ[Account Code]=(TRIM($B107))),CsDJ[Debit])))+(SUM(IF((CRDJ[Date]=$A$3)*(CRDJ[Sort Code]=(TRIM(G$4)))*(CRDJ[Account Code]=(TRIM($B107))),CRDJ[Debit])))+(SUM(IF((GJ[Date]=$A$3)*(GJ[Sort Code]=(TRIM(G$4)))*(GJ[Account Code]=(TRIM($B107))),GJ[Debit]))))-((SUM(IF((CkDJ[Date]=$A$3)*(CkDJ[Sort Code]=(TRIM(G$4)))*(CkDJ[Account Code]=(TRIM($B107))),CkDJ[Credit])))+(SUM(IF((CsDJ[Date]=$A$3)*(CsDJ[Sort Code]=(TRIM(G$4)))*(CsDJ[Account Code]=(TRIM($B107))),CsDJ[Credit])))+(SUM(IF((CRDJ[Date]=$A$3)*(CRDJ[Sort Code]=(TRIM(G$4)))*(CRDJ[Account Code]=(TRIM($B107))),CRDJ[Credit])))+(SUM(IF((GJ[Date]=$A$3)*(GJ[Sort Code]=(TRIM(G$4)))*(GJ[Account Code]=(TRIM($B107))),GJ[Credit]))))</f>
        <v>0</v>
      </c>
      <c r="G107" s="343">
        <f t="shared" si="9"/>
        <v>0</v>
      </c>
      <c r="H107" s="246">
        <f t="shared" si="5"/>
        <v>0</v>
      </c>
      <c r="I107" s="246">
        <f t="shared" si="6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Code]=B108)*(Budget[Sort Code]=$G$4),(Budget[Amount])))</f>
        <v>0</v>
      </c>
      <c r="D108" s="245">
        <f t="array" ref="D108">SUM(IF((Budget[Account Code]=B108)*(Budget[Sort Code]=$G$4)*(Budget[Date]&lt;=$D$7),(Budget[Amount])))</f>
        <v>0</v>
      </c>
      <c r="E108" s="245">
        <f t="array" ref="E108">((SUM(IF((CkDJ[Sort Code]=(TRIM(G$4)))*(CkDJ[Account Code]=(TRIM($B108)))*(CkDJ[Date]&lt;=$E$7),CkDJ[Debit])))+(SUM(IF((CsDJ[Sort Code]=(TRIM(G$4)))*(CsDJ[Account Code]=(TRIM($B108)))*(CsDJ[Date]&lt;=$E$7),CsDJ[Debit])))+(SUM(IF((CRDJ[Sort Code]=(TRIM(G$4)))*(CRDJ[Account Code]=(TRIM($B108)))*(CRDJ[Date]&lt;=$E$7),CRDJ[Debit])))+(SUM(IF((GJ[Sort Code]=(TRIM(G$4)))*(GJ[Account Code]=(TRIM($B108)))*(GJ[Date]&lt;=$E$7),GJ[Debit]))))-((SUM(IF((CkDJ[Sort Code]=(TRIM(G$4)))*(CkDJ[Account Code]=(TRIM($B108)))*(CkDJ[Date]&lt;=$E$7),CkDJ[Credit])))+(SUM(IF((CsDJ[Sort Code]=(TRIM(G$4)))*(CsDJ[Account Code]=(TRIM($B108)))*(CsDJ[Date]&lt;=$E$7),CsDJ[Credit])))+(SUM(IF((CRDJ[Sort Code]=(TRIM(G$4)))*(CRDJ[Account Code]=(TRIM($B108)))*(CRDJ[Date]&lt;=$E$7),CRDJ[Credit])))+(SUM(IF((GJ[Sort Code]=(TRIM(G$4)))*(GJ[Account Code]=(TRIM($B108)))*(GJ[Date]&lt;=$E$7),GJ[Credit]))))</f>
        <v>0</v>
      </c>
      <c r="F108" s="245">
        <f t="array" ref="F108">((SUM(IF((CkDJ[Date]=$A$3)*(CkDJ[Sort Code]=(TRIM(G$4)))*(CkDJ[Account Code]=(TRIM($B108))),CkDJ[Debit])))+(SUM(IF((CsDJ[Date]=$A$3)*(CsDJ[Sort Code]=(TRIM(G$4)))*(CsDJ[Account Code]=(TRIM($B108))),CsDJ[Debit])))+(SUM(IF((CRDJ[Date]=$A$3)*(CRDJ[Sort Code]=(TRIM(G$4)))*(CRDJ[Account Code]=(TRIM($B108))),CRDJ[Debit])))+(SUM(IF((GJ[Date]=$A$3)*(GJ[Sort Code]=(TRIM(G$4)))*(GJ[Account Code]=(TRIM($B108))),GJ[Debit]))))-((SUM(IF((CkDJ[Date]=$A$3)*(CkDJ[Sort Code]=(TRIM(G$4)))*(CkDJ[Account Code]=(TRIM($B108))),CkDJ[Credit])))+(SUM(IF((CsDJ[Date]=$A$3)*(CsDJ[Sort Code]=(TRIM(G$4)))*(CsDJ[Account Code]=(TRIM($B108))),CsDJ[Credit])))+(SUM(IF((CRDJ[Date]=$A$3)*(CRDJ[Sort Code]=(TRIM(G$4)))*(CRDJ[Account Code]=(TRIM($B108))),CRDJ[Credit])))+(SUM(IF((GJ[Date]=$A$3)*(GJ[Sort Code]=(TRIM(G$4)))*(GJ[Account Code]=(TRIM($B108))),GJ[Credit]))))</f>
        <v>0</v>
      </c>
      <c r="G108" s="343">
        <f t="shared" si="9"/>
        <v>0</v>
      </c>
      <c r="H108" s="246">
        <f t="shared" si="5"/>
        <v>0</v>
      </c>
      <c r="I108" s="246">
        <f t="shared" si="6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Code]=B109)*(Budget[Sort Code]=$G$4),(Budget[Amount])))</f>
        <v>0</v>
      </c>
      <c r="D109" s="245">
        <f t="array" ref="D109">SUM(IF((Budget[Account Code]=B109)*(Budget[Sort Code]=$G$4)*(Budget[Date]&lt;=$D$7),(Budget[Amount])))</f>
        <v>0</v>
      </c>
      <c r="E109" s="245">
        <f t="array" ref="E109">((SUM(IF((CkDJ[Sort Code]=(TRIM(G$4)))*(CkDJ[Account Code]=(TRIM($B109)))*(CkDJ[Date]&lt;=$E$7),CkDJ[Debit])))+(SUM(IF((CsDJ[Sort Code]=(TRIM(G$4)))*(CsDJ[Account Code]=(TRIM($B109)))*(CsDJ[Date]&lt;=$E$7),CsDJ[Debit])))+(SUM(IF((CRDJ[Sort Code]=(TRIM(G$4)))*(CRDJ[Account Code]=(TRIM($B109)))*(CRDJ[Date]&lt;=$E$7),CRDJ[Debit])))+(SUM(IF((GJ[Sort Code]=(TRIM(G$4)))*(GJ[Account Code]=(TRIM($B109)))*(GJ[Date]&lt;=$E$7),GJ[Debit]))))-((SUM(IF((CkDJ[Sort Code]=(TRIM(G$4)))*(CkDJ[Account Code]=(TRIM($B109)))*(CkDJ[Date]&lt;=$E$7),CkDJ[Credit])))+(SUM(IF((CsDJ[Sort Code]=(TRIM(G$4)))*(CsDJ[Account Code]=(TRIM($B109)))*(CsDJ[Date]&lt;=$E$7),CsDJ[Credit])))+(SUM(IF((CRDJ[Sort Code]=(TRIM(G$4)))*(CRDJ[Account Code]=(TRIM($B109)))*(CRDJ[Date]&lt;=$E$7),CRDJ[Credit])))+(SUM(IF((GJ[Sort Code]=(TRIM(G$4)))*(GJ[Account Code]=(TRIM($B109)))*(GJ[Date]&lt;=$E$7),GJ[Credit]))))</f>
        <v>0</v>
      </c>
      <c r="F109" s="245">
        <f t="array" ref="F109">((SUM(IF((CkDJ[Date]=$A$3)*(CkDJ[Sort Code]=(TRIM(G$4)))*(CkDJ[Account Code]=(TRIM($B109))),CkDJ[Debit])))+(SUM(IF((CsDJ[Date]=$A$3)*(CsDJ[Sort Code]=(TRIM(G$4)))*(CsDJ[Account Code]=(TRIM($B109))),CsDJ[Debit])))+(SUM(IF((CRDJ[Date]=$A$3)*(CRDJ[Sort Code]=(TRIM(G$4)))*(CRDJ[Account Code]=(TRIM($B109))),CRDJ[Debit])))+(SUM(IF((GJ[Date]=$A$3)*(GJ[Sort Code]=(TRIM(G$4)))*(GJ[Account Code]=(TRIM($B109))),GJ[Debit]))))-((SUM(IF((CkDJ[Date]=$A$3)*(CkDJ[Sort Code]=(TRIM(G$4)))*(CkDJ[Account Code]=(TRIM($B109))),CkDJ[Credit])))+(SUM(IF((CsDJ[Date]=$A$3)*(CsDJ[Sort Code]=(TRIM(G$4)))*(CsDJ[Account Code]=(TRIM($B109))),CsDJ[Credit])))+(SUM(IF((CRDJ[Date]=$A$3)*(CRDJ[Sort Code]=(TRIM(G$4)))*(CRDJ[Account Code]=(TRIM($B109))),CRDJ[Credit])))+(SUM(IF((GJ[Date]=$A$3)*(GJ[Sort Code]=(TRIM(G$4)))*(GJ[Account Code]=(TRIM($B109))),GJ[Credit]))))</f>
        <v>0</v>
      </c>
      <c r="G109" s="343">
        <f t="shared" si="9"/>
        <v>0</v>
      </c>
      <c r="H109" s="246">
        <f t="shared" si="5"/>
        <v>0</v>
      </c>
      <c r="I109" s="246">
        <f t="shared" si="6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Code]=B110)*(Budget[Sort Code]=$G$4),(Budget[Amount])))</f>
        <v>0</v>
      </c>
      <c r="D110" s="245">
        <f t="array" ref="D110">SUM(IF((Budget[Account Code]=B110)*(Budget[Sort Code]=$G$4)*(Budget[Date]&lt;=$D$7),(Budget[Amount])))</f>
        <v>0</v>
      </c>
      <c r="E110" s="245">
        <f t="array" ref="E110">((SUM(IF((CkDJ[Sort Code]=(TRIM(G$4)))*(CkDJ[Account Code]=(TRIM($B110)))*(CkDJ[Date]&lt;=$E$7),CkDJ[Debit])))+(SUM(IF((CsDJ[Sort Code]=(TRIM(G$4)))*(CsDJ[Account Code]=(TRIM($B110)))*(CsDJ[Date]&lt;=$E$7),CsDJ[Debit])))+(SUM(IF((CRDJ[Sort Code]=(TRIM(G$4)))*(CRDJ[Account Code]=(TRIM($B110)))*(CRDJ[Date]&lt;=$E$7),CRDJ[Debit])))+(SUM(IF((GJ[Sort Code]=(TRIM(G$4)))*(GJ[Account Code]=(TRIM($B110)))*(GJ[Date]&lt;=$E$7),GJ[Debit]))))-((SUM(IF((CkDJ[Sort Code]=(TRIM(G$4)))*(CkDJ[Account Code]=(TRIM($B110)))*(CkDJ[Date]&lt;=$E$7),CkDJ[Credit])))+(SUM(IF((CsDJ[Sort Code]=(TRIM(G$4)))*(CsDJ[Account Code]=(TRIM($B110)))*(CsDJ[Date]&lt;=$E$7),CsDJ[Credit])))+(SUM(IF((CRDJ[Sort Code]=(TRIM(G$4)))*(CRDJ[Account Code]=(TRIM($B110)))*(CRDJ[Date]&lt;=$E$7),CRDJ[Credit])))+(SUM(IF((GJ[Sort Code]=(TRIM(G$4)))*(GJ[Account Code]=(TRIM($B110)))*(GJ[Date]&lt;=$E$7),GJ[Credit]))))</f>
        <v>0</v>
      </c>
      <c r="F110" s="245">
        <f t="array" ref="F110">((SUM(IF((CkDJ[Date]=$A$3)*(CkDJ[Sort Code]=(TRIM(G$4)))*(CkDJ[Account Code]=(TRIM($B110))),CkDJ[Debit])))+(SUM(IF((CsDJ[Date]=$A$3)*(CsDJ[Sort Code]=(TRIM(G$4)))*(CsDJ[Account Code]=(TRIM($B110))),CsDJ[Debit])))+(SUM(IF((CRDJ[Date]=$A$3)*(CRDJ[Sort Code]=(TRIM(G$4)))*(CRDJ[Account Code]=(TRIM($B110))),CRDJ[Debit])))+(SUM(IF((GJ[Date]=$A$3)*(GJ[Sort Code]=(TRIM(G$4)))*(GJ[Account Code]=(TRIM($B110))),GJ[Debit]))))-((SUM(IF((CkDJ[Date]=$A$3)*(CkDJ[Sort Code]=(TRIM(G$4)))*(CkDJ[Account Code]=(TRIM($B110))),CkDJ[Credit])))+(SUM(IF((CsDJ[Date]=$A$3)*(CsDJ[Sort Code]=(TRIM(G$4)))*(CsDJ[Account Code]=(TRIM($B110))),CsDJ[Credit])))+(SUM(IF((CRDJ[Date]=$A$3)*(CRDJ[Sort Code]=(TRIM(G$4)))*(CRDJ[Account Code]=(TRIM($B110))),CRDJ[Credit])))+(SUM(IF((GJ[Date]=$A$3)*(GJ[Sort Code]=(TRIM(G$4)))*(GJ[Account Code]=(TRIM($B110))),GJ[Credit]))))</f>
        <v>0</v>
      </c>
      <c r="G110" s="343">
        <f t="shared" si="9"/>
        <v>0</v>
      </c>
      <c r="H110" s="246">
        <f t="shared" si="5"/>
        <v>0</v>
      </c>
      <c r="I110" s="246">
        <f t="shared" si="6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Code]=B111)*(Budget[Sort Code]=$G$4),(Budget[Amount])))</f>
        <v>0</v>
      </c>
      <c r="D111" s="245">
        <f t="array" ref="D111">SUM(IF((Budget[Account Code]=B111)*(Budget[Sort Code]=$G$4)*(Budget[Date]&lt;=$D$7),(Budget[Amount])))</f>
        <v>0</v>
      </c>
      <c r="E111" s="245">
        <f t="array" ref="E111">((SUM(IF((CkDJ[Sort Code]=(TRIM(G$4)))*(CkDJ[Account Code]=(TRIM($B111)))*(CkDJ[Date]&lt;=$E$7),CkDJ[Debit])))+(SUM(IF((CsDJ[Sort Code]=(TRIM(G$4)))*(CsDJ[Account Code]=(TRIM($B111)))*(CsDJ[Date]&lt;=$E$7),CsDJ[Debit])))+(SUM(IF((CRDJ[Sort Code]=(TRIM(G$4)))*(CRDJ[Account Code]=(TRIM($B111)))*(CRDJ[Date]&lt;=$E$7),CRDJ[Debit])))+(SUM(IF((GJ[Sort Code]=(TRIM(G$4)))*(GJ[Account Code]=(TRIM($B111)))*(GJ[Date]&lt;=$E$7),GJ[Debit]))))-((SUM(IF((CkDJ[Sort Code]=(TRIM(G$4)))*(CkDJ[Account Code]=(TRIM($B111)))*(CkDJ[Date]&lt;=$E$7),CkDJ[Credit])))+(SUM(IF((CsDJ[Sort Code]=(TRIM(G$4)))*(CsDJ[Account Code]=(TRIM($B111)))*(CsDJ[Date]&lt;=$E$7),CsDJ[Credit])))+(SUM(IF((CRDJ[Sort Code]=(TRIM(G$4)))*(CRDJ[Account Code]=(TRIM($B111)))*(CRDJ[Date]&lt;=$E$7),CRDJ[Credit])))+(SUM(IF((GJ[Sort Code]=(TRIM(G$4)))*(GJ[Account Code]=(TRIM($B111)))*(GJ[Date]&lt;=$E$7),GJ[Credit]))))</f>
        <v>0</v>
      </c>
      <c r="F111" s="245">
        <f t="array" ref="F111">((SUM(IF((CkDJ[Date]=$A$3)*(CkDJ[Sort Code]=(TRIM(G$4)))*(CkDJ[Account Code]=(TRIM($B111))),CkDJ[Debit])))+(SUM(IF((CsDJ[Date]=$A$3)*(CsDJ[Sort Code]=(TRIM(G$4)))*(CsDJ[Account Code]=(TRIM($B111))),CsDJ[Debit])))+(SUM(IF((CRDJ[Date]=$A$3)*(CRDJ[Sort Code]=(TRIM(G$4)))*(CRDJ[Account Code]=(TRIM($B111))),CRDJ[Debit])))+(SUM(IF((GJ[Date]=$A$3)*(GJ[Sort Code]=(TRIM(G$4)))*(GJ[Account Code]=(TRIM($B111))),GJ[Debit]))))-((SUM(IF((CkDJ[Date]=$A$3)*(CkDJ[Sort Code]=(TRIM(G$4)))*(CkDJ[Account Code]=(TRIM($B111))),CkDJ[Credit])))+(SUM(IF((CsDJ[Date]=$A$3)*(CsDJ[Sort Code]=(TRIM(G$4)))*(CsDJ[Account Code]=(TRIM($B111))),CsDJ[Credit])))+(SUM(IF((CRDJ[Date]=$A$3)*(CRDJ[Sort Code]=(TRIM(G$4)))*(CRDJ[Account Code]=(TRIM($B111))),CRDJ[Credit])))+(SUM(IF((GJ[Date]=$A$3)*(GJ[Sort Code]=(TRIM(G$4)))*(GJ[Account Code]=(TRIM($B111))),GJ[Credit]))))</f>
        <v>0</v>
      </c>
      <c r="G111" s="343">
        <f t="shared" si="9"/>
        <v>0</v>
      </c>
      <c r="H111" s="246">
        <f t="shared" si="5"/>
        <v>0</v>
      </c>
      <c r="I111" s="246">
        <f t="shared" si="6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Code]=B112)*(Budget[Sort Code]=$G$4),(Budget[Amount])))</f>
        <v>1500000</v>
      </c>
      <c r="D112" s="245">
        <f t="array" ref="D112">SUM(IF((Budget[Account Code]=B112)*(Budget[Sort Code]=$G$4)*(Budget[Date]&lt;=$D$7),(Budget[Amount])))</f>
        <v>1500000</v>
      </c>
      <c r="E112" s="245">
        <f t="array" ref="E112">((SUM(IF((CkDJ[Sort Code]=(TRIM(G$4)))*(CkDJ[Account Code]=(TRIM($B112)))*(CkDJ[Date]&lt;=$E$7),CkDJ[Debit])))+(SUM(IF((CsDJ[Sort Code]=(TRIM(G$4)))*(CsDJ[Account Code]=(TRIM($B112)))*(CsDJ[Date]&lt;=$E$7),CsDJ[Debit])))+(SUM(IF((CRDJ[Sort Code]=(TRIM(G$4)))*(CRDJ[Account Code]=(TRIM($B112)))*(CRDJ[Date]&lt;=$E$7),CRDJ[Debit])))+(SUM(IF((GJ[Sort Code]=(TRIM(G$4)))*(GJ[Account Code]=(TRIM($B112)))*(GJ[Date]&lt;=$E$7),GJ[Debit]))))-((SUM(IF((CkDJ[Sort Code]=(TRIM(G$4)))*(CkDJ[Account Code]=(TRIM($B112)))*(CkDJ[Date]&lt;=$E$7),CkDJ[Credit])))+(SUM(IF((CsDJ[Sort Code]=(TRIM(G$4)))*(CsDJ[Account Code]=(TRIM($B112)))*(CsDJ[Date]&lt;=$E$7),CsDJ[Credit])))+(SUM(IF((CRDJ[Sort Code]=(TRIM(G$4)))*(CRDJ[Account Code]=(TRIM($B112)))*(CRDJ[Date]&lt;=$E$7),CRDJ[Credit])))+(SUM(IF((GJ[Sort Code]=(TRIM(G$4)))*(GJ[Account Code]=(TRIM($B112)))*(GJ[Date]&lt;=$E$7),GJ[Credit]))))</f>
        <v>0</v>
      </c>
      <c r="F112" s="245">
        <f t="array" ref="F112">((SUM(IF((CkDJ[Date]=$A$3)*(CkDJ[Sort Code]=(TRIM(G$4)))*(CkDJ[Account Code]=(TRIM($B112))),CkDJ[Debit])))+(SUM(IF((CsDJ[Date]=$A$3)*(CsDJ[Sort Code]=(TRIM(G$4)))*(CsDJ[Account Code]=(TRIM($B112))),CsDJ[Debit])))+(SUM(IF((CRDJ[Date]=$A$3)*(CRDJ[Sort Code]=(TRIM(G$4)))*(CRDJ[Account Code]=(TRIM($B112))),CRDJ[Debit])))+(SUM(IF((GJ[Date]=$A$3)*(GJ[Sort Code]=(TRIM(G$4)))*(GJ[Account Code]=(TRIM($B112))),GJ[Debit]))))-((SUM(IF((CkDJ[Date]=$A$3)*(CkDJ[Sort Code]=(TRIM(G$4)))*(CkDJ[Account Code]=(TRIM($B112))),CkDJ[Credit])))+(SUM(IF((CsDJ[Date]=$A$3)*(CsDJ[Sort Code]=(TRIM(G$4)))*(CsDJ[Account Code]=(TRIM($B112))),CsDJ[Credit])))+(SUM(IF((CRDJ[Date]=$A$3)*(CRDJ[Sort Code]=(TRIM(G$4)))*(CRDJ[Account Code]=(TRIM($B112))),CRDJ[Credit])))+(SUM(IF((GJ[Date]=$A$3)*(GJ[Sort Code]=(TRIM(G$4)))*(GJ[Account Code]=(TRIM($B112))),GJ[Credit]))))</f>
        <v>0</v>
      </c>
      <c r="G112" s="343">
        <f t="shared" si="9"/>
        <v>0</v>
      </c>
      <c r="H112" s="246">
        <f t="shared" si="5"/>
        <v>-1500000</v>
      </c>
      <c r="I112" s="246">
        <f t="shared" si="6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Code]=B113)*(Budget[Sort Code]=$G$4),(Budget[Amount])))</f>
        <v>0</v>
      </c>
      <c r="D113" s="245">
        <f t="array" ref="D113">SUM(IF((Budget[Account Code]=B113)*(Budget[Sort Code]=$G$4)*(Budget[Date]&lt;=$D$7),(Budget[Amount])))</f>
        <v>0</v>
      </c>
      <c r="E113" s="245">
        <f t="array" ref="E113">((SUM(IF((CkDJ[Sort Code]=(TRIM(G$4)))*(CkDJ[Account Code]=(TRIM($B113)))*(CkDJ[Date]&lt;=$E$7),CkDJ[Debit])))+(SUM(IF((CsDJ[Sort Code]=(TRIM(G$4)))*(CsDJ[Account Code]=(TRIM($B113)))*(CsDJ[Date]&lt;=$E$7),CsDJ[Debit])))+(SUM(IF((CRDJ[Sort Code]=(TRIM(G$4)))*(CRDJ[Account Code]=(TRIM($B113)))*(CRDJ[Date]&lt;=$E$7),CRDJ[Debit])))+(SUM(IF((GJ[Sort Code]=(TRIM(G$4)))*(GJ[Account Code]=(TRIM($B113)))*(GJ[Date]&lt;=$E$7),GJ[Debit]))))-((SUM(IF((CkDJ[Sort Code]=(TRIM(G$4)))*(CkDJ[Account Code]=(TRIM($B113)))*(CkDJ[Date]&lt;=$E$7),CkDJ[Credit])))+(SUM(IF((CsDJ[Sort Code]=(TRIM(G$4)))*(CsDJ[Account Code]=(TRIM($B113)))*(CsDJ[Date]&lt;=$E$7),CsDJ[Credit])))+(SUM(IF((CRDJ[Sort Code]=(TRIM(G$4)))*(CRDJ[Account Code]=(TRIM($B113)))*(CRDJ[Date]&lt;=$E$7),CRDJ[Credit])))+(SUM(IF((GJ[Sort Code]=(TRIM(G$4)))*(GJ[Account Code]=(TRIM($B113)))*(GJ[Date]&lt;=$E$7),GJ[Credit]))))</f>
        <v>0</v>
      </c>
      <c r="F113" s="245">
        <f t="array" ref="F113">((SUM(IF((CkDJ[Date]=$A$3)*(CkDJ[Sort Code]=(TRIM(G$4)))*(CkDJ[Account Code]=(TRIM($B113))),CkDJ[Debit])))+(SUM(IF((CsDJ[Date]=$A$3)*(CsDJ[Sort Code]=(TRIM(G$4)))*(CsDJ[Account Code]=(TRIM($B113))),CsDJ[Debit])))+(SUM(IF((CRDJ[Date]=$A$3)*(CRDJ[Sort Code]=(TRIM(G$4)))*(CRDJ[Account Code]=(TRIM($B113))),CRDJ[Debit])))+(SUM(IF((GJ[Date]=$A$3)*(GJ[Sort Code]=(TRIM(G$4)))*(GJ[Account Code]=(TRIM($B113))),GJ[Debit]))))-((SUM(IF((CkDJ[Date]=$A$3)*(CkDJ[Sort Code]=(TRIM(G$4)))*(CkDJ[Account Code]=(TRIM($B113))),CkDJ[Credit])))+(SUM(IF((CsDJ[Date]=$A$3)*(CsDJ[Sort Code]=(TRIM(G$4)))*(CsDJ[Account Code]=(TRIM($B113))),CsDJ[Credit])))+(SUM(IF((CRDJ[Date]=$A$3)*(CRDJ[Sort Code]=(TRIM(G$4)))*(CRDJ[Account Code]=(TRIM($B113))),CRDJ[Credit])))+(SUM(IF((GJ[Date]=$A$3)*(GJ[Sort Code]=(TRIM(G$4)))*(GJ[Account Code]=(TRIM($B113))),GJ[Credit]))))</f>
        <v>0</v>
      </c>
      <c r="G113" s="343">
        <f t="shared" si="9"/>
        <v>0</v>
      </c>
      <c r="H113" s="246">
        <f t="shared" si="5"/>
        <v>0</v>
      </c>
      <c r="I113" s="246">
        <f t="shared" si="6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Code]=B114)*(Budget[Sort Code]=$G$4),(Budget[Amount])))</f>
        <v>0</v>
      </c>
      <c r="D114" s="245">
        <f t="array" ref="D114">SUM(IF((Budget[Account Code]=B114)*(Budget[Sort Code]=$G$4)*(Budget[Date]&lt;=$D$7),(Budget[Amount])))</f>
        <v>0</v>
      </c>
      <c r="E114" s="245">
        <f t="array" ref="E114">((SUM(IF((CkDJ[Sort Code]=(TRIM(G$4)))*(CkDJ[Account Code]=(TRIM($B114)))*(CkDJ[Date]&lt;=$E$7),CkDJ[Debit])))+(SUM(IF((CsDJ[Sort Code]=(TRIM(G$4)))*(CsDJ[Account Code]=(TRIM($B114)))*(CsDJ[Date]&lt;=$E$7),CsDJ[Debit])))+(SUM(IF((CRDJ[Sort Code]=(TRIM(G$4)))*(CRDJ[Account Code]=(TRIM($B114)))*(CRDJ[Date]&lt;=$E$7),CRDJ[Debit])))+(SUM(IF((GJ[Sort Code]=(TRIM(G$4)))*(GJ[Account Code]=(TRIM($B114)))*(GJ[Date]&lt;=$E$7),GJ[Debit]))))-((SUM(IF((CkDJ[Sort Code]=(TRIM(G$4)))*(CkDJ[Account Code]=(TRIM($B114)))*(CkDJ[Date]&lt;=$E$7),CkDJ[Credit])))+(SUM(IF((CsDJ[Sort Code]=(TRIM(G$4)))*(CsDJ[Account Code]=(TRIM($B114)))*(CsDJ[Date]&lt;=$E$7),CsDJ[Credit])))+(SUM(IF((CRDJ[Sort Code]=(TRIM(G$4)))*(CRDJ[Account Code]=(TRIM($B114)))*(CRDJ[Date]&lt;=$E$7),CRDJ[Credit])))+(SUM(IF((GJ[Sort Code]=(TRIM(G$4)))*(GJ[Account Code]=(TRIM($B114)))*(GJ[Date]&lt;=$E$7),GJ[Credit]))))</f>
        <v>0</v>
      </c>
      <c r="F114" s="245">
        <f t="array" ref="F114">((SUM(IF((CkDJ[Date]=$A$3)*(CkDJ[Sort Code]=(TRIM(G$4)))*(CkDJ[Account Code]=(TRIM($B114))),CkDJ[Debit])))+(SUM(IF((CsDJ[Date]=$A$3)*(CsDJ[Sort Code]=(TRIM(G$4)))*(CsDJ[Account Code]=(TRIM($B114))),CsDJ[Debit])))+(SUM(IF((CRDJ[Date]=$A$3)*(CRDJ[Sort Code]=(TRIM(G$4)))*(CRDJ[Account Code]=(TRIM($B114))),CRDJ[Debit])))+(SUM(IF((GJ[Date]=$A$3)*(GJ[Sort Code]=(TRIM(G$4)))*(GJ[Account Code]=(TRIM($B114))),GJ[Debit]))))-((SUM(IF((CkDJ[Date]=$A$3)*(CkDJ[Sort Code]=(TRIM(G$4)))*(CkDJ[Account Code]=(TRIM($B114))),CkDJ[Credit])))+(SUM(IF((CsDJ[Date]=$A$3)*(CsDJ[Sort Code]=(TRIM(G$4)))*(CsDJ[Account Code]=(TRIM($B114))),CsDJ[Credit])))+(SUM(IF((CRDJ[Date]=$A$3)*(CRDJ[Sort Code]=(TRIM(G$4)))*(CRDJ[Account Code]=(TRIM($B114))),CRDJ[Credit])))+(SUM(IF((GJ[Date]=$A$3)*(GJ[Sort Code]=(TRIM(G$4)))*(GJ[Account Code]=(TRIM($B114))),GJ[Credit]))))</f>
        <v>0</v>
      </c>
      <c r="G114" s="343">
        <f t="shared" si="9"/>
        <v>0</v>
      </c>
      <c r="H114" s="246">
        <f t="shared" si="5"/>
        <v>0</v>
      </c>
      <c r="I114" s="246">
        <f t="shared" si="6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Code]=B115)*(Budget[Sort Code]=$G$4),(Budget[Amount])))</f>
        <v>0</v>
      </c>
      <c r="D115" s="245">
        <f t="array" ref="D115">SUM(IF((Budget[Account Code]=B115)*(Budget[Sort Code]=$G$4)*(Budget[Date]&lt;=$D$7),(Budget[Amount])))</f>
        <v>0</v>
      </c>
      <c r="E115" s="245">
        <f t="array" ref="E115">((SUM(IF((CkDJ[Sort Code]=(TRIM(G$4)))*(CkDJ[Account Code]=(TRIM($B115)))*(CkDJ[Date]&lt;=$E$7),CkDJ[Debit])))+(SUM(IF((CsDJ[Sort Code]=(TRIM(G$4)))*(CsDJ[Account Code]=(TRIM($B115)))*(CsDJ[Date]&lt;=$E$7),CsDJ[Debit])))+(SUM(IF((CRDJ[Sort Code]=(TRIM(G$4)))*(CRDJ[Account Code]=(TRIM($B115)))*(CRDJ[Date]&lt;=$E$7),CRDJ[Debit])))+(SUM(IF((GJ[Sort Code]=(TRIM(G$4)))*(GJ[Account Code]=(TRIM($B115)))*(GJ[Date]&lt;=$E$7),GJ[Debit]))))-((SUM(IF((CkDJ[Sort Code]=(TRIM(G$4)))*(CkDJ[Account Code]=(TRIM($B115)))*(CkDJ[Date]&lt;=$E$7),CkDJ[Credit])))+(SUM(IF((CsDJ[Sort Code]=(TRIM(G$4)))*(CsDJ[Account Code]=(TRIM($B115)))*(CsDJ[Date]&lt;=$E$7),CsDJ[Credit])))+(SUM(IF((CRDJ[Sort Code]=(TRIM(G$4)))*(CRDJ[Account Code]=(TRIM($B115)))*(CRDJ[Date]&lt;=$E$7),CRDJ[Credit])))+(SUM(IF((GJ[Sort Code]=(TRIM(G$4)))*(GJ[Account Code]=(TRIM($B115)))*(GJ[Date]&lt;=$E$7),GJ[Credit]))))</f>
        <v>0</v>
      </c>
      <c r="F115" s="245">
        <f t="array" ref="F115">((SUM(IF((CkDJ[Date]=$A$3)*(CkDJ[Sort Code]=(TRIM(G$4)))*(CkDJ[Account Code]=(TRIM($B115))),CkDJ[Debit])))+(SUM(IF((CsDJ[Date]=$A$3)*(CsDJ[Sort Code]=(TRIM(G$4)))*(CsDJ[Account Code]=(TRIM($B115))),CsDJ[Debit])))+(SUM(IF((CRDJ[Date]=$A$3)*(CRDJ[Sort Code]=(TRIM(G$4)))*(CRDJ[Account Code]=(TRIM($B115))),CRDJ[Debit])))+(SUM(IF((GJ[Date]=$A$3)*(GJ[Sort Code]=(TRIM(G$4)))*(GJ[Account Code]=(TRIM($B115))),GJ[Debit]))))-((SUM(IF((CkDJ[Date]=$A$3)*(CkDJ[Sort Code]=(TRIM(G$4)))*(CkDJ[Account Code]=(TRIM($B115))),CkDJ[Credit])))+(SUM(IF((CsDJ[Date]=$A$3)*(CsDJ[Sort Code]=(TRIM(G$4)))*(CsDJ[Account Code]=(TRIM($B115))),CsDJ[Credit])))+(SUM(IF((CRDJ[Date]=$A$3)*(CRDJ[Sort Code]=(TRIM(G$4)))*(CRDJ[Account Code]=(TRIM($B115))),CRDJ[Credit])))+(SUM(IF((GJ[Date]=$A$3)*(GJ[Sort Code]=(TRIM(G$4)))*(GJ[Account Code]=(TRIM($B115))),GJ[Credit]))))</f>
        <v>0</v>
      </c>
      <c r="G115" s="343">
        <f t="shared" si="9"/>
        <v>0</v>
      </c>
      <c r="H115" s="246">
        <f t="shared" si="5"/>
        <v>0</v>
      </c>
      <c r="I115" s="246">
        <f t="shared" si="6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Code]=B116)*(Budget[Sort Code]=$G$4),(Budget[Amount])))</f>
        <v>0</v>
      </c>
      <c r="D116" s="245">
        <f t="array" ref="D116">SUM(IF((Budget[Account Code]=B116)*(Budget[Sort Code]=$G$4)*(Budget[Date]&lt;=$D$7),(Budget[Amount])))</f>
        <v>0</v>
      </c>
      <c r="E116" s="245">
        <f t="array" ref="E116">((SUM(IF((CkDJ[Sort Code]=(TRIM(G$4)))*(CkDJ[Account Code]=(TRIM($B116)))*(CkDJ[Date]&lt;=$E$7),CkDJ[Debit])))+(SUM(IF((CsDJ[Sort Code]=(TRIM(G$4)))*(CsDJ[Account Code]=(TRIM($B116)))*(CsDJ[Date]&lt;=$E$7),CsDJ[Debit])))+(SUM(IF((CRDJ[Sort Code]=(TRIM(G$4)))*(CRDJ[Account Code]=(TRIM($B116)))*(CRDJ[Date]&lt;=$E$7),CRDJ[Debit])))+(SUM(IF((GJ[Sort Code]=(TRIM(G$4)))*(GJ[Account Code]=(TRIM($B116)))*(GJ[Date]&lt;=$E$7),GJ[Debit]))))-((SUM(IF((CkDJ[Sort Code]=(TRIM(G$4)))*(CkDJ[Account Code]=(TRIM($B116)))*(CkDJ[Date]&lt;=$E$7),CkDJ[Credit])))+(SUM(IF((CsDJ[Sort Code]=(TRIM(G$4)))*(CsDJ[Account Code]=(TRIM($B116)))*(CsDJ[Date]&lt;=$E$7),CsDJ[Credit])))+(SUM(IF((CRDJ[Sort Code]=(TRIM(G$4)))*(CRDJ[Account Code]=(TRIM($B116)))*(CRDJ[Date]&lt;=$E$7),CRDJ[Credit])))+(SUM(IF((GJ[Sort Code]=(TRIM(G$4)))*(GJ[Account Code]=(TRIM($B116)))*(GJ[Date]&lt;=$E$7),GJ[Credit]))))</f>
        <v>0</v>
      </c>
      <c r="F116" s="245">
        <f t="array" ref="F116">((SUM(IF((CkDJ[Date]=$A$3)*(CkDJ[Sort Code]=(TRIM(G$4)))*(CkDJ[Account Code]=(TRIM($B116))),CkDJ[Debit])))+(SUM(IF((CsDJ[Date]=$A$3)*(CsDJ[Sort Code]=(TRIM(G$4)))*(CsDJ[Account Code]=(TRIM($B116))),CsDJ[Debit])))+(SUM(IF((CRDJ[Date]=$A$3)*(CRDJ[Sort Code]=(TRIM(G$4)))*(CRDJ[Account Code]=(TRIM($B116))),CRDJ[Debit])))+(SUM(IF((GJ[Date]=$A$3)*(GJ[Sort Code]=(TRIM(G$4)))*(GJ[Account Code]=(TRIM($B116))),GJ[Debit]))))-((SUM(IF((CkDJ[Date]=$A$3)*(CkDJ[Sort Code]=(TRIM(G$4)))*(CkDJ[Account Code]=(TRIM($B116))),CkDJ[Credit])))+(SUM(IF((CsDJ[Date]=$A$3)*(CsDJ[Sort Code]=(TRIM(G$4)))*(CsDJ[Account Code]=(TRIM($B116))),CsDJ[Credit])))+(SUM(IF((CRDJ[Date]=$A$3)*(CRDJ[Sort Code]=(TRIM(G$4)))*(CRDJ[Account Code]=(TRIM($B116))),CRDJ[Credit])))+(SUM(IF((GJ[Date]=$A$3)*(GJ[Sort Code]=(TRIM(G$4)))*(GJ[Account Code]=(TRIM($B116))),GJ[Credit]))))</f>
        <v>0</v>
      </c>
      <c r="G116" s="343">
        <f t="shared" si="9"/>
        <v>0</v>
      </c>
      <c r="H116" s="246">
        <f t="shared" si="5"/>
        <v>0</v>
      </c>
      <c r="I116" s="246">
        <f t="shared" si="6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Code]=B117)*(Budget[Sort Code]=$G$4),(Budget[Amount])))</f>
        <v>0</v>
      </c>
      <c r="D117" s="245">
        <f t="array" ref="D117">SUM(IF((Budget[Account Code]=B117)*(Budget[Sort Code]=$G$4)*(Budget[Date]&lt;=$D$7),(Budget[Amount])))</f>
        <v>0</v>
      </c>
      <c r="E117" s="245">
        <f t="array" ref="E117">((SUM(IF((CkDJ[Sort Code]=(TRIM(G$4)))*(CkDJ[Account Code]=(TRIM($B117)))*(CkDJ[Date]&lt;=$E$7),CkDJ[Debit])))+(SUM(IF((CsDJ[Sort Code]=(TRIM(G$4)))*(CsDJ[Account Code]=(TRIM($B117)))*(CsDJ[Date]&lt;=$E$7),CsDJ[Debit])))+(SUM(IF((CRDJ[Sort Code]=(TRIM(G$4)))*(CRDJ[Account Code]=(TRIM($B117)))*(CRDJ[Date]&lt;=$E$7),CRDJ[Debit])))+(SUM(IF((GJ[Sort Code]=(TRIM(G$4)))*(GJ[Account Code]=(TRIM($B117)))*(GJ[Date]&lt;=$E$7),GJ[Debit]))))-((SUM(IF((CkDJ[Sort Code]=(TRIM(G$4)))*(CkDJ[Account Code]=(TRIM($B117)))*(CkDJ[Date]&lt;=$E$7),CkDJ[Credit])))+(SUM(IF((CsDJ[Sort Code]=(TRIM(G$4)))*(CsDJ[Account Code]=(TRIM($B117)))*(CsDJ[Date]&lt;=$E$7),CsDJ[Credit])))+(SUM(IF((CRDJ[Sort Code]=(TRIM(G$4)))*(CRDJ[Account Code]=(TRIM($B117)))*(CRDJ[Date]&lt;=$E$7),CRDJ[Credit])))+(SUM(IF((GJ[Sort Code]=(TRIM(G$4)))*(GJ[Account Code]=(TRIM($B117)))*(GJ[Date]&lt;=$E$7),GJ[Credit]))))</f>
        <v>0</v>
      </c>
      <c r="F117" s="245">
        <f t="array" ref="F117">((SUM(IF((CkDJ[Date]=$A$3)*(CkDJ[Sort Code]=(TRIM(G$4)))*(CkDJ[Account Code]=(TRIM($B117))),CkDJ[Debit])))+(SUM(IF((CsDJ[Date]=$A$3)*(CsDJ[Sort Code]=(TRIM(G$4)))*(CsDJ[Account Code]=(TRIM($B117))),CsDJ[Debit])))+(SUM(IF((CRDJ[Date]=$A$3)*(CRDJ[Sort Code]=(TRIM(G$4)))*(CRDJ[Account Code]=(TRIM($B117))),CRDJ[Debit])))+(SUM(IF((GJ[Date]=$A$3)*(GJ[Sort Code]=(TRIM(G$4)))*(GJ[Account Code]=(TRIM($B117))),GJ[Debit]))))-((SUM(IF((CkDJ[Date]=$A$3)*(CkDJ[Sort Code]=(TRIM(G$4)))*(CkDJ[Account Code]=(TRIM($B117))),CkDJ[Credit])))+(SUM(IF((CsDJ[Date]=$A$3)*(CsDJ[Sort Code]=(TRIM(G$4)))*(CsDJ[Account Code]=(TRIM($B117))),CsDJ[Credit])))+(SUM(IF((CRDJ[Date]=$A$3)*(CRDJ[Sort Code]=(TRIM(G$4)))*(CRDJ[Account Code]=(TRIM($B117))),CRDJ[Credit])))+(SUM(IF((GJ[Date]=$A$3)*(GJ[Sort Code]=(TRIM(G$4)))*(GJ[Account Code]=(TRIM($B117))),GJ[Credit]))))</f>
        <v>0</v>
      </c>
      <c r="G117" s="343">
        <f t="shared" si="9"/>
        <v>0</v>
      </c>
      <c r="H117" s="246">
        <f t="shared" si="5"/>
        <v>0</v>
      </c>
      <c r="I117" s="246">
        <f t="shared" si="6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Code]=B118)*(Budget[Sort Code]=$G$4),(Budget[Amount])))</f>
        <v>400000</v>
      </c>
      <c r="D118" s="245">
        <f t="array" ref="D118">SUM(IF((Budget[Account Code]=B118)*(Budget[Sort Code]=$G$4)*(Budget[Date]&lt;=$D$7),(Budget[Amount])))</f>
        <v>400000</v>
      </c>
      <c r="E118" s="245">
        <f t="array" ref="E118">((SUM(IF((CkDJ[Sort Code]=(TRIM(G$4)))*(CkDJ[Account Code]=(TRIM($B118)))*(CkDJ[Date]&lt;=$E$7),CkDJ[Debit])))+(SUM(IF((CsDJ[Sort Code]=(TRIM(G$4)))*(CsDJ[Account Code]=(TRIM($B118)))*(CsDJ[Date]&lt;=$E$7),CsDJ[Debit])))+(SUM(IF((CRDJ[Sort Code]=(TRIM(G$4)))*(CRDJ[Account Code]=(TRIM($B118)))*(CRDJ[Date]&lt;=$E$7),CRDJ[Debit])))+(SUM(IF((GJ[Sort Code]=(TRIM(G$4)))*(GJ[Account Code]=(TRIM($B118)))*(GJ[Date]&lt;=$E$7),GJ[Debit]))))-((SUM(IF((CkDJ[Sort Code]=(TRIM(G$4)))*(CkDJ[Account Code]=(TRIM($B118)))*(CkDJ[Date]&lt;=$E$7),CkDJ[Credit])))+(SUM(IF((CsDJ[Sort Code]=(TRIM(G$4)))*(CsDJ[Account Code]=(TRIM($B118)))*(CsDJ[Date]&lt;=$E$7),CsDJ[Credit])))+(SUM(IF((CRDJ[Sort Code]=(TRIM(G$4)))*(CRDJ[Account Code]=(TRIM($B118)))*(CRDJ[Date]&lt;=$E$7),CRDJ[Credit])))+(SUM(IF((GJ[Sort Code]=(TRIM(G$4)))*(GJ[Account Code]=(TRIM($B118)))*(GJ[Date]&lt;=$E$7),GJ[Credit]))))</f>
        <v>0</v>
      </c>
      <c r="F118" s="245">
        <f t="array" ref="F118">((SUM(IF((CkDJ[Date]=$A$3)*(CkDJ[Sort Code]=(TRIM(G$4)))*(CkDJ[Account Code]=(TRIM($B118))),CkDJ[Debit])))+(SUM(IF((CsDJ[Date]=$A$3)*(CsDJ[Sort Code]=(TRIM(G$4)))*(CsDJ[Account Code]=(TRIM($B118))),CsDJ[Debit])))+(SUM(IF((CRDJ[Date]=$A$3)*(CRDJ[Sort Code]=(TRIM(G$4)))*(CRDJ[Account Code]=(TRIM($B118))),CRDJ[Debit])))+(SUM(IF((GJ[Date]=$A$3)*(GJ[Sort Code]=(TRIM(G$4)))*(GJ[Account Code]=(TRIM($B118))),GJ[Debit]))))-((SUM(IF((CkDJ[Date]=$A$3)*(CkDJ[Sort Code]=(TRIM(G$4)))*(CkDJ[Account Code]=(TRIM($B118))),CkDJ[Credit])))+(SUM(IF((CsDJ[Date]=$A$3)*(CsDJ[Sort Code]=(TRIM(G$4)))*(CsDJ[Account Code]=(TRIM($B118))),CsDJ[Credit])))+(SUM(IF((CRDJ[Date]=$A$3)*(CRDJ[Sort Code]=(TRIM(G$4)))*(CRDJ[Account Code]=(TRIM($B118))),CRDJ[Credit])))+(SUM(IF((GJ[Date]=$A$3)*(GJ[Sort Code]=(TRIM(G$4)))*(GJ[Account Code]=(TRIM($B118))),GJ[Credit]))))</f>
        <v>0</v>
      </c>
      <c r="G118" s="343">
        <f t="shared" si="9"/>
        <v>0</v>
      </c>
      <c r="H118" s="246">
        <f t="shared" si="5"/>
        <v>-400000</v>
      </c>
      <c r="I118" s="246">
        <f t="shared" si="6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Code]=B119)*(Budget[Sort Code]=$G$4),(Budget[Amount])))</f>
        <v>0</v>
      </c>
      <c r="D119" s="245">
        <f t="array" ref="D119">SUM(IF((Budget[Account Code]=B119)*(Budget[Sort Code]=$G$4)*(Budget[Date]&lt;=$D$7),(Budget[Amount])))</f>
        <v>0</v>
      </c>
      <c r="E119" s="245">
        <f t="array" ref="E119">((SUM(IF((CkDJ[Sort Code]=(TRIM(G$4)))*(CkDJ[Account Code]=(TRIM($B119)))*(CkDJ[Date]&lt;=$E$7),CkDJ[Debit])))+(SUM(IF((CsDJ[Sort Code]=(TRIM(G$4)))*(CsDJ[Account Code]=(TRIM($B119)))*(CsDJ[Date]&lt;=$E$7),CsDJ[Debit])))+(SUM(IF((CRDJ[Sort Code]=(TRIM(G$4)))*(CRDJ[Account Code]=(TRIM($B119)))*(CRDJ[Date]&lt;=$E$7),CRDJ[Debit])))+(SUM(IF((GJ[Sort Code]=(TRIM(G$4)))*(GJ[Account Code]=(TRIM($B119)))*(GJ[Date]&lt;=$E$7),GJ[Debit]))))-((SUM(IF((CkDJ[Sort Code]=(TRIM(G$4)))*(CkDJ[Account Code]=(TRIM($B119)))*(CkDJ[Date]&lt;=$E$7),CkDJ[Credit])))+(SUM(IF((CsDJ[Sort Code]=(TRIM(G$4)))*(CsDJ[Account Code]=(TRIM($B119)))*(CsDJ[Date]&lt;=$E$7),CsDJ[Credit])))+(SUM(IF((CRDJ[Sort Code]=(TRIM(G$4)))*(CRDJ[Account Code]=(TRIM($B119)))*(CRDJ[Date]&lt;=$E$7),CRDJ[Credit])))+(SUM(IF((GJ[Sort Code]=(TRIM(G$4)))*(GJ[Account Code]=(TRIM($B119)))*(GJ[Date]&lt;=$E$7),GJ[Credit]))))</f>
        <v>0</v>
      </c>
      <c r="F119" s="245">
        <f t="array" ref="F119">((SUM(IF((CkDJ[Date]=$A$3)*(CkDJ[Sort Code]=(TRIM(G$4)))*(CkDJ[Account Code]=(TRIM($B119))),CkDJ[Debit])))+(SUM(IF((CsDJ[Date]=$A$3)*(CsDJ[Sort Code]=(TRIM(G$4)))*(CsDJ[Account Code]=(TRIM($B119))),CsDJ[Debit])))+(SUM(IF((CRDJ[Date]=$A$3)*(CRDJ[Sort Code]=(TRIM(G$4)))*(CRDJ[Account Code]=(TRIM($B119))),CRDJ[Debit])))+(SUM(IF((GJ[Date]=$A$3)*(GJ[Sort Code]=(TRIM(G$4)))*(GJ[Account Code]=(TRIM($B119))),GJ[Debit]))))-((SUM(IF((CkDJ[Date]=$A$3)*(CkDJ[Sort Code]=(TRIM(G$4)))*(CkDJ[Account Code]=(TRIM($B119))),CkDJ[Credit])))+(SUM(IF((CsDJ[Date]=$A$3)*(CsDJ[Sort Code]=(TRIM(G$4)))*(CsDJ[Account Code]=(TRIM($B119))),CsDJ[Credit])))+(SUM(IF((CRDJ[Date]=$A$3)*(CRDJ[Sort Code]=(TRIM(G$4)))*(CRDJ[Account Code]=(TRIM($B119))),CRDJ[Credit])))+(SUM(IF((GJ[Date]=$A$3)*(GJ[Sort Code]=(TRIM(G$4)))*(GJ[Account Code]=(TRIM($B119))),GJ[Credit]))))</f>
        <v>0</v>
      </c>
      <c r="G119" s="343">
        <f t="shared" si="9"/>
        <v>0</v>
      </c>
      <c r="H119" s="246">
        <f t="shared" si="5"/>
        <v>0</v>
      </c>
      <c r="I119" s="246">
        <f t="shared" si="6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Code]=B120)*(Budget[Sort Code]=$G$4),(Budget[Amount])))</f>
        <v>100000</v>
      </c>
      <c r="D120" s="245">
        <f t="array" ref="D120">SUM(IF((Budget[Account Code]=B120)*(Budget[Sort Code]=$G$4)*(Budget[Date]&lt;=$D$7),(Budget[Amount])))</f>
        <v>100000</v>
      </c>
      <c r="E120" s="245">
        <f t="array" ref="E120">((SUM(IF((CkDJ[Sort Code]=(TRIM(G$4)))*(CkDJ[Account Code]=(TRIM($B120)))*(CkDJ[Date]&lt;=$E$7),CkDJ[Debit])))+(SUM(IF((CsDJ[Sort Code]=(TRIM(G$4)))*(CsDJ[Account Code]=(TRIM($B120)))*(CsDJ[Date]&lt;=$E$7),CsDJ[Debit])))+(SUM(IF((CRDJ[Sort Code]=(TRIM(G$4)))*(CRDJ[Account Code]=(TRIM($B120)))*(CRDJ[Date]&lt;=$E$7),CRDJ[Debit])))+(SUM(IF((GJ[Sort Code]=(TRIM(G$4)))*(GJ[Account Code]=(TRIM($B120)))*(GJ[Date]&lt;=$E$7),GJ[Debit]))))-((SUM(IF((CkDJ[Sort Code]=(TRIM(G$4)))*(CkDJ[Account Code]=(TRIM($B120)))*(CkDJ[Date]&lt;=$E$7),CkDJ[Credit])))+(SUM(IF((CsDJ[Sort Code]=(TRIM(G$4)))*(CsDJ[Account Code]=(TRIM($B120)))*(CsDJ[Date]&lt;=$E$7),CsDJ[Credit])))+(SUM(IF((CRDJ[Sort Code]=(TRIM(G$4)))*(CRDJ[Account Code]=(TRIM($B120)))*(CRDJ[Date]&lt;=$E$7),CRDJ[Credit])))+(SUM(IF((GJ[Sort Code]=(TRIM(G$4)))*(GJ[Account Code]=(TRIM($B120)))*(GJ[Date]&lt;=$E$7),GJ[Credit]))))</f>
        <v>0</v>
      </c>
      <c r="F120" s="245">
        <f t="array" ref="F120">((SUM(IF((CkDJ[Date]=$A$3)*(CkDJ[Sort Code]=(TRIM(G$4)))*(CkDJ[Account Code]=(TRIM($B120))),CkDJ[Debit])))+(SUM(IF((CsDJ[Date]=$A$3)*(CsDJ[Sort Code]=(TRIM(G$4)))*(CsDJ[Account Code]=(TRIM($B120))),CsDJ[Debit])))+(SUM(IF((CRDJ[Date]=$A$3)*(CRDJ[Sort Code]=(TRIM(G$4)))*(CRDJ[Account Code]=(TRIM($B120))),CRDJ[Debit])))+(SUM(IF((GJ[Date]=$A$3)*(GJ[Sort Code]=(TRIM(G$4)))*(GJ[Account Code]=(TRIM($B120))),GJ[Debit]))))-((SUM(IF((CkDJ[Date]=$A$3)*(CkDJ[Sort Code]=(TRIM(G$4)))*(CkDJ[Account Code]=(TRIM($B120))),CkDJ[Credit])))+(SUM(IF((CsDJ[Date]=$A$3)*(CsDJ[Sort Code]=(TRIM(G$4)))*(CsDJ[Account Code]=(TRIM($B120))),CsDJ[Credit])))+(SUM(IF((CRDJ[Date]=$A$3)*(CRDJ[Sort Code]=(TRIM(G$4)))*(CRDJ[Account Code]=(TRIM($B120))),CRDJ[Credit])))+(SUM(IF((GJ[Date]=$A$3)*(GJ[Sort Code]=(TRIM(G$4)))*(GJ[Account Code]=(TRIM($B120))),GJ[Credit]))))</f>
        <v>0</v>
      </c>
      <c r="G120" s="343">
        <f t="shared" si="9"/>
        <v>0</v>
      </c>
      <c r="H120" s="246">
        <f t="shared" ref="H120:H153" si="10">G120-D120</f>
        <v>-100000</v>
      </c>
      <c r="I120" s="246">
        <f t="shared" ref="I120:I153" si="11">IF((D120=0),0,G120/D120)</f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Code]=B121)*(Budget[Sort Code]=$G$4),(Budget[Amount])))</f>
        <v>0</v>
      </c>
      <c r="D121" s="245">
        <f t="array" ref="D121">SUM(IF((Budget[Account Code]=B121)*(Budget[Sort Code]=$G$4)*(Budget[Date]&lt;=$D$7),(Budget[Amount])))</f>
        <v>0</v>
      </c>
      <c r="E121" s="245">
        <f t="array" ref="E121">((SUM(IF((CkDJ[Sort Code]=(TRIM(G$4)))*(CkDJ[Account Code]=(TRIM($B121)))*(CkDJ[Date]&lt;=$E$7),CkDJ[Debit])))+(SUM(IF((CsDJ[Sort Code]=(TRIM(G$4)))*(CsDJ[Account Code]=(TRIM($B121)))*(CsDJ[Date]&lt;=$E$7),CsDJ[Debit])))+(SUM(IF((CRDJ[Sort Code]=(TRIM(G$4)))*(CRDJ[Account Code]=(TRIM($B121)))*(CRDJ[Date]&lt;=$E$7),CRDJ[Debit])))+(SUM(IF((GJ[Sort Code]=(TRIM(G$4)))*(GJ[Account Code]=(TRIM($B121)))*(GJ[Date]&lt;=$E$7),GJ[Debit]))))-((SUM(IF((CkDJ[Sort Code]=(TRIM(G$4)))*(CkDJ[Account Code]=(TRIM($B121)))*(CkDJ[Date]&lt;=$E$7),CkDJ[Credit])))+(SUM(IF((CsDJ[Sort Code]=(TRIM(G$4)))*(CsDJ[Account Code]=(TRIM($B121)))*(CsDJ[Date]&lt;=$E$7),CsDJ[Credit])))+(SUM(IF((CRDJ[Sort Code]=(TRIM(G$4)))*(CRDJ[Account Code]=(TRIM($B121)))*(CRDJ[Date]&lt;=$E$7),CRDJ[Credit])))+(SUM(IF((GJ[Sort Code]=(TRIM(G$4)))*(GJ[Account Code]=(TRIM($B121)))*(GJ[Date]&lt;=$E$7),GJ[Credit]))))</f>
        <v>0</v>
      </c>
      <c r="F121" s="245">
        <f t="array" ref="F121">((SUM(IF((CkDJ[Date]=$A$3)*(CkDJ[Sort Code]=(TRIM(G$4)))*(CkDJ[Account Code]=(TRIM($B121))),CkDJ[Debit])))+(SUM(IF((CsDJ[Date]=$A$3)*(CsDJ[Sort Code]=(TRIM(G$4)))*(CsDJ[Account Code]=(TRIM($B121))),CsDJ[Debit])))+(SUM(IF((CRDJ[Date]=$A$3)*(CRDJ[Sort Code]=(TRIM(G$4)))*(CRDJ[Account Code]=(TRIM($B121))),CRDJ[Debit])))+(SUM(IF((GJ[Date]=$A$3)*(GJ[Sort Code]=(TRIM(G$4)))*(GJ[Account Code]=(TRIM($B121))),GJ[Debit]))))-((SUM(IF((CkDJ[Date]=$A$3)*(CkDJ[Sort Code]=(TRIM(G$4)))*(CkDJ[Account Code]=(TRIM($B121))),CkDJ[Credit])))+(SUM(IF((CsDJ[Date]=$A$3)*(CsDJ[Sort Code]=(TRIM(G$4)))*(CsDJ[Account Code]=(TRIM($B121))),CsDJ[Credit])))+(SUM(IF((CRDJ[Date]=$A$3)*(CRDJ[Sort Code]=(TRIM(G$4)))*(CRDJ[Account Code]=(TRIM($B121))),CRDJ[Credit])))+(SUM(IF((GJ[Date]=$A$3)*(GJ[Sort Code]=(TRIM(G$4)))*(GJ[Account Code]=(TRIM($B121))),GJ[Credit]))))</f>
        <v>0</v>
      </c>
      <c r="G121" s="343">
        <f t="shared" si="9"/>
        <v>0</v>
      </c>
      <c r="H121" s="246">
        <f t="shared" si="10"/>
        <v>0</v>
      </c>
      <c r="I121" s="246">
        <f t="shared" si="11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Code]=B122)*(Budget[Sort Code]=$G$4),(Budget[Amount])))</f>
        <v>0</v>
      </c>
      <c r="D122" s="245">
        <f t="array" ref="D122">SUM(IF((Budget[Account Code]=B122)*(Budget[Sort Code]=$G$4)*(Budget[Date]&lt;=$D$7),(Budget[Amount])))</f>
        <v>0</v>
      </c>
      <c r="E122" s="245">
        <f t="array" ref="E122">((SUM(IF((CkDJ[Sort Code]=(TRIM(G$4)))*(CkDJ[Account Code]=(TRIM($B122)))*(CkDJ[Date]&lt;=$E$7),CkDJ[Debit])))+(SUM(IF((CsDJ[Sort Code]=(TRIM(G$4)))*(CsDJ[Account Code]=(TRIM($B122)))*(CsDJ[Date]&lt;=$E$7),CsDJ[Debit])))+(SUM(IF((CRDJ[Sort Code]=(TRIM(G$4)))*(CRDJ[Account Code]=(TRIM($B122)))*(CRDJ[Date]&lt;=$E$7),CRDJ[Debit])))+(SUM(IF((GJ[Sort Code]=(TRIM(G$4)))*(GJ[Account Code]=(TRIM($B122)))*(GJ[Date]&lt;=$E$7),GJ[Debit]))))-((SUM(IF((CkDJ[Sort Code]=(TRIM(G$4)))*(CkDJ[Account Code]=(TRIM($B122)))*(CkDJ[Date]&lt;=$E$7),CkDJ[Credit])))+(SUM(IF((CsDJ[Sort Code]=(TRIM(G$4)))*(CsDJ[Account Code]=(TRIM($B122)))*(CsDJ[Date]&lt;=$E$7),CsDJ[Credit])))+(SUM(IF((CRDJ[Sort Code]=(TRIM(G$4)))*(CRDJ[Account Code]=(TRIM($B122)))*(CRDJ[Date]&lt;=$E$7),CRDJ[Credit])))+(SUM(IF((GJ[Sort Code]=(TRIM(G$4)))*(GJ[Account Code]=(TRIM($B122)))*(GJ[Date]&lt;=$E$7),GJ[Credit]))))</f>
        <v>0</v>
      </c>
      <c r="F122" s="245">
        <f t="array" ref="F122">((SUM(IF((CkDJ[Date]=$A$3)*(CkDJ[Sort Code]=(TRIM(G$4)))*(CkDJ[Account Code]=(TRIM($B122))),CkDJ[Debit])))+(SUM(IF((CsDJ[Date]=$A$3)*(CsDJ[Sort Code]=(TRIM(G$4)))*(CsDJ[Account Code]=(TRIM($B122))),CsDJ[Debit])))+(SUM(IF((CRDJ[Date]=$A$3)*(CRDJ[Sort Code]=(TRIM(G$4)))*(CRDJ[Account Code]=(TRIM($B122))),CRDJ[Debit])))+(SUM(IF((GJ[Date]=$A$3)*(GJ[Sort Code]=(TRIM(G$4)))*(GJ[Account Code]=(TRIM($B122))),GJ[Debit]))))-((SUM(IF((CkDJ[Date]=$A$3)*(CkDJ[Sort Code]=(TRIM(G$4)))*(CkDJ[Account Code]=(TRIM($B122))),CkDJ[Credit])))+(SUM(IF((CsDJ[Date]=$A$3)*(CsDJ[Sort Code]=(TRIM(G$4)))*(CsDJ[Account Code]=(TRIM($B122))),CsDJ[Credit])))+(SUM(IF((CRDJ[Date]=$A$3)*(CRDJ[Sort Code]=(TRIM(G$4)))*(CRDJ[Account Code]=(TRIM($B122))),CRDJ[Credit])))+(SUM(IF((GJ[Date]=$A$3)*(GJ[Sort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hidden="1" x14ac:dyDescent="0.2">
      <c r="A123" s="256" t="s">
        <v>315</v>
      </c>
      <c r="B123" s="339" t="s">
        <v>270</v>
      </c>
      <c r="C123" s="245">
        <f t="array" ref="C123">SUM(IF((Budget[Account Code]=B123)*(Budget[Sort Code]=$G$4),(Budget[Amount])))</f>
        <v>0</v>
      </c>
      <c r="D123" s="245">
        <f t="array" ref="D123">SUM(IF((Budget[Account Code]=B123)*(Budget[Sort Code]=$G$4)*(Budget[Date]&lt;=$D$7),(Budget[Amount])))</f>
        <v>0</v>
      </c>
      <c r="E123" s="245">
        <f t="array" ref="E123">((SUM(IF((CkDJ[Sort Code]=(TRIM(G$4)))*(CkDJ[Account Code]=(TRIM($B123)))*(CkDJ[Date]&lt;=$E$7),CkDJ[Debit])))+(SUM(IF((CsDJ[Sort Code]=(TRIM(G$4)))*(CsDJ[Account Code]=(TRIM($B123)))*(CsDJ[Date]&lt;=$E$7),CsDJ[Debit])))+(SUM(IF((CRDJ[Sort Code]=(TRIM(G$4)))*(CRDJ[Account Code]=(TRIM($B123)))*(CRDJ[Date]&lt;=$E$7),CRDJ[Debit])))+(SUM(IF((GJ[Sort Code]=(TRIM(G$4)))*(GJ[Account Code]=(TRIM($B123)))*(GJ[Date]&lt;=$E$7),GJ[Debit]))))-((SUM(IF((CkDJ[Sort Code]=(TRIM(G$4)))*(CkDJ[Account Code]=(TRIM($B123)))*(CkDJ[Date]&lt;=$E$7),CkDJ[Credit])))+(SUM(IF((CsDJ[Sort Code]=(TRIM(G$4)))*(CsDJ[Account Code]=(TRIM($B123)))*(CsDJ[Date]&lt;=$E$7),CsDJ[Credit])))+(SUM(IF((CRDJ[Sort Code]=(TRIM(G$4)))*(CRDJ[Account Code]=(TRIM($B123)))*(CRDJ[Date]&lt;=$E$7),CRDJ[Credit])))+(SUM(IF((GJ[Sort Code]=(TRIM(G$4)))*(GJ[Account Code]=(TRIM($B123)))*(GJ[Date]&lt;=$E$7),GJ[Credit]))))</f>
        <v>0</v>
      </c>
      <c r="F123" s="245">
        <f t="array" ref="F123">((SUM(IF((CkDJ[Date]=$A$3)*(CkDJ[Sort Code]=(TRIM(G$4)))*(CkDJ[Account Code]=(TRIM($B123))),CkDJ[Debit])))+(SUM(IF((CsDJ[Date]=$A$3)*(CsDJ[Sort Code]=(TRIM(G$4)))*(CsDJ[Account Code]=(TRIM($B123))),CsDJ[Debit])))+(SUM(IF((CRDJ[Date]=$A$3)*(CRDJ[Sort Code]=(TRIM(G$4)))*(CRDJ[Account Code]=(TRIM($B123))),CRDJ[Debit])))+(SUM(IF((GJ[Date]=$A$3)*(GJ[Sort Code]=(TRIM(G$4)))*(GJ[Account Code]=(TRIM($B123))),GJ[Debit]))))-((SUM(IF((CkDJ[Date]=$A$3)*(CkDJ[Sort Code]=(TRIM(G$4)))*(CkDJ[Account Code]=(TRIM($B123))),CkDJ[Credit])))+(SUM(IF((CsDJ[Date]=$A$3)*(CsDJ[Sort Code]=(TRIM(G$4)))*(CsDJ[Account Code]=(TRIM($B123))),CsDJ[Credit])))+(SUM(IF((CRDJ[Date]=$A$3)*(CRDJ[Sort Code]=(TRIM(G$4)))*(CRDJ[Account Code]=(TRIM($B123))),CRDJ[Credit])))+(SUM(IF((GJ[Date]=$A$3)*(GJ[Sort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Code]=B124)*(Budget[Sort Code]=$G$4),(Budget[Amount])))</f>
        <v>0</v>
      </c>
      <c r="D124" s="245">
        <f t="array" ref="D124">SUM(IF((Budget[Account Code]=B124)*(Budget[Sort Code]=$G$4)*(Budget[Date]&lt;=$D$7),(Budget[Amount])))</f>
        <v>0</v>
      </c>
      <c r="E124" s="245">
        <f t="array" ref="E124">((SUM(IF((CkDJ[Sort Code]=(TRIM(G$4)))*(CkDJ[Account Code]=(TRIM($B124)))*(CkDJ[Date]&lt;=$E$7),CkDJ[Debit])))+(SUM(IF((CsDJ[Sort Code]=(TRIM(G$4)))*(CsDJ[Account Code]=(TRIM($B124)))*(CsDJ[Date]&lt;=$E$7),CsDJ[Debit])))+(SUM(IF((CRDJ[Sort Code]=(TRIM(G$4)))*(CRDJ[Account Code]=(TRIM($B124)))*(CRDJ[Date]&lt;=$E$7),CRDJ[Debit])))+(SUM(IF((GJ[Sort Code]=(TRIM(G$4)))*(GJ[Account Code]=(TRIM($B124)))*(GJ[Date]&lt;=$E$7),GJ[Debit]))))-((SUM(IF((CkDJ[Sort Code]=(TRIM(G$4)))*(CkDJ[Account Code]=(TRIM($B124)))*(CkDJ[Date]&lt;=$E$7),CkDJ[Credit])))+(SUM(IF((CsDJ[Sort Code]=(TRIM(G$4)))*(CsDJ[Account Code]=(TRIM($B124)))*(CsDJ[Date]&lt;=$E$7),CsDJ[Credit])))+(SUM(IF((CRDJ[Sort Code]=(TRIM(G$4)))*(CRDJ[Account Code]=(TRIM($B124)))*(CRDJ[Date]&lt;=$E$7),CRDJ[Credit])))+(SUM(IF((GJ[Sort Code]=(TRIM(G$4)))*(GJ[Account Code]=(TRIM($B124)))*(GJ[Date]&lt;=$E$7),GJ[Credit]))))</f>
        <v>0</v>
      </c>
      <c r="F124" s="245">
        <f t="array" ref="F124">((SUM(IF((CkDJ[Date]=$A$3)*(CkDJ[Sort Code]=(TRIM(G$4)))*(CkDJ[Account Code]=(TRIM($B124))),CkDJ[Debit])))+(SUM(IF((CsDJ[Date]=$A$3)*(CsDJ[Sort Code]=(TRIM(G$4)))*(CsDJ[Account Code]=(TRIM($B124))),CsDJ[Debit])))+(SUM(IF((CRDJ[Date]=$A$3)*(CRDJ[Sort Code]=(TRIM(G$4)))*(CRDJ[Account Code]=(TRIM($B124))),CRDJ[Debit])))+(SUM(IF((GJ[Date]=$A$3)*(GJ[Sort Code]=(TRIM(G$4)))*(GJ[Account Code]=(TRIM($B124))),GJ[Debit]))))-((SUM(IF((CkDJ[Date]=$A$3)*(CkDJ[Sort Code]=(TRIM(G$4)))*(CkDJ[Account Code]=(TRIM($B124))),CkDJ[Credit])))+(SUM(IF((CsDJ[Date]=$A$3)*(CsDJ[Sort Code]=(TRIM(G$4)))*(CsDJ[Account Code]=(TRIM($B124))),CsDJ[Credit])))+(SUM(IF((CRDJ[Date]=$A$3)*(CRDJ[Sort Code]=(TRIM(G$4)))*(CRDJ[Account Code]=(TRIM($B124))),CRDJ[Credit])))+(SUM(IF((GJ[Date]=$A$3)*(GJ[Sort Code]=(TRIM(G$4)))*(GJ[Account Code]=(TRIM($B124))),GJ[Credit]))))</f>
        <v>0</v>
      </c>
      <c r="G124" s="343">
        <f t="shared" si="9"/>
        <v>0</v>
      </c>
      <c r="H124" s="246">
        <f t="shared" si="10"/>
        <v>0</v>
      </c>
      <c r="I124" s="246">
        <f t="shared" si="11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Code]=B125)*(Budget[Sort Code]=$G$4),(Budget[Amount])))</f>
        <v>171160.42</v>
      </c>
      <c r="D125" s="245">
        <f t="array" ref="D125">SUM(IF((Budget[Account Code]=B125)*(Budget[Sort Code]=$G$4)*(Budget[Date]&lt;=$D$7),(Budget[Amount])))</f>
        <v>171160.42</v>
      </c>
      <c r="E125" s="245">
        <f t="array" ref="E125">((SUM(IF((CkDJ[Sort Code]=(TRIM(G$4)))*(CkDJ[Account Code]=(TRIM($B125)))*(CkDJ[Date]&lt;=$E$7),CkDJ[Debit])))+(SUM(IF((CsDJ[Sort Code]=(TRIM(G$4)))*(CsDJ[Account Code]=(TRIM($B125)))*(CsDJ[Date]&lt;=$E$7),CsDJ[Debit])))+(SUM(IF((CRDJ[Sort Code]=(TRIM(G$4)))*(CRDJ[Account Code]=(TRIM($B125)))*(CRDJ[Date]&lt;=$E$7),CRDJ[Debit])))+(SUM(IF((GJ[Sort Code]=(TRIM(G$4)))*(GJ[Account Code]=(TRIM($B125)))*(GJ[Date]&lt;=$E$7),GJ[Debit]))))-((SUM(IF((CkDJ[Sort Code]=(TRIM(G$4)))*(CkDJ[Account Code]=(TRIM($B125)))*(CkDJ[Date]&lt;=$E$7),CkDJ[Credit])))+(SUM(IF((CsDJ[Sort Code]=(TRIM(G$4)))*(CsDJ[Account Code]=(TRIM($B125)))*(CsDJ[Date]&lt;=$E$7),CsDJ[Credit])))+(SUM(IF((CRDJ[Sort Code]=(TRIM(G$4)))*(CRDJ[Account Code]=(TRIM($B125)))*(CRDJ[Date]&lt;=$E$7),CRDJ[Credit])))+(SUM(IF((GJ[Sort Code]=(TRIM(G$4)))*(GJ[Account Code]=(TRIM($B125)))*(GJ[Date]&lt;=$E$7),GJ[Credit]))))</f>
        <v>0</v>
      </c>
      <c r="F125" s="245">
        <f t="array" ref="F125">((SUM(IF((CkDJ[Date]=$A$3)*(CkDJ[Sort Code]=(TRIM(G$4)))*(CkDJ[Account Code]=(TRIM($B125))),CkDJ[Debit])))+(SUM(IF((CsDJ[Date]=$A$3)*(CsDJ[Sort Code]=(TRIM(G$4)))*(CsDJ[Account Code]=(TRIM($B125))),CsDJ[Debit])))+(SUM(IF((CRDJ[Date]=$A$3)*(CRDJ[Sort Code]=(TRIM(G$4)))*(CRDJ[Account Code]=(TRIM($B125))),CRDJ[Debit])))+(SUM(IF((GJ[Date]=$A$3)*(GJ[Sort Code]=(TRIM(G$4)))*(GJ[Account Code]=(TRIM($B125))),GJ[Debit]))))-((SUM(IF((CkDJ[Date]=$A$3)*(CkDJ[Sort Code]=(TRIM(G$4)))*(CkDJ[Account Code]=(TRIM($B125))),CkDJ[Credit])))+(SUM(IF((CsDJ[Date]=$A$3)*(CsDJ[Sort Code]=(TRIM(G$4)))*(CsDJ[Account Code]=(TRIM($B125))),CsDJ[Credit])))+(SUM(IF((CRDJ[Date]=$A$3)*(CRDJ[Sort Code]=(TRIM(G$4)))*(CRDJ[Account Code]=(TRIM($B125))),CRDJ[Credit])))+(SUM(IF((GJ[Date]=$A$3)*(GJ[Sort Code]=(TRIM(G$4)))*(GJ[Account Code]=(TRIM($B125))),GJ[Credit]))))</f>
        <v>0</v>
      </c>
      <c r="G125" s="343">
        <f t="shared" si="9"/>
        <v>0</v>
      </c>
      <c r="H125" s="246">
        <f t="shared" si="10"/>
        <v>-171160.42</v>
      </c>
      <c r="I125" s="246">
        <f t="shared" si="11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Code]=B126)*(Budget[Sort Code]=$G$4),(Budget[Amount])))</f>
        <v>0</v>
      </c>
      <c r="D126" s="245">
        <f t="array" ref="D126">SUM(IF((Budget[Account Code]=B126)*(Budget[Sort Code]=$G$4)*(Budget[Date]&lt;=$D$7),(Budget[Amount])))</f>
        <v>0</v>
      </c>
      <c r="E126" s="245">
        <f t="array" ref="E126">((SUM(IF((CkDJ[Sort Code]=(TRIM(G$4)))*(CkDJ[Account Code]=(TRIM($B126)))*(CkDJ[Date]&lt;=$E$7),CkDJ[Debit])))+(SUM(IF((CsDJ[Sort Code]=(TRIM(G$4)))*(CsDJ[Account Code]=(TRIM($B126)))*(CsDJ[Date]&lt;=$E$7),CsDJ[Debit])))+(SUM(IF((CRDJ[Sort Code]=(TRIM(G$4)))*(CRDJ[Account Code]=(TRIM($B126)))*(CRDJ[Date]&lt;=$E$7),CRDJ[Debit])))+(SUM(IF((GJ[Sort Code]=(TRIM(G$4)))*(GJ[Account Code]=(TRIM($B126)))*(GJ[Date]&lt;=$E$7),GJ[Debit]))))-((SUM(IF((CkDJ[Sort Code]=(TRIM(G$4)))*(CkDJ[Account Code]=(TRIM($B126)))*(CkDJ[Date]&lt;=$E$7),CkDJ[Credit])))+(SUM(IF((CsDJ[Sort Code]=(TRIM(G$4)))*(CsDJ[Account Code]=(TRIM($B126)))*(CsDJ[Date]&lt;=$E$7),CsDJ[Credit])))+(SUM(IF((CRDJ[Sort Code]=(TRIM(G$4)))*(CRDJ[Account Code]=(TRIM($B126)))*(CRDJ[Date]&lt;=$E$7),CRDJ[Credit])))+(SUM(IF((GJ[Sort Code]=(TRIM(G$4)))*(GJ[Account Code]=(TRIM($B126)))*(GJ[Date]&lt;=$E$7),GJ[Credit]))))</f>
        <v>0</v>
      </c>
      <c r="F126" s="245">
        <f t="array" ref="F126">((SUM(IF((CkDJ[Date]=$A$3)*(CkDJ[Sort Code]=(TRIM(G$4)))*(CkDJ[Account Code]=(TRIM($B126))),CkDJ[Debit])))+(SUM(IF((CsDJ[Date]=$A$3)*(CsDJ[Sort Code]=(TRIM(G$4)))*(CsDJ[Account Code]=(TRIM($B126))),CsDJ[Debit])))+(SUM(IF((CRDJ[Date]=$A$3)*(CRDJ[Sort Code]=(TRIM(G$4)))*(CRDJ[Account Code]=(TRIM($B126))),CRDJ[Debit])))+(SUM(IF((GJ[Date]=$A$3)*(GJ[Sort Code]=(TRIM(G$4)))*(GJ[Account Code]=(TRIM($B126))),GJ[Debit]))))-((SUM(IF((CkDJ[Date]=$A$3)*(CkDJ[Sort Code]=(TRIM(G$4)))*(CkDJ[Account Code]=(TRIM($B126))),CkDJ[Credit])))+(SUM(IF((CsDJ[Date]=$A$3)*(CsDJ[Sort Code]=(TRIM(G$4)))*(CsDJ[Account Code]=(TRIM($B126))),CsDJ[Credit])))+(SUM(IF((CRDJ[Date]=$A$3)*(CRDJ[Sort Code]=(TRIM(G$4)))*(CRDJ[Account Code]=(TRIM($B126))),CRDJ[Credit])))+(SUM(IF((GJ[Date]=$A$3)*(GJ[Sort Code]=(TRIM(G$4)))*(GJ[Account Code]=(TRIM($B126))),GJ[Credit]))))</f>
        <v>0</v>
      </c>
      <c r="G126" s="343">
        <f t="shared" si="9"/>
        <v>0</v>
      </c>
      <c r="H126" s="246">
        <f t="shared" si="10"/>
        <v>0</v>
      </c>
      <c r="I126" s="246">
        <f t="shared" si="11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Code]=B127)*(Budget[Sort Code]=$G$4),(Budget[Amount])))</f>
        <v>0</v>
      </c>
      <c r="D127" s="245">
        <f t="array" ref="D127">SUM(IF((Budget[Account Code]=B127)*(Budget[Sort Code]=$G$4)*(Budget[Date]&lt;=$D$7),(Budget[Amount])))</f>
        <v>0</v>
      </c>
      <c r="E127" s="245">
        <f t="array" ref="E127">((SUM(IF((CkDJ[Sort Code]=(TRIM(G$4)))*(CkDJ[Account Code]=(TRIM($B127)))*(CkDJ[Date]&lt;=$E$7),CkDJ[Debit])))+(SUM(IF((CsDJ[Sort Code]=(TRIM(G$4)))*(CsDJ[Account Code]=(TRIM($B127)))*(CsDJ[Date]&lt;=$E$7),CsDJ[Debit])))+(SUM(IF((CRDJ[Sort Code]=(TRIM(G$4)))*(CRDJ[Account Code]=(TRIM($B127)))*(CRDJ[Date]&lt;=$E$7),CRDJ[Debit])))+(SUM(IF((GJ[Sort Code]=(TRIM(G$4)))*(GJ[Account Code]=(TRIM($B127)))*(GJ[Date]&lt;=$E$7),GJ[Debit]))))-((SUM(IF((CkDJ[Sort Code]=(TRIM(G$4)))*(CkDJ[Account Code]=(TRIM($B127)))*(CkDJ[Date]&lt;=$E$7),CkDJ[Credit])))+(SUM(IF((CsDJ[Sort Code]=(TRIM(G$4)))*(CsDJ[Account Code]=(TRIM($B127)))*(CsDJ[Date]&lt;=$E$7),CsDJ[Credit])))+(SUM(IF((CRDJ[Sort Code]=(TRIM(G$4)))*(CRDJ[Account Code]=(TRIM($B127)))*(CRDJ[Date]&lt;=$E$7),CRDJ[Credit])))+(SUM(IF((GJ[Sort Code]=(TRIM(G$4)))*(GJ[Account Code]=(TRIM($B127)))*(GJ[Date]&lt;=$E$7),GJ[Credit]))))</f>
        <v>0</v>
      </c>
      <c r="F127" s="245">
        <f t="array" ref="F127">((SUM(IF((CkDJ[Date]=$A$3)*(CkDJ[Sort Code]=(TRIM(G$4)))*(CkDJ[Account Code]=(TRIM($B127))),CkDJ[Debit])))+(SUM(IF((CsDJ[Date]=$A$3)*(CsDJ[Sort Code]=(TRIM(G$4)))*(CsDJ[Account Code]=(TRIM($B127))),CsDJ[Debit])))+(SUM(IF((CRDJ[Date]=$A$3)*(CRDJ[Sort Code]=(TRIM(G$4)))*(CRDJ[Account Code]=(TRIM($B127))),CRDJ[Debit])))+(SUM(IF((GJ[Date]=$A$3)*(GJ[Sort Code]=(TRIM(G$4)))*(GJ[Account Code]=(TRIM($B127))),GJ[Debit]))))-((SUM(IF((CkDJ[Date]=$A$3)*(CkDJ[Sort Code]=(TRIM(G$4)))*(CkDJ[Account Code]=(TRIM($B127))),CkDJ[Credit])))+(SUM(IF((CsDJ[Date]=$A$3)*(CsDJ[Sort Code]=(TRIM(G$4)))*(CsDJ[Account Code]=(TRIM($B127))),CsDJ[Credit])))+(SUM(IF((CRDJ[Date]=$A$3)*(CRDJ[Sort Code]=(TRIM(G$4)))*(CRDJ[Account Code]=(TRIM($B127))),CRDJ[Credit])))+(SUM(IF((GJ[Date]=$A$3)*(GJ[Sort Code]=(TRIM(G$4)))*(GJ[Account Code]=(TRIM($B127))),GJ[Credit]))))</f>
        <v>0</v>
      </c>
      <c r="G127" s="343">
        <f t="shared" si="9"/>
        <v>0</v>
      </c>
      <c r="H127" s="246">
        <f t="shared" si="10"/>
        <v>0</v>
      </c>
      <c r="I127" s="246">
        <f t="shared" si="11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Code]=B128)*(Budget[Sort Code]=$G$4),(Budget[Amount])))</f>
        <v>0</v>
      </c>
      <c r="D128" s="245">
        <f t="array" ref="D128">SUM(IF((Budget[Account Code]=B128)*(Budget[Sort Code]=$G$4)*(Budget[Date]&lt;=$D$7),(Budget[Amount])))</f>
        <v>0</v>
      </c>
      <c r="E128" s="245">
        <f t="array" ref="E128">((SUM(IF((CkDJ[Sort Code]=(TRIM(G$4)))*(CkDJ[Account Code]=(TRIM($B128)))*(CkDJ[Date]&lt;=$E$7),CkDJ[Debit])))+(SUM(IF((CsDJ[Sort Code]=(TRIM(G$4)))*(CsDJ[Account Code]=(TRIM($B128)))*(CsDJ[Date]&lt;=$E$7),CsDJ[Debit])))+(SUM(IF((CRDJ[Sort Code]=(TRIM(G$4)))*(CRDJ[Account Code]=(TRIM($B128)))*(CRDJ[Date]&lt;=$E$7),CRDJ[Debit])))+(SUM(IF((GJ[Sort Code]=(TRIM(G$4)))*(GJ[Account Code]=(TRIM($B128)))*(GJ[Date]&lt;=$E$7),GJ[Debit]))))-((SUM(IF((CkDJ[Sort Code]=(TRIM(G$4)))*(CkDJ[Account Code]=(TRIM($B128)))*(CkDJ[Date]&lt;=$E$7),CkDJ[Credit])))+(SUM(IF((CsDJ[Sort Code]=(TRIM(G$4)))*(CsDJ[Account Code]=(TRIM($B128)))*(CsDJ[Date]&lt;=$E$7),CsDJ[Credit])))+(SUM(IF((CRDJ[Sort Code]=(TRIM(G$4)))*(CRDJ[Account Code]=(TRIM($B128)))*(CRDJ[Date]&lt;=$E$7),CRDJ[Credit])))+(SUM(IF((GJ[Sort Code]=(TRIM(G$4)))*(GJ[Account Code]=(TRIM($B128)))*(GJ[Date]&lt;=$E$7),GJ[Credit]))))</f>
        <v>0</v>
      </c>
      <c r="F128" s="245">
        <f t="array" ref="F128">((SUM(IF((CkDJ[Date]=$A$3)*(CkDJ[Sort Code]=(TRIM(G$4)))*(CkDJ[Account Code]=(TRIM($B128))),CkDJ[Debit])))+(SUM(IF((CsDJ[Date]=$A$3)*(CsDJ[Sort Code]=(TRIM(G$4)))*(CsDJ[Account Code]=(TRIM($B128))),CsDJ[Debit])))+(SUM(IF((CRDJ[Date]=$A$3)*(CRDJ[Sort Code]=(TRIM(G$4)))*(CRDJ[Account Code]=(TRIM($B128))),CRDJ[Debit])))+(SUM(IF((GJ[Date]=$A$3)*(GJ[Sort Code]=(TRIM(G$4)))*(GJ[Account Code]=(TRIM($B128))),GJ[Debit]))))-((SUM(IF((CkDJ[Date]=$A$3)*(CkDJ[Sort Code]=(TRIM(G$4)))*(CkDJ[Account Code]=(TRIM($B128))),CkDJ[Credit])))+(SUM(IF((CsDJ[Date]=$A$3)*(CsDJ[Sort Code]=(TRIM(G$4)))*(CsDJ[Account Code]=(TRIM($B128))),CsDJ[Credit])))+(SUM(IF((CRDJ[Date]=$A$3)*(CRDJ[Sort Code]=(TRIM(G$4)))*(CRDJ[Account Code]=(TRIM($B128))),CRDJ[Credit])))+(SUM(IF((GJ[Date]=$A$3)*(GJ[Sort Code]=(TRIM(G$4)))*(GJ[Account Code]=(TRIM($B128))),GJ[Credit]))))</f>
        <v>0</v>
      </c>
      <c r="G128" s="343">
        <f t="shared" si="9"/>
        <v>0</v>
      </c>
      <c r="H128" s="246">
        <f t="shared" si="10"/>
        <v>0</v>
      </c>
      <c r="I128" s="246">
        <f t="shared" si="11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Code]=B129)*(Budget[Sort Code]=$G$4),(Budget[Amount])))</f>
        <v>0</v>
      </c>
      <c r="D129" s="245">
        <f t="array" ref="D129">SUM(IF((Budget[Account Code]=B129)*(Budget[Sort Code]=$G$4)*(Budget[Date]&lt;=$D$7),(Budget[Amount])))</f>
        <v>0</v>
      </c>
      <c r="E129" s="245">
        <f t="array" ref="E129">((SUM(IF((CkDJ[Sort Code]=(TRIM(G$4)))*(CkDJ[Account Code]=(TRIM($B129)))*(CkDJ[Date]&lt;=$E$7),CkDJ[Debit])))+(SUM(IF((CsDJ[Sort Code]=(TRIM(G$4)))*(CsDJ[Account Code]=(TRIM($B129)))*(CsDJ[Date]&lt;=$E$7),CsDJ[Debit])))+(SUM(IF((CRDJ[Sort Code]=(TRIM(G$4)))*(CRDJ[Account Code]=(TRIM($B129)))*(CRDJ[Date]&lt;=$E$7),CRDJ[Debit])))+(SUM(IF((GJ[Sort Code]=(TRIM(G$4)))*(GJ[Account Code]=(TRIM($B129)))*(GJ[Date]&lt;=$E$7),GJ[Debit]))))-((SUM(IF((CkDJ[Sort Code]=(TRIM(G$4)))*(CkDJ[Account Code]=(TRIM($B129)))*(CkDJ[Date]&lt;=$E$7),CkDJ[Credit])))+(SUM(IF((CsDJ[Sort Code]=(TRIM(G$4)))*(CsDJ[Account Code]=(TRIM($B129)))*(CsDJ[Date]&lt;=$E$7),CsDJ[Credit])))+(SUM(IF((CRDJ[Sort Code]=(TRIM(G$4)))*(CRDJ[Account Code]=(TRIM($B129)))*(CRDJ[Date]&lt;=$E$7),CRDJ[Credit])))+(SUM(IF((GJ[Sort Code]=(TRIM(G$4)))*(GJ[Account Code]=(TRIM($B129)))*(GJ[Date]&lt;=$E$7),GJ[Credit]))))</f>
        <v>0</v>
      </c>
      <c r="F129" s="245">
        <f t="array" ref="F129">((SUM(IF((CkDJ[Date]=$A$3)*(CkDJ[Sort Code]=(TRIM(G$4)))*(CkDJ[Account Code]=(TRIM($B129))),CkDJ[Debit])))+(SUM(IF((CsDJ[Date]=$A$3)*(CsDJ[Sort Code]=(TRIM(G$4)))*(CsDJ[Account Code]=(TRIM($B129))),CsDJ[Debit])))+(SUM(IF((CRDJ[Date]=$A$3)*(CRDJ[Sort Code]=(TRIM(G$4)))*(CRDJ[Account Code]=(TRIM($B129))),CRDJ[Debit])))+(SUM(IF((GJ[Date]=$A$3)*(GJ[Sort Code]=(TRIM(G$4)))*(GJ[Account Code]=(TRIM($B129))),GJ[Debit]))))-((SUM(IF((CkDJ[Date]=$A$3)*(CkDJ[Sort Code]=(TRIM(G$4)))*(CkDJ[Account Code]=(TRIM($B129))),CkDJ[Credit])))+(SUM(IF((CsDJ[Date]=$A$3)*(CsDJ[Sort Code]=(TRIM(G$4)))*(CsDJ[Account Code]=(TRIM($B129))),CsDJ[Credit])))+(SUM(IF((CRDJ[Date]=$A$3)*(CRDJ[Sort Code]=(TRIM(G$4)))*(CRDJ[Account Code]=(TRIM($B129))),CRDJ[Credit])))+(SUM(IF((GJ[Date]=$A$3)*(GJ[Sort Code]=(TRIM(G$4)))*(GJ[Account Code]=(TRIM($B129))),GJ[Credit]))))</f>
        <v>0</v>
      </c>
      <c r="G129" s="343">
        <f t="shared" si="9"/>
        <v>0</v>
      </c>
      <c r="H129" s="246">
        <f t="shared" si="10"/>
        <v>0</v>
      </c>
      <c r="I129" s="246">
        <f t="shared" si="11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Code]=B130)*(Budget[Sort Code]=$G$4),(Budget[Amount])))</f>
        <v>0</v>
      </c>
      <c r="D130" s="245">
        <f t="array" ref="D130">SUM(IF((Budget[Account Code]=B130)*(Budget[Sort Code]=$G$4)*(Budget[Date]&lt;=$D$7),(Budget[Amount])))</f>
        <v>0</v>
      </c>
      <c r="E130" s="245">
        <f t="array" ref="E130">((SUM(IF((CkDJ[Sort Code]=(TRIM(G$4)))*(CkDJ[Account Code]=(TRIM($B130)))*(CkDJ[Date]&lt;=$E$7),CkDJ[Debit])))+(SUM(IF((CsDJ[Sort Code]=(TRIM(G$4)))*(CsDJ[Account Code]=(TRIM($B130)))*(CsDJ[Date]&lt;=$E$7),CsDJ[Debit])))+(SUM(IF((CRDJ[Sort Code]=(TRIM(G$4)))*(CRDJ[Account Code]=(TRIM($B130)))*(CRDJ[Date]&lt;=$E$7),CRDJ[Debit])))+(SUM(IF((GJ[Sort Code]=(TRIM(G$4)))*(GJ[Account Code]=(TRIM($B130)))*(GJ[Date]&lt;=$E$7),GJ[Debit]))))-((SUM(IF((CkDJ[Sort Code]=(TRIM(G$4)))*(CkDJ[Account Code]=(TRIM($B130)))*(CkDJ[Date]&lt;=$E$7),CkDJ[Credit])))+(SUM(IF((CsDJ[Sort Code]=(TRIM(G$4)))*(CsDJ[Account Code]=(TRIM($B130)))*(CsDJ[Date]&lt;=$E$7),CsDJ[Credit])))+(SUM(IF((CRDJ[Sort Code]=(TRIM(G$4)))*(CRDJ[Account Code]=(TRIM($B130)))*(CRDJ[Date]&lt;=$E$7),CRDJ[Credit])))+(SUM(IF((GJ[Sort Code]=(TRIM(G$4)))*(GJ[Account Code]=(TRIM($B130)))*(GJ[Date]&lt;=$E$7),GJ[Credit]))))</f>
        <v>0</v>
      </c>
      <c r="F130" s="245">
        <f t="array" ref="F130">((SUM(IF((CkDJ[Date]=$A$3)*(CkDJ[Sort Code]=(TRIM(G$4)))*(CkDJ[Account Code]=(TRIM($B130))),CkDJ[Debit])))+(SUM(IF((CsDJ[Date]=$A$3)*(CsDJ[Sort Code]=(TRIM(G$4)))*(CsDJ[Account Code]=(TRIM($B130))),CsDJ[Debit])))+(SUM(IF((CRDJ[Date]=$A$3)*(CRDJ[Sort Code]=(TRIM(G$4)))*(CRDJ[Account Code]=(TRIM($B130))),CRDJ[Debit])))+(SUM(IF((GJ[Date]=$A$3)*(GJ[Sort Code]=(TRIM(G$4)))*(GJ[Account Code]=(TRIM($B130))),GJ[Debit]))))-((SUM(IF((CkDJ[Date]=$A$3)*(CkDJ[Sort Code]=(TRIM(G$4)))*(CkDJ[Account Code]=(TRIM($B130))),CkDJ[Credit])))+(SUM(IF((CsDJ[Date]=$A$3)*(CsDJ[Sort Code]=(TRIM(G$4)))*(CsDJ[Account Code]=(TRIM($B130))),CsDJ[Credit])))+(SUM(IF((CRDJ[Date]=$A$3)*(CRDJ[Sort Code]=(TRIM(G$4)))*(CRDJ[Account Code]=(TRIM($B130))),CRDJ[Credit])))+(SUM(IF((GJ[Date]=$A$3)*(GJ[Sort Code]=(TRIM(G$4)))*(GJ[Account Code]=(TRIM($B130))),GJ[Credit]))))</f>
        <v>0</v>
      </c>
      <c r="G130" s="343">
        <f t="shared" si="9"/>
        <v>0</v>
      </c>
      <c r="H130" s="246">
        <f t="shared" si="10"/>
        <v>0</v>
      </c>
      <c r="I130" s="246">
        <f t="shared" si="11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Code]=B131)*(Budget[Sort Code]=$G$4),(Budget[Amount])))</f>
        <v>0</v>
      </c>
      <c r="D131" s="245">
        <f t="array" ref="D131">SUM(IF((Budget[Account Code]=B131)*(Budget[Sort Code]=$G$4)*(Budget[Date]&lt;=$D$7),(Budget[Amount])))</f>
        <v>0</v>
      </c>
      <c r="E131" s="245">
        <f t="array" ref="E131">((SUM(IF((CkDJ[Sort Code]=(TRIM(G$4)))*(CkDJ[Account Code]=(TRIM($B131)))*(CkDJ[Date]&lt;=$E$7),CkDJ[Debit])))+(SUM(IF((CsDJ[Sort Code]=(TRIM(G$4)))*(CsDJ[Account Code]=(TRIM($B131)))*(CsDJ[Date]&lt;=$E$7),CsDJ[Debit])))+(SUM(IF((CRDJ[Sort Code]=(TRIM(G$4)))*(CRDJ[Account Code]=(TRIM($B131)))*(CRDJ[Date]&lt;=$E$7),CRDJ[Debit])))+(SUM(IF((GJ[Sort Code]=(TRIM(G$4)))*(GJ[Account Code]=(TRIM($B131)))*(GJ[Date]&lt;=$E$7),GJ[Debit]))))-((SUM(IF((CkDJ[Sort Code]=(TRIM(G$4)))*(CkDJ[Account Code]=(TRIM($B131)))*(CkDJ[Date]&lt;=$E$7),CkDJ[Credit])))+(SUM(IF((CsDJ[Sort Code]=(TRIM(G$4)))*(CsDJ[Account Code]=(TRIM($B131)))*(CsDJ[Date]&lt;=$E$7),CsDJ[Credit])))+(SUM(IF((CRDJ[Sort Code]=(TRIM(G$4)))*(CRDJ[Account Code]=(TRIM($B131)))*(CRDJ[Date]&lt;=$E$7),CRDJ[Credit])))+(SUM(IF((GJ[Sort Code]=(TRIM(G$4)))*(GJ[Account Code]=(TRIM($B131)))*(GJ[Date]&lt;=$E$7),GJ[Credit]))))</f>
        <v>0</v>
      </c>
      <c r="F131" s="245">
        <f t="array" ref="F131">((SUM(IF((CkDJ[Date]=$A$3)*(CkDJ[Sort Code]=(TRIM(G$4)))*(CkDJ[Account Code]=(TRIM($B131))),CkDJ[Debit])))+(SUM(IF((CsDJ[Date]=$A$3)*(CsDJ[Sort Code]=(TRIM(G$4)))*(CsDJ[Account Code]=(TRIM($B131))),CsDJ[Debit])))+(SUM(IF((CRDJ[Date]=$A$3)*(CRDJ[Sort Code]=(TRIM(G$4)))*(CRDJ[Account Code]=(TRIM($B131))),CRDJ[Debit])))+(SUM(IF((GJ[Date]=$A$3)*(GJ[Sort Code]=(TRIM(G$4)))*(GJ[Account Code]=(TRIM($B131))),GJ[Debit]))))-((SUM(IF((CkDJ[Date]=$A$3)*(CkDJ[Sort Code]=(TRIM(G$4)))*(CkDJ[Account Code]=(TRIM($B131))),CkDJ[Credit])))+(SUM(IF((CsDJ[Date]=$A$3)*(CsDJ[Sort Code]=(TRIM(G$4)))*(CsDJ[Account Code]=(TRIM($B131))),CsDJ[Credit])))+(SUM(IF((CRDJ[Date]=$A$3)*(CRDJ[Sort Code]=(TRIM(G$4)))*(CRDJ[Account Code]=(TRIM($B131))),CRDJ[Credit])))+(SUM(IF((GJ[Date]=$A$3)*(GJ[Sort Code]=(TRIM(G$4)))*(GJ[Account Code]=(TRIM($B131))),GJ[Credit]))))</f>
        <v>0</v>
      </c>
      <c r="G131" s="343">
        <f t="shared" si="9"/>
        <v>0</v>
      </c>
      <c r="H131" s="246">
        <f t="shared" si="10"/>
        <v>0</v>
      </c>
      <c r="I131" s="246">
        <f t="shared" si="11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Code]=B132)*(Budget[Sort Code]=$G$4),(Budget[Amount])))</f>
        <v>0</v>
      </c>
      <c r="D132" s="245">
        <f t="array" ref="D132">SUM(IF((Budget[Account Code]=B132)*(Budget[Sort Code]=$G$4)*(Budget[Date]&lt;=$D$7),(Budget[Amount])))</f>
        <v>0</v>
      </c>
      <c r="E132" s="245">
        <f t="array" ref="E132">((SUM(IF((CkDJ[Sort Code]=(TRIM(G$4)))*(CkDJ[Account Code]=(TRIM($B132)))*(CkDJ[Date]&lt;=$E$7),CkDJ[Debit])))+(SUM(IF((CsDJ[Sort Code]=(TRIM(G$4)))*(CsDJ[Account Code]=(TRIM($B132)))*(CsDJ[Date]&lt;=$E$7),CsDJ[Debit])))+(SUM(IF((CRDJ[Sort Code]=(TRIM(G$4)))*(CRDJ[Account Code]=(TRIM($B132)))*(CRDJ[Date]&lt;=$E$7),CRDJ[Debit])))+(SUM(IF((GJ[Sort Code]=(TRIM(G$4)))*(GJ[Account Code]=(TRIM($B132)))*(GJ[Date]&lt;=$E$7),GJ[Debit]))))-((SUM(IF((CkDJ[Sort Code]=(TRIM(G$4)))*(CkDJ[Account Code]=(TRIM($B132)))*(CkDJ[Date]&lt;=$E$7),CkDJ[Credit])))+(SUM(IF((CsDJ[Sort Code]=(TRIM(G$4)))*(CsDJ[Account Code]=(TRIM($B132)))*(CsDJ[Date]&lt;=$E$7),CsDJ[Credit])))+(SUM(IF((CRDJ[Sort Code]=(TRIM(G$4)))*(CRDJ[Account Code]=(TRIM($B132)))*(CRDJ[Date]&lt;=$E$7),CRDJ[Credit])))+(SUM(IF((GJ[Sort Code]=(TRIM(G$4)))*(GJ[Account Code]=(TRIM($B132)))*(GJ[Date]&lt;=$E$7),GJ[Credit]))))</f>
        <v>0</v>
      </c>
      <c r="F132" s="245">
        <f t="array" ref="F132">((SUM(IF((CkDJ[Date]=$A$3)*(CkDJ[Sort Code]=(TRIM(G$4)))*(CkDJ[Account Code]=(TRIM($B132))),CkDJ[Debit])))+(SUM(IF((CsDJ[Date]=$A$3)*(CsDJ[Sort Code]=(TRIM(G$4)))*(CsDJ[Account Code]=(TRIM($B132))),CsDJ[Debit])))+(SUM(IF((CRDJ[Date]=$A$3)*(CRDJ[Sort Code]=(TRIM(G$4)))*(CRDJ[Account Code]=(TRIM($B132))),CRDJ[Debit])))+(SUM(IF((GJ[Date]=$A$3)*(GJ[Sort Code]=(TRIM(G$4)))*(GJ[Account Code]=(TRIM($B132))),GJ[Debit]))))-((SUM(IF((CkDJ[Date]=$A$3)*(CkDJ[Sort Code]=(TRIM(G$4)))*(CkDJ[Account Code]=(TRIM($B132))),CkDJ[Credit])))+(SUM(IF((CsDJ[Date]=$A$3)*(CsDJ[Sort Code]=(TRIM(G$4)))*(CsDJ[Account Code]=(TRIM($B132))),CsDJ[Credit])))+(SUM(IF((CRDJ[Date]=$A$3)*(CRDJ[Sort Code]=(TRIM(G$4)))*(CRDJ[Account Code]=(TRIM($B132))),CRDJ[Credit])))+(SUM(IF((GJ[Date]=$A$3)*(GJ[Sort Code]=(TRIM(G$4)))*(GJ[Account Code]=(TRIM($B132))),GJ[Credit]))))</f>
        <v>0</v>
      </c>
      <c r="G132" s="343">
        <f t="shared" si="9"/>
        <v>0</v>
      </c>
      <c r="H132" s="246">
        <f t="shared" si="10"/>
        <v>0</v>
      </c>
      <c r="I132" s="246">
        <f t="shared" si="11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Code]=B133)*(Budget[Sort Code]=$G$4),(Budget[Amount])))</f>
        <v>0</v>
      </c>
      <c r="D133" s="245">
        <f t="array" ref="D133">SUM(IF((Budget[Account Code]=B133)*(Budget[Sort Code]=$G$4)*(Budget[Date]&lt;=$D$7),(Budget[Amount])))</f>
        <v>0</v>
      </c>
      <c r="E133" s="245">
        <f t="array" ref="E133">((SUM(IF((CkDJ[Sort Code]=(TRIM(G$4)))*(CkDJ[Account Code]=(TRIM($B133)))*(CkDJ[Date]&lt;=$E$7),CkDJ[Debit])))+(SUM(IF((CsDJ[Sort Code]=(TRIM(G$4)))*(CsDJ[Account Code]=(TRIM($B133)))*(CsDJ[Date]&lt;=$E$7),CsDJ[Debit])))+(SUM(IF((CRDJ[Sort Code]=(TRIM(G$4)))*(CRDJ[Account Code]=(TRIM($B133)))*(CRDJ[Date]&lt;=$E$7),CRDJ[Debit])))+(SUM(IF((GJ[Sort Code]=(TRIM(G$4)))*(GJ[Account Code]=(TRIM($B133)))*(GJ[Date]&lt;=$E$7),GJ[Debit]))))-((SUM(IF((CkDJ[Sort Code]=(TRIM(G$4)))*(CkDJ[Account Code]=(TRIM($B133)))*(CkDJ[Date]&lt;=$E$7),CkDJ[Credit])))+(SUM(IF((CsDJ[Sort Code]=(TRIM(G$4)))*(CsDJ[Account Code]=(TRIM($B133)))*(CsDJ[Date]&lt;=$E$7),CsDJ[Credit])))+(SUM(IF((CRDJ[Sort Code]=(TRIM(G$4)))*(CRDJ[Account Code]=(TRIM($B133)))*(CRDJ[Date]&lt;=$E$7),CRDJ[Credit])))+(SUM(IF((GJ[Sort Code]=(TRIM(G$4)))*(GJ[Account Code]=(TRIM($B133)))*(GJ[Date]&lt;=$E$7),GJ[Credit]))))</f>
        <v>0</v>
      </c>
      <c r="F133" s="245">
        <f t="array" ref="F133">((SUM(IF((CkDJ[Date]=$A$3)*(CkDJ[Sort Code]=(TRIM(G$4)))*(CkDJ[Account Code]=(TRIM($B133))),CkDJ[Debit])))+(SUM(IF((CsDJ[Date]=$A$3)*(CsDJ[Sort Code]=(TRIM(G$4)))*(CsDJ[Account Code]=(TRIM($B133))),CsDJ[Debit])))+(SUM(IF((CRDJ[Date]=$A$3)*(CRDJ[Sort Code]=(TRIM(G$4)))*(CRDJ[Account Code]=(TRIM($B133))),CRDJ[Debit])))+(SUM(IF((GJ[Date]=$A$3)*(GJ[Sort Code]=(TRIM(G$4)))*(GJ[Account Code]=(TRIM($B133))),GJ[Debit]))))-((SUM(IF((CkDJ[Date]=$A$3)*(CkDJ[Sort Code]=(TRIM(G$4)))*(CkDJ[Account Code]=(TRIM($B133))),CkDJ[Credit])))+(SUM(IF((CsDJ[Date]=$A$3)*(CsDJ[Sort Code]=(TRIM(G$4)))*(CsDJ[Account Code]=(TRIM($B133))),CsDJ[Credit])))+(SUM(IF((CRDJ[Date]=$A$3)*(CRDJ[Sort Code]=(TRIM(G$4)))*(CRDJ[Account Code]=(TRIM($B133))),CRDJ[Credit])))+(SUM(IF((GJ[Date]=$A$3)*(GJ[Sort Code]=(TRIM(G$4)))*(GJ[Account Code]=(TRIM($B133))),GJ[Credit]))))</f>
        <v>0</v>
      </c>
      <c r="G133" s="343">
        <f t="shared" si="9"/>
        <v>0</v>
      </c>
      <c r="H133" s="246">
        <f t="shared" si="10"/>
        <v>0</v>
      </c>
      <c r="I133" s="246">
        <f t="shared" si="11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Code]=B134)*(Budget[Sort Code]=$G$4),(Budget[Amount])))</f>
        <v>0</v>
      </c>
      <c r="D134" s="245">
        <f t="array" ref="D134">SUM(IF((Budget[Account Code]=B134)*(Budget[Sort Code]=$G$4)*(Budget[Date]&lt;=$D$7),(Budget[Amount])))</f>
        <v>0</v>
      </c>
      <c r="E134" s="245">
        <f t="array" ref="E134">((SUM(IF((CkDJ[Sort Code]=(TRIM(G$4)))*(CkDJ[Account Code]=(TRIM($B134)))*(CkDJ[Date]&lt;=$E$7),CkDJ[Debit])))+(SUM(IF((CsDJ[Sort Code]=(TRIM(G$4)))*(CsDJ[Account Code]=(TRIM($B134)))*(CsDJ[Date]&lt;=$E$7),CsDJ[Debit])))+(SUM(IF((CRDJ[Sort Code]=(TRIM(G$4)))*(CRDJ[Account Code]=(TRIM($B134)))*(CRDJ[Date]&lt;=$E$7),CRDJ[Debit])))+(SUM(IF((GJ[Sort Code]=(TRIM(G$4)))*(GJ[Account Code]=(TRIM($B134)))*(GJ[Date]&lt;=$E$7),GJ[Debit]))))-((SUM(IF((CkDJ[Sort Code]=(TRIM(G$4)))*(CkDJ[Account Code]=(TRIM($B134)))*(CkDJ[Date]&lt;=$E$7),CkDJ[Credit])))+(SUM(IF((CsDJ[Sort Code]=(TRIM(G$4)))*(CsDJ[Account Code]=(TRIM($B134)))*(CsDJ[Date]&lt;=$E$7),CsDJ[Credit])))+(SUM(IF((CRDJ[Sort Code]=(TRIM(G$4)))*(CRDJ[Account Code]=(TRIM($B134)))*(CRDJ[Date]&lt;=$E$7),CRDJ[Credit])))+(SUM(IF((GJ[Sort Code]=(TRIM(G$4)))*(GJ[Account Code]=(TRIM($B134)))*(GJ[Date]&lt;=$E$7),GJ[Credit]))))</f>
        <v>0</v>
      </c>
      <c r="F134" s="245">
        <f t="array" ref="F134">((SUM(IF((CkDJ[Date]=$A$3)*(CkDJ[Sort Code]=(TRIM(G$4)))*(CkDJ[Account Code]=(TRIM($B134))),CkDJ[Debit])))+(SUM(IF((CsDJ[Date]=$A$3)*(CsDJ[Sort Code]=(TRIM(G$4)))*(CsDJ[Account Code]=(TRIM($B134))),CsDJ[Debit])))+(SUM(IF((CRDJ[Date]=$A$3)*(CRDJ[Sort Code]=(TRIM(G$4)))*(CRDJ[Account Code]=(TRIM($B134))),CRDJ[Debit])))+(SUM(IF((GJ[Date]=$A$3)*(GJ[Sort Code]=(TRIM(G$4)))*(GJ[Account Code]=(TRIM($B134))),GJ[Debit]))))-((SUM(IF((CkDJ[Date]=$A$3)*(CkDJ[Sort Code]=(TRIM(G$4)))*(CkDJ[Account Code]=(TRIM($B134))),CkDJ[Credit])))+(SUM(IF((CsDJ[Date]=$A$3)*(CsDJ[Sort Code]=(TRIM(G$4)))*(CsDJ[Account Code]=(TRIM($B134))),CsDJ[Credit])))+(SUM(IF((CRDJ[Date]=$A$3)*(CRDJ[Sort Code]=(TRIM(G$4)))*(CRDJ[Account Code]=(TRIM($B134))),CRDJ[Credit])))+(SUM(IF((GJ[Date]=$A$3)*(GJ[Sort Code]=(TRIM(G$4)))*(GJ[Account Code]=(TRIM($B134))),GJ[Credit]))))</f>
        <v>0</v>
      </c>
      <c r="G134" s="343">
        <f t="shared" si="9"/>
        <v>0</v>
      </c>
      <c r="H134" s="246">
        <f t="shared" si="10"/>
        <v>0</v>
      </c>
      <c r="I134" s="246">
        <f t="shared" si="11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Code]=B135)*(Budget[Sort Code]=$G$4),(Budget[Amount])))</f>
        <v>0</v>
      </c>
      <c r="D135" s="245">
        <f t="array" ref="D135">SUM(IF((Budget[Account Code]=B135)*(Budget[Sort Code]=$G$4)*(Budget[Date]&lt;=$D$7),(Budget[Amount])))</f>
        <v>0</v>
      </c>
      <c r="E135" s="245">
        <f t="array" ref="E135">((SUM(IF((CkDJ[Sort Code]=(TRIM(G$4)))*(CkDJ[Account Code]=(TRIM($B135)))*(CkDJ[Date]&lt;=$E$7),CkDJ[Debit])))+(SUM(IF((CsDJ[Sort Code]=(TRIM(G$4)))*(CsDJ[Account Code]=(TRIM($B135)))*(CsDJ[Date]&lt;=$E$7),CsDJ[Debit])))+(SUM(IF((CRDJ[Sort Code]=(TRIM(G$4)))*(CRDJ[Account Code]=(TRIM($B135)))*(CRDJ[Date]&lt;=$E$7),CRDJ[Debit])))+(SUM(IF((GJ[Sort Code]=(TRIM(G$4)))*(GJ[Account Code]=(TRIM($B135)))*(GJ[Date]&lt;=$E$7),GJ[Debit]))))-((SUM(IF((CkDJ[Sort Code]=(TRIM(G$4)))*(CkDJ[Account Code]=(TRIM($B135)))*(CkDJ[Date]&lt;=$E$7),CkDJ[Credit])))+(SUM(IF((CsDJ[Sort Code]=(TRIM(G$4)))*(CsDJ[Account Code]=(TRIM($B135)))*(CsDJ[Date]&lt;=$E$7),CsDJ[Credit])))+(SUM(IF((CRDJ[Sort Code]=(TRIM(G$4)))*(CRDJ[Account Code]=(TRIM($B135)))*(CRDJ[Date]&lt;=$E$7),CRDJ[Credit])))+(SUM(IF((GJ[Sort Code]=(TRIM(G$4)))*(GJ[Account Code]=(TRIM($B135)))*(GJ[Date]&lt;=$E$7),GJ[Credit]))))</f>
        <v>0</v>
      </c>
      <c r="F135" s="245">
        <f t="array" ref="F135">((SUM(IF((CkDJ[Date]=$A$3)*(CkDJ[Sort Code]=(TRIM(G$4)))*(CkDJ[Account Code]=(TRIM($B135))),CkDJ[Debit])))+(SUM(IF((CsDJ[Date]=$A$3)*(CsDJ[Sort Code]=(TRIM(G$4)))*(CsDJ[Account Code]=(TRIM($B135))),CsDJ[Debit])))+(SUM(IF((CRDJ[Date]=$A$3)*(CRDJ[Sort Code]=(TRIM(G$4)))*(CRDJ[Account Code]=(TRIM($B135))),CRDJ[Debit])))+(SUM(IF((GJ[Date]=$A$3)*(GJ[Sort Code]=(TRIM(G$4)))*(GJ[Account Code]=(TRIM($B135))),GJ[Debit]))))-((SUM(IF((CkDJ[Date]=$A$3)*(CkDJ[Sort Code]=(TRIM(G$4)))*(CkDJ[Account Code]=(TRIM($B135))),CkDJ[Credit])))+(SUM(IF((CsDJ[Date]=$A$3)*(CsDJ[Sort Code]=(TRIM(G$4)))*(CsDJ[Account Code]=(TRIM($B135))),CsDJ[Credit])))+(SUM(IF((CRDJ[Date]=$A$3)*(CRDJ[Sort Code]=(TRIM(G$4)))*(CRDJ[Account Code]=(TRIM($B135))),CRDJ[Credit])))+(SUM(IF((GJ[Date]=$A$3)*(GJ[Sort Code]=(TRIM(G$4)))*(GJ[Account Code]=(TRIM($B135))),GJ[Credit]))))</f>
        <v>0</v>
      </c>
      <c r="G135" s="343">
        <f t="shared" si="9"/>
        <v>0</v>
      </c>
      <c r="H135" s="246">
        <f t="shared" si="10"/>
        <v>0</v>
      </c>
      <c r="I135" s="246">
        <f t="shared" si="11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Code]=B136)*(Budget[Sort Code]=$G$4),(Budget[Amount])))</f>
        <v>0</v>
      </c>
      <c r="D136" s="245">
        <f t="array" ref="D136">SUM(IF((Budget[Account Code]=B136)*(Budget[Sort Code]=$G$4)*(Budget[Date]&lt;=$D$7),(Budget[Amount])))</f>
        <v>0</v>
      </c>
      <c r="E136" s="245">
        <f t="array" ref="E136">((SUM(IF((CkDJ[Sort Code]=(TRIM(G$4)))*(CkDJ[Account Code]=(TRIM($B136)))*(CkDJ[Date]&lt;=$E$7),CkDJ[Debit])))+(SUM(IF((CsDJ[Sort Code]=(TRIM(G$4)))*(CsDJ[Account Code]=(TRIM($B136)))*(CsDJ[Date]&lt;=$E$7),CsDJ[Debit])))+(SUM(IF((CRDJ[Sort Code]=(TRIM(G$4)))*(CRDJ[Account Code]=(TRIM($B136)))*(CRDJ[Date]&lt;=$E$7),CRDJ[Debit])))+(SUM(IF((GJ[Sort Code]=(TRIM(G$4)))*(GJ[Account Code]=(TRIM($B136)))*(GJ[Date]&lt;=$E$7),GJ[Debit]))))-((SUM(IF((CkDJ[Sort Code]=(TRIM(G$4)))*(CkDJ[Account Code]=(TRIM($B136)))*(CkDJ[Date]&lt;=$E$7),CkDJ[Credit])))+(SUM(IF((CsDJ[Sort Code]=(TRIM(G$4)))*(CsDJ[Account Code]=(TRIM($B136)))*(CsDJ[Date]&lt;=$E$7),CsDJ[Credit])))+(SUM(IF((CRDJ[Sort Code]=(TRIM(G$4)))*(CRDJ[Account Code]=(TRIM($B136)))*(CRDJ[Date]&lt;=$E$7),CRDJ[Credit])))+(SUM(IF((GJ[Sort Code]=(TRIM(G$4)))*(GJ[Account Code]=(TRIM($B136)))*(GJ[Date]&lt;=$E$7),GJ[Credit]))))</f>
        <v>0</v>
      </c>
      <c r="F136" s="245">
        <f t="array" ref="F136">((SUM(IF((CkDJ[Date]=$A$3)*(CkDJ[Sort Code]=(TRIM(G$4)))*(CkDJ[Account Code]=(TRIM($B136))),CkDJ[Debit])))+(SUM(IF((CsDJ[Date]=$A$3)*(CsDJ[Sort Code]=(TRIM(G$4)))*(CsDJ[Account Code]=(TRIM($B136))),CsDJ[Debit])))+(SUM(IF((CRDJ[Date]=$A$3)*(CRDJ[Sort Code]=(TRIM(G$4)))*(CRDJ[Account Code]=(TRIM($B136))),CRDJ[Debit])))+(SUM(IF((GJ[Date]=$A$3)*(GJ[Sort Code]=(TRIM(G$4)))*(GJ[Account Code]=(TRIM($B136))),GJ[Debit]))))-((SUM(IF((CkDJ[Date]=$A$3)*(CkDJ[Sort Code]=(TRIM(G$4)))*(CkDJ[Account Code]=(TRIM($B136))),CkDJ[Credit])))+(SUM(IF((CsDJ[Date]=$A$3)*(CsDJ[Sort Code]=(TRIM(G$4)))*(CsDJ[Account Code]=(TRIM($B136))),CsDJ[Credit])))+(SUM(IF((CRDJ[Date]=$A$3)*(CRDJ[Sort Code]=(TRIM(G$4)))*(CRDJ[Account Code]=(TRIM($B136))),CRDJ[Credit])))+(SUM(IF((GJ[Date]=$A$3)*(GJ[Sort Code]=(TRIM(G$4)))*(GJ[Account Code]=(TRIM($B136))),GJ[Credit]))))</f>
        <v>0</v>
      </c>
      <c r="G136" s="343">
        <f t="shared" si="9"/>
        <v>0</v>
      </c>
      <c r="H136" s="246">
        <f t="shared" si="10"/>
        <v>0</v>
      </c>
      <c r="I136" s="246">
        <f t="shared" si="11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Code]=B137)*(Budget[Sort Code]=$G$4),(Budget[Amount])))</f>
        <v>0</v>
      </c>
      <c r="D137" s="245">
        <f t="array" ref="D137">SUM(IF((Budget[Account Code]=B137)*(Budget[Sort Code]=$G$4)*(Budget[Date]&lt;=$D$7),(Budget[Amount])))</f>
        <v>0</v>
      </c>
      <c r="E137" s="245">
        <f t="array" ref="E137">((SUM(IF((CkDJ[Sort Code]=(TRIM(G$4)))*(CkDJ[Account Code]=(TRIM($B137)))*(CkDJ[Date]&lt;=$E$7),CkDJ[Debit])))+(SUM(IF((CsDJ[Sort Code]=(TRIM(G$4)))*(CsDJ[Account Code]=(TRIM($B137)))*(CsDJ[Date]&lt;=$E$7),CsDJ[Debit])))+(SUM(IF((CRDJ[Sort Code]=(TRIM(G$4)))*(CRDJ[Account Code]=(TRIM($B137)))*(CRDJ[Date]&lt;=$E$7),CRDJ[Debit])))+(SUM(IF((GJ[Sort Code]=(TRIM(G$4)))*(GJ[Account Code]=(TRIM($B137)))*(GJ[Date]&lt;=$E$7),GJ[Debit]))))-((SUM(IF((CkDJ[Sort Code]=(TRIM(G$4)))*(CkDJ[Account Code]=(TRIM($B137)))*(CkDJ[Date]&lt;=$E$7),CkDJ[Credit])))+(SUM(IF((CsDJ[Sort Code]=(TRIM(G$4)))*(CsDJ[Account Code]=(TRIM($B137)))*(CsDJ[Date]&lt;=$E$7),CsDJ[Credit])))+(SUM(IF((CRDJ[Sort Code]=(TRIM(G$4)))*(CRDJ[Account Code]=(TRIM($B137)))*(CRDJ[Date]&lt;=$E$7),CRDJ[Credit])))+(SUM(IF((GJ[Sort Code]=(TRIM(G$4)))*(GJ[Account Code]=(TRIM($B137)))*(GJ[Date]&lt;=$E$7),GJ[Credit]))))</f>
        <v>0</v>
      </c>
      <c r="F137" s="245">
        <f t="array" ref="F137">((SUM(IF((CkDJ[Date]=$A$3)*(CkDJ[Sort Code]=(TRIM(G$4)))*(CkDJ[Account Code]=(TRIM($B137))),CkDJ[Debit])))+(SUM(IF((CsDJ[Date]=$A$3)*(CsDJ[Sort Code]=(TRIM(G$4)))*(CsDJ[Account Code]=(TRIM($B137))),CsDJ[Debit])))+(SUM(IF((CRDJ[Date]=$A$3)*(CRDJ[Sort Code]=(TRIM(G$4)))*(CRDJ[Account Code]=(TRIM($B137))),CRDJ[Debit])))+(SUM(IF((GJ[Date]=$A$3)*(GJ[Sort Code]=(TRIM(G$4)))*(GJ[Account Code]=(TRIM($B137))),GJ[Debit]))))-((SUM(IF((CkDJ[Date]=$A$3)*(CkDJ[Sort Code]=(TRIM(G$4)))*(CkDJ[Account Code]=(TRIM($B137))),CkDJ[Credit])))+(SUM(IF((CsDJ[Date]=$A$3)*(CsDJ[Sort Code]=(TRIM(G$4)))*(CsDJ[Account Code]=(TRIM($B137))),CsDJ[Credit])))+(SUM(IF((CRDJ[Date]=$A$3)*(CRDJ[Sort Code]=(TRIM(G$4)))*(CRDJ[Account Code]=(TRIM($B137))),CRDJ[Credit])))+(SUM(IF((GJ[Date]=$A$3)*(GJ[Sort Code]=(TRIM(G$4)))*(GJ[Account Code]=(TRIM($B137))),GJ[Credit]))))</f>
        <v>0</v>
      </c>
      <c r="G137" s="343">
        <f t="shared" si="9"/>
        <v>0</v>
      </c>
      <c r="H137" s="246">
        <f t="shared" si="10"/>
        <v>0</v>
      </c>
      <c r="I137" s="246">
        <f t="shared" si="11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10"/>
        <v>0</v>
      </c>
      <c r="I138" s="246">
        <f t="shared" si="11"/>
        <v>0</v>
      </c>
    </row>
    <row r="139" spans="1:9" x14ac:dyDescent="0.2">
      <c r="A139" s="253" t="s">
        <v>808</v>
      </c>
      <c r="B139" s="337"/>
      <c r="C139" s="242">
        <f>SUM(C140:C143)</f>
        <v>2894108.05</v>
      </c>
      <c r="D139" s="242">
        <f>SUM(D140:D143)</f>
        <v>2894108.05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10"/>
        <v>-2894108.05</v>
      </c>
      <c r="I139" s="246">
        <f t="shared" si="11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Code]=B140)*(Budget[Sort Code]=$G$4),(Budget[Amount])))</f>
        <v>2894108.05</v>
      </c>
      <c r="D140" s="245">
        <f t="array" ref="D140">SUM(IF((Budget[Account Code]=B140)*(Budget[Sort Code]=$G$4)*(Budget[Date]&lt;=$D$7),(Budget[Amount])))</f>
        <v>2894108.05</v>
      </c>
      <c r="E140" s="245">
        <f t="array" ref="E140">((SUM(IF((CkDJ[Sort Code]=(TRIM(G$4)))*(CkDJ[Account Code]=(TRIM($B140)))*(CkDJ[Date]&lt;=$E$7),CkDJ[Debit])))+(SUM(IF((CsDJ[Sort Code]=(TRIM(G$4)))*(CsDJ[Account Code]=(TRIM($B140)))*(CsDJ[Date]&lt;=$E$7),CsDJ[Debit])))+(SUM(IF((CRDJ[Sort Code]=(TRIM(G$4)))*(CRDJ[Account Code]=(TRIM($B140)))*(CRDJ[Date]&lt;=$E$7),CRDJ[Debit])))+(SUM(IF((GJ[Sort Code]=(TRIM(G$4)))*(GJ[Account Code]=(TRIM($B140)))*(GJ[Date]&lt;=$E$7),GJ[Debit]))))-((SUM(IF((CkDJ[Sort Code]=(TRIM(G$4)))*(CkDJ[Account Code]=(TRIM($B140)))*(CkDJ[Date]&lt;=$E$7),CkDJ[Credit])))+(SUM(IF((CsDJ[Sort Code]=(TRIM(G$4)))*(CsDJ[Account Code]=(TRIM($B140)))*(CsDJ[Date]&lt;=$E$7),CsDJ[Credit])))+(SUM(IF((CRDJ[Sort Code]=(TRIM(G$4)))*(CRDJ[Account Code]=(TRIM($B140)))*(CRDJ[Date]&lt;=$E$7),CRDJ[Credit])))+(SUM(IF((GJ[Sort Code]=(TRIM(G$4)))*(GJ[Account Code]=(TRIM($B140)))*(GJ[Date]&lt;=$E$7),GJ[Credit]))))</f>
        <v>0</v>
      </c>
      <c r="F140" s="245">
        <f t="array" ref="F140">((SUM(IF((CkDJ[Date]=$A$3)*(CkDJ[Sort Code]=(TRIM(G$4)))*(CkDJ[Account Code]=(TRIM($B140))),CkDJ[Debit])))+(SUM(IF((CsDJ[Date]=$A$3)*(CsDJ[Sort Code]=(TRIM(G$4)))*(CsDJ[Account Code]=(TRIM($B140))),CsDJ[Debit])))+(SUM(IF((CRDJ[Date]=$A$3)*(CRDJ[Sort Code]=(TRIM(G$4)))*(CRDJ[Account Code]=(TRIM($B140))),CRDJ[Debit])))+(SUM(IF((GJ[Date]=$A$3)*(GJ[Sort Code]=(TRIM(G$4)))*(GJ[Account Code]=(TRIM($B140))),GJ[Debit]))))-((SUM(IF((CkDJ[Date]=$A$3)*(CkDJ[Sort Code]=(TRIM(G$4)))*(CkDJ[Account Code]=(TRIM($B140))),CkDJ[Credit])))+(SUM(IF((CsDJ[Date]=$A$3)*(CsDJ[Sort Code]=(TRIM(G$4)))*(CsDJ[Account Code]=(TRIM($B140))),CsDJ[Credit])))+(SUM(IF((CRDJ[Date]=$A$3)*(CRDJ[Sort Code]=(TRIM(G$4)))*(CRDJ[Account Code]=(TRIM($B140))),CRDJ[Credit])))+(SUM(IF((GJ[Date]=$A$3)*(GJ[Sort Code]=(TRIM(G$4)))*(GJ[Account Code]=(TRIM($B140))),GJ[Credit]))))</f>
        <v>0</v>
      </c>
      <c r="G140" s="343">
        <f>E140+F140</f>
        <v>0</v>
      </c>
      <c r="H140" s="246">
        <f t="shared" si="10"/>
        <v>-2894108.05</v>
      </c>
      <c r="I140" s="246">
        <f t="shared" si="11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Code]=B141)*(Budget[Sort Code]=$G$4),(Budget[Amount])))</f>
        <v>0</v>
      </c>
      <c r="D141" s="245">
        <f t="array" ref="D141">SUM(IF((Budget[Account Code]=B141)*(Budget[Sort Code]=$G$4)*(Budget[Date]&lt;=$D$7),(Budget[Amount])))</f>
        <v>0</v>
      </c>
      <c r="E141" s="245">
        <f t="array" ref="E141">((SUM(IF((CkDJ[Sort Code]=(TRIM(G$4)))*(CkDJ[Account Code]=(TRIM($B141)))*(CkDJ[Date]&lt;=$E$7),CkDJ[Debit])))+(SUM(IF((CsDJ[Sort Code]=(TRIM(G$4)))*(CsDJ[Account Code]=(TRIM($B141)))*(CsDJ[Date]&lt;=$E$7),CsDJ[Debit])))+(SUM(IF((CRDJ[Sort Code]=(TRIM(G$4)))*(CRDJ[Account Code]=(TRIM($B141)))*(CRDJ[Date]&lt;=$E$7),CRDJ[Debit])))+(SUM(IF((GJ[Sort Code]=(TRIM(G$4)))*(GJ[Account Code]=(TRIM($B141)))*(GJ[Date]&lt;=$E$7),GJ[Debit]))))-((SUM(IF((CkDJ[Sort Code]=(TRIM(G$4)))*(CkDJ[Account Code]=(TRIM($B141)))*(CkDJ[Date]&lt;=$E$7),CkDJ[Credit])))+(SUM(IF((CsDJ[Sort Code]=(TRIM(G$4)))*(CsDJ[Account Code]=(TRIM($B141)))*(CsDJ[Date]&lt;=$E$7),CsDJ[Credit])))+(SUM(IF((CRDJ[Sort Code]=(TRIM(G$4)))*(CRDJ[Account Code]=(TRIM($B141)))*(CRDJ[Date]&lt;=$E$7),CRDJ[Credit])))+(SUM(IF((GJ[Sort Code]=(TRIM(G$4)))*(GJ[Account Code]=(TRIM($B141)))*(GJ[Date]&lt;=$E$7),GJ[Credit]))))</f>
        <v>0</v>
      </c>
      <c r="F141" s="245">
        <f t="array" ref="F141">((SUM(IF((CkDJ[Date]=$A$3)*(CkDJ[Sort Code]=(TRIM(G$4)))*(CkDJ[Account Code]=(TRIM($B141))),CkDJ[Debit])))+(SUM(IF((CsDJ[Date]=$A$3)*(CsDJ[Sort Code]=(TRIM(G$4)))*(CsDJ[Account Code]=(TRIM($B141))),CsDJ[Debit])))+(SUM(IF((CRDJ[Date]=$A$3)*(CRDJ[Sort Code]=(TRIM(G$4)))*(CRDJ[Account Code]=(TRIM($B141))),CRDJ[Debit])))+(SUM(IF((GJ[Date]=$A$3)*(GJ[Sort Code]=(TRIM(G$4)))*(GJ[Account Code]=(TRIM($B141))),GJ[Debit]))))-((SUM(IF((CkDJ[Date]=$A$3)*(CkDJ[Sort Code]=(TRIM(G$4)))*(CkDJ[Account Code]=(TRIM($B141))),CkDJ[Credit])))+(SUM(IF((CsDJ[Date]=$A$3)*(CsDJ[Sort Code]=(TRIM(G$4)))*(CsDJ[Account Code]=(TRIM($B141))),CsDJ[Credit])))+(SUM(IF((CRDJ[Date]=$A$3)*(CRDJ[Sort Code]=(TRIM(G$4)))*(CRDJ[Account Code]=(TRIM($B141))),CRDJ[Credit])))+(SUM(IF((GJ[Date]=$A$3)*(GJ[Sort Code]=(TRIM(G$4)))*(GJ[Account Code]=(TRIM($B141))),GJ[Credit]))))</f>
        <v>0</v>
      </c>
      <c r="G141" s="343">
        <f>E141+F141</f>
        <v>0</v>
      </c>
      <c r="H141" s="246">
        <f t="shared" si="10"/>
        <v>0</v>
      </c>
      <c r="I141" s="246">
        <f t="shared" si="11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Code]=B142)*(Budget[Sort Code]=$G$4),(Budget[Amount])))</f>
        <v>0</v>
      </c>
      <c r="D142" s="245">
        <f t="array" ref="D142">SUM(IF((Budget[Account Code]=B142)*(Budget[Sort Code]=$G$4)*(Budget[Date]&lt;=$D$7),(Budget[Amount])))</f>
        <v>0</v>
      </c>
      <c r="E142" s="245">
        <f t="array" ref="E142">((SUM(IF((CkDJ[Sort Code]=(TRIM(G$4)))*(CkDJ[Account Code]=(TRIM($B142)))*(CkDJ[Date]&lt;=$E$7),CkDJ[Debit])))+(SUM(IF((CsDJ[Sort Code]=(TRIM(G$4)))*(CsDJ[Account Code]=(TRIM($B142)))*(CsDJ[Date]&lt;=$E$7),CsDJ[Debit])))+(SUM(IF((CRDJ[Sort Code]=(TRIM(G$4)))*(CRDJ[Account Code]=(TRIM($B142)))*(CRDJ[Date]&lt;=$E$7),CRDJ[Debit])))+(SUM(IF((GJ[Sort Code]=(TRIM(G$4)))*(GJ[Account Code]=(TRIM($B142)))*(GJ[Date]&lt;=$E$7),GJ[Debit]))))-((SUM(IF((CkDJ[Sort Code]=(TRIM(G$4)))*(CkDJ[Account Code]=(TRIM($B142)))*(CkDJ[Date]&lt;=$E$7),CkDJ[Credit])))+(SUM(IF((CsDJ[Sort Code]=(TRIM(G$4)))*(CsDJ[Account Code]=(TRIM($B142)))*(CsDJ[Date]&lt;=$E$7),CsDJ[Credit])))+(SUM(IF((CRDJ[Sort Code]=(TRIM(G$4)))*(CRDJ[Account Code]=(TRIM($B142)))*(CRDJ[Date]&lt;=$E$7),CRDJ[Credit])))+(SUM(IF((GJ[Sort Code]=(TRIM(G$4)))*(GJ[Account Code]=(TRIM($B142)))*(GJ[Date]&lt;=$E$7),GJ[Credit]))))</f>
        <v>0</v>
      </c>
      <c r="F142" s="245">
        <f t="array" ref="F142">((SUM(IF((CkDJ[Date]=$A$3)*(CkDJ[Sort Code]=(TRIM(G$4)))*(CkDJ[Account Code]=(TRIM($B142))),CkDJ[Debit])))+(SUM(IF((CsDJ[Date]=$A$3)*(CsDJ[Sort Code]=(TRIM(G$4)))*(CsDJ[Account Code]=(TRIM($B142))),CsDJ[Debit])))+(SUM(IF((CRDJ[Date]=$A$3)*(CRDJ[Sort Code]=(TRIM(G$4)))*(CRDJ[Account Code]=(TRIM($B142))),CRDJ[Debit])))+(SUM(IF((GJ[Date]=$A$3)*(GJ[Sort Code]=(TRIM(G$4)))*(GJ[Account Code]=(TRIM($B142))),GJ[Debit]))))-((SUM(IF((CkDJ[Date]=$A$3)*(CkDJ[Sort Code]=(TRIM(G$4)))*(CkDJ[Account Code]=(TRIM($B142))),CkDJ[Credit])))+(SUM(IF((CsDJ[Date]=$A$3)*(CsDJ[Sort Code]=(TRIM(G$4)))*(CsDJ[Account Code]=(TRIM($B142))),CsDJ[Credit])))+(SUM(IF((CRDJ[Date]=$A$3)*(CRDJ[Sort Code]=(TRIM(G$4)))*(CRDJ[Account Code]=(TRIM($B142))),CRDJ[Credit])))+(SUM(IF((GJ[Date]=$A$3)*(GJ[Sort Code]=(TRIM(G$4)))*(GJ[Account Code]=(TRIM($B142))),GJ[Credit]))))</f>
        <v>0</v>
      </c>
      <c r="G142" s="343">
        <f>E142+F142</f>
        <v>0</v>
      </c>
      <c r="H142" s="246">
        <f t="shared" si="10"/>
        <v>0</v>
      </c>
      <c r="I142" s="246">
        <f t="shared" si="11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Code]=B143)*(Budget[Sort Code]=$G$4),(Budget[Amount])))</f>
        <v>0</v>
      </c>
      <c r="D143" s="245">
        <f t="array" ref="D143">SUM(IF((Budget[Account Code]=B143)*(Budget[Sort Code]=$G$4)*(Budget[Date]&lt;=$D$7),(Budget[Amount])))</f>
        <v>0</v>
      </c>
      <c r="E143" s="245">
        <f t="array" ref="E143">((SUM(IF((CkDJ[Sort Code]=(TRIM(G$4)))*(CkDJ[Account Code]=(TRIM($B143)))*(CkDJ[Date]&lt;=$E$7),CkDJ[Debit])))+(SUM(IF((CsDJ[Sort Code]=(TRIM(G$4)))*(CsDJ[Account Code]=(TRIM($B143)))*(CsDJ[Date]&lt;=$E$7),CsDJ[Debit])))+(SUM(IF((CRDJ[Sort Code]=(TRIM(G$4)))*(CRDJ[Account Code]=(TRIM($B143)))*(CRDJ[Date]&lt;=$E$7),CRDJ[Debit])))+(SUM(IF((GJ[Sort Code]=(TRIM(G$4)))*(GJ[Account Code]=(TRIM($B143)))*(GJ[Date]&lt;=$E$7),GJ[Debit]))))-((SUM(IF((CkDJ[Sort Code]=(TRIM(G$4)))*(CkDJ[Account Code]=(TRIM($B143)))*(CkDJ[Date]&lt;=$E$7),CkDJ[Credit])))+(SUM(IF((CsDJ[Sort Code]=(TRIM(G$4)))*(CsDJ[Account Code]=(TRIM($B143)))*(CsDJ[Date]&lt;=$E$7),CsDJ[Credit])))+(SUM(IF((CRDJ[Sort Code]=(TRIM(G$4)))*(CRDJ[Account Code]=(TRIM($B143)))*(CRDJ[Date]&lt;=$E$7),CRDJ[Credit])))+(SUM(IF((GJ[Sort Code]=(TRIM(G$4)))*(GJ[Account Code]=(TRIM($B143)))*(GJ[Date]&lt;=$E$7),GJ[Credit]))))</f>
        <v>0</v>
      </c>
      <c r="F143" s="245">
        <f t="array" ref="F143">((SUM(IF((CkDJ[Date]=$A$3)*(CkDJ[Sort Code]=(TRIM(G$4)))*(CkDJ[Account Code]=(TRIM($B143))),CkDJ[Debit])))+(SUM(IF((CsDJ[Date]=$A$3)*(CsDJ[Sort Code]=(TRIM(G$4)))*(CsDJ[Account Code]=(TRIM($B143))),CsDJ[Debit])))+(SUM(IF((CRDJ[Date]=$A$3)*(CRDJ[Sort Code]=(TRIM(G$4)))*(CRDJ[Account Code]=(TRIM($B143))),CRDJ[Debit])))+(SUM(IF((GJ[Date]=$A$3)*(GJ[Sort Code]=(TRIM(G$4)))*(GJ[Account Code]=(TRIM($B143))),GJ[Debit]))))-((SUM(IF((CkDJ[Date]=$A$3)*(CkDJ[Sort Code]=(TRIM(G$4)))*(CkDJ[Account Code]=(TRIM($B143))),CkDJ[Credit])))+(SUM(IF((CsDJ[Date]=$A$3)*(CsDJ[Sort Code]=(TRIM(G$4)))*(CsDJ[Account Code]=(TRIM($B143))),CsDJ[Credit])))+(SUM(IF((CRDJ[Date]=$A$3)*(CRDJ[Sort Code]=(TRIM(G$4)))*(CRDJ[Account Code]=(TRIM($B143))),CRDJ[Credit])))+(SUM(IF((GJ[Date]=$A$3)*(GJ[Sort Code]=(TRIM(G$4)))*(GJ[Account Code]=(TRIM($B143))),GJ[Credit]))))</f>
        <v>0</v>
      </c>
      <c r="G143" s="343">
        <f>E143+F143</f>
        <v>0</v>
      </c>
      <c r="H143" s="246">
        <f t="shared" si="10"/>
        <v>0</v>
      </c>
      <c r="I143" s="246">
        <f t="shared" si="11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10"/>
        <v>0</v>
      </c>
      <c r="I144" s="242">
        <f t="shared" si="11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Code]=B145)*(Budget[Sort Code]=$G$4),(Budget[Amount])))</f>
        <v>0</v>
      </c>
      <c r="D145" s="245">
        <f t="array" ref="D145">SUM(IF((Budget[Account Code]=B145)*(Budget[Sort Code]=$G$4)*(Budget[Date]&lt;=$D$7),(Budget[Amount])))</f>
        <v>0</v>
      </c>
      <c r="E145" s="245">
        <f t="array" ref="E145">((SUM(IF((CkDJ[Sort Code]=(TRIM(G$4)))*(CkDJ[Account Code]=(TRIM($B145)))*(CkDJ[Date]&lt;=$E$7),CkDJ[Debit])))+(SUM(IF((CsDJ[Sort Code]=(TRIM(G$4)))*(CsDJ[Account Code]=(TRIM($B145)))*(CsDJ[Date]&lt;=$E$7),CsDJ[Debit])))+(SUM(IF((CRDJ[Sort Code]=(TRIM(G$4)))*(CRDJ[Account Code]=(TRIM($B145)))*(CRDJ[Date]&lt;=$E$7),CRDJ[Debit])))+(SUM(IF((GJ[Sort Code]=(TRIM(G$4)))*(GJ[Account Code]=(TRIM($B145)))*(GJ[Date]&lt;=$E$7),GJ[Debit]))))-((SUM(IF((CkDJ[Sort Code]=(TRIM(G$4)))*(CkDJ[Account Code]=(TRIM($B145)))*(CkDJ[Date]&lt;=$E$7),CkDJ[Credit])))+(SUM(IF((CsDJ[Sort Code]=(TRIM(G$4)))*(CsDJ[Account Code]=(TRIM($B145)))*(CsDJ[Date]&lt;=$E$7),CsDJ[Credit])))+(SUM(IF((CRDJ[Sort Code]=(TRIM(G$4)))*(CRDJ[Account Code]=(TRIM($B145)))*(CRDJ[Date]&lt;=$E$7),CRDJ[Credit])))+(SUM(IF((GJ[Sort Code]=(TRIM(G$4)))*(GJ[Account Code]=(TRIM($B145)))*(GJ[Date]&lt;=$E$7),GJ[Credit]))))</f>
        <v>0</v>
      </c>
      <c r="F145" s="245">
        <f t="array" ref="F145">((SUM(IF((CkDJ[Date]=$A$3)*(CkDJ[Sort Code]=(TRIM(G$4)))*(CkDJ[Account Code]=(TRIM($B145))),CkDJ[Debit])))+(SUM(IF((CsDJ[Date]=$A$3)*(CsDJ[Sort Code]=(TRIM(G$4)))*(CsDJ[Account Code]=(TRIM($B145))),CsDJ[Debit])))+(SUM(IF((CRDJ[Date]=$A$3)*(CRDJ[Sort Code]=(TRIM(G$4)))*(CRDJ[Account Code]=(TRIM($B145))),CRDJ[Debit])))+(SUM(IF((GJ[Date]=$A$3)*(GJ[Sort Code]=(TRIM(G$4)))*(GJ[Account Code]=(TRIM($B145))),GJ[Debit]))))-((SUM(IF((CkDJ[Date]=$A$3)*(CkDJ[Sort Code]=(TRIM(G$4)))*(CkDJ[Account Code]=(TRIM($B145))),CkDJ[Credit])))+(SUM(IF((CsDJ[Date]=$A$3)*(CsDJ[Sort Code]=(TRIM(G$4)))*(CsDJ[Account Code]=(TRIM($B145))),CsDJ[Credit])))+(SUM(IF((CRDJ[Date]=$A$3)*(CRDJ[Sort Code]=(TRIM(G$4)))*(CRDJ[Account Code]=(TRIM($B145))),CRDJ[Credit])))+(SUM(IF((GJ[Date]=$A$3)*(GJ[Sort Code]=(TRIM(G$4)))*(GJ[Account Code]=(TRIM($B145))),GJ[Credit]))))</f>
        <v>0</v>
      </c>
      <c r="G145" s="343">
        <f>E145+F145</f>
        <v>0</v>
      </c>
      <c r="H145" s="246">
        <f t="shared" si="10"/>
        <v>0</v>
      </c>
      <c r="I145" s="246">
        <f t="shared" si="11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10"/>
        <v>0</v>
      </c>
      <c r="I146" s="246">
        <f t="shared" si="11"/>
        <v>0</v>
      </c>
    </row>
    <row r="147" spans="1:9" x14ac:dyDescent="0.2">
      <c r="A147" s="251" t="s">
        <v>804</v>
      </c>
      <c r="B147" s="338"/>
      <c r="C147" s="250">
        <f>C50+C76+C144</f>
        <v>32275764.870000001</v>
      </c>
      <c r="D147" s="250">
        <f>D50+D76+D144</f>
        <v>32275764.870000001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10"/>
        <v>-32275764.870000001</v>
      </c>
      <c r="I147" s="250">
        <f t="shared" si="11"/>
        <v>0</v>
      </c>
    </row>
    <row r="148" spans="1:9" x14ac:dyDescent="0.2">
      <c r="A148" s="251" t="s">
        <v>785</v>
      </c>
      <c r="B148" s="338"/>
      <c r="C148" s="250">
        <f>C48-C147</f>
        <v>-29147764.870000001</v>
      </c>
      <c r="D148" s="250">
        <f>D48-D147</f>
        <v>-29147764.870000001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10"/>
        <v>29147764.870000001</v>
      </c>
      <c r="I148" s="250">
        <f t="shared" si="11"/>
        <v>0</v>
      </c>
    </row>
    <row r="149" spans="1:9" x14ac:dyDescent="0.2">
      <c r="A149" s="251" t="s">
        <v>749</v>
      </c>
      <c r="B149" s="338"/>
      <c r="C149" s="250">
        <f>C48/C147</f>
        <v>0.1</v>
      </c>
      <c r="D149" s="250">
        <f>D48/D147</f>
        <v>0.1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10"/>
        <v>#DIV/0!</v>
      </c>
      <c r="I149" s="250" t="e">
        <f t="shared" si="11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10"/>
        <v>0</v>
      </c>
      <c r="I150" s="250">
        <f t="shared" si="11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10"/>
        <v>0</v>
      </c>
      <c r="I151" s="250">
        <f t="shared" si="11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-29147764.870000001</v>
      </c>
      <c r="D152" s="250">
        <f>D148+D150+D151</f>
        <v>-29147764.870000001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10"/>
        <v>29147764.870000001</v>
      </c>
      <c r="I152" s="250">
        <f t="shared" si="11"/>
        <v>0</v>
      </c>
    </row>
    <row r="153" spans="1:9" x14ac:dyDescent="0.2">
      <c r="A153" s="251" t="s">
        <v>749</v>
      </c>
      <c r="B153" s="338"/>
      <c r="C153" s="250">
        <f>C48/(C147-C150-C151)</f>
        <v>0.1</v>
      </c>
      <c r="D153" s="250">
        <f>D48/(D147-D150-D151)</f>
        <v>0.1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10"/>
        <v>#DIV/0!</v>
      </c>
      <c r="I153" s="250" t="e">
        <f t="shared" si="11"/>
        <v>#DIV/0!</v>
      </c>
    </row>
    <row r="154" spans="1:9" x14ac:dyDescent="0.2">
      <c r="A154" s="257" t="s">
        <v>801</v>
      </c>
      <c r="B154" s="340"/>
      <c r="C154" s="258"/>
      <c r="D154" s="258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Code]=B155)*(Budget[Sort Code]=$G$4),(Budget[Amount])))</f>
        <v>0</v>
      </c>
      <c r="D155" s="245">
        <f t="array" ref="D155">SUM(IF((Budget[Account Code]=B155)*(Budget[Sort Code]=$G$4)*(Budget[Date]&lt;=$D$7),(Budget[Amount])))</f>
        <v>0</v>
      </c>
      <c r="E155" s="245">
        <f t="array" ref="E155">((SUM(IF((CkDJ[Sort Code]=(TRIM(G$4)))*(CkDJ[Account Code]=(TRIM($B155)))*(CkDJ[Date]&lt;=$E$7),CkDJ[Debit])))+(SUM(IF((CsDJ[Sort Code]=(TRIM(G$4)))*(CsDJ[Account Code]=(TRIM($B155)))*(CsDJ[Date]&lt;=$E$7),CsDJ[Debit])))+(SUM(IF((CRDJ[Sort Code]=(TRIM(G$4)))*(CRDJ[Account Code]=(TRIM($B155)))*(CRDJ[Date]&lt;=$E$7),CRDJ[Debit])))+(SUM(IF((GJ[Sort Code]=(TRIM(G$4)))*(GJ[Account Code]=(TRIM($B155)))*(GJ[Date]&lt;=$E$7),GJ[Debit]))))-((SUM(IF((CkDJ[Sort Code]=(TRIM(G$4)))*(CkDJ[Account Code]=(TRIM($B155)))*(CkDJ[Date]&lt;=$E$7),CkDJ[Credit])))+(SUM(IF((CsDJ[Sort Code]=(TRIM(G$4)))*(CsDJ[Account Code]=(TRIM($B155)))*(CsDJ[Date]&lt;=$E$7),CsDJ[Credit])))+(SUM(IF((CRDJ[Sort Code]=(TRIM(G$4)))*(CRDJ[Account Code]=(TRIM($B155)))*(CRDJ[Date]&lt;=$E$7),CRDJ[Credit])))+(SUM(IF((GJ[Sort Code]=(TRIM(G$4)))*(GJ[Account Code]=(TRIM($B155)))*(GJ[Date]&lt;=$E$7),GJ[Credit]))))</f>
        <v>0</v>
      </c>
      <c r="F155" s="245">
        <f t="array" ref="F155">((SUM(IF((CkDJ[Date]=$A$3)*(CkDJ[Sort Code]=(TRIM(G$4)))*(CkDJ[Account Code]=(TRIM($B155))),CkDJ[Debit])))+(SUM(IF((CsDJ[Date]=$A$3)*(CsDJ[Sort Code]=(TRIM(G$4)))*(CsDJ[Account Code]=(TRIM($B155))),CsDJ[Debit])))+(SUM(IF((CRDJ[Date]=$A$3)*(CRDJ[Sort Code]=(TRIM(G$4)))*(CRDJ[Account Code]=(TRIM($B155))),CRDJ[Debit])))+(SUM(IF((GJ[Date]=$A$3)*(GJ[Sort Code]=(TRIM(G$4)))*(GJ[Account Code]=(TRIM($B155))),GJ[Debit]))))-((SUM(IF((CkDJ[Date]=$A$3)*(CkDJ[Sort Code]=(TRIM(G$4)))*(CkDJ[Account Code]=(TRIM($B155))),CkDJ[Credit])))+(SUM(IF((CsDJ[Date]=$A$3)*(CsDJ[Sort Code]=(TRIM(G$4)))*(CsDJ[Account Code]=(TRIM($B155))),CsDJ[Credit])))+(SUM(IF((CRDJ[Date]=$A$3)*(CRDJ[Sort Code]=(TRIM(G$4)))*(CRDJ[Account Code]=(TRIM($B155))),CRDJ[Credit])))+(SUM(IF((GJ[Date]=$A$3)*(GJ[Sort Code]=(TRIM(G$4)))*(GJ[Account Code]=(TRIM($B155))),GJ[Credit]))))</f>
        <v>0</v>
      </c>
      <c r="G155" s="343">
        <f t="shared" ref="G155:G163" si="12">E155+F155</f>
        <v>0</v>
      </c>
      <c r="H155" s="246">
        <f t="shared" ref="H155:H184" si="13">G155-D155</f>
        <v>0</v>
      </c>
      <c r="I155" s="246">
        <f t="shared" ref="I155:I184" si="14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Code]=B156)*(Budget[Sort Code]=$G$4),(Budget[Amount])))</f>
        <v>295000</v>
      </c>
      <c r="D156" s="245">
        <f t="array" ref="D156">SUM(IF((Budget[Account Code]=B156)*(Budget[Sort Code]=$G$4)*(Budget[Date]&lt;=$D$7),(Budget[Amount])))</f>
        <v>295000</v>
      </c>
      <c r="E156" s="245">
        <f t="array" ref="E156">((SUM(IF((CkDJ[Sort Code]=(TRIM(G$4)))*(CkDJ[Account Code]=(TRIM($B156)))*(CkDJ[Date]&lt;=$E$7),CkDJ[Debit])))+(SUM(IF((CsDJ[Sort Code]=(TRIM(G$4)))*(CsDJ[Account Code]=(TRIM($B156)))*(CsDJ[Date]&lt;=$E$7),CsDJ[Debit])))+(SUM(IF((CRDJ[Sort Code]=(TRIM(G$4)))*(CRDJ[Account Code]=(TRIM($B156)))*(CRDJ[Date]&lt;=$E$7),CRDJ[Debit])))+(SUM(IF((GJ[Sort Code]=(TRIM(G$4)))*(GJ[Account Code]=(TRIM($B156)))*(GJ[Date]&lt;=$E$7),GJ[Debit]))))-((SUM(IF((CkDJ[Sort Code]=(TRIM(G$4)))*(CkDJ[Account Code]=(TRIM($B156)))*(CkDJ[Date]&lt;=$E$7),CkDJ[Credit])))+(SUM(IF((CsDJ[Sort Code]=(TRIM(G$4)))*(CsDJ[Account Code]=(TRIM($B156)))*(CsDJ[Date]&lt;=$E$7),CsDJ[Credit])))+(SUM(IF((CRDJ[Sort Code]=(TRIM(G$4)))*(CRDJ[Account Code]=(TRIM($B156)))*(CRDJ[Date]&lt;=$E$7),CRDJ[Credit])))+(SUM(IF((GJ[Sort Code]=(TRIM(G$4)))*(GJ[Account Code]=(TRIM($B156)))*(GJ[Date]&lt;=$E$7),GJ[Credit]))))</f>
        <v>0</v>
      </c>
      <c r="F156" s="245">
        <f t="array" ref="F156">((SUM(IF((CkDJ[Date]=$A$3)*(CkDJ[Sort Code]=(TRIM(G$4)))*(CkDJ[Account Code]=(TRIM($B156))),CkDJ[Debit])))+(SUM(IF((CsDJ[Date]=$A$3)*(CsDJ[Sort Code]=(TRIM(G$4)))*(CsDJ[Account Code]=(TRIM($B156))),CsDJ[Debit])))+(SUM(IF((CRDJ[Date]=$A$3)*(CRDJ[Sort Code]=(TRIM(G$4)))*(CRDJ[Account Code]=(TRIM($B156))),CRDJ[Debit])))+(SUM(IF((GJ[Date]=$A$3)*(GJ[Sort Code]=(TRIM(G$4)))*(GJ[Account Code]=(TRIM($B156))),GJ[Debit]))))-((SUM(IF((CkDJ[Date]=$A$3)*(CkDJ[Sort Code]=(TRIM(G$4)))*(CkDJ[Account Code]=(TRIM($B156))),CkDJ[Credit])))+(SUM(IF((CsDJ[Date]=$A$3)*(CsDJ[Sort Code]=(TRIM(G$4)))*(CsDJ[Account Code]=(TRIM($B156))),CsDJ[Credit])))+(SUM(IF((CRDJ[Date]=$A$3)*(CRDJ[Sort Code]=(TRIM(G$4)))*(CRDJ[Account Code]=(TRIM($B156))),CRDJ[Credit])))+(SUM(IF((GJ[Date]=$A$3)*(GJ[Sort Code]=(TRIM(G$4)))*(GJ[Account Code]=(TRIM($B156))),GJ[Credit]))))</f>
        <v>0</v>
      </c>
      <c r="G156" s="343">
        <f t="shared" si="12"/>
        <v>0</v>
      </c>
      <c r="H156" s="246">
        <f t="shared" si="13"/>
        <v>-295000</v>
      </c>
      <c r="I156" s="246">
        <f t="shared" si="14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Code]=B157)*(Budget[Sort Code]=$G$4),(Budget[Amount])))</f>
        <v>1500000</v>
      </c>
      <c r="D157" s="245">
        <f t="array" ref="D157">SUM(IF((Budget[Account Code]=B157)*(Budget[Sort Code]=$G$4)*(Budget[Date]&lt;=$D$7),(Budget[Amount])))</f>
        <v>1500000</v>
      </c>
      <c r="E157" s="245">
        <f t="array" ref="E157">((SUM(IF((CkDJ[Sort Code]=(TRIM(G$4)))*(CkDJ[Account Code]=(TRIM($B157)))*(CkDJ[Date]&lt;=$E$7),CkDJ[Debit])))+(SUM(IF((CsDJ[Sort Code]=(TRIM(G$4)))*(CsDJ[Account Code]=(TRIM($B157)))*(CsDJ[Date]&lt;=$E$7),CsDJ[Debit])))+(SUM(IF((CRDJ[Sort Code]=(TRIM(G$4)))*(CRDJ[Account Code]=(TRIM($B157)))*(CRDJ[Date]&lt;=$E$7),CRDJ[Debit])))+(SUM(IF((GJ[Sort Code]=(TRIM(G$4)))*(GJ[Account Code]=(TRIM($B157)))*(GJ[Date]&lt;=$E$7),GJ[Debit]))))-((SUM(IF((CkDJ[Sort Code]=(TRIM(G$4)))*(CkDJ[Account Code]=(TRIM($B157)))*(CkDJ[Date]&lt;=$E$7),CkDJ[Credit])))+(SUM(IF((CsDJ[Sort Code]=(TRIM(G$4)))*(CsDJ[Account Code]=(TRIM($B157)))*(CsDJ[Date]&lt;=$E$7),CsDJ[Credit])))+(SUM(IF((CRDJ[Sort Code]=(TRIM(G$4)))*(CRDJ[Account Code]=(TRIM($B157)))*(CRDJ[Date]&lt;=$E$7),CRDJ[Credit])))+(SUM(IF((GJ[Sort Code]=(TRIM(G$4)))*(GJ[Account Code]=(TRIM($B157)))*(GJ[Date]&lt;=$E$7),GJ[Credit]))))</f>
        <v>0</v>
      </c>
      <c r="F157" s="245">
        <f t="array" ref="F157">((SUM(IF((CkDJ[Date]=$A$3)*(CkDJ[Sort Code]=(TRIM(G$4)))*(CkDJ[Account Code]=(TRIM($B157))),CkDJ[Debit])))+(SUM(IF((CsDJ[Date]=$A$3)*(CsDJ[Sort Code]=(TRIM(G$4)))*(CsDJ[Account Code]=(TRIM($B157))),CsDJ[Debit])))+(SUM(IF((CRDJ[Date]=$A$3)*(CRDJ[Sort Code]=(TRIM(G$4)))*(CRDJ[Account Code]=(TRIM($B157))),CRDJ[Debit])))+(SUM(IF((GJ[Date]=$A$3)*(GJ[Sort Code]=(TRIM(G$4)))*(GJ[Account Code]=(TRIM($B157))),GJ[Debit]))))-((SUM(IF((CkDJ[Date]=$A$3)*(CkDJ[Sort Code]=(TRIM(G$4)))*(CkDJ[Account Code]=(TRIM($B157))),CkDJ[Credit])))+(SUM(IF((CsDJ[Date]=$A$3)*(CsDJ[Sort Code]=(TRIM(G$4)))*(CsDJ[Account Code]=(TRIM($B157))),CsDJ[Credit])))+(SUM(IF((CRDJ[Date]=$A$3)*(CRDJ[Sort Code]=(TRIM(G$4)))*(CRDJ[Account Code]=(TRIM($B157))),CRDJ[Credit])))+(SUM(IF((GJ[Date]=$A$3)*(GJ[Sort Code]=(TRIM(G$4)))*(GJ[Account Code]=(TRIM($B157))),GJ[Credit]))))</f>
        <v>0</v>
      </c>
      <c r="G157" s="343">
        <f t="shared" si="12"/>
        <v>0</v>
      </c>
      <c r="H157" s="246">
        <f t="shared" si="13"/>
        <v>-1500000</v>
      </c>
      <c r="I157" s="246">
        <f t="shared" si="14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Code]=B158)*(Budget[Sort Code]=$G$4),(Budget[Amount])))</f>
        <v>40000</v>
      </c>
      <c r="D158" s="245">
        <f t="array" ref="D158">SUM(IF((Budget[Account Code]=B158)*(Budget[Sort Code]=$G$4)*(Budget[Date]&lt;=$D$7),(Budget[Amount])))</f>
        <v>40000</v>
      </c>
      <c r="E158" s="245">
        <f t="array" ref="E158">((SUM(IF((CkDJ[Sort Code]=(TRIM(G$4)))*(CkDJ[Account Code]=(TRIM($B158)))*(CkDJ[Date]&lt;=$E$7),CkDJ[Debit])))+(SUM(IF((CsDJ[Sort Code]=(TRIM(G$4)))*(CsDJ[Account Code]=(TRIM($B158)))*(CsDJ[Date]&lt;=$E$7),CsDJ[Debit])))+(SUM(IF((CRDJ[Sort Code]=(TRIM(G$4)))*(CRDJ[Account Code]=(TRIM($B158)))*(CRDJ[Date]&lt;=$E$7),CRDJ[Debit])))+(SUM(IF((GJ[Sort Code]=(TRIM(G$4)))*(GJ[Account Code]=(TRIM($B158)))*(GJ[Date]&lt;=$E$7),GJ[Debit]))))-((SUM(IF((CkDJ[Sort Code]=(TRIM(G$4)))*(CkDJ[Account Code]=(TRIM($B158)))*(CkDJ[Date]&lt;=$E$7),CkDJ[Credit])))+(SUM(IF((CsDJ[Sort Code]=(TRIM(G$4)))*(CsDJ[Account Code]=(TRIM($B158)))*(CsDJ[Date]&lt;=$E$7),CsDJ[Credit])))+(SUM(IF((CRDJ[Sort Code]=(TRIM(G$4)))*(CRDJ[Account Code]=(TRIM($B158)))*(CRDJ[Date]&lt;=$E$7),CRDJ[Credit])))+(SUM(IF((GJ[Sort Code]=(TRIM(G$4)))*(GJ[Account Code]=(TRIM($B158)))*(GJ[Date]&lt;=$E$7),GJ[Credit]))))</f>
        <v>0</v>
      </c>
      <c r="F158" s="245">
        <f t="array" ref="F158">((SUM(IF((CkDJ[Date]=$A$3)*(CkDJ[Sort Code]=(TRIM(G$4)))*(CkDJ[Account Code]=(TRIM($B158))),CkDJ[Debit])))+(SUM(IF((CsDJ[Date]=$A$3)*(CsDJ[Sort Code]=(TRIM(G$4)))*(CsDJ[Account Code]=(TRIM($B158))),CsDJ[Debit])))+(SUM(IF((CRDJ[Date]=$A$3)*(CRDJ[Sort Code]=(TRIM(G$4)))*(CRDJ[Account Code]=(TRIM($B158))),CRDJ[Debit])))+(SUM(IF((GJ[Date]=$A$3)*(GJ[Sort Code]=(TRIM(G$4)))*(GJ[Account Code]=(TRIM($B158))),GJ[Debit]))))-((SUM(IF((CkDJ[Date]=$A$3)*(CkDJ[Sort Code]=(TRIM(G$4)))*(CkDJ[Account Code]=(TRIM($B158))),CkDJ[Credit])))+(SUM(IF((CsDJ[Date]=$A$3)*(CsDJ[Sort Code]=(TRIM(G$4)))*(CsDJ[Account Code]=(TRIM($B158))),CsDJ[Credit])))+(SUM(IF((CRDJ[Date]=$A$3)*(CRDJ[Sort Code]=(TRIM(G$4)))*(CRDJ[Account Code]=(TRIM($B158))),CRDJ[Credit])))+(SUM(IF((GJ[Date]=$A$3)*(GJ[Sort Code]=(TRIM(G$4)))*(GJ[Account Code]=(TRIM($B158))),GJ[Credit]))))</f>
        <v>0</v>
      </c>
      <c r="G158" s="343">
        <f t="shared" si="12"/>
        <v>0</v>
      </c>
      <c r="H158" s="246">
        <f t="shared" si="13"/>
        <v>-40000</v>
      </c>
      <c r="I158" s="246">
        <f t="shared" si="14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Code]=B159)*(Budget[Sort Code]=$G$4),(Budget[Amount])))</f>
        <v>0</v>
      </c>
      <c r="D159" s="245">
        <f t="array" ref="D159">SUM(IF((Budget[Account Code]=B159)*(Budget[Sort Code]=$G$4)*(Budget[Date]&lt;=$D$7),(Budget[Amount])))</f>
        <v>0</v>
      </c>
      <c r="E159" s="245">
        <f t="array" ref="E159">((SUM(IF((CkDJ[Sort Code]=(TRIM(G$4)))*(CkDJ[Account Code]=(TRIM($B159)))*(CkDJ[Date]&lt;=$E$7),CkDJ[Debit])))+(SUM(IF((CsDJ[Sort Code]=(TRIM(G$4)))*(CsDJ[Account Code]=(TRIM($B159)))*(CsDJ[Date]&lt;=$E$7),CsDJ[Debit])))+(SUM(IF((CRDJ[Sort Code]=(TRIM(G$4)))*(CRDJ[Account Code]=(TRIM($B159)))*(CRDJ[Date]&lt;=$E$7),CRDJ[Debit])))+(SUM(IF((GJ[Sort Code]=(TRIM(G$4)))*(GJ[Account Code]=(TRIM($B159)))*(GJ[Date]&lt;=$E$7),GJ[Debit]))))-((SUM(IF((CkDJ[Sort Code]=(TRIM(G$4)))*(CkDJ[Account Code]=(TRIM($B159)))*(CkDJ[Date]&lt;=$E$7),CkDJ[Credit])))+(SUM(IF((CsDJ[Sort Code]=(TRIM(G$4)))*(CsDJ[Account Code]=(TRIM($B159)))*(CsDJ[Date]&lt;=$E$7),CsDJ[Credit])))+(SUM(IF((CRDJ[Sort Code]=(TRIM(G$4)))*(CRDJ[Account Code]=(TRIM($B159)))*(CRDJ[Date]&lt;=$E$7),CRDJ[Credit])))+(SUM(IF((GJ[Sort Code]=(TRIM(G$4)))*(GJ[Account Code]=(TRIM($B159)))*(GJ[Date]&lt;=$E$7),GJ[Credit]))))</f>
        <v>0</v>
      </c>
      <c r="F159" s="245">
        <f t="array" ref="F159">((SUM(IF((CkDJ[Date]=$A$3)*(CkDJ[Sort Code]=(TRIM(G$4)))*(CkDJ[Account Code]=(TRIM($B159))),CkDJ[Debit])))+(SUM(IF((CsDJ[Date]=$A$3)*(CsDJ[Sort Code]=(TRIM(G$4)))*(CsDJ[Account Code]=(TRIM($B159))),CsDJ[Debit])))+(SUM(IF((CRDJ[Date]=$A$3)*(CRDJ[Sort Code]=(TRIM(G$4)))*(CRDJ[Account Code]=(TRIM($B159))),CRDJ[Debit])))+(SUM(IF((GJ[Date]=$A$3)*(GJ[Sort Code]=(TRIM(G$4)))*(GJ[Account Code]=(TRIM($B159))),GJ[Debit]))))-((SUM(IF((CkDJ[Date]=$A$3)*(CkDJ[Sort Code]=(TRIM(G$4)))*(CkDJ[Account Code]=(TRIM($B159))),CkDJ[Credit])))+(SUM(IF((CsDJ[Date]=$A$3)*(CsDJ[Sort Code]=(TRIM(G$4)))*(CsDJ[Account Code]=(TRIM($B159))),CsDJ[Credit])))+(SUM(IF((CRDJ[Date]=$A$3)*(CRDJ[Sort Code]=(TRIM(G$4)))*(CRDJ[Account Code]=(TRIM($B159))),CRDJ[Credit])))+(SUM(IF((GJ[Date]=$A$3)*(GJ[Sort Code]=(TRIM(G$4)))*(GJ[Account Code]=(TRIM($B159))),GJ[Credit]))))</f>
        <v>0</v>
      </c>
      <c r="G159" s="343">
        <f t="shared" si="12"/>
        <v>0</v>
      </c>
      <c r="H159" s="246">
        <f t="shared" si="13"/>
        <v>0</v>
      </c>
      <c r="I159" s="246">
        <f t="shared" si="14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Code]=B160)*(Budget[Sort Code]=$G$4),(Budget[Amount])))</f>
        <v>120000</v>
      </c>
      <c r="D160" s="245">
        <f t="array" ref="D160">SUM(IF((Budget[Account Code]=B160)*(Budget[Sort Code]=$G$4)*(Budget[Date]&lt;=$D$7),(Budget[Amount])))</f>
        <v>120000</v>
      </c>
      <c r="E160" s="245">
        <f t="array" ref="E160">((SUM(IF((CkDJ[Sort Code]=(TRIM(G$4)))*(CkDJ[Account Code]=(TRIM($B160)))*(CkDJ[Date]&lt;=$E$7),CkDJ[Debit])))+(SUM(IF((CsDJ[Sort Code]=(TRIM(G$4)))*(CsDJ[Account Code]=(TRIM($B160)))*(CsDJ[Date]&lt;=$E$7),CsDJ[Debit])))+(SUM(IF((CRDJ[Sort Code]=(TRIM(G$4)))*(CRDJ[Account Code]=(TRIM($B160)))*(CRDJ[Date]&lt;=$E$7),CRDJ[Debit])))+(SUM(IF((GJ[Sort Code]=(TRIM(G$4)))*(GJ[Account Code]=(TRIM($B160)))*(GJ[Date]&lt;=$E$7),GJ[Debit]))))-((SUM(IF((CkDJ[Sort Code]=(TRIM(G$4)))*(CkDJ[Account Code]=(TRIM($B160)))*(CkDJ[Date]&lt;=$E$7),CkDJ[Credit])))+(SUM(IF((CsDJ[Sort Code]=(TRIM(G$4)))*(CsDJ[Account Code]=(TRIM($B160)))*(CsDJ[Date]&lt;=$E$7),CsDJ[Credit])))+(SUM(IF((CRDJ[Sort Code]=(TRIM(G$4)))*(CRDJ[Account Code]=(TRIM($B160)))*(CRDJ[Date]&lt;=$E$7),CRDJ[Credit])))+(SUM(IF((GJ[Sort Code]=(TRIM(G$4)))*(GJ[Account Code]=(TRIM($B160)))*(GJ[Date]&lt;=$E$7),GJ[Credit]))))</f>
        <v>0</v>
      </c>
      <c r="F160" s="245">
        <f t="array" ref="F160">((SUM(IF((CkDJ[Date]=$A$3)*(CkDJ[Sort Code]=(TRIM(G$4)))*(CkDJ[Account Code]=(TRIM($B160))),CkDJ[Debit])))+(SUM(IF((CsDJ[Date]=$A$3)*(CsDJ[Sort Code]=(TRIM(G$4)))*(CsDJ[Account Code]=(TRIM($B160))),CsDJ[Debit])))+(SUM(IF((CRDJ[Date]=$A$3)*(CRDJ[Sort Code]=(TRIM(G$4)))*(CRDJ[Account Code]=(TRIM($B160))),CRDJ[Debit])))+(SUM(IF((GJ[Date]=$A$3)*(GJ[Sort Code]=(TRIM(G$4)))*(GJ[Account Code]=(TRIM($B160))),GJ[Debit]))))-((SUM(IF((CkDJ[Date]=$A$3)*(CkDJ[Sort Code]=(TRIM(G$4)))*(CkDJ[Account Code]=(TRIM($B160))),CkDJ[Credit])))+(SUM(IF((CsDJ[Date]=$A$3)*(CsDJ[Sort Code]=(TRIM(G$4)))*(CsDJ[Account Code]=(TRIM($B160))),CsDJ[Credit])))+(SUM(IF((CRDJ[Date]=$A$3)*(CRDJ[Sort Code]=(TRIM(G$4)))*(CRDJ[Account Code]=(TRIM($B160))),CRDJ[Credit])))+(SUM(IF((GJ[Date]=$A$3)*(GJ[Sort Code]=(TRIM(G$4)))*(GJ[Account Code]=(TRIM($B160))),GJ[Credit]))))</f>
        <v>0</v>
      </c>
      <c r="G160" s="343">
        <f t="shared" si="12"/>
        <v>0</v>
      </c>
      <c r="H160" s="246">
        <f t="shared" si="13"/>
        <v>-120000</v>
      </c>
      <c r="I160" s="246">
        <f t="shared" si="14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Code]=B161)*(Budget[Sort Code]=$G$4),(Budget[Amount])))</f>
        <v>0</v>
      </c>
      <c r="D161" s="245">
        <f t="array" ref="D161">SUM(IF((Budget[Account Code]=B161)*(Budget[Sort Code]=$G$4)*(Budget[Date]&lt;=$D$7),(Budget[Amount])))</f>
        <v>0</v>
      </c>
      <c r="E161" s="245">
        <f t="array" ref="E161">((SUM(IF((CkDJ[Sort Code]=(TRIM(G$4)))*(CkDJ[Account Code]=(TRIM($B161)))*(CkDJ[Date]&lt;=$E$7),CkDJ[Debit])))+(SUM(IF((CsDJ[Sort Code]=(TRIM(G$4)))*(CsDJ[Account Code]=(TRIM($B161)))*(CsDJ[Date]&lt;=$E$7),CsDJ[Debit])))+(SUM(IF((CRDJ[Sort Code]=(TRIM(G$4)))*(CRDJ[Account Code]=(TRIM($B161)))*(CRDJ[Date]&lt;=$E$7),CRDJ[Debit])))+(SUM(IF((GJ[Sort Code]=(TRIM(G$4)))*(GJ[Account Code]=(TRIM($B161)))*(GJ[Date]&lt;=$E$7),GJ[Debit]))))-((SUM(IF((CkDJ[Sort Code]=(TRIM(G$4)))*(CkDJ[Account Code]=(TRIM($B161)))*(CkDJ[Date]&lt;=$E$7),CkDJ[Credit])))+(SUM(IF((CsDJ[Sort Code]=(TRIM(G$4)))*(CsDJ[Account Code]=(TRIM($B161)))*(CsDJ[Date]&lt;=$E$7),CsDJ[Credit])))+(SUM(IF((CRDJ[Sort Code]=(TRIM(G$4)))*(CRDJ[Account Code]=(TRIM($B161)))*(CRDJ[Date]&lt;=$E$7),CRDJ[Credit])))+(SUM(IF((GJ[Sort Code]=(TRIM(G$4)))*(GJ[Account Code]=(TRIM($B161)))*(GJ[Date]&lt;=$E$7),GJ[Credit]))))</f>
        <v>0</v>
      </c>
      <c r="F161" s="245">
        <f t="array" ref="F161">((SUM(IF((CkDJ[Date]=$A$3)*(CkDJ[Sort Code]=(TRIM(G$4)))*(CkDJ[Account Code]=(TRIM($B161))),CkDJ[Debit])))+(SUM(IF((CsDJ[Date]=$A$3)*(CsDJ[Sort Code]=(TRIM(G$4)))*(CsDJ[Account Code]=(TRIM($B161))),CsDJ[Debit])))+(SUM(IF((CRDJ[Date]=$A$3)*(CRDJ[Sort Code]=(TRIM(G$4)))*(CRDJ[Account Code]=(TRIM($B161))),CRDJ[Debit])))+(SUM(IF((GJ[Date]=$A$3)*(GJ[Sort Code]=(TRIM(G$4)))*(GJ[Account Code]=(TRIM($B161))),GJ[Debit]))))-((SUM(IF((CkDJ[Date]=$A$3)*(CkDJ[Sort Code]=(TRIM(G$4)))*(CkDJ[Account Code]=(TRIM($B161))),CkDJ[Credit])))+(SUM(IF((CsDJ[Date]=$A$3)*(CsDJ[Sort Code]=(TRIM(G$4)))*(CsDJ[Account Code]=(TRIM($B161))),CsDJ[Credit])))+(SUM(IF((CRDJ[Date]=$A$3)*(CRDJ[Sort Code]=(TRIM(G$4)))*(CRDJ[Account Code]=(TRIM($B161))),CRDJ[Credit])))+(SUM(IF((GJ[Date]=$A$3)*(GJ[Sort Code]=(TRIM(G$4)))*(GJ[Account Code]=(TRIM($B161))),GJ[Credit]))))</f>
        <v>0</v>
      </c>
      <c r="G161" s="343">
        <f t="shared" si="12"/>
        <v>0</v>
      </c>
      <c r="H161" s="246">
        <f t="shared" si="13"/>
        <v>0</v>
      </c>
      <c r="I161" s="246">
        <f t="shared" si="14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Code]=B162)*(Budget[Sort Code]=$G$4),(Budget[Amount])))</f>
        <v>1703243.4</v>
      </c>
      <c r="D162" s="245">
        <f t="array" ref="D162">SUM(IF((Budget[Account Code]=B162)*(Budget[Sort Code]=$G$4)*(Budget[Date]&lt;=$D$7),(Budget[Amount])))</f>
        <v>1703243.4</v>
      </c>
      <c r="E162" s="245">
        <f t="array" ref="E162">((SUM(IF((CkDJ[Sort Code]=(TRIM(G$4)))*(CkDJ[Account Code]=(TRIM($B162)))*(CkDJ[Date]&lt;=$E$7),CkDJ[Debit])))+(SUM(IF((CsDJ[Sort Code]=(TRIM(G$4)))*(CsDJ[Account Code]=(TRIM($B162)))*(CsDJ[Date]&lt;=$E$7),CsDJ[Debit])))+(SUM(IF((CRDJ[Sort Code]=(TRIM(G$4)))*(CRDJ[Account Code]=(TRIM($B162)))*(CRDJ[Date]&lt;=$E$7),CRDJ[Debit])))+(SUM(IF((GJ[Sort Code]=(TRIM(G$4)))*(GJ[Account Code]=(TRIM($B162)))*(GJ[Date]&lt;=$E$7),GJ[Debit]))))-((SUM(IF((CkDJ[Sort Code]=(TRIM(G$4)))*(CkDJ[Account Code]=(TRIM($B162)))*(CkDJ[Date]&lt;=$E$7),CkDJ[Credit])))+(SUM(IF((CsDJ[Sort Code]=(TRIM(G$4)))*(CsDJ[Account Code]=(TRIM($B162)))*(CsDJ[Date]&lt;=$E$7),CsDJ[Credit])))+(SUM(IF((CRDJ[Sort Code]=(TRIM(G$4)))*(CRDJ[Account Code]=(TRIM($B162)))*(CRDJ[Date]&lt;=$E$7),CRDJ[Credit])))+(SUM(IF((GJ[Sort Code]=(TRIM(G$4)))*(GJ[Account Code]=(TRIM($B162)))*(GJ[Date]&lt;=$E$7),GJ[Credit]))))</f>
        <v>0</v>
      </c>
      <c r="F162" s="245">
        <f t="array" ref="F162">((SUM(IF((CkDJ[Date]=$A$3)*(CkDJ[Sort Code]=(TRIM(G$4)))*(CkDJ[Account Code]=(TRIM($B162))),CkDJ[Debit])))+(SUM(IF((CsDJ[Date]=$A$3)*(CsDJ[Sort Code]=(TRIM(G$4)))*(CsDJ[Account Code]=(TRIM($B162))),CsDJ[Debit])))+(SUM(IF((CRDJ[Date]=$A$3)*(CRDJ[Sort Code]=(TRIM(G$4)))*(CRDJ[Account Code]=(TRIM($B162))),CRDJ[Debit])))+(SUM(IF((GJ[Date]=$A$3)*(GJ[Sort Code]=(TRIM(G$4)))*(GJ[Account Code]=(TRIM($B162))),GJ[Debit]))))-((SUM(IF((CkDJ[Date]=$A$3)*(CkDJ[Sort Code]=(TRIM(G$4)))*(CkDJ[Account Code]=(TRIM($B162))),CkDJ[Credit])))+(SUM(IF((CsDJ[Date]=$A$3)*(CsDJ[Sort Code]=(TRIM(G$4)))*(CsDJ[Account Code]=(TRIM($B162))),CsDJ[Credit])))+(SUM(IF((CRDJ[Date]=$A$3)*(CRDJ[Sort Code]=(TRIM(G$4)))*(CRDJ[Account Code]=(TRIM($B162))),CRDJ[Credit])))+(SUM(IF((GJ[Date]=$A$3)*(GJ[Sort Code]=(TRIM(G$4)))*(GJ[Account Code]=(TRIM($B162))),GJ[Credit]))))</f>
        <v>0</v>
      </c>
      <c r="G162" s="343">
        <f t="shared" si="12"/>
        <v>0</v>
      </c>
      <c r="H162" s="246">
        <f t="shared" si="13"/>
        <v>-1703243.4</v>
      </c>
      <c r="I162" s="246">
        <f t="shared" si="14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Code]=B163)*(Budget[Sort Code]=$G$4),(Budget[Amount])))</f>
        <v>0</v>
      </c>
      <c r="D163" s="245">
        <f t="array" ref="D163">SUM(IF((Budget[Account Code]=B163)*(Budget[Sort Code]=$G$4)*(Budget[Date]&lt;=$D$7),(Budget[Amount])))</f>
        <v>0</v>
      </c>
      <c r="E163" s="245">
        <f t="array" ref="E163">((SUM(IF((CkDJ[Sort Code]=(TRIM(G$4)))*(CkDJ[Account Code]=(TRIM($B163)))*(CkDJ[Date]&lt;=$E$7),CkDJ[Debit])))+(SUM(IF((CsDJ[Sort Code]=(TRIM(G$4)))*(CsDJ[Account Code]=(TRIM($B163)))*(CsDJ[Date]&lt;=$E$7),CsDJ[Debit])))+(SUM(IF((CRDJ[Sort Code]=(TRIM(G$4)))*(CRDJ[Account Code]=(TRIM($B163)))*(CRDJ[Date]&lt;=$E$7),CRDJ[Debit])))+(SUM(IF((GJ[Sort Code]=(TRIM(G$4)))*(GJ[Account Code]=(TRIM($B163)))*(GJ[Date]&lt;=$E$7),GJ[Debit]))))-((SUM(IF((CkDJ[Sort Code]=(TRIM(G$4)))*(CkDJ[Account Code]=(TRIM($B163)))*(CkDJ[Date]&lt;=$E$7),CkDJ[Credit])))+(SUM(IF((CsDJ[Sort Code]=(TRIM(G$4)))*(CsDJ[Account Code]=(TRIM($B163)))*(CsDJ[Date]&lt;=$E$7),CsDJ[Credit])))+(SUM(IF((CRDJ[Sort Code]=(TRIM(G$4)))*(CRDJ[Account Code]=(TRIM($B163)))*(CRDJ[Date]&lt;=$E$7),CRDJ[Credit])))+(SUM(IF((GJ[Sort Code]=(TRIM(G$4)))*(GJ[Account Code]=(TRIM($B163)))*(GJ[Date]&lt;=$E$7),GJ[Credit]))))</f>
        <v>0</v>
      </c>
      <c r="F163" s="245">
        <f t="array" ref="F163">((SUM(IF((CkDJ[Date]=$A$3)*(CkDJ[Sort Code]=(TRIM(G$4)))*(CkDJ[Account Code]=(TRIM($B163))),CkDJ[Debit])))+(SUM(IF((CsDJ[Date]=$A$3)*(CsDJ[Sort Code]=(TRIM(G$4)))*(CsDJ[Account Code]=(TRIM($B163))),CsDJ[Debit])))+(SUM(IF((CRDJ[Date]=$A$3)*(CRDJ[Sort Code]=(TRIM(G$4)))*(CRDJ[Account Code]=(TRIM($B163))),CRDJ[Debit])))+(SUM(IF((GJ[Date]=$A$3)*(GJ[Sort Code]=(TRIM(G$4)))*(GJ[Account Code]=(TRIM($B163))),GJ[Debit]))))-((SUM(IF((CkDJ[Date]=$A$3)*(CkDJ[Sort Code]=(TRIM(G$4)))*(CkDJ[Account Code]=(TRIM($B163))),CkDJ[Credit])))+(SUM(IF((CsDJ[Date]=$A$3)*(CsDJ[Sort Code]=(TRIM(G$4)))*(CsDJ[Account Code]=(TRIM($B163))),CsDJ[Credit])))+(SUM(IF((CRDJ[Date]=$A$3)*(CRDJ[Sort Code]=(TRIM(G$4)))*(CRDJ[Account Code]=(TRIM($B163))),CRDJ[Credit])))+(SUM(IF((GJ[Date]=$A$3)*(GJ[Sort Code]=(TRIM(G$4)))*(GJ[Account Code]=(TRIM($B163))),GJ[Credit]))))</f>
        <v>0</v>
      </c>
      <c r="G163" s="343">
        <f t="shared" si="12"/>
        <v>0</v>
      </c>
      <c r="H163" s="246">
        <f t="shared" si="13"/>
        <v>0</v>
      </c>
      <c r="I163" s="246">
        <f t="shared" si="14"/>
        <v>0</v>
      </c>
    </row>
    <row r="164" spans="1:9" x14ac:dyDescent="0.2">
      <c r="A164" s="251" t="s">
        <v>789</v>
      </c>
      <c r="B164" s="338"/>
      <c r="C164" s="250">
        <f>SUM(C155:C163)</f>
        <v>3658243.4</v>
      </c>
      <c r="D164" s="250">
        <f>SUM(D155:D163)</f>
        <v>3658243.4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3"/>
        <v>-3658243.4</v>
      </c>
      <c r="I164" s="250">
        <f t="shared" si="14"/>
        <v>0</v>
      </c>
    </row>
    <row r="165" spans="1:9" x14ac:dyDescent="0.2">
      <c r="A165" s="251" t="s">
        <v>788</v>
      </c>
      <c r="B165" s="338"/>
      <c r="C165" s="250">
        <f>C147+C164</f>
        <v>35934008.270000003</v>
      </c>
      <c r="D165" s="250">
        <f>D147+D164</f>
        <v>35934008.270000003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3"/>
        <v>-35934008.270000003</v>
      </c>
      <c r="I165" s="250">
        <f t="shared" si="14"/>
        <v>0</v>
      </c>
    </row>
    <row r="166" spans="1:9" x14ac:dyDescent="0.2">
      <c r="A166" s="251" t="s">
        <v>785</v>
      </c>
      <c r="B166" s="338"/>
      <c r="C166" s="250">
        <f>C48-C165</f>
        <v>-32806008.27</v>
      </c>
      <c r="D166" s="250">
        <f>D48-D165</f>
        <v>-32806008.27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3"/>
        <v>32806008.27</v>
      </c>
      <c r="I166" s="250">
        <f t="shared" si="14"/>
        <v>0</v>
      </c>
    </row>
    <row r="167" spans="1:9" x14ac:dyDescent="0.2">
      <c r="A167" s="251" t="s">
        <v>749</v>
      </c>
      <c r="B167" s="338"/>
      <c r="C167" s="250">
        <f>C48/C165</f>
        <v>0.09</v>
      </c>
      <c r="D167" s="250">
        <f>D48/D165</f>
        <v>0.09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3"/>
        <v>#DIV/0!</v>
      </c>
      <c r="I167" s="250" t="e">
        <f t="shared" si="14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3"/>
        <v>0</v>
      </c>
      <c r="I168" s="250">
        <f t="shared" si="14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3"/>
        <v>0</v>
      </c>
      <c r="I169" s="250">
        <f t="shared" si="14"/>
        <v>0</v>
      </c>
    </row>
    <row r="170" spans="1:9" x14ac:dyDescent="0.2">
      <c r="A170" s="251" t="s">
        <v>785</v>
      </c>
      <c r="B170" s="338"/>
      <c r="C170" s="250">
        <f>C166+C168+C169</f>
        <v>-32806008.27</v>
      </c>
      <c r="D170" s="250">
        <f>D166+D168+D169</f>
        <v>-32806008.27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3"/>
        <v>32806008.27</v>
      </c>
      <c r="I170" s="250">
        <f t="shared" si="14"/>
        <v>0</v>
      </c>
    </row>
    <row r="171" spans="1:9" x14ac:dyDescent="0.2">
      <c r="A171" s="251" t="s">
        <v>792</v>
      </c>
      <c r="B171" s="338"/>
      <c r="C171" s="250">
        <f>C48/(C165-C168-C169)</f>
        <v>0.09</v>
      </c>
      <c r="D171" s="250">
        <f>D48/(D165-D168-D169)</f>
        <v>0.09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3"/>
        <v>#DIV/0!</v>
      </c>
      <c r="I171" s="250" t="e">
        <f t="shared" si="14"/>
        <v>#DIV/0!</v>
      </c>
    </row>
    <row r="172" spans="1:9" x14ac:dyDescent="0.2">
      <c r="A172" s="259"/>
      <c r="C172" s="260"/>
      <c r="D172" s="260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262"/>
      <c r="D174" s="262"/>
      <c r="E174" s="348"/>
      <c r="F174" s="348"/>
      <c r="G174" s="263"/>
      <c r="H174" s="263">
        <f t="shared" si="13"/>
        <v>0</v>
      </c>
      <c r="I174" s="263">
        <f t="shared" si="14"/>
        <v>0</v>
      </c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Code]=B175)*(Budget[Sort Code]=$G$4),(Budget[Amount])))</f>
        <v>1000000</v>
      </c>
      <c r="D175" s="245">
        <f t="array" ref="D175">SUM(IF((Budget[Account Code]=B175)*(Budget[Sort Code]=$G$4)*(Budget[Date]&lt;=$D$7),(Budget[Amount])))</f>
        <v>1000000</v>
      </c>
      <c r="E175" s="245">
        <f t="array" ref="E175">((SUM(IF((CkDJ[Sort Code]=(TRIM(G$4)))*(CkDJ[Account Code]=(TRIM($B175)))*(CkDJ[Date]&lt;=$E$7),CkDJ[Debit])))+(SUM(IF((CsDJ[Sort Code]=(TRIM(G$4)))*(CsDJ[Account Code]=(TRIM($B175)))*(CsDJ[Date]&lt;=$E$7),CsDJ[Debit])))+(SUM(IF((CRDJ[Sort Code]=(TRIM(G$4)))*(CRDJ[Account Code]=(TRIM($B175)))*(CRDJ[Date]&lt;=$E$7),CRDJ[Debit])))+(SUM(IF((GJ[Sort Code]=(TRIM(G$4)))*(GJ[Account Code]=(TRIM($B175)))*(GJ[Date]&lt;=$E$7),GJ[Debit]))))-((SUM(IF((CkDJ[Sort Code]=(TRIM(G$4)))*(CkDJ[Account Code]=(TRIM($B175)))*(CkDJ[Date]&lt;=$E$7),CkDJ[Credit])))+(SUM(IF((CsDJ[Sort Code]=(TRIM(G$4)))*(CsDJ[Account Code]=(TRIM($B175)))*(CsDJ[Date]&lt;=$E$7),CsDJ[Credit])))+(SUM(IF((CRDJ[Sort Code]=(TRIM(G$4)))*(CRDJ[Account Code]=(TRIM($B175)))*(CRDJ[Date]&lt;=$E$7),CRDJ[Credit])))+(SUM(IF((GJ[Sort Code]=(TRIM(G$4)))*(GJ[Account Code]=(TRIM($B175)))*(GJ[Date]&lt;=$E$7),GJ[Credit]))))</f>
        <v>0</v>
      </c>
      <c r="F175" s="245">
        <f t="array" ref="F175">((SUM(IF((CkDJ[Date]=$A$3)*(CkDJ[Sort Code]=(TRIM(G$4)))*(CkDJ[Account Code]=(TRIM($B175))),CkDJ[Debit])))+(SUM(IF((CsDJ[Date]=$A$3)*(CsDJ[Sort Code]=(TRIM(G$4)))*(CsDJ[Account Code]=(TRIM($B175))),CsDJ[Debit])))+(SUM(IF((CRDJ[Date]=$A$3)*(CRDJ[Sort Code]=(TRIM(G$4)))*(CRDJ[Account Code]=(TRIM($B175))),CRDJ[Debit])))+(SUM(IF((GJ[Date]=$A$3)*(GJ[Sort Code]=(TRIM(G$4)))*(GJ[Account Code]=(TRIM($B175))),GJ[Debit]))))-((SUM(IF((CkDJ[Date]=$A$3)*(CkDJ[Sort Code]=(TRIM(G$4)))*(CkDJ[Account Code]=(TRIM($B175))),CkDJ[Credit])))+(SUM(IF((CsDJ[Date]=$A$3)*(CsDJ[Sort Code]=(TRIM(G$4)))*(CsDJ[Account Code]=(TRIM($B175))),CsDJ[Credit])))+(SUM(IF((CRDJ[Date]=$A$3)*(CRDJ[Sort Code]=(TRIM(G$4)))*(CRDJ[Account Code]=(TRIM($B175))),CRDJ[Credit])))+(SUM(IF((GJ[Date]=$A$3)*(GJ[Sort Code]=(TRIM(G$4)))*(GJ[Account Code]=(TRIM($B175))),GJ[Credit]))))</f>
        <v>0</v>
      </c>
      <c r="G175" s="343">
        <f>E175+F175</f>
        <v>0</v>
      </c>
      <c r="H175" s="246">
        <f t="shared" si="13"/>
        <v>-1000000</v>
      </c>
      <c r="I175" s="246">
        <f t="shared" si="14"/>
        <v>0</v>
      </c>
    </row>
    <row r="176" spans="1:9" x14ac:dyDescent="0.2">
      <c r="A176" s="253"/>
      <c r="B176" s="337"/>
      <c r="C176" s="244"/>
      <c r="D176" s="244"/>
      <c r="E176" s="245"/>
      <c r="F176" s="245"/>
      <c r="G176" s="246"/>
      <c r="H176" s="246">
        <f t="shared" si="13"/>
        <v>0</v>
      </c>
      <c r="I176" s="246">
        <f t="shared" si="14"/>
        <v>0</v>
      </c>
    </row>
    <row r="177" spans="1:9" x14ac:dyDescent="0.2">
      <c r="A177" s="251" t="s">
        <v>789</v>
      </c>
      <c r="B177" s="338"/>
      <c r="C177" s="250">
        <f>SUM(C174:C176)</f>
        <v>1000000</v>
      </c>
      <c r="D177" s="250">
        <f>SUM(D174:D176)</f>
        <v>1000000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3"/>
        <v>-1000000</v>
      </c>
      <c r="I177" s="250">
        <f t="shared" si="14"/>
        <v>0</v>
      </c>
    </row>
    <row r="178" spans="1:9" x14ac:dyDescent="0.2">
      <c r="A178" s="251" t="s">
        <v>788</v>
      </c>
      <c r="B178" s="338"/>
      <c r="C178" s="250">
        <f>C165+C177</f>
        <v>36934008.270000003</v>
      </c>
      <c r="D178" s="250">
        <f>D165+D177</f>
        <v>36934008.270000003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3"/>
        <v>-36934008.270000003</v>
      </c>
      <c r="I178" s="250">
        <f t="shared" si="14"/>
        <v>0</v>
      </c>
    </row>
    <row r="179" spans="1:9" x14ac:dyDescent="0.2">
      <c r="A179" s="251" t="s">
        <v>785</v>
      </c>
      <c r="B179" s="338"/>
      <c r="C179" s="250">
        <f>C48-C178</f>
        <v>-33806008.270000003</v>
      </c>
      <c r="D179" s="250">
        <f>D48-D178</f>
        <v>-33806008.270000003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3"/>
        <v>33806008.270000003</v>
      </c>
      <c r="I179" s="250">
        <f t="shared" si="14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3"/>
        <v>0</v>
      </c>
      <c r="I180" s="250">
        <f t="shared" si="14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3"/>
        <v>0</v>
      </c>
      <c r="I181" s="250">
        <f t="shared" si="14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3"/>
        <v>0</v>
      </c>
      <c r="I182" s="250">
        <f t="shared" si="14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3"/>
        <v>0</v>
      </c>
      <c r="I183" s="250">
        <f t="shared" si="14"/>
        <v>0</v>
      </c>
    </row>
    <row r="184" spans="1:9" x14ac:dyDescent="0.2">
      <c r="A184" s="264" t="s">
        <v>749</v>
      </c>
      <c r="B184" s="338"/>
      <c r="C184" s="265">
        <f>C48/(C178-C181-C182)</f>
        <v>0.08</v>
      </c>
      <c r="D184" s="265">
        <f>D48/(D178-D181-D182)</f>
        <v>0.08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3"/>
        <v>#DIV/0!</v>
      </c>
      <c r="I184" s="265" t="e">
        <f t="shared" si="14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2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663300"/>
    <pageSetUpPr fitToPage="1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La Union</v>
      </c>
      <c r="C4" s="332"/>
      <c r="G4" s="331" t="s">
        <v>486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Code]=B10)*(Budget[Sort Code]=$G$4),(Budget[Amount])))</f>
        <v>0</v>
      </c>
      <c r="D10" s="245">
        <f t="array" ref="D10">SUM(IF((Budget[Account Code]=B10)*(Budget[Sort Code]=$G$4)*(Budget[Date]&lt;=$D$7),(Budget[Amount])))</f>
        <v>0</v>
      </c>
      <c r="E10" s="245">
        <f t="array" ref="E10">((SUM(IF((CkDJ[Sort Code]=(TRIM(G$4)))*(CkDJ[Account Code]=(TRIM($B10)))*(CkDJ[Date]&lt;=$E$7),CkDJ[Credit])))+(SUM(IF((CsDJ[Sort Code]=(TRIM(G$4)))*(CsDJ[Account Code]=(TRIM($B10)))*(CsDJ[Date]&lt;=$E$7),CsDJ[Credit])))+(SUM(IF((CRDJ[Sort Code]=(TRIM(G$4)))*(CRDJ[Account Code]=(TRIM($B10)))*(CRDJ[Date]&lt;=$E$7),CRDJ[Credit])))+(SUM(IF((GJ[Sort Code]=(TRIM(G$4)))*(GJ[Account Code]=(TRIM($B10)))*(GJ[Date]&lt;=$E$7),GJ[Credit]))))-((SUM(IF((CkDJ[Sort Code]=(TRIM(G$4)))*(CkDJ[Account Code]=(TRIM($B10)))*(CkDJ[Date]&lt;=$E$7),CkDJ[Debit])))+(SUM(IF((CsDJ[Sort Code]=(TRIM(G$4)))*(CsDJ[Account Code]=(TRIM($B10)))*(CsDJ[Date]&lt;=$E$7),CsDJ[Debit])))+(SUM(IF((CRDJ[Sort Code]=(TRIM(G$4)))*(CRDJ[Account Code]=(TRIM($B10)))*(CRDJ[Date]&lt;=$E$7),CRDJ[Debit])))+(SUM(IF((GJ[Sort Code]=(TRIM(G$4)))*(GJ[Account Code]=(TRIM($B10)))*(GJ[Date]&lt;=$E$7),GJ[Debit]))))</f>
        <v>0</v>
      </c>
      <c r="F10" s="245">
        <f t="array" ref="F10">((SUM(IF((CkDJ[Date]=$A$3)*(CkDJ[Sort Code]=(TRIM(G$4)))*(CkDJ[Account Code]=(TRIM($B10))),CkDJ[Credit])))+(SUM(IF((CsDJ[Date]=$A$3)*(CsDJ[Sort Code]=(TRIM(G$4)))*(CsDJ[Account Code]=(TRIM($B10))),CsDJ[Credit])))+(SUM(IF((CRDJ[Date]=$A$3)*(CRDJ[Sort Code]=(TRIM(G$4)))*(CRDJ[Account Code]=(TRIM($B10))),CRDJ[Credit])))+(SUM(IF((GJ[Date]=$A$3)*(GJ[Sort Code]=(TRIM(G$4)))*(GJ[Account Code]=(TRIM($B10))),GJ[Credit]))))-((SUM(IF((CkDJ[Date]=$A$3)*(CkDJ[Sort Code]=(TRIM(G$4)))*(CkDJ[Account Code]=(TRIM($B10))),CkDJ[Debit])))+(SUM(IF((CsDJ[Date]=$A$3)*(CsDJ[Sort Code]=(TRIM(G$4)))*(CsDJ[Account Code]=(TRIM($B10))),CsDJ[Debit])))+(SUM(IF((CRDJ[Date]=$A$3)*(CRDJ[Sort Code]=(TRIM(G$4)))*(CRDJ[Account Code]=(TRIM($B10))),CRDJ[Debit])))+(SUM(IF((GJ[Date]=$A$3)*(GJ[Sort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2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2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Code]=B12)*(Budget[Sort Code]=$G$4),(Budget[Amount])))</f>
        <v>0</v>
      </c>
      <c r="D12" s="245">
        <f t="array" ref="D12">SUM(IF((Budget[Account Code]=B12)*(Budget[Sort Code]=$G$4)*(Budget[Date]&lt;=$D$7),(Budget[Amount])))</f>
        <v>0</v>
      </c>
      <c r="E12" s="245">
        <f t="array" ref="E12">((SUM(IF((CkDJ[Sort Code]=(TRIM(G$4)))*(CkDJ[Account Code]=(TRIM($B12)))*(CkDJ[Date]&lt;=$E$7),CkDJ[Credit])))+(SUM(IF((CsDJ[Sort Code]=(TRIM(G$4)))*(CsDJ[Account Code]=(TRIM($B12)))*(CsDJ[Date]&lt;=$E$7),CsDJ[Credit])))+(SUM(IF((CRDJ[Sort Code]=(TRIM(G$4)))*(CRDJ[Account Code]=(TRIM($B12)))*(CRDJ[Date]&lt;=$E$7),CRDJ[Credit])))+(SUM(IF((GJ[Sort Code]=(TRIM(G$4)))*(GJ[Account Code]=(TRIM($B12)))*(GJ[Date]&lt;=$E$7),GJ[Credit]))))-((SUM(IF((CkDJ[Sort Code]=(TRIM(G$4)))*(CkDJ[Account Code]=(TRIM($B12)))*(CkDJ[Date]&lt;=$E$7),CkDJ[Debit])))+(SUM(IF((CsDJ[Sort Code]=(TRIM(G$4)))*(CsDJ[Account Code]=(TRIM($B12)))*(CsDJ[Date]&lt;=$E$7),CsDJ[Debit])))+(SUM(IF((CRDJ[Sort Code]=(TRIM(G$4)))*(CRDJ[Account Code]=(TRIM($B12)))*(CRDJ[Date]&lt;=$E$7),CRDJ[Debit])))+(SUM(IF((GJ[Sort Code]=(TRIM(G$4)))*(GJ[Account Code]=(TRIM($B12)))*(GJ[Date]&lt;=$E$7),GJ[Debit]))))</f>
        <v>0</v>
      </c>
      <c r="F12" s="245">
        <f t="array" ref="F12">((SUM(IF((CkDJ[Date]=$A$3)*(CkDJ[Sort Code]=(TRIM(G$4)))*(CkDJ[Account Code]=(TRIM($B12))),CkDJ[Credit])))+(SUM(IF((CsDJ[Date]=$A$3)*(CsDJ[Sort Code]=(TRIM(G$4)))*(CsDJ[Account Code]=(TRIM($B12))),CsDJ[Credit])))+(SUM(IF((CRDJ[Date]=$A$3)*(CRDJ[Sort Code]=(TRIM(G$4)))*(CRDJ[Account Code]=(TRIM($B12))),CRDJ[Credit])))+(SUM(IF((GJ[Date]=$A$3)*(GJ[Sort Code]=(TRIM(G$4)))*(GJ[Account Code]=(TRIM($B12))),GJ[Credit]))))-((SUM(IF((CkDJ[Date]=$A$3)*(CkDJ[Sort Code]=(TRIM(G$4)))*(CkDJ[Account Code]=(TRIM($B12))),CkDJ[Debit])))+(SUM(IF((CsDJ[Date]=$A$3)*(CsDJ[Sort Code]=(TRIM(G$4)))*(CsDJ[Account Code]=(TRIM($B12))),CsDJ[Debit])))+(SUM(IF((CRDJ[Date]=$A$3)*(CRDJ[Sort Code]=(TRIM(G$4)))*(CRDJ[Account Code]=(TRIM($B12))),CRDJ[Debit])))+(SUM(IF((GJ[Date]=$A$3)*(GJ[Sort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2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Code]=B13)*(Budget[Sort Code]=$G$4),(Budget[Amount])))</f>
        <v>0</v>
      </c>
      <c r="D13" s="245">
        <f t="array" ref="D13">SUM(IF((Budget[Account Code]=B13)*(Budget[Sort Code]=$G$4)*(Budget[Date]&lt;=$D$7),(Budget[Amount])))</f>
        <v>0</v>
      </c>
      <c r="E13" s="245">
        <f t="array" ref="E13">((SUM(IF((CkDJ[Sort Code]=(TRIM(G$4)))*(CkDJ[Account Code]=(TRIM($B13)))*(CkDJ[Date]&lt;=$E$7),CkDJ[Credit])))+(SUM(IF((CsDJ[Sort Code]=(TRIM(G$4)))*(CsDJ[Account Code]=(TRIM($B13)))*(CsDJ[Date]&lt;=$E$7),CsDJ[Credit])))+(SUM(IF((CRDJ[Sort Code]=(TRIM(G$4)))*(CRDJ[Account Code]=(TRIM($B13)))*(CRDJ[Date]&lt;=$E$7),CRDJ[Credit])))+(SUM(IF((GJ[Sort Code]=(TRIM(G$4)))*(GJ[Account Code]=(TRIM($B13)))*(GJ[Date]&lt;=$E$7),GJ[Credit]))))-((SUM(IF((CkDJ[Sort Code]=(TRIM(G$4)))*(CkDJ[Account Code]=(TRIM($B13)))*(CkDJ[Date]&lt;=$E$7),CkDJ[Debit])))+(SUM(IF((CsDJ[Sort Code]=(TRIM(G$4)))*(CsDJ[Account Code]=(TRIM($B13)))*(CsDJ[Date]&lt;=$E$7),CsDJ[Debit])))+(SUM(IF((CRDJ[Sort Code]=(TRIM(G$4)))*(CRDJ[Account Code]=(TRIM($B13)))*(CRDJ[Date]&lt;=$E$7),CRDJ[Debit])))+(SUM(IF((GJ[Sort Code]=(TRIM(G$4)))*(GJ[Account Code]=(TRIM($B13)))*(GJ[Date]&lt;=$E$7),GJ[Debit]))))</f>
        <v>0</v>
      </c>
      <c r="F13" s="245">
        <f t="array" ref="F13">((SUM(IF((CkDJ[Date]=$A$3)*(CkDJ[Sort Code]=(TRIM(G$4)))*(CkDJ[Account Code]=(TRIM($B13))),CkDJ[Credit])))+(SUM(IF((CsDJ[Date]=$A$3)*(CsDJ[Sort Code]=(TRIM(G$4)))*(CsDJ[Account Code]=(TRIM($B13))),CsDJ[Credit])))+(SUM(IF((CRDJ[Date]=$A$3)*(CRDJ[Sort Code]=(TRIM(G$4)))*(CRDJ[Account Code]=(TRIM($B13))),CRDJ[Credit])))+(SUM(IF((GJ[Date]=$A$3)*(GJ[Sort Code]=(TRIM(G$4)))*(GJ[Account Code]=(TRIM($B13))),GJ[Credit]))))-((SUM(IF((CkDJ[Date]=$A$3)*(CkDJ[Sort Code]=(TRIM(G$4)))*(CkDJ[Account Code]=(TRIM($B13))),CkDJ[Debit])))+(SUM(IF((CsDJ[Date]=$A$3)*(CsDJ[Sort Code]=(TRIM(G$4)))*(CsDJ[Account Code]=(TRIM($B13))),CsDJ[Debit])))+(SUM(IF((CRDJ[Date]=$A$3)*(CRDJ[Sort Code]=(TRIM(G$4)))*(CRDJ[Account Code]=(TRIM($B13))),CRDJ[Debit])))+(SUM(IF((GJ[Date]=$A$3)*(GJ[Sort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2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Code]=B14)*(Budget[Sort Code]=$G$4),(Budget[Amount])))</f>
        <v>0</v>
      </c>
      <c r="D14" s="245">
        <f t="array" ref="D14">SUM(IF((Budget[Account Code]=B14)*(Budget[Sort Code]=$G$4)*(Budget[Date]&lt;=$D$7),(Budget[Amount])))</f>
        <v>0</v>
      </c>
      <c r="E14" s="245">
        <f t="array" ref="E14">((SUM(IF((CkDJ[Sort Code]=(TRIM(G$4)))*(CkDJ[Account Code]=(TRIM($B14)))*(CkDJ[Date]&lt;=$E$7),CkDJ[Credit])))+(SUM(IF((CsDJ[Sort Code]=(TRIM(G$4)))*(CsDJ[Account Code]=(TRIM($B14)))*(CsDJ[Date]&lt;=$E$7),CsDJ[Credit])))+(SUM(IF((CRDJ[Sort Code]=(TRIM(G$4)))*(CRDJ[Account Code]=(TRIM($B14)))*(CRDJ[Date]&lt;=$E$7),CRDJ[Credit])))+(SUM(IF((GJ[Sort Code]=(TRIM(G$4)))*(GJ[Account Code]=(TRIM($B14)))*(GJ[Date]&lt;=$E$7),GJ[Credit]))))-((SUM(IF((CkDJ[Sort Code]=(TRIM(G$4)))*(CkDJ[Account Code]=(TRIM($B14)))*(CkDJ[Date]&lt;=$E$7),CkDJ[Debit])))+(SUM(IF((CsDJ[Sort Code]=(TRIM(G$4)))*(CsDJ[Account Code]=(TRIM($B14)))*(CsDJ[Date]&lt;=$E$7),CsDJ[Debit])))+(SUM(IF((CRDJ[Sort Code]=(TRIM(G$4)))*(CRDJ[Account Code]=(TRIM($B14)))*(CRDJ[Date]&lt;=$E$7),CRDJ[Debit])))+(SUM(IF((GJ[Sort Code]=(TRIM(G$4)))*(GJ[Account Code]=(TRIM($B14)))*(GJ[Date]&lt;=$E$7),GJ[Debit]))))</f>
        <v>0</v>
      </c>
      <c r="F14" s="245">
        <f t="array" ref="F14">((SUM(IF((CkDJ[Date]=$A$3)*(CkDJ[Sort Code]=(TRIM(G$4)))*(CkDJ[Account Code]=(TRIM($B14))),CkDJ[Credit])))+(SUM(IF((CsDJ[Date]=$A$3)*(CsDJ[Sort Code]=(TRIM(G$4)))*(CsDJ[Account Code]=(TRIM($B14))),CsDJ[Credit])))+(SUM(IF((CRDJ[Date]=$A$3)*(CRDJ[Sort Code]=(TRIM(G$4)))*(CRDJ[Account Code]=(TRIM($B14))),CRDJ[Credit])))+(SUM(IF((GJ[Date]=$A$3)*(GJ[Sort Code]=(TRIM(G$4)))*(GJ[Account Code]=(TRIM($B14))),GJ[Credit]))))-((SUM(IF((CkDJ[Date]=$A$3)*(CkDJ[Sort Code]=(TRIM(G$4)))*(CkDJ[Account Code]=(TRIM($B14))),CkDJ[Debit])))+(SUM(IF((CsDJ[Date]=$A$3)*(CsDJ[Sort Code]=(TRIM(G$4)))*(CsDJ[Account Code]=(TRIM($B14))),CsDJ[Debit])))+(SUM(IF((CRDJ[Date]=$A$3)*(CRDJ[Sort Code]=(TRIM(G$4)))*(CRDJ[Account Code]=(TRIM($B14))),CRDJ[Debit])))+(SUM(IF((GJ[Date]=$A$3)*(GJ[Sort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2">
        <f t="shared" si="1"/>
        <v>0</v>
      </c>
    </row>
    <row r="15" spans="1:9" x14ac:dyDescent="0.2">
      <c r="A15" s="241" t="s">
        <v>826</v>
      </c>
      <c r="B15" s="337"/>
      <c r="C15" s="248">
        <f>SUM(C16:C18)</f>
        <v>500000</v>
      </c>
      <c r="D15" s="248">
        <f>SUM(D16:D18)</f>
        <v>500000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-500000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Code]=B16)*(Budget[Sort Code]=$G$4),(Budget[Amount])))</f>
        <v>0</v>
      </c>
      <c r="D16" s="245">
        <f t="array" ref="D16">SUM(IF((Budget[Account Code]=B16)*(Budget[Sort Code]=$G$4)*(Budget[Date]&lt;=$D$7),(Budget[Amount])))</f>
        <v>0</v>
      </c>
      <c r="E16" s="245">
        <f t="array" ref="E16">((SUM(IF((CkDJ[Sort Code]=(TRIM(G$4)))*(CkDJ[Account Code]=(TRIM($B16)))*(CkDJ[Date]&lt;=$E$7),CkDJ[Credit])))+(SUM(IF((CsDJ[Sort Code]=(TRIM(G$4)))*(CsDJ[Account Code]=(TRIM($B16)))*(CsDJ[Date]&lt;=$E$7),CsDJ[Credit])))+(SUM(IF((CRDJ[Sort Code]=(TRIM(G$4)))*(CRDJ[Account Code]=(TRIM($B16)))*(CRDJ[Date]&lt;=$E$7),CRDJ[Credit])))+(SUM(IF((GJ[Sort Code]=(TRIM(G$4)))*(GJ[Account Code]=(TRIM($B16)))*(GJ[Date]&lt;=$E$7),GJ[Credit]))))-((SUM(IF((CkDJ[Sort Code]=(TRIM(G$4)))*(CkDJ[Account Code]=(TRIM($B16)))*(CkDJ[Date]&lt;=$E$7),CkDJ[Debit])))+(SUM(IF((CsDJ[Sort Code]=(TRIM(G$4)))*(CsDJ[Account Code]=(TRIM($B16)))*(CsDJ[Date]&lt;=$E$7),CsDJ[Debit])))+(SUM(IF((CRDJ[Sort Code]=(TRIM(G$4)))*(CRDJ[Account Code]=(TRIM($B16)))*(CRDJ[Date]&lt;=$E$7),CRDJ[Debit])))+(SUM(IF((GJ[Sort Code]=(TRIM(G$4)))*(GJ[Account Code]=(TRIM($B16)))*(GJ[Date]&lt;=$E$7),GJ[Debit]))))</f>
        <v>0</v>
      </c>
      <c r="F16" s="245">
        <f t="array" ref="F16">((SUM(IF((CkDJ[Date]=$A$3)*(CkDJ[Sort Code]=(TRIM(G$4)))*(CkDJ[Account Code]=(TRIM($B16))),CkDJ[Credit])))+(SUM(IF((CsDJ[Date]=$A$3)*(CsDJ[Sort Code]=(TRIM(G$4)))*(CsDJ[Account Code]=(TRIM($B16))),CsDJ[Credit])))+(SUM(IF((CRDJ[Date]=$A$3)*(CRDJ[Sort Code]=(TRIM(G$4)))*(CRDJ[Account Code]=(TRIM($B16))),CRDJ[Credit])))+(SUM(IF((GJ[Date]=$A$3)*(GJ[Sort Code]=(TRIM(G$4)))*(GJ[Account Code]=(TRIM($B16))),GJ[Credit]))))-((SUM(IF((CkDJ[Date]=$A$3)*(CkDJ[Sort Code]=(TRIM(G$4)))*(CkDJ[Account Code]=(TRIM($B16))),CkDJ[Debit])))+(SUM(IF((CsDJ[Date]=$A$3)*(CsDJ[Sort Code]=(TRIM(G$4)))*(CsDJ[Account Code]=(TRIM($B16))),CsDJ[Debit])))+(SUM(IF((CRDJ[Date]=$A$3)*(CRDJ[Sort Code]=(TRIM(G$4)))*(CRDJ[Account Code]=(TRIM($B16))),CRDJ[Debit])))+(SUM(IF((GJ[Date]=$A$3)*(GJ[Sort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2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Code]=B17)*(Budget[Sort Code]=$G$4),(Budget[Amount])))</f>
        <v>500000</v>
      </c>
      <c r="D17" s="245">
        <f t="array" ref="D17">SUM(IF((Budget[Account Code]=B17)*(Budget[Sort Code]=$G$4)*(Budget[Date]&lt;=$D$7),(Budget[Amount])))</f>
        <v>500000</v>
      </c>
      <c r="E17" s="245">
        <f t="array" ref="E17">((SUM(IF((CkDJ[Sort Code]=(TRIM(G$4)))*(CkDJ[Account Code]=(TRIM($B17)))*(CkDJ[Date]&lt;=$E$7),CkDJ[Credit])))+(SUM(IF((CsDJ[Sort Code]=(TRIM(G$4)))*(CsDJ[Account Code]=(TRIM($B17)))*(CsDJ[Date]&lt;=$E$7),CsDJ[Credit])))+(SUM(IF((CRDJ[Sort Code]=(TRIM(G$4)))*(CRDJ[Account Code]=(TRIM($B17)))*(CRDJ[Date]&lt;=$E$7),CRDJ[Credit])))+(SUM(IF((GJ[Sort Code]=(TRIM(G$4)))*(GJ[Account Code]=(TRIM($B17)))*(GJ[Date]&lt;=$E$7),GJ[Credit]))))-((SUM(IF((CkDJ[Sort Code]=(TRIM(G$4)))*(CkDJ[Account Code]=(TRIM($B17)))*(CkDJ[Date]&lt;=$E$7),CkDJ[Debit])))+(SUM(IF((CsDJ[Sort Code]=(TRIM(G$4)))*(CsDJ[Account Code]=(TRIM($B17)))*(CsDJ[Date]&lt;=$E$7),CsDJ[Debit])))+(SUM(IF((CRDJ[Sort Code]=(TRIM(G$4)))*(CRDJ[Account Code]=(TRIM($B17)))*(CRDJ[Date]&lt;=$E$7),CRDJ[Debit])))+(SUM(IF((GJ[Sort Code]=(TRIM(G$4)))*(GJ[Account Code]=(TRIM($B17)))*(GJ[Date]&lt;=$E$7),GJ[Debit]))))</f>
        <v>0</v>
      </c>
      <c r="F17" s="245">
        <f t="array" ref="F17">((SUM(IF((CkDJ[Date]=$A$3)*(CkDJ[Sort Code]=(TRIM(G$4)))*(CkDJ[Account Code]=(TRIM($B17))),CkDJ[Credit])))+(SUM(IF((CsDJ[Date]=$A$3)*(CsDJ[Sort Code]=(TRIM(G$4)))*(CsDJ[Account Code]=(TRIM($B17))),CsDJ[Credit])))+(SUM(IF((CRDJ[Date]=$A$3)*(CRDJ[Sort Code]=(TRIM(G$4)))*(CRDJ[Account Code]=(TRIM($B17))),CRDJ[Credit])))+(SUM(IF((GJ[Date]=$A$3)*(GJ[Sort Code]=(TRIM(G$4)))*(GJ[Account Code]=(TRIM($B17))),GJ[Credit]))))-((SUM(IF((CkDJ[Date]=$A$3)*(CkDJ[Sort Code]=(TRIM(G$4)))*(CkDJ[Account Code]=(TRIM($B17))),CkDJ[Debit])))+(SUM(IF((CsDJ[Date]=$A$3)*(CsDJ[Sort Code]=(TRIM(G$4)))*(CsDJ[Account Code]=(TRIM($B17))),CsDJ[Debit])))+(SUM(IF((CRDJ[Date]=$A$3)*(CRDJ[Sort Code]=(TRIM(G$4)))*(CRDJ[Account Code]=(TRIM($B17))),CRDJ[Debit])))+(SUM(IF((GJ[Date]=$A$3)*(GJ[Sort Code]=(TRIM(G$4)))*(GJ[Account Code]=(TRIM($B17))),GJ[Debit]))))</f>
        <v>0</v>
      </c>
      <c r="G17" s="343">
        <f>E17+F17</f>
        <v>0</v>
      </c>
      <c r="H17" s="246">
        <f t="shared" si="0"/>
        <v>-500000</v>
      </c>
      <c r="I17" s="242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Code]=B18)*(Budget[Sort Code]=$G$4),(Budget[Amount])))</f>
        <v>0</v>
      </c>
      <c r="D18" s="245">
        <f t="array" ref="D18">SUM(IF((Budget[Account Code]=B18)*(Budget[Sort Code]=$G$4)*(Budget[Date]&lt;=$D$7),(Budget[Amount])))</f>
        <v>0</v>
      </c>
      <c r="E18" s="245">
        <f t="array" ref="E18">((SUM(IF((CkDJ[Sort Code]=(TRIM(G$4)))*(CkDJ[Account Code]=(TRIM($B18)))*(CkDJ[Date]&lt;=$E$7),CkDJ[Credit])))+(SUM(IF((CsDJ[Sort Code]=(TRIM(G$4)))*(CsDJ[Account Code]=(TRIM($B18)))*(CsDJ[Date]&lt;=$E$7),CsDJ[Credit])))+(SUM(IF((CRDJ[Sort Code]=(TRIM(G$4)))*(CRDJ[Account Code]=(TRIM($B18)))*(CRDJ[Date]&lt;=$E$7),CRDJ[Credit])))+(SUM(IF((GJ[Sort Code]=(TRIM(G$4)))*(GJ[Account Code]=(TRIM($B18)))*(GJ[Date]&lt;=$E$7),GJ[Credit]))))-((SUM(IF((CkDJ[Sort Code]=(TRIM(G$4)))*(CkDJ[Account Code]=(TRIM($B18)))*(CkDJ[Date]&lt;=$E$7),CkDJ[Debit])))+(SUM(IF((CsDJ[Sort Code]=(TRIM(G$4)))*(CsDJ[Account Code]=(TRIM($B18)))*(CsDJ[Date]&lt;=$E$7),CsDJ[Debit])))+(SUM(IF((CRDJ[Sort Code]=(TRIM(G$4)))*(CRDJ[Account Code]=(TRIM($B18)))*(CRDJ[Date]&lt;=$E$7),CRDJ[Debit])))+(SUM(IF((GJ[Sort Code]=(TRIM(G$4)))*(GJ[Account Code]=(TRIM($B18)))*(GJ[Date]&lt;=$E$7),GJ[Debit]))))</f>
        <v>0</v>
      </c>
      <c r="F18" s="245">
        <f t="array" ref="F18">((SUM(IF((CkDJ[Date]=$A$3)*(CkDJ[Sort Code]=(TRIM(G$4)))*(CkDJ[Account Code]=(TRIM($B18))),CkDJ[Credit])))+(SUM(IF((CsDJ[Date]=$A$3)*(CsDJ[Sort Code]=(TRIM(G$4)))*(CsDJ[Account Code]=(TRIM($B18))),CsDJ[Credit])))+(SUM(IF((CRDJ[Date]=$A$3)*(CRDJ[Sort Code]=(TRIM(G$4)))*(CRDJ[Account Code]=(TRIM($B18))),CRDJ[Credit])))+(SUM(IF((GJ[Date]=$A$3)*(GJ[Sort Code]=(TRIM(G$4)))*(GJ[Account Code]=(TRIM($B18))),GJ[Credit]))))-((SUM(IF((CkDJ[Date]=$A$3)*(CkDJ[Sort Code]=(TRIM(G$4)))*(CkDJ[Account Code]=(TRIM($B18))),CkDJ[Debit])))+(SUM(IF((CsDJ[Date]=$A$3)*(CsDJ[Sort Code]=(TRIM(G$4)))*(CsDJ[Account Code]=(TRIM($B18))),CsDJ[Debit])))+(SUM(IF((CRDJ[Date]=$A$3)*(CRDJ[Sort Code]=(TRIM(G$4)))*(CRDJ[Account Code]=(TRIM($B18))),CRDJ[Debit])))+(SUM(IF((GJ[Date]=$A$3)*(GJ[Sort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2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Code]=B20)*(Budget[Sort Code]=$G$4),(Budget[Amount])))</f>
        <v>0</v>
      </c>
      <c r="D20" s="245">
        <f t="array" ref="D20">SUM(IF((Budget[Account Code]=B20)*(Budget[Sort Code]=$G$4)*(Budget[Date]&lt;=$D$7),(Budget[Amount])))</f>
        <v>0</v>
      </c>
      <c r="E20" s="245">
        <f t="array" ref="E20">((SUM(IF((CkDJ[Sort Code]=(TRIM(G$4)))*(CkDJ[Account Code]=(TRIM($B20)))*(CkDJ[Date]&lt;=$E$7),CkDJ[Credit])))+(SUM(IF((CsDJ[Sort Code]=(TRIM(G$4)))*(CsDJ[Account Code]=(TRIM($B20)))*(CsDJ[Date]&lt;=$E$7),CsDJ[Credit])))+(SUM(IF((CRDJ[Sort Code]=(TRIM(G$4)))*(CRDJ[Account Code]=(TRIM($B20)))*(CRDJ[Date]&lt;=$E$7),CRDJ[Credit])))+(SUM(IF((GJ[Sort Code]=(TRIM(G$4)))*(GJ[Account Code]=(TRIM($B20)))*(GJ[Date]&lt;=$E$7),GJ[Credit]))))-((SUM(IF((CkDJ[Sort Code]=(TRIM(G$4)))*(CkDJ[Account Code]=(TRIM($B20)))*(CkDJ[Date]&lt;=$E$7),CkDJ[Debit])))+(SUM(IF((CsDJ[Sort Code]=(TRIM(G$4)))*(CsDJ[Account Code]=(TRIM($B20)))*(CsDJ[Date]&lt;=$E$7),CsDJ[Debit])))+(SUM(IF((CRDJ[Sort Code]=(TRIM(G$4)))*(CRDJ[Account Code]=(TRIM($B20)))*(CRDJ[Date]&lt;=$E$7),CRDJ[Debit])))+(SUM(IF((GJ[Sort Code]=(TRIM(G$4)))*(GJ[Account Code]=(TRIM($B20)))*(GJ[Date]&lt;=$E$7),GJ[Debit]))))</f>
        <v>0</v>
      </c>
      <c r="F20" s="245">
        <f t="array" ref="F20">((SUM(IF((CkDJ[Date]=$A$3)*(CkDJ[Sort Code]=(TRIM(G$4)))*(CkDJ[Account Code]=(TRIM($B20))),CkDJ[Credit])))+(SUM(IF((CsDJ[Date]=$A$3)*(CsDJ[Sort Code]=(TRIM(G$4)))*(CsDJ[Account Code]=(TRIM($B20))),CsDJ[Credit])))+(SUM(IF((CRDJ[Date]=$A$3)*(CRDJ[Sort Code]=(TRIM(G$4)))*(CRDJ[Account Code]=(TRIM($B20))),CRDJ[Credit])))+(SUM(IF((GJ[Date]=$A$3)*(GJ[Sort Code]=(TRIM(G$4)))*(GJ[Account Code]=(TRIM($B20))),GJ[Credit]))))-((SUM(IF((CkDJ[Date]=$A$3)*(CkDJ[Sort Code]=(TRIM(G$4)))*(CkDJ[Account Code]=(TRIM($B20))),CkDJ[Debit])))+(SUM(IF((CsDJ[Date]=$A$3)*(CsDJ[Sort Code]=(TRIM(G$4)))*(CsDJ[Account Code]=(TRIM($B20))),CsDJ[Debit])))+(SUM(IF((CRDJ[Date]=$A$3)*(CRDJ[Sort Code]=(TRIM(G$4)))*(CRDJ[Account Code]=(TRIM($B20))),CRDJ[Debit])))+(SUM(IF((GJ[Date]=$A$3)*(GJ[Sort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2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2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Code]=B22)*(Budget[Sort Code]=$G$4),(Budget[Amount])))</f>
        <v>0</v>
      </c>
      <c r="D22" s="245">
        <f t="array" ref="D22">SUM(IF((Budget[Account Code]=B22)*(Budget[Sort Code]=$G$4)*(Budget[Date]&lt;=$D$7),(Budget[Amount])))</f>
        <v>0</v>
      </c>
      <c r="E22" s="245">
        <f t="array" ref="E22">((SUM(IF((CkDJ[Sort Code]=(TRIM(G$4)))*(CkDJ[Account Code]=(TRIM($B22)))*(CkDJ[Date]&lt;=$E$7),CkDJ[Credit])))+(SUM(IF((CsDJ[Sort Code]=(TRIM(G$4)))*(CsDJ[Account Code]=(TRIM($B22)))*(CsDJ[Date]&lt;=$E$7),CsDJ[Credit])))+(SUM(IF((CRDJ[Sort Code]=(TRIM(G$4)))*(CRDJ[Account Code]=(TRIM($B22)))*(CRDJ[Date]&lt;=$E$7),CRDJ[Credit])))+(SUM(IF((GJ[Sort Code]=(TRIM(G$4)))*(GJ[Account Code]=(TRIM($B22)))*(GJ[Date]&lt;=$E$7),GJ[Credit]))))-((SUM(IF((CkDJ[Sort Code]=(TRIM(G$4)))*(CkDJ[Account Code]=(TRIM($B22)))*(CkDJ[Date]&lt;=$E$7),CkDJ[Debit])))+(SUM(IF((CsDJ[Sort Code]=(TRIM(G$4)))*(CsDJ[Account Code]=(TRIM($B22)))*(CsDJ[Date]&lt;=$E$7),CsDJ[Debit])))+(SUM(IF((CRDJ[Sort Code]=(TRIM(G$4)))*(CRDJ[Account Code]=(TRIM($B22)))*(CRDJ[Date]&lt;=$E$7),CRDJ[Debit])))+(SUM(IF((GJ[Sort Code]=(TRIM(G$4)))*(GJ[Account Code]=(TRIM($B22)))*(GJ[Date]&lt;=$E$7),GJ[Debit]))))</f>
        <v>0</v>
      </c>
      <c r="F22" s="245">
        <f t="array" ref="F22">((SUM(IF((CkDJ[Date]=$A$3)*(CkDJ[Sort Code]=(TRIM(G$4)))*(CkDJ[Account Code]=(TRIM($B22))),CkDJ[Credit])))+(SUM(IF((CsDJ[Date]=$A$3)*(CsDJ[Sort Code]=(TRIM(G$4)))*(CsDJ[Account Code]=(TRIM($B22))),CsDJ[Credit])))+(SUM(IF((CRDJ[Date]=$A$3)*(CRDJ[Sort Code]=(TRIM(G$4)))*(CRDJ[Account Code]=(TRIM($B22))),CRDJ[Credit])))+(SUM(IF((GJ[Date]=$A$3)*(GJ[Sort Code]=(TRIM(G$4)))*(GJ[Account Code]=(TRIM($B22))),GJ[Credit]))))-((SUM(IF((CkDJ[Date]=$A$3)*(CkDJ[Sort Code]=(TRIM(G$4)))*(CkDJ[Account Code]=(TRIM($B22))),CkDJ[Debit])))+(SUM(IF((CsDJ[Date]=$A$3)*(CsDJ[Sort Code]=(TRIM(G$4)))*(CsDJ[Account Code]=(TRIM($B22))),CsDJ[Debit])))+(SUM(IF((CRDJ[Date]=$A$3)*(CRDJ[Sort Code]=(TRIM(G$4)))*(CRDJ[Account Code]=(TRIM($B22))),CRDJ[Debit])))+(SUM(IF((GJ[Date]=$A$3)*(GJ[Sort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2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Code]=B23)*(Budget[Sort Code]=$G$4),(Budget[Amount])))</f>
        <v>0</v>
      </c>
      <c r="D23" s="245">
        <f t="array" ref="D23">SUM(IF((Budget[Account Code]=B23)*(Budget[Sort Code]=$G$4)*(Budget[Date]&lt;=$D$7),(Budget[Amount])))</f>
        <v>0</v>
      </c>
      <c r="E23" s="245">
        <f t="array" ref="E23">((SUM(IF((CkDJ[Sort Code]=(TRIM(G$4)))*(CkDJ[Account Code]=(TRIM($B23)))*(CkDJ[Date]&lt;=$E$7),CkDJ[Credit])))+(SUM(IF((CsDJ[Sort Code]=(TRIM(G$4)))*(CsDJ[Account Code]=(TRIM($B23)))*(CsDJ[Date]&lt;=$E$7),CsDJ[Credit])))+(SUM(IF((CRDJ[Sort Code]=(TRIM(G$4)))*(CRDJ[Account Code]=(TRIM($B23)))*(CRDJ[Date]&lt;=$E$7),CRDJ[Credit])))+(SUM(IF((GJ[Sort Code]=(TRIM(G$4)))*(GJ[Account Code]=(TRIM($B23)))*(GJ[Date]&lt;=$E$7),GJ[Credit]))))-((SUM(IF((CkDJ[Sort Code]=(TRIM(G$4)))*(CkDJ[Account Code]=(TRIM($B23)))*(CkDJ[Date]&lt;=$E$7),CkDJ[Debit])))+(SUM(IF((CsDJ[Sort Code]=(TRIM(G$4)))*(CsDJ[Account Code]=(TRIM($B23)))*(CsDJ[Date]&lt;=$E$7),CsDJ[Debit])))+(SUM(IF((CRDJ[Sort Code]=(TRIM(G$4)))*(CRDJ[Account Code]=(TRIM($B23)))*(CRDJ[Date]&lt;=$E$7),CRDJ[Debit])))+(SUM(IF((GJ[Sort Code]=(TRIM(G$4)))*(GJ[Account Code]=(TRIM($B23)))*(GJ[Date]&lt;=$E$7),GJ[Debit]))))</f>
        <v>0</v>
      </c>
      <c r="F23" s="245">
        <f t="array" ref="F23">((SUM(IF((CkDJ[Date]=$A$3)*(CkDJ[Sort Code]=(TRIM(G$4)))*(CkDJ[Account Code]=(TRIM($B23))),CkDJ[Credit])))+(SUM(IF((CsDJ[Date]=$A$3)*(CsDJ[Sort Code]=(TRIM(G$4)))*(CsDJ[Account Code]=(TRIM($B23))),CsDJ[Credit])))+(SUM(IF((CRDJ[Date]=$A$3)*(CRDJ[Sort Code]=(TRIM(G$4)))*(CRDJ[Account Code]=(TRIM($B23))),CRDJ[Credit])))+(SUM(IF((GJ[Date]=$A$3)*(GJ[Sort Code]=(TRIM(G$4)))*(GJ[Account Code]=(TRIM($B23))),GJ[Credit]))))-((SUM(IF((CkDJ[Date]=$A$3)*(CkDJ[Sort Code]=(TRIM(G$4)))*(CkDJ[Account Code]=(TRIM($B23))),CkDJ[Debit])))+(SUM(IF((CsDJ[Date]=$A$3)*(CsDJ[Sort Code]=(TRIM(G$4)))*(CsDJ[Account Code]=(TRIM($B23))),CsDJ[Debit])))+(SUM(IF((CRDJ[Date]=$A$3)*(CRDJ[Sort Code]=(TRIM(G$4)))*(CRDJ[Account Code]=(TRIM($B23))),CRDJ[Debit])))+(SUM(IF((GJ[Date]=$A$3)*(GJ[Sort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2">
        <f t="shared" si="1"/>
        <v>0</v>
      </c>
    </row>
    <row r="24" spans="1:9" x14ac:dyDescent="0.2">
      <c r="A24" s="249" t="s">
        <v>814</v>
      </c>
      <c r="B24" s="338"/>
      <c r="C24" s="250">
        <f>C9+C15+C19</f>
        <v>500000</v>
      </c>
      <c r="D24" s="250">
        <f>D9+D15+D19</f>
        <v>500000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-500000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Code]=B26)*(Budget[Sort Code]=$G$4),(Budget[Amount])))</f>
        <v>0</v>
      </c>
      <c r="D26" s="245">
        <f t="array" ref="D26">SUM(IF((Budget[Account Code]=B26)*(Budget[Sort Code]=$G$4)*(Budget[Date]&lt;=$D$7),(Budget[Amount])))</f>
        <v>0</v>
      </c>
      <c r="E26" s="245">
        <f t="array" ref="E26">((SUM(IF((CkDJ[Sort Code]=(TRIM(G$4)))*(CkDJ[Account Code]=(TRIM($B26)))*(CkDJ[Date]&lt;=$E$7),CkDJ[Credit])))+(SUM(IF((CsDJ[Sort Code]=(TRIM(G$4)))*(CsDJ[Account Code]=(TRIM($B26)))*(CsDJ[Date]&lt;=$E$7),CsDJ[Credit])))+(SUM(IF((CRDJ[Sort Code]=(TRIM(G$4)))*(CRDJ[Account Code]=(TRIM($B26)))*(CRDJ[Date]&lt;=$E$7),CRDJ[Credit])))+(SUM(IF((GJ[Sort Code]=(TRIM(G$4)))*(GJ[Account Code]=(TRIM($B26)))*(GJ[Date]&lt;=$E$7),GJ[Credit]))))-((SUM(IF((CkDJ[Sort Code]=(TRIM(G$4)))*(CkDJ[Account Code]=(TRIM($B26)))*(CkDJ[Date]&lt;=$E$7),CkDJ[Debit])))+(SUM(IF((CsDJ[Sort Code]=(TRIM(G$4)))*(CsDJ[Account Code]=(TRIM($B26)))*(CsDJ[Date]&lt;=$E$7),CsDJ[Debit])))+(SUM(IF((CRDJ[Sort Code]=(TRIM(G$4)))*(CRDJ[Account Code]=(TRIM($B26)))*(CRDJ[Date]&lt;=$E$7),CRDJ[Debit])))+(SUM(IF((GJ[Sort Code]=(TRIM(G$4)))*(GJ[Account Code]=(TRIM($B26)))*(GJ[Date]&lt;=$E$7),GJ[Debit]))))</f>
        <v>0</v>
      </c>
      <c r="F26" s="245">
        <f t="array" ref="F26">((SUM(IF((CkDJ[Date]=$A$3)*(CkDJ[Sort Code]=(TRIM(G$4)))*(CkDJ[Account Code]=(TRIM($B26))),CkDJ[Credit])))+(SUM(IF((CsDJ[Date]=$A$3)*(CsDJ[Sort Code]=(TRIM(G$4)))*(CsDJ[Account Code]=(TRIM($B26))),CsDJ[Credit])))+(SUM(IF((CRDJ[Date]=$A$3)*(CRDJ[Sort Code]=(TRIM(G$4)))*(CRDJ[Account Code]=(TRIM($B26))),CRDJ[Credit])))+(SUM(IF((GJ[Date]=$A$3)*(GJ[Sort Code]=(TRIM(G$4)))*(GJ[Account Code]=(TRIM($B26))),GJ[Credit]))))-((SUM(IF((CkDJ[Date]=$A$3)*(CkDJ[Sort Code]=(TRIM(G$4)))*(CkDJ[Account Code]=(TRIM($B26))),CkDJ[Debit])))+(SUM(IF((CsDJ[Date]=$A$3)*(CsDJ[Sort Code]=(TRIM(G$4)))*(CsDJ[Account Code]=(TRIM($B26))),CsDJ[Debit])))+(SUM(IF((CRDJ[Date]=$A$3)*(CRDJ[Sort Code]=(TRIM(G$4)))*(CRDJ[Account Code]=(TRIM($B26))),CRDJ[Debit])))+(SUM(IF((GJ[Date]=$A$3)*(GJ[Sort Code]=(TRIM(G$4)))*(GJ[Account Code]=(TRIM($B26))),GJ[Debit]))))</f>
        <v>0</v>
      </c>
      <c r="G26" s="343">
        <f>E26+F26</f>
        <v>0</v>
      </c>
      <c r="H26" s="246">
        <f t="shared" ref="H26:H48" si="2">G26-D26</f>
        <v>0</v>
      </c>
      <c r="I26" s="246">
        <f t="shared" ref="I26:I4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Code]=B28)*(Budget[Sort Code]=$G$4),(Budget[Amount])))</f>
        <v>0</v>
      </c>
      <c r="D28" s="245">
        <f t="array" ref="D28">SUM(IF((Budget[Account Code]=B28)*(Budget[Sort Code]=$G$4)*(Budget[Date]&lt;=$D$7),(Budget[Amount])))</f>
        <v>0</v>
      </c>
      <c r="E28" s="245">
        <f t="array" ref="E28">((SUM(IF((CkDJ[Sort Code]=(TRIM(G$4)))*(CkDJ[Account Code]=(TRIM($B28)))*(CkDJ[Date]&lt;=$E$7),CkDJ[Credit])))+(SUM(IF((CsDJ[Sort Code]=(TRIM(G$4)))*(CsDJ[Account Code]=(TRIM($B28)))*(CsDJ[Date]&lt;=$E$7),CsDJ[Credit])))+(SUM(IF((CRDJ[Sort Code]=(TRIM(G$4)))*(CRDJ[Account Code]=(TRIM($B28)))*(CRDJ[Date]&lt;=$E$7),CRDJ[Credit])))+(SUM(IF((GJ[Sort Code]=(TRIM(G$4)))*(GJ[Account Code]=(TRIM($B28)))*(GJ[Date]&lt;=$E$7),GJ[Credit]))))-((SUM(IF((CkDJ[Sort Code]=(TRIM(G$4)))*(CkDJ[Account Code]=(TRIM($B28)))*(CkDJ[Date]&lt;=$E$7),CkDJ[Debit])))+(SUM(IF((CsDJ[Sort Code]=(TRIM(G$4)))*(CsDJ[Account Code]=(TRIM($B28)))*(CsDJ[Date]&lt;=$E$7),CsDJ[Debit])))+(SUM(IF((CRDJ[Sort Code]=(TRIM(G$4)))*(CRDJ[Account Code]=(TRIM($B28)))*(CRDJ[Date]&lt;=$E$7),CRDJ[Debit])))+(SUM(IF((GJ[Sort Code]=(TRIM(G$4)))*(GJ[Account Code]=(TRIM($B28)))*(GJ[Date]&lt;=$E$7),GJ[Debit]))))</f>
        <v>0</v>
      </c>
      <c r="F28" s="245">
        <f t="array" ref="F28">((SUM(IF((CkDJ[Date]=$A$3)*(CkDJ[Sort Code]=(TRIM(G$4)))*(CkDJ[Account Code]=(TRIM($B28))),CkDJ[Credit])))+(SUM(IF((CsDJ[Date]=$A$3)*(CsDJ[Sort Code]=(TRIM(G$4)))*(CsDJ[Account Code]=(TRIM($B28))),CsDJ[Credit])))+(SUM(IF((CRDJ[Date]=$A$3)*(CRDJ[Sort Code]=(TRIM(G$4)))*(CRDJ[Account Code]=(TRIM($B28))),CRDJ[Credit])))+(SUM(IF((GJ[Date]=$A$3)*(GJ[Sort Code]=(TRIM(G$4)))*(GJ[Account Code]=(TRIM($B28))),GJ[Credit]))))-((SUM(IF((CkDJ[Date]=$A$3)*(CkDJ[Sort Code]=(TRIM(G$4)))*(CkDJ[Account Code]=(TRIM($B28))),CkDJ[Debit])))+(SUM(IF((CsDJ[Date]=$A$3)*(CsDJ[Sort Code]=(TRIM(G$4)))*(CsDJ[Account Code]=(TRIM($B28))),CsDJ[Debit])))+(SUM(IF((CRDJ[Date]=$A$3)*(CRDJ[Sort Code]=(TRIM(G$4)))*(CRDJ[Account Code]=(TRIM($B28))),CRDJ[Debit])))+(SUM(IF((GJ[Date]=$A$3)*(GJ[Sort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Code]=B30)*(Budget[Sort Code]=$G$4),(Budget[Amount])))</f>
        <v>0</v>
      </c>
      <c r="D30" s="245">
        <f t="array" ref="D30">SUM(IF((Budget[Account Code]=B30)*(Budget[Sort Code]=$G$4)*(Budget[Date]&lt;=$D$7),(Budget[Amount])))</f>
        <v>0</v>
      </c>
      <c r="E30" s="245">
        <f t="array" ref="E30">((SUM(IF((CkDJ[Sort Code]=(TRIM(G$4)))*(CkDJ[Account Code]=(TRIM($B30)))*(CkDJ[Date]&lt;=$E$7),CkDJ[Credit])))+(SUM(IF((CsDJ[Sort Code]=(TRIM(G$4)))*(CsDJ[Account Code]=(TRIM($B30)))*(CsDJ[Date]&lt;=$E$7),CsDJ[Credit])))+(SUM(IF((CRDJ[Sort Code]=(TRIM(G$4)))*(CRDJ[Account Code]=(TRIM($B30)))*(CRDJ[Date]&lt;=$E$7),CRDJ[Credit])))+(SUM(IF((GJ[Sort Code]=(TRIM(G$4)))*(GJ[Account Code]=(TRIM($B30)))*(GJ[Date]&lt;=$E$7),GJ[Credit]))))-((SUM(IF((CkDJ[Sort Code]=(TRIM(G$4)))*(CkDJ[Account Code]=(TRIM($B30)))*(CkDJ[Date]&lt;=$E$7),CkDJ[Debit])))+(SUM(IF((CsDJ[Sort Code]=(TRIM(G$4)))*(CsDJ[Account Code]=(TRIM($B30)))*(CsDJ[Date]&lt;=$E$7),CsDJ[Debit])))+(SUM(IF((CRDJ[Sort Code]=(TRIM(G$4)))*(CRDJ[Account Code]=(TRIM($B30)))*(CRDJ[Date]&lt;=$E$7),CRDJ[Debit])))+(SUM(IF((GJ[Sort Code]=(TRIM(G$4)))*(GJ[Account Code]=(TRIM($B30)))*(GJ[Date]&lt;=$E$7),GJ[Debit]))))</f>
        <v>0</v>
      </c>
      <c r="F30" s="245">
        <f t="array" ref="F30">((SUM(IF((CkDJ[Date]=$A$3)*(CkDJ[Sort Code]=(TRIM(G$4)))*(CkDJ[Account Code]=(TRIM($B30))),CkDJ[Credit])))+(SUM(IF((CsDJ[Date]=$A$3)*(CsDJ[Sort Code]=(TRIM(G$4)))*(CsDJ[Account Code]=(TRIM($B30))),CsDJ[Credit])))+(SUM(IF((CRDJ[Date]=$A$3)*(CRDJ[Sort Code]=(TRIM(G$4)))*(CRDJ[Account Code]=(TRIM($B30))),CRDJ[Credit])))+(SUM(IF((GJ[Date]=$A$3)*(GJ[Sort Code]=(TRIM(G$4)))*(GJ[Account Code]=(TRIM($B30))),GJ[Credit]))))-((SUM(IF((CkDJ[Date]=$A$3)*(CkDJ[Sort Code]=(TRIM(G$4)))*(CkDJ[Account Code]=(TRIM($B30))),CkDJ[Debit])))+(SUM(IF((CsDJ[Date]=$A$3)*(CsDJ[Sort Code]=(TRIM(G$4)))*(CsDJ[Account Code]=(TRIM($B30))),CsDJ[Debit])))+(SUM(IF((CRDJ[Date]=$A$3)*(CRDJ[Sort Code]=(TRIM(G$4)))*(CRDJ[Account Code]=(TRIM($B30))),CRDJ[Debit])))+(SUM(IF((GJ[Date]=$A$3)*(GJ[Sort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Code]=B31)*(Budget[Sort Code]=$G$4),(Budget[Amount])))</f>
        <v>0</v>
      </c>
      <c r="D31" s="245">
        <f t="array" ref="D31">SUM(IF((Budget[Account Code]=B31)*(Budget[Sort Code]=$G$4)*(Budget[Date]&lt;=$D$7),(Budget[Amount])))</f>
        <v>0</v>
      </c>
      <c r="E31" s="245">
        <f t="array" ref="E31">((SUM(IF((CkDJ[Sort Code]=(TRIM(G$4)))*(CkDJ[Account Code]=(TRIM($B31)))*(CkDJ[Date]&lt;=$E$7),CkDJ[Credit])))+(SUM(IF((CsDJ[Sort Code]=(TRIM(G$4)))*(CsDJ[Account Code]=(TRIM($B31)))*(CsDJ[Date]&lt;=$E$7),CsDJ[Credit])))+(SUM(IF((CRDJ[Sort Code]=(TRIM(G$4)))*(CRDJ[Account Code]=(TRIM($B31)))*(CRDJ[Date]&lt;=$E$7),CRDJ[Credit])))+(SUM(IF((GJ[Sort Code]=(TRIM(G$4)))*(GJ[Account Code]=(TRIM($B31)))*(GJ[Date]&lt;=$E$7),GJ[Credit]))))-((SUM(IF((CkDJ[Sort Code]=(TRIM(G$4)))*(CkDJ[Account Code]=(TRIM($B31)))*(CkDJ[Date]&lt;=$E$7),CkDJ[Debit])))+(SUM(IF((CsDJ[Sort Code]=(TRIM(G$4)))*(CsDJ[Account Code]=(TRIM($B31)))*(CsDJ[Date]&lt;=$E$7),CsDJ[Debit])))+(SUM(IF((CRDJ[Sort Code]=(TRIM(G$4)))*(CRDJ[Account Code]=(TRIM($B31)))*(CRDJ[Date]&lt;=$E$7),CRDJ[Debit])))+(SUM(IF((GJ[Sort Code]=(TRIM(G$4)))*(GJ[Account Code]=(TRIM($B31)))*(GJ[Date]&lt;=$E$7),GJ[Debit]))))</f>
        <v>0</v>
      </c>
      <c r="F31" s="245">
        <f t="array" ref="F31">((SUM(IF((CkDJ[Date]=$A$3)*(CkDJ[Sort Code]=(TRIM(G$4)))*(CkDJ[Account Code]=(TRIM($B31))),CkDJ[Credit])))+(SUM(IF((CsDJ[Date]=$A$3)*(CsDJ[Sort Code]=(TRIM(G$4)))*(CsDJ[Account Code]=(TRIM($B31))),CsDJ[Credit])))+(SUM(IF((CRDJ[Date]=$A$3)*(CRDJ[Sort Code]=(TRIM(G$4)))*(CRDJ[Account Code]=(TRIM($B31))),CRDJ[Credit])))+(SUM(IF((GJ[Date]=$A$3)*(GJ[Sort Code]=(TRIM(G$4)))*(GJ[Account Code]=(TRIM($B31))),GJ[Credit]))))-((SUM(IF((CkDJ[Date]=$A$3)*(CkDJ[Sort Code]=(TRIM(G$4)))*(CkDJ[Account Code]=(TRIM($B31))),CkDJ[Debit])))+(SUM(IF((CsDJ[Date]=$A$3)*(CsDJ[Sort Code]=(TRIM(G$4)))*(CsDJ[Account Code]=(TRIM($B31))),CsDJ[Debit])))+(SUM(IF((CRDJ[Date]=$A$3)*(CRDJ[Sort Code]=(TRIM(G$4)))*(CRDJ[Account Code]=(TRIM($B31))),CRDJ[Debit])))+(SUM(IF((GJ[Date]=$A$3)*(GJ[Sort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Code]=B33)*(Budget[Sort Code]=$G$4),(Budget[Amount])))</f>
        <v>0</v>
      </c>
      <c r="D33" s="245">
        <f t="array" ref="D33">SUM(IF((Budget[Account Code]=B33)*(Budget[Sort Code]=$G$4)*(Budget[Date]&lt;=$D$7),(Budget[Amount])))</f>
        <v>0</v>
      </c>
      <c r="E33" s="245">
        <f t="array" ref="E33">((SUM(IF((CkDJ[Sort Code]=(TRIM(G$4)))*(CkDJ[Account Code]=(TRIM($B33)))*(CkDJ[Date]&lt;=$E$7),CkDJ[Credit])))+(SUM(IF((CsDJ[Sort Code]=(TRIM(G$4)))*(CsDJ[Account Code]=(TRIM($B33)))*(CsDJ[Date]&lt;=$E$7),CsDJ[Credit])))+(SUM(IF((CRDJ[Sort Code]=(TRIM(G$4)))*(CRDJ[Account Code]=(TRIM($B33)))*(CRDJ[Date]&lt;=$E$7),CRDJ[Credit])))+(SUM(IF((GJ[Sort Code]=(TRIM(G$4)))*(GJ[Account Code]=(TRIM($B33)))*(GJ[Date]&lt;=$E$7),GJ[Credit]))))-((SUM(IF((CkDJ[Sort Code]=(TRIM(G$4)))*(CkDJ[Account Code]=(TRIM($B33)))*(CkDJ[Date]&lt;=$E$7),CkDJ[Debit])))+(SUM(IF((CsDJ[Sort Code]=(TRIM(G$4)))*(CsDJ[Account Code]=(TRIM($B33)))*(CsDJ[Date]&lt;=$E$7),CsDJ[Debit])))+(SUM(IF((CRDJ[Sort Code]=(TRIM(G$4)))*(CRDJ[Account Code]=(TRIM($B33)))*(CRDJ[Date]&lt;=$E$7),CRDJ[Debit])))+(SUM(IF((GJ[Sort Code]=(TRIM(G$4)))*(GJ[Account Code]=(TRIM($B33)))*(GJ[Date]&lt;=$E$7),GJ[Debit]))))</f>
        <v>0</v>
      </c>
      <c r="F33" s="245">
        <f t="array" ref="F33">((SUM(IF((CkDJ[Date]=$A$3)*(CkDJ[Sort Code]=(TRIM(G$4)))*(CkDJ[Account Code]=(TRIM($B33))),CkDJ[Credit])))+(SUM(IF((CsDJ[Date]=$A$3)*(CsDJ[Sort Code]=(TRIM(G$4)))*(CsDJ[Account Code]=(TRIM($B33))),CsDJ[Credit])))+(SUM(IF((CRDJ[Date]=$A$3)*(CRDJ[Sort Code]=(TRIM(G$4)))*(CRDJ[Account Code]=(TRIM($B33))),CRDJ[Credit])))+(SUM(IF((GJ[Date]=$A$3)*(GJ[Sort Code]=(TRIM(G$4)))*(GJ[Account Code]=(TRIM($B33))),GJ[Credit]))))-((SUM(IF((CkDJ[Date]=$A$3)*(CkDJ[Sort Code]=(TRIM(G$4)))*(CkDJ[Account Code]=(TRIM($B33))),CkDJ[Debit])))+(SUM(IF((CsDJ[Date]=$A$3)*(CsDJ[Sort Code]=(TRIM(G$4)))*(CsDJ[Account Code]=(TRIM($B33))),CsDJ[Debit])))+(SUM(IF((CRDJ[Date]=$A$3)*(CRDJ[Sort Code]=(TRIM(G$4)))*(CRDJ[Account Code]=(TRIM($B33))),CRDJ[Debit])))+(SUM(IF((GJ[Date]=$A$3)*(GJ[Sort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Code]=B34)*(Budget[Sort Code]=$G$4),(Budget[Amount])))</f>
        <v>0</v>
      </c>
      <c r="D34" s="245">
        <f t="array" ref="D34">SUM(IF((Budget[Account Code]=B34)*(Budget[Sort Code]=$G$4)*(Budget[Date]&lt;=$D$7),(Budget[Amount])))</f>
        <v>0</v>
      </c>
      <c r="E34" s="245">
        <f t="array" ref="E34">((SUM(IF((CkDJ[Sort Code]=(TRIM(G$4)))*(CkDJ[Account Code]=(TRIM($B34)))*(CkDJ[Date]&lt;=$E$7),CkDJ[Credit])))+(SUM(IF((CsDJ[Sort Code]=(TRIM(G$4)))*(CsDJ[Account Code]=(TRIM($B34)))*(CsDJ[Date]&lt;=$E$7),CsDJ[Credit])))+(SUM(IF((CRDJ[Sort Code]=(TRIM(G$4)))*(CRDJ[Account Code]=(TRIM($B34)))*(CRDJ[Date]&lt;=$E$7),CRDJ[Credit])))+(SUM(IF((GJ[Sort Code]=(TRIM(G$4)))*(GJ[Account Code]=(TRIM($B34)))*(GJ[Date]&lt;=$E$7),GJ[Credit]))))-((SUM(IF((CkDJ[Sort Code]=(TRIM(G$4)))*(CkDJ[Account Code]=(TRIM($B34)))*(CkDJ[Date]&lt;=$E$7),CkDJ[Debit])))+(SUM(IF((CsDJ[Sort Code]=(TRIM(G$4)))*(CsDJ[Account Code]=(TRIM($B34)))*(CsDJ[Date]&lt;=$E$7),CsDJ[Debit])))+(SUM(IF((CRDJ[Sort Code]=(TRIM(G$4)))*(CRDJ[Account Code]=(TRIM($B34)))*(CRDJ[Date]&lt;=$E$7),CRDJ[Debit])))+(SUM(IF((GJ[Sort Code]=(TRIM(G$4)))*(GJ[Account Code]=(TRIM($B34)))*(GJ[Date]&lt;=$E$7),GJ[Debit]))))</f>
        <v>0</v>
      </c>
      <c r="F34" s="245">
        <f t="array" ref="F34">((SUM(IF((CkDJ[Date]=$A$3)*(CkDJ[Sort Code]=(TRIM(G$4)))*(CkDJ[Account Code]=(TRIM($B34))),CkDJ[Credit])))+(SUM(IF((CsDJ[Date]=$A$3)*(CsDJ[Sort Code]=(TRIM(G$4)))*(CsDJ[Account Code]=(TRIM($B34))),CsDJ[Credit])))+(SUM(IF((CRDJ[Date]=$A$3)*(CRDJ[Sort Code]=(TRIM(G$4)))*(CRDJ[Account Code]=(TRIM($B34))),CRDJ[Credit])))+(SUM(IF((GJ[Date]=$A$3)*(GJ[Sort Code]=(TRIM(G$4)))*(GJ[Account Code]=(TRIM($B34))),GJ[Credit]))))-((SUM(IF((CkDJ[Date]=$A$3)*(CkDJ[Sort Code]=(TRIM(G$4)))*(CkDJ[Account Code]=(TRIM($B34))),CkDJ[Debit])))+(SUM(IF((CsDJ[Date]=$A$3)*(CsDJ[Sort Code]=(TRIM(G$4)))*(CsDJ[Account Code]=(TRIM($B34))),CsDJ[Debit])))+(SUM(IF((CRDJ[Date]=$A$3)*(CRDJ[Sort Code]=(TRIM(G$4)))*(CRDJ[Account Code]=(TRIM($B34))),CRDJ[Debit])))+(SUM(IF((GJ[Date]=$A$3)*(GJ[Sort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Code]=B35)*(Budget[Sort Code]=$G$4),(Budget[Amount])))</f>
        <v>0</v>
      </c>
      <c r="D35" s="245">
        <f t="array" ref="D35">SUM(IF((Budget[Account Code]=B35)*(Budget[Sort Code]=$G$4)*(Budget[Date]&lt;=$D$7),(Budget[Amount])))</f>
        <v>0</v>
      </c>
      <c r="E35" s="245">
        <f t="array" ref="E35">((SUM(IF((CkDJ[Sort Code]=(TRIM(G$4)))*(CkDJ[Account Code]=(TRIM($B35)))*(CkDJ[Date]&lt;=$E$7),CkDJ[Credit])))+(SUM(IF((CsDJ[Sort Code]=(TRIM(G$4)))*(CsDJ[Account Code]=(TRIM($B35)))*(CsDJ[Date]&lt;=$E$7),CsDJ[Credit])))+(SUM(IF((CRDJ[Sort Code]=(TRIM(G$4)))*(CRDJ[Account Code]=(TRIM($B35)))*(CRDJ[Date]&lt;=$E$7),CRDJ[Credit])))+(SUM(IF((GJ[Sort Code]=(TRIM(G$4)))*(GJ[Account Code]=(TRIM($B35)))*(GJ[Date]&lt;=$E$7),GJ[Credit]))))-((SUM(IF((CkDJ[Sort Code]=(TRIM(G$4)))*(CkDJ[Account Code]=(TRIM($B35)))*(CkDJ[Date]&lt;=$E$7),CkDJ[Debit])))+(SUM(IF((CsDJ[Sort Code]=(TRIM(G$4)))*(CsDJ[Account Code]=(TRIM($B35)))*(CsDJ[Date]&lt;=$E$7),CsDJ[Debit])))+(SUM(IF((CRDJ[Sort Code]=(TRIM(G$4)))*(CRDJ[Account Code]=(TRIM($B35)))*(CRDJ[Date]&lt;=$E$7),CRDJ[Debit])))+(SUM(IF((GJ[Sort Code]=(TRIM(G$4)))*(GJ[Account Code]=(TRIM($B35)))*(GJ[Date]&lt;=$E$7),GJ[Debit]))))</f>
        <v>0</v>
      </c>
      <c r="F35" s="245">
        <f t="array" ref="F35">((SUM(IF((CkDJ[Date]=$A$3)*(CkDJ[Sort Code]=(TRIM(G$4)))*(CkDJ[Account Code]=(TRIM($B35))),CkDJ[Credit])))+(SUM(IF((CsDJ[Date]=$A$3)*(CsDJ[Sort Code]=(TRIM(G$4)))*(CsDJ[Account Code]=(TRIM($B35))),CsDJ[Credit])))+(SUM(IF((CRDJ[Date]=$A$3)*(CRDJ[Sort Code]=(TRIM(G$4)))*(CRDJ[Account Code]=(TRIM($B35))),CRDJ[Credit])))+(SUM(IF((GJ[Date]=$A$3)*(GJ[Sort Code]=(TRIM(G$4)))*(GJ[Account Code]=(TRIM($B35))),GJ[Credit]))))-((SUM(IF((CkDJ[Date]=$A$3)*(CkDJ[Sort Code]=(TRIM(G$4)))*(CkDJ[Account Code]=(TRIM($B35))),CkDJ[Debit])))+(SUM(IF((CsDJ[Date]=$A$3)*(CsDJ[Sort Code]=(TRIM(G$4)))*(CsDJ[Account Code]=(TRIM($B35))),CsDJ[Debit])))+(SUM(IF((CRDJ[Date]=$A$3)*(CRDJ[Sort Code]=(TRIM(G$4)))*(CRDJ[Account Code]=(TRIM($B35))),CRDJ[Debit])))+(SUM(IF((GJ[Date]=$A$3)*(GJ[Sort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826000</v>
      </c>
      <c r="D36" s="248">
        <f>SUM(D37:D45)</f>
        <v>826000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-826000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Code]=B37)*(Budget[Sort Code]=$G$4),(Budget[Amount])))</f>
        <v>0</v>
      </c>
      <c r="D37" s="245">
        <f t="array" ref="D37">SUM(IF((Budget[Account Code]=B37)*(Budget[Sort Code]=$G$4)*(Budget[Date]&lt;=$D$7),(Budget[Amount])))</f>
        <v>0</v>
      </c>
      <c r="E37" s="245">
        <f t="array" ref="E37">((SUM(IF((CkDJ[Sort Code]=(TRIM(G$4)))*(CkDJ[Account Code]=(TRIM($B37)))*(CkDJ[Date]&lt;=$E$7),CkDJ[Credit])))+(SUM(IF((CsDJ[Sort Code]=(TRIM(G$4)))*(CsDJ[Account Code]=(TRIM($B37)))*(CsDJ[Date]&lt;=$E$7),CsDJ[Credit])))+(SUM(IF((CRDJ[Sort Code]=(TRIM(G$4)))*(CRDJ[Account Code]=(TRIM($B37)))*(CRDJ[Date]&lt;=$E$7),CRDJ[Credit])))+(SUM(IF((GJ[Sort Code]=(TRIM(G$4)))*(GJ[Account Code]=(TRIM($B37)))*(GJ[Date]&lt;=$E$7),GJ[Credit]))))-((SUM(IF((CkDJ[Sort Code]=(TRIM(G$4)))*(CkDJ[Account Code]=(TRIM($B37)))*(CkDJ[Date]&lt;=$E$7),CkDJ[Debit])))+(SUM(IF((CsDJ[Sort Code]=(TRIM(G$4)))*(CsDJ[Account Code]=(TRIM($B37)))*(CsDJ[Date]&lt;=$E$7),CsDJ[Debit])))+(SUM(IF((CRDJ[Sort Code]=(TRIM(G$4)))*(CRDJ[Account Code]=(TRIM($B37)))*(CRDJ[Date]&lt;=$E$7),CRDJ[Debit])))+(SUM(IF((GJ[Sort Code]=(TRIM(G$4)))*(GJ[Account Code]=(TRIM($B37)))*(GJ[Date]&lt;=$E$7),GJ[Debit]))))</f>
        <v>0</v>
      </c>
      <c r="F37" s="245">
        <f t="array" ref="F37">((SUM(IF((CkDJ[Date]=$A$3)*(CkDJ[Sort Code]=(TRIM(G$4)))*(CkDJ[Account Code]=(TRIM($B37))),CkDJ[Credit])))+(SUM(IF((CsDJ[Date]=$A$3)*(CsDJ[Sort Code]=(TRIM(G$4)))*(CsDJ[Account Code]=(TRIM($B37))),CsDJ[Credit])))+(SUM(IF((CRDJ[Date]=$A$3)*(CRDJ[Sort Code]=(TRIM(G$4)))*(CRDJ[Account Code]=(TRIM($B37))),CRDJ[Credit])))+(SUM(IF((GJ[Date]=$A$3)*(GJ[Sort Code]=(TRIM(G$4)))*(GJ[Account Code]=(TRIM($B37))),GJ[Credit]))))-((SUM(IF((CkDJ[Date]=$A$3)*(CkDJ[Sort Code]=(TRIM(G$4)))*(CkDJ[Account Code]=(TRIM($B37))),CkDJ[Debit])))+(SUM(IF((CsDJ[Date]=$A$3)*(CsDJ[Sort Code]=(TRIM(G$4)))*(CsDJ[Account Code]=(TRIM($B37))),CsDJ[Debit])))+(SUM(IF((CRDJ[Date]=$A$3)*(CRDJ[Sort Code]=(TRIM(G$4)))*(CRDJ[Account Code]=(TRIM($B37))),CRDJ[Debit])))+(SUM(IF((GJ[Date]=$A$3)*(GJ[Sort Code]=(TRIM(G$4)))*(GJ[Account Code]=(TRIM($B37))),GJ[Debit]))))</f>
        <v>0</v>
      </c>
      <c r="G37" s="343">
        <f t="shared" ref="G37:G45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Code]=B38)*(Budget[Sort Code]=$G$4),(Budget[Amount])))</f>
        <v>0</v>
      </c>
      <c r="D38" s="245">
        <f t="array" ref="D38">SUM(IF((Budget[Account Code]=B38)*(Budget[Sort Code]=$G$4)*(Budget[Date]&lt;=$D$7),(Budget[Amount])))</f>
        <v>0</v>
      </c>
      <c r="E38" s="245">
        <f t="array" ref="E38">((SUM(IF((CkDJ[Sort Code]=(TRIM(G$4)))*(CkDJ[Account Code]=(TRIM($B38)))*(CkDJ[Date]&lt;=$E$7),CkDJ[Credit])))+(SUM(IF((CsDJ[Sort Code]=(TRIM(G$4)))*(CsDJ[Account Code]=(TRIM($B38)))*(CsDJ[Date]&lt;=$E$7),CsDJ[Credit])))+(SUM(IF((CRDJ[Sort Code]=(TRIM(G$4)))*(CRDJ[Account Code]=(TRIM($B38)))*(CRDJ[Date]&lt;=$E$7),CRDJ[Credit])))+(SUM(IF((GJ[Sort Code]=(TRIM(G$4)))*(GJ[Account Code]=(TRIM($B38)))*(GJ[Date]&lt;=$E$7),GJ[Credit]))))-((SUM(IF((CkDJ[Sort Code]=(TRIM(G$4)))*(CkDJ[Account Code]=(TRIM($B38)))*(CkDJ[Date]&lt;=$E$7),CkDJ[Debit])))+(SUM(IF((CsDJ[Sort Code]=(TRIM(G$4)))*(CsDJ[Account Code]=(TRIM($B38)))*(CsDJ[Date]&lt;=$E$7),CsDJ[Debit])))+(SUM(IF((CRDJ[Sort Code]=(TRIM(G$4)))*(CRDJ[Account Code]=(TRIM($B38)))*(CRDJ[Date]&lt;=$E$7),CRDJ[Debit])))+(SUM(IF((GJ[Sort Code]=(TRIM(G$4)))*(GJ[Account Code]=(TRIM($B38)))*(GJ[Date]&lt;=$E$7),GJ[Debit]))))</f>
        <v>0</v>
      </c>
      <c r="F38" s="245">
        <f t="array" ref="F38">((SUM(IF((CkDJ[Date]=$A$3)*(CkDJ[Sort Code]=(TRIM(G$4)))*(CkDJ[Account Code]=(TRIM($B38))),CkDJ[Credit])))+(SUM(IF((CsDJ[Date]=$A$3)*(CsDJ[Sort Code]=(TRIM(G$4)))*(CsDJ[Account Code]=(TRIM($B38))),CsDJ[Credit])))+(SUM(IF((CRDJ[Date]=$A$3)*(CRDJ[Sort Code]=(TRIM(G$4)))*(CRDJ[Account Code]=(TRIM($B38))),CRDJ[Credit])))+(SUM(IF((GJ[Date]=$A$3)*(GJ[Sort Code]=(TRIM(G$4)))*(GJ[Account Code]=(TRIM($B38))),GJ[Credit]))))-((SUM(IF((CkDJ[Date]=$A$3)*(CkDJ[Sort Code]=(TRIM(G$4)))*(CkDJ[Account Code]=(TRIM($B38))),CkDJ[Debit])))+(SUM(IF((CsDJ[Date]=$A$3)*(CsDJ[Sort Code]=(TRIM(G$4)))*(CsDJ[Account Code]=(TRIM($B38))),CsDJ[Debit])))+(SUM(IF((CRDJ[Date]=$A$3)*(CRDJ[Sort Code]=(TRIM(G$4)))*(CRDJ[Account Code]=(TRIM($B38))),CRDJ[Debit])))+(SUM(IF((GJ[Date]=$A$3)*(GJ[Sort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Code]=B39)*(Budget[Sort Code]=$G$4),(Budget[Amount])))</f>
        <v>0</v>
      </c>
      <c r="D39" s="245">
        <f t="array" ref="D39">SUM(IF((Budget[Account Code]=B39)*(Budget[Sort Code]=$G$4)*(Budget[Date]&lt;=$D$7),(Budget[Amount])))</f>
        <v>0</v>
      </c>
      <c r="E39" s="245">
        <f t="array" ref="E39">((SUM(IF((CkDJ[Sort Code]=(TRIM(G$4)))*(CkDJ[Account Code]=(TRIM($B39)))*(CkDJ[Date]&lt;=$E$7),CkDJ[Credit])))+(SUM(IF((CsDJ[Sort Code]=(TRIM(G$4)))*(CsDJ[Account Code]=(TRIM($B39)))*(CsDJ[Date]&lt;=$E$7),CsDJ[Credit])))+(SUM(IF((CRDJ[Sort Code]=(TRIM(G$4)))*(CRDJ[Account Code]=(TRIM($B39)))*(CRDJ[Date]&lt;=$E$7),CRDJ[Credit])))+(SUM(IF((GJ[Sort Code]=(TRIM(G$4)))*(GJ[Account Code]=(TRIM($B39)))*(GJ[Date]&lt;=$E$7),GJ[Credit]))))-((SUM(IF((CkDJ[Sort Code]=(TRIM(G$4)))*(CkDJ[Account Code]=(TRIM($B39)))*(CkDJ[Date]&lt;=$E$7),CkDJ[Debit])))+(SUM(IF((CsDJ[Sort Code]=(TRIM(G$4)))*(CsDJ[Account Code]=(TRIM($B39)))*(CsDJ[Date]&lt;=$E$7),CsDJ[Debit])))+(SUM(IF((CRDJ[Sort Code]=(TRIM(G$4)))*(CRDJ[Account Code]=(TRIM($B39)))*(CRDJ[Date]&lt;=$E$7),CRDJ[Debit])))+(SUM(IF((GJ[Sort Code]=(TRIM(G$4)))*(GJ[Account Code]=(TRIM($B39)))*(GJ[Date]&lt;=$E$7),GJ[Debit]))))</f>
        <v>0</v>
      </c>
      <c r="F39" s="245">
        <f t="array" ref="F39">((SUM(IF((CkDJ[Date]=$A$3)*(CkDJ[Sort Code]=(TRIM(G$4)))*(CkDJ[Account Code]=(TRIM($B39))),CkDJ[Credit])))+(SUM(IF((CsDJ[Date]=$A$3)*(CsDJ[Sort Code]=(TRIM(G$4)))*(CsDJ[Account Code]=(TRIM($B39))),CsDJ[Credit])))+(SUM(IF((CRDJ[Date]=$A$3)*(CRDJ[Sort Code]=(TRIM(G$4)))*(CRDJ[Account Code]=(TRIM($B39))),CRDJ[Credit])))+(SUM(IF((GJ[Date]=$A$3)*(GJ[Sort Code]=(TRIM(G$4)))*(GJ[Account Code]=(TRIM($B39))),GJ[Credit]))))-((SUM(IF((CkDJ[Date]=$A$3)*(CkDJ[Sort Code]=(TRIM(G$4)))*(CkDJ[Account Code]=(TRIM($B39))),CkDJ[Debit])))+(SUM(IF((CsDJ[Date]=$A$3)*(CsDJ[Sort Code]=(TRIM(G$4)))*(CsDJ[Account Code]=(TRIM($B39))),CsDJ[Debit])))+(SUM(IF((CRDJ[Date]=$A$3)*(CRDJ[Sort Code]=(TRIM(G$4)))*(CRDJ[Account Code]=(TRIM($B39))),CRDJ[Debit])))+(SUM(IF((GJ[Date]=$A$3)*(GJ[Sort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Code]=B40)*(Budget[Sort Code]=$G$4),(Budget[Amount])))</f>
        <v>0</v>
      </c>
      <c r="D40" s="245">
        <f t="array" ref="D40">SUM(IF((Budget[Account Code]=B40)*(Budget[Sort Code]=$G$4)*(Budget[Date]&lt;=$D$7),(Budget[Amount])))</f>
        <v>0</v>
      </c>
      <c r="E40" s="245">
        <f t="array" ref="E40">((SUM(IF((CkDJ[Sort Code]=(TRIM(G$4)))*(CkDJ[Account Code]=(TRIM($B40)))*(CkDJ[Date]&lt;=$E$7),CkDJ[Credit])))+(SUM(IF((CsDJ[Sort Code]=(TRIM(G$4)))*(CsDJ[Account Code]=(TRIM($B40)))*(CsDJ[Date]&lt;=$E$7),CsDJ[Credit])))+(SUM(IF((CRDJ[Sort Code]=(TRIM(G$4)))*(CRDJ[Account Code]=(TRIM($B40)))*(CRDJ[Date]&lt;=$E$7),CRDJ[Credit])))+(SUM(IF((GJ[Sort Code]=(TRIM(G$4)))*(GJ[Account Code]=(TRIM($B40)))*(GJ[Date]&lt;=$E$7),GJ[Credit]))))-((SUM(IF((CkDJ[Sort Code]=(TRIM(G$4)))*(CkDJ[Account Code]=(TRIM($B40)))*(CkDJ[Date]&lt;=$E$7),CkDJ[Debit])))+(SUM(IF((CsDJ[Sort Code]=(TRIM(G$4)))*(CsDJ[Account Code]=(TRIM($B40)))*(CsDJ[Date]&lt;=$E$7),CsDJ[Debit])))+(SUM(IF((CRDJ[Sort Code]=(TRIM(G$4)))*(CRDJ[Account Code]=(TRIM($B40)))*(CRDJ[Date]&lt;=$E$7),CRDJ[Debit])))+(SUM(IF((GJ[Sort Code]=(TRIM(G$4)))*(GJ[Account Code]=(TRIM($B40)))*(GJ[Date]&lt;=$E$7),GJ[Debit]))))</f>
        <v>0</v>
      </c>
      <c r="F40" s="245">
        <f t="array" ref="F40">((SUM(IF((CkDJ[Date]=$A$3)*(CkDJ[Sort Code]=(TRIM(G$4)))*(CkDJ[Account Code]=(TRIM($B40))),CkDJ[Credit])))+(SUM(IF((CsDJ[Date]=$A$3)*(CsDJ[Sort Code]=(TRIM(G$4)))*(CsDJ[Account Code]=(TRIM($B40))),CsDJ[Credit])))+(SUM(IF((CRDJ[Date]=$A$3)*(CRDJ[Sort Code]=(TRIM(G$4)))*(CRDJ[Account Code]=(TRIM($B40))),CRDJ[Credit])))+(SUM(IF((GJ[Date]=$A$3)*(GJ[Sort Code]=(TRIM(G$4)))*(GJ[Account Code]=(TRIM($B40))),GJ[Credit]))))-((SUM(IF((CkDJ[Date]=$A$3)*(CkDJ[Sort Code]=(TRIM(G$4)))*(CkDJ[Account Code]=(TRIM($B40))),CkDJ[Debit])))+(SUM(IF((CsDJ[Date]=$A$3)*(CsDJ[Sort Code]=(TRIM(G$4)))*(CsDJ[Account Code]=(TRIM($B40))),CsDJ[Debit])))+(SUM(IF((CRDJ[Date]=$A$3)*(CRDJ[Sort Code]=(TRIM(G$4)))*(CRDJ[Account Code]=(TRIM($B40))),CRDJ[Debit])))+(SUM(IF((GJ[Date]=$A$3)*(GJ[Sort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Code]=B41)*(Budget[Sort Code]=$G$4),(Budget[Amount])))</f>
        <v>0</v>
      </c>
      <c r="D41" s="245">
        <f t="array" ref="D41">SUM(IF((Budget[Account Code]=B41)*(Budget[Sort Code]=$G$4)*(Budget[Date]&lt;=$D$7),(Budget[Amount])))</f>
        <v>0</v>
      </c>
      <c r="E41" s="245">
        <f t="array" ref="E41">((SUM(IF((CkDJ[Sort Code]=(TRIM(G$4)))*(CkDJ[Account Code]=(TRIM($B41)))*(CkDJ[Date]&lt;=$E$7),CkDJ[Credit])))+(SUM(IF((CsDJ[Sort Code]=(TRIM(G$4)))*(CsDJ[Account Code]=(TRIM($B41)))*(CsDJ[Date]&lt;=$E$7),CsDJ[Credit])))+(SUM(IF((CRDJ[Sort Code]=(TRIM(G$4)))*(CRDJ[Account Code]=(TRIM($B41)))*(CRDJ[Date]&lt;=$E$7),CRDJ[Credit])))+(SUM(IF((GJ[Sort Code]=(TRIM(G$4)))*(GJ[Account Code]=(TRIM($B41)))*(GJ[Date]&lt;=$E$7),GJ[Credit]))))-((SUM(IF((CkDJ[Sort Code]=(TRIM(G$4)))*(CkDJ[Account Code]=(TRIM($B41)))*(CkDJ[Date]&lt;=$E$7),CkDJ[Debit])))+(SUM(IF((CsDJ[Sort Code]=(TRIM(G$4)))*(CsDJ[Account Code]=(TRIM($B41)))*(CsDJ[Date]&lt;=$E$7),CsDJ[Debit])))+(SUM(IF((CRDJ[Sort Code]=(TRIM(G$4)))*(CRDJ[Account Code]=(TRIM($B41)))*(CRDJ[Date]&lt;=$E$7),CRDJ[Debit])))+(SUM(IF((GJ[Sort Code]=(TRIM(G$4)))*(GJ[Account Code]=(TRIM($B41)))*(GJ[Date]&lt;=$E$7),GJ[Debit]))))</f>
        <v>0</v>
      </c>
      <c r="F41" s="245">
        <f t="array" ref="F41">((SUM(IF((CkDJ[Date]=$A$3)*(CkDJ[Sort Code]=(TRIM(G$4)))*(CkDJ[Account Code]=(TRIM($B41))),CkDJ[Credit])))+(SUM(IF((CsDJ[Date]=$A$3)*(CsDJ[Sort Code]=(TRIM(G$4)))*(CsDJ[Account Code]=(TRIM($B41))),CsDJ[Credit])))+(SUM(IF((CRDJ[Date]=$A$3)*(CRDJ[Sort Code]=(TRIM(G$4)))*(CRDJ[Account Code]=(TRIM($B41))),CRDJ[Credit])))+(SUM(IF((GJ[Date]=$A$3)*(GJ[Sort Code]=(TRIM(G$4)))*(GJ[Account Code]=(TRIM($B41))),GJ[Credit]))))-((SUM(IF((CkDJ[Date]=$A$3)*(CkDJ[Sort Code]=(TRIM(G$4)))*(CkDJ[Account Code]=(TRIM($B41))),CkDJ[Debit])))+(SUM(IF((CsDJ[Date]=$A$3)*(CsDJ[Sort Code]=(TRIM(G$4)))*(CsDJ[Account Code]=(TRIM($B41))),CsDJ[Debit])))+(SUM(IF((CRDJ[Date]=$A$3)*(CRDJ[Sort Code]=(TRIM(G$4)))*(CRDJ[Account Code]=(TRIM($B41))),CRDJ[Debit])))+(SUM(IF((GJ[Date]=$A$3)*(GJ[Sort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Code]=B42)*(Budget[Sort Code]=$G$4),(Budget[Amount])))</f>
        <v>0</v>
      </c>
      <c r="D42" s="245">
        <f t="array" ref="D42">SUM(IF((Budget[Account Code]=B42)*(Budget[Sort Code]=$G$4)*(Budget[Date]&lt;=$D$7),(Budget[Amount])))</f>
        <v>0</v>
      </c>
      <c r="E42" s="245">
        <f t="array" ref="E42">((SUM(IF((CkDJ[Sort Code]=(TRIM(G$4)))*(CkDJ[Account Code]=(TRIM($B42)))*(CkDJ[Date]&lt;=$E$7),CkDJ[Credit])))+(SUM(IF((CsDJ[Sort Code]=(TRIM(G$4)))*(CsDJ[Account Code]=(TRIM($B42)))*(CsDJ[Date]&lt;=$E$7),CsDJ[Credit])))+(SUM(IF((CRDJ[Sort Code]=(TRIM(G$4)))*(CRDJ[Account Code]=(TRIM($B42)))*(CRDJ[Date]&lt;=$E$7),CRDJ[Credit])))+(SUM(IF((GJ[Sort Code]=(TRIM(G$4)))*(GJ[Account Code]=(TRIM($B42)))*(GJ[Date]&lt;=$E$7),GJ[Credit]))))-((SUM(IF((CkDJ[Sort Code]=(TRIM(G$4)))*(CkDJ[Account Code]=(TRIM($B42)))*(CkDJ[Date]&lt;=$E$7),CkDJ[Debit])))+(SUM(IF((CsDJ[Sort Code]=(TRIM(G$4)))*(CsDJ[Account Code]=(TRIM($B42)))*(CsDJ[Date]&lt;=$E$7),CsDJ[Debit])))+(SUM(IF((CRDJ[Sort Code]=(TRIM(G$4)))*(CRDJ[Account Code]=(TRIM($B42)))*(CRDJ[Date]&lt;=$E$7),CRDJ[Debit])))+(SUM(IF((GJ[Sort Code]=(TRIM(G$4)))*(GJ[Account Code]=(TRIM($B42)))*(GJ[Date]&lt;=$E$7),GJ[Debit]))))</f>
        <v>0</v>
      </c>
      <c r="F42" s="245">
        <f t="array" ref="F42">((SUM(IF((CkDJ[Date]=$A$3)*(CkDJ[Sort Code]=(TRIM(G$4)))*(CkDJ[Account Code]=(TRIM($B42))),CkDJ[Credit])))+(SUM(IF((CsDJ[Date]=$A$3)*(CsDJ[Sort Code]=(TRIM(G$4)))*(CsDJ[Account Code]=(TRIM($B42))),CsDJ[Credit])))+(SUM(IF((CRDJ[Date]=$A$3)*(CRDJ[Sort Code]=(TRIM(G$4)))*(CRDJ[Account Code]=(TRIM($B42))),CRDJ[Credit])))+(SUM(IF((GJ[Date]=$A$3)*(GJ[Sort Code]=(TRIM(G$4)))*(GJ[Account Code]=(TRIM($B42))),GJ[Credit]))))-((SUM(IF((CkDJ[Date]=$A$3)*(CkDJ[Sort Code]=(TRIM(G$4)))*(CkDJ[Account Code]=(TRIM($B42))),CkDJ[Debit])))+(SUM(IF((CsDJ[Date]=$A$3)*(CsDJ[Sort Code]=(TRIM(G$4)))*(CsDJ[Account Code]=(TRIM($B42))),CsDJ[Debit])))+(SUM(IF((CRDJ[Date]=$A$3)*(CRDJ[Sort Code]=(TRIM(G$4)))*(CRDJ[Account Code]=(TRIM($B42))),CRDJ[Debit])))+(SUM(IF((GJ[Date]=$A$3)*(GJ[Sort Code]=(TRIM(G$4)))*(GJ[Account Code]=(TRIM($B42))),GJ[Debit]))))</f>
        <v>0</v>
      </c>
      <c r="G42" s="343">
        <f t="shared" si="4"/>
        <v>0</v>
      </c>
      <c r="H42" s="246">
        <f t="shared" si="2"/>
        <v>0</v>
      </c>
      <c r="I42" s="246">
        <f t="shared" si="3"/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Code]=B43)*(Budget[Sort Code]=$G$4),(Budget[Amount])))</f>
        <v>0</v>
      </c>
      <c r="D43" s="245">
        <f t="array" ref="D43">SUM(IF((Budget[Account Code]=B43)*(Budget[Sort Code]=$G$4)*(Budget[Date]&lt;=$D$7),(Budget[Amount])))</f>
        <v>0</v>
      </c>
      <c r="E43" s="245">
        <f t="array" ref="E43">((SUM(IF((CkDJ[Sort Code]=(TRIM(G$4)))*(CkDJ[Account Code]=(TRIM($B43)))*(CkDJ[Date]&lt;=$E$7),CkDJ[Credit])))+(SUM(IF((CsDJ[Sort Code]=(TRIM(G$4)))*(CsDJ[Account Code]=(TRIM($B43)))*(CsDJ[Date]&lt;=$E$7),CsDJ[Credit])))+(SUM(IF((CRDJ[Sort Code]=(TRIM(G$4)))*(CRDJ[Account Code]=(TRIM($B43)))*(CRDJ[Date]&lt;=$E$7),CRDJ[Credit])))+(SUM(IF((GJ[Sort Code]=(TRIM(G$4)))*(GJ[Account Code]=(TRIM($B43)))*(GJ[Date]&lt;=$E$7),GJ[Credit]))))-((SUM(IF((CkDJ[Sort Code]=(TRIM(G$4)))*(CkDJ[Account Code]=(TRIM($B43)))*(CkDJ[Date]&lt;=$E$7),CkDJ[Debit])))+(SUM(IF((CsDJ[Sort Code]=(TRIM(G$4)))*(CsDJ[Account Code]=(TRIM($B43)))*(CsDJ[Date]&lt;=$E$7),CsDJ[Debit])))+(SUM(IF((CRDJ[Sort Code]=(TRIM(G$4)))*(CRDJ[Account Code]=(TRIM($B43)))*(CRDJ[Date]&lt;=$E$7),CRDJ[Debit])))+(SUM(IF((GJ[Sort Code]=(TRIM(G$4)))*(GJ[Account Code]=(TRIM($B43)))*(GJ[Date]&lt;=$E$7),GJ[Debit]))))</f>
        <v>0</v>
      </c>
      <c r="F43" s="245">
        <f t="array" ref="F43">((SUM(IF((CkDJ[Date]=$A$3)*(CkDJ[Sort Code]=(TRIM(G$4)))*(CkDJ[Account Code]=(TRIM($B43))),CkDJ[Credit])))+(SUM(IF((CsDJ[Date]=$A$3)*(CsDJ[Sort Code]=(TRIM(G$4)))*(CsDJ[Account Code]=(TRIM($B43))),CsDJ[Credit])))+(SUM(IF((CRDJ[Date]=$A$3)*(CRDJ[Sort Code]=(TRIM(G$4)))*(CRDJ[Account Code]=(TRIM($B43))),CRDJ[Credit])))+(SUM(IF((GJ[Date]=$A$3)*(GJ[Sort Code]=(TRIM(G$4)))*(GJ[Account Code]=(TRIM($B43))),GJ[Credit]))))-((SUM(IF((CkDJ[Date]=$A$3)*(CkDJ[Sort Code]=(TRIM(G$4)))*(CkDJ[Account Code]=(TRIM($B43))),CkDJ[Debit])))+(SUM(IF((CsDJ[Date]=$A$3)*(CsDJ[Sort Code]=(TRIM(G$4)))*(CsDJ[Account Code]=(TRIM($B43))),CsDJ[Debit])))+(SUM(IF((CRDJ[Date]=$A$3)*(CRDJ[Sort Code]=(TRIM(G$4)))*(CRDJ[Account Code]=(TRIM($B43))),CRDJ[Debit])))+(SUM(IF((GJ[Date]=$A$3)*(GJ[Sort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Code]=B44)*(Budget[Sort Code]=$G$4),(Budget[Amount])))</f>
        <v>826000</v>
      </c>
      <c r="D44" s="245">
        <f t="array" ref="D44">SUM(IF((Budget[Account Code]=B44)*(Budget[Sort Code]=$G$4)*(Budget[Date]&lt;=$D$7),(Budget[Amount])))</f>
        <v>826000</v>
      </c>
      <c r="E44" s="245">
        <f t="array" ref="E44">((SUM(IF((CkDJ[Sort Code]=(TRIM(G$4)))*(CkDJ[Account Code]=(TRIM($B44)))*(CkDJ[Date]&lt;=$E$7),CkDJ[Credit])))+(SUM(IF((CsDJ[Sort Code]=(TRIM(G$4)))*(CsDJ[Account Code]=(TRIM($B44)))*(CsDJ[Date]&lt;=$E$7),CsDJ[Credit])))+(SUM(IF((CRDJ[Sort Code]=(TRIM(G$4)))*(CRDJ[Account Code]=(TRIM($B44)))*(CRDJ[Date]&lt;=$E$7),CRDJ[Credit])))+(SUM(IF((GJ[Sort Code]=(TRIM(G$4)))*(GJ[Account Code]=(TRIM($B44)))*(GJ[Date]&lt;=$E$7),GJ[Credit]))))-((SUM(IF((CkDJ[Sort Code]=(TRIM(G$4)))*(CkDJ[Account Code]=(TRIM($B44)))*(CkDJ[Date]&lt;=$E$7),CkDJ[Debit])))+(SUM(IF((CsDJ[Sort Code]=(TRIM(G$4)))*(CsDJ[Account Code]=(TRIM($B44)))*(CsDJ[Date]&lt;=$E$7),CsDJ[Debit])))+(SUM(IF((CRDJ[Sort Code]=(TRIM(G$4)))*(CRDJ[Account Code]=(TRIM($B44)))*(CRDJ[Date]&lt;=$E$7),CRDJ[Debit])))+(SUM(IF((GJ[Sort Code]=(TRIM(G$4)))*(GJ[Account Code]=(TRIM($B44)))*(GJ[Date]&lt;=$E$7),GJ[Debit]))))</f>
        <v>0</v>
      </c>
      <c r="F44" s="245">
        <f t="array" ref="F44">((SUM(IF((CkDJ[Date]=$A$3)*(CkDJ[Sort Code]=(TRIM(G$4)))*(CkDJ[Account Code]=(TRIM($B44))),CkDJ[Credit])))+(SUM(IF((CsDJ[Date]=$A$3)*(CsDJ[Sort Code]=(TRIM(G$4)))*(CsDJ[Account Code]=(TRIM($B44))),CsDJ[Credit])))+(SUM(IF((CRDJ[Date]=$A$3)*(CRDJ[Sort Code]=(TRIM(G$4)))*(CRDJ[Account Code]=(TRIM($B44))),CRDJ[Credit])))+(SUM(IF((GJ[Date]=$A$3)*(GJ[Sort Code]=(TRIM(G$4)))*(GJ[Account Code]=(TRIM($B44))),GJ[Credit]))))-((SUM(IF((CkDJ[Date]=$A$3)*(CkDJ[Sort Code]=(TRIM(G$4)))*(CkDJ[Account Code]=(TRIM($B44))),CkDJ[Debit])))+(SUM(IF((CsDJ[Date]=$A$3)*(CsDJ[Sort Code]=(TRIM(G$4)))*(CsDJ[Account Code]=(TRIM($B44))),CsDJ[Debit])))+(SUM(IF((CRDJ[Date]=$A$3)*(CRDJ[Sort Code]=(TRIM(G$4)))*(CRDJ[Account Code]=(TRIM($B44))),CRDJ[Debit])))+(SUM(IF((GJ[Date]=$A$3)*(GJ[Sort Code]=(TRIM(G$4)))*(GJ[Account Code]=(TRIM($B44))),GJ[Debit]))))</f>
        <v>0</v>
      </c>
      <c r="G44" s="343">
        <f t="shared" si="4"/>
        <v>0</v>
      </c>
      <c r="H44" s="246">
        <f t="shared" si="2"/>
        <v>-826000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Code]=B45)*(Budget[Sort Code]=$G$4),(Budget[Amount])))</f>
        <v>0</v>
      </c>
      <c r="D45" s="245">
        <f t="array" ref="D45">SUM(IF((Budget[Account Code]=B45)*(Budget[Sort Code]=$G$4)*(Budget[Date]&lt;=$D$7),(Budget[Amount])))</f>
        <v>0</v>
      </c>
      <c r="E45" s="245">
        <f t="array" ref="E45">((SUM(IF((CkDJ[Sort Code]=(TRIM(G$4)))*(CkDJ[Account Code]=(TRIM($B45)))*(CkDJ[Date]&lt;=$E$7),CkDJ[Credit])))+(SUM(IF((CsDJ[Sort Code]=(TRIM(G$4)))*(CsDJ[Account Code]=(TRIM($B45)))*(CsDJ[Date]&lt;=$E$7),CsDJ[Credit])))+(SUM(IF((CRDJ[Sort Code]=(TRIM(G$4)))*(CRDJ[Account Code]=(TRIM($B45)))*(CRDJ[Date]&lt;=$E$7),CRDJ[Credit])))+(SUM(IF((GJ[Sort Code]=(TRIM(G$4)))*(GJ[Account Code]=(TRIM($B45)))*(GJ[Date]&lt;=$E$7),GJ[Credit]))))-((SUM(IF((CkDJ[Sort Code]=(TRIM(G$4)))*(CkDJ[Account Code]=(TRIM($B45)))*(CkDJ[Date]&lt;=$E$7),CkDJ[Debit])))+(SUM(IF((CsDJ[Sort Code]=(TRIM(G$4)))*(CsDJ[Account Code]=(TRIM($B45)))*(CsDJ[Date]&lt;=$E$7),CsDJ[Debit])))+(SUM(IF((CRDJ[Sort Code]=(TRIM(G$4)))*(CRDJ[Account Code]=(TRIM($B45)))*(CRDJ[Date]&lt;=$E$7),CRDJ[Debit])))+(SUM(IF((GJ[Sort Code]=(TRIM(G$4)))*(GJ[Account Code]=(TRIM($B45)))*(GJ[Date]&lt;=$E$7),GJ[Debit]))))</f>
        <v>0</v>
      </c>
      <c r="F45" s="245">
        <f t="array" ref="F45">((SUM(IF((CkDJ[Date]=$A$3)*(CkDJ[Sort Code]=(TRIM(G$4)))*(CkDJ[Account Code]=(TRIM($B45))),CkDJ[Credit])))+(SUM(IF((CsDJ[Date]=$A$3)*(CsDJ[Sort Code]=(TRIM(G$4)))*(CsDJ[Account Code]=(TRIM($B45))),CsDJ[Credit])))+(SUM(IF((CRDJ[Date]=$A$3)*(CRDJ[Sort Code]=(TRIM(G$4)))*(CRDJ[Account Code]=(TRIM($B45))),CRDJ[Credit])))+(SUM(IF((GJ[Date]=$A$3)*(GJ[Sort Code]=(TRIM(G$4)))*(GJ[Account Code]=(TRIM($B45))),GJ[Credit]))))-((SUM(IF((CkDJ[Date]=$A$3)*(CkDJ[Sort Code]=(TRIM(G$4)))*(CkDJ[Account Code]=(TRIM($B45))),CkDJ[Debit])))+(SUM(IF((CsDJ[Date]=$A$3)*(CsDJ[Sort Code]=(TRIM(G$4)))*(CsDJ[Account Code]=(TRIM($B45))),CsDJ[Debit])))+(SUM(IF((CRDJ[Date]=$A$3)*(CRDJ[Sort Code]=(TRIM(G$4)))*(CRDJ[Account Code]=(TRIM($B45))),CRDJ[Debit])))+(SUM(IF((GJ[Date]=$A$3)*(GJ[Sort Code]=(TRIM(G$4)))*(GJ[Account Code]=(TRIM($B45))),GJ[Debit]))))</f>
        <v>0</v>
      </c>
      <c r="G45" s="343">
        <f t="shared" si="4"/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((SUM(IF((CkDJ[Sort Code]=(TRIM(G$4)))*(CkDJ[Account Code]=(TRIM($B46))),CkDJ[Credit])))+(SUM(IF((CsDJ[Sort Code]=(TRIM(G$4)))*(CsDJ[Account Code]=(TRIM($B46))),CsDJ[Credit])))+(SUM(IF((CRDJ[Sort Code]=(TRIM(G$4)))*(CRDJ[Account Code]=(TRIM($B46))),CRDJ[Credit])))+(SUM(IF((GJ[Sort Code]=(TRIM(G$4)))*(GJ[Account Code]=(TRIM($B46))),GJ[Credit]))))-((SUM(IF((CkDJ[Sort Code]=(TRIM(G$4)))*(CkDJ[Account Code]=(TRIM($B46))),CkDJ[Debit])))+(SUM(IF((CsDJ[Sort Code]=(TRIM(G$4)))*(CsDJ[Account Code]=(TRIM($B46))),CsDJ[Debit])))+(SUM(IF((CRDJ[Sort Code]=(TRIM(G$4)))*(CRDJ[Account Code]=(TRIM($B46))),CRDJ[Debit])))+(SUM(IF((GJ[Sort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826000</v>
      </c>
      <c r="D47" s="250">
        <f>D26+D27+D32+D36+D46</f>
        <v>826000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-826000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1326000</v>
      </c>
      <c r="D48" s="250">
        <f>D24+D47</f>
        <v>1326000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-1326000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26800780.48</v>
      </c>
      <c r="D50" s="242">
        <f>D51+D75</f>
        <v>26800780.48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ref="H50:H119" si="5">G50-D50</f>
        <v>-26800780.48</v>
      </c>
      <c r="I50" s="242">
        <f t="shared" ref="I50:I119" si="6">IF((D50=0),0,G50/D50)</f>
        <v>0</v>
      </c>
    </row>
    <row r="51" spans="1:9" x14ac:dyDescent="0.2">
      <c r="A51" s="243" t="s">
        <v>806</v>
      </c>
      <c r="B51" s="337"/>
      <c r="C51" s="246">
        <f>SUM(C52:C74)</f>
        <v>26800780.48</v>
      </c>
      <c r="D51" s="246">
        <f>SUM(D52:D74)</f>
        <v>26800780.48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5"/>
        <v>-26800780.48</v>
      </c>
      <c r="I51" s="246">
        <f t="shared" si="6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Code]=B52)*(Budget[Sort Code]=$G$4),(Budget[Amount])))</f>
        <v>13640364</v>
      </c>
      <c r="D52" s="245">
        <f t="array" ref="D52">SUM(IF((Budget[Account Code]=B52)*(Budget[Sort Code]=$G$4)*(Budget[Date]&lt;=$D$7),(Budget[Amount])))</f>
        <v>13640364</v>
      </c>
      <c r="E52" s="245">
        <f t="array" ref="E52">((SUM(IF((CkDJ[Sort Code]=(TRIM(G$4)))*(CkDJ[Account Code]=(TRIM($B52)))*(CkDJ[Date]&lt;=$E$7),CkDJ[Debit])))+(SUM(IF((CsDJ[Sort Code]=(TRIM(G$4)))*(CsDJ[Account Code]=(TRIM($B52)))*(CsDJ[Date]&lt;=$E$7),CsDJ[Debit])))+(SUM(IF((CRDJ[Sort Code]=(TRIM(G$4)))*(CRDJ[Account Code]=(TRIM($B52)))*(CRDJ[Date]&lt;=$E$7),CRDJ[Debit])))+(SUM(IF((GJ[Sort Code]=(TRIM(G$4)))*(GJ[Account Code]=(TRIM($B52)))*(GJ[Date]&lt;=$E$7),GJ[Debit]))))-((SUM(IF((CkDJ[Sort Code]=(TRIM(G$4)))*(CkDJ[Account Code]=(TRIM($B52)))*(CkDJ[Date]&lt;=$E$7),CkDJ[Credit])))+(SUM(IF((CsDJ[Sort Code]=(TRIM(G$4)))*(CsDJ[Account Code]=(TRIM($B52)))*(CsDJ[Date]&lt;=$E$7),CsDJ[Credit])))+(SUM(IF((CRDJ[Sort Code]=(TRIM(G$4)))*(CRDJ[Account Code]=(TRIM($B52)))*(CRDJ[Date]&lt;=$E$7),CRDJ[Credit])))+(SUM(IF((GJ[Sort Code]=(TRIM(G$4)))*(GJ[Account Code]=(TRIM($B52)))*(GJ[Date]&lt;=$E$7),GJ[Credit]))))</f>
        <v>0</v>
      </c>
      <c r="F52" s="245">
        <f t="array" ref="F52">((SUM(IF((CkDJ[Date]=$A$3)*(CkDJ[Sort Code]=(TRIM(G$4)))*(CkDJ[Account Code]=(TRIM($B52))),CkDJ[Debit])))+(SUM(IF((CsDJ[Date]=$A$3)*(CsDJ[Sort Code]=(TRIM(G$4)))*(CsDJ[Account Code]=(TRIM($B52))),CsDJ[Debit])))+(SUM(IF((CRDJ[Date]=$A$3)*(CRDJ[Sort Code]=(TRIM(G$4)))*(CRDJ[Account Code]=(TRIM($B52))),CRDJ[Debit])))+(SUM(IF((GJ[Date]=$A$3)*(GJ[Sort Code]=(TRIM(G$4)))*(GJ[Account Code]=(TRIM($B52))),GJ[Debit]))))-((SUM(IF((CkDJ[Date]=$A$3)*(CkDJ[Sort Code]=(TRIM(G$4)))*(CkDJ[Account Code]=(TRIM($B52))),CkDJ[Credit])))+(SUM(IF((CsDJ[Date]=$A$3)*(CsDJ[Sort Code]=(TRIM(G$4)))*(CsDJ[Account Code]=(TRIM($B52))),CsDJ[Credit])))+(SUM(IF((CRDJ[Date]=$A$3)*(CRDJ[Sort Code]=(TRIM(G$4)))*(CRDJ[Account Code]=(TRIM($B52))),CRDJ[Credit])))+(SUM(IF((GJ[Date]=$A$3)*(GJ[Sort Code]=(TRIM(G$4)))*(GJ[Account Code]=(TRIM($B52))),GJ[Credit]))))</f>
        <v>0</v>
      </c>
      <c r="G52" s="343">
        <f t="shared" ref="G52:G57" si="7">E52+F52</f>
        <v>0</v>
      </c>
      <c r="H52" s="246">
        <f t="shared" si="5"/>
        <v>-13640364</v>
      </c>
      <c r="I52" s="246">
        <f t="shared" si="6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Code]=B53)*(Budget[Sort Code]=$G$4),(Budget[Amount])))</f>
        <v>7124767.9199999999</v>
      </c>
      <c r="D53" s="245">
        <f t="array" ref="D53">SUM(IF((Budget[Account Code]=B53)*(Budget[Sort Code]=$G$4)*(Budget[Date]&lt;=$D$7),(Budget[Amount])))</f>
        <v>7124767.9199999999</v>
      </c>
      <c r="E53" s="245">
        <f t="array" ref="E53">((SUM(IF((CkDJ[Sort Code]=(TRIM(G$4)))*(CkDJ[Account Code]=(TRIM($B53)))*(CkDJ[Date]&lt;=$E$7),CkDJ[Debit])))+(SUM(IF((CsDJ[Sort Code]=(TRIM(G$4)))*(CsDJ[Account Code]=(TRIM($B53)))*(CsDJ[Date]&lt;=$E$7),CsDJ[Debit])))+(SUM(IF((CRDJ[Sort Code]=(TRIM(G$4)))*(CRDJ[Account Code]=(TRIM($B53)))*(CRDJ[Date]&lt;=$E$7),CRDJ[Debit])))+(SUM(IF((GJ[Sort Code]=(TRIM(G$4)))*(GJ[Account Code]=(TRIM($B53)))*(GJ[Date]&lt;=$E$7),GJ[Debit]))))-((SUM(IF((CkDJ[Sort Code]=(TRIM(G$4)))*(CkDJ[Account Code]=(TRIM($B53)))*(CkDJ[Date]&lt;=$E$7),CkDJ[Credit])))+(SUM(IF((CsDJ[Sort Code]=(TRIM(G$4)))*(CsDJ[Account Code]=(TRIM($B53)))*(CsDJ[Date]&lt;=$E$7),CsDJ[Credit])))+(SUM(IF((CRDJ[Sort Code]=(TRIM(G$4)))*(CRDJ[Account Code]=(TRIM($B53)))*(CRDJ[Date]&lt;=$E$7),CRDJ[Credit])))+(SUM(IF((GJ[Sort Code]=(TRIM(G$4)))*(GJ[Account Code]=(TRIM($B53)))*(GJ[Date]&lt;=$E$7),GJ[Credit]))))</f>
        <v>0</v>
      </c>
      <c r="F53" s="245">
        <f t="array" ref="F53">((SUM(IF((CkDJ[Date]=$A$3)*(CkDJ[Sort Code]=(TRIM(G$4)))*(CkDJ[Account Code]=(TRIM($B53))),CkDJ[Debit])))+(SUM(IF((CsDJ[Date]=$A$3)*(CsDJ[Sort Code]=(TRIM(G$4)))*(CsDJ[Account Code]=(TRIM($B53))),CsDJ[Debit])))+(SUM(IF((CRDJ[Date]=$A$3)*(CRDJ[Sort Code]=(TRIM(G$4)))*(CRDJ[Account Code]=(TRIM($B53))),CRDJ[Debit])))+(SUM(IF((GJ[Date]=$A$3)*(GJ[Sort Code]=(TRIM(G$4)))*(GJ[Account Code]=(TRIM($B53))),GJ[Debit]))))-((SUM(IF((CkDJ[Date]=$A$3)*(CkDJ[Sort Code]=(TRIM(G$4)))*(CkDJ[Account Code]=(TRIM($B53))),CkDJ[Credit])))+(SUM(IF((CsDJ[Date]=$A$3)*(CsDJ[Sort Code]=(TRIM(G$4)))*(CsDJ[Account Code]=(TRIM($B53))),CsDJ[Credit])))+(SUM(IF((CRDJ[Date]=$A$3)*(CRDJ[Sort Code]=(TRIM(G$4)))*(CRDJ[Account Code]=(TRIM($B53))),CRDJ[Credit])))+(SUM(IF((GJ[Date]=$A$3)*(GJ[Sort Code]=(TRIM(G$4)))*(GJ[Account Code]=(TRIM($B53))),GJ[Credit]))))</f>
        <v>0</v>
      </c>
      <c r="G53" s="343">
        <f t="shared" si="7"/>
        <v>0</v>
      </c>
      <c r="H53" s="246">
        <f t="shared" si="5"/>
        <v>-7124767.9199999999</v>
      </c>
      <c r="I53" s="246">
        <f t="shared" si="6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Code]=B54)*(Budget[Sort Code]=$G$4),(Budget[Amount])))</f>
        <v>0</v>
      </c>
      <c r="D54" s="245">
        <f t="array" ref="D54">SUM(IF((Budget[Account Code]=B54)*(Budget[Sort Code]=$G$4)*(Budget[Date]&lt;=$D$7),(Budget[Amount])))</f>
        <v>0</v>
      </c>
      <c r="E54" s="245">
        <f t="array" ref="E54">((SUM(IF((CkDJ[Sort Code]=(TRIM(G$4)))*(CkDJ[Account Code]=(TRIM($B54)))*(CkDJ[Date]&lt;=$E$7),CkDJ[Debit])))+(SUM(IF((CsDJ[Sort Code]=(TRIM(G$4)))*(CsDJ[Account Code]=(TRIM($B54)))*(CsDJ[Date]&lt;=$E$7),CsDJ[Debit])))+(SUM(IF((CRDJ[Sort Code]=(TRIM(G$4)))*(CRDJ[Account Code]=(TRIM($B54)))*(CRDJ[Date]&lt;=$E$7),CRDJ[Debit])))+(SUM(IF((GJ[Sort Code]=(TRIM(G$4)))*(GJ[Account Code]=(TRIM($B54)))*(GJ[Date]&lt;=$E$7),GJ[Debit]))))-((SUM(IF((CkDJ[Sort Code]=(TRIM(G$4)))*(CkDJ[Account Code]=(TRIM($B54)))*(CkDJ[Date]&lt;=$E$7),CkDJ[Credit])))+(SUM(IF((CsDJ[Sort Code]=(TRIM(G$4)))*(CsDJ[Account Code]=(TRIM($B54)))*(CsDJ[Date]&lt;=$E$7),CsDJ[Credit])))+(SUM(IF((CRDJ[Sort Code]=(TRIM(G$4)))*(CRDJ[Account Code]=(TRIM($B54)))*(CRDJ[Date]&lt;=$E$7),CRDJ[Credit])))+(SUM(IF((GJ[Sort Code]=(TRIM(G$4)))*(GJ[Account Code]=(TRIM($B54)))*(GJ[Date]&lt;=$E$7),GJ[Credit]))))</f>
        <v>0</v>
      </c>
      <c r="F54" s="245">
        <f t="array" ref="F54">((SUM(IF((CkDJ[Date]=$A$3)*(CkDJ[Sort Code]=(TRIM(G$4)))*(CkDJ[Account Code]=(TRIM($B54))),CkDJ[Debit])))+(SUM(IF((CsDJ[Date]=$A$3)*(CsDJ[Sort Code]=(TRIM(G$4)))*(CsDJ[Account Code]=(TRIM($B54))),CsDJ[Debit])))+(SUM(IF((CRDJ[Date]=$A$3)*(CRDJ[Sort Code]=(TRIM(G$4)))*(CRDJ[Account Code]=(TRIM($B54))),CRDJ[Debit])))+(SUM(IF((GJ[Date]=$A$3)*(GJ[Sort Code]=(TRIM(G$4)))*(GJ[Account Code]=(TRIM($B54))),GJ[Debit]))))-((SUM(IF((CkDJ[Date]=$A$3)*(CkDJ[Sort Code]=(TRIM(G$4)))*(CkDJ[Account Code]=(TRIM($B54))),CkDJ[Credit])))+(SUM(IF((CsDJ[Date]=$A$3)*(CsDJ[Sort Code]=(TRIM(G$4)))*(CsDJ[Account Code]=(TRIM($B54))),CsDJ[Credit])))+(SUM(IF((CRDJ[Date]=$A$3)*(CRDJ[Sort Code]=(TRIM(G$4)))*(CRDJ[Account Code]=(TRIM($B54))),CRDJ[Credit])))+(SUM(IF((GJ[Date]=$A$3)*(GJ[Sort Code]=(TRIM(G$4)))*(GJ[Account Code]=(TRIM($B54))),GJ[Credit]))))</f>
        <v>0</v>
      </c>
      <c r="G54" s="343">
        <f t="shared" si="7"/>
        <v>0</v>
      </c>
      <c r="H54" s="246">
        <f t="shared" si="5"/>
        <v>0</v>
      </c>
      <c r="I54" s="246">
        <f t="shared" si="6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Code]=B55)*(Budget[Sort Code]=$G$4),(Budget[Amount])))</f>
        <v>1392000</v>
      </c>
      <c r="D55" s="245">
        <f t="array" ref="D55">SUM(IF((Budget[Account Code]=B55)*(Budget[Sort Code]=$G$4)*(Budget[Date]&lt;=$D$7),(Budget[Amount])))</f>
        <v>1392000</v>
      </c>
      <c r="E55" s="245">
        <f t="array" ref="E55">((SUM(IF((CkDJ[Sort Code]=(TRIM(G$4)))*(CkDJ[Account Code]=(TRIM($B55)))*(CkDJ[Date]&lt;=$E$7),CkDJ[Debit])))+(SUM(IF((CsDJ[Sort Code]=(TRIM(G$4)))*(CsDJ[Account Code]=(TRIM($B55)))*(CsDJ[Date]&lt;=$E$7),CsDJ[Debit])))+(SUM(IF((CRDJ[Sort Code]=(TRIM(G$4)))*(CRDJ[Account Code]=(TRIM($B55)))*(CRDJ[Date]&lt;=$E$7),CRDJ[Debit])))+(SUM(IF((GJ[Sort Code]=(TRIM(G$4)))*(GJ[Account Code]=(TRIM($B55)))*(GJ[Date]&lt;=$E$7),GJ[Debit]))))-((SUM(IF((CkDJ[Sort Code]=(TRIM(G$4)))*(CkDJ[Account Code]=(TRIM($B55)))*(CkDJ[Date]&lt;=$E$7),CkDJ[Credit])))+(SUM(IF((CsDJ[Sort Code]=(TRIM(G$4)))*(CsDJ[Account Code]=(TRIM($B55)))*(CsDJ[Date]&lt;=$E$7),CsDJ[Credit])))+(SUM(IF((CRDJ[Sort Code]=(TRIM(G$4)))*(CRDJ[Account Code]=(TRIM($B55)))*(CRDJ[Date]&lt;=$E$7),CRDJ[Credit])))+(SUM(IF((GJ[Sort Code]=(TRIM(G$4)))*(GJ[Account Code]=(TRIM($B55)))*(GJ[Date]&lt;=$E$7),GJ[Credit]))))</f>
        <v>0</v>
      </c>
      <c r="F55" s="245">
        <f t="array" ref="F55">((SUM(IF((CkDJ[Date]=$A$3)*(CkDJ[Sort Code]=(TRIM(G$4)))*(CkDJ[Account Code]=(TRIM($B55))),CkDJ[Debit])))+(SUM(IF((CsDJ[Date]=$A$3)*(CsDJ[Sort Code]=(TRIM(G$4)))*(CsDJ[Account Code]=(TRIM($B55))),CsDJ[Debit])))+(SUM(IF((CRDJ[Date]=$A$3)*(CRDJ[Sort Code]=(TRIM(G$4)))*(CRDJ[Account Code]=(TRIM($B55))),CRDJ[Debit])))+(SUM(IF((GJ[Date]=$A$3)*(GJ[Sort Code]=(TRIM(G$4)))*(GJ[Account Code]=(TRIM($B55))),GJ[Debit]))))-((SUM(IF((CkDJ[Date]=$A$3)*(CkDJ[Sort Code]=(TRIM(G$4)))*(CkDJ[Account Code]=(TRIM($B55))),CkDJ[Credit])))+(SUM(IF((CsDJ[Date]=$A$3)*(CsDJ[Sort Code]=(TRIM(G$4)))*(CsDJ[Account Code]=(TRIM($B55))),CsDJ[Credit])))+(SUM(IF((CRDJ[Date]=$A$3)*(CRDJ[Sort Code]=(TRIM(G$4)))*(CRDJ[Account Code]=(TRIM($B55))),CRDJ[Credit])))+(SUM(IF((GJ[Date]=$A$3)*(GJ[Sort Code]=(TRIM(G$4)))*(GJ[Account Code]=(TRIM($B55))),GJ[Credit]))))</f>
        <v>0</v>
      </c>
      <c r="G55" s="343">
        <f t="shared" si="7"/>
        <v>0</v>
      </c>
      <c r="H55" s="246">
        <f t="shared" si="5"/>
        <v>-1392000</v>
      </c>
      <c r="I55" s="246">
        <f t="shared" si="6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Code]=B56)*(Budget[Sort Code]=$G$4),(Budget[Amount])))</f>
        <v>60000</v>
      </c>
      <c r="D56" s="245">
        <f t="array" ref="D56">SUM(IF((Budget[Account Code]=B56)*(Budget[Sort Code]=$G$4)*(Budget[Date]&lt;=$D$7),(Budget[Amount])))</f>
        <v>60000</v>
      </c>
      <c r="E56" s="245">
        <f t="array" ref="E56">((SUM(IF((CkDJ[Sort Code]=(TRIM(G$4)))*(CkDJ[Account Code]=(TRIM($B56)))*(CkDJ[Date]&lt;=$E$7),CkDJ[Debit])))+(SUM(IF((CsDJ[Sort Code]=(TRIM(G$4)))*(CsDJ[Account Code]=(TRIM($B56)))*(CsDJ[Date]&lt;=$E$7),CsDJ[Debit])))+(SUM(IF((CRDJ[Sort Code]=(TRIM(G$4)))*(CRDJ[Account Code]=(TRIM($B56)))*(CRDJ[Date]&lt;=$E$7),CRDJ[Debit])))+(SUM(IF((GJ[Sort Code]=(TRIM(G$4)))*(GJ[Account Code]=(TRIM($B56)))*(GJ[Date]&lt;=$E$7),GJ[Debit]))))-((SUM(IF((CkDJ[Sort Code]=(TRIM(G$4)))*(CkDJ[Account Code]=(TRIM($B56)))*(CkDJ[Date]&lt;=$E$7),CkDJ[Credit])))+(SUM(IF((CsDJ[Sort Code]=(TRIM(G$4)))*(CsDJ[Account Code]=(TRIM($B56)))*(CsDJ[Date]&lt;=$E$7),CsDJ[Credit])))+(SUM(IF((CRDJ[Sort Code]=(TRIM(G$4)))*(CRDJ[Account Code]=(TRIM($B56)))*(CRDJ[Date]&lt;=$E$7),CRDJ[Credit])))+(SUM(IF((GJ[Sort Code]=(TRIM(G$4)))*(GJ[Account Code]=(TRIM($B56)))*(GJ[Date]&lt;=$E$7),GJ[Credit]))))</f>
        <v>0</v>
      </c>
      <c r="F56" s="245">
        <f t="array" ref="F56">((SUM(IF((CkDJ[Date]=$A$3)*(CkDJ[Sort Code]=(TRIM(G$4)))*(CkDJ[Account Code]=(TRIM($B56))),CkDJ[Debit])))+(SUM(IF((CsDJ[Date]=$A$3)*(CsDJ[Sort Code]=(TRIM(G$4)))*(CsDJ[Account Code]=(TRIM($B56))),CsDJ[Debit])))+(SUM(IF((CRDJ[Date]=$A$3)*(CRDJ[Sort Code]=(TRIM(G$4)))*(CRDJ[Account Code]=(TRIM($B56))),CRDJ[Debit])))+(SUM(IF((GJ[Date]=$A$3)*(GJ[Sort Code]=(TRIM(G$4)))*(GJ[Account Code]=(TRIM($B56))),GJ[Debit]))))-((SUM(IF((CkDJ[Date]=$A$3)*(CkDJ[Sort Code]=(TRIM(G$4)))*(CkDJ[Account Code]=(TRIM($B56))),CkDJ[Credit])))+(SUM(IF((CsDJ[Date]=$A$3)*(CsDJ[Sort Code]=(TRIM(G$4)))*(CsDJ[Account Code]=(TRIM($B56))),CsDJ[Credit])))+(SUM(IF((CRDJ[Date]=$A$3)*(CRDJ[Sort Code]=(TRIM(G$4)))*(CRDJ[Account Code]=(TRIM($B56))),CRDJ[Credit])))+(SUM(IF((GJ[Date]=$A$3)*(GJ[Sort Code]=(TRIM(G$4)))*(GJ[Account Code]=(TRIM($B56))),GJ[Credit]))))</f>
        <v>0</v>
      </c>
      <c r="G56" s="343">
        <f t="shared" si="7"/>
        <v>0</v>
      </c>
      <c r="H56" s="246">
        <f t="shared" si="5"/>
        <v>-60000</v>
      </c>
      <c r="I56" s="246">
        <f t="shared" si="6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Code]=B57)*(Budget[Sort Code]=$G$4),(Budget[Amount])))</f>
        <v>0</v>
      </c>
      <c r="D57" s="245">
        <f t="array" ref="D57">SUM(IF((Budget[Account Code]=B57)*(Budget[Sort Code]=$G$4)*(Budget[Date]&lt;=$D$7),(Budget[Amount])))</f>
        <v>0</v>
      </c>
      <c r="E57" s="245">
        <f t="array" ref="E57">((SUM(IF((CkDJ[Sort Code]=(TRIM(G$4)))*(CkDJ[Account Code]=(TRIM($B57)))*(CkDJ[Date]&lt;=$E$7),CkDJ[Debit])))+(SUM(IF((CsDJ[Sort Code]=(TRIM(G$4)))*(CsDJ[Account Code]=(TRIM($B57)))*(CsDJ[Date]&lt;=$E$7),CsDJ[Debit])))+(SUM(IF((CRDJ[Sort Code]=(TRIM(G$4)))*(CRDJ[Account Code]=(TRIM($B57)))*(CRDJ[Date]&lt;=$E$7),CRDJ[Debit])))+(SUM(IF((GJ[Sort Code]=(TRIM(G$4)))*(GJ[Account Code]=(TRIM($B57)))*(GJ[Date]&lt;=$E$7),GJ[Debit]))))-((SUM(IF((CkDJ[Sort Code]=(TRIM(G$4)))*(CkDJ[Account Code]=(TRIM($B57)))*(CkDJ[Date]&lt;=$E$7),CkDJ[Credit])))+(SUM(IF((CsDJ[Sort Code]=(TRIM(G$4)))*(CsDJ[Account Code]=(TRIM($B57)))*(CsDJ[Date]&lt;=$E$7),CsDJ[Credit])))+(SUM(IF((CRDJ[Sort Code]=(TRIM(G$4)))*(CRDJ[Account Code]=(TRIM($B57)))*(CRDJ[Date]&lt;=$E$7),CRDJ[Credit])))+(SUM(IF((GJ[Sort Code]=(TRIM(G$4)))*(GJ[Account Code]=(TRIM($B57)))*(GJ[Date]&lt;=$E$7),GJ[Credit]))))</f>
        <v>0</v>
      </c>
      <c r="F57" s="245">
        <f t="array" ref="F57">((SUM(IF((CkDJ[Date]=$A$3)*(CkDJ[Sort Code]=(TRIM(G$4)))*(CkDJ[Account Code]=(TRIM($B57))),CkDJ[Debit])))+(SUM(IF((CsDJ[Date]=$A$3)*(CsDJ[Sort Code]=(TRIM(G$4)))*(CsDJ[Account Code]=(TRIM($B57))),CsDJ[Debit])))+(SUM(IF((CRDJ[Date]=$A$3)*(CRDJ[Sort Code]=(TRIM(G$4)))*(CRDJ[Account Code]=(TRIM($B57))),CRDJ[Debit])))+(SUM(IF((GJ[Date]=$A$3)*(GJ[Sort Code]=(TRIM(G$4)))*(GJ[Account Code]=(TRIM($B57))),GJ[Debit]))))-((SUM(IF((CkDJ[Date]=$A$3)*(CkDJ[Sort Code]=(TRIM(G$4)))*(CkDJ[Account Code]=(TRIM($B57))),CkDJ[Credit])))+(SUM(IF((CsDJ[Date]=$A$3)*(CsDJ[Sort Code]=(TRIM(G$4)))*(CsDJ[Account Code]=(TRIM($B57))),CsDJ[Credit])))+(SUM(IF((CRDJ[Date]=$A$3)*(CRDJ[Sort Code]=(TRIM(G$4)))*(CRDJ[Account Code]=(TRIM($B57))),CRDJ[Credit])))+(SUM(IF((GJ[Date]=$A$3)*(GJ[Sort Code]=(TRIM(G$4)))*(GJ[Account Code]=(TRIM($B57))),GJ[Credit]))))</f>
        <v>0</v>
      </c>
      <c r="G57" s="343">
        <f t="shared" si="7"/>
        <v>0</v>
      </c>
      <c r="H57" s="246">
        <f t="shared" si="5"/>
        <v>0</v>
      </c>
      <c r="I57" s="246">
        <f t="shared" si="6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Code]=B58)*(Budget[Sort Code]=$G$4),(Budget[Amount])))</f>
        <v>0</v>
      </c>
      <c r="D58" s="245">
        <f t="array" ref="D58">SUM(IF((Budget[Account Code]=B58)*(Budget[Sort Code]=$G$4)*(Budget[Date]&lt;=$D$7),(Budget[Amount])))</f>
        <v>0</v>
      </c>
      <c r="E58" s="245">
        <f t="array" ref="E58">((SUM(IF((CkDJ[Sort Code]=(TRIM(G$4)))*(CkDJ[Account Code]=(TRIM($B58)))*(CkDJ[Date]&lt;=$E$7),CkDJ[Debit])))+(SUM(IF((CsDJ[Sort Code]=(TRIM(G$4)))*(CsDJ[Account Code]=(TRIM($B58)))*(CsDJ[Date]&lt;=$E$7),CsDJ[Debit])))+(SUM(IF((CRDJ[Sort Code]=(TRIM(G$4)))*(CRDJ[Account Code]=(TRIM($B58)))*(CRDJ[Date]&lt;=$E$7),CRDJ[Debit])))+(SUM(IF((GJ[Sort Code]=(TRIM(G$4)))*(GJ[Account Code]=(TRIM($B58)))*(GJ[Date]&lt;=$E$7),GJ[Debit]))))-((SUM(IF((CkDJ[Sort Code]=(TRIM(G$4)))*(CkDJ[Account Code]=(TRIM($B58)))*(CkDJ[Date]&lt;=$E$7),CkDJ[Credit])))+(SUM(IF((CsDJ[Sort Code]=(TRIM(G$4)))*(CsDJ[Account Code]=(TRIM($B58)))*(CsDJ[Date]&lt;=$E$7),CsDJ[Credit])))+(SUM(IF((CRDJ[Sort Code]=(TRIM(G$4)))*(CRDJ[Account Code]=(TRIM($B58)))*(CRDJ[Date]&lt;=$E$7),CRDJ[Credit])))+(SUM(IF((GJ[Sort Code]=(TRIM(G$4)))*(GJ[Account Code]=(TRIM($B58)))*(GJ[Date]&lt;=$E$7),GJ[Credit]))))</f>
        <v>0</v>
      </c>
      <c r="F58" s="245">
        <f t="array" ref="F58">((SUM(IF((CkDJ[Date]=$A$3)*(CkDJ[Sort Code]=(TRIM(G$4)))*(CkDJ[Account Code]=(TRIM($B58))),CkDJ[Debit])))+(SUM(IF((CsDJ[Date]=$A$3)*(CsDJ[Sort Code]=(TRIM(G$4)))*(CsDJ[Account Code]=(TRIM($B58))),CsDJ[Debit])))+(SUM(IF((CRDJ[Date]=$A$3)*(CRDJ[Sort Code]=(TRIM(G$4)))*(CRDJ[Account Code]=(TRIM($B58))),CRDJ[Debit])))+(SUM(IF((GJ[Date]=$A$3)*(GJ[Sort Code]=(TRIM(G$4)))*(GJ[Account Code]=(TRIM($B58))),GJ[Debit]))))-((SUM(IF((CkDJ[Date]=$A$3)*(CkDJ[Sort Code]=(TRIM(G$4)))*(CkDJ[Account Code]=(TRIM($B58))),CkDJ[Credit])))+(SUM(IF((CsDJ[Date]=$A$3)*(CsDJ[Sort Code]=(TRIM(G$4)))*(CsDJ[Account Code]=(TRIM($B58))),CsDJ[Credit])))+(SUM(IF((CRDJ[Date]=$A$3)*(CRDJ[Sort Code]=(TRIM(G$4)))*(CRDJ[Account Code]=(TRIM($B58))),CRDJ[Credit])))+(SUM(IF((GJ[Date]=$A$3)*(GJ[Sort Code]=(TRIM(G$4)))*(GJ[Account Code]=(TRIM($B58))),GJ[Credit]))))</f>
        <v>0</v>
      </c>
      <c r="G58" s="343">
        <f>E58+F58</f>
        <v>0</v>
      </c>
      <c r="H58" s="246">
        <f t="shared" si="5"/>
        <v>0</v>
      </c>
      <c r="I58" s="246">
        <f t="shared" si="6"/>
        <v>0</v>
      </c>
    </row>
    <row r="59" spans="1:9" hidden="1" x14ac:dyDescent="0.2">
      <c r="A59" s="247" t="s">
        <v>1476</v>
      </c>
      <c r="B59" s="339" t="s">
        <v>1262</v>
      </c>
      <c r="C59" s="245">
        <f t="array" ref="C59">SUM(IF((Budget[Account Code]=B59)*(Budget[Sort Code]=$G$4),(Budget[Amount])))</f>
        <v>0</v>
      </c>
      <c r="D59" s="245">
        <f t="array" ref="D59">SUM(IF((Budget[Account Code]=B59)*(Budget[Sort Code]=$G$4)*(Budget[Date]&lt;=$D$7),(Budget[Amount])))</f>
        <v>0</v>
      </c>
      <c r="E59" s="245">
        <f t="array" ref="E59">((SUM(IF((CkDJ[Sort Code]=(TRIM(G$4)))*(CkDJ[Account Code]=(TRIM($B59)))*(CkDJ[Date]&lt;=$E$7),CkDJ[Debit])))+(SUM(IF((CsDJ[Sort Code]=(TRIM(G$4)))*(CsDJ[Account Code]=(TRIM($B59)))*(CsDJ[Date]&lt;=$E$7),CsDJ[Debit])))+(SUM(IF((CRDJ[Sort Code]=(TRIM(G$4)))*(CRDJ[Account Code]=(TRIM($B59)))*(CRDJ[Date]&lt;=$E$7),CRDJ[Debit])))+(SUM(IF((GJ[Sort Code]=(TRIM(G$4)))*(GJ[Account Code]=(TRIM($B59)))*(GJ[Date]&lt;=$E$7),GJ[Debit]))))-((SUM(IF((CkDJ[Sort Code]=(TRIM(G$4)))*(CkDJ[Account Code]=(TRIM($B59)))*(CkDJ[Date]&lt;=$E$7),CkDJ[Credit])))+(SUM(IF((CsDJ[Sort Code]=(TRIM(G$4)))*(CsDJ[Account Code]=(TRIM($B59)))*(CsDJ[Date]&lt;=$E$7),CsDJ[Credit])))+(SUM(IF((CRDJ[Sort Code]=(TRIM(G$4)))*(CRDJ[Account Code]=(TRIM($B59)))*(CRDJ[Date]&lt;=$E$7),CRDJ[Credit])))+(SUM(IF((GJ[Sort Code]=(TRIM(G$4)))*(GJ[Account Code]=(TRIM($B59)))*(GJ[Date]&lt;=$E$7),GJ[Credit]))))</f>
        <v>0</v>
      </c>
      <c r="F59" s="245">
        <f t="array" ref="F59">((SUM(IF((CkDJ[Date]=$A$3)*(CkDJ[Sort Code]=(TRIM(G$4)))*(CkDJ[Account Code]=(TRIM($B59))),CkDJ[Debit])))+(SUM(IF((CsDJ[Date]=$A$3)*(CsDJ[Sort Code]=(TRIM(G$4)))*(CsDJ[Account Code]=(TRIM($B59))),CsDJ[Debit])))+(SUM(IF((CRDJ[Date]=$A$3)*(CRDJ[Sort Code]=(TRIM(G$4)))*(CRDJ[Account Code]=(TRIM($B59))),CRDJ[Debit])))+(SUM(IF((GJ[Date]=$A$3)*(GJ[Sort Code]=(TRIM(G$4)))*(GJ[Account Code]=(TRIM($B59))),GJ[Debit]))))-((SUM(IF((CkDJ[Date]=$A$3)*(CkDJ[Sort Code]=(TRIM(G$4)))*(CkDJ[Account Code]=(TRIM($B59))),CkDJ[Credit])))+(SUM(IF((CsDJ[Date]=$A$3)*(CsDJ[Sort Code]=(TRIM(G$4)))*(CsDJ[Account Code]=(TRIM($B59))),CsDJ[Credit])))+(SUM(IF((CRDJ[Date]=$A$3)*(CRDJ[Sort Code]=(TRIM(G$4)))*(CRDJ[Account Code]=(TRIM($B59))),CRDJ[Credit])))+(SUM(IF((GJ[Date]=$A$3)*(GJ[Sort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Code]=B60)*(Budget[Sort Code]=$G$4),(Budget[Amount])))</f>
        <v>0</v>
      </c>
      <c r="D60" s="245">
        <f t="array" ref="D60">SUM(IF((Budget[Account Code]=B60)*(Budget[Sort Code]=$G$4)*(Budget[Date]&lt;=$D$7),(Budget[Amount])))</f>
        <v>0</v>
      </c>
      <c r="E60" s="245">
        <f t="array" ref="E60">((SUM(IF((CkDJ[Sort Code]=(TRIM(G$4)))*(CkDJ[Account Code]=(TRIM($B60)))*(CkDJ[Date]&lt;=$E$7),CkDJ[Debit])))+(SUM(IF((CsDJ[Sort Code]=(TRIM(G$4)))*(CsDJ[Account Code]=(TRIM($B60)))*(CsDJ[Date]&lt;=$E$7),CsDJ[Debit])))+(SUM(IF((CRDJ[Sort Code]=(TRIM(G$4)))*(CRDJ[Account Code]=(TRIM($B60)))*(CRDJ[Date]&lt;=$E$7),CRDJ[Debit])))+(SUM(IF((GJ[Sort Code]=(TRIM(G$4)))*(GJ[Account Code]=(TRIM($B60)))*(GJ[Date]&lt;=$E$7),GJ[Debit]))))-((SUM(IF((CkDJ[Sort Code]=(TRIM(G$4)))*(CkDJ[Account Code]=(TRIM($B60)))*(CkDJ[Date]&lt;=$E$7),CkDJ[Credit])))+(SUM(IF((CsDJ[Sort Code]=(TRIM(G$4)))*(CsDJ[Account Code]=(TRIM($B60)))*(CsDJ[Date]&lt;=$E$7),CsDJ[Credit])))+(SUM(IF((CRDJ[Sort Code]=(TRIM(G$4)))*(CRDJ[Account Code]=(TRIM($B60)))*(CRDJ[Date]&lt;=$E$7),CRDJ[Credit])))+(SUM(IF((GJ[Sort Code]=(TRIM(G$4)))*(GJ[Account Code]=(TRIM($B60)))*(GJ[Date]&lt;=$E$7),GJ[Credit]))))</f>
        <v>0</v>
      </c>
      <c r="F60" s="245">
        <f t="array" ref="F60">((SUM(IF((CkDJ[Date]=$A$3)*(CkDJ[Sort Code]=(TRIM(G$4)))*(CkDJ[Account Code]=(TRIM($B60))),CkDJ[Debit])))+(SUM(IF((CsDJ[Date]=$A$3)*(CsDJ[Sort Code]=(TRIM(G$4)))*(CsDJ[Account Code]=(TRIM($B60))),CsDJ[Debit])))+(SUM(IF((CRDJ[Date]=$A$3)*(CRDJ[Sort Code]=(TRIM(G$4)))*(CRDJ[Account Code]=(TRIM($B60))),CRDJ[Debit])))+(SUM(IF((GJ[Date]=$A$3)*(GJ[Sort Code]=(TRIM(G$4)))*(GJ[Account Code]=(TRIM($B60))),GJ[Debit]))))-((SUM(IF((CkDJ[Date]=$A$3)*(CkDJ[Sort Code]=(TRIM(G$4)))*(CkDJ[Account Code]=(TRIM($B60))),CkDJ[Credit])))+(SUM(IF((CsDJ[Date]=$A$3)*(CsDJ[Sort Code]=(TRIM(G$4)))*(CsDJ[Account Code]=(TRIM($B60))),CsDJ[Credit])))+(SUM(IF((CRDJ[Date]=$A$3)*(CRDJ[Sort Code]=(TRIM(G$4)))*(CRDJ[Account Code]=(TRIM($B60))),CRDJ[Credit])))+(SUM(IF((GJ[Date]=$A$3)*(GJ[Sort Code]=(TRIM(G$4)))*(GJ[Account Code]=(TRIM($B60))),GJ[Credit]))))</f>
        <v>0</v>
      </c>
      <c r="G60" s="343">
        <f t="shared" ref="G60:G74" si="8">E60+F60</f>
        <v>0</v>
      </c>
      <c r="H60" s="246">
        <f t="shared" si="5"/>
        <v>0</v>
      </c>
      <c r="I60" s="246">
        <f t="shared" si="6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Code]=B61)*(Budget[Sort Code]=$G$4),(Budget[Amount])))</f>
        <v>43200</v>
      </c>
      <c r="D61" s="245">
        <f t="array" ref="D61">SUM(IF((Budget[Account Code]=B61)*(Budget[Sort Code]=$G$4)*(Budget[Date]&lt;=$D$7),(Budget[Amount])))</f>
        <v>43200</v>
      </c>
      <c r="E61" s="245">
        <f t="array" ref="E61">((SUM(IF((CkDJ[Sort Code]=(TRIM(G$4)))*(CkDJ[Account Code]=(TRIM($B61)))*(CkDJ[Date]&lt;=$E$7),CkDJ[Debit])))+(SUM(IF((CsDJ[Sort Code]=(TRIM(G$4)))*(CsDJ[Account Code]=(TRIM($B61)))*(CsDJ[Date]&lt;=$E$7),CsDJ[Debit])))+(SUM(IF((CRDJ[Sort Code]=(TRIM(G$4)))*(CRDJ[Account Code]=(TRIM($B61)))*(CRDJ[Date]&lt;=$E$7),CRDJ[Debit])))+(SUM(IF((GJ[Sort Code]=(TRIM(G$4)))*(GJ[Account Code]=(TRIM($B61)))*(GJ[Date]&lt;=$E$7),GJ[Debit]))))-((SUM(IF((CkDJ[Sort Code]=(TRIM(G$4)))*(CkDJ[Account Code]=(TRIM($B61)))*(CkDJ[Date]&lt;=$E$7),CkDJ[Credit])))+(SUM(IF((CsDJ[Sort Code]=(TRIM(G$4)))*(CsDJ[Account Code]=(TRIM($B61)))*(CsDJ[Date]&lt;=$E$7),CsDJ[Credit])))+(SUM(IF((CRDJ[Sort Code]=(TRIM(G$4)))*(CRDJ[Account Code]=(TRIM($B61)))*(CRDJ[Date]&lt;=$E$7),CRDJ[Credit])))+(SUM(IF((GJ[Sort Code]=(TRIM(G$4)))*(GJ[Account Code]=(TRIM($B61)))*(GJ[Date]&lt;=$E$7),GJ[Credit]))))</f>
        <v>0</v>
      </c>
      <c r="F61" s="245">
        <f t="array" ref="F61">((SUM(IF((CkDJ[Date]=$A$3)*(CkDJ[Sort Code]=(TRIM(G$4)))*(CkDJ[Account Code]=(TRIM($B61))),CkDJ[Debit])))+(SUM(IF((CsDJ[Date]=$A$3)*(CsDJ[Sort Code]=(TRIM(G$4)))*(CsDJ[Account Code]=(TRIM($B61))),CsDJ[Debit])))+(SUM(IF((CRDJ[Date]=$A$3)*(CRDJ[Sort Code]=(TRIM(G$4)))*(CRDJ[Account Code]=(TRIM($B61))),CRDJ[Debit])))+(SUM(IF((GJ[Date]=$A$3)*(GJ[Sort Code]=(TRIM(G$4)))*(GJ[Account Code]=(TRIM($B61))),GJ[Debit]))))-((SUM(IF((CkDJ[Date]=$A$3)*(CkDJ[Sort Code]=(TRIM(G$4)))*(CkDJ[Account Code]=(TRIM($B61))),CkDJ[Credit])))+(SUM(IF((CsDJ[Date]=$A$3)*(CsDJ[Sort Code]=(TRIM(G$4)))*(CsDJ[Account Code]=(TRIM($B61))),CsDJ[Credit])))+(SUM(IF((CRDJ[Date]=$A$3)*(CRDJ[Sort Code]=(TRIM(G$4)))*(CRDJ[Account Code]=(TRIM($B61))),CRDJ[Credit])))+(SUM(IF((GJ[Date]=$A$3)*(GJ[Sort Code]=(TRIM(G$4)))*(GJ[Account Code]=(TRIM($B61))),GJ[Credit]))))</f>
        <v>0</v>
      </c>
      <c r="G61" s="343">
        <f t="shared" si="8"/>
        <v>0</v>
      </c>
      <c r="H61" s="246">
        <f t="shared" si="5"/>
        <v>-43200</v>
      </c>
      <c r="I61" s="246">
        <f t="shared" si="6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Code]=B62)*(Budget[Sort Code]=$G$4),(Budget[Amount])))</f>
        <v>14256</v>
      </c>
      <c r="D62" s="245">
        <f t="array" ref="D62">SUM(IF((Budget[Account Code]=B62)*(Budget[Sort Code]=$G$4)*(Budget[Date]&lt;=$D$7),(Budget[Amount])))</f>
        <v>14256</v>
      </c>
      <c r="E62" s="245">
        <f t="array" ref="E62">((SUM(IF((CkDJ[Sort Code]=(TRIM(G$4)))*(CkDJ[Account Code]=(TRIM($B62)))*(CkDJ[Date]&lt;=$E$7),CkDJ[Debit])))+(SUM(IF((CsDJ[Sort Code]=(TRIM(G$4)))*(CsDJ[Account Code]=(TRIM($B62)))*(CsDJ[Date]&lt;=$E$7),CsDJ[Debit])))+(SUM(IF((CRDJ[Sort Code]=(TRIM(G$4)))*(CRDJ[Account Code]=(TRIM($B62)))*(CRDJ[Date]&lt;=$E$7),CRDJ[Debit])))+(SUM(IF((GJ[Sort Code]=(TRIM(G$4)))*(GJ[Account Code]=(TRIM($B62)))*(GJ[Date]&lt;=$E$7),GJ[Debit]))))-((SUM(IF((CkDJ[Sort Code]=(TRIM(G$4)))*(CkDJ[Account Code]=(TRIM($B62)))*(CkDJ[Date]&lt;=$E$7),CkDJ[Credit])))+(SUM(IF((CsDJ[Sort Code]=(TRIM(G$4)))*(CsDJ[Account Code]=(TRIM($B62)))*(CsDJ[Date]&lt;=$E$7),CsDJ[Credit])))+(SUM(IF((CRDJ[Sort Code]=(TRIM(G$4)))*(CRDJ[Account Code]=(TRIM($B62)))*(CRDJ[Date]&lt;=$E$7),CRDJ[Credit])))+(SUM(IF((GJ[Sort Code]=(TRIM(G$4)))*(GJ[Account Code]=(TRIM($B62)))*(GJ[Date]&lt;=$E$7),GJ[Credit]))))</f>
        <v>0</v>
      </c>
      <c r="F62" s="245">
        <f t="array" ref="F62">((SUM(IF((CkDJ[Date]=$A$3)*(CkDJ[Sort Code]=(TRIM(G$4)))*(CkDJ[Account Code]=(TRIM($B62))),CkDJ[Debit])))+(SUM(IF((CsDJ[Date]=$A$3)*(CsDJ[Sort Code]=(TRIM(G$4)))*(CsDJ[Account Code]=(TRIM($B62))),CsDJ[Debit])))+(SUM(IF((CRDJ[Date]=$A$3)*(CRDJ[Sort Code]=(TRIM(G$4)))*(CRDJ[Account Code]=(TRIM($B62))),CRDJ[Debit])))+(SUM(IF((GJ[Date]=$A$3)*(GJ[Sort Code]=(TRIM(G$4)))*(GJ[Account Code]=(TRIM($B62))),GJ[Debit]))))-((SUM(IF((CkDJ[Date]=$A$3)*(CkDJ[Sort Code]=(TRIM(G$4)))*(CkDJ[Account Code]=(TRIM($B62))),CkDJ[Credit])))+(SUM(IF((CsDJ[Date]=$A$3)*(CsDJ[Sort Code]=(TRIM(G$4)))*(CsDJ[Account Code]=(TRIM($B62))),CsDJ[Credit])))+(SUM(IF((CRDJ[Date]=$A$3)*(CRDJ[Sort Code]=(TRIM(G$4)))*(CRDJ[Account Code]=(TRIM($B62))),CRDJ[Credit])))+(SUM(IF((GJ[Date]=$A$3)*(GJ[Sort Code]=(TRIM(G$4)))*(GJ[Account Code]=(TRIM($B62))),GJ[Credit]))))</f>
        <v>0</v>
      </c>
      <c r="G62" s="343">
        <f t="shared" si="8"/>
        <v>0</v>
      </c>
      <c r="H62" s="246">
        <f t="shared" si="5"/>
        <v>-14256</v>
      </c>
      <c r="I62" s="246">
        <f t="shared" si="6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Code]=B63)*(Budget[Sort Code]=$G$4),(Budget[Amount])))</f>
        <v>1800</v>
      </c>
      <c r="D63" s="245">
        <f t="array" ref="D63">SUM(IF((Budget[Account Code]=B63)*(Budget[Sort Code]=$G$4)*(Budget[Date]&lt;=$D$7),(Budget[Amount])))</f>
        <v>1800</v>
      </c>
      <c r="E63" s="245">
        <f t="array" ref="E63">((SUM(IF((CkDJ[Sort Code]=(TRIM(G$4)))*(CkDJ[Account Code]=(TRIM($B63)))*(CkDJ[Date]&lt;=$E$7),CkDJ[Debit])))+(SUM(IF((CsDJ[Sort Code]=(TRIM(G$4)))*(CsDJ[Account Code]=(TRIM($B63)))*(CsDJ[Date]&lt;=$E$7),CsDJ[Debit])))+(SUM(IF((CRDJ[Sort Code]=(TRIM(G$4)))*(CRDJ[Account Code]=(TRIM($B63)))*(CRDJ[Date]&lt;=$E$7),CRDJ[Debit])))+(SUM(IF((GJ[Sort Code]=(TRIM(G$4)))*(GJ[Account Code]=(TRIM($B63)))*(GJ[Date]&lt;=$E$7),GJ[Debit]))))-((SUM(IF((CkDJ[Sort Code]=(TRIM(G$4)))*(CkDJ[Account Code]=(TRIM($B63)))*(CkDJ[Date]&lt;=$E$7),CkDJ[Credit])))+(SUM(IF((CsDJ[Sort Code]=(TRIM(G$4)))*(CsDJ[Account Code]=(TRIM($B63)))*(CsDJ[Date]&lt;=$E$7),CsDJ[Credit])))+(SUM(IF((CRDJ[Sort Code]=(TRIM(G$4)))*(CRDJ[Account Code]=(TRIM($B63)))*(CRDJ[Date]&lt;=$E$7),CRDJ[Credit])))+(SUM(IF((GJ[Sort Code]=(TRIM(G$4)))*(GJ[Account Code]=(TRIM($B63)))*(GJ[Date]&lt;=$E$7),GJ[Credit]))))</f>
        <v>0</v>
      </c>
      <c r="F63" s="245">
        <f t="array" ref="F63">((SUM(IF((CkDJ[Date]=$A$3)*(CkDJ[Sort Code]=(TRIM(G$4)))*(CkDJ[Account Code]=(TRIM($B63))),CkDJ[Debit])))+(SUM(IF((CsDJ[Date]=$A$3)*(CsDJ[Sort Code]=(TRIM(G$4)))*(CsDJ[Account Code]=(TRIM($B63))),CsDJ[Debit])))+(SUM(IF((CRDJ[Date]=$A$3)*(CRDJ[Sort Code]=(TRIM(G$4)))*(CRDJ[Account Code]=(TRIM($B63))),CRDJ[Debit])))+(SUM(IF((GJ[Date]=$A$3)*(GJ[Sort Code]=(TRIM(G$4)))*(GJ[Account Code]=(TRIM($B63))),GJ[Debit]))))-((SUM(IF((CkDJ[Date]=$A$3)*(CkDJ[Sort Code]=(TRIM(G$4)))*(CkDJ[Account Code]=(TRIM($B63))),CkDJ[Credit])))+(SUM(IF((CsDJ[Date]=$A$3)*(CsDJ[Sort Code]=(TRIM(G$4)))*(CsDJ[Account Code]=(TRIM($B63))),CsDJ[Credit])))+(SUM(IF((CRDJ[Date]=$A$3)*(CRDJ[Sort Code]=(TRIM(G$4)))*(CRDJ[Account Code]=(TRIM($B63))),CRDJ[Credit])))+(SUM(IF((GJ[Date]=$A$3)*(GJ[Sort Code]=(TRIM(G$4)))*(GJ[Account Code]=(TRIM($B63))),GJ[Credit]))))</f>
        <v>0</v>
      </c>
      <c r="G63" s="343">
        <f t="shared" si="8"/>
        <v>0</v>
      </c>
      <c r="H63" s="246">
        <f t="shared" si="5"/>
        <v>-1800</v>
      </c>
      <c r="I63" s="246">
        <f t="shared" si="6"/>
        <v>0</v>
      </c>
    </row>
    <row r="64" spans="1:9" x14ac:dyDescent="0.2">
      <c r="A64" s="247" t="s">
        <v>1378</v>
      </c>
      <c r="B64" s="339" t="s">
        <v>169</v>
      </c>
      <c r="C64" s="245">
        <f t="array" ref="C64">SUM(IF((Budget[Account Code]=B64)*(Budget[Sort Code]=$G$4),(Budget[Amount])))</f>
        <v>0</v>
      </c>
      <c r="D64" s="245">
        <f t="array" ref="D64">SUM(IF((Budget[Account Code]=B64)*(Budget[Sort Code]=$G$4)*(Budget[Date]&lt;=$D$7),(Budget[Amount])))</f>
        <v>0</v>
      </c>
      <c r="E64" s="245">
        <f t="array" ref="E64">((SUM(IF((CkDJ[Sort Code]=(TRIM(G$4)))*(CkDJ[Account Code]=(TRIM($B64)))*(CkDJ[Date]&lt;=$E$7),CkDJ[Debit])))+(SUM(IF((CsDJ[Sort Code]=(TRIM(G$4)))*(CsDJ[Account Code]=(TRIM($B64)))*(CsDJ[Date]&lt;=$E$7),CsDJ[Debit])))+(SUM(IF((CRDJ[Sort Code]=(TRIM(G$4)))*(CRDJ[Account Code]=(TRIM($B64)))*(CRDJ[Date]&lt;=$E$7),CRDJ[Debit])))+(SUM(IF((GJ[Sort Code]=(TRIM(G$4)))*(GJ[Account Code]=(TRIM($B64)))*(GJ[Date]&lt;=$E$7),GJ[Debit]))))-((SUM(IF((CkDJ[Sort Code]=(TRIM(G$4)))*(CkDJ[Account Code]=(TRIM($B64)))*(CkDJ[Date]&lt;=$E$7),CkDJ[Credit])))+(SUM(IF((CsDJ[Sort Code]=(TRIM(G$4)))*(CsDJ[Account Code]=(TRIM($B64)))*(CsDJ[Date]&lt;=$E$7),CsDJ[Credit])))+(SUM(IF((CRDJ[Sort Code]=(TRIM(G$4)))*(CRDJ[Account Code]=(TRIM($B64)))*(CRDJ[Date]&lt;=$E$7),CRDJ[Credit])))+(SUM(IF((GJ[Sort Code]=(TRIM(G$4)))*(GJ[Account Code]=(TRIM($B64)))*(GJ[Date]&lt;=$E$7),GJ[Credit]))))</f>
        <v>0</v>
      </c>
      <c r="F64" s="245">
        <f t="array" ref="F64">((SUM(IF((CkDJ[Date]=$A$3)*(CkDJ[Sort Code]=(TRIM(G$4)))*(CkDJ[Account Code]=(TRIM($B64))),CkDJ[Debit])))+(SUM(IF((CsDJ[Date]=$A$3)*(CsDJ[Sort Code]=(TRIM(G$4)))*(CsDJ[Account Code]=(TRIM($B64))),CsDJ[Debit])))+(SUM(IF((CRDJ[Date]=$A$3)*(CRDJ[Sort Code]=(TRIM(G$4)))*(CRDJ[Account Code]=(TRIM($B64))),CRDJ[Debit])))+(SUM(IF((GJ[Date]=$A$3)*(GJ[Sort Code]=(TRIM(G$4)))*(GJ[Account Code]=(TRIM($B64))),GJ[Debit]))))-((SUM(IF((CkDJ[Date]=$A$3)*(CkDJ[Sort Code]=(TRIM(G$4)))*(CkDJ[Account Code]=(TRIM($B64))),CkDJ[Credit])))+(SUM(IF((CsDJ[Date]=$A$3)*(CsDJ[Sort Code]=(TRIM(G$4)))*(CsDJ[Account Code]=(TRIM($B64))),CsDJ[Credit])))+(SUM(IF((CRDJ[Date]=$A$3)*(CRDJ[Sort Code]=(TRIM(G$4)))*(CRDJ[Account Code]=(TRIM($B64))),CRDJ[Credit])))+(SUM(IF((GJ[Date]=$A$3)*(GJ[Sort Code]=(TRIM(G$4)))*(GJ[Account Code]=(TRIM($B64))),GJ[Credit]))))</f>
        <v>0</v>
      </c>
      <c r="G64" s="343">
        <f t="shared" si="8"/>
        <v>0</v>
      </c>
      <c r="H64" s="246">
        <f t="shared" si="5"/>
        <v>0</v>
      </c>
      <c r="I64" s="246">
        <f t="shared" si="6"/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Code]=B65)*(Budget[Sort Code]=$G$4),(Budget[Amount])))</f>
        <v>0</v>
      </c>
      <c r="D65" s="245">
        <f t="array" ref="D65">SUM(IF((Budget[Account Code]=B65)*(Budget[Sort Code]=$G$4)*(Budget[Date]&lt;=$D$7),(Budget[Amount])))</f>
        <v>0</v>
      </c>
      <c r="E65" s="245">
        <f t="array" ref="E65">((SUM(IF((CkDJ[Sort Code]=(TRIM(G$4)))*(CkDJ[Account Code]=(TRIM($B65)))*(CkDJ[Date]&lt;=$E$7),CkDJ[Debit])))+(SUM(IF((CsDJ[Sort Code]=(TRIM(G$4)))*(CsDJ[Account Code]=(TRIM($B65)))*(CsDJ[Date]&lt;=$E$7),CsDJ[Debit])))+(SUM(IF((CRDJ[Sort Code]=(TRIM(G$4)))*(CRDJ[Account Code]=(TRIM($B65)))*(CRDJ[Date]&lt;=$E$7),CRDJ[Debit])))+(SUM(IF((GJ[Sort Code]=(TRIM(G$4)))*(GJ[Account Code]=(TRIM($B65)))*(GJ[Date]&lt;=$E$7),GJ[Debit]))))-((SUM(IF((CkDJ[Sort Code]=(TRIM(G$4)))*(CkDJ[Account Code]=(TRIM($B65)))*(CkDJ[Date]&lt;=$E$7),CkDJ[Credit])))+(SUM(IF((CsDJ[Sort Code]=(TRIM(G$4)))*(CsDJ[Account Code]=(TRIM($B65)))*(CsDJ[Date]&lt;=$E$7),CsDJ[Credit])))+(SUM(IF((CRDJ[Sort Code]=(TRIM(G$4)))*(CRDJ[Account Code]=(TRIM($B65)))*(CRDJ[Date]&lt;=$E$7),CRDJ[Credit])))+(SUM(IF((GJ[Sort Code]=(TRIM(G$4)))*(GJ[Account Code]=(TRIM($B65)))*(GJ[Date]&lt;=$E$7),GJ[Credit]))))</f>
        <v>0</v>
      </c>
      <c r="F65" s="245">
        <f t="array" ref="F65">((SUM(IF((CkDJ[Date]=$A$3)*(CkDJ[Sort Code]=(TRIM(G$4)))*(CkDJ[Account Code]=(TRIM($B65))),CkDJ[Debit])))+(SUM(IF((CsDJ[Date]=$A$3)*(CsDJ[Sort Code]=(TRIM(G$4)))*(CsDJ[Account Code]=(TRIM($B65))),CsDJ[Debit])))+(SUM(IF((CRDJ[Date]=$A$3)*(CRDJ[Sort Code]=(TRIM(G$4)))*(CRDJ[Account Code]=(TRIM($B65))),CRDJ[Debit])))+(SUM(IF((GJ[Date]=$A$3)*(GJ[Sort Code]=(TRIM(G$4)))*(GJ[Account Code]=(TRIM($B65))),GJ[Debit]))))-((SUM(IF((CkDJ[Date]=$A$3)*(CkDJ[Sort Code]=(TRIM(G$4)))*(CkDJ[Account Code]=(TRIM($B65))),CkDJ[Credit])))+(SUM(IF((CsDJ[Date]=$A$3)*(CsDJ[Sort Code]=(TRIM(G$4)))*(CsDJ[Account Code]=(TRIM($B65))),CsDJ[Credit])))+(SUM(IF((CRDJ[Date]=$A$3)*(CRDJ[Sort Code]=(TRIM(G$4)))*(CRDJ[Account Code]=(TRIM($B65))),CRDJ[Credit])))+(SUM(IF((GJ[Date]=$A$3)*(GJ[Sort Code]=(TRIM(G$4)))*(GJ[Account Code]=(TRIM($B65))),GJ[Credit]))))</f>
        <v>0</v>
      </c>
      <c r="G65" s="343">
        <f t="shared" si="8"/>
        <v>0</v>
      </c>
      <c r="H65" s="246">
        <f t="shared" si="5"/>
        <v>0</v>
      </c>
      <c r="I65" s="246">
        <f t="shared" si="6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Code]=B66)*(Budget[Sort Code]=$G$4),(Budget[Amount])))</f>
        <v>0</v>
      </c>
      <c r="D66" s="245">
        <f t="array" ref="D66">SUM(IF((Budget[Account Code]=B66)*(Budget[Sort Code]=$G$4)*(Budget[Date]&lt;=$D$7),(Budget[Amount])))</f>
        <v>0</v>
      </c>
      <c r="E66" s="245">
        <f t="array" ref="E66">((SUM(IF((CkDJ[Sort Code]=(TRIM(G$4)))*(CkDJ[Account Code]=(TRIM($B66)))*(CkDJ[Date]&lt;=$E$7),CkDJ[Debit])))+(SUM(IF((CsDJ[Sort Code]=(TRIM(G$4)))*(CsDJ[Account Code]=(TRIM($B66)))*(CsDJ[Date]&lt;=$E$7),CsDJ[Debit])))+(SUM(IF((CRDJ[Sort Code]=(TRIM(G$4)))*(CRDJ[Account Code]=(TRIM($B66)))*(CRDJ[Date]&lt;=$E$7),CRDJ[Debit])))+(SUM(IF((GJ[Sort Code]=(TRIM(G$4)))*(GJ[Account Code]=(TRIM($B66)))*(GJ[Date]&lt;=$E$7),GJ[Debit]))))-((SUM(IF((CkDJ[Sort Code]=(TRIM(G$4)))*(CkDJ[Account Code]=(TRIM($B66)))*(CkDJ[Date]&lt;=$E$7),CkDJ[Credit])))+(SUM(IF((CsDJ[Sort Code]=(TRIM(G$4)))*(CsDJ[Account Code]=(TRIM($B66)))*(CsDJ[Date]&lt;=$E$7),CsDJ[Credit])))+(SUM(IF((CRDJ[Sort Code]=(TRIM(G$4)))*(CRDJ[Account Code]=(TRIM($B66)))*(CRDJ[Date]&lt;=$E$7),CRDJ[Credit])))+(SUM(IF((GJ[Sort Code]=(TRIM(G$4)))*(GJ[Account Code]=(TRIM($B66)))*(GJ[Date]&lt;=$E$7),GJ[Credit]))))</f>
        <v>0</v>
      </c>
      <c r="F66" s="245">
        <f t="array" ref="F66">((SUM(IF((CkDJ[Date]=$A$3)*(CkDJ[Sort Code]=(TRIM(G$4)))*(CkDJ[Account Code]=(TRIM($B66))),CkDJ[Debit])))+(SUM(IF((CsDJ[Date]=$A$3)*(CsDJ[Sort Code]=(TRIM(G$4)))*(CsDJ[Account Code]=(TRIM($B66))),CsDJ[Debit])))+(SUM(IF((CRDJ[Date]=$A$3)*(CRDJ[Sort Code]=(TRIM(G$4)))*(CRDJ[Account Code]=(TRIM($B66))),CRDJ[Debit])))+(SUM(IF((GJ[Date]=$A$3)*(GJ[Sort Code]=(TRIM(G$4)))*(GJ[Account Code]=(TRIM($B66))),GJ[Debit]))))-((SUM(IF((CkDJ[Date]=$A$3)*(CkDJ[Sort Code]=(TRIM(G$4)))*(CkDJ[Account Code]=(TRIM($B66))),CkDJ[Credit])))+(SUM(IF((CsDJ[Date]=$A$3)*(CsDJ[Sort Code]=(TRIM(G$4)))*(CsDJ[Account Code]=(TRIM($B66))),CsDJ[Credit])))+(SUM(IF((CRDJ[Date]=$A$3)*(CRDJ[Sort Code]=(TRIM(G$4)))*(CRDJ[Account Code]=(TRIM($B66))),CRDJ[Credit])))+(SUM(IF((GJ[Date]=$A$3)*(GJ[Sort Code]=(TRIM(G$4)))*(GJ[Account Code]=(TRIM($B66))),GJ[Credit]))))</f>
        <v>0</v>
      </c>
      <c r="G66" s="343">
        <f t="shared" si="8"/>
        <v>0</v>
      </c>
      <c r="H66" s="246">
        <f t="shared" si="5"/>
        <v>0</v>
      </c>
      <c r="I66" s="246">
        <f t="shared" si="6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Code]=B67)*(Budget[Sort Code]=$G$4),(Budget[Amount])))</f>
        <v>280000</v>
      </c>
      <c r="D67" s="245">
        <f t="array" ref="D67">SUM(IF((Budget[Account Code]=B67)*(Budget[Sort Code]=$G$4)*(Budget[Date]&lt;=$D$7),(Budget[Amount])))</f>
        <v>280000</v>
      </c>
      <c r="E67" s="245">
        <f t="array" ref="E67">((SUM(IF((CkDJ[Sort Code]=(TRIM(G$4)))*(CkDJ[Account Code]=(TRIM($B67)))*(CkDJ[Date]&lt;=$E$7),CkDJ[Debit])))+(SUM(IF((CsDJ[Sort Code]=(TRIM(G$4)))*(CsDJ[Account Code]=(TRIM($B67)))*(CsDJ[Date]&lt;=$E$7),CsDJ[Debit])))+(SUM(IF((CRDJ[Sort Code]=(TRIM(G$4)))*(CRDJ[Account Code]=(TRIM($B67)))*(CRDJ[Date]&lt;=$E$7),CRDJ[Debit])))+(SUM(IF((GJ[Sort Code]=(TRIM(G$4)))*(GJ[Account Code]=(TRIM($B67)))*(GJ[Date]&lt;=$E$7),GJ[Debit]))))-((SUM(IF((CkDJ[Sort Code]=(TRIM(G$4)))*(CkDJ[Account Code]=(TRIM($B67)))*(CkDJ[Date]&lt;=$E$7),CkDJ[Credit])))+(SUM(IF((CsDJ[Sort Code]=(TRIM(G$4)))*(CsDJ[Account Code]=(TRIM($B67)))*(CsDJ[Date]&lt;=$E$7),CsDJ[Credit])))+(SUM(IF((CRDJ[Sort Code]=(TRIM(G$4)))*(CRDJ[Account Code]=(TRIM($B67)))*(CRDJ[Date]&lt;=$E$7),CRDJ[Credit])))+(SUM(IF((GJ[Sort Code]=(TRIM(G$4)))*(GJ[Account Code]=(TRIM($B67)))*(GJ[Date]&lt;=$E$7),GJ[Credit]))))</f>
        <v>0</v>
      </c>
      <c r="F67" s="245">
        <f t="array" ref="F67">((SUM(IF((CkDJ[Date]=$A$3)*(CkDJ[Sort Code]=(TRIM(G$4)))*(CkDJ[Account Code]=(TRIM($B67))),CkDJ[Debit])))+(SUM(IF((CsDJ[Date]=$A$3)*(CsDJ[Sort Code]=(TRIM(G$4)))*(CsDJ[Account Code]=(TRIM($B67))),CsDJ[Debit])))+(SUM(IF((CRDJ[Date]=$A$3)*(CRDJ[Sort Code]=(TRIM(G$4)))*(CRDJ[Account Code]=(TRIM($B67))),CRDJ[Debit])))+(SUM(IF((GJ[Date]=$A$3)*(GJ[Sort Code]=(TRIM(G$4)))*(GJ[Account Code]=(TRIM($B67))),GJ[Debit]))))-((SUM(IF((CkDJ[Date]=$A$3)*(CkDJ[Sort Code]=(TRIM(G$4)))*(CkDJ[Account Code]=(TRIM($B67))),CkDJ[Credit])))+(SUM(IF((CsDJ[Date]=$A$3)*(CsDJ[Sort Code]=(TRIM(G$4)))*(CsDJ[Account Code]=(TRIM($B67))),CsDJ[Credit])))+(SUM(IF((CRDJ[Date]=$A$3)*(CRDJ[Sort Code]=(TRIM(G$4)))*(CRDJ[Account Code]=(TRIM($B67))),CRDJ[Credit])))+(SUM(IF((GJ[Date]=$A$3)*(GJ[Sort Code]=(TRIM(G$4)))*(GJ[Account Code]=(TRIM($B67))),GJ[Credit]))))</f>
        <v>0</v>
      </c>
      <c r="G67" s="343">
        <f t="shared" si="8"/>
        <v>0</v>
      </c>
      <c r="H67" s="246">
        <f t="shared" si="5"/>
        <v>-280000</v>
      </c>
      <c r="I67" s="246">
        <f t="shared" si="6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Code]=B68)*(Budget[Sort Code]=$G$4),(Budget[Amount])))</f>
        <v>2273394</v>
      </c>
      <c r="D68" s="245">
        <f t="array" ref="D68">SUM(IF((Budget[Account Code]=B68)*(Budget[Sort Code]=$G$4)*(Budget[Date]&lt;=$D$7),(Budget[Amount])))</f>
        <v>2273394</v>
      </c>
      <c r="E68" s="245">
        <f t="array" ref="E68">((SUM(IF((CkDJ[Sort Code]=(TRIM(G$4)))*(CkDJ[Account Code]=(TRIM($B68)))*(CkDJ[Date]&lt;=$E$7),CkDJ[Debit])))+(SUM(IF((CsDJ[Sort Code]=(TRIM(G$4)))*(CsDJ[Account Code]=(TRIM($B68)))*(CsDJ[Date]&lt;=$E$7),CsDJ[Debit])))+(SUM(IF((CRDJ[Sort Code]=(TRIM(G$4)))*(CRDJ[Account Code]=(TRIM($B68)))*(CRDJ[Date]&lt;=$E$7),CRDJ[Debit])))+(SUM(IF((GJ[Sort Code]=(TRIM(G$4)))*(GJ[Account Code]=(TRIM($B68)))*(GJ[Date]&lt;=$E$7),GJ[Debit]))))-((SUM(IF((CkDJ[Sort Code]=(TRIM(G$4)))*(CkDJ[Account Code]=(TRIM($B68)))*(CkDJ[Date]&lt;=$E$7),CkDJ[Credit])))+(SUM(IF((CsDJ[Sort Code]=(TRIM(G$4)))*(CsDJ[Account Code]=(TRIM($B68)))*(CsDJ[Date]&lt;=$E$7),CsDJ[Credit])))+(SUM(IF((CRDJ[Sort Code]=(TRIM(G$4)))*(CRDJ[Account Code]=(TRIM($B68)))*(CRDJ[Date]&lt;=$E$7),CRDJ[Credit])))+(SUM(IF((GJ[Sort Code]=(TRIM(G$4)))*(GJ[Account Code]=(TRIM($B68)))*(GJ[Date]&lt;=$E$7),GJ[Credit]))))</f>
        <v>0</v>
      </c>
      <c r="F68" s="245">
        <f t="array" ref="F68">((SUM(IF((CkDJ[Date]=$A$3)*(CkDJ[Sort Code]=(TRIM(G$4)))*(CkDJ[Account Code]=(TRIM($B68))),CkDJ[Debit])))+(SUM(IF((CsDJ[Date]=$A$3)*(CsDJ[Sort Code]=(TRIM(G$4)))*(CsDJ[Account Code]=(TRIM($B68))),CsDJ[Debit])))+(SUM(IF((CRDJ[Date]=$A$3)*(CRDJ[Sort Code]=(TRIM(G$4)))*(CRDJ[Account Code]=(TRIM($B68))),CRDJ[Debit])))+(SUM(IF((GJ[Date]=$A$3)*(GJ[Sort Code]=(TRIM(G$4)))*(GJ[Account Code]=(TRIM($B68))),GJ[Debit]))))-((SUM(IF((CkDJ[Date]=$A$3)*(CkDJ[Sort Code]=(TRIM(G$4)))*(CkDJ[Account Code]=(TRIM($B68))),CkDJ[Credit])))+(SUM(IF((CsDJ[Date]=$A$3)*(CsDJ[Sort Code]=(TRIM(G$4)))*(CsDJ[Account Code]=(TRIM($B68))),CsDJ[Credit])))+(SUM(IF((CRDJ[Date]=$A$3)*(CRDJ[Sort Code]=(TRIM(G$4)))*(CRDJ[Account Code]=(TRIM($B68))),CRDJ[Credit])))+(SUM(IF((GJ[Date]=$A$3)*(GJ[Sort Code]=(TRIM(G$4)))*(GJ[Account Code]=(TRIM($B68))),GJ[Credit]))))</f>
        <v>0</v>
      </c>
      <c r="G68" s="343">
        <f t="shared" si="8"/>
        <v>0</v>
      </c>
      <c r="H68" s="246">
        <f t="shared" si="5"/>
        <v>-2273394</v>
      </c>
      <c r="I68" s="246">
        <f t="shared" si="6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Code]=B69)*(Budget[Sort Code]=$G$4),(Budget[Amount])))</f>
        <v>1666798.56</v>
      </c>
      <c r="D69" s="245">
        <f t="array" ref="D69">SUM(IF((Budget[Account Code]=B69)*(Budget[Sort Code]=$G$4)*(Budget[Date]&lt;=$D$7),(Budget[Amount])))</f>
        <v>1666798.56</v>
      </c>
      <c r="E69" s="245">
        <f t="array" ref="E69">((SUM(IF((CkDJ[Sort Code]=(TRIM(G$4)))*(CkDJ[Account Code]=(TRIM($B69)))*(CkDJ[Date]&lt;=$E$7),CkDJ[Debit])))+(SUM(IF((CsDJ[Sort Code]=(TRIM(G$4)))*(CsDJ[Account Code]=(TRIM($B69)))*(CsDJ[Date]&lt;=$E$7),CsDJ[Debit])))+(SUM(IF((CRDJ[Sort Code]=(TRIM(G$4)))*(CRDJ[Account Code]=(TRIM($B69)))*(CRDJ[Date]&lt;=$E$7),CRDJ[Debit])))+(SUM(IF((GJ[Sort Code]=(TRIM(G$4)))*(GJ[Account Code]=(TRIM($B69)))*(GJ[Date]&lt;=$E$7),GJ[Debit]))))-((SUM(IF((CkDJ[Sort Code]=(TRIM(G$4)))*(CkDJ[Account Code]=(TRIM($B69)))*(CkDJ[Date]&lt;=$E$7),CkDJ[Credit])))+(SUM(IF((CsDJ[Sort Code]=(TRIM(G$4)))*(CsDJ[Account Code]=(TRIM($B69)))*(CsDJ[Date]&lt;=$E$7),CsDJ[Credit])))+(SUM(IF((CRDJ[Sort Code]=(TRIM(G$4)))*(CRDJ[Account Code]=(TRIM($B69)))*(CRDJ[Date]&lt;=$E$7),CRDJ[Credit])))+(SUM(IF((GJ[Sort Code]=(TRIM(G$4)))*(GJ[Account Code]=(TRIM($B69)))*(GJ[Date]&lt;=$E$7),GJ[Credit]))))</f>
        <v>0</v>
      </c>
      <c r="F69" s="245">
        <f t="array" ref="F69">((SUM(IF((CkDJ[Date]=$A$3)*(CkDJ[Sort Code]=(TRIM(G$4)))*(CkDJ[Account Code]=(TRIM($B69))),CkDJ[Debit])))+(SUM(IF((CsDJ[Date]=$A$3)*(CsDJ[Sort Code]=(TRIM(G$4)))*(CsDJ[Account Code]=(TRIM($B69))),CsDJ[Debit])))+(SUM(IF((CRDJ[Date]=$A$3)*(CRDJ[Sort Code]=(TRIM(G$4)))*(CRDJ[Account Code]=(TRIM($B69))),CRDJ[Debit])))+(SUM(IF((GJ[Date]=$A$3)*(GJ[Sort Code]=(TRIM(G$4)))*(GJ[Account Code]=(TRIM($B69))),GJ[Debit]))))-((SUM(IF((CkDJ[Date]=$A$3)*(CkDJ[Sort Code]=(TRIM(G$4)))*(CkDJ[Account Code]=(TRIM($B69))),CkDJ[Credit])))+(SUM(IF((CsDJ[Date]=$A$3)*(CsDJ[Sort Code]=(TRIM(G$4)))*(CsDJ[Account Code]=(TRIM($B69))),CsDJ[Credit])))+(SUM(IF((CRDJ[Date]=$A$3)*(CRDJ[Sort Code]=(TRIM(G$4)))*(CRDJ[Account Code]=(TRIM($B69))),CRDJ[Credit])))+(SUM(IF((GJ[Date]=$A$3)*(GJ[Sort Code]=(TRIM(G$4)))*(GJ[Account Code]=(TRIM($B69))),GJ[Credit]))))</f>
        <v>0</v>
      </c>
      <c r="G69" s="343">
        <f t="shared" si="8"/>
        <v>0</v>
      </c>
      <c r="H69" s="246">
        <f t="shared" si="5"/>
        <v>-1666798.56</v>
      </c>
      <c r="I69" s="246">
        <f t="shared" si="6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Code]=B70)*(Budget[Sort Code]=$G$4),(Budget[Amount])))</f>
        <v>69600</v>
      </c>
      <c r="D70" s="245">
        <f t="array" ref="D70">SUM(IF((Budget[Account Code]=B70)*(Budget[Sort Code]=$G$4)*(Budget[Date]&lt;=$D$7),(Budget[Amount])))</f>
        <v>69600</v>
      </c>
      <c r="E70" s="245">
        <f t="array" ref="E70">((SUM(IF((CkDJ[Sort Code]=(TRIM(G$4)))*(CkDJ[Account Code]=(TRIM($B70)))*(CkDJ[Date]&lt;=$E$7),CkDJ[Debit])))+(SUM(IF((CsDJ[Sort Code]=(TRIM(G$4)))*(CsDJ[Account Code]=(TRIM($B70)))*(CsDJ[Date]&lt;=$E$7),CsDJ[Debit])))+(SUM(IF((CRDJ[Sort Code]=(TRIM(G$4)))*(CRDJ[Account Code]=(TRIM($B70)))*(CRDJ[Date]&lt;=$E$7),CRDJ[Debit])))+(SUM(IF((GJ[Sort Code]=(TRIM(G$4)))*(GJ[Account Code]=(TRIM($B70)))*(GJ[Date]&lt;=$E$7),GJ[Debit]))))-((SUM(IF((CkDJ[Sort Code]=(TRIM(G$4)))*(CkDJ[Account Code]=(TRIM($B70)))*(CkDJ[Date]&lt;=$E$7),CkDJ[Credit])))+(SUM(IF((CsDJ[Sort Code]=(TRIM(G$4)))*(CsDJ[Account Code]=(TRIM($B70)))*(CsDJ[Date]&lt;=$E$7),CsDJ[Credit])))+(SUM(IF((CRDJ[Sort Code]=(TRIM(G$4)))*(CRDJ[Account Code]=(TRIM($B70)))*(CRDJ[Date]&lt;=$E$7),CRDJ[Credit])))+(SUM(IF((GJ[Sort Code]=(TRIM(G$4)))*(GJ[Account Code]=(TRIM($B70)))*(GJ[Date]&lt;=$E$7),GJ[Credit]))))</f>
        <v>0</v>
      </c>
      <c r="F70" s="245">
        <f t="array" ref="F70">((SUM(IF((CkDJ[Date]=$A$3)*(CkDJ[Sort Code]=(TRIM(G$4)))*(CkDJ[Account Code]=(TRIM($B70))),CkDJ[Debit])))+(SUM(IF((CsDJ[Date]=$A$3)*(CsDJ[Sort Code]=(TRIM(G$4)))*(CsDJ[Account Code]=(TRIM($B70))),CsDJ[Debit])))+(SUM(IF((CRDJ[Date]=$A$3)*(CRDJ[Sort Code]=(TRIM(G$4)))*(CRDJ[Account Code]=(TRIM($B70))),CRDJ[Debit])))+(SUM(IF((GJ[Date]=$A$3)*(GJ[Sort Code]=(TRIM(G$4)))*(GJ[Account Code]=(TRIM($B70))),GJ[Debit]))))-((SUM(IF((CkDJ[Date]=$A$3)*(CkDJ[Sort Code]=(TRIM(G$4)))*(CkDJ[Account Code]=(TRIM($B70))),CkDJ[Credit])))+(SUM(IF((CsDJ[Date]=$A$3)*(CsDJ[Sort Code]=(TRIM(G$4)))*(CsDJ[Account Code]=(TRIM($B70))),CsDJ[Credit])))+(SUM(IF((CRDJ[Date]=$A$3)*(CRDJ[Sort Code]=(TRIM(G$4)))*(CRDJ[Account Code]=(TRIM($B70))),CRDJ[Credit])))+(SUM(IF((GJ[Date]=$A$3)*(GJ[Sort Code]=(TRIM(G$4)))*(GJ[Account Code]=(TRIM($B70))),GJ[Credit]))))</f>
        <v>0</v>
      </c>
      <c r="G70" s="343">
        <f t="shared" si="8"/>
        <v>0</v>
      </c>
      <c r="H70" s="246">
        <f t="shared" si="5"/>
        <v>-69600</v>
      </c>
      <c r="I70" s="246">
        <f t="shared" si="6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Code]=B71)*(Budget[Sort Code]=$G$4),(Budget[Amount])))</f>
        <v>165000</v>
      </c>
      <c r="D71" s="245">
        <f t="array" ref="D71">SUM(IF((Budget[Account Code]=B71)*(Budget[Sort Code]=$G$4)*(Budget[Date]&lt;=$D$7),(Budget[Amount])))</f>
        <v>165000</v>
      </c>
      <c r="E71" s="245">
        <f t="array" ref="E71">((SUM(IF((CkDJ[Sort Code]=(TRIM(G$4)))*(CkDJ[Account Code]=(TRIM($B71)))*(CkDJ[Date]&lt;=$E$7),CkDJ[Debit])))+(SUM(IF((CsDJ[Sort Code]=(TRIM(G$4)))*(CsDJ[Account Code]=(TRIM($B71)))*(CsDJ[Date]&lt;=$E$7),CsDJ[Debit])))+(SUM(IF((CRDJ[Sort Code]=(TRIM(G$4)))*(CRDJ[Account Code]=(TRIM($B71)))*(CRDJ[Date]&lt;=$E$7),CRDJ[Debit])))+(SUM(IF((GJ[Sort Code]=(TRIM(G$4)))*(GJ[Account Code]=(TRIM($B71)))*(GJ[Date]&lt;=$E$7),GJ[Debit]))))-((SUM(IF((CkDJ[Sort Code]=(TRIM(G$4)))*(CkDJ[Account Code]=(TRIM($B71)))*(CkDJ[Date]&lt;=$E$7),CkDJ[Credit])))+(SUM(IF((CsDJ[Sort Code]=(TRIM(G$4)))*(CsDJ[Account Code]=(TRIM($B71)))*(CsDJ[Date]&lt;=$E$7),CsDJ[Credit])))+(SUM(IF((CRDJ[Sort Code]=(TRIM(G$4)))*(CRDJ[Account Code]=(TRIM($B71)))*(CRDJ[Date]&lt;=$E$7),CRDJ[Credit])))+(SUM(IF((GJ[Sort Code]=(TRIM(G$4)))*(GJ[Account Code]=(TRIM($B71)))*(GJ[Date]&lt;=$E$7),GJ[Credit]))))</f>
        <v>0</v>
      </c>
      <c r="F71" s="245">
        <f t="array" ref="F71">((SUM(IF((CkDJ[Date]=$A$3)*(CkDJ[Sort Code]=(TRIM(G$4)))*(CkDJ[Account Code]=(TRIM($B71))),CkDJ[Debit])))+(SUM(IF((CsDJ[Date]=$A$3)*(CsDJ[Sort Code]=(TRIM(G$4)))*(CsDJ[Account Code]=(TRIM($B71))),CsDJ[Debit])))+(SUM(IF((CRDJ[Date]=$A$3)*(CRDJ[Sort Code]=(TRIM(G$4)))*(CRDJ[Account Code]=(TRIM($B71))),CRDJ[Debit])))+(SUM(IF((GJ[Date]=$A$3)*(GJ[Sort Code]=(TRIM(G$4)))*(GJ[Account Code]=(TRIM($B71))),GJ[Debit]))))-((SUM(IF((CkDJ[Date]=$A$3)*(CkDJ[Sort Code]=(TRIM(G$4)))*(CkDJ[Account Code]=(TRIM($B71))),CkDJ[Credit])))+(SUM(IF((CsDJ[Date]=$A$3)*(CsDJ[Sort Code]=(TRIM(G$4)))*(CsDJ[Account Code]=(TRIM($B71))),CsDJ[Credit])))+(SUM(IF((CRDJ[Date]=$A$3)*(CRDJ[Sort Code]=(TRIM(G$4)))*(CRDJ[Account Code]=(TRIM($B71))),CRDJ[Credit])))+(SUM(IF((GJ[Date]=$A$3)*(GJ[Sort Code]=(TRIM(G$4)))*(GJ[Account Code]=(TRIM($B71))),GJ[Credit]))))</f>
        <v>0</v>
      </c>
      <c r="G71" s="343">
        <f t="shared" si="8"/>
        <v>0</v>
      </c>
      <c r="H71" s="246">
        <f t="shared" si="5"/>
        <v>-165000</v>
      </c>
      <c r="I71" s="246">
        <f t="shared" si="6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Code]=B72)*(Budget[Sort Code]=$G$4),(Budget[Amount])))</f>
        <v>69600</v>
      </c>
      <c r="D72" s="245">
        <f t="array" ref="D72">SUM(IF((Budget[Account Code]=B72)*(Budget[Sort Code]=$G$4)*(Budget[Date]&lt;=$D$7),(Budget[Amount])))</f>
        <v>69600</v>
      </c>
      <c r="E72" s="245">
        <f t="array" ref="E72">((SUM(IF((CkDJ[Sort Code]=(TRIM(G$4)))*(CkDJ[Account Code]=(TRIM($B72)))*(CkDJ[Date]&lt;=$E$7),CkDJ[Debit])))+(SUM(IF((CsDJ[Sort Code]=(TRIM(G$4)))*(CsDJ[Account Code]=(TRIM($B72)))*(CsDJ[Date]&lt;=$E$7),CsDJ[Debit])))+(SUM(IF((CRDJ[Sort Code]=(TRIM(G$4)))*(CRDJ[Account Code]=(TRIM($B72)))*(CRDJ[Date]&lt;=$E$7),CRDJ[Debit])))+(SUM(IF((GJ[Sort Code]=(TRIM(G$4)))*(GJ[Account Code]=(TRIM($B72)))*(GJ[Date]&lt;=$E$7),GJ[Debit]))))-((SUM(IF((CkDJ[Sort Code]=(TRIM(G$4)))*(CkDJ[Account Code]=(TRIM($B72)))*(CkDJ[Date]&lt;=$E$7),CkDJ[Credit])))+(SUM(IF((CsDJ[Sort Code]=(TRIM(G$4)))*(CsDJ[Account Code]=(TRIM($B72)))*(CsDJ[Date]&lt;=$E$7),CsDJ[Credit])))+(SUM(IF((CRDJ[Sort Code]=(TRIM(G$4)))*(CRDJ[Account Code]=(TRIM($B72)))*(CRDJ[Date]&lt;=$E$7),CRDJ[Credit])))+(SUM(IF((GJ[Sort Code]=(TRIM(G$4)))*(GJ[Account Code]=(TRIM($B72)))*(GJ[Date]&lt;=$E$7),GJ[Credit]))))</f>
        <v>0</v>
      </c>
      <c r="F72" s="245">
        <f t="array" ref="F72">((SUM(IF((CkDJ[Date]=$A$3)*(CkDJ[Sort Code]=(TRIM(G$4)))*(CkDJ[Account Code]=(TRIM($B72))),CkDJ[Debit])))+(SUM(IF((CsDJ[Date]=$A$3)*(CsDJ[Sort Code]=(TRIM(G$4)))*(CsDJ[Account Code]=(TRIM($B72))),CsDJ[Debit])))+(SUM(IF((CRDJ[Date]=$A$3)*(CRDJ[Sort Code]=(TRIM(G$4)))*(CRDJ[Account Code]=(TRIM($B72))),CRDJ[Debit])))+(SUM(IF((GJ[Date]=$A$3)*(GJ[Sort Code]=(TRIM(G$4)))*(GJ[Account Code]=(TRIM($B72))),GJ[Debit]))))-((SUM(IF((CkDJ[Date]=$A$3)*(CkDJ[Sort Code]=(TRIM(G$4)))*(CkDJ[Account Code]=(TRIM($B72))),CkDJ[Credit])))+(SUM(IF((CsDJ[Date]=$A$3)*(CsDJ[Sort Code]=(TRIM(G$4)))*(CsDJ[Account Code]=(TRIM($B72))),CsDJ[Credit])))+(SUM(IF((CRDJ[Date]=$A$3)*(CRDJ[Sort Code]=(TRIM(G$4)))*(CRDJ[Account Code]=(TRIM($B72))),CRDJ[Credit])))+(SUM(IF((GJ[Date]=$A$3)*(GJ[Sort Code]=(TRIM(G$4)))*(GJ[Account Code]=(TRIM($B72))),GJ[Credit]))))</f>
        <v>0</v>
      </c>
      <c r="G72" s="343">
        <f t="shared" si="8"/>
        <v>0</v>
      </c>
      <c r="H72" s="246">
        <f t="shared" si="5"/>
        <v>-69600</v>
      </c>
      <c r="I72" s="246">
        <f t="shared" si="6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Code]=B73)*(Budget[Sort Code]=$G$4),(Budget[Amount])))</f>
        <v>0</v>
      </c>
      <c r="D73" s="245">
        <f t="array" ref="D73">SUM(IF((Budget[Account Code]=B73)*(Budget[Sort Code]=$G$4)*(Budget[Date]&lt;=$D$7),(Budget[Amount])))</f>
        <v>0</v>
      </c>
      <c r="E73" s="245">
        <f t="array" ref="E73">((SUM(IF((CkDJ[Sort Code]=(TRIM(G$4)))*(CkDJ[Account Code]=(TRIM($B73)))*(CkDJ[Date]&lt;=$E$7),CkDJ[Debit])))+(SUM(IF((CsDJ[Sort Code]=(TRIM(G$4)))*(CsDJ[Account Code]=(TRIM($B73)))*(CsDJ[Date]&lt;=$E$7),CsDJ[Debit])))+(SUM(IF((CRDJ[Sort Code]=(TRIM(G$4)))*(CRDJ[Account Code]=(TRIM($B73)))*(CRDJ[Date]&lt;=$E$7),CRDJ[Debit])))+(SUM(IF((GJ[Sort Code]=(TRIM(G$4)))*(GJ[Account Code]=(TRIM($B73)))*(GJ[Date]&lt;=$E$7),GJ[Debit]))))-((SUM(IF((CkDJ[Sort Code]=(TRIM(G$4)))*(CkDJ[Account Code]=(TRIM($B73)))*(CkDJ[Date]&lt;=$E$7),CkDJ[Credit])))+(SUM(IF((CsDJ[Sort Code]=(TRIM(G$4)))*(CsDJ[Account Code]=(TRIM($B73)))*(CsDJ[Date]&lt;=$E$7),CsDJ[Credit])))+(SUM(IF((CRDJ[Sort Code]=(TRIM(G$4)))*(CRDJ[Account Code]=(TRIM($B73)))*(CRDJ[Date]&lt;=$E$7),CRDJ[Credit])))+(SUM(IF((GJ[Sort Code]=(TRIM(G$4)))*(GJ[Account Code]=(TRIM($B73)))*(GJ[Date]&lt;=$E$7),GJ[Credit]))))</f>
        <v>0</v>
      </c>
      <c r="F73" s="245">
        <f t="array" ref="F73">((SUM(IF((CkDJ[Date]=$A$3)*(CkDJ[Sort Code]=(TRIM(G$4)))*(CkDJ[Account Code]=(TRIM($B73))),CkDJ[Debit])))+(SUM(IF((CsDJ[Date]=$A$3)*(CsDJ[Sort Code]=(TRIM(G$4)))*(CsDJ[Account Code]=(TRIM($B73))),CsDJ[Debit])))+(SUM(IF((CRDJ[Date]=$A$3)*(CRDJ[Sort Code]=(TRIM(G$4)))*(CRDJ[Account Code]=(TRIM($B73))),CRDJ[Debit])))+(SUM(IF((GJ[Date]=$A$3)*(GJ[Sort Code]=(TRIM(G$4)))*(GJ[Account Code]=(TRIM($B73))),GJ[Debit]))))-((SUM(IF((CkDJ[Date]=$A$3)*(CkDJ[Sort Code]=(TRIM(G$4)))*(CkDJ[Account Code]=(TRIM($B73))),CkDJ[Credit])))+(SUM(IF((CsDJ[Date]=$A$3)*(CsDJ[Sort Code]=(TRIM(G$4)))*(CsDJ[Account Code]=(TRIM($B73))),CsDJ[Credit])))+(SUM(IF((CRDJ[Date]=$A$3)*(CRDJ[Sort Code]=(TRIM(G$4)))*(CRDJ[Account Code]=(TRIM($B73))),CRDJ[Credit])))+(SUM(IF((GJ[Date]=$A$3)*(GJ[Sort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Code]=B74)*(Budget[Sort Code]=$G$4),(Budget[Amount])))</f>
        <v>0</v>
      </c>
      <c r="D74" s="245">
        <f t="array" ref="D74">SUM(IF((Budget[Account Code]=B74)*(Budget[Sort Code]=$G$4)*(Budget[Date]&lt;=$D$7),(Budget[Amount])))</f>
        <v>0</v>
      </c>
      <c r="E74" s="245">
        <f t="array" ref="E74">((SUM(IF((CkDJ[Sort Code]=(TRIM(G$4)))*(CkDJ[Account Code]=(TRIM($B74)))*(CkDJ[Date]&lt;=$E$7),CkDJ[Debit])))+(SUM(IF((CsDJ[Sort Code]=(TRIM(G$4)))*(CsDJ[Account Code]=(TRIM($B74)))*(CsDJ[Date]&lt;=$E$7),CsDJ[Debit])))+(SUM(IF((CRDJ[Sort Code]=(TRIM(G$4)))*(CRDJ[Account Code]=(TRIM($B74)))*(CRDJ[Date]&lt;=$E$7),CRDJ[Debit])))+(SUM(IF((GJ[Sort Code]=(TRIM(G$4)))*(GJ[Account Code]=(TRIM($B74)))*(GJ[Date]&lt;=$E$7),GJ[Debit]))))-((SUM(IF((CkDJ[Sort Code]=(TRIM(G$4)))*(CkDJ[Account Code]=(TRIM($B74)))*(CkDJ[Date]&lt;=$E$7),CkDJ[Credit])))+(SUM(IF((CsDJ[Sort Code]=(TRIM(G$4)))*(CsDJ[Account Code]=(TRIM($B74)))*(CsDJ[Date]&lt;=$E$7),CsDJ[Credit])))+(SUM(IF((CRDJ[Sort Code]=(TRIM(G$4)))*(CRDJ[Account Code]=(TRIM($B74)))*(CRDJ[Date]&lt;=$E$7),CRDJ[Credit])))+(SUM(IF((GJ[Sort Code]=(TRIM(G$4)))*(GJ[Account Code]=(TRIM($B74)))*(GJ[Date]&lt;=$E$7),GJ[Credit]))))</f>
        <v>0</v>
      </c>
      <c r="F74" s="245">
        <f t="array" ref="F74">((SUM(IF((CkDJ[Date]=$A$3)*(CkDJ[Sort Code]=(TRIM(G$4)))*(CkDJ[Account Code]=(TRIM($B74))),CkDJ[Debit])))+(SUM(IF((CsDJ[Date]=$A$3)*(CsDJ[Sort Code]=(TRIM(G$4)))*(CsDJ[Account Code]=(TRIM($B74))),CsDJ[Debit])))+(SUM(IF((CRDJ[Date]=$A$3)*(CRDJ[Sort Code]=(TRIM(G$4)))*(CRDJ[Account Code]=(TRIM($B74))),CRDJ[Debit])))+(SUM(IF((GJ[Date]=$A$3)*(GJ[Sort Code]=(TRIM(G$4)))*(GJ[Account Code]=(TRIM($B74))),GJ[Debit]))))-((SUM(IF((CkDJ[Date]=$A$3)*(CkDJ[Sort Code]=(TRIM(G$4)))*(CkDJ[Account Code]=(TRIM($B74))),CkDJ[Credit])))+(SUM(IF((CsDJ[Date]=$A$3)*(CsDJ[Sort Code]=(TRIM(G$4)))*(CsDJ[Account Code]=(TRIM($B74))),CsDJ[Credit])))+(SUM(IF((CRDJ[Date]=$A$3)*(CRDJ[Sort Code]=(TRIM(G$4)))*(CRDJ[Account Code]=(TRIM($B74))),CRDJ[Credit])))+(SUM(IF((GJ[Date]=$A$3)*(GJ[Sort Code]=(TRIM(G$4)))*(GJ[Account Code]=(TRIM($B74))),GJ[Credit]))))</f>
        <v>0</v>
      </c>
      <c r="G74" s="343">
        <f t="shared" si="8"/>
        <v>0</v>
      </c>
      <c r="H74" s="246">
        <f t="shared" si="5"/>
        <v>0</v>
      </c>
      <c r="I74" s="246">
        <f t="shared" si="6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9672877.6600000001</v>
      </c>
      <c r="D76" s="252">
        <f>D77+D139</f>
        <v>9672877.6600000001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5"/>
        <v>-9672877.6600000001</v>
      </c>
      <c r="I76" s="242">
        <f t="shared" si="6"/>
        <v>0</v>
      </c>
    </row>
    <row r="77" spans="1:9" x14ac:dyDescent="0.2">
      <c r="A77" s="253" t="s">
        <v>809</v>
      </c>
      <c r="B77" s="337"/>
      <c r="C77" s="254">
        <f>C78+C138</f>
        <v>5161547.16</v>
      </c>
      <c r="D77" s="254">
        <f>D78+D138</f>
        <v>5161547.16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5"/>
        <v>-5161547.16</v>
      </c>
      <c r="I77" s="246">
        <f t="shared" si="6"/>
        <v>0</v>
      </c>
    </row>
    <row r="78" spans="1:9" x14ac:dyDescent="0.2">
      <c r="A78" s="255" t="s">
        <v>806</v>
      </c>
      <c r="B78" s="337"/>
      <c r="C78" s="246">
        <f>SUM(C79:C137)</f>
        <v>5161547.16</v>
      </c>
      <c r="D78" s="246">
        <f>SUM(D79:D137)</f>
        <v>5161547.16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5"/>
        <v>-5161547.16</v>
      </c>
      <c r="I78" s="246">
        <f t="shared" si="6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Code]=B79)*(Budget[Sort Code]=$G$4),(Budget[Amount])))</f>
        <v>0</v>
      </c>
      <c r="D79" s="245">
        <f t="array" ref="D79">SUM(IF((Budget[Account Code]=B79)*(Budget[Sort Code]=$G$4)*(Budget[Date]&lt;=$D$7),(Budget[Amount])))</f>
        <v>0</v>
      </c>
      <c r="E79" s="245">
        <f t="array" ref="E79">((SUM(IF((CkDJ[Sort Code]=(TRIM(G$4)))*(CkDJ[Account Code]=(TRIM($B79)))*(CkDJ[Date]&lt;=$E$7),CkDJ[Debit])))+(SUM(IF((CsDJ[Sort Code]=(TRIM(G$4)))*(CsDJ[Account Code]=(TRIM($B79)))*(CsDJ[Date]&lt;=$E$7),CsDJ[Debit])))+(SUM(IF((CRDJ[Sort Code]=(TRIM(G$4)))*(CRDJ[Account Code]=(TRIM($B79)))*(CRDJ[Date]&lt;=$E$7),CRDJ[Debit])))+(SUM(IF((GJ[Sort Code]=(TRIM(G$4)))*(GJ[Account Code]=(TRIM($B79)))*(GJ[Date]&lt;=$E$7),GJ[Debit]))))-((SUM(IF((CkDJ[Sort Code]=(TRIM(G$4)))*(CkDJ[Account Code]=(TRIM($B79)))*(CkDJ[Date]&lt;=$E$7),CkDJ[Credit])))+(SUM(IF((CsDJ[Sort Code]=(TRIM(G$4)))*(CsDJ[Account Code]=(TRIM($B79)))*(CsDJ[Date]&lt;=$E$7),CsDJ[Credit])))+(SUM(IF((CRDJ[Sort Code]=(TRIM(G$4)))*(CRDJ[Account Code]=(TRIM($B79)))*(CRDJ[Date]&lt;=$E$7),CRDJ[Credit])))+(SUM(IF((GJ[Sort Code]=(TRIM(G$4)))*(GJ[Account Code]=(TRIM($B79)))*(GJ[Date]&lt;=$E$7),GJ[Credit]))))</f>
        <v>0</v>
      </c>
      <c r="F79" s="245">
        <f t="array" ref="F79">((SUM(IF((CkDJ[Date]=$A$3)*(CkDJ[Sort Code]=(TRIM(G$4)))*(CkDJ[Account Code]=(TRIM($B79))),CkDJ[Debit])))+(SUM(IF((CsDJ[Date]=$A$3)*(CsDJ[Sort Code]=(TRIM(G$4)))*(CsDJ[Account Code]=(TRIM($B79))),CsDJ[Debit])))+(SUM(IF((CRDJ[Date]=$A$3)*(CRDJ[Sort Code]=(TRIM(G$4)))*(CRDJ[Account Code]=(TRIM($B79))),CRDJ[Debit])))+(SUM(IF((GJ[Date]=$A$3)*(GJ[Sort Code]=(TRIM(G$4)))*(GJ[Account Code]=(TRIM($B79))),GJ[Debit]))))-((SUM(IF((CkDJ[Date]=$A$3)*(CkDJ[Sort Code]=(TRIM(G$4)))*(CkDJ[Account Code]=(TRIM($B79))),CkDJ[Credit])))+(SUM(IF((CsDJ[Date]=$A$3)*(CsDJ[Sort Code]=(TRIM(G$4)))*(CsDJ[Account Code]=(TRIM($B79))),CsDJ[Credit])))+(SUM(IF((CRDJ[Date]=$A$3)*(CRDJ[Sort Code]=(TRIM(G$4)))*(CRDJ[Account Code]=(TRIM($B79))),CRDJ[Credit])))+(SUM(IF((GJ[Date]=$A$3)*(GJ[Sort Code]=(TRIM(G$4)))*(GJ[Account Code]=(TRIM($B79))),GJ[Credit]))))</f>
        <v>0</v>
      </c>
      <c r="G79" s="343">
        <f t="shared" ref="G79:G137" si="9">E79+F79</f>
        <v>0</v>
      </c>
      <c r="H79" s="246">
        <f t="shared" si="5"/>
        <v>0</v>
      </c>
      <c r="I79" s="246">
        <f t="shared" si="6"/>
        <v>0</v>
      </c>
    </row>
    <row r="80" spans="1:9" hidden="1" x14ac:dyDescent="0.2">
      <c r="A80" s="256" t="s">
        <v>284</v>
      </c>
      <c r="B80" s="339" t="s">
        <v>1233</v>
      </c>
      <c r="C80" s="245">
        <f t="array" ref="C80">SUM(IF((Budget[Account Code]=B80)*(Budget[Sort Code]=$G$4),(Budget[Amount])))</f>
        <v>0</v>
      </c>
      <c r="D80" s="245">
        <f t="array" ref="D80">SUM(IF((Budget[Account Code]=B80)*(Budget[Sort Code]=$G$4)*(Budget[Date]&lt;=$D$7),(Budget[Amount])))</f>
        <v>0</v>
      </c>
      <c r="E80" s="245">
        <f t="array" ref="E80">((SUM(IF((CkDJ[Sort Code]=(TRIM(G$4)))*(CkDJ[Account Code]=(TRIM($B80)))*(CkDJ[Date]&lt;=$E$7),CkDJ[Debit])))+(SUM(IF((CsDJ[Sort Code]=(TRIM(G$4)))*(CsDJ[Account Code]=(TRIM($B80)))*(CsDJ[Date]&lt;=$E$7),CsDJ[Debit])))+(SUM(IF((CRDJ[Sort Code]=(TRIM(G$4)))*(CRDJ[Account Code]=(TRIM($B80)))*(CRDJ[Date]&lt;=$E$7),CRDJ[Debit])))+(SUM(IF((GJ[Sort Code]=(TRIM(G$4)))*(GJ[Account Code]=(TRIM($B80)))*(GJ[Date]&lt;=$E$7),GJ[Debit]))))-((SUM(IF((CkDJ[Sort Code]=(TRIM(G$4)))*(CkDJ[Account Code]=(TRIM($B80)))*(CkDJ[Date]&lt;=$E$7),CkDJ[Credit])))+(SUM(IF((CsDJ[Sort Code]=(TRIM(G$4)))*(CsDJ[Account Code]=(TRIM($B80)))*(CsDJ[Date]&lt;=$E$7),CsDJ[Credit])))+(SUM(IF((CRDJ[Sort Code]=(TRIM(G$4)))*(CRDJ[Account Code]=(TRIM($B80)))*(CRDJ[Date]&lt;=$E$7),CRDJ[Credit])))+(SUM(IF((GJ[Sort Code]=(TRIM(G$4)))*(GJ[Account Code]=(TRIM($B80)))*(GJ[Date]&lt;=$E$7),GJ[Credit]))))</f>
        <v>0</v>
      </c>
      <c r="F80" s="245">
        <f t="array" ref="F80">((SUM(IF((CkDJ[Date]=$A$3)*(CkDJ[Sort Code]=(TRIM(G$4)))*(CkDJ[Account Code]=(TRIM($B80))),CkDJ[Debit])))+(SUM(IF((CsDJ[Date]=$A$3)*(CsDJ[Sort Code]=(TRIM(G$4)))*(CsDJ[Account Code]=(TRIM($B80))),CsDJ[Debit])))+(SUM(IF((CRDJ[Date]=$A$3)*(CRDJ[Sort Code]=(TRIM(G$4)))*(CRDJ[Account Code]=(TRIM($B80))),CRDJ[Debit])))+(SUM(IF((GJ[Date]=$A$3)*(GJ[Sort Code]=(TRIM(G$4)))*(GJ[Account Code]=(TRIM($B80))),GJ[Debit]))))-((SUM(IF((CkDJ[Date]=$A$3)*(CkDJ[Sort Code]=(TRIM(G$4)))*(CkDJ[Account Code]=(TRIM($B80))),CkDJ[Credit])))+(SUM(IF((CsDJ[Date]=$A$3)*(CsDJ[Sort Code]=(TRIM(G$4)))*(CsDJ[Account Code]=(TRIM($B80))),CsDJ[Credit])))+(SUM(IF((CRDJ[Date]=$A$3)*(CRDJ[Sort Code]=(TRIM(G$4)))*(CRDJ[Account Code]=(TRIM($B80))),CRDJ[Credit])))+(SUM(IF((GJ[Date]=$A$3)*(GJ[Sort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Code]=B81)*(Budget[Sort Code]=$G$4),(Budget[Amount])))</f>
        <v>0</v>
      </c>
      <c r="D81" s="245">
        <f t="array" ref="D81">SUM(IF((Budget[Account Code]=B81)*(Budget[Sort Code]=$G$4)*(Budget[Date]&lt;=$D$7),(Budget[Amount])))</f>
        <v>0</v>
      </c>
      <c r="E81" s="245">
        <f t="array" ref="E81">((SUM(IF((CkDJ[Sort Code]=(TRIM(G$4)))*(CkDJ[Account Code]=(TRIM($B81)))*(CkDJ[Date]&lt;=$E$7),CkDJ[Debit])))+(SUM(IF((CsDJ[Sort Code]=(TRIM(G$4)))*(CsDJ[Account Code]=(TRIM($B81)))*(CsDJ[Date]&lt;=$E$7),CsDJ[Debit])))+(SUM(IF((CRDJ[Sort Code]=(TRIM(G$4)))*(CRDJ[Account Code]=(TRIM($B81)))*(CRDJ[Date]&lt;=$E$7),CRDJ[Debit])))+(SUM(IF((GJ[Sort Code]=(TRIM(G$4)))*(GJ[Account Code]=(TRIM($B81)))*(GJ[Date]&lt;=$E$7),GJ[Debit]))))-((SUM(IF((CkDJ[Sort Code]=(TRIM(G$4)))*(CkDJ[Account Code]=(TRIM($B81)))*(CkDJ[Date]&lt;=$E$7),CkDJ[Credit])))+(SUM(IF((CsDJ[Sort Code]=(TRIM(G$4)))*(CsDJ[Account Code]=(TRIM($B81)))*(CsDJ[Date]&lt;=$E$7),CsDJ[Credit])))+(SUM(IF((CRDJ[Sort Code]=(TRIM(G$4)))*(CRDJ[Account Code]=(TRIM($B81)))*(CRDJ[Date]&lt;=$E$7),CRDJ[Credit])))+(SUM(IF((GJ[Sort Code]=(TRIM(G$4)))*(GJ[Account Code]=(TRIM($B81)))*(GJ[Date]&lt;=$E$7),GJ[Credit]))))</f>
        <v>0</v>
      </c>
      <c r="F81" s="245">
        <f t="array" ref="F81">((SUM(IF((CkDJ[Date]=$A$3)*(CkDJ[Sort Code]=(TRIM(G$4)))*(CkDJ[Account Code]=(TRIM($B81))),CkDJ[Debit])))+(SUM(IF((CsDJ[Date]=$A$3)*(CsDJ[Sort Code]=(TRIM(G$4)))*(CsDJ[Account Code]=(TRIM($B81))),CsDJ[Debit])))+(SUM(IF((CRDJ[Date]=$A$3)*(CRDJ[Sort Code]=(TRIM(G$4)))*(CRDJ[Account Code]=(TRIM($B81))),CRDJ[Debit])))+(SUM(IF((GJ[Date]=$A$3)*(GJ[Sort Code]=(TRIM(G$4)))*(GJ[Account Code]=(TRIM($B81))),GJ[Debit]))))-((SUM(IF((CkDJ[Date]=$A$3)*(CkDJ[Sort Code]=(TRIM(G$4)))*(CkDJ[Account Code]=(TRIM($B81))),CkDJ[Credit])))+(SUM(IF((CsDJ[Date]=$A$3)*(CsDJ[Sort Code]=(TRIM(G$4)))*(CsDJ[Account Code]=(TRIM($B81))),CsDJ[Credit])))+(SUM(IF((CRDJ[Date]=$A$3)*(CRDJ[Sort Code]=(TRIM(G$4)))*(CRDJ[Account Code]=(TRIM($B81))),CRDJ[Credit])))+(SUM(IF((GJ[Date]=$A$3)*(GJ[Sort Code]=(TRIM(G$4)))*(GJ[Account Code]=(TRIM($B81))),GJ[Credit]))))</f>
        <v>0</v>
      </c>
      <c r="G81" s="343">
        <f t="shared" si="9"/>
        <v>0</v>
      </c>
      <c r="H81" s="246">
        <f t="shared" si="5"/>
        <v>0</v>
      </c>
      <c r="I81" s="246">
        <f t="shared" si="6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Code]=B82)*(Budget[Sort Code]=$G$4),(Budget[Amount])))</f>
        <v>0</v>
      </c>
      <c r="D82" s="245">
        <f t="array" ref="D82">SUM(IF((Budget[Account Code]=B82)*(Budget[Sort Code]=$G$4)*(Budget[Date]&lt;=$D$7),(Budget[Amount])))</f>
        <v>0</v>
      </c>
      <c r="E82" s="245">
        <f t="array" ref="E82">((SUM(IF((CkDJ[Sort Code]=(TRIM(G$4)))*(CkDJ[Account Code]=(TRIM($B82)))*(CkDJ[Date]&lt;=$E$7),CkDJ[Debit])))+(SUM(IF((CsDJ[Sort Code]=(TRIM(G$4)))*(CsDJ[Account Code]=(TRIM($B82)))*(CsDJ[Date]&lt;=$E$7),CsDJ[Debit])))+(SUM(IF((CRDJ[Sort Code]=(TRIM(G$4)))*(CRDJ[Account Code]=(TRIM($B82)))*(CRDJ[Date]&lt;=$E$7),CRDJ[Debit])))+(SUM(IF((GJ[Sort Code]=(TRIM(G$4)))*(GJ[Account Code]=(TRIM($B82)))*(GJ[Date]&lt;=$E$7),GJ[Debit]))))-((SUM(IF((CkDJ[Sort Code]=(TRIM(G$4)))*(CkDJ[Account Code]=(TRIM($B82)))*(CkDJ[Date]&lt;=$E$7),CkDJ[Credit])))+(SUM(IF((CsDJ[Sort Code]=(TRIM(G$4)))*(CsDJ[Account Code]=(TRIM($B82)))*(CsDJ[Date]&lt;=$E$7),CsDJ[Credit])))+(SUM(IF((CRDJ[Sort Code]=(TRIM(G$4)))*(CRDJ[Account Code]=(TRIM($B82)))*(CRDJ[Date]&lt;=$E$7),CRDJ[Credit])))+(SUM(IF((GJ[Sort Code]=(TRIM(G$4)))*(GJ[Account Code]=(TRIM($B82)))*(GJ[Date]&lt;=$E$7),GJ[Credit]))))</f>
        <v>0</v>
      </c>
      <c r="F82" s="245">
        <f t="array" ref="F82">((SUM(IF((CkDJ[Date]=$A$3)*(CkDJ[Sort Code]=(TRIM(G$4)))*(CkDJ[Account Code]=(TRIM($B82))),CkDJ[Debit])))+(SUM(IF((CsDJ[Date]=$A$3)*(CsDJ[Sort Code]=(TRIM(G$4)))*(CsDJ[Account Code]=(TRIM($B82))),CsDJ[Debit])))+(SUM(IF((CRDJ[Date]=$A$3)*(CRDJ[Sort Code]=(TRIM(G$4)))*(CRDJ[Account Code]=(TRIM($B82))),CRDJ[Debit])))+(SUM(IF((GJ[Date]=$A$3)*(GJ[Sort Code]=(TRIM(G$4)))*(GJ[Account Code]=(TRIM($B82))),GJ[Debit]))))-((SUM(IF((CkDJ[Date]=$A$3)*(CkDJ[Sort Code]=(TRIM(G$4)))*(CkDJ[Account Code]=(TRIM($B82))),CkDJ[Credit])))+(SUM(IF((CsDJ[Date]=$A$3)*(CsDJ[Sort Code]=(TRIM(G$4)))*(CsDJ[Account Code]=(TRIM($B82))),CsDJ[Credit])))+(SUM(IF((CRDJ[Date]=$A$3)*(CRDJ[Sort Code]=(TRIM(G$4)))*(CRDJ[Account Code]=(TRIM($B82))),CRDJ[Credit])))+(SUM(IF((GJ[Date]=$A$3)*(GJ[Sort Code]=(TRIM(G$4)))*(GJ[Account Code]=(TRIM($B82))),GJ[Credit]))))</f>
        <v>0</v>
      </c>
      <c r="G82" s="343">
        <f t="shared" si="9"/>
        <v>0</v>
      </c>
      <c r="H82" s="246">
        <f t="shared" si="5"/>
        <v>0</v>
      </c>
      <c r="I82" s="246">
        <f t="shared" si="6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Code]=B83)*(Budget[Sort Code]=$G$4),(Budget[Amount])))</f>
        <v>0</v>
      </c>
      <c r="D83" s="245">
        <f t="array" ref="D83">SUM(IF((Budget[Account Code]=B83)*(Budget[Sort Code]=$G$4)*(Budget[Date]&lt;=$D$7),(Budget[Amount])))</f>
        <v>0</v>
      </c>
      <c r="E83" s="245">
        <f t="array" ref="E83">((SUM(IF((CkDJ[Sort Code]=(TRIM(G$4)))*(CkDJ[Account Code]=(TRIM($B83)))*(CkDJ[Date]&lt;=$E$7),CkDJ[Debit])))+(SUM(IF((CsDJ[Sort Code]=(TRIM(G$4)))*(CsDJ[Account Code]=(TRIM($B83)))*(CsDJ[Date]&lt;=$E$7),CsDJ[Debit])))+(SUM(IF((CRDJ[Sort Code]=(TRIM(G$4)))*(CRDJ[Account Code]=(TRIM($B83)))*(CRDJ[Date]&lt;=$E$7),CRDJ[Debit])))+(SUM(IF((GJ[Sort Code]=(TRIM(G$4)))*(GJ[Account Code]=(TRIM($B83)))*(GJ[Date]&lt;=$E$7),GJ[Debit]))))-((SUM(IF((CkDJ[Sort Code]=(TRIM(G$4)))*(CkDJ[Account Code]=(TRIM($B83)))*(CkDJ[Date]&lt;=$E$7),CkDJ[Credit])))+(SUM(IF((CsDJ[Sort Code]=(TRIM(G$4)))*(CsDJ[Account Code]=(TRIM($B83)))*(CsDJ[Date]&lt;=$E$7),CsDJ[Credit])))+(SUM(IF((CRDJ[Sort Code]=(TRIM(G$4)))*(CRDJ[Account Code]=(TRIM($B83)))*(CRDJ[Date]&lt;=$E$7),CRDJ[Credit])))+(SUM(IF((GJ[Sort Code]=(TRIM(G$4)))*(GJ[Account Code]=(TRIM($B83)))*(GJ[Date]&lt;=$E$7),GJ[Credit]))))</f>
        <v>0</v>
      </c>
      <c r="F83" s="245">
        <f t="array" ref="F83">((SUM(IF((CkDJ[Date]=$A$3)*(CkDJ[Sort Code]=(TRIM(G$4)))*(CkDJ[Account Code]=(TRIM($B83))),CkDJ[Debit])))+(SUM(IF((CsDJ[Date]=$A$3)*(CsDJ[Sort Code]=(TRIM(G$4)))*(CsDJ[Account Code]=(TRIM($B83))),CsDJ[Debit])))+(SUM(IF((CRDJ[Date]=$A$3)*(CRDJ[Sort Code]=(TRIM(G$4)))*(CRDJ[Account Code]=(TRIM($B83))),CRDJ[Debit])))+(SUM(IF((GJ[Date]=$A$3)*(GJ[Sort Code]=(TRIM(G$4)))*(GJ[Account Code]=(TRIM($B83))),GJ[Debit]))))-((SUM(IF((CkDJ[Date]=$A$3)*(CkDJ[Sort Code]=(TRIM(G$4)))*(CkDJ[Account Code]=(TRIM($B83))),CkDJ[Credit])))+(SUM(IF((CsDJ[Date]=$A$3)*(CsDJ[Sort Code]=(TRIM(G$4)))*(CsDJ[Account Code]=(TRIM($B83))),CsDJ[Credit])))+(SUM(IF((CRDJ[Date]=$A$3)*(CRDJ[Sort Code]=(TRIM(G$4)))*(CRDJ[Account Code]=(TRIM($B83))),CRDJ[Credit])))+(SUM(IF((GJ[Date]=$A$3)*(GJ[Sort Code]=(TRIM(G$4)))*(GJ[Account Code]=(TRIM($B83))),GJ[Credit]))))</f>
        <v>0</v>
      </c>
      <c r="G83" s="343">
        <f t="shared" si="9"/>
        <v>0</v>
      </c>
      <c r="H83" s="246">
        <f t="shared" si="5"/>
        <v>0</v>
      </c>
      <c r="I83" s="246">
        <f t="shared" si="6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Code]=B84)*(Budget[Sort Code]=$G$4),(Budget[Amount])))</f>
        <v>0</v>
      </c>
      <c r="D84" s="245">
        <f t="array" ref="D84">SUM(IF((Budget[Account Code]=B84)*(Budget[Sort Code]=$G$4)*(Budget[Date]&lt;=$D$7),(Budget[Amount])))</f>
        <v>0</v>
      </c>
      <c r="E84" s="245">
        <f t="array" ref="E84">((SUM(IF((CkDJ[Sort Code]=(TRIM(G$4)))*(CkDJ[Account Code]=(TRIM($B84)))*(CkDJ[Date]&lt;=$E$7),CkDJ[Debit])))+(SUM(IF((CsDJ[Sort Code]=(TRIM(G$4)))*(CsDJ[Account Code]=(TRIM($B84)))*(CsDJ[Date]&lt;=$E$7),CsDJ[Debit])))+(SUM(IF((CRDJ[Sort Code]=(TRIM(G$4)))*(CRDJ[Account Code]=(TRIM($B84)))*(CRDJ[Date]&lt;=$E$7),CRDJ[Debit])))+(SUM(IF((GJ[Sort Code]=(TRIM(G$4)))*(GJ[Account Code]=(TRIM($B84)))*(GJ[Date]&lt;=$E$7),GJ[Debit]))))-((SUM(IF((CkDJ[Sort Code]=(TRIM(G$4)))*(CkDJ[Account Code]=(TRIM($B84)))*(CkDJ[Date]&lt;=$E$7),CkDJ[Credit])))+(SUM(IF((CsDJ[Sort Code]=(TRIM(G$4)))*(CsDJ[Account Code]=(TRIM($B84)))*(CsDJ[Date]&lt;=$E$7),CsDJ[Credit])))+(SUM(IF((CRDJ[Sort Code]=(TRIM(G$4)))*(CRDJ[Account Code]=(TRIM($B84)))*(CRDJ[Date]&lt;=$E$7),CRDJ[Credit])))+(SUM(IF((GJ[Sort Code]=(TRIM(G$4)))*(GJ[Account Code]=(TRIM($B84)))*(GJ[Date]&lt;=$E$7),GJ[Credit]))))</f>
        <v>0</v>
      </c>
      <c r="F84" s="245">
        <f t="array" ref="F84">((SUM(IF((CkDJ[Date]=$A$3)*(CkDJ[Sort Code]=(TRIM(G$4)))*(CkDJ[Account Code]=(TRIM($B84))),CkDJ[Debit])))+(SUM(IF((CsDJ[Date]=$A$3)*(CsDJ[Sort Code]=(TRIM(G$4)))*(CsDJ[Account Code]=(TRIM($B84))),CsDJ[Debit])))+(SUM(IF((CRDJ[Date]=$A$3)*(CRDJ[Sort Code]=(TRIM(G$4)))*(CRDJ[Account Code]=(TRIM($B84))),CRDJ[Debit])))+(SUM(IF((GJ[Date]=$A$3)*(GJ[Sort Code]=(TRIM(G$4)))*(GJ[Account Code]=(TRIM($B84))),GJ[Debit]))))-((SUM(IF((CkDJ[Date]=$A$3)*(CkDJ[Sort Code]=(TRIM(G$4)))*(CkDJ[Account Code]=(TRIM($B84))),CkDJ[Credit])))+(SUM(IF((CsDJ[Date]=$A$3)*(CsDJ[Sort Code]=(TRIM(G$4)))*(CsDJ[Account Code]=(TRIM($B84))),CsDJ[Credit])))+(SUM(IF((CRDJ[Date]=$A$3)*(CRDJ[Sort Code]=(TRIM(G$4)))*(CRDJ[Account Code]=(TRIM($B84))),CRDJ[Credit])))+(SUM(IF((GJ[Date]=$A$3)*(GJ[Sort Code]=(TRIM(G$4)))*(GJ[Account Code]=(TRIM($B84))),GJ[Credit]))))</f>
        <v>0</v>
      </c>
      <c r="G84" s="343">
        <f t="shared" si="9"/>
        <v>0</v>
      </c>
      <c r="H84" s="246">
        <f t="shared" si="5"/>
        <v>0</v>
      </c>
      <c r="I84" s="246">
        <f t="shared" si="6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Code]=B85)*(Budget[Sort Code]=$G$4),(Budget[Amount])))</f>
        <v>0</v>
      </c>
      <c r="D85" s="245">
        <f t="array" ref="D85">SUM(IF((Budget[Account Code]=B85)*(Budget[Sort Code]=$G$4)*(Budget[Date]&lt;=$D$7),(Budget[Amount])))</f>
        <v>0</v>
      </c>
      <c r="E85" s="245">
        <f t="array" ref="E85">((SUM(IF((CkDJ[Sort Code]=(TRIM(G$4)))*(CkDJ[Account Code]=(TRIM($B85)))*(CkDJ[Date]&lt;=$E$7),CkDJ[Debit])))+(SUM(IF((CsDJ[Sort Code]=(TRIM(G$4)))*(CsDJ[Account Code]=(TRIM($B85)))*(CsDJ[Date]&lt;=$E$7),CsDJ[Debit])))+(SUM(IF((CRDJ[Sort Code]=(TRIM(G$4)))*(CRDJ[Account Code]=(TRIM($B85)))*(CRDJ[Date]&lt;=$E$7),CRDJ[Debit])))+(SUM(IF((GJ[Sort Code]=(TRIM(G$4)))*(GJ[Account Code]=(TRIM($B85)))*(GJ[Date]&lt;=$E$7),GJ[Debit]))))-((SUM(IF((CkDJ[Sort Code]=(TRIM(G$4)))*(CkDJ[Account Code]=(TRIM($B85)))*(CkDJ[Date]&lt;=$E$7),CkDJ[Credit])))+(SUM(IF((CsDJ[Sort Code]=(TRIM(G$4)))*(CsDJ[Account Code]=(TRIM($B85)))*(CsDJ[Date]&lt;=$E$7),CsDJ[Credit])))+(SUM(IF((CRDJ[Sort Code]=(TRIM(G$4)))*(CRDJ[Account Code]=(TRIM($B85)))*(CRDJ[Date]&lt;=$E$7),CRDJ[Credit])))+(SUM(IF((GJ[Sort Code]=(TRIM(G$4)))*(GJ[Account Code]=(TRIM($B85)))*(GJ[Date]&lt;=$E$7),GJ[Credit]))))</f>
        <v>0</v>
      </c>
      <c r="F85" s="245">
        <f t="array" ref="F85">((SUM(IF((CkDJ[Date]=$A$3)*(CkDJ[Sort Code]=(TRIM(G$4)))*(CkDJ[Account Code]=(TRIM($B85))),CkDJ[Debit])))+(SUM(IF((CsDJ[Date]=$A$3)*(CsDJ[Sort Code]=(TRIM(G$4)))*(CsDJ[Account Code]=(TRIM($B85))),CsDJ[Debit])))+(SUM(IF((CRDJ[Date]=$A$3)*(CRDJ[Sort Code]=(TRIM(G$4)))*(CRDJ[Account Code]=(TRIM($B85))),CRDJ[Debit])))+(SUM(IF((GJ[Date]=$A$3)*(GJ[Sort Code]=(TRIM(G$4)))*(GJ[Account Code]=(TRIM($B85))),GJ[Debit]))))-((SUM(IF((CkDJ[Date]=$A$3)*(CkDJ[Sort Code]=(TRIM(G$4)))*(CkDJ[Account Code]=(TRIM($B85))),CkDJ[Credit])))+(SUM(IF((CsDJ[Date]=$A$3)*(CsDJ[Sort Code]=(TRIM(G$4)))*(CsDJ[Account Code]=(TRIM($B85))),CsDJ[Credit])))+(SUM(IF((CRDJ[Date]=$A$3)*(CRDJ[Sort Code]=(TRIM(G$4)))*(CRDJ[Account Code]=(TRIM($B85))),CRDJ[Credit])))+(SUM(IF((GJ[Date]=$A$3)*(GJ[Sort Code]=(TRIM(G$4)))*(GJ[Account Code]=(TRIM($B85))),GJ[Credit]))))</f>
        <v>0</v>
      </c>
      <c r="G85" s="343">
        <f t="shared" si="9"/>
        <v>0</v>
      </c>
      <c r="H85" s="246">
        <f t="shared" si="5"/>
        <v>0</v>
      </c>
      <c r="I85" s="246">
        <f t="shared" si="6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Code]=B86)*(Budget[Sort Code]=$G$4),(Budget[Amount])))</f>
        <v>3485962.56</v>
      </c>
      <c r="D86" s="245">
        <f t="array" ref="D86">SUM(IF((Budget[Account Code]=B86)*(Budget[Sort Code]=$G$4)*(Budget[Date]&lt;=$D$7),(Budget[Amount])))</f>
        <v>3485962.56</v>
      </c>
      <c r="E86" s="245">
        <f t="array" ref="E86">((SUM(IF((CkDJ[Sort Code]=(TRIM(G$4)))*(CkDJ[Account Code]=(TRIM($B86)))*(CkDJ[Date]&lt;=$E$7),CkDJ[Debit])))+(SUM(IF((CsDJ[Sort Code]=(TRIM(G$4)))*(CsDJ[Account Code]=(TRIM($B86)))*(CsDJ[Date]&lt;=$E$7),CsDJ[Debit])))+(SUM(IF((CRDJ[Sort Code]=(TRIM(G$4)))*(CRDJ[Account Code]=(TRIM($B86)))*(CRDJ[Date]&lt;=$E$7),CRDJ[Debit])))+(SUM(IF((GJ[Sort Code]=(TRIM(G$4)))*(GJ[Account Code]=(TRIM($B86)))*(GJ[Date]&lt;=$E$7),GJ[Debit]))))-((SUM(IF((CkDJ[Sort Code]=(TRIM(G$4)))*(CkDJ[Account Code]=(TRIM($B86)))*(CkDJ[Date]&lt;=$E$7),CkDJ[Credit])))+(SUM(IF((CsDJ[Sort Code]=(TRIM(G$4)))*(CsDJ[Account Code]=(TRIM($B86)))*(CsDJ[Date]&lt;=$E$7),CsDJ[Credit])))+(SUM(IF((CRDJ[Sort Code]=(TRIM(G$4)))*(CRDJ[Account Code]=(TRIM($B86)))*(CRDJ[Date]&lt;=$E$7),CRDJ[Credit])))+(SUM(IF((GJ[Sort Code]=(TRIM(G$4)))*(GJ[Account Code]=(TRIM($B86)))*(GJ[Date]&lt;=$E$7),GJ[Credit]))))</f>
        <v>0</v>
      </c>
      <c r="F86" s="245">
        <f t="array" ref="F86">((SUM(IF((CkDJ[Date]=$A$3)*(CkDJ[Sort Code]=(TRIM(G$4)))*(CkDJ[Account Code]=(TRIM($B86))),CkDJ[Debit])))+(SUM(IF((CsDJ[Date]=$A$3)*(CsDJ[Sort Code]=(TRIM(G$4)))*(CsDJ[Account Code]=(TRIM($B86))),CsDJ[Debit])))+(SUM(IF((CRDJ[Date]=$A$3)*(CRDJ[Sort Code]=(TRIM(G$4)))*(CRDJ[Account Code]=(TRIM($B86))),CRDJ[Debit])))+(SUM(IF((GJ[Date]=$A$3)*(GJ[Sort Code]=(TRIM(G$4)))*(GJ[Account Code]=(TRIM($B86))),GJ[Debit]))))-((SUM(IF((CkDJ[Date]=$A$3)*(CkDJ[Sort Code]=(TRIM(G$4)))*(CkDJ[Account Code]=(TRIM($B86))),CkDJ[Credit])))+(SUM(IF((CsDJ[Date]=$A$3)*(CsDJ[Sort Code]=(TRIM(G$4)))*(CsDJ[Account Code]=(TRIM($B86))),CsDJ[Credit])))+(SUM(IF((CRDJ[Date]=$A$3)*(CRDJ[Sort Code]=(TRIM(G$4)))*(CRDJ[Account Code]=(TRIM($B86))),CRDJ[Credit])))+(SUM(IF((GJ[Date]=$A$3)*(GJ[Sort Code]=(TRIM(G$4)))*(GJ[Account Code]=(TRIM($B86))),GJ[Credit]))))</f>
        <v>0</v>
      </c>
      <c r="G86" s="343">
        <f t="shared" si="9"/>
        <v>0</v>
      </c>
      <c r="H86" s="246">
        <f t="shared" si="5"/>
        <v>-3485962.56</v>
      </c>
      <c r="I86" s="246">
        <f t="shared" si="6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Code]=B87)*(Budget[Sort Code]=$G$4),(Budget[Amount])))</f>
        <v>0</v>
      </c>
      <c r="D87" s="245">
        <f t="array" ref="D87">SUM(IF((Budget[Account Code]=B87)*(Budget[Sort Code]=$G$4)*(Budget[Date]&lt;=$D$7),(Budget[Amount])))</f>
        <v>0</v>
      </c>
      <c r="E87" s="245">
        <f t="array" ref="E87">((SUM(IF((CkDJ[Sort Code]=(TRIM(G$4)))*(CkDJ[Account Code]=(TRIM($B87)))*(CkDJ[Date]&lt;=$E$7),CkDJ[Debit])))+(SUM(IF((CsDJ[Sort Code]=(TRIM(G$4)))*(CsDJ[Account Code]=(TRIM($B87)))*(CsDJ[Date]&lt;=$E$7),CsDJ[Debit])))+(SUM(IF((CRDJ[Sort Code]=(TRIM(G$4)))*(CRDJ[Account Code]=(TRIM($B87)))*(CRDJ[Date]&lt;=$E$7),CRDJ[Debit])))+(SUM(IF((GJ[Sort Code]=(TRIM(G$4)))*(GJ[Account Code]=(TRIM($B87)))*(GJ[Date]&lt;=$E$7),GJ[Debit]))))-((SUM(IF((CkDJ[Sort Code]=(TRIM(G$4)))*(CkDJ[Account Code]=(TRIM($B87)))*(CkDJ[Date]&lt;=$E$7),CkDJ[Credit])))+(SUM(IF((CsDJ[Sort Code]=(TRIM(G$4)))*(CsDJ[Account Code]=(TRIM($B87)))*(CsDJ[Date]&lt;=$E$7),CsDJ[Credit])))+(SUM(IF((CRDJ[Sort Code]=(TRIM(G$4)))*(CRDJ[Account Code]=(TRIM($B87)))*(CRDJ[Date]&lt;=$E$7),CRDJ[Credit])))+(SUM(IF((GJ[Sort Code]=(TRIM(G$4)))*(GJ[Account Code]=(TRIM($B87)))*(GJ[Date]&lt;=$E$7),GJ[Credit]))))</f>
        <v>0</v>
      </c>
      <c r="F87" s="245">
        <f t="array" ref="F87">((SUM(IF((CkDJ[Date]=$A$3)*(CkDJ[Sort Code]=(TRIM(G$4)))*(CkDJ[Account Code]=(TRIM($B87))),CkDJ[Debit])))+(SUM(IF((CsDJ[Date]=$A$3)*(CsDJ[Sort Code]=(TRIM(G$4)))*(CsDJ[Account Code]=(TRIM($B87))),CsDJ[Debit])))+(SUM(IF((CRDJ[Date]=$A$3)*(CRDJ[Sort Code]=(TRIM(G$4)))*(CRDJ[Account Code]=(TRIM($B87))),CRDJ[Debit])))+(SUM(IF((GJ[Date]=$A$3)*(GJ[Sort Code]=(TRIM(G$4)))*(GJ[Account Code]=(TRIM($B87))),GJ[Debit]))))-((SUM(IF((CkDJ[Date]=$A$3)*(CkDJ[Sort Code]=(TRIM(G$4)))*(CkDJ[Account Code]=(TRIM($B87))),CkDJ[Credit])))+(SUM(IF((CsDJ[Date]=$A$3)*(CsDJ[Sort Code]=(TRIM(G$4)))*(CsDJ[Account Code]=(TRIM($B87))),CsDJ[Credit])))+(SUM(IF((CRDJ[Date]=$A$3)*(CRDJ[Sort Code]=(TRIM(G$4)))*(CRDJ[Account Code]=(TRIM($B87))),CRDJ[Credit])))+(SUM(IF((GJ[Date]=$A$3)*(GJ[Sort Code]=(TRIM(G$4)))*(GJ[Account Code]=(TRIM($B87))),GJ[Credit]))))</f>
        <v>0</v>
      </c>
      <c r="G87" s="343">
        <f t="shared" si="9"/>
        <v>0</v>
      </c>
      <c r="H87" s="246">
        <f t="shared" si="5"/>
        <v>0</v>
      </c>
      <c r="I87" s="246">
        <f t="shared" si="6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Code]=B88)*(Budget[Sort Code]=$G$4),(Budget[Amount])))</f>
        <v>0</v>
      </c>
      <c r="D88" s="245">
        <f t="array" ref="D88">SUM(IF((Budget[Account Code]=B88)*(Budget[Sort Code]=$G$4)*(Budget[Date]&lt;=$D$7),(Budget[Amount])))</f>
        <v>0</v>
      </c>
      <c r="E88" s="245">
        <f t="array" ref="E88">((SUM(IF((CkDJ[Sort Code]=(TRIM(G$4)))*(CkDJ[Account Code]=(TRIM($B88)))*(CkDJ[Date]&lt;=$E$7),CkDJ[Debit])))+(SUM(IF((CsDJ[Sort Code]=(TRIM(G$4)))*(CsDJ[Account Code]=(TRIM($B88)))*(CsDJ[Date]&lt;=$E$7),CsDJ[Debit])))+(SUM(IF((CRDJ[Sort Code]=(TRIM(G$4)))*(CRDJ[Account Code]=(TRIM($B88)))*(CRDJ[Date]&lt;=$E$7),CRDJ[Debit])))+(SUM(IF((GJ[Sort Code]=(TRIM(G$4)))*(GJ[Account Code]=(TRIM($B88)))*(GJ[Date]&lt;=$E$7),GJ[Debit]))))-((SUM(IF((CkDJ[Sort Code]=(TRIM(G$4)))*(CkDJ[Account Code]=(TRIM($B88)))*(CkDJ[Date]&lt;=$E$7),CkDJ[Credit])))+(SUM(IF((CsDJ[Sort Code]=(TRIM(G$4)))*(CsDJ[Account Code]=(TRIM($B88)))*(CsDJ[Date]&lt;=$E$7),CsDJ[Credit])))+(SUM(IF((CRDJ[Sort Code]=(TRIM(G$4)))*(CRDJ[Account Code]=(TRIM($B88)))*(CRDJ[Date]&lt;=$E$7),CRDJ[Credit])))+(SUM(IF((GJ[Sort Code]=(TRIM(G$4)))*(GJ[Account Code]=(TRIM($B88)))*(GJ[Date]&lt;=$E$7),GJ[Credit]))))</f>
        <v>0</v>
      </c>
      <c r="F88" s="245">
        <f t="array" ref="F88">((SUM(IF((CkDJ[Date]=$A$3)*(CkDJ[Sort Code]=(TRIM(G$4)))*(CkDJ[Account Code]=(TRIM($B88))),CkDJ[Debit])))+(SUM(IF((CsDJ[Date]=$A$3)*(CsDJ[Sort Code]=(TRIM(G$4)))*(CsDJ[Account Code]=(TRIM($B88))),CsDJ[Debit])))+(SUM(IF((CRDJ[Date]=$A$3)*(CRDJ[Sort Code]=(TRIM(G$4)))*(CRDJ[Account Code]=(TRIM($B88))),CRDJ[Debit])))+(SUM(IF((GJ[Date]=$A$3)*(GJ[Sort Code]=(TRIM(G$4)))*(GJ[Account Code]=(TRIM($B88))),GJ[Debit]))))-((SUM(IF((CkDJ[Date]=$A$3)*(CkDJ[Sort Code]=(TRIM(G$4)))*(CkDJ[Account Code]=(TRIM($B88))),CkDJ[Credit])))+(SUM(IF((CsDJ[Date]=$A$3)*(CsDJ[Sort Code]=(TRIM(G$4)))*(CsDJ[Account Code]=(TRIM($B88))),CsDJ[Credit])))+(SUM(IF((CRDJ[Date]=$A$3)*(CRDJ[Sort Code]=(TRIM(G$4)))*(CRDJ[Account Code]=(TRIM($B88))),CRDJ[Credit])))+(SUM(IF((GJ[Date]=$A$3)*(GJ[Sort Code]=(TRIM(G$4)))*(GJ[Account Code]=(TRIM($B88))),GJ[Credit]))))</f>
        <v>0</v>
      </c>
      <c r="G88" s="343">
        <f t="shared" si="9"/>
        <v>0</v>
      </c>
      <c r="H88" s="246">
        <f t="shared" si="5"/>
        <v>0</v>
      </c>
      <c r="I88" s="246">
        <f t="shared" si="6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Code]=B89)*(Budget[Sort Code]=$G$4),(Budget[Amount])))</f>
        <v>60296.160000000003</v>
      </c>
      <c r="D89" s="245">
        <f t="array" ref="D89">SUM(IF((Budget[Account Code]=B89)*(Budget[Sort Code]=$G$4)*(Budget[Date]&lt;=$D$7),(Budget[Amount])))</f>
        <v>60296.160000000003</v>
      </c>
      <c r="E89" s="245">
        <f t="array" ref="E89">((SUM(IF((CkDJ[Sort Code]=(TRIM(G$4)))*(CkDJ[Account Code]=(TRIM($B89)))*(CkDJ[Date]&lt;=$E$7),CkDJ[Debit])))+(SUM(IF((CsDJ[Sort Code]=(TRIM(G$4)))*(CsDJ[Account Code]=(TRIM($B89)))*(CsDJ[Date]&lt;=$E$7),CsDJ[Debit])))+(SUM(IF((CRDJ[Sort Code]=(TRIM(G$4)))*(CRDJ[Account Code]=(TRIM($B89)))*(CRDJ[Date]&lt;=$E$7),CRDJ[Debit])))+(SUM(IF((GJ[Sort Code]=(TRIM(G$4)))*(GJ[Account Code]=(TRIM($B89)))*(GJ[Date]&lt;=$E$7),GJ[Debit]))))-((SUM(IF((CkDJ[Sort Code]=(TRIM(G$4)))*(CkDJ[Account Code]=(TRIM($B89)))*(CkDJ[Date]&lt;=$E$7),CkDJ[Credit])))+(SUM(IF((CsDJ[Sort Code]=(TRIM(G$4)))*(CsDJ[Account Code]=(TRIM($B89)))*(CsDJ[Date]&lt;=$E$7),CsDJ[Credit])))+(SUM(IF((CRDJ[Sort Code]=(TRIM(G$4)))*(CRDJ[Account Code]=(TRIM($B89)))*(CRDJ[Date]&lt;=$E$7),CRDJ[Credit])))+(SUM(IF((GJ[Sort Code]=(TRIM(G$4)))*(GJ[Account Code]=(TRIM($B89)))*(GJ[Date]&lt;=$E$7),GJ[Credit]))))</f>
        <v>0</v>
      </c>
      <c r="F89" s="245">
        <f t="array" ref="F89">((SUM(IF((CkDJ[Date]=$A$3)*(CkDJ[Sort Code]=(TRIM(G$4)))*(CkDJ[Account Code]=(TRIM($B89))),CkDJ[Debit])))+(SUM(IF((CsDJ[Date]=$A$3)*(CsDJ[Sort Code]=(TRIM(G$4)))*(CsDJ[Account Code]=(TRIM($B89))),CsDJ[Debit])))+(SUM(IF((CRDJ[Date]=$A$3)*(CRDJ[Sort Code]=(TRIM(G$4)))*(CRDJ[Account Code]=(TRIM($B89))),CRDJ[Debit])))+(SUM(IF((GJ[Date]=$A$3)*(GJ[Sort Code]=(TRIM(G$4)))*(GJ[Account Code]=(TRIM($B89))),GJ[Debit]))))-((SUM(IF((CkDJ[Date]=$A$3)*(CkDJ[Sort Code]=(TRIM(G$4)))*(CkDJ[Account Code]=(TRIM($B89))),CkDJ[Credit])))+(SUM(IF((CsDJ[Date]=$A$3)*(CsDJ[Sort Code]=(TRIM(G$4)))*(CsDJ[Account Code]=(TRIM($B89))),CsDJ[Credit])))+(SUM(IF((CRDJ[Date]=$A$3)*(CRDJ[Sort Code]=(TRIM(G$4)))*(CRDJ[Account Code]=(TRIM($B89))),CRDJ[Credit])))+(SUM(IF((GJ[Date]=$A$3)*(GJ[Sort Code]=(TRIM(G$4)))*(GJ[Account Code]=(TRIM($B89))),GJ[Credit]))))</f>
        <v>0</v>
      </c>
      <c r="G89" s="343">
        <f t="shared" si="9"/>
        <v>0</v>
      </c>
      <c r="H89" s="246">
        <f t="shared" si="5"/>
        <v>-60296.160000000003</v>
      </c>
      <c r="I89" s="246">
        <f t="shared" si="6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Code]=B90)*(Budget[Sort Code]=$G$4),(Budget[Amount])))</f>
        <v>1222116.1200000001</v>
      </c>
      <c r="D90" s="245">
        <f t="array" ref="D90">SUM(IF((Budget[Account Code]=B90)*(Budget[Sort Code]=$G$4)*(Budget[Date]&lt;=$D$7),(Budget[Amount])))</f>
        <v>1222116.1200000001</v>
      </c>
      <c r="E90" s="245">
        <f t="array" ref="E90">((SUM(IF((CkDJ[Sort Code]=(TRIM(G$4)))*(CkDJ[Account Code]=(TRIM($B90)))*(CkDJ[Date]&lt;=$E$7),CkDJ[Debit])))+(SUM(IF((CsDJ[Sort Code]=(TRIM(G$4)))*(CsDJ[Account Code]=(TRIM($B90)))*(CsDJ[Date]&lt;=$E$7),CsDJ[Debit])))+(SUM(IF((CRDJ[Sort Code]=(TRIM(G$4)))*(CRDJ[Account Code]=(TRIM($B90)))*(CRDJ[Date]&lt;=$E$7),CRDJ[Debit])))+(SUM(IF((GJ[Sort Code]=(TRIM(G$4)))*(GJ[Account Code]=(TRIM($B90)))*(GJ[Date]&lt;=$E$7),GJ[Debit]))))-((SUM(IF((CkDJ[Sort Code]=(TRIM(G$4)))*(CkDJ[Account Code]=(TRIM($B90)))*(CkDJ[Date]&lt;=$E$7),CkDJ[Credit])))+(SUM(IF((CsDJ[Sort Code]=(TRIM(G$4)))*(CsDJ[Account Code]=(TRIM($B90)))*(CsDJ[Date]&lt;=$E$7),CsDJ[Credit])))+(SUM(IF((CRDJ[Sort Code]=(TRIM(G$4)))*(CRDJ[Account Code]=(TRIM($B90)))*(CRDJ[Date]&lt;=$E$7),CRDJ[Credit])))+(SUM(IF((GJ[Sort Code]=(TRIM(G$4)))*(GJ[Account Code]=(TRIM($B90)))*(GJ[Date]&lt;=$E$7),GJ[Credit]))))</f>
        <v>0</v>
      </c>
      <c r="F90" s="245">
        <f t="array" ref="F90">((SUM(IF((CkDJ[Date]=$A$3)*(CkDJ[Sort Code]=(TRIM(G$4)))*(CkDJ[Account Code]=(TRIM($B90))),CkDJ[Debit])))+(SUM(IF((CsDJ[Date]=$A$3)*(CsDJ[Sort Code]=(TRIM(G$4)))*(CsDJ[Account Code]=(TRIM($B90))),CsDJ[Debit])))+(SUM(IF((CRDJ[Date]=$A$3)*(CRDJ[Sort Code]=(TRIM(G$4)))*(CRDJ[Account Code]=(TRIM($B90))),CRDJ[Debit])))+(SUM(IF((GJ[Date]=$A$3)*(GJ[Sort Code]=(TRIM(G$4)))*(GJ[Account Code]=(TRIM($B90))),GJ[Debit]))))-((SUM(IF((CkDJ[Date]=$A$3)*(CkDJ[Sort Code]=(TRIM(G$4)))*(CkDJ[Account Code]=(TRIM($B90))),CkDJ[Credit])))+(SUM(IF((CsDJ[Date]=$A$3)*(CsDJ[Sort Code]=(TRIM(G$4)))*(CsDJ[Account Code]=(TRIM($B90))),CsDJ[Credit])))+(SUM(IF((CRDJ[Date]=$A$3)*(CRDJ[Sort Code]=(TRIM(G$4)))*(CRDJ[Account Code]=(TRIM($B90))),CRDJ[Credit])))+(SUM(IF((GJ[Date]=$A$3)*(GJ[Sort Code]=(TRIM(G$4)))*(GJ[Account Code]=(TRIM($B90))),GJ[Credit]))))</f>
        <v>0</v>
      </c>
      <c r="G90" s="343">
        <f t="shared" si="9"/>
        <v>0</v>
      </c>
      <c r="H90" s="246">
        <f t="shared" si="5"/>
        <v>-1222116.1200000001</v>
      </c>
      <c r="I90" s="246">
        <f t="shared" si="6"/>
        <v>0</v>
      </c>
    </row>
    <row r="91" spans="1:9" hidden="1" x14ac:dyDescent="0.2">
      <c r="A91" s="256" t="s">
        <v>1475</v>
      </c>
      <c r="B91" s="339" t="s">
        <v>1265</v>
      </c>
      <c r="C91" s="245">
        <f t="array" ref="C91">SUM(IF((Budget[Account Code]=B91)*(Budget[Sort Code]=$G$4),(Budget[Amount])))</f>
        <v>0</v>
      </c>
      <c r="D91" s="245">
        <f t="array" ref="D91">SUM(IF((Budget[Account Code]=B91)*(Budget[Sort Code]=$G$4)*(Budget[Date]&lt;=$D$7),(Budget[Amount])))</f>
        <v>0</v>
      </c>
      <c r="E91" s="245">
        <f t="array" ref="E91">((SUM(IF((CkDJ[Sort Code]=(TRIM(G$4)))*(CkDJ[Account Code]=(TRIM($B91)))*(CkDJ[Date]&lt;=$E$7),CkDJ[Debit])))+(SUM(IF((CsDJ[Sort Code]=(TRIM(G$4)))*(CsDJ[Account Code]=(TRIM($B91)))*(CsDJ[Date]&lt;=$E$7),CsDJ[Debit])))+(SUM(IF((CRDJ[Sort Code]=(TRIM(G$4)))*(CRDJ[Account Code]=(TRIM($B91)))*(CRDJ[Date]&lt;=$E$7),CRDJ[Debit])))+(SUM(IF((GJ[Sort Code]=(TRIM(G$4)))*(GJ[Account Code]=(TRIM($B91)))*(GJ[Date]&lt;=$E$7),GJ[Debit]))))-((SUM(IF((CkDJ[Sort Code]=(TRIM(G$4)))*(CkDJ[Account Code]=(TRIM($B91)))*(CkDJ[Date]&lt;=$E$7),CkDJ[Credit])))+(SUM(IF((CsDJ[Sort Code]=(TRIM(G$4)))*(CsDJ[Account Code]=(TRIM($B91)))*(CsDJ[Date]&lt;=$E$7),CsDJ[Credit])))+(SUM(IF((CRDJ[Sort Code]=(TRIM(G$4)))*(CRDJ[Account Code]=(TRIM($B91)))*(CRDJ[Date]&lt;=$E$7),CRDJ[Credit])))+(SUM(IF((GJ[Sort Code]=(TRIM(G$4)))*(GJ[Account Code]=(TRIM($B91)))*(GJ[Date]&lt;=$E$7),GJ[Credit]))))</f>
        <v>0</v>
      </c>
      <c r="F91" s="245">
        <f t="array" ref="F91">((SUM(IF((CkDJ[Date]=$A$3)*(CkDJ[Sort Code]=(TRIM(G$4)))*(CkDJ[Account Code]=(TRIM($B91))),CkDJ[Debit])))+(SUM(IF((CsDJ[Date]=$A$3)*(CsDJ[Sort Code]=(TRIM(G$4)))*(CsDJ[Account Code]=(TRIM($B91))),CsDJ[Debit])))+(SUM(IF((CRDJ[Date]=$A$3)*(CRDJ[Sort Code]=(TRIM(G$4)))*(CRDJ[Account Code]=(TRIM($B91))),CRDJ[Debit])))+(SUM(IF((GJ[Date]=$A$3)*(GJ[Sort Code]=(TRIM(G$4)))*(GJ[Account Code]=(TRIM($B91))),GJ[Debit]))))-((SUM(IF((CkDJ[Date]=$A$3)*(CkDJ[Sort Code]=(TRIM(G$4)))*(CkDJ[Account Code]=(TRIM($B91))),CkDJ[Credit])))+(SUM(IF((CsDJ[Date]=$A$3)*(CsDJ[Sort Code]=(TRIM(G$4)))*(CsDJ[Account Code]=(TRIM($B91))),CsDJ[Credit])))+(SUM(IF((CRDJ[Date]=$A$3)*(CRDJ[Sort Code]=(TRIM(G$4)))*(CRDJ[Account Code]=(TRIM($B91))),CRDJ[Credit])))+(SUM(IF((GJ[Date]=$A$3)*(GJ[Sort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hidden="1" x14ac:dyDescent="0.2">
      <c r="A92" s="256" t="s">
        <v>1475</v>
      </c>
      <c r="B92" s="339" t="s">
        <v>1266</v>
      </c>
      <c r="C92" s="245">
        <f t="array" ref="C92">SUM(IF((Budget[Account Code]=B92)*(Budget[Sort Code]=$G$4),(Budget[Amount])))</f>
        <v>0</v>
      </c>
      <c r="D92" s="245">
        <f t="array" ref="D92">SUM(IF((Budget[Account Code]=B92)*(Budget[Sort Code]=$G$4)*(Budget[Date]&lt;=$D$7),(Budget[Amount])))</f>
        <v>0</v>
      </c>
      <c r="E92" s="245">
        <f t="array" ref="E92">((SUM(IF((CkDJ[Sort Code]=(TRIM(G$4)))*(CkDJ[Account Code]=(TRIM($B92)))*(CkDJ[Date]&lt;=$E$7),CkDJ[Debit])))+(SUM(IF((CsDJ[Sort Code]=(TRIM(G$4)))*(CsDJ[Account Code]=(TRIM($B92)))*(CsDJ[Date]&lt;=$E$7),CsDJ[Debit])))+(SUM(IF((CRDJ[Sort Code]=(TRIM(G$4)))*(CRDJ[Account Code]=(TRIM($B92)))*(CRDJ[Date]&lt;=$E$7),CRDJ[Debit])))+(SUM(IF((GJ[Sort Code]=(TRIM(G$4)))*(GJ[Account Code]=(TRIM($B92)))*(GJ[Date]&lt;=$E$7),GJ[Debit]))))-((SUM(IF((CkDJ[Sort Code]=(TRIM(G$4)))*(CkDJ[Account Code]=(TRIM($B92)))*(CkDJ[Date]&lt;=$E$7),CkDJ[Credit])))+(SUM(IF((CsDJ[Sort Code]=(TRIM(G$4)))*(CsDJ[Account Code]=(TRIM($B92)))*(CsDJ[Date]&lt;=$E$7),CsDJ[Credit])))+(SUM(IF((CRDJ[Sort Code]=(TRIM(G$4)))*(CRDJ[Account Code]=(TRIM($B92)))*(CRDJ[Date]&lt;=$E$7),CRDJ[Credit])))+(SUM(IF((GJ[Sort Code]=(TRIM(G$4)))*(GJ[Account Code]=(TRIM($B92)))*(GJ[Date]&lt;=$E$7),GJ[Credit]))))</f>
        <v>0</v>
      </c>
      <c r="F92" s="245">
        <f t="array" ref="F92">((SUM(IF((CkDJ[Date]=$A$3)*(CkDJ[Sort Code]=(TRIM(G$4)))*(CkDJ[Account Code]=(TRIM($B92))),CkDJ[Debit])))+(SUM(IF((CsDJ[Date]=$A$3)*(CsDJ[Sort Code]=(TRIM(G$4)))*(CsDJ[Account Code]=(TRIM($B92))),CsDJ[Debit])))+(SUM(IF((CRDJ[Date]=$A$3)*(CRDJ[Sort Code]=(TRIM(G$4)))*(CRDJ[Account Code]=(TRIM($B92))),CRDJ[Debit])))+(SUM(IF((GJ[Date]=$A$3)*(GJ[Sort Code]=(TRIM(G$4)))*(GJ[Account Code]=(TRIM($B92))),GJ[Debit]))))-((SUM(IF((CkDJ[Date]=$A$3)*(CkDJ[Sort Code]=(TRIM(G$4)))*(CkDJ[Account Code]=(TRIM($B92))),CkDJ[Credit])))+(SUM(IF((CsDJ[Date]=$A$3)*(CsDJ[Sort Code]=(TRIM(G$4)))*(CsDJ[Account Code]=(TRIM($B92))),CsDJ[Credit])))+(SUM(IF((CRDJ[Date]=$A$3)*(CRDJ[Sort Code]=(TRIM(G$4)))*(CRDJ[Account Code]=(TRIM($B92))),CRDJ[Credit])))+(SUM(IF((GJ[Date]=$A$3)*(GJ[Sort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Code]=B93)*(Budget[Sort Code]=$G$4),(Budget[Amount])))</f>
        <v>0</v>
      </c>
      <c r="D93" s="245">
        <f t="array" ref="D93">SUM(IF((Budget[Account Code]=B93)*(Budget[Sort Code]=$G$4)*(Budget[Date]&lt;=$D$7),(Budget[Amount])))</f>
        <v>0</v>
      </c>
      <c r="E93" s="245">
        <f t="array" ref="E93">((SUM(IF((CkDJ[Sort Code]=(TRIM(G$4)))*(CkDJ[Account Code]=(TRIM($B93)))*(CkDJ[Date]&lt;=$E$7),CkDJ[Debit])))+(SUM(IF((CsDJ[Sort Code]=(TRIM(G$4)))*(CsDJ[Account Code]=(TRIM($B93)))*(CsDJ[Date]&lt;=$E$7),CsDJ[Debit])))+(SUM(IF((CRDJ[Sort Code]=(TRIM(G$4)))*(CRDJ[Account Code]=(TRIM($B93)))*(CRDJ[Date]&lt;=$E$7),CRDJ[Debit])))+(SUM(IF((GJ[Sort Code]=(TRIM(G$4)))*(GJ[Account Code]=(TRIM($B93)))*(GJ[Date]&lt;=$E$7),GJ[Debit]))))-((SUM(IF((CkDJ[Sort Code]=(TRIM(G$4)))*(CkDJ[Account Code]=(TRIM($B93)))*(CkDJ[Date]&lt;=$E$7),CkDJ[Credit])))+(SUM(IF((CsDJ[Sort Code]=(TRIM(G$4)))*(CsDJ[Account Code]=(TRIM($B93)))*(CsDJ[Date]&lt;=$E$7),CsDJ[Credit])))+(SUM(IF((CRDJ[Sort Code]=(TRIM(G$4)))*(CRDJ[Account Code]=(TRIM($B93)))*(CRDJ[Date]&lt;=$E$7),CRDJ[Credit])))+(SUM(IF((GJ[Sort Code]=(TRIM(G$4)))*(GJ[Account Code]=(TRIM($B93)))*(GJ[Date]&lt;=$E$7),GJ[Credit]))))</f>
        <v>0</v>
      </c>
      <c r="F93" s="245">
        <f t="array" ref="F93">((SUM(IF((CkDJ[Date]=$A$3)*(CkDJ[Sort Code]=(TRIM(G$4)))*(CkDJ[Account Code]=(TRIM($B93))),CkDJ[Debit])))+(SUM(IF((CsDJ[Date]=$A$3)*(CsDJ[Sort Code]=(TRIM(G$4)))*(CsDJ[Account Code]=(TRIM($B93))),CsDJ[Debit])))+(SUM(IF((CRDJ[Date]=$A$3)*(CRDJ[Sort Code]=(TRIM(G$4)))*(CRDJ[Account Code]=(TRIM($B93))),CRDJ[Debit])))+(SUM(IF((GJ[Date]=$A$3)*(GJ[Sort Code]=(TRIM(G$4)))*(GJ[Account Code]=(TRIM($B93))),GJ[Debit]))))-((SUM(IF((CkDJ[Date]=$A$3)*(CkDJ[Sort Code]=(TRIM(G$4)))*(CkDJ[Account Code]=(TRIM($B93))),CkDJ[Credit])))+(SUM(IF((CsDJ[Date]=$A$3)*(CsDJ[Sort Code]=(TRIM(G$4)))*(CsDJ[Account Code]=(TRIM($B93))),CsDJ[Credit])))+(SUM(IF((CRDJ[Date]=$A$3)*(CRDJ[Sort Code]=(TRIM(G$4)))*(CRDJ[Account Code]=(TRIM($B93))),CRDJ[Credit])))+(SUM(IF((GJ[Date]=$A$3)*(GJ[Sort Code]=(TRIM(G$4)))*(GJ[Account Code]=(TRIM($B93))),GJ[Credit]))))</f>
        <v>0</v>
      </c>
      <c r="G93" s="343">
        <f t="shared" si="9"/>
        <v>0</v>
      </c>
      <c r="H93" s="246">
        <f t="shared" si="5"/>
        <v>0</v>
      </c>
      <c r="I93" s="246">
        <f t="shared" si="6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Code]=B94)*(Budget[Sort Code]=$G$4),(Budget[Amount])))</f>
        <v>0</v>
      </c>
      <c r="D94" s="245">
        <f t="array" ref="D94">SUM(IF((Budget[Account Code]=B94)*(Budget[Sort Code]=$G$4)*(Budget[Date]&lt;=$D$7),(Budget[Amount])))</f>
        <v>0</v>
      </c>
      <c r="E94" s="245">
        <f t="array" ref="E94">((SUM(IF((CkDJ[Sort Code]=(TRIM(G$4)))*(CkDJ[Account Code]=(TRIM($B94)))*(CkDJ[Date]&lt;=$E$7),CkDJ[Debit])))+(SUM(IF((CsDJ[Sort Code]=(TRIM(G$4)))*(CsDJ[Account Code]=(TRIM($B94)))*(CsDJ[Date]&lt;=$E$7),CsDJ[Debit])))+(SUM(IF((CRDJ[Sort Code]=(TRIM(G$4)))*(CRDJ[Account Code]=(TRIM($B94)))*(CRDJ[Date]&lt;=$E$7),CRDJ[Debit])))+(SUM(IF((GJ[Sort Code]=(TRIM(G$4)))*(GJ[Account Code]=(TRIM($B94)))*(GJ[Date]&lt;=$E$7),GJ[Debit]))))-((SUM(IF((CkDJ[Sort Code]=(TRIM(G$4)))*(CkDJ[Account Code]=(TRIM($B94)))*(CkDJ[Date]&lt;=$E$7),CkDJ[Credit])))+(SUM(IF((CsDJ[Sort Code]=(TRIM(G$4)))*(CsDJ[Account Code]=(TRIM($B94)))*(CsDJ[Date]&lt;=$E$7),CsDJ[Credit])))+(SUM(IF((CRDJ[Sort Code]=(TRIM(G$4)))*(CRDJ[Account Code]=(TRIM($B94)))*(CRDJ[Date]&lt;=$E$7),CRDJ[Credit])))+(SUM(IF((GJ[Sort Code]=(TRIM(G$4)))*(GJ[Account Code]=(TRIM($B94)))*(GJ[Date]&lt;=$E$7),GJ[Credit]))))</f>
        <v>0</v>
      </c>
      <c r="F94" s="245">
        <f t="array" ref="F94">((SUM(IF((CkDJ[Date]=$A$3)*(CkDJ[Sort Code]=(TRIM(G$4)))*(CkDJ[Account Code]=(TRIM($B94))),CkDJ[Debit])))+(SUM(IF((CsDJ[Date]=$A$3)*(CsDJ[Sort Code]=(TRIM(G$4)))*(CsDJ[Account Code]=(TRIM($B94))),CsDJ[Debit])))+(SUM(IF((CRDJ[Date]=$A$3)*(CRDJ[Sort Code]=(TRIM(G$4)))*(CRDJ[Account Code]=(TRIM($B94))),CRDJ[Debit])))+(SUM(IF((GJ[Date]=$A$3)*(GJ[Sort Code]=(TRIM(G$4)))*(GJ[Account Code]=(TRIM($B94))),GJ[Debit]))))-((SUM(IF((CkDJ[Date]=$A$3)*(CkDJ[Sort Code]=(TRIM(G$4)))*(CkDJ[Account Code]=(TRIM($B94))),CkDJ[Credit])))+(SUM(IF((CsDJ[Date]=$A$3)*(CsDJ[Sort Code]=(TRIM(G$4)))*(CsDJ[Account Code]=(TRIM($B94))),CsDJ[Credit])))+(SUM(IF((CRDJ[Date]=$A$3)*(CRDJ[Sort Code]=(TRIM(G$4)))*(CRDJ[Account Code]=(TRIM($B94))),CRDJ[Credit])))+(SUM(IF((GJ[Date]=$A$3)*(GJ[Sort Code]=(TRIM(G$4)))*(GJ[Account Code]=(TRIM($B94))),GJ[Credit]))))</f>
        <v>0</v>
      </c>
      <c r="G94" s="343">
        <f t="shared" si="9"/>
        <v>0</v>
      </c>
      <c r="H94" s="246">
        <f t="shared" si="5"/>
        <v>0</v>
      </c>
      <c r="I94" s="246">
        <f t="shared" si="6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Code]=B95)*(Budget[Sort Code]=$G$4),(Budget[Amount])))</f>
        <v>0</v>
      </c>
      <c r="D95" s="245">
        <f t="array" ref="D95">SUM(IF((Budget[Account Code]=B95)*(Budget[Sort Code]=$G$4)*(Budget[Date]&lt;=$D$7),(Budget[Amount])))</f>
        <v>0</v>
      </c>
      <c r="E95" s="245">
        <f t="array" ref="E95">((SUM(IF((CkDJ[Sort Code]=(TRIM(G$4)))*(CkDJ[Account Code]=(TRIM($B95)))*(CkDJ[Date]&lt;=$E$7),CkDJ[Debit])))+(SUM(IF((CsDJ[Sort Code]=(TRIM(G$4)))*(CsDJ[Account Code]=(TRIM($B95)))*(CsDJ[Date]&lt;=$E$7),CsDJ[Debit])))+(SUM(IF((CRDJ[Sort Code]=(TRIM(G$4)))*(CRDJ[Account Code]=(TRIM($B95)))*(CRDJ[Date]&lt;=$E$7),CRDJ[Debit])))+(SUM(IF((GJ[Sort Code]=(TRIM(G$4)))*(GJ[Account Code]=(TRIM($B95)))*(GJ[Date]&lt;=$E$7),GJ[Debit]))))-((SUM(IF((CkDJ[Sort Code]=(TRIM(G$4)))*(CkDJ[Account Code]=(TRIM($B95)))*(CkDJ[Date]&lt;=$E$7),CkDJ[Credit])))+(SUM(IF((CsDJ[Sort Code]=(TRIM(G$4)))*(CsDJ[Account Code]=(TRIM($B95)))*(CsDJ[Date]&lt;=$E$7),CsDJ[Credit])))+(SUM(IF((CRDJ[Sort Code]=(TRIM(G$4)))*(CRDJ[Account Code]=(TRIM($B95)))*(CRDJ[Date]&lt;=$E$7),CRDJ[Credit])))+(SUM(IF((GJ[Sort Code]=(TRIM(G$4)))*(GJ[Account Code]=(TRIM($B95)))*(GJ[Date]&lt;=$E$7),GJ[Credit]))))</f>
        <v>0</v>
      </c>
      <c r="F95" s="245">
        <f t="array" ref="F95">((SUM(IF((CkDJ[Date]=$A$3)*(CkDJ[Sort Code]=(TRIM(G$4)))*(CkDJ[Account Code]=(TRIM($B95))),CkDJ[Debit])))+(SUM(IF((CsDJ[Date]=$A$3)*(CsDJ[Sort Code]=(TRIM(G$4)))*(CsDJ[Account Code]=(TRIM($B95))),CsDJ[Debit])))+(SUM(IF((CRDJ[Date]=$A$3)*(CRDJ[Sort Code]=(TRIM(G$4)))*(CRDJ[Account Code]=(TRIM($B95))),CRDJ[Debit])))+(SUM(IF((GJ[Date]=$A$3)*(GJ[Sort Code]=(TRIM(G$4)))*(GJ[Account Code]=(TRIM($B95))),GJ[Debit]))))-((SUM(IF((CkDJ[Date]=$A$3)*(CkDJ[Sort Code]=(TRIM(G$4)))*(CkDJ[Account Code]=(TRIM($B95))),CkDJ[Credit])))+(SUM(IF((CsDJ[Date]=$A$3)*(CsDJ[Sort Code]=(TRIM(G$4)))*(CsDJ[Account Code]=(TRIM($B95))),CsDJ[Credit])))+(SUM(IF((CRDJ[Date]=$A$3)*(CRDJ[Sort Code]=(TRIM(G$4)))*(CRDJ[Account Code]=(TRIM($B95))),CRDJ[Credit])))+(SUM(IF((GJ[Date]=$A$3)*(GJ[Sort Code]=(TRIM(G$4)))*(GJ[Account Code]=(TRIM($B95))),GJ[Credit]))))</f>
        <v>0</v>
      </c>
      <c r="G95" s="343">
        <f t="shared" si="9"/>
        <v>0</v>
      </c>
      <c r="H95" s="246">
        <f t="shared" si="5"/>
        <v>0</v>
      </c>
      <c r="I95" s="246">
        <f t="shared" si="6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Code]=B96)*(Budget[Sort Code]=$G$4),(Budget[Amount])))</f>
        <v>224716.08</v>
      </c>
      <c r="D96" s="245">
        <f t="array" ref="D96">SUM(IF((Budget[Account Code]=B96)*(Budget[Sort Code]=$G$4)*(Budget[Date]&lt;=$D$7),(Budget[Amount])))</f>
        <v>224716.08</v>
      </c>
      <c r="E96" s="245">
        <f t="array" ref="E96">((SUM(IF((CkDJ[Sort Code]=(TRIM(G$4)))*(CkDJ[Account Code]=(TRIM($B96)))*(CkDJ[Date]&lt;=$E$7),CkDJ[Debit])))+(SUM(IF((CsDJ[Sort Code]=(TRIM(G$4)))*(CsDJ[Account Code]=(TRIM($B96)))*(CsDJ[Date]&lt;=$E$7),CsDJ[Debit])))+(SUM(IF((CRDJ[Sort Code]=(TRIM(G$4)))*(CRDJ[Account Code]=(TRIM($B96)))*(CRDJ[Date]&lt;=$E$7),CRDJ[Debit])))+(SUM(IF((GJ[Sort Code]=(TRIM(G$4)))*(GJ[Account Code]=(TRIM($B96)))*(GJ[Date]&lt;=$E$7),GJ[Debit]))))-((SUM(IF((CkDJ[Sort Code]=(TRIM(G$4)))*(CkDJ[Account Code]=(TRIM($B96)))*(CkDJ[Date]&lt;=$E$7),CkDJ[Credit])))+(SUM(IF((CsDJ[Sort Code]=(TRIM(G$4)))*(CsDJ[Account Code]=(TRIM($B96)))*(CsDJ[Date]&lt;=$E$7),CsDJ[Credit])))+(SUM(IF((CRDJ[Sort Code]=(TRIM(G$4)))*(CRDJ[Account Code]=(TRIM($B96)))*(CRDJ[Date]&lt;=$E$7),CRDJ[Credit])))+(SUM(IF((GJ[Sort Code]=(TRIM(G$4)))*(GJ[Account Code]=(TRIM($B96)))*(GJ[Date]&lt;=$E$7),GJ[Credit]))))</f>
        <v>0</v>
      </c>
      <c r="F96" s="245">
        <f t="array" ref="F96">((SUM(IF((CkDJ[Date]=$A$3)*(CkDJ[Sort Code]=(TRIM(G$4)))*(CkDJ[Account Code]=(TRIM($B96))),CkDJ[Debit])))+(SUM(IF((CsDJ[Date]=$A$3)*(CsDJ[Sort Code]=(TRIM(G$4)))*(CsDJ[Account Code]=(TRIM($B96))),CsDJ[Debit])))+(SUM(IF((CRDJ[Date]=$A$3)*(CRDJ[Sort Code]=(TRIM(G$4)))*(CRDJ[Account Code]=(TRIM($B96))),CRDJ[Debit])))+(SUM(IF((GJ[Date]=$A$3)*(GJ[Sort Code]=(TRIM(G$4)))*(GJ[Account Code]=(TRIM($B96))),GJ[Debit]))))-((SUM(IF((CkDJ[Date]=$A$3)*(CkDJ[Sort Code]=(TRIM(G$4)))*(CkDJ[Account Code]=(TRIM($B96))),CkDJ[Credit])))+(SUM(IF((CsDJ[Date]=$A$3)*(CsDJ[Sort Code]=(TRIM(G$4)))*(CsDJ[Account Code]=(TRIM($B96))),CsDJ[Credit])))+(SUM(IF((CRDJ[Date]=$A$3)*(CRDJ[Sort Code]=(TRIM(G$4)))*(CRDJ[Account Code]=(TRIM($B96))),CRDJ[Credit])))+(SUM(IF((GJ[Date]=$A$3)*(GJ[Sort Code]=(TRIM(G$4)))*(GJ[Account Code]=(TRIM($B96))),GJ[Credit]))))</f>
        <v>0</v>
      </c>
      <c r="G96" s="343">
        <f t="shared" si="9"/>
        <v>0</v>
      </c>
      <c r="H96" s="246">
        <f t="shared" si="5"/>
        <v>-224716.08</v>
      </c>
      <c r="I96" s="246">
        <f t="shared" si="6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Code]=B97)*(Budget[Sort Code]=$G$4),(Budget[Amount])))</f>
        <v>0</v>
      </c>
      <c r="D97" s="245">
        <f t="array" ref="D97">SUM(IF((Budget[Account Code]=B97)*(Budget[Sort Code]=$G$4)*(Budget[Date]&lt;=$D$7),(Budget[Amount])))</f>
        <v>0</v>
      </c>
      <c r="E97" s="245">
        <f t="array" ref="E97">((SUM(IF((CkDJ[Sort Code]=(TRIM(G$4)))*(CkDJ[Account Code]=(TRIM($B97)))*(CkDJ[Date]&lt;=$E$7),CkDJ[Debit])))+(SUM(IF((CsDJ[Sort Code]=(TRIM(G$4)))*(CsDJ[Account Code]=(TRIM($B97)))*(CsDJ[Date]&lt;=$E$7),CsDJ[Debit])))+(SUM(IF((CRDJ[Sort Code]=(TRIM(G$4)))*(CRDJ[Account Code]=(TRIM($B97)))*(CRDJ[Date]&lt;=$E$7),CRDJ[Debit])))+(SUM(IF((GJ[Sort Code]=(TRIM(G$4)))*(GJ[Account Code]=(TRIM($B97)))*(GJ[Date]&lt;=$E$7),GJ[Debit]))))-((SUM(IF((CkDJ[Sort Code]=(TRIM(G$4)))*(CkDJ[Account Code]=(TRIM($B97)))*(CkDJ[Date]&lt;=$E$7),CkDJ[Credit])))+(SUM(IF((CsDJ[Sort Code]=(TRIM(G$4)))*(CsDJ[Account Code]=(TRIM($B97)))*(CsDJ[Date]&lt;=$E$7),CsDJ[Credit])))+(SUM(IF((CRDJ[Sort Code]=(TRIM(G$4)))*(CRDJ[Account Code]=(TRIM($B97)))*(CRDJ[Date]&lt;=$E$7),CRDJ[Credit])))+(SUM(IF((GJ[Sort Code]=(TRIM(G$4)))*(GJ[Account Code]=(TRIM($B97)))*(GJ[Date]&lt;=$E$7),GJ[Credit]))))</f>
        <v>0</v>
      </c>
      <c r="F97" s="245">
        <f t="array" ref="F97">((SUM(IF((CkDJ[Date]=$A$3)*(CkDJ[Sort Code]=(TRIM(G$4)))*(CkDJ[Account Code]=(TRIM($B97))),CkDJ[Debit])))+(SUM(IF((CsDJ[Date]=$A$3)*(CsDJ[Sort Code]=(TRIM(G$4)))*(CsDJ[Account Code]=(TRIM($B97))),CsDJ[Debit])))+(SUM(IF((CRDJ[Date]=$A$3)*(CRDJ[Sort Code]=(TRIM(G$4)))*(CRDJ[Account Code]=(TRIM($B97))),CRDJ[Debit])))+(SUM(IF((GJ[Date]=$A$3)*(GJ[Sort Code]=(TRIM(G$4)))*(GJ[Account Code]=(TRIM($B97))),GJ[Debit]))))-((SUM(IF((CkDJ[Date]=$A$3)*(CkDJ[Sort Code]=(TRIM(G$4)))*(CkDJ[Account Code]=(TRIM($B97))),CkDJ[Credit])))+(SUM(IF((CsDJ[Date]=$A$3)*(CsDJ[Sort Code]=(TRIM(G$4)))*(CsDJ[Account Code]=(TRIM($B97))),CsDJ[Credit])))+(SUM(IF((CRDJ[Date]=$A$3)*(CRDJ[Sort Code]=(TRIM(G$4)))*(CRDJ[Account Code]=(TRIM($B97))),CRDJ[Credit])))+(SUM(IF((GJ[Date]=$A$3)*(GJ[Sort Code]=(TRIM(G$4)))*(GJ[Account Code]=(TRIM($B97))),GJ[Credit]))))</f>
        <v>0</v>
      </c>
      <c r="G97" s="343">
        <f t="shared" si="9"/>
        <v>0</v>
      </c>
      <c r="H97" s="246">
        <f t="shared" si="5"/>
        <v>0</v>
      </c>
      <c r="I97" s="246">
        <f t="shared" si="6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Code]=B98)*(Budget[Sort Code]=$G$4),(Budget[Amount])))</f>
        <v>0</v>
      </c>
      <c r="D98" s="245">
        <f t="array" ref="D98">SUM(IF((Budget[Account Code]=B98)*(Budget[Sort Code]=$G$4)*(Budget[Date]&lt;=$D$7),(Budget[Amount])))</f>
        <v>0</v>
      </c>
      <c r="E98" s="245">
        <f t="array" ref="E98">((SUM(IF((CkDJ[Sort Code]=(TRIM(G$4)))*(CkDJ[Account Code]=(TRIM($B98)))*(CkDJ[Date]&lt;=$E$7),CkDJ[Debit])))+(SUM(IF((CsDJ[Sort Code]=(TRIM(G$4)))*(CsDJ[Account Code]=(TRIM($B98)))*(CsDJ[Date]&lt;=$E$7),CsDJ[Debit])))+(SUM(IF((CRDJ[Sort Code]=(TRIM(G$4)))*(CRDJ[Account Code]=(TRIM($B98)))*(CRDJ[Date]&lt;=$E$7),CRDJ[Debit])))+(SUM(IF((GJ[Sort Code]=(TRIM(G$4)))*(GJ[Account Code]=(TRIM($B98)))*(GJ[Date]&lt;=$E$7),GJ[Debit]))))-((SUM(IF((CkDJ[Sort Code]=(TRIM(G$4)))*(CkDJ[Account Code]=(TRIM($B98)))*(CkDJ[Date]&lt;=$E$7),CkDJ[Credit])))+(SUM(IF((CsDJ[Sort Code]=(TRIM(G$4)))*(CsDJ[Account Code]=(TRIM($B98)))*(CsDJ[Date]&lt;=$E$7),CsDJ[Credit])))+(SUM(IF((CRDJ[Sort Code]=(TRIM(G$4)))*(CRDJ[Account Code]=(TRIM($B98)))*(CRDJ[Date]&lt;=$E$7),CRDJ[Credit])))+(SUM(IF((GJ[Sort Code]=(TRIM(G$4)))*(GJ[Account Code]=(TRIM($B98)))*(GJ[Date]&lt;=$E$7),GJ[Credit]))))</f>
        <v>0</v>
      </c>
      <c r="F98" s="245">
        <f t="array" ref="F98">((SUM(IF((CkDJ[Date]=$A$3)*(CkDJ[Sort Code]=(TRIM(G$4)))*(CkDJ[Account Code]=(TRIM($B98))),CkDJ[Debit])))+(SUM(IF((CsDJ[Date]=$A$3)*(CsDJ[Sort Code]=(TRIM(G$4)))*(CsDJ[Account Code]=(TRIM($B98))),CsDJ[Debit])))+(SUM(IF((CRDJ[Date]=$A$3)*(CRDJ[Sort Code]=(TRIM(G$4)))*(CRDJ[Account Code]=(TRIM($B98))),CRDJ[Debit])))+(SUM(IF((GJ[Date]=$A$3)*(GJ[Sort Code]=(TRIM(G$4)))*(GJ[Account Code]=(TRIM($B98))),GJ[Debit]))))-((SUM(IF((CkDJ[Date]=$A$3)*(CkDJ[Sort Code]=(TRIM(G$4)))*(CkDJ[Account Code]=(TRIM($B98))),CkDJ[Credit])))+(SUM(IF((CsDJ[Date]=$A$3)*(CsDJ[Sort Code]=(TRIM(G$4)))*(CsDJ[Account Code]=(TRIM($B98))),CsDJ[Credit])))+(SUM(IF((CRDJ[Date]=$A$3)*(CRDJ[Sort Code]=(TRIM(G$4)))*(CRDJ[Account Code]=(TRIM($B98))),CRDJ[Credit])))+(SUM(IF((GJ[Date]=$A$3)*(GJ[Sort Code]=(TRIM(G$4)))*(GJ[Account Code]=(TRIM($B98))),GJ[Credit]))))</f>
        <v>0</v>
      </c>
      <c r="G98" s="343">
        <f t="shared" si="9"/>
        <v>0</v>
      </c>
      <c r="H98" s="246">
        <f t="shared" si="5"/>
        <v>0</v>
      </c>
      <c r="I98" s="246">
        <f t="shared" si="6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Code]=B99)*(Budget[Sort Code]=$G$4),(Budget[Amount])))</f>
        <v>0</v>
      </c>
      <c r="D99" s="245">
        <f t="array" ref="D99">SUM(IF((Budget[Account Code]=B99)*(Budget[Sort Code]=$G$4)*(Budget[Date]&lt;=$D$7),(Budget[Amount])))</f>
        <v>0</v>
      </c>
      <c r="E99" s="245">
        <f t="array" ref="E99">((SUM(IF((CkDJ[Sort Code]=(TRIM(G$4)))*(CkDJ[Account Code]=(TRIM($B99)))*(CkDJ[Date]&lt;=$E$7),CkDJ[Debit])))+(SUM(IF((CsDJ[Sort Code]=(TRIM(G$4)))*(CsDJ[Account Code]=(TRIM($B99)))*(CsDJ[Date]&lt;=$E$7),CsDJ[Debit])))+(SUM(IF((CRDJ[Sort Code]=(TRIM(G$4)))*(CRDJ[Account Code]=(TRIM($B99)))*(CRDJ[Date]&lt;=$E$7),CRDJ[Debit])))+(SUM(IF((GJ[Sort Code]=(TRIM(G$4)))*(GJ[Account Code]=(TRIM($B99)))*(GJ[Date]&lt;=$E$7),GJ[Debit]))))-((SUM(IF((CkDJ[Sort Code]=(TRIM(G$4)))*(CkDJ[Account Code]=(TRIM($B99)))*(CkDJ[Date]&lt;=$E$7),CkDJ[Credit])))+(SUM(IF((CsDJ[Sort Code]=(TRIM(G$4)))*(CsDJ[Account Code]=(TRIM($B99)))*(CsDJ[Date]&lt;=$E$7),CsDJ[Credit])))+(SUM(IF((CRDJ[Sort Code]=(TRIM(G$4)))*(CRDJ[Account Code]=(TRIM($B99)))*(CRDJ[Date]&lt;=$E$7),CRDJ[Credit])))+(SUM(IF((GJ[Sort Code]=(TRIM(G$4)))*(GJ[Account Code]=(TRIM($B99)))*(GJ[Date]&lt;=$E$7),GJ[Credit]))))</f>
        <v>0</v>
      </c>
      <c r="F99" s="245">
        <f t="array" ref="F99">((SUM(IF((CkDJ[Date]=$A$3)*(CkDJ[Sort Code]=(TRIM(G$4)))*(CkDJ[Account Code]=(TRIM($B99))),CkDJ[Debit])))+(SUM(IF((CsDJ[Date]=$A$3)*(CsDJ[Sort Code]=(TRIM(G$4)))*(CsDJ[Account Code]=(TRIM($B99))),CsDJ[Debit])))+(SUM(IF((CRDJ[Date]=$A$3)*(CRDJ[Sort Code]=(TRIM(G$4)))*(CRDJ[Account Code]=(TRIM($B99))),CRDJ[Debit])))+(SUM(IF((GJ[Date]=$A$3)*(GJ[Sort Code]=(TRIM(G$4)))*(GJ[Account Code]=(TRIM($B99))),GJ[Debit]))))-((SUM(IF((CkDJ[Date]=$A$3)*(CkDJ[Sort Code]=(TRIM(G$4)))*(CkDJ[Account Code]=(TRIM($B99))),CkDJ[Credit])))+(SUM(IF((CsDJ[Date]=$A$3)*(CsDJ[Sort Code]=(TRIM(G$4)))*(CsDJ[Account Code]=(TRIM($B99))),CsDJ[Credit])))+(SUM(IF((CRDJ[Date]=$A$3)*(CRDJ[Sort Code]=(TRIM(G$4)))*(CRDJ[Account Code]=(TRIM($B99))),CRDJ[Credit])))+(SUM(IF((GJ[Date]=$A$3)*(GJ[Sort Code]=(TRIM(G$4)))*(GJ[Account Code]=(TRIM($B99))),GJ[Credit]))))</f>
        <v>0</v>
      </c>
      <c r="G99" s="343">
        <f t="shared" si="9"/>
        <v>0</v>
      </c>
      <c r="H99" s="246">
        <f t="shared" si="5"/>
        <v>0</v>
      </c>
      <c r="I99" s="246">
        <f t="shared" si="6"/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Code]=B100)*(Budget[Sort Code]=$G$4),(Budget[Amount])))</f>
        <v>0</v>
      </c>
      <c r="D100" s="245">
        <f t="array" ref="D100">SUM(IF((Budget[Account Code]=B100)*(Budget[Sort Code]=$G$4)*(Budget[Date]&lt;=$D$7),(Budget[Amount])))</f>
        <v>0</v>
      </c>
      <c r="E100" s="245">
        <f t="array" ref="E100">((SUM(IF((CkDJ[Sort Code]=(TRIM(G$4)))*(CkDJ[Account Code]=(TRIM($B100)))*(CkDJ[Date]&lt;=$E$7),CkDJ[Debit])))+(SUM(IF((CsDJ[Sort Code]=(TRIM(G$4)))*(CsDJ[Account Code]=(TRIM($B100)))*(CsDJ[Date]&lt;=$E$7),CsDJ[Debit])))+(SUM(IF((CRDJ[Sort Code]=(TRIM(G$4)))*(CRDJ[Account Code]=(TRIM($B100)))*(CRDJ[Date]&lt;=$E$7),CRDJ[Debit])))+(SUM(IF((GJ[Sort Code]=(TRIM(G$4)))*(GJ[Account Code]=(TRIM($B100)))*(GJ[Date]&lt;=$E$7),GJ[Debit]))))-((SUM(IF((CkDJ[Sort Code]=(TRIM(G$4)))*(CkDJ[Account Code]=(TRIM($B100)))*(CkDJ[Date]&lt;=$E$7),CkDJ[Credit])))+(SUM(IF((CsDJ[Sort Code]=(TRIM(G$4)))*(CsDJ[Account Code]=(TRIM($B100)))*(CsDJ[Date]&lt;=$E$7),CsDJ[Credit])))+(SUM(IF((CRDJ[Sort Code]=(TRIM(G$4)))*(CRDJ[Account Code]=(TRIM($B100)))*(CRDJ[Date]&lt;=$E$7),CRDJ[Credit])))+(SUM(IF((GJ[Sort Code]=(TRIM(G$4)))*(GJ[Account Code]=(TRIM($B100)))*(GJ[Date]&lt;=$E$7),GJ[Credit]))))</f>
        <v>0</v>
      </c>
      <c r="F100" s="245">
        <f t="array" ref="F100">((SUM(IF((CkDJ[Date]=$A$3)*(CkDJ[Sort Code]=(TRIM(G$4)))*(CkDJ[Account Code]=(TRIM($B100))),CkDJ[Debit])))+(SUM(IF((CsDJ[Date]=$A$3)*(CsDJ[Sort Code]=(TRIM(G$4)))*(CsDJ[Account Code]=(TRIM($B100))),CsDJ[Debit])))+(SUM(IF((CRDJ[Date]=$A$3)*(CRDJ[Sort Code]=(TRIM(G$4)))*(CRDJ[Account Code]=(TRIM($B100))),CRDJ[Debit])))+(SUM(IF((GJ[Date]=$A$3)*(GJ[Sort Code]=(TRIM(G$4)))*(GJ[Account Code]=(TRIM($B100))),GJ[Debit]))))-((SUM(IF((CkDJ[Date]=$A$3)*(CkDJ[Sort Code]=(TRIM(G$4)))*(CkDJ[Account Code]=(TRIM($B100))),CkDJ[Credit])))+(SUM(IF((CsDJ[Date]=$A$3)*(CsDJ[Sort Code]=(TRIM(G$4)))*(CsDJ[Account Code]=(TRIM($B100))),CsDJ[Credit])))+(SUM(IF((CRDJ[Date]=$A$3)*(CRDJ[Sort Code]=(TRIM(G$4)))*(CRDJ[Account Code]=(TRIM($B100))),CRDJ[Credit])))+(SUM(IF((GJ[Date]=$A$3)*(GJ[Sort Code]=(TRIM(G$4)))*(GJ[Account Code]=(TRIM($B100))),GJ[Credit]))))</f>
        <v>0</v>
      </c>
      <c r="G100" s="343">
        <f t="shared" si="9"/>
        <v>0</v>
      </c>
      <c r="H100" s="246">
        <f t="shared" si="5"/>
        <v>0</v>
      </c>
      <c r="I100" s="246">
        <f t="shared" si="6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Code]=B101)*(Budget[Sort Code]=$G$4),(Budget[Amount])))</f>
        <v>0</v>
      </c>
      <c r="D101" s="245">
        <f t="array" ref="D101">SUM(IF((Budget[Account Code]=B101)*(Budget[Sort Code]=$G$4)*(Budget[Date]&lt;=$D$7),(Budget[Amount])))</f>
        <v>0</v>
      </c>
      <c r="E101" s="245">
        <f t="array" ref="E101">((SUM(IF((CkDJ[Sort Code]=(TRIM(G$4)))*(CkDJ[Account Code]=(TRIM($B101)))*(CkDJ[Date]&lt;=$E$7),CkDJ[Debit])))+(SUM(IF((CsDJ[Sort Code]=(TRIM(G$4)))*(CsDJ[Account Code]=(TRIM($B101)))*(CsDJ[Date]&lt;=$E$7),CsDJ[Debit])))+(SUM(IF((CRDJ[Sort Code]=(TRIM(G$4)))*(CRDJ[Account Code]=(TRIM($B101)))*(CRDJ[Date]&lt;=$E$7),CRDJ[Debit])))+(SUM(IF((GJ[Sort Code]=(TRIM(G$4)))*(GJ[Account Code]=(TRIM($B101)))*(GJ[Date]&lt;=$E$7),GJ[Debit]))))-((SUM(IF((CkDJ[Sort Code]=(TRIM(G$4)))*(CkDJ[Account Code]=(TRIM($B101)))*(CkDJ[Date]&lt;=$E$7),CkDJ[Credit])))+(SUM(IF((CsDJ[Sort Code]=(TRIM(G$4)))*(CsDJ[Account Code]=(TRIM($B101)))*(CsDJ[Date]&lt;=$E$7),CsDJ[Credit])))+(SUM(IF((CRDJ[Sort Code]=(TRIM(G$4)))*(CRDJ[Account Code]=(TRIM($B101)))*(CRDJ[Date]&lt;=$E$7),CRDJ[Credit])))+(SUM(IF((GJ[Sort Code]=(TRIM(G$4)))*(GJ[Account Code]=(TRIM($B101)))*(GJ[Date]&lt;=$E$7),GJ[Credit]))))</f>
        <v>0</v>
      </c>
      <c r="F101" s="245">
        <f t="array" ref="F101">((SUM(IF((CkDJ[Date]=$A$3)*(CkDJ[Sort Code]=(TRIM(G$4)))*(CkDJ[Account Code]=(TRIM($B101))),CkDJ[Debit])))+(SUM(IF((CsDJ[Date]=$A$3)*(CsDJ[Sort Code]=(TRIM(G$4)))*(CsDJ[Account Code]=(TRIM($B101))),CsDJ[Debit])))+(SUM(IF((CRDJ[Date]=$A$3)*(CRDJ[Sort Code]=(TRIM(G$4)))*(CRDJ[Account Code]=(TRIM($B101))),CRDJ[Debit])))+(SUM(IF((GJ[Date]=$A$3)*(GJ[Sort Code]=(TRIM(G$4)))*(GJ[Account Code]=(TRIM($B101))),GJ[Debit]))))-((SUM(IF((CkDJ[Date]=$A$3)*(CkDJ[Sort Code]=(TRIM(G$4)))*(CkDJ[Account Code]=(TRIM($B101))),CkDJ[Credit])))+(SUM(IF((CsDJ[Date]=$A$3)*(CsDJ[Sort Code]=(TRIM(G$4)))*(CsDJ[Account Code]=(TRIM($B101))),CsDJ[Credit])))+(SUM(IF((CRDJ[Date]=$A$3)*(CRDJ[Sort Code]=(TRIM(G$4)))*(CRDJ[Account Code]=(TRIM($B101))),CRDJ[Credit])))+(SUM(IF((GJ[Date]=$A$3)*(GJ[Sort Code]=(TRIM(G$4)))*(GJ[Account Code]=(TRIM($B101))),GJ[Credit]))))</f>
        <v>0</v>
      </c>
      <c r="G101" s="343">
        <f t="shared" si="9"/>
        <v>0</v>
      </c>
      <c r="H101" s="246">
        <f t="shared" si="5"/>
        <v>0</v>
      </c>
      <c r="I101" s="246">
        <f t="shared" si="6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Code]=B102)*(Budget[Sort Code]=$G$4),(Budget[Amount])))</f>
        <v>0</v>
      </c>
      <c r="D102" s="245">
        <f t="array" ref="D102">SUM(IF((Budget[Account Code]=B102)*(Budget[Sort Code]=$G$4)*(Budget[Date]&lt;=$D$7),(Budget[Amount])))</f>
        <v>0</v>
      </c>
      <c r="E102" s="245">
        <f t="array" ref="E102">((SUM(IF((CkDJ[Sort Code]=(TRIM(G$4)))*(CkDJ[Account Code]=(TRIM($B102)))*(CkDJ[Date]&lt;=$E$7),CkDJ[Debit])))+(SUM(IF((CsDJ[Sort Code]=(TRIM(G$4)))*(CsDJ[Account Code]=(TRIM($B102)))*(CsDJ[Date]&lt;=$E$7),CsDJ[Debit])))+(SUM(IF((CRDJ[Sort Code]=(TRIM(G$4)))*(CRDJ[Account Code]=(TRIM($B102)))*(CRDJ[Date]&lt;=$E$7),CRDJ[Debit])))+(SUM(IF((GJ[Sort Code]=(TRIM(G$4)))*(GJ[Account Code]=(TRIM($B102)))*(GJ[Date]&lt;=$E$7),GJ[Debit]))))-((SUM(IF((CkDJ[Sort Code]=(TRIM(G$4)))*(CkDJ[Account Code]=(TRIM($B102)))*(CkDJ[Date]&lt;=$E$7),CkDJ[Credit])))+(SUM(IF((CsDJ[Sort Code]=(TRIM(G$4)))*(CsDJ[Account Code]=(TRIM($B102)))*(CsDJ[Date]&lt;=$E$7),CsDJ[Credit])))+(SUM(IF((CRDJ[Sort Code]=(TRIM(G$4)))*(CRDJ[Account Code]=(TRIM($B102)))*(CRDJ[Date]&lt;=$E$7),CRDJ[Credit])))+(SUM(IF((GJ[Sort Code]=(TRIM(G$4)))*(GJ[Account Code]=(TRIM($B102)))*(GJ[Date]&lt;=$E$7),GJ[Credit]))))</f>
        <v>0</v>
      </c>
      <c r="F102" s="245">
        <f t="array" ref="F102">((SUM(IF((CkDJ[Date]=$A$3)*(CkDJ[Sort Code]=(TRIM(G$4)))*(CkDJ[Account Code]=(TRIM($B102))),CkDJ[Debit])))+(SUM(IF((CsDJ[Date]=$A$3)*(CsDJ[Sort Code]=(TRIM(G$4)))*(CsDJ[Account Code]=(TRIM($B102))),CsDJ[Debit])))+(SUM(IF((CRDJ[Date]=$A$3)*(CRDJ[Sort Code]=(TRIM(G$4)))*(CRDJ[Account Code]=(TRIM($B102))),CRDJ[Debit])))+(SUM(IF((GJ[Date]=$A$3)*(GJ[Sort Code]=(TRIM(G$4)))*(GJ[Account Code]=(TRIM($B102))),GJ[Debit]))))-((SUM(IF((CkDJ[Date]=$A$3)*(CkDJ[Sort Code]=(TRIM(G$4)))*(CkDJ[Account Code]=(TRIM($B102))),CkDJ[Credit])))+(SUM(IF((CsDJ[Date]=$A$3)*(CsDJ[Sort Code]=(TRIM(G$4)))*(CsDJ[Account Code]=(TRIM($B102))),CsDJ[Credit])))+(SUM(IF((CRDJ[Date]=$A$3)*(CRDJ[Sort Code]=(TRIM(G$4)))*(CRDJ[Account Code]=(TRIM($B102))),CRDJ[Credit])))+(SUM(IF((GJ[Date]=$A$3)*(GJ[Sort Code]=(TRIM(G$4)))*(GJ[Account Code]=(TRIM($B102))),GJ[Credit]))))</f>
        <v>0</v>
      </c>
      <c r="G102" s="343">
        <f t="shared" si="9"/>
        <v>0</v>
      </c>
      <c r="H102" s="246">
        <f t="shared" si="5"/>
        <v>0</v>
      </c>
      <c r="I102" s="246">
        <f t="shared" si="6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Code]=B103)*(Budget[Sort Code]=$G$4),(Budget[Amount])))</f>
        <v>0</v>
      </c>
      <c r="D103" s="245">
        <f t="array" ref="D103">SUM(IF((Budget[Account Code]=B103)*(Budget[Sort Code]=$G$4)*(Budget[Date]&lt;=$D$7),(Budget[Amount])))</f>
        <v>0</v>
      </c>
      <c r="E103" s="245">
        <f t="array" ref="E103">((SUM(IF((CkDJ[Sort Code]=(TRIM(G$4)))*(CkDJ[Account Code]=(TRIM($B103)))*(CkDJ[Date]&lt;=$E$7),CkDJ[Debit])))+(SUM(IF((CsDJ[Sort Code]=(TRIM(G$4)))*(CsDJ[Account Code]=(TRIM($B103)))*(CsDJ[Date]&lt;=$E$7),CsDJ[Debit])))+(SUM(IF((CRDJ[Sort Code]=(TRIM(G$4)))*(CRDJ[Account Code]=(TRIM($B103)))*(CRDJ[Date]&lt;=$E$7),CRDJ[Debit])))+(SUM(IF((GJ[Sort Code]=(TRIM(G$4)))*(GJ[Account Code]=(TRIM($B103)))*(GJ[Date]&lt;=$E$7),GJ[Debit]))))-((SUM(IF((CkDJ[Sort Code]=(TRIM(G$4)))*(CkDJ[Account Code]=(TRIM($B103)))*(CkDJ[Date]&lt;=$E$7),CkDJ[Credit])))+(SUM(IF((CsDJ[Sort Code]=(TRIM(G$4)))*(CsDJ[Account Code]=(TRIM($B103)))*(CsDJ[Date]&lt;=$E$7),CsDJ[Credit])))+(SUM(IF((CRDJ[Sort Code]=(TRIM(G$4)))*(CRDJ[Account Code]=(TRIM($B103)))*(CRDJ[Date]&lt;=$E$7),CRDJ[Credit])))+(SUM(IF((GJ[Sort Code]=(TRIM(G$4)))*(GJ[Account Code]=(TRIM($B103)))*(GJ[Date]&lt;=$E$7),GJ[Credit]))))</f>
        <v>0</v>
      </c>
      <c r="F103" s="245">
        <f t="array" ref="F103">((SUM(IF((CkDJ[Date]=$A$3)*(CkDJ[Sort Code]=(TRIM(G$4)))*(CkDJ[Account Code]=(TRIM($B103))),CkDJ[Debit])))+(SUM(IF((CsDJ[Date]=$A$3)*(CsDJ[Sort Code]=(TRIM(G$4)))*(CsDJ[Account Code]=(TRIM($B103))),CsDJ[Debit])))+(SUM(IF((CRDJ[Date]=$A$3)*(CRDJ[Sort Code]=(TRIM(G$4)))*(CRDJ[Account Code]=(TRIM($B103))),CRDJ[Debit])))+(SUM(IF((GJ[Date]=$A$3)*(GJ[Sort Code]=(TRIM(G$4)))*(GJ[Account Code]=(TRIM($B103))),GJ[Debit]))))-((SUM(IF((CkDJ[Date]=$A$3)*(CkDJ[Sort Code]=(TRIM(G$4)))*(CkDJ[Account Code]=(TRIM($B103))),CkDJ[Credit])))+(SUM(IF((CsDJ[Date]=$A$3)*(CsDJ[Sort Code]=(TRIM(G$4)))*(CsDJ[Account Code]=(TRIM($B103))),CsDJ[Credit])))+(SUM(IF((CRDJ[Date]=$A$3)*(CRDJ[Sort Code]=(TRIM(G$4)))*(CRDJ[Account Code]=(TRIM($B103))),CRDJ[Credit])))+(SUM(IF((GJ[Date]=$A$3)*(GJ[Sort Code]=(TRIM(G$4)))*(GJ[Account Code]=(TRIM($B103))),GJ[Credit]))))</f>
        <v>0</v>
      </c>
      <c r="G103" s="343">
        <f t="shared" si="9"/>
        <v>0</v>
      </c>
      <c r="H103" s="246">
        <f t="shared" si="5"/>
        <v>0</v>
      </c>
      <c r="I103" s="246">
        <f t="shared" si="6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Code]=B104)*(Budget[Sort Code]=$G$4),(Budget[Amount])))</f>
        <v>0</v>
      </c>
      <c r="D104" s="245">
        <f t="array" ref="D104">SUM(IF((Budget[Account Code]=B104)*(Budget[Sort Code]=$G$4)*(Budget[Date]&lt;=$D$7),(Budget[Amount])))</f>
        <v>0</v>
      </c>
      <c r="E104" s="245">
        <f t="array" ref="E104">((SUM(IF((CkDJ[Sort Code]=(TRIM(G$4)))*(CkDJ[Account Code]=(TRIM($B104)))*(CkDJ[Date]&lt;=$E$7),CkDJ[Debit])))+(SUM(IF((CsDJ[Sort Code]=(TRIM(G$4)))*(CsDJ[Account Code]=(TRIM($B104)))*(CsDJ[Date]&lt;=$E$7),CsDJ[Debit])))+(SUM(IF((CRDJ[Sort Code]=(TRIM(G$4)))*(CRDJ[Account Code]=(TRIM($B104)))*(CRDJ[Date]&lt;=$E$7),CRDJ[Debit])))+(SUM(IF((GJ[Sort Code]=(TRIM(G$4)))*(GJ[Account Code]=(TRIM($B104)))*(GJ[Date]&lt;=$E$7),GJ[Debit]))))-((SUM(IF((CkDJ[Sort Code]=(TRIM(G$4)))*(CkDJ[Account Code]=(TRIM($B104)))*(CkDJ[Date]&lt;=$E$7),CkDJ[Credit])))+(SUM(IF((CsDJ[Sort Code]=(TRIM(G$4)))*(CsDJ[Account Code]=(TRIM($B104)))*(CsDJ[Date]&lt;=$E$7),CsDJ[Credit])))+(SUM(IF((CRDJ[Sort Code]=(TRIM(G$4)))*(CRDJ[Account Code]=(TRIM($B104)))*(CRDJ[Date]&lt;=$E$7),CRDJ[Credit])))+(SUM(IF((GJ[Sort Code]=(TRIM(G$4)))*(GJ[Account Code]=(TRIM($B104)))*(GJ[Date]&lt;=$E$7),GJ[Credit]))))</f>
        <v>0</v>
      </c>
      <c r="F104" s="245">
        <f t="array" ref="F104">((SUM(IF((CkDJ[Date]=$A$3)*(CkDJ[Sort Code]=(TRIM(G$4)))*(CkDJ[Account Code]=(TRIM($B104))),CkDJ[Debit])))+(SUM(IF((CsDJ[Date]=$A$3)*(CsDJ[Sort Code]=(TRIM(G$4)))*(CsDJ[Account Code]=(TRIM($B104))),CsDJ[Debit])))+(SUM(IF((CRDJ[Date]=$A$3)*(CRDJ[Sort Code]=(TRIM(G$4)))*(CRDJ[Account Code]=(TRIM($B104))),CRDJ[Debit])))+(SUM(IF((GJ[Date]=$A$3)*(GJ[Sort Code]=(TRIM(G$4)))*(GJ[Account Code]=(TRIM($B104))),GJ[Debit]))))-((SUM(IF((CkDJ[Date]=$A$3)*(CkDJ[Sort Code]=(TRIM(G$4)))*(CkDJ[Account Code]=(TRIM($B104))),CkDJ[Credit])))+(SUM(IF((CsDJ[Date]=$A$3)*(CsDJ[Sort Code]=(TRIM(G$4)))*(CsDJ[Account Code]=(TRIM($B104))),CsDJ[Credit])))+(SUM(IF((CRDJ[Date]=$A$3)*(CRDJ[Sort Code]=(TRIM(G$4)))*(CRDJ[Account Code]=(TRIM($B104))),CRDJ[Credit])))+(SUM(IF((GJ[Date]=$A$3)*(GJ[Sort Code]=(TRIM(G$4)))*(GJ[Account Code]=(TRIM($B104))),GJ[Credit]))))</f>
        <v>0</v>
      </c>
      <c r="G104" s="343">
        <f t="shared" si="9"/>
        <v>0</v>
      </c>
      <c r="H104" s="246">
        <f t="shared" si="5"/>
        <v>0</v>
      </c>
      <c r="I104" s="246">
        <f t="shared" si="6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Code]=B105)*(Budget[Sort Code]=$G$4),(Budget[Amount])))</f>
        <v>0</v>
      </c>
      <c r="D105" s="245">
        <f t="array" ref="D105">SUM(IF((Budget[Account Code]=B105)*(Budget[Sort Code]=$G$4)*(Budget[Date]&lt;=$D$7),(Budget[Amount])))</f>
        <v>0</v>
      </c>
      <c r="E105" s="245">
        <f t="array" ref="E105">((SUM(IF((CkDJ[Sort Code]=(TRIM(G$4)))*(CkDJ[Account Code]=(TRIM($B105)))*(CkDJ[Date]&lt;=$E$7),CkDJ[Debit])))+(SUM(IF((CsDJ[Sort Code]=(TRIM(G$4)))*(CsDJ[Account Code]=(TRIM($B105)))*(CsDJ[Date]&lt;=$E$7),CsDJ[Debit])))+(SUM(IF((CRDJ[Sort Code]=(TRIM(G$4)))*(CRDJ[Account Code]=(TRIM($B105)))*(CRDJ[Date]&lt;=$E$7),CRDJ[Debit])))+(SUM(IF((GJ[Sort Code]=(TRIM(G$4)))*(GJ[Account Code]=(TRIM($B105)))*(GJ[Date]&lt;=$E$7),GJ[Debit]))))-((SUM(IF((CkDJ[Sort Code]=(TRIM(G$4)))*(CkDJ[Account Code]=(TRIM($B105)))*(CkDJ[Date]&lt;=$E$7),CkDJ[Credit])))+(SUM(IF((CsDJ[Sort Code]=(TRIM(G$4)))*(CsDJ[Account Code]=(TRIM($B105)))*(CsDJ[Date]&lt;=$E$7),CsDJ[Credit])))+(SUM(IF((CRDJ[Sort Code]=(TRIM(G$4)))*(CRDJ[Account Code]=(TRIM($B105)))*(CRDJ[Date]&lt;=$E$7),CRDJ[Credit])))+(SUM(IF((GJ[Sort Code]=(TRIM(G$4)))*(GJ[Account Code]=(TRIM($B105)))*(GJ[Date]&lt;=$E$7),GJ[Credit]))))</f>
        <v>0</v>
      </c>
      <c r="F105" s="245">
        <f t="array" ref="F105">((SUM(IF((CkDJ[Date]=$A$3)*(CkDJ[Sort Code]=(TRIM(G$4)))*(CkDJ[Account Code]=(TRIM($B105))),CkDJ[Debit])))+(SUM(IF((CsDJ[Date]=$A$3)*(CsDJ[Sort Code]=(TRIM(G$4)))*(CsDJ[Account Code]=(TRIM($B105))),CsDJ[Debit])))+(SUM(IF((CRDJ[Date]=$A$3)*(CRDJ[Sort Code]=(TRIM(G$4)))*(CRDJ[Account Code]=(TRIM($B105))),CRDJ[Debit])))+(SUM(IF((GJ[Date]=$A$3)*(GJ[Sort Code]=(TRIM(G$4)))*(GJ[Account Code]=(TRIM($B105))),GJ[Debit]))))-((SUM(IF((CkDJ[Date]=$A$3)*(CkDJ[Sort Code]=(TRIM(G$4)))*(CkDJ[Account Code]=(TRIM($B105))),CkDJ[Credit])))+(SUM(IF((CsDJ[Date]=$A$3)*(CsDJ[Sort Code]=(TRIM(G$4)))*(CsDJ[Account Code]=(TRIM($B105))),CsDJ[Credit])))+(SUM(IF((CRDJ[Date]=$A$3)*(CRDJ[Sort Code]=(TRIM(G$4)))*(CRDJ[Account Code]=(TRIM($B105))),CRDJ[Credit])))+(SUM(IF((GJ[Date]=$A$3)*(GJ[Sort Code]=(TRIM(G$4)))*(GJ[Account Code]=(TRIM($B105))),GJ[Credit]))))</f>
        <v>0</v>
      </c>
      <c r="G105" s="343">
        <f t="shared" si="9"/>
        <v>0</v>
      </c>
      <c r="H105" s="246">
        <f t="shared" si="5"/>
        <v>0</v>
      </c>
      <c r="I105" s="246">
        <f t="shared" si="6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Code]=B106)*(Budget[Sort Code]=$G$4),(Budget[Amount])))</f>
        <v>0</v>
      </c>
      <c r="D106" s="245">
        <f t="array" ref="D106">SUM(IF((Budget[Account Code]=B106)*(Budget[Sort Code]=$G$4)*(Budget[Date]&lt;=$D$7),(Budget[Amount])))</f>
        <v>0</v>
      </c>
      <c r="E106" s="245">
        <f t="array" ref="E106">((SUM(IF((CkDJ[Sort Code]=(TRIM(G$4)))*(CkDJ[Account Code]=(TRIM($B106)))*(CkDJ[Date]&lt;=$E$7),CkDJ[Debit])))+(SUM(IF((CsDJ[Sort Code]=(TRIM(G$4)))*(CsDJ[Account Code]=(TRIM($B106)))*(CsDJ[Date]&lt;=$E$7),CsDJ[Debit])))+(SUM(IF((CRDJ[Sort Code]=(TRIM(G$4)))*(CRDJ[Account Code]=(TRIM($B106)))*(CRDJ[Date]&lt;=$E$7),CRDJ[Debit])))+(SUM(IF((GJ[Sort Code]=(TRIM(G$4)))*(GJ[Account Code]=(TRIM($B106)))*(GJ[Date]&lt;=$E$7),GJ[Debit]))))-((SUM(IF((CkDJ[Sort Code]=(TRIM(G$4)))*(CkDJ[Account Code]=(TRIM($B106)))*(CkDJ[Date]&lt;=$E$7),CkDJ[Credit])))+(SUM(IF((CsDJ[Sort Code]=(TRIM(G$4)))*(CsDJ[Account Code]=(TRIM($B106)))*(CsDJ[Date]&lt;=$E$7),CsDJ[Credit])))+(SUM(IF((CRDJ[Sort Code]=(TRIM(G$4)))*(CRDJ[Account Code]=(TRIM($B106)))*(CRDJ[Date]&lt;=$E$7),CRDJ[Credit])))+(SUM(IF((GJ[Sort Code]=(TRIM(G$4)))*(GJ[Account Code]=(TRIM($B106)))*(GJ[Date]&lt;=$E$7),GJ[Credit]))))</f>
        <v>0</v>
      </c>
      <c r="F106" s="245">
        <f t="array" ref="F106">((SUM(IF((CkDJ[Date]=$A$3)*(CkDJ[Sort Code]=(TRIM(G$4)))*(CkDJ[Account Code]=(TRIM($B106))),CkDJ[Debit])))+(SUM(IF((CsDJ[Date]=$A$3)*(CsDJ[Sort Code]=(TRIM(G$4)))*(CsDJ[Account Code]=(TRIM($B106))),CsDJ[Debit])))+(SUM(IF((CRDJ[Date]=$A$3)*(CRDJ[Sort Code]=(TRIM(G$4)))*(CRDJ[Account Code]=(TRIM($B106))),CRDJ[Debit])))+(SUM(IF((GJ[Date]=$A$3)*(GJ[Sort Code]=(TRIM(G$4)))*(GJ[Account Code]=(TRIM($B106))),GJ[Debit]))))-((SUM(IF((CkDJ[Date]=$A$3)*(CkDJ[Sort Code]=(TRIM(G$4)))*(CkDJ[Account Code]=(TRIM($B106))),CkDJ[Credit])))+(SUM(IF((CsDJ[Date]=$A$3)*(CsDJ[Sort Code]=(TRIM(G$4)))*(CsDJ[Account Code]=(TRIM($B106))),CsDJ[Credit])))+(SUM(IF((CRDJ[Date]=$A$3)*(CRDJ[Sort Code]=(TRIM(G$4)))*(CRDJ[Account Code]=(TRIM($B106))),CRDJ[Credit])))+(SUM(IF((GJ[Date]=$A$3)*(GJ[Sort Code]=(TRIM(G$4)))*(GJ[Account Code]=(TRIM($B106))),GJ[Credit]))))</f>
        <v>0</v>
      </c>
      <c r="G106" s="343">
        <f t="shared" si="9"/>
        <v>0</v>
      </c>
      <c r="H106" s="246">
        <f t="shared" si="5"/>
        <v>0</v>
      </c>
      <c r="I106" s="246">
        <f t="shared" si="6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Code]=B107)*(Budget[Sort Code]=$G$4),(Budget[Amount])))</f>
        <v>0</v>
      </c>
      <c r="D107" s="245">
        <f t="array" ref="D107">SUM(IF((Budget[Account Code]=B107)*(Budget[Sort Code]=$G$4)*(Budget[Date]&lt;=$D$7),(Budget[Amount])))</f>
        <v>0</v>
      </c>
      <c r="E107" s="245">
        <f t="array" ref="E107">((SUM(IF((CkDJ[Sort Code]=(TRIM(G$4)))*(CkDJ[Account Code]=(TRIM($B107)))*(CkDJ[Date]&lt;=$E$7),CkDJ[Debit])))+(SUM(IF((CsDJ[Sort Code]=(TRIM(G$4)))*(CsDJ[Account Code]=(TRIM($B107)))*(CsDJ[Date]&lt;=$E$7),CsDJ[Debit])))+(SUM(IF((CRDJ[Sort Code]=(TRIM(G$4)))*(CRDJ[Account Code]=(TRIM($B107)))*(CRDJ[Date]&lt;=$E$7),CRDJ[Debit])))+(SUM(IF((GJ[Sort Code]=(TRIM(G$4)))*(GJ[Account Code]=(TRIM($B107)))*(GJ[Date]&lt;=$E$7),GJ[Debit]))))-((SUM(IF((CkDJ[Sort Code]=(TRIM(G$4)))*(CkDJ[Account Code]=(TRIM($B107)))*(CkDJ[Date]&lt;=$E$7),CkDJ[Credit])))+(SUM(IF((CsDJ[Sort Code]=(TRIM(G$4)))*(CsDJ[Account Code]=(TRIM($B107)))*(CsDJ[Date]&lt;=$E$7),CsDJ[Credit])))+(SUM(IF((CRDJ[Sort Code]=(TRIM(G$4)))*(CRDJ[Account Code]=(TRIM($B107)))*(CRDJ[Date]&lt;=$E$7),CRDJ[Credit])))+(SUM(IF((GJ[Sort Code]=(TRIM(G$4)))*(GJ[Account Code]=(TRIM($B107)))*(GJ[Date]&lt;=$E$7),GJ[Credit]))))</f>
        <v>0</v>
      </c>
      <c r="F107" s="245">
        <f t="array" ref="F107">((SUM(IF((CkDJ[Date]=$A$3)*(CkDJ[Sort Code]=(TRIM(G$4)))*(CkDJ[Account Code]=(TRIM($B107))),CkDJ[Debit])))+(SUM(IF((CsDJ[Date]=$A$3)*(CsDJ[Sort Code]=(TRIM(G$4)))*(CsDJ[Account Code]=(TRIM($B107))),CsDJ[Debit])))+(SUM(IF((CRDJ[Date]=$A$3)*(CRDJ[Sort Code]=(TRIM(G$4)))*(CRDJ[Account Code]=(TRIM($B107))),CRDJ[Debit])))+(SUM(IF((GJ[Date]=$A$3)*(GJ[Sort Code]=(TRIM(G$4)))*(GJ[Account Code]=(TRIM($B107))),GJ[Debit]))))-((SUM(IF((CkDJ[Date]=$A$3)*(CkDJ[Sort Code]=(TRIM(G$4)))*(CkDJ[Account Code]=(TRIM($B107))),CkDJ[Credit])))+(SUM(IF((CsDJ[Date]=$A$3)*(CsDJ[Sort Code]=(TRIM(G$4)))*(CsDJ[Account Code]=(TRIM($B107))),CsDJ[Credit])))+(SUM(IF((CRDJ[Date]=$A$3)*(CRDJ[Sort Code]=(TRIM(G$4)))*(CRDJ[Account Code]=(TRIM($B107))),CRDJ[Credit])))+(SUM(IF((GJ[Date]=$A$3)*(GJ[Sort Code]=(TRIM(G$4)))*(GJ[Account Code]=(TRIM($B107))),GJ[Credit]))))</f>
        <v>0</v>
      </c>
      <c r="G107" s="343">
        <f t="shared" si="9"/>
        <v>0</v>
      </c>
      <c r="H107" s="246">
        <f t="shared" si="5"/>
        <v>0</v>
      </c>
      <c r="I107" s="246">
        <f t="shared" si="6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Code]=B108)*(Budget[Sort Code]=$G$4),(Budget[Amount])))</f>
        <v>0</v>
      </c>
      <c r="D108" s="245">
        <f t="array" ref="D108">SUM(IF((Budget[Account Code]=B108)*(Budget[Sort Code]=$G$4)*(Budget[Date]&lt;=$D$7),(Budget[Amount])))</f>
        <v>0</v>
      </c>
      <c r="E108" s="245">
        <f t="array" ref="E108">((SUM(IF((CkDJ[Sort Code]=(TRIM(G$4)))*(CkDJ[Account Code]=(TRIM($B108)))*(CkDJ[Date]&lt;=$E$7),CkDJ[Debit])))+(SUM(IF((CsDJ[Sort Code]=(TRIM(G$4)))*(CsDJ[Account Code]=(TRIM($B108)))*(CsDJ[Date]&lt;=$E$7),CsDJ[Debit])))+(SUM(IF((CRDJ[Sort Code]=(TRIM(G$4)))*(CRDJ[Account Code]=(TRIM($B108)))*(CRDJ[Date]&lt;=$E$7),CRDJ[Debit])))+(SUM(IF((GJ[Sort Code]=(TRIM(G$4)))*(GJ[Account Code]=(TRIM($B108)))*(GJ[Date]&lt;=$E$7),GJ[Debit]))))-((SUM(IF((CkDJ[Sort Code]=(TRIM(G$4)))*(CkDJ[Account Code]=(TRIM($B108)))*(CkDJ[Date]&lt;=$E$7),CkDJ[Credit])))+(SUM(IF((CsDJ[Sort Code]=(TRIM(G$4)))*(CsDJ[Account Code]=(TRIM($B108)))*(CsDJ[Date]&lt;=$E$7),CsDJ[Credit])))+(SUM(IF((CRDJ[Sort Code]=(TRIM(G$4)))*(CRDJ[Account Code]=(TRIM($B108)))*(CRDJ[Date]&lt;=$E$7),CRDJ[Credit])))+(SUM(IF((GJ[Sort Code]=(TRIM(G$4)))*(GJ[Account Code]=(TRIM($B108)))*(GJ[Date]&lt;=$E$7),GJ[Credit]))))</f>
        <v>0</v>
      </c>
      <c r="F108" s="245">
        <f t="array" ref="F108">((SUM(IF((CkDJ[Date]=$A$3)*(CkDJ[Sort Code]=(TRIM(G$4)))*(CkDJ[Account Code]=(TRIM($B108))),CkDJ[Debit])))+(SUM(IF((CsDJ[Date]=$A$3)*(CsDJ[Sort Code]=(TRIM(G$4)))*(CsDJ[Account Code]=(TRIM($B108))),CsDJ[Debit])))+(SUM(IF((CRDJ[Date]=$A$3)*(CRDJ[Sort Code]=(TRIM(G$4)))*(CRDJ[Account Code]=(TRIM($B108))),CRDJ[Debit])))+(SUM(IF((GJ[Date]=$A$3)*(GJ[Sort Code]=(TRIM(G$4)))*(GJ[Account Code]=(TRIM($B108))),GJ[Debit]))))-((SUM(IF((CkDJ[Date]=$A$3)*(CkDJ[Sort Code]=(TRIM(G$4)))*(CkDJ[Account Code]=(TRIM($B108))),CkDJ[Credit])))+(SUM(IF((CsDJ[Date]=$A$3)*(CsDJ[Sort Code]=(TRIM(G$4)))*(CsDJ[Account Code]=(TRIM($B108))),CsDJ[Credit])))+(SUM(IF((CRDJ[Date]=$A$3)*(CRDJ[Sort Code]=(TRIM(G$4)))*(CRDJ[Account Code]=(TRIM($B108))),CRDJ[Credit])))+(SUM(IF((GJ[Date]=$A$3)*(GJ[Sort Code]=(TRIM(G$4)))*(GJ[Account Code]=(TRIM($B108))),GJ[Credit]))))</f>
        <v>0</v>
      </c>
      <c r="G108" s="343">
        <f t="shared" si="9"/>
        <v>0</v>
      </c>
      <c r="H108" s="246">
        <f t="shared" si="5"/>
        <v>0</v>
      </c>
      <c r="I108" s="246">
        <f t="shared" si="6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Code]=B109)*(Budget[Sort Code]=$G$4),(Budget[Amount])))</f>
        <v>0</v>
      </c>
      <c r="D109" s="245">
        <f t="array" ref="D109">SUM(IF((Budget[Account Code]=B109)*(Budget[Sort Code]=$G$4)*(Budget[Date]&lt;=$D$7),(Budget[Amount])))</f>
        <v>0</v>
      </c>
      <c r="E109" s="245">
        <f t="array" ref="E109">((SUM(IF((CkDJ[Sort Code]=(TRIM(G$4)))*(CkDJ[Account Code]=(TRIM($B109)))*(CkDJ[Date]&lt;=$E$7),CkDJ[Debit])))+(SUM(IF((CsDJ[Sort Code]=(TRIM(G$4)))*(CsDJ[Account Code]=(TRIM($B109)))*(CsDJ[Date]&lt;=$E$7),CsDJ[Debit])))+(SUM(IF((CRDJ[Sort Code]=(TRIM(G$4)))*(CRDJ[Account Code]=(TRIM($B109)))*(CRDJ[Date]&lt;=$E$7),CRDJ[Debit])))+(SUM(IF((GJ[Sort Code]=(TRIM(G$4)))*(GJ[Account Code]=(TRIM($B109)))*(GJ[Date]&lt;=$E$7),GJ[Debit]))))-((SUM(IF((CkDJ[Sort Code]=(TRIM(G$4)))*(CkDJ[Account Code]=(TRIM($B109)))*(CkDJ[Date]&lt;=$E$7),CkDJ[Credit])))+(SUM(IF((CsDJ[Sort Code]=(TRIM(G$4)))*(CsDJ[Account Code]=(TRIM($B109)))*(CsDJ[Date]&lt;=$E$7),CsDJ[Credit])))+(SUM(IF((CRDJ[Sort Code]=(TRIM(G$4)))*(CRDJ[Account Code]=(TRIM($B109)))*(CRDJ[Date]&lt;=$E$7),CRDJ[Credit])))+(SUM(IF((GJ[Sort Code]=(TRIM(G$4)))*(GJ[Account Code]=(TRIM($B109)))*(GJ[Date]&lt;=$E$7),GJ[Credit]))))</f>
        <v>0</v>
      </c>
      <c r="F109" s="245">
        <f t="array" ref="F109">((SUM(IF((CkDJ[Date]=$A$3)*(CkDJ[Sort Code]=(TRIM(G$4)))*(CkDJ[Account Code]=(TRIM($B109))),CkDJ[Debit])))+(SUM(IF((CsDJ[Date]=$A$3)*(CsDJ[Sort Code]=(TRIM(G$4)))*(CsDJ[Account Code]=(TRIM($B109))),CsDJ[Debit])))+(SUM(IF((CRDJ[Date]=$A$3)*(CRDJ[Sort Code]=(TRIM(G$4)))*(CRDJ[Account Code]=(TRIM($B109))),CRDJ[Debit])))+(SUM(IF((GJ[Date]=$A$3)*(GJ[Sort Code]=(TRIM(G$4)))*(GJ[Account Code]=(TRIM($B109))),GJ[Debit]))))-((SUM(IF((CkDJ[Date]=$A$3)*(CkDJ[Sort Code]=(TRIM(G$4)))*(CkDJ[Account Code]=(TRIM($B109))),CkDJ[Credit])))+(SUM(IF((CsDJ[Date]=$A$3)*(CsDJ[Sort Code]=(TRIM(G$4)))*(CsDJ[Account Code]=(TRIM($B109))),CsDJ[Credit])))+(SUM(IF((CRDJ[Date]=$A$3)*(CRDJ[Sort Code]=(TRIM(G$4)))*(CRDJ[Account Code]=(TRIM($B109))),CRDJ[Credit])))+(SUM(IF((GJ[Date]=$A$3)*(GJ[Sort Code]=(TRIM(G$4)))*(GJ[Account Code]=(TRIM($B109))),GJ[Credit]))))</f>
        <v>0</v>
      </c>
      <c r="G109" s="343">
        <f t="shared" si="9"/>
        <v>0</v>
      </c>
      <c r="H109" s="246">
        <f t="shared" si="5"/>
        <v>0</v>
      </c>
      <c r="I109" s="246">
        <f t="shared" si="6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Code]=B110)*(Budget[Sort Code]=$G$4),(Budget[Amount])))</f>
        <v>0</v>
      </c>
      <c r="D110" s="245">
        <f t="array" ref="D110">SUM(IF((Budget[Account Code]=B110)*(Budget[Sort Code]=$G$4)*(Budget[Date]&lt;=$D$7),(Budget[Amount])))</f>
        <v>0</v>
      </c>
      <c r="E110" s="245">
        <f t="array" ref="E110">((SUM(IF((CkDJ[Sort Code]=(TRIM(G$4)))*(CkDJ[Account Code]=(TRIM($B110)))*(CkDJ[Date]&lt;=$E$7),CkDJ[Debit])))+(SUM(IF((CsDJ[Sort Code]=(TRIM(G$4)))*(CsDJ[Account Code]=(TRIM($B110)))*(CsDJ[Date]&lt;=$E$7),CsDJ[Debit])))+(SUM(IF((CRDJ[Sort Code]=(TRIM(G$4)))*(CRDJ[Account Code]=(TRIM($B110)))*(CRDJ[Date]&lt;=$E$7),CRDJ[Debit])))+(SUM(IF((GJ[Sort Code]=(TRIM(G$4)))*(GJ[Account Code]=(TRIM($B110)))*(GJ[Date]&lt;=$E$7),GJ[Debit]))))-((SUM(IF((CkDJ[Sort Code]=(TRIM(G$4)))*(CkDJ[Account Code]=(TRIM($B110)))*(CkDJ[Date]&lt;=$E$7),CkDJ[Credit])))+(SUM(IF((CsDJ[Sort Code]=(TRIM(G$4)))*(CsDJ[Account Code]=(TRIM($B110)))*(CsDJ[Date]&lt;=$E$7),CsDJ[Credit])))+(SUM(IF((CRDJ[Sort Code]=(TRIM(G$4)))*(CRDJ[Account Code]=(TRIM($B110)))*(CRDJ[Date]&lt;=$E$7),CRDJ[Credit])))+(SUM(IF((GJ[Sort Code]=(TRIM(G$4)))*(GJ[Account Code]=(TRIM($B110)))*(GJ[Date]&lt;=$E$7),GJ[Credit]))))</f>
        <v>0</v>
      </c>
      <c r="F110" s="245">
        <f t="array" ref="F110">((SUM(IF((CkDJ[Date]=$A$3)*(CkDJ[Sort Code]=(TRIM(G$4)))*(CkDJ[Account Code]=(TRIM($B110))),CkDJ[Debit])))+(SUM(IF((CsDJ[Date]=$A$3)*(CsDJ[Sort Code]=(TRIM(G$4)))*(CsDJ[Account Code]=(TRIM($B110))),CsDJ[Debit])))+(SUM(IF((CRDJ[Date]=$A$3)*(CRDJ[Sort Code]=(TRIM(G$4)))*(CRDJ[Account Code]=(TRIM($B110))),CRDJ[Debit])))+(SUM(IF((GJ[Date]=$A$3)*(GJ[Sort Code]=(TRIM(G$4)))*(GJ[Account Code]=(TRIM($B110))),GJ[Debit]))))-((SUM(IF((CkDJ[Date]=$A$3)*(CkDJ[Sort Code]=(TRIM(G$4)))*(CkDJ[Account Code]=(TRIM($B110))),CkDJ[Credit])))+(SUM(IF((CsDJ[Date]=$A$3)*(CsDJ[Sort Code]=(TRIM(G$4)))*(CsDJ[Account Code]=(TRIM($B110))),CsDJ[Credit])))+(SUM(IF((CRDJ[Date]=$A$3)*(CRDJ[Sort Code]=(TRIM(G$4)))*(CRDJ[Account Code]=(TRIM($B110))),CRDJ[Credit])))+(SUM(IF((GJ[Date]=$A$3)*(GJ[Sort Code]=(TRIM(G$4)))*(GJ[Account Code]=(TRIM($B110))),GJ[Credit]))))</f>
        <v>0</v>
      </c>
      <c r="G110" s="343">
        <f t="shared" si="9"/>
        <v>0</v>
      </c>
      <c r="H110" s="246">
        <f t="shared" si="5"/>
        <v>0</v>
      </c>
      <c r="I110" s="246">
        <f t="shared" si="6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Code]=B111)*(Budget[Sort Code]=$G$4),(Budget[Amount])))</f>
        <v>0</v>
      </c>
      <c r="D111" s="245">
        <f t="array" ref="D111">SUM(IF((Budget[Account Code]=B111)*(Budget[Sort Code]=$G$4)*(Budget[Date]&lt;=$D$7),(Budget[Amount])))</f>
        <v>0</v>
      </c>
      <c r="E111" s="245">
        <f t="array" ref="E111">((SUM(IF((CkDJ[Sort Code]=(TRIM(G$4)))*(CkDJ[Account Code]=(TRIM($B111)))*(CkDJ[Date]&lt;=$E$7),CkDJ[Debit])))+(SUM(IF((CsDJ[Sort Code]=(TRIM(G$4)))*(CsDJ[Account Code]=(TRIM($B111)))*(CsDJ[Date]&lt;=$E$7),CsDJ[Debit])))+(SUM(IF((CRDJ[Sort Code]=(TRIM(G$4)))*(CRDJ[Account Code]=(TRIM($B111)))*(CRDJ[Date]&lt;=$E$7),CRDJ[Debit])))+(SUM(IF((GJ[Sort Code]=(TRIM(G$4)))*(GJ[Account Code]=(TRIM($B111)))*(GJ[Date]&lt;=$E$7),GJ[Debit]))))-((SUM(IF((CkDJ[Sort Code]=(TRIM(G$4)))*(CkDJ[Account Code]=(TRIM($B111)))*(CkDJ[Date]&lt;=$E$7),CkDJ[Credit])))+(SUM(IF((CsDJ[Sort Code]=(TRIM(G$4)))*(CsDJ[Account Code]=(TRIM($B111)))*(CsDJ[Date]&lt;=$E$7),CsDJ[Credit])))+(SUM(IF((CRDJ[Sort Code]=(TRIM(G$4)))*(CRDJ[Account Code]=(TRIM($B111)))*(CRDJ[Date]&lt;=$E$7),CRDJ[Credit])))+(SUM(IF((GJ[Sort Code]=(TRIM(G$4)))*(GJ[Account Code]=(TRIM($B111)))*(GJ[Date]&lt;=$E$7),GJ[Credit]))))</f>
        <v>0</v>
      </c>
      <c r="F111" s="245">
        <f t="array" ref="F111">((SUM(IF((CkDJ[Date]=$A$3)*(CkDJ[Sort Code]=(TRIM(G$4)))*(CkDJ[Account Code]=(TRIM($B111))),CkDJ[Debit])))+(SUM(IF((CsDJ[Date]=$A$3)*(CsDJ[Sort Code]=(TRIM(G$4)))*(CsDJ[Account Code]=(TRIM($B111))),CsDJ[Debit])))+(SUM(IF((CRDJ[Date]=$A$3)*(CRDJ[Sort Code]=(TRIM(G$4)))*(CRDJ[Account Code]=(TRIM($B111))),CRDJ[Debit])))+(SUM(IF((GJ[Date]=$A$3)*(GJ[Sort Code]=(TRIM(G$4)))*(GJ[Account Code]=(TRIM($B111))),GJ[Debit]))))-((SUM(IF((CkDJ[Date]=$A$3)*(CkDJ[Sort Code]=(TRIM(G$4)))*(CkDJ[Account Code]=(TRIM($B111))),CkDJ[Credit])))+(SUM(IF((CsDJ[Date]=$A$3)*(CsDJ[Sort Code]=(TRIM(G$4)))*(CsDJ[Account Code]=(TRIM($B111))),CsDJ[Credit])))+(SUM(IF((CRDJ[Date]=$A$3)*(CRDJ[Sort Code]=(TRIM(G$4)))*(CRDJ[Account Code]=(TRIM($B111))),CRDJ[Credit])))+(SUM(IF((GJ[Date]=$A$3)*(GJ[Sort Code]=(TRIM(G$4)))*(GJ[Account Code]=(TRIM($B111))),GJ[Credit]))))</f>
        <v>0</v>
      </c>
      <c r="G111" s="343">
        <f t="shared" si="9"/>
        <v>0</v>
      </c>
      <c r="H111" s="246">
        <f t="shared" si="5"/>
        <v>0</v>
      </c>
      <c r="I111" s="246">
        <f t="shared" si="6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Code]=B112)*(Budget[Sort Code]=$G$4),(Budget[Amount])))</f>
        <v>0</v>
      </c>
      <c r="D112" s="245">
        <f t="array" ref="D112">SUM(IF((Budget[Account Code]=B112)*(Budget[Sort Code]=$G$4)*(Budget[Date]&lt;=$D$7),(Budget[Amount])))</f>
        <v>0</v>
      </c>
      <c r="E112" s="245">
        <f t="array" ref="E112">((SUM(IF((CkDJ[Sort Code]=(TRIM(G$4)))*(CkDJ[Account Code]=(TRIM($B112)))*(CkDJ[Date]&lt;=$E$7),CkDJ[Debit])))+(SUM(IF((CsDJ[Sort Code]=(TRIM(G$4)))*(CsDJ[Account Code]=(TRIM($B112)))*(CsDJ[Date]&lt;=$E$7),CsDJ[Debit])))+(SUM(IF((CRDJ[Sort Code]=(TRIM(G$4)))*(CRDJ[Account Code]=(TRIM($B112)))*(CRDJ[Date]&lt;=$E$7),CRDJ[Debit])))+(SUM(IF((GJ[Sort Code]=(TRIM(G$4)))*(GJ[Account Code]=(TRIM($B112)))*(GJ[Date]&lt;=$E$7),GJ[Debit]))))-((SUM(IF((CkDJ[Sort Code]=(TRIM(G$4)))*(CkDJ[Account Code]=(TRIM($B112)))*(CkDJ[Date]&lt;=$E$7),CkDJ[Credit])))+(SUM(IF((CsDJ[Sort Code]=(TRIM(G$4)))*(CsDJ[Account Code]=(TRIM($B112)))*(CsDJ[Date]&lt;=$E$7),CsDJ[Credit])))+(SUM(IF((CRDJ[Sort Code]=(TRIM(G$4)))*(CRDJ[Account Code]=(TRIM($B112)))*(CRDJ[Date]&lt;=$E$7),CRDJ[Credit])))+(SUM(IF((GJ[Sort Code]=(TRIM(G$4)))*(GJ[Account Code]=(TRIM($B112)))*(GJ[Date]&lt;=$E$7),GJ[Credit]))))</f>
        <v>0</v>
      </c>
      <c r="F112" s="245">
        <f t="array" ref="F112">((SUM(IF((CkDJ[Date]=$A$3)*(CkDJ[Sort Code]=(TRIM(G$4)))*(CkDJ[Account Code]=(TRIM($B112))),CkDJ[Debit])))+(SUM(IF((CsDJ[Date]=$A$3)*(CsDJ[Sort Code]=(TRIM(G$4)))*(CsDJ[Account Code]=(TRIM($B112))),CsDJ[Debit])))+(SUM(IF((CRDJ[Date]=$A$3)*(CRDJ[Sort Code]=(TRIM(G$4)))*(CRDJ[Account Code]=(TRIM($B112))),CRDJ[Debit])))+(SUM(IF((GJ[Date]=$A$3)*(GJ[Sort Code]=(TRIM(G$4)))*(GJ[Account Code]=(TRIM($B112))),GJ[Debit]))))-((SUM(IF((CkDJ[Date]=$A$3)*(CkDJ[Sort Code]=(TRIM(G$4)))*(CkDJ[Account Code]=(TRIM($B112))),CkDJ[Credit])))+(SUM(IF((CsDJ[Date]=$A$3)*(CsDJ[Sort Code]=(TRIM(G$4)))*(CsDJ[Account Code]=(TRIM($B112))),CsDJ[Credit])))+(SUM(IF((CRDJ[Date]=$A$3)*(CRDJ[Sort Code]=(TRIM(G$4)))*(CRDJ[Account Code]=(TRIM($B112))),CRDJ[Credit])))+(SUM(IF((GJ[Date]=$A$3)*(GJ[Sort Code]=(TRIM(G$4)))*(GJ[Account Code]=(TRIM($B112))),GJ[Credit]))))</f>
        <v>0</v>
      </c>
      <c r="G112" s="343">
        <f t="shared" si="9"/>
        <v>0</v>
      </c>
      <c r="H112" s="246">
        <f t="shared" si="5"/>
        <v>0</v>
      </c>
      <c r="I112" s="246">
        <f t="shared" si="6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Code]=B113)*(Budget[Sort Code]=$G$4),(Budget[Amount])))</f>
        <v>0</v>
      </c>
      <c r="D113" s="245">
        <f t="array" ref="D113">SUM(IF((Budget[Account Code]=B113)*(Budget[Sort Code]=$G$4)*(Budget[Date]&lt;=$D$7),(Budget[Amount])))</f>
        <v>0</v>
      </c>
      <c r="E113" s="245">
        <f t="array" ref="E113">((SUM(IF((CkDJ[Sort Code]=(TRIM(G$4)))*(CkDJ[Account Code]=(TRIM($B113)))*(CkDJ[Date]&lt;=$E$7),CkDJ[Debit])))+(SUM(IF((CsDJ[Sort Code]=(TRIM(G$4)))*(CsDJ[Account Code]=(TRIM($B113)))*(CsDJ[Date]&lt;=$E$7),CsDJ[Debit])))+(SUM(IF((CRDJ[Sort Code]=(TRIM(G$4)))*(CRDJ[Account Code]=(TRIM($B113)))*(CRDJ[Date]&lt;=$E$7),CRDJ[Debit])))+(SUM(IF((GJ[Sort Code]=(TRIM(G$4)))*(GJ[Account Code]=(TRIM($B113)))*(GJ[Date]&lt;=$E$7),GJ[Debit]))))-((SUM(IF((CkDJ[Sort Code]=(TRIM(G$4)))*(CkDJ[Account Code]=(TRIM($B113)))*(CkDJ[Date]&lt;=$E$7),CkDJ[Credit])))+(SUM(IF((CsDJ[Sort Code]=(TRIM(G$4)))*(CsDJ[Account Code]=(TRIM($B113)))*(CsDJ[Date]&lt;=$E$7),CsDJ[Credit])))+(SUM(IF((CRDJ[Sort Code]=(TRIM(G$4)))*(CRDJ[Account Code]=(TRIM($B113)))*(CRDJ[Date]&lt;=$E$7),CRDJ[Credit])))+(SUM(IF((GJ[Sort Code]=(TRIM(G$4)))*(GJ[Account Code]=(TRIM($B113)))*(GJ[Date]&lt;=$E$7),GJ[Credit]))))</f>
        <v>0</v>
      </c>
      <c r="F113" s="245">
        <f t="array" ref="F113">((SUM(IF((CkDJ[Date]=$A$3)*(CkDJ[Sort Code]=(TRIM(G$4)))*(CkDJ[Account Code]=(TRIM($B113))),CkDJ[Debit])))+(SUM(IF((CsDJ[Date]=$A$3)*(CsDJ[Sort Code]=(TRIM(G$4)))*(CsDJ[Account Code]=(TRIM($B113))),CsDJ[Debit])))+(SUM(IF((CRDJ[Date]=$A$3)*(CRDJ[Sort Code]=(TRIM(G$4)))*(CRDJ[Account Code]=(TRIM($B113))),CRDJ[Debit])))+(SUM(IF((GJ[Date]=$A$3)*(GJ[Sort Code]=(TRIM(G$4)))*(GJ[Account Code]=(TRIM($B113))),GJ[Debit]))))-((SUM(IF((CkDJ[Date]=$A$3)*(CkDJ[Sort Code]=(TRIM(G$4)))*(CkDJ[Account Code]=(TRIM($B113))),CkDJ[Credit])))+(SUM(IF((CsDJ[Date]=$A$3)*(CsDJ[Sort Code]=(TRIM(G$4)))*(CsDJ[Account Code]=(TRIM($B113))),CsDJ[Credit])))+(SUM(IF((CRDJ[Date]=$A$3)*(CRDJ[Sort Code]=(TRIM(G$4)))*(CRDJ[Account Code]=(TRIM($B113))),CRDJ[Credit])))+(SUM(IF((GJ[Date]=$A$3)*(GJ[Sort Code]=(TRIM(G$4)))*(GJ[Account Code]=(TRIM($B113))),GJ[Credit]))))</f>
        <v>0</v>
      </c>
      <c r="G113" s="343">
        <f t="shared" si="9"/>
        <v>0</v>
      </c>
      <c r="H113" s="246">
        <f t="shared" si="5"/>
        <v>0</v>
      </c>
      <c r="I113" s="246">
        <f t="shared" si="6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Code]=B114)*(Budget[Sort Code]=$G$4),(Budget[Amount])))</f>
        <v>0</v>
      </c>
      <c r="D114" s="245">
        <f t="array" ref="D114">SUM(IF((Budget[Account Code]=B114)*(Budget[Sort Code]=$G$4)*(Budget[Date]&lt;=$D$7),(Budget[Amount])))</f>
        <v>0</v>
      </c>
      <c r="E114" s="245">
        <f t="array" ref="E114">((SUM(IF((CkDJ[Sort Code]=(TRIM(G$4)))*(CkDJ[Account Code]=(TRIM($B114)))*(CkDJ[Date]&lt;=$E$7),CkDJ[Debit])))+(SUM(IF((CsDJ[Sort Code]=(TRIM(G$4)))*(CsDJ[Account Code]=(TRIM($B114)))*(CsDJ[Date]&lt;=$E$7),CsDJ[Debit])))+(SUM(IF((CRDJ[Sort Code]=(TRIM(G$4)))*(CRDJ[Account Code]=(TRIM($B114)))*(CRDJ[Date]&lt;=$E$7),CRDJ[Debit])))+(SUM(IF((GJ[Sort Code]=(TRIM(G$4)))*(GJ[Account Code]=(TRIM($B114)))*(GJ[Date]&lt;=$E$7),GJ[Debit]))))-((SUM(IF((CkDJ[Sort Code]=(TRIM(G$4)))*(CkDJ[Account Code]=(TRIM($B114)))*(CkDJ[Date]&lt;=$E$7),CkDJ[Credit])))+(SUM(IF((CsDJ[Sort Code]=(TRIM(G$4)))*(CsDJ[Account Code]=(TRIM($B114)))*(CsDJ[Date]&lt;=$E$7),CsDJ[Credit])))+(SUM(IF((CRDJ[Sort Code]=(TRIM(G$4)))*(CRDJ[Account Code]=(TRIM($B114)))*(CRDJ[Date]&lt;=$E$7),CRDJ[Credit])))+(SUM(IF((GJ[Sort Code]=(TRIM(G$4)))*(GJ[Account Code]=(TRIM($B114)))*(GJ[Date]&lt;=$E$7),GJ[Credit]))))</f>
        <v>0</v>
      </c>
      <c r="F114" s="245">
        <f t="array" ref="F114">((SUM(IF((CkDJ[Date]=$A$3)*(CkDJ[Sort Code]=(TRIM(G$4)))*(CkDJ[Account Code]=(TRIM($B114))),CkDJ[Debit])))+(SUM(IF((CsDJ[Date]=$A$3)*(CsDJ[Sort Code]=(TRIM(G$4)))*(CsDJ[Account Code]=(TRIM($B114))),CsDJ[Debit])))+(SUM(IF((CRDJ[Date]=$A$3)*(CRDJ[Sort Code]=(TRIM(G$4)))*(CRDJ[Account Code]=(TRIM($B114))),CRDJ[Debit])))+(SUM(IF((GJ[Date]=$A$3)*(GJ[Sort Code]=(TRIM(G$4)))*(GJ[Account Code]=(TRIM($B114))),GJ[Debit]))))-((SUM(IF((CkDJ[Date]=$A$3)*(CkDJ[Sort Code]=(TRIM(G$4)))*(CkDJ[Account Code]=(TRIM($B114))),CkDJ[Credit])))+(SUM(IF((CsDJ[Date]=$A$3)*(CsDJ[Sort Code]=(TRIM(G$4)))*(CsDJ[Account Code]=(TRIM($B114))),CsDJ[Credit])))+(SUM(IF((CRDJ[Date]=$A$3)*(CRDJ[Sort Code]=(TRIM(G$4)))*(CRDJ[Account Code]=(TRIM($B114))),CRDJ[Credit])))+(SUM(IF((GJ[Date]=$A$3)*(GJ[Sort Code]=(TRIM(G$4)))*(GJ[Account Code]=(TRIM($B114))),GJ[Credit]))))</f>
        <v>0</v>
      </c>
      <c r="G114" s="343">
        <f t="shared" si="9"/>
        <v>0</v>
      </c>
      <c r="H114" s="246">
        <f t="shared" si="5"/>
        <v>0</v>
      </c>
      <c r="I114" s="246">
        <f t="shared" si="6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Code]=B115)*(Budget[Sort Code]=$G$4),(Budget[Amount])))</f>
        <v>0</v>
      </c>
      <c r="D115" s="245">
        <f t="array" ref="D115">SUM(IF((Budget[Account Code]=B115)*(Budget[Sort Code]=$G$4)*(Budget[Date]&lt;=$D$7),(Budget[Amount])))</f>
        <v>0</v>
      </c>
      <c r="E115" s="245">
        <f t="array" ref="E115">((SUM(IF((CkDJ[Sort Code]=(TRIM(G$4)))*(CkDJ[Account Code]=(TRIM($B115)))*(CkDJ[Date]&lt;=$E$7),CkDJ[Debit])))+(SUM(IF((CsDJ[Sort Code]=(TRIM(G$4)))*(CsDJ[Account Code]=(TRIM($B115)))*(CsDJ[Date]&lt;=$E$7),CsDJ[Debit])))+(SUM(IF((CRDJ[Sort Code]=(TRIM(G$4)))*(CRDJ[Account Code]=(TRIM($B115)))*(CRDJ[Date]&lt;=$E$7),CRDJ[Debit])))+(SUM(IF((GJ[Sort Code]=(TRIM(G$4)))*(GJ[Account Code]=(TRIM($B115)))*(GJ[Date]&lt;=$E$7),GJ[Debit]))))-((SUM(IF((CkDJ[Sort Code]=(TRIM(G$4)))*(CkDJ[Account Code]=(TRIM($B115)))*(CkDJ[Date]&lt;=$E$7),CkDJ[Credit])))+(SUM(IF((CsDJ[Sort Code]=(TRIM(G$4)))*(CsDJ[Account Code]=(TRIM($B115)))*(CsDJ[Date]&lt;=$E$7),CsDJ[Credit])))+(SUM(IF((CRDJ[Sort Code]=(TRIM(G$4)))*(CRDJ[Account Code]=(TRIM($B115)))*(CRDJ[Date]&lt;=$E$7),CRDJ[Credit])))+(SUM(IF((GJ[Sort Code]=(TRIM(G$4)))*(GJ[Account Code]=(TRIM($B115)))*(GJ[Date]&lt;=$E$7),GJ[Credit]))))</f>
        <v>0</v>
      </c>
      <c r="F115" s="245">
        <f t="array" ref="F115">((SUM(IF((CkDJ[Date]=$A$3)*(CkDJ[Sort Code]=(TRIM(G$4)))*(CkDJ[Account Code]=(TRIM($B115))),CkDJ[Debit])))+(SUM(IF((CsDJ[Date]=$A$3)*(CsDJ[Sort Code]=(TRIM(G$4)))*(CsDJ[Account Code]=(TRIM($B115))),CsDJ[Debit])))+(SUM(IF((CRDJ[Date]=$A$3)*(CRDJ[Sort Code]=(TRIM(G$4)))*(CRDJ[Account Code]=(TRIM($B115))),CRDJ[Debit])))+(SUM(IF((GJ[Date]=$A$3)*(GJ[Sort Code]=(TRIM(G$4)))*(GJ[Account Code]=(TRIM($B115))),GJ[Debit]))))-((SUM(IF((CkDJ[Date]=$A$3)*(CkDJ[Sort Code]=(TRIM(G$4)))*(CkDJ[Account Code]=(TRIM($B115))),CkDJ[Credit])))+(SUM(IF((CsDJ[Date]=$A$3)*(CsDJ[Sort Code]=(TRIM(G$4)))*(CsDJ[Account Code]=(TRIM($B115))),CsDJ[Credit])))+(SUM(IF((CRDJ[Date]=$A$3)*(CRDJ[Sort Code]=(TRIM(G$4)))*(CRDJ[Account Code]=(TRIM($B115))),CRDJ[Credit])))+(SUM(IF((GJ[Date]=$A$3)*(GJ[Sort Code]=(TRIM(G$4)))*(GJ[Account Code]=(TRIM($B115))),GJ[Credit]))))</f>
        <v>0</v>
      </c>
      <c r="G115" s="343">
        <f t="shared" si="9"/>
        <v>0</v>
      </c>
      <c r="H115" s="246">
        <f t="shared" si="5"/>
        <v>0</v>
      </c>
      <c r="I115" s="246">
        <f t="shared" si="6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Code]=B116)*(Budget[Sort Code]=$G$4),(Budget[Amount])))</f>
        <v>0</v>
      </c>
      <c r="D116" s="245">
        <f t="array" ref="D116">SUM(IF((Budget[Account Code]=B116)*(Budget[Sort Code]=$G$4)*(Budget[Date]&lt;=$D$7),(Budget[Amount])))</f>
        <v>0</v>
      </c>
      <c r="E116" s="245">
        <f t="array" ref="E116">((SUM(IF((CkDJ[Sort Code]=(TRIM(G$4)))*(CkDJ[Account Code]=(TRIM($B116)))*(CkDJ[Date]&lt;=$E$7),CkDJ[Debit])))+(SUM(IF((CsDJ[Sort Code]=(TRIM(G$4)))*(CsDJ[Account Code]=(TRIM($B116)))*(CsDJ[Date]&lt;=$E$7),CsDJ[Debit])))+(SUM(IF((CRDJ[Sort Code]=(TRIM(G$4)))*(CRDJ[Account Code]=(TRIM($B116)))*(CRDJ[Date]&lt;=$E$7),CRDJ[Debit])))+(SUM(IF((GJ[Sort Code]=(TRIM(G$4)))*(GJ[Account Code]=(TRIM($B116)))*(GJ[Date]&lt;=$E$7),GJ[Debit]))))-((SUM(IF((CkDJ[Sort Code]=(TRIM(G$4)))*(CkDJ[Account Code]=(TRIM($B116)))*(CkDJ[Date]&lt;=$E$7),CkDJ[Credit])))+(SUM(IF((CsDJ[Sort Code]=(TRIM(G$4)))*(CsDJ[Account Code]=(TRIM($B116)))*(CsDJ[Date]&lt;=$E$7),CsDJ[Credit])))+(SUM(IF((CRDJ[Sort Code]=(TRIM(G$4)))*(CRDJ[Account Code]=(TRIM($B116)))*(CRDJ[Date]&lt;=$E$7),CRDJ[Credit])))+(SUM(IF((GJ[Sort Code]=(TRIM(G$4)))*(GJ[Account Code]=(TRIM($B116)))*(GJ[Date]&lt;=$E$7),GJ[Credit]))))</f>
        <v>0</v>
      </c>
      <c r="F116" s="245">
        <f t="array" ref="F116">((SUM(IF((CkDJ[Date]=$A$3)*(CkDJ[Sort Code]=(TRIM(G$4)))*(CkDJ[Account Code]=(TRIM($B116))),CkDJ[Debit])))+(SUM(IF((CsDJ[Date]=$A$3)*(CsDJ[Sort Code]=(TRIM(G$4)))*(CsDJ[Account Code]=(TRIM($B116))),CsDJ[Debit])))+(SUM(IF((CRDJ[Date]=$A$3)*(CRDJ[Sort Code]=(TRIM(G$4)))*(CRDJ[Account Code]=(TRIM($B116))),CRDJ[Debit])))+(SUM(IF((GJ[Date]=$A$3)*(GJ[Sort Code]=(TRIM(G$4)))*(GJ[Account Code]=(TRIM($B116))),GJ[Debit]))))-((SUM(IF((CkDJ[Date]=$A$3)*(CkDJ[Sort Code]=(TRIM(G$4)))*(CkDJ[Account Code]=(TRIM($B116))),CkDJ[Credit])))+(SUM(IF((CsDJ[Date]=$A$3)*(CsDJ[Sort Code]=(TRIM(G$4)))*(CsDJ[Account Code]=(TRIM($B116))),CsDJ[Credit])))+(SUM(IF((CRDJ[Date]=$A$3)*(CRDJ[Sort Code]=(TRIM(G$4)))*(CRDJ[Account Code]=(TRIM($B116))),CRDJ[Credit])))+(SUM(IF((GJ[Date]=$A$3)*(GJ[Sort Code]=(TRIM(G$4)))*(GJ[Account Code]=(TRIM($B116))),GJ[Credit]))))</f>
        <v>0</v>
      </c>
      <c r="G116" s="343">
        <f t="shared" si="9"/>
        <v>0</v>
      </c>
      <c r="H116" s="246">
        <f t="shared" si="5"/>
        <v>0</v>
      </c>
      <c r="I116" s="246">
        <f t="shared" si="6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Code]=B117)*(Budget[Sort Code]=$G$4),(Budget[Amount])))</f>
        <v>0</v>
      </c>
      <c r="D117" s="245">
        <f t="array" ref="D117">SUM(IF((Budget[Account Code]=B117)*(Budget[Sort Code]=$G$4)*(Budget[Date]&lt;=$D$7),(Budget[Amount])))</f>
        <v>0</v>
      </c>
      <c r="E117" s="245">
        <f t="array" ref="E117">((SUM(IF((CkDJ[Sort Code]=(TRIM(G$4)))*(CkDJ[Account Code]=(TRIM($B117)))*(CkDJ[Date]&lt;=$E$7),CkDJ[Debit])))+(SUM(IF((CsDJ[Sort Code]=(TRIM(G$4)))*(CsDJ[Account Code]=(TRIM($B117)))*(CsDJ[Date]&lt;=$E$7),CsDJ[Debit])))+(SUM(IF((CRDJ[Sort Code]=(TRIM(G$4)))*(CRDJ[Account Code]=(TRIM($B117)))*(CRDJ[Date]&lt;=$E$7),CRDJ[Debit])))+(SUM(IF((GJ[Sort Code]=(TRIM(G$4)))*(GJ[Account Code]=(TRIM($B117)))*(GJ[Date]&lt;=$E$7),GJ[Debit]))))-((SUM(IF((CkDJ[Sort Code]=(TRIM(G$4)))*(CkDJ[Account Code]=(TRIM($B117)))*(CkDJ[Date]&lt;=$E$7),CkDJ[Credit])))+(SUM(IF((CsDJ[Sort Code]=(TRIM(G$4)))*(CsDJ[Account Code]=(TRIM($B117)))*(CsDJ[Date]&lt;=$E$7),CsDJ[Credit])))+(SUM(IF((CRDJ[Sort Code]=(TRIM(G$4)))*(CRDJ[Account Code]=(TRIM($B117)))*(CRDJ[Date]&lt;=$E$7),CRDJ[Credit])))+(SUM(IF((GJ[Sort Code]=(TRIM(G$4)))*(GJ[Account Code]=(TRIM($B117)))*(GJ[Date]&lt;=$E$7),GJ[Credit]))))</f>
        <v>0</v>
      </c>
      <c r="F117" s="245">
        <f t="array" ref="F117">((SUM(IF((CkDJ[Date]=$A$3)*(CkDJ[Sort Code]=(TRIM(G$4)))*(CkDJ[Account Code]=(TRIM($B117))),CkDJ[Debit])))+(SUM(IF((CsDJ[Date]=$A$3)*(CsDJ[Sort Code]=(TRIM(G$4)))*(CsDJ[Account Code]=(TRIM($B117))),CsDJ[Debit])))+(SUM(IF((CRDJ[Date]=$A$3)*(CRDJ[Sort Code]=(TRIM(G$4)))*(CRDJ[Account Code]=(TRIM($B117))),CRDJ[Debit])))+(SUM(IF((GJ[Date]=$A$3)*(GJ[Sort Code]=(TRIM(G$4)))*(GJ[Account Code]=(TRIM($B117))),GJ[Debit]))))-((SUM(IF((CkDJ[Date]=$A$3)*(CkDJ[Sort Code]=(TRIM(G$4)))*(CkDJ[Account Code]=(TRIM($B117))),CkDJ[Credit])))+(SUM(IF((CsDJ[Date]=$A$3)*(CsDJ[Sort Code]=(TRIM(G$4)))*(CsDJ[Account Code]=(TRIM($B117))),CsDJ[Credit])))+(SUM(IF((CRDJ[Date]=$A$3)*(CRDJ[Sort Code]=(TRIM(G$4)))*(CRDJ[Account Code]=(TRIM($B117))),CRDJ[Credit])))+(SUM(IF((GJ[Date]=$A$3)*(GJ[Sort Code]=(TRIM(G$4)))*(GJ[Account Code]=(TRIM($B117))),GJ[Credit]))))</f>
        <v>0</v>
      </c>
      <c r="G117" s="343">
        <f t="shared" si="9"/>
        <v>0</v>
      </c>
      <c r="H117" s="246">
        <f t="shared" si="5"/>
        <v>0</v>
      </c>
      <c r="I117" s="246">
        <f t="shared" si="6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Code]=B118)*(Budget[Sort Code]=$G$4),(Budget[Amount])))</f>
        <v>0</v>
      </c>
      <c r="D118" s="245">
        <f t="array" ref="D118">SUM(IF((Budget[Account Code]=B118)*(Budget[Sort Code]=$G$4)*(Budget[Date]&lt;=$D$7),(Budget[Amount])))</f>
        <v>0</v>
      </c>
      <c r="E118" s="245">
        <f t="array" ref="E118">((SUM(IF((CkDJ[Sort Code]=(TRIM(G$4)))*(CkDJ[Account Code]=(TRIM($B118)))*(CkDJ[Date]&lt;=$E$7),CkDJ[Debit])))+(SUM(IF((CsDJ[Sort Code]=(TRIM(G$4)))*(CsDJ[Account Code]=(TRIM($B118)))*(CsDJ[Date]&lt;=$E$7),CsDJ[Debit])))+(SUM(IF((CRDJ[Sort Code]=(TRIM(G$4)))*(CRDJ[Account Code]=(TRIM($B118)))*(CRDJ[Date]&lt;=$E$7),CRDJ[Debit])))+(SUM(IF((GJ[Sort Code]=(TRIM(G$4)))*(GJ[Account Code]=(TRIM($B118)))*(GJ[Date]&lt;=$E$7),GJ[Debit]))))-((SUM(IF((CkDJ[Sort Code]=(TRIM(G$4)))*(CkDJ[Account Code]=(TRIM($B118)))*(CkDJ[Date]&lt;=$E$7),CkDJ[Credit])))+(SUM(IF((CsDJ[Sort Code]=(TRIM(G$4)))*(CsDJ[Account Code]=(TRIM($B118)))*(CsDJ[Date]&lt;=$E$7),CsDJ[Credit])))+(SUM(IF((CRDJ[Sort Code]=(TRIM(G$4)))*(CRDJ[Account Code]=(TRIM($B118)))*(CRDJ[Date]&lt;=$E$7),CRDJ[Credit])))+(SUM(IF((GJ[Sort Code]=(TRIM(G$4)))*(GJ[Account Code]=(TRIM($B118)))*(GJ[Date]&lt;=$E$7),GJ[Credit]))))</f>
        <v>0</v>
      </c>
      <c r="F118" s="245">
        <f t="array" ref="F118">((SUM(IF((CkDJ[Date]=$A$3)*(CkDJ[Sort Code]=(TRIM(G$4)))*(CkDJ[Account Code]=(TRIM($B118))),CkDJ[Debit])))+(SUM(IF((CsDJ[Date]=$A$3)*(CsDJ[Sort Code]=(TRIM(G$4)))*(CsDJ[Account Code]=(TRIM($B118))),CsDJ[Debit])))+(SUM(IF((CRDJ[Date]=$A$3)*(CRDJ[Sort Code]=(TRIM(G$4)))*(CRDJ[Account Code]=(TRIM($B118))),CRDJ[Debit])))+(SUM(IF((GJ[Date]=$A$3)*(GJ[Sort Code]=(TRIM(G$4)))*(GJ[Account Code]=(TRIM($B118))),GJ[Debit]))))-((SUM(IF((CkDJ[Date]=$A$3)*(CkDJ[Sort Code]=(TRIM(G$4)))*(CkDJ[Account Code]=(TRIM($B118))),CkDJ[Credit])))+(SUM(IF((CsDJ[Date]=$A$3)*(CsDJ[Sort Code]=(TRIM(G$4)))*(CsDJ[Account Code]=(TRIM($B118))),CsDJ[Credit])))+(SUM(IF((CRDJ[Date]=$A$3)*(CRDJ[Sort Code]=(TRIM(G$4)))*(CRDJ[Account Code]=(TRIM($B118))),CRDJ[Credit])))+(SUM(IF((GJ[Date]=$A$3)*(GJ[Sort Code]=(TRIM(G$4)))*(GJ[Account Code]=(TRIM($B118))),GJ[Credit]))))</f>
        <v>0</v>
      </c>
      <c r="G118" s="343">
        <f t="shared" si="9"/>
        <v>0</v>
      </c>
      <c r="H118" s="246">
        <f t="shared" si="5"/>
        <v>0</v>
      </c>
      <c r="I118" s="246">
        <f t="shared" si="6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Code]=B119)*(Budget[Sort Code]=$G$4),(Budget[Amount])))</f>
        <v>0</v>
      </c>
      <c r="D119" s="245">
        <f t="array" ref="D119">SUM(IF((Budget[Account Code]=B119)*(Budget[Sort Code]=$G$4)*(Budget[Date]&lt;=$D$7),(Budget[Amount])))</f>
        <v>0</v>
      </c>
      <c r="E119" s="245">
        <f t="array" ref="E119">((SUM(IF((CkDJ[Sort Code]=(TRIM(G$4)))*(CkDJ[Account Code]=(TRIM($B119)))*(CkDJ[Date]&lt;=$E$7),CkDJ[Debit])))+(SUM(IF((CsDJ[Sort Code]=(TRIM(G$4)))*(CsDJ[Account Code]=(TRIM($B119)))*(CsDJ[Date]&lt;=$E$7),CsDJ[Debit])))+(SUM(IF((CRDJ[Sort Code]=(TRIM(G$4)))*(CRDJ[Account Code]=(TRIM($B119)))*(CRDJ[Date]&lt;=$E$7),CRDJ[Debit])))+(SUM(IF((GJ[Sort Code]=(TRIM(G$4)))*(GJ[Account Code]=(TRIM($B119)))*(GJ[Date]&lt;=$E$7),GJ[Debit]))))-((SUM(IF((CkDJ[Sort Code]=(TRIM(G$4)))*(CkDJ[Account Code]=(TRIM($B119)))*(CkDJ[Date]&lt;=$E$7),CkDJ[Credit])))+(SUM(IF((CsDJ[Sort Code]=(TRIM(G$4)))*(CsDJ[Account Code]=(TRIM($B119)))*(CsDJ[Date]&lt;=$E$7),CsDJ[Credit])))+(SUM(IF((CRDJ[Sort Code]=(TRIM(G$4)))*(CRDJ[Account Code]=(TRIM($B119)))*(CRDJ[Date]&lt;=$E$7),CRDJ[Credit])))+(SUM(IF((GJ[Sort Code]=(TRIM(G$4)))*(GJ[Account Code]=(TRIM($B119)))*(GJ[Date]&lt;=$E$7),GJ[Credit]))))</f>
        <v>0</v>
      </c>
      <c r="F119" s="245">
        <f t="array" ref="F119">((SUM(IF((CkDJ[Date]=$A$3)*(CkDJ[Sort Code]=(TRIM(G$4)))*(CkDJ[Account Code]=(TRIM($B119))),CkDJ[Debit])))+(SUM(IF((CsDJ[Date]=$A$3)*(CsDJ[Sort Code]=(TRIM(G$4)))*(CsDJ[Account Code]=(TRIM($B119))),CsDJ[Debit])))+(SUM(IF((CRDJ[Date]=$A$3)*(CRDJ[Sort Code]=(TRIM(G$4)))*(CRDJ[Account Code]=(TRIM($B119))),CRDJ[Debit])))+(SUM(IF((GJ[Date]=$A$3)*(GJ[Sort Code]=(TRIM(G$4)))*(GJ[Account Code]=(TRIM($B119))),GJ[Debit]))))-((SUM(IF((CkDJ[Date]=$A$3)*(CkDJ[Sort Code]=(TRIM(G$4)))*(CkDJ[Account Code]=(TRIM($B119))),CkDJ[Credit])))+(SUM(IF((CsDJ[Date]=$A$3)*(CsDJ[Sort Code]=(TRIM(G$4)))*(CsDJ[Account Code]=(TRIM($B119))),CsDJ[Credit])))+(SUM(IF((CRDJ[Date]=$A$3)*(CRDJ[Sort Code]=(TRIM(G$4)))*(CRDJ[Account Code]=(TRIM($B119))),CRDJ[Credit])))+(SUM(IF((GJ[Date]=$A$3)*(GJ[Sort Code]=(TRIM(G$4)))*(GJ[Account Code]=(TRIM($B119))),GJ[Credit]))))</f>
        <v>0</v>
      </c>
      <c r="G119" s="343">
        <f t="shared" si="9"/>
        <v>0</v>
      </c>
      <c r="H119" s="246">
        <f t="shared" si="5"/>
        <v>0</v>
      </c>
      <c r="I119" s="246">
        <f t="shared" si="6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Code]=B120)*(Budget[Sort Code]=$G$4),(Budget[Amount])))</f>
        <v>0</v>
      </c>
      <c r="D120" s="245">
        <f t="array" ref="D120">SUM(IF((Budget[Account Code]=B120)*(Budget[Sort Code]=$G$4)*(Budget[Date]&lt;=$D$7),(Budget[Amount])))</f>
        <v>0</v>
      </c>
      <c r="E120" s="245">
        <f t="array" ref="E120">((SUM(IF((CkDJ[Sort Code]=(TRIM(G$4)))*(CkDJ[Account Code]=(TRIM($B120)))*(CkDJ[Date]&lt;=$E$7),CkDJ[Debit])))+(SUM(IF((CsDJ[Sort Code]=(TRIM(G$4)))*(CsDJ[Account Code]=(TRIM($B120)))*(CsDJ[Date]&lt;=$E$7),CsDJ[Debit])))+(SUM(IF((CRDJ[Sort Code]=(TRIM(G$4)))*(CRDJ[Account Code]=(TRIM($B120)))*(CRDJ[Date]&lt;=$E$7),CRDJ[Debit])))+(SUM(IF((GJ[Sort Code]=(TRIM(G$4)))*(GJ[Account Code]=(TRIM($B120)))*(GJ[Date]&lt;=$E$7),GJ[Debit]))))-((SUM(IF((CkDJ[Sort Code]=(TRIM(G$4)))*(CkDJ[Account Code]=(TRIM($B120)))*(CkDJ[Date]&lt;=$E$7),CkDJ[Credit])))+(SUM(IF((CsDJ[Sort Code]=(TRIM(G$4)))*(CsDJ[Account Code]=(TRIM($B120)))*(CsDJ[Date]&lt;=$E$7),CsDJ[Credit])))+(SUM(IF((CRDJ[Sort Code]=(TRIM(G$4)))*(CRDJ[Account Code]=(TRIM($B120)))*(CRDJ[Date]&lt;=$E$7),CRDJ[Credit])))+(SUM(IF((GJ[Sort Code]=(TRIM(G$4)))*(GJ[Account Code]=(TRIM($B120)))*(GJ[Date]&lt;=$E$7),GJ[Credit]))))</f>
        <v>0</v>
      </c>
      <c r="F120" s="245">
        <f t="array" ref="F120">((SUM(IF((CkDJ[Date]=$A$3)*(CkDJ[Sort Code]=(TRIM(G$4)))*(CkDJ[Account Code]=(TRIM($B120))),CkDJ[Debit])))+(SUM(IF((CsDJ[Date]=$A$3)*(CsDJ[Sort Code]=(TRIM(G$4)))*(CsDJ[Account Code]=(TRIM($B120))),CsDJ[Debit])))+(SUM(IF((CRDJ[Date]=$A$3)*(CRDJ[Sort Code]=(TRIM(G$4)))*(CRDJ[Account Code]=(TRIM($B120))),CRDJ[Debit])))+(SUM(IF((GJ[Date]=$A$3)*(GJ[Sort Code]=(TRIM(G$4)))*(GJ[Account Code]=(TRIM($B120))),GJ[Debit]))))-((SUM(IF((CkDJ[Date]=$A$3)*(CkDJ[Sort Code]=(TRIM(G$4)))*(CkDJ[Account Code]=(TRIM($B120))),CkDJ[Credit])))+(SUM(IF((CsDJ[Date]=$A$3)*(CsDJ[Sort Code]=(TRIM(G$4)))*(CsDJ[Account Code]=(TRIM($B120))),CsDJ[Credit])))+(SUM(IF((CRDJ[Date]=$A$3)*(CRDJ[Sort Code]=(TRIM(G$4)))*(CRDJ[Account Code]=(TRIM($B120))),CRDJ[Credit])))+(SUM(IF((GJ[Date]=$A$3)*(GJ[Sort Code]=(TRIM(G$4)))*(GJ[Account Code]=(TRIM($B120))),GJ[Credit]))))</f>
        <v>0</v>
      </c>
      <c r="G120" s="343">
        <f t="shared" si="9"/>
        <v>0</v>
      </c>
      <c r="H120" s="246">
        <f t="shared" ref="H120:H153" si="10">G120-D120</f>
        <v>0</v>
      </c>
      <c r="I120" s="246">
        <f t="shared" ref="I120:I153" si="11">IF((D120=0),0,G120/D120)</f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Code]=B121)*(Budget[Sort Code]=$G$4),(Budget[Amount])))</f>
        <v>0</v>
      </c>
      <c r="D121" s="245">
        <f t="array" ref="D121">SUM(IF((Budget[Account Code]=B121)*(Budget[Sort Code]=$G$4)*(Budget[Date]&lt;=$D$7),(Budget[Amount])))</f>
        <v>0</v>
      </c>
      <c r="E121" s="245">
        <f t="array" ref="E121">((SUM(IF((CkDJ[Sort Code]=(TRIM(G$4)))*(CkDJ[Account Code]=(TRIM($B121)))*(CkDJ[Date]&lt;=$E$7),CkDJ[Debit])))+(SUM(IF((CsDJ[Sort Code]=(TRIM(G$4)))*(CsDJ[Account Code]=(TRIM($B121)))*(CsDJ[Date]&lt;=$E$7),CsDJ[Debit])))+(SUM(IF((CRDJ[Sort Code]=(TRIM(G$4)))*(CRDJ[Account Code]=(TRIM($B121)))*(CRDJ[Date]&lt;=$E$7),CRDJ[Debit])))+(SUM(IF((GJ[Sort Code]=(TRIM(G$4)))*(GJ[Account Code]=(TRIM($B121)))*(GJ[Date]&lt;=$E$7),GJ[Debit]))))-((SUM(IF((CkDJ[Sort Code]=(TRIM(G$4)))*(CkDJ[Account Code]=(TRIM($B121)))*(CkDJ[Date]&lt;=$E$7),CkDJ[Credit])))+(SUM(IF((CsDJ[Sort Code]=(TRIM(G$4)))*(CsDJ[Account Code]=(TRIM($B121)))*(CsDJ[Date]&lt;=$E$7),CsDJ[Credit])))+(SUM(IF((CRDJ[Sort Code]=(TRIM(G$4)))*(CRDJ[Account Code]=(TRIM($B121)))*(CRDJ[Date]&lt;=$E$7),CRDJ[Credit])))+(SUM(IF((GJ[Sort Code]=(TRIM(G$4)))*(GJ[Account Code]=(TRIM($B121)))*(GJ[Date]&lt;=$E$7),GJ[Credit]))))</f>
        <v>0</v>
      </c>
      <c r="F121" s="245">
        <f t="array" ref="F121">((SUM(IF((CkDJ[Date]=$A$3)*(CkDJ[Sort Code]=(TRIM(G$4)))*(CkDJ[Account Code]=(TRIM($B121))),CkDJ[Debit])))+(SUM(IF((CsDJ[Date]=$A$3)*(CsDJ[Sort Code]=(TRIM(G$4)))*(CsDJ[Account Code]=(TRIM($B121))),CsDJ[Debit])))+(SUM(IF((CRDJ[Date]=$A$3)*(CRDJ[Sort Code]=(TRIM(G$4)))*(CRDJ[Account Code]=(TRIM($B121))),CRDJ[Debit])))+(SUM(IF((GJ[Date]=$A$3)*(GJ[Sort Code]=(TRIM(G$4)))*(GJ[Account Code]=(TRIM($B121))),GJ[Debit]))))-((SUM(IF((CkDJ[Date]=$A$3)*(CkDJ[Sort Code]=(TRIM(G$4)))*(CkDJ[Account Code]=(TRIM($B121))),CkDJ[Credit])))+(SUM(IF((CsDJ[Date]=$A$3)*(CsDJ[Sort Code]=(TRIM(G$4)))*(CsDJ[Account Code]=(TRIM($B121))),CsDJ[Credit])))+(SUM(IF((CRDJ[Date]=$A$3)*(CRDJ[Sort Code]=(TRIM(G$4)))*(CRDJ[Account Code]=(TRIM($B121))),CRDJ[Credit])))+(SUM(IF((GJ[Date]=$A$3)*(GJ[Sort Code]=(TRIM(G$4)))*(GJ[Account Code]=(TRIM($B121))),GJ[Credit]))))</f>
        <v>0</v>
      </c>
      <c r="G121" s="343">
        <f t="shared" si="9"/>
        <v>0</v>
      </c>
      <c r="H121" s="246">
        <f t="shared" si="10"/>
        <v>0</v>
      </c>
      <c r="I121" s="246">
        <f t="shared" si="11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Code]=B122)*(Budget[Sort Code]=$G$4),(Budget[Amount])))</f>
        <v>0</v>
      </c>
      <c r="D122" s="245">
        <f t="array" ref="D122">SUM(IF((Budget[Account Code]=B122)*(Budget[Sort Code]=$G$4)*(Budget[Date]&lt;=$D$7),(Budget[Amount])))</f>
        <v>0</v>
      </c>
      <c r="E122" s="245">
        <f t="array" ref="E122">((SUM(IF((CkDJ[Sort Code]=(TRIM(G$4)))*(CkDJ[Account Code]=(TRIM($B122)))*(CkDJ[Date]&lt;=$E$7),CkDJ[Debit])))+(SUM(IF((CsDJ[Sort Code]=(TRIM(G$4)))*(CsDJ[Account Code]=(TRIM($B122)))*(CsDJ[Date]&lt;=$E$7),CsDJ[Debit])))+(SUM(IF((CRDJ[Sort Code]=(TRIM(G$4)))*(CRDJ[Account Code]=(TRIM($B122)))*(CRDJ[Date]&lt;=$E$7),CRDJ[Debit])))+(SUM(IF((GJ[Sort Code]=(TRIM(G$4)))*(GJ[Account Code]=(TRIM($B122)))*(GJ[Date]&lt;=$E$7),GJ[Debit]))))-((SUM(IF((CkDJ[Sort Code]=(TRIM(G$4)))*(CkDJ[Account Code]=(TRIM($B122)))*(CkDJ[Date]&lt;=$E$7),CkDJ[Credit])))+(SUM(IF((CsDJ[Sort Code]=(TRIM(G$4)))*(CsDJ[Account Code]=(TRIM($B122)))*(CsDJ[Date]&lt;=$E$7),CsDJ[Credit])))+(SUM(IF((CRDJ[Sort Code]=(TRIM(G$4)))*(CRDJ[Account Code]=(TRIM($B122)))*(CRDJ[Date]&lt;=$E$7),CRDJ[Credit])))+(SUM(IF((GJ[Sort Code]=(TRIM(G$4)))*(GJ[Account Code]=(TRIM($B122)))*(GJ[Date]&lt;=$E$7),GJ[Credit]))))</f>
        <v>0</v>
      </c>
      <c r="F122" s="245">
        <f t="array" ref="F122">((SUM(IF((CkDJ[Date]=$A$3)*(CkDJ[Sort Code]=(TRIM(G$4)))*(CkDJ[Account Code]=(TRIM($B122))),CkDJ[Debit])))+(SUM(IF((CsDJ[Date]=$A$3)*(CsDJ[Sort Code]=(TRIM(G$4)))*(CsDJ[Account Code]=(TRIM($B122))),CsDJ[Debit])))+(SUM(IF((CRDJ[Date]=$A$3)*(CRDJ[Sort Code]=(TRIM(G$4)))*(CRDJ[Account Code]=(TRIM($B122))),CRDJ[Debit])))+(SUM(IF((GJ[Date]=$A$3)*(GJ[Sort Code]=(TRIM(G$4)))*(GJ[Account Code]=(TRIM($B122))),GJ[Debit]))))-((SUM(IF((CkDJ[Date]=$A$3)*(CkDJ[Sort Code]=(TRIM(G$4)))*(CkDJ[Account Code]=(TRIM($B122))),CkDJ[Credit])))+(SUM(IF((CsDJ[Date]=$A$3)*(CsDJ[Sort Code]=(TRIM(G$4)))*(CsDJ[Account Code]=(TRIM($B122))),CsDJ[Credit])))+(SUM(IF((CRDJ[Date]=$A$3)*(CRDJ[Sort Code]=(TRIM(G$4)))*(CRDJ[Account Code]=(TRIM($B122))),CRDJ[Credit])))+(SUM(IF((GJ[Date]=$A$3)*(GJ[Sort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hidden="1" x14ac:dyDescent="0.2">
      <c r="A123" s="256" t="s">
        <v>315</v>
      </c>
      <c r="B123" s="339" t="s">
        <v>270</v>
      </c>
      <c r="C123" s="245">
        <f t="array" ref="C123">SUM(IF((Budget[Account Code]=B123)*(Budget[Sort Code]=$G$4),(Budget[Amount])))</f>
        <v>0</v>
      </c>
      <c r="D123" s="245">
        <f t="array" ref="D123">SUM(IF((Budget[Account Code]=B123)*(Budget[Sort Code]=$G$4)*(Budget[Date]&lt;=$D$7),(Budget[Amount])))</f>
        <v>0</v>
      </c>
      <c r="E123" s="245">
        <f t="array" ref="E123">((SUM(IF((CkDJ[Sort Code]=(TRIM(G$4)))*(CkDJ[Account Code]=(TRIM($B123)))*(CkDJ[Date]&lt;=$E$7),CkDJ[Debit])))+(SUM(IF((CsDJ[Sort Code]=(TRIM(G$4)))*(CsDJ[Account Code]=(TRIM($B123)))*(CsDJ[Date]&lt;=$E$7),CsDJ[Debit])))+(SUM(IF((CRDJ[Sort Code]=(TRIM(G$4)))*(CRDJ[Account Code]=(TRIM($B123)))*(CRDJ[Date]&lt;=$E$7),CRDJ[Debit])))+(SUM(IF((GJ[Sort Code]=(TRIM(G$4)))*(GJ[Account Code]=(TRIM($B123)))*(GJ[Date]&lt;=$E$7),GJ[Debit]))))-((SUM(IF((CkDJ[Sort Code]=(TRIM(G$4)))*(CkDJ[Account Code]=(TRIM($B123)))*(CkDJ[Date]&lt;=$E$7),CkDJ[Credit])))+(SUM(IF((CsDJ[Sort Code]=(TRIM(G$4)))*(CsDJ[Account Code]=(TRIM($B123)))*(CsDJ[Date]&lt;=$E$7),CsDJ[Credit])))+(SUM(IF((CRDJ[Sort Code]=(TRIM(G$4)))*(CRDJ[Account Code]=(TRIM($B123)))*(CRDJ[Date]&lt;=$E$7),CRDJ[Credit])))+(SUM(IF((GJ[Sort Code]=(TRIM(G$4)))*(GJ[Account Code]=(TRIM($B123)))*(GJ[Date]&lt;=$E$7),GJ[Credit]))))</f>
        <v>0</v>
      </c>
      <c r="F123" s="245">
        <f t="array" ref="F123">((SUM(IF((CkDJ[Date]=$A$3)*(CkDJ[Sort Code]=(TRIM(G$4)))*(CkDJ[Account Code]=(TRIM($B123))),CkDJ[Debit])))+(SUM(IF((CsDJ[Date]=$A$3)*(CsDJ[Sort Code]=(TRIM(G$4)))*(CsDJ[Account Code]=(TRIM($B123))),CsDJ[Debit])))+(SUM(IF((CRDJ[Date]=$A$3)*(CRDJ[Sort Code]=(TRIM(G$4)))*(CRDJ[Account Code]=(TRIM($B123))),CRDJ[Debit])))+(SUM(IF((GJ[Date]=$A$3)*(GJ[Sort Code]=(TRIM(G$4)))*(GJ[Account Code]=(TRIM($B123))),GJ[Debit]))))-((SUM(IF((CkDJ[Date]=$A$3)*(CkDJ[Sort Code]=(TRIM(G$4)))*(CkDJ[Account Code]=(TRIM($B123))),CkDJ[Credit])))+(SUM(IF((CsDJ[Date]=$A$3)*(CsDJ[Sort Code]=(TRIM(G$4)))*(CsDJ[Account Code]=(TRIM($B123))),CsDJ[Credit])))+(SUM(IF((CRDJ[Date]=$A$3)*(CRDJ[Sort Code]=(TRIM(G$4)))*(CRDJ[Account Code]=(TRIM($B123))),CRDJ[Credit])))+(SUM(IF((GJ[Date]=$A$3)*(GJ[Sort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Code]=B124)*(Budget[Sort Code]=$G$4),(Budget[Amount])))</f>
        <v>0</v>
      </c>
      <c r="D124" s="245">
        <f t="array" ref="D124">SUM(IF((Budget[Account Code]=B124)*(Budget[Sort Code]=$G$4)*(Budget[Date]&lt;=$D$7),(Budget[Amount])))</f>
        <v>0</v>
      </c>
      <c r="E124" s="245">
        <f t="array" ref="E124">((SUM(IF((CkDJ[Sort Code]=(TRIM(G$4)))*(CkDJ[Account Code]=(TRIM($B124)))*(CkDJ[Date]&lt;=$E$7),CkDJ[Debit])))+(SUM(IF((CsDJ[Sort Code]=(TRIM(G$4)))*(CsDJ[Account Code]=(TRIM($B124)))*(CsDJ[Date]&lt;=$E$7),CsDJ[Debit])))+(SUM(IF((CRDJ[Sort Code]=(TRIM(G$4)))*(CRDJ[Account Code]=(TRIM($B124)))*(CRDJ[Date]&lt;=$E$7),CRDJ[Debit])))+(SUM(IF((GJ[Sort Code]=(TRIM(G$4)))*(GJ[Account Code]=(TRIM($B124)))*(GJ[Date]&lt;=$E$7),GJ[Debit]))))-((SUM(IF((CkDJ[Sort Code]=(TRIM(G$4)))*(CkDJ[Account Code]=(TRIM($B124)))*(CkDJ[Date]&lt;=$E$7),CkDJ[Credit])))+(SUM(IF((CsDJ[Sort Code]=(TRIM(G$4)))*(CsDJ[Account Code]=(TRIM($B124)))*(CsDJ[Date]&lt;=$E$7),CsDJ[Credit])))+(SUM(IF((CRDJ[Sort Code]=(TRIM(G$4)))*(CRDJ[Account Code]=(TRIM($B124)))*(CRDJ[Date]&lt;=$E$7),CRDJ[Credit])))+(SUM(IF((GJ[Sort Code]=(TRIM(G$4)))*(GJ[Account Code]=(TRIM($B124)))*(GJ[Date]&lt;=$E$7),GJ[Credit]))))</f>
        <v>0</v>
      </c>
      <c r="F124" s="245">
        <f t="array" ref="F124">((SUM(IF((CkDJ[Date]=$A$3)*(CkDJ[Sort Code]=(TRIM(G$4)))*(CkDJ[Account Code]=(TRIM($B124))),CkDJ[Debit])))+(SUM(IF((CsDJ[Date]=$A$3)*(CsDJ[Sort Code]=(TRIM(G$4)))*(CsDJ[Account Code]=(TRIM($B124))),CsDJ[Debit])))+(SUM(IF((CRDJ[Date]=$A$3)*(CRDJ[Sort Code]=(TRIM(G$4)))*(CRDJ[Account Code]=(TRIM($B124))),CRDJ[Debit])))+(SUM(IF((GJ[Date]=$A$3)*(GJ[Sort Code]=(TRIM(G$4)))*(GJ[Account Code]=(TRIM($B124))),GJ[Debit]))))-((SUM(IF((CkDJ[Date]=$A$3)*(CkDJ[Sort Code]=(TRIM(G$4)))*(CkDJ[Account Code]=(TRIM($B124))),CkDJ[Credit])))+(SUM(IF((CsDJ[Date]=$A$3)*(CsDJ[Sort Code]=(TRIM(G$4)))*(CsDJ[Account Code]=(TRIM($B124))),CsDJ[Credit])))+(SUM(IF((CRDJ[Date]=$A$3)*(CRDJ[Sort Code]=(TRIM(G$4)))*(CRDJ[Account Code]=(TRIM($B124))),CRDJ[Credit])))+(SUM(IF((GJ[Date]=$A$3)*(GJ[Sort Code]=(TRIM(G$4)))*(GJ[Account Code]=(TRIM($B124))),GJ[Credit]))))</f>
        <v>0</v>
      </c>
      <c r="G124" s="343">
        <f t="shared" si="9"/>
        <v>0</v>
      </c>
      <c r="H124" s="246">
        <f t="shared" si="10"/>
        <v>0</v>
      </c>
      <c r="I124" s="246">
        <f t="shared" si="11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Code]=B125)*(Budget[Sort Code]=$G$4),(Budget[Amount])))</f>
        <v>168456.24</v>
      </c>
      <c r="D125" s="245">
        <f t="array" ref="D125">SUM(IF((Budget[Account Code]=B125)*(Budget[Sort Code]=$G$4)*(Budget[Date]&lt;=$D$7),(Budget[Amount])))</f>
        <v>168456.24</v>
      </c>
      <c r="E125" s="245">
        <f t="array" ref="E125">((SUM(IF((CkDJ[Sort Code]=(TRIM(G$4)))*(CkDJ[Account Code]=(TRIM($B125)))*(CkDJ[Date]&lt;=$E$7),CkDJ[Debit])))+(SUM(IF((CsDJ[Sort Code]=(TRIM(G$4)))*(CsDJ[Account Code]=(TRIM($B125)))*(CsDJ[Date]&lt;=$E$7),CsDJ[Debit])))+(SUM(IF((CRDJ[Sort Code]=(TRIM(G$4)))*(CRDJ[Account Code]=(TRIM($B125)))*(CRDJ[Date]&lt;=$E$7),CRDJ[Debit])))+(SUM(IF((GJ[Sort Code]=(TRIM(G$4)))*(GJ[Account Code]=(TRIM($B125)))*(GJ[Date]&lt;=$E$7),GJ[Debit]))))-((SUM(IF((CkDJ[Sort Code]=(TRIM(G$4)))*(CkDJ[Account Code]=(TRIM($B125)))*(CkDJ[Date]&lt;=$E$7),CkDJ[Credit])))+(SUM(IF((CsDJ[Sort Code]=(TRIM(G$4)))*(CsDJ[Account Code]=(TRIM($B125)))*(CsDJ[Date]&lt;=$E$7),CsDJ[Credit])))+(SUM(IF((CRDJ[Sort Code]=(TRIM(G$4)))*(CRDJ[Account Code]=(TRIM($B125)))*(CRDJ[Date]&lt;=$E$7),CRDJ[Credit])))+(SUM(IF((GJ[Sort Code]=(TRIM(G$4)))*(GJ[Account Code]=(TRIM($B125)))*(GJ[Date]&lt;=$E$7),GJ[Credit]))))</f>
        <v>0</v>
      </c>
      <c r="F125" s="245">
        <f t="array" ref="F125">((SUM(IF((CkDJ[Date]=$A$3)*(CkDJ[Sort Code]=(TRIM(G$4)))*(CkDJ[Account Code]=(TRIM($B125))),CkDJ[Debit])))+(SUM(IF((CsDJ[Date]=$A$3)*(CsDJ[Sort Code]=(TRIM(G$4)))*(CsDJ[Account Code]=(TRIM($B125))),CsDJ[Debit])))+(SUM(IF((CRDJ[Date]=$A$3)*(CRDJ[Sort Code]=(TRIM(G$4)))*(CRDJ[Account Code]=(TRIM($B125))),CRDJ[Debit])))+(SUM(IF((GJ[Date]=$A$3)*(GJ[Sort Code]=(TRIM(G$4)))*(GJ[Account Code]=(TRIM($B125))),GJ[Debit]))))-((SUM(IF((CkDJ[Date]=$A$3)*(CkDJ[Sort Code]=(TRIM(G$4)))*(CkDJ[Account Code]=(TRIM($B125))),CkDJ[Credit])))+(SUM(IF((CsDJ[Date]=$A$3)*(CsDJ[Sort Code]=(TRIM(G$4)))*(CsDJ[Account Code]=(TRIM($B125))),CsDJ[Credit])))+(SUM(IF((CRDJ[Date]=$A$3)*(CRDJ[Sort Code]=(TRIM(G$4)))*(CRDJ[Account Code]=(TRIM($B125))),CRDJ[Credit])))+(SUM(IF((GJ[Date]=$A$3)*(GJ[Sort Code]=(TRIM(G$4)))*(GJ[Account Code]=(TRIM($B125))),GJ[Credit]))))</f>
        <v>0</v>
      </c>
      <c r="G125" s="343">
        <f t="shared" si="9"/>
        <v>0</v>
      </c>
      <c r="H125" s="246">
        <f t="shared" si="10"/>
        <v>-168456.24</v>
      </c>
      <c r="I125" s="246">
        <f t="shared" si="11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Code]=B126)*(Budget[Sort Code]=$G$4),(Budget[Amount])))</f>
        <v>0</v>
      </c>
      <c r="D126" s="245">
        <f t="array" ref="D126">SUM(IF((Budget[Account Code]=B126)*(Budget[Sort Code]=$G$4)*(Budget[Date]&lt;=$D$7),(Budget[Amount])))</f>
        <v>0</v>
      </c>
      <c r="E126" s="245">
        <f t="array" ref="E126">((SUM(IF((CkDJ[Sort Code]=(TRIM(G$4)))*(CkDJ[Account Code]=(TRIM($B126)))*(CkDJ[Date]&lt;=$E$7),CkDJ[Debit])))+(SUM(IF((CsDJ[Sort Code]=(TRIM(G$4)))*(CsDJ[Account Code]=(TRIM($B126)))*(CsDJ[Date]&lt;=$E$7),CsDJ[Debit])))+(SUM(IF((CRDJ[Sort Code]=(TRIM(G$4)))*(CRDJ[Account Code]=(TRIM($B126)))*(CRDJ[Date]&lt;=$E$7),CRDJ[Debit])))+(SUM(IF((GJ[Sort Code]=(TRIM(G$4)))*(GJ[Account Code]=(TRIM($B126)))*(GJ[Date]&lt;=$E$7),GJ[Debit]))))-((SUM(IF((CkDJ[Sort Code]=(TRIM(G$4)))*(CkDJ[Account Code]=(TRIM($B126)))*(CkDJ[Date]&lt;=$E$7),CkDJ[Credit])))+(SUM(IF((CsDJ[Sort Code]=(TRIM(G$4)))*(CsDJ[Account Code]=(TRIM($B126)))*(CsDJ[Date]&lt;=$E$7),CsDJ[Credit])))+(SUM(IF((CRDJ[Sort Code]=(TRIM(G$4)))*(CRDJ[Account Code]=(TRIM($B126)))*(CRDJ[Date]&lt;=$E$7),CRDJ[Credit])))+(SUM(IF((GJ[Sort Code]=(TRIM(G$4)))*(GJ[Account Code]=(TRIM($B126)))*(GJ[Date]&lt;=$E$7),GJ[Credit]))))</f>
        <v>0</v>
      </c>
      <c r="F126" s="245">
        <f t="array" ref="F126">((SUM(IF((CkDJ[Date]=$A$3)*(CkDJ[Sort Code]=(TRIM(G$4)))*(CkDJ[Account Code]=(TRIM($B126))),CkDJ[Debit])))+(SUM(IF((CsDJ[Date]=$A$3)*(CsDJ[Sort Code]=(TRIM(G$4)))*(CsDJ[Account Code]=(TRIM($B126))),CsDJ[Debit])))+(SUM(IF((CRDJ[Date]=$A$3)*(CRDJ[Sort Code]=(TRIM(G$4)))*(CRDJ[Account Code]=(TRIM($B126))),CRDJ[Debit])))+(SUM(IF((GJ[Date]=$A$3)*(GJ[Sort Code]=(TRIM(G$4)))*(GJ[Account Code]=(TRIM($B126))),GJ[Debit]))))-((SUM(IF((CkDJ[Date]=$A$3)*(CkDJ[Sort Code]=(TRIM(G$4)))*(CkDJ[Account Code]=(TRIM($B126))),CkDJ[Credit])))+(SUM(IF((CsDJ[Date]=$A$3)*(CsDJ[Sort Code]=(TRIM(G$4)))*(CsDJ[Account Code]=(TRIM($B126))),CsDJ[Credit])))+(SUM(IF((CRDJ[Date]=$A$3)*(CRDJ[Sort Code]=(TRIM(G$4)))*(CRDJ[Account Code]=(TRIM($B126))),CRDJ[Credit])))+(SUM(IF((GJ[Date]=$A$3)*(GJ[Sort Code]=(TRIM(G$4)))*(GJ[Account Code]=(TRIM($B126))),GJ[Credit]))))</f>
        <v>0</v>
      </c>
      <c r="G126" s="343">
        <f t="shared" si="9"/>
        <v>0</v>
      </c>
      <c r="H126" s="246">
        <f t="shared" si="10"/>
        <v>0</v>
      </c>
      <c r="I126" s="246">
        <f t="shared" si="11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Code]=B127)*(Budget[Sort Code]=$G$4),(Budget[Amount])))</f>
        <v>0</v>
      </c>
      <c r="D127" s="245">
        <f t="array" ref="D127">SUM(IF((Budget[Account Code]=B127)*(Budget[Sort Code]=$G$4)*(Budget[Date]&lt;=$D$7),(Budget[Amount])))</f>
        <v>0</v>
      </c>
      <c r="E127" s="245">
        <f t="array" ref="E127">((SUM(IF((CkDJ[Sort Code]=(TRIM(G$4)))*(CkDJ[Account Code]=(TRIM($B127)))*(CkDJ[Date]&lt;=$E$7),CkDJ[Debit])))+(SUM(IF((CsDJ[Sort Code]=(TRIM(G$4)))*(CsDJ[Account Code]=(TRIM($B127)))*(CsDJ[Date]&lt;=$E$7),CsDJ[Debit])))+(SUM(IF((CRDJ[Sort Code]=(TRIM(G$4)))*(CRDJ[Account Code]=(TRIM($B127)))*(CRDJ[Date]&lt;=$E$7),CRDJ[Debit])))+(SUM(IF((GJ[Sort Code]=(TRIM(G$4)))*(GJ[Account Code]=(TRIM($B127)))*(GJ[Date]&lt;=$E$7),GJ[Debit]))))-((SUM(IF((CkDJ[Sort Code]=(TRIM(G$4)))*(CkDJ[Account Code]=(TRIM($B127)))*(CkDJ[Date]&lt;=$E$7),CkDJ[Credit])))+(SUM(IF((CsDJ[Sort Code]=(TRIM(G$4)))*(CsDJ[Account Code]=(TRIM($B127)))*(CsDJ[Date]&lt;=$E$7),CsDJ[Credit])))+(SUM(IF((CRDJ[Sort Code]=(TRIM(G$4)))*(CRDJ[Account Code]=(TRIM($B127)))*(CRDJ[Date]&lt;=$E$7),CRDJ[Credit])))+(SUM(IF((GJ[Sort Code]=(TRIM(G$4)))*(GJ[Account Code]=(TRIM($B127)))*(GJ[Date]&lt;=$E$7),GJ[Credit]))))</f>
        <v>0</v>
      </c>
      <c r="F127" s="245">
        <f t="array" ref="F127">((SUM(IF((CkDJ[Date]=$A$3)*(CkDJ[Sort Code]=(TRIM(G$4)))*(CkDJ[Account Code]=(TRIM($B127))),CkDJ[Debit])))+(SUM(IF((CsDJ[Date]=$A$3)*(CsDJ[Sort Code]=(TRIM(G$4)))*(CsDJ[Account Code]=(TRIM($B127))),CsDJ[Debit])))+(SUM(IF((CRDJ[Date]=$A$3)*(CRDJ[Sort Code]=(TRIM(G$4)))*(CRDJ[Account Code]=(TRIM($B127))),CRDJ[Debit])))+(SUM(IF((GJ[Date]=$A$3)*(GJ[Sort Code]=(TRIM(G$4)))*(GJ[Account Code]=(TRIM($B127))),GJ[Debit]))))-((SUM(IF((CkDJ[Date]=$A$3)*(CkDJ[Sort Code]=(TRIM(G$4)))*(CkDJ[Account Code]=(TRIM($B127))),CkDJ[Credit])))+(SUM(IF((CsDJ[Date]=$A$3)*(CsDJ[Sort Code]=(TRIM(G$4)))*(CsDJ[Account Code]=(TRIM($B127))),CsDJ[Credit])))+(SUM(IF((CRDJ[Date]=$A$3)*(CRDJ[Sort Code]=(TRIM(G$4)))*(CRDJ[Account Code]=(TRIM($B127))),CRDJ[Credit])))+(SUM(IF((GJ[Date]=$A$3)*(GJ[Sort Code]=(TRIM(G$4)))*(GJ[Account Code]=(TRIM($B127))),GJ[Credit]))))</f>
        <v>0</v>
      </c>
      <c r="G127" s="343">
        <f t="shared" si="9"/>
        <v>0</v>
      </c>
      <c r="H127" s="246">
        <f t="shared" si="10"/>
        <v>0</v>
      </c>
      <c r="I127" s="246">
        <f t="shared" si="11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Code]=B128)*(Budget[Sort Code]=$G$4),(Budget[Amount])))</f>
        <v>0</v>
      </c>
      <c r="D128" s="245">
        <f t="array" ref="D128">SUM(IF((Budget[Account Code]=B128)*(Budget[Sort Code]=$G$4)*(Budget[Date]&lt;=$D$7),(Budget[Amount])))</f>
        <v>0</v>
      </c>
      <c r="E128" s="245">
        <f t="array" ref="E128">((SUM(IF((CkDJ[Sort Code]=(TRIM(G$4)))*(CkDJ[Account Code]=(TRIM($B128)))*(CkDJ[Date]&lt;=$E$7),CkDJ[Debit])))+(SUM(IF((CsDJ[Sort Code]=(TRIM(G$4)))*(CsDJ[Account Code]=(TRIM($B128)))*(CsDJ[Date]&lt;=$E$7),CsDJ[Debit])))+(SUM(IF((CRDJ[Sort Code]=(TRIM(G$4)))*(CRDJ[Account Code]=(TRIM($B128)))*(CRDJ[Date]&lt;=$E$7),CRDJ[Debit])))+(SUM(IF((GJ[Sort Code]=(TRIM(G$4)))*(GJ[Account Code]=(TRIM($B128)))*(GJ[Date]&lt;=$E$7),GJ[Debit]))))-((SUM(IF((CkDJ[Sort Code]=(TRIM(G$4)))*(CkDJ[Account Code]=(TRIM($B128)))*(CkDJ[Date]&lt;=$E$7),CkDJ[Credit])))+(SUM(IF((CsDJ[Sort Code]=(TRIM(G$4)))*(CsDJ[Account Code]=(TRIM($B128)))*(CsDJ[Date]&lt;=$E$7),CsDJ[Credit])))+(SUM(IF((CRDJ[Sort Code]=(TRIM(G$4)))*(CRDJ[Account Code]=(TRIM($B128)))*(CRDJ[Date]&lt;=$E$7),CRDJ[Credit])))+(SUM(IF((GJ[Sort Code]=(TRIM(G$4)))*(GJ[Account Code]=(TRIM($B128)))*(GJ[Date]&lt;=$E$7),GJ[Credit]))))</f>
        <v>0</v>
      </c>
      <c r="F128" s="245">
        <f t="array" ref="F128">((SUM(IF((CkDJ[Date]=$A$3)*(CkDJ[Sort Code]=(TRIM(G$4)))*(CkDJ[Account Code]=(TRIM($B128))),CkDJ[Debit])))+(SUM(IF((CsDJ[Date]=$A$3)*(CsDJ[Sort Code]=(TRIM(G$4)))*(CsDJ[Account Code]=(TRIM($B128))),CsDJ[Debit])))+(SUM(IF((CRDJ[Date]=$A$3)*(CRDJ[Sort Code]=(TRIM(G$4)))*(CRDJ[Account Code]=(TRIM($B128))),CRDJ[Debit])))+(SUM(IF((GJ[Date]=$A$3)*(GJ[Sort Code]=(TRIM(G$4)))*(GJ[Account Code]=(TRIM($B128))),GJ[Debit]))))-((SUM(IF((CkDJ[Date]=$A$3)*(CkDJ[Sort Code]=(TRIM(G$4)))*(CkDJ[Account Code]=(TRIM($B128))),CkDJ[Credit])))+(SUM(IF((CsDJ[Date]=$A$3)*(CsDJ[Sort Code]=(TRIM(G$4)))*(CsDJ[Account Code]=(TRIM($B128))),CsDJ[Credit])))+(SUM(IF((CRDJ[Date]=$A$3)*(CRDJ[Sort Code]=(TRIM(G$4)))*(CRDJ[Account Code]=(TRIM($B128))),CRDJ[Credit])))+(SUM(IF((GJ[Date]=$A$3)*(GJ[Sort Code]=(TRIM(G$4)))*(GJ[Account Code]=(TRIM($B128))),GJ[Credit]))))</f>
        <v>0</v>
      </c>
      <c r="G128" s="343">
        <f t="shared" si="9"/>
        <v>0</v>
      </c>
      <c r="H128" s="246">
        <f t="shared" si="10"/>
        <v>0</v>
      </c>
      <c r="I128" s="246">
        <f t="shared" si="11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Code]=B129)*(Budget[Sort Code]=$G$4),(Budget[Amount])))</f>
        <v>0</v>
      </c>
      <c r="D129" s="245">
        <f t="array" ref="D129">SUM(IF((Budget[Account Code]=B129)*(Budget[Sort Code]=$G$4)*(Budget[Date]&lt;=$D$7),(Budget[Amount])))</f>
        <v>0</v>
      </c>
      <c r="E129" s="245">
        <f t="array" ref="E129">((SUM(IF((CkDJ[Sort Code]=(TRIM(G$4)))*(CkDJ[Account Code]=(TRIM($B129)))*(CkDJ[Date]&lt;=$E$7),CkDJ[Debit])))+(SUM(IF((CsDJ[Sort Code]=(TRIM(G$4)))*(CsDJ[Account Code]=(TRIM($B129)))*(CsDJ[Date]&lt;=$E$7),CsDJ[Debit])))+(SUM(IF((CRDJ[Sort Code]=(TRIM(G$4)))*(CRDJ[Account Code]=(TRIM($B129)))*(CRDJ[Date]&lt;=$E$7),CRDJ[Debit])))+(SUM(IF((GJ[Sort Code]=(TRIM(G$4)))*(GJ[Account Code]=(TRIM($B129)))*(GJ[Date]&lt;=$E$7),GJ[Debit]))))-((SUM(IF((CkDJ[Sort Code]=(TRIM(G$4)))*(CkDJ[Account Code]=(TRIM($B129)))*(CkDJ[Date]&lt;=$E$7),CkDJ[Credit])))+(SUM(IF((CsDJ[Sort Code]=(TRIM(G$4)))*(CsDJ[Account Code]=(TRIM($B129)))*(CsDJ[Date]&lt;=$E$7),CsDJ[Credit])))+(SUM(IF((CRDJ[Sort Code]=(TRIM(G$4)))*(CRDJ[Account Code]=(TRIM($B129)))*(CRDJ[Date]&lt;=$E$7),CRDJ[Credit])))+(SUM(IF((GJ[Sort Code]=(TRIM(G$4)))*(GJ[Account Code]=(TRIM($B129)))*(GJ[Date]&lt;=$E$7),GJ[Credit]))))</f>
        <v>0</v>
      </c>
      <c r="F129" s="245">
        <f t="array" ref="F129">((SUM(IF((CkDJ[Date]=$A$3)*(CkDJ[Sort Code]=(TRIM(G$4)))*(CkDJ[Account Code]=(TRIM($B129))),CkDJ[Debit])))+(SUM(IF((CsDJ[Date]=$A$3)*(CsDJ[Sort Code]=(TRIM(G$4)))*(CsDJ[Account Code]=(TRIM($B129))),CsDJ[Debit])))+(SUM(IF((CRDJ[Date]=$A$3)*(CRDJ[Sort Code]=(TRIM(G$4)))*(CRDJ[Account Code]=(TRIM($B129))),CRDJ[Debit])))+(SUM(IF((GJ[Date]=$A$3)*(GJ[Sort Code]=(TRIM(G$4)))*(GJ[Account Code]=(TRIM($B129))),GJ[Debit]))))-((SUM(IF((CkDJ[Date]=$A$3)*(CkDJ[Sort Code]=(TRIM(G$4)))*(CkDJ[Account Code]=(TRIM($B129))),CkDJ[Credit])))+(SUM(IF((CsDJ[Date]=$A$3)*(CsDJ[Sort Code]=(TRIM(G$4)))*(CsDJ[Account Code]=(TRIM($B129))),CsDJ[Credit])))+(SUM(IF((CRDJ[Date]=$A$3)*(CRDJ[Sort Code]=(TRIM(G$4)))*(CRDJ[Account Code]=(TRIM($B129))),CRDJ[Credit])))+(SUM(IF((GJ[Date]=$A$3)*(GJ[Sort Code]=(TRIM(G$4)))*(GJ[Account Code]=(TRIM($B129))),GJ[Credit]))))</f>
        <v>0</v>
      </c>
      <c r="G129" s="343">
        <f t="shared" si="9"/>
        <v>0</v>
      </c>
      <c r="H129" s="246">
        <f t="shared" si="10"/>
        <v>0</v>
      </c>
      <c r="I129" s="246">
        <f t="shared" si="11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Code]=B130)*(Budget[Sort Code]=$G$4),(Budget[Amount])))</f>
        <v>0</v>
      </c>
      <c r="D130" s="245">
        <f t="array" ref="D130">SUM(IF((Budget[Account Code]=B130)*(Budget[Sort Code]=$G$4)*(Budget[Date]&lt;=$D$7),(Budget[Amount])))</f>
        <v>0</v>
      </c>
      <c r="E130" s="245">
        <f t="array" ref="E130">((SUM(IF((CkDJ[Sort Code]=(TRIM(G$4)))*(CkDJ[Account Code]=(TRIM($B130)))*(CkDJ[Date]&lt;=$E$7),CkDJ[Debit])))+(SUM(IF((CsDJ[Sort Code]=(TRIM(G$4)))*(CsDJ[Account Code]=(TRIM($B130)))*(CsDJ[Date]&lt;=$E$7),CsDJ[Debit])))+(SUM(IF((CRDJ[Sort Code]=(TRIM(G$4)))*(CRDJ[Account Code]=(TRIM($B130)))*(CRDJ[Date]&lt;=$E$7),CRDJ[Debit])))+(SUM(IF((GJ[Sort Code]=(TRIM(G$4)))*(GJ[Account Code]=(TRIM($B130)))*(GJ[Date]&lt;=$E$7),GJ[Debit]))))-((SUM(IF((CkDJ[Sort Code]=(TRIM(G$4)))*(CkDJ[Account Code]=(TRIM($B130)))*(CkDJ[Date]&lt;=$E$7),CkDJ[Credit])))+(SUM(IF((CsDJ[Sort Code]=(TRIM(G$4)))*(CsDJ[Account Code]=(TRIM($B130)))*(CsDJ[Date]&lt;=$E$7),CsDJ[Credit])))+(SUM(IF((CRDJ[Sort Code]=(TRIM(G$4)))*(CRDJ[Account Code]=(TRIM($B130)))*(CRDJ[Date]&lt;=$E$7),CRDJ[Credit])))+(SUM(IF((GJ[Sort Code]=(TRIM(G$4)))*(GJ[Account Code]=(TRIM($B130)))*(GJ[Date]&lt;=$E$7),GJ[Credit]))))</f>
        <v>0</v>
      </c>
      <c r="F130" s="245">
        <f t="array" ref="F130">((SUM(IF((CkDJ[Date]=$A$3)*(CkDJ[Sort Code]=(TRIM(G$4)))*(CkDJ[Account Code]=(TRIM($B130))),CkDJ[Debit])))+(SUM(IF((CsDJ[Date]=$A$3)*(CsDJ[Sort Code]=(TRIM(G$4)))*(CsDJ[Account Code]=(TRIM($B130))),CsDJ[Debit])))+(SUM(IF((CRDJ[Date]=$A$3)*(CRDJ[Sort Code]=(TRIM(G$4)))*(CRDJ[Account Code]=(TRIM($B130))),CRDJ[Debit])))+(SUM(IF((GJ[Date]=$A$3)*(GJ[Sort Code]=(TRIM(G$4)))*(GJ[Account Code]=(TRIM($B130))),GJ[Debit]))))-((SUM(IF((CkDJ[Date]=$A$3)*(CkDJ[Sort Code]=(TRIM(G$4)))*(CkDJ[Account Code]=(TRIM($B130))),CkDJ[Credit])))+(SUM(IF((CsDJ[Date]=$A$3)*(CsDJ[Sort Code]=(TRIM(G$4)))*(CsDJ[Account Code]=(TRIM($B130))),CsDJ[Credit])))+(SUM(IF((CRDJ[Date]=$A$3)*(CRDJ[Sort Code]=(TRIM(G$4)))*(CRDJ[Account Code]=(TRIM($B130))),CRDJ[Credit])))+(SUM(IF((GJ[Date]=$A$3)*(GJ[Sort Code]=(TRIM(G$4)))*(GJ[Account Code]=(TRIM($B130))),GJ[Credit]))))</f>
        <v>0</v>
      </c>
      <c r="G130" s="343">
        <f t="shared" si="9"/>
        <v>0</v>
      </c>
      <c r="H130" s="246">
        <f t="shared" si="10"/>
        <v>0</v>
      </c>
      <c r="I130" s="246">
        <f t="shared" si="11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Code]=B131)*(Budget[Sort Code]=$G$4),(Budget[Amount])))</f>
        <v>0</v>
      </c>
      <c r="D131" s="245">
        <f t="array" ref="D131">SUM(IF((Budget[Account Code]=B131)*(Budget[Sort Code]=$G$4)*(Budget[Date]&lt;=$D$7),(Budget[Amount])))</f>
        <v>0</v>
      </c>
      <c r="E131" s="245">
        <f t="array" ref="E131">((SUM(IF((CkDJ[Sort Code]=(TRIM(G$4)))*(CkDJ[Account Code]=(TRIM($B131)))*(CkDJ[Date]&lt;=$E$7),CkDJ[Debit])))+(SUM(IF((CsDJ[Sort Code]=(TRIM(G$4)))*(CsDJ[Account Code]=(TRIM($B131)))*(CsDJ[Date]&lt;=$E$7),CsDJ[Debit])))+(SUM(IF((CRDJ[Sort Code]=(TRIM(G$4)))*(CRDJ[Account Code]=(TRIM($B131)))*(CRDJ[Date]&lt;=$E$7),CRDJ[Debit])))+(SUM(IF((GJ[Sort Code]=(TRIM(G$4)))*(GJ[Account Code]=(TRIM($B131)))*(GJ[Date]&lt;=$E$7),GJ[Debit]))))-((SUM(IF((CkDJ[Sort Code]=(TRIM(G$4)))*(CkDJ[Account Code]=(TRIM($B131)))*(CkDJ[Date]&lt;=$E$7),CkDJ[Credit])))+(SUM(IF((CsDJ[Sort Code]=(TRIM(G$4)))*(CsDJ[Account Code]=(TRIM($B131)))*(CsDJ[Date]&lt;=$E$7),CsDJ[Credit])))+(SUM(IF((CRDJ[Sort Code]=(TRIM(G$4)))*(CRDJ[Account Code]=(TRIM($B131)))*(CRDJ[Date]&lt;=$E$7),CRDJ[Credit])))+(SUM(IF((GJ[Sort Code]=(TRIM(G$4)))*(GJ[Account Code]=(TRIM($B131)))*(GJ[Date]&lt;=$E$7),GJ[Credit]))))</f>
        <v>0</v>
      </c>
      <c r="F131" s="245">
        <f t="array" ref="F131">((SUM(IF((CkDJ[Date]=$A$3)*(CkDJ[Sort Code]=(TRIM(G$4)))*(CkDJ[Account Code]=(TRIM($B131))),CkDJ[Debit])))+(SUM(IF((CsDJ[Date]=$A$3)*(CsDJ[Sort Code]=(TRIM(G$4)))*(CsDJ[Account Code]=(TRIM($B131))),CsDJ[Debit])))+(SUM(IF((CRDJ[Date]=$A$3)*(CRDJ[Sort Code]=(TRIM(G$4)))*(CRDJ[Account Code]=(TRIM($B131))),CRDJ[Debit])))+(SUM(IF((GJ[Date]=$A$3)*(GJ[Sort Code]=(TRIM(G$4)))*(GJ[Account Code]=(TRIM($B131))),GJ[Debit]))))-((SUM(IF((CkDJ[Date]=$A$3)*(CkDJ[Sort Code]=(TRIM(G$4)))*(CkDJ[Account Code]=(TRIM($B131))),CkDJ[Credit])))+(SUM(IF((CsDJ[Date]=$A$3)*(CsDJ[Sort Code]=(TRIM(G$4)))*(CsDJ[Account Code]=(TRIM($B131))),CsDJ[Credit])))+(SUM(IF((CRDJ[Date]=$A$3)*(CRDJ[Sort Code]=(TRIM(G$4)))*(CRDJ[Account Code]=(TRIM($B131))),CRDJ[Credit])))+(SUM(IF((GJ[Date]=$A$3)*(GJ[Sort Code]=(TRIM(G$4)))*(GJ[Account Code]=(TRIM($B131))),GJ[Credit]))))</f>
        <v>0</v>
      </c>
      <c r="G131" s="343">
        <f t="shared" si="9"/>
        <v>0</v>
      </c>
      <c r="H131" s="246">
        <f t="shared" si="10"/>
        <v>0</v>
      </c>
      <c r="I131" s="246">
        <f t="shared" si="11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Code]=B132)*(Budget[Sort Code]=$G$4),(Budget[Amount])))</f>
        <v>0</v>
      </c>
      <c r="D132" s="245">
        <f t="array" ref="D132">SUM(IF((Budget[Account Code]=B132)*(Budget[Sort Code]=$G$4)*(Budget[Date]&lt;=$D$7),(Budget[Amount])))</f>
        <v>0</v>
      </c>
      <c r="E132" s="245">
        <f t="array" ref="E132">((SUM(IF((CkDJ[Sort Code]=(TRIM(G$4)))*(CkDJ[Account Code]=(TRIM($B132)))*(CkDJ[Date]&lt;=$E$7),CkDJ[Debit])))+(SUM(IF((CsDJ[Sort Code]=(TRIM(G$4)))*(CsDJ[Account Code]=(TRIM($B132)))*(CsDJ[Date]&lt;=$E$7),CsDJ[Debit])))+(SUM(IF((CRDJ[Sort Code]=(TRIM(G$4)))*(CRDJ[Account Code]=(TRIM($B132)))*(CRDJ[Date]&lt;=$E$7),CRDJ[Debit])))+(SUM(IF((GJ[Sort Code]=(TRIM(G$4)))*(GJ[Account Code]=(TRIM($B132)))*(GJ[Date]&lt;=$E$7),GJ[Debit]))))-((SUM(IF((CkDJ[Sort Code]=(TRIM(G$4)))*(CkDJ[Account Code]=(TRIM($B132)))*(CkDJ[Date]&lt;=$E$7),CkDJ[Credit])))+(SUM(IF((CsDJ[Sort Code]=(TRIM(G$4)))*(CsDJ[Account Code]=(TRIM($B132)))*(CsDJ[Date]&lt;=$E$7),CsDJ[Credit])))+(SUM(IF((CRDJ[Sort Code]=(TRIM(G$4)))*(CRDJ[Account Code]=(TRIM($B132)))*(CRDJ[Date]&lt;=$E$7),CRDJ[Credit])))+(SUM(IF((GJ[Sort Code]=(TRIM(G$4)))*(GJ[Account Code]=(TRIM($B132)))*(GJ[Date]&lt;=$E$7),GJ[Credit]))))</f>
        <v>0</v>
      </c>
      <c r="F132" s="245">
        <f t="array" ref="F132">((SUM(IF((CkDJ[Date]=$A$3)*(CkDJ[Sort Code]=(TRIM(G$4)))*(CkDJ[Account Code]=(TRIM($B132))),CkDJ[Debit])))+(SUM(IF((CsDJ[Date]=$A$3)*(CsDJ[Sort Code]=(TRIM(G$4)))*(CsDJ[Account Code]=(TRIM($B132))),CsDJ[Debit])))+(SUM(IF((CRDJ[Date]=$A$3)*(CRDJ[Sort Code]=(TRIM(G$4)))*(CRDJ[Account Code]=(TRIM($B132))),CRDJ[Debit])))+(SUM(IF((GJ[Date]=$A$3)*(GJ[Sort Code]=(TRIM(G$4)))*(GJ[Account Code]=(TRIM($B132))),GJ[Debit]))))-((SUM(IF((CkDJ[Date]=$A$3)*(CkDJ[Sort Code]=(TRIM(G$4)))*(CkDJ[Account Code]=(TRIM($B132))),CkDJ[Credit])))+(SUM(IF((CsDJ[Date]=$A$3)*(CsDJ[Sort Code]=(TRIM(G$4)))*(CsDJ[Account Code]=(TRIM($B132))),CsDJ[Credit])))+(SUM(IF((CRDJ[Date]=$A$3)*(CRDJ[Sort Code]=(TRIM(G$4)))*(CRDJ[Account Code]=(TRIM($B132))),CRDJ[Credit])))+(SUM(IF((GJ[Date]=$A$3)*(GJ[Sort Code]=(TRIM(G$4)))*(GJ[Account Code]=(TRIM($B132))),GJ[Credit]))))</f>
        <v>0</v>
      </c>
      <c r="G132" s="343">
        <f t="shared" si="9"/>
        <v>0</v>
      </c>
      <c r="H132" s="246">
        <f t="shared" si="10"/>
        <v>0</v>
      </c>
      <c r="I132" s="246">
        <f t="shared" si="11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Code]=B133)*(Budget[Sort Code]=$G$4),(Budget[Amount])))</f>
        <v>0</v>
      </c>
      <c r="D133" s="245">
        <f t="array" ref="D133">SUM(IF((Budget[Account Code]=B133)*(Budget[Sort Code]=$G$4)*(Budget[Date]&lt;=$D$7),(Budget[Amount])))</f>
        <v>0</v>
      </c>
      <c r="E133" s="245">
        <f t="array" ref="E133">((SUM(IF((CkDJ[Sort Code]=(TRIM(G$4)))*(CkDJ[Account Code]=(TRIM($B133)))*(CkDJ[Date]&lt;=$E$7),CkDJ[Debit])))+(SUM(IF((CsDJ[Sort Code]=(TRIM(G$4)))*(CsDJ[Account Code]=(TRIM($B133)))*(CsDJ[Date]&lt;=$E$7),CsDJ[Debit])))+(SUM(IF((CRDJ[Sort Code]=(TRIM(G$4)))*(CRDJ[Account Code]=(TRIM($B133)))*(CRDJ[Date]&lt;=$E$7),CRDJ[Debit])))+(SUM(IF((GJ[Sort Code]=(TRIM(G$4)))*(GJ[Account Code]=(TRIM($B133)))*(GJ[Date]&lt;=$E$7),GJ[Debit]))))-((SUM(IF((CkDJ[Sort Code]=(TRIM(G$4)))*(CkDJ[Account Code]=(TRIM($B133)))*(CkDJ[Date]&lt;=$E$7),CkDJ[Credit])))+(SUM(IF((CsDJ[Sort Code]=(TRIM(G$4)))*(CsDJ[Account Code]=(TRIM($B133)))*(CsDJ[Date]&lt;=$E$7),CsDJ[Credit])))+(SUM(IF((CRDJ[Sort Code]=(TRIM(G$4)))*(CRDJ[Account Code]=(TRIM($B133)))*(CRDJ[Date]&lt;=$E$7),CRDJ[Credit])))+(SUM(IF((GJ[Sort Code]=(TRIM(G$4)))*(GJ[Account Code]=(TRIM($B133)))*(GJ[Date]&lt;=$E$7),GJ[Credit]))))</f>
        <v>0</v>
      </c>
      <c r="F133" s="245">
        <f t="array" ref="F133">((SUM(IF((CkDJ[Date]=$A$3)*(CkDJ[Sort Code]=(TRIM(G$4)))*(CkDJ[Account Code]=(TRIM($B133))),CkDJ[Debit])))+(SUM(IF((CsDJ[Date]=$A$3)*(CsDJ[Sort Code]=(TRIM(G$4)))*(CsDJ[Account Code]=(TRIM($B133))),CsDJ[Debit])))+(SUM(IF((CRDJ[Date]=$A$3)*(CRDJ[Sort Code]=(TRIM(G$4)))*(CRDJ[Account Code]=(TRIM($B133))),CRDJ[Debit])))+(SUM(IF((GJ[Date]=$A$3)*(GJ[Sort Code]=(TRIM(G$4)))*(GJ[Account Code]=(TRIM($B133))),GJ[Debit]))))-((SUM(IF((CkDJ[Date]=$A$3)*(CkDJ[Sort Code]=(TRIM(G$4)))*(CkDJ[Account Code]=(TRIM($B133))),CkDJ[Credit])))+(SUM(IF((CsDJ[Date]=$A$3)*(CsDJ[Sort Code]=(TRIM(G$4)))*(CsDJ[Account Code]=(TRIM($B133))),CsDJ[Credit])))+(SUM(IF((CRDJ[Date]=$A$3)*(CRDJ[Sort Code]=(TRIM(G$4)))*(CRDJ[Account Code]=(TRIM($B133))),CRDJ[Credit])))+(SUM(IF((GJ[Date]=$A$3)*(GJ[Sort Code]=(TRIM(G$4)))*(GJ[Account Code]=(TRIM($B133))),GJ[Credit]))))</f>
        <v>0</v>
      </c>
      <c r="G133" s="343">
        <f t="shared" si="9"/>
        <v>0</v>
      </c>
      <c r="H133" s="246">
        <f t="shared" si="10"/>
        <v>0</v>
      </c>
      <c r="I133" s="246">
        <f t="shared" si="11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Code]=B134)*(Budget[Sort Code]=$G$4),(Budget[Amount])))</f>
        <v>0</v>
      </c>
      <c r="D134" s="245">
        <f t="array" ref="D134">SUM(IF((Budget[Account Code]=B134)*(Budget[Sort Code]=$G$4)*(Budget[Date]&lt;=$D$7),(Budget[Amount])))</f>
        <v>0</v>
      </c>
      <c r="E134" s="245">
        <f t="array" ref="E134">((SUM(IF((CkDJ[Sort Code]=(TRIM(G$4)))*(CkDJ[Account Code]=(TRIM($B134)))*(CkDJ[Date]&lt;=$E$7),CkDJ[Debit])))+(SUM(IF((CsDJ[Sort Code]=(TRIM(G$4)))*(CsDJ[Account Code]=(TRIM($B134)))*(CsDJ[Date]&lt;=$E$7),CsDJ[Debit])))+(SUM(IF((CRDJ[Sort Code]=(TRIM(G$4)))*(CRDJ[Account Code]=(TRIM($B134)))*(CRDJ[Date]&lt;=$E$7),CRDJ[Debit])))+(SUM(IF((GJ[Sort Code]=(TRIM(G$4)))*(GJ[Account Code]=(TRIM($B134)))*(GJ[Date]&lt;=$E$7),GJ[Debit]))))-((SUM(IF((CkDJ[Sort Code]=(TRIM(G$4)))*(CkDJ[Account Code]=(TRIM($B134)))*(CkDJ[Date]&lt;=$E$7),CkDJ[Credit])))+(SUM(IF((CsDJ[Sort Code]=(TRIM(G$4)))*(CsDJ[Account Code]=(TRIM($B134)))*(CsDJ[Date]&lt;=$E$7),CsDJ[Credit])))+(SUM(IF((CRDJ[Sort Code]=(TRIM(G$4)))*(CRDJ[Account Code]=(TRIM($B134)))*(CRDJ[Date]&lt;=$E$7),CRDJ[Credit])))+(SUM(IF((GJ[Sort Code]=(TRIM(G$4)))*(GJ[Account Code]=(TRIM($B134)))*(GJ[Date]&lt;=$E$7),GJ[Credit]))))</f>
        <v>0</v>
      </c>
      <c r="F134" s="245">
        <f t="array" ref="F134">((SUM(IF((CkDJ[Date]=$A$3)*(CkDJ[Sort Code]=(TRIM(G$4)))*(CkDJ[Account Code]=(TRIM($B134))),CkDJ[Debit])))+(SUM(IF((CsDJ[Date]=$A$3)*(CsDJ[Sort Code]=(TRIM(G$4)))*(CsDJ[Account Code]=(TRIM($B134))),CsDJ[Debit])))+(SUM(IF((CRDJ[Date]=$A$3)*(CRDJ[Sort Code]=(TRIM(G$4)))*(CRDJ[Account Code]=(TRIM($B134))),CRDJ[Debit])))+(SUM(IF((GJ[Date]=$A$3)*(GJ[Sort Code]=(TRIM(G$4)))*(GJ[Account Code]=(TRIM($B134))),GJ[Debit]))))-((SUM(IF((CkDJ[Date]=$A$3)*(CkDJ[Sort Code]=(TRIM(G$4)))*(CkDJ[Account Code]=(TRIM($B134))),CkDJ[Credit])))+(SUM(IF((CsDJ[Date]=$A$3)*(CsDJ[Sort Code]=(TRIM(G$4)))*(CsDJ[Account Code]=(TRIM($B134))),CsDJ[Credit])))+(SUM(IF((CRDJ[Date]=$A$3)*(CRDJ[Sort Code]=(TRIM(G$4)))*(CRDJ[Account Code]=(TRIM($B134))),CRDJ[Credit])))+(SUM(IF((GJ[Date]=$A$3)*(GJ[Sort Code]=(TRIM(G$4)))*(GJ[Account Code]=(TRIM($B134))),GJ[Credit]))))</f>
        <v>0</v>
      </c>
      <c r="G134" s="343">
        <f t="shared" si="9"/>
        <v>0</v>
      </c>
      <c r="H134" s="246">
        <f t="shared" si="10"/>
        <v>0</v>
      </c>
      <c r="I134" s="246">
        <f t="shared" si="11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Code]=B135)*(Budget[Sort Code]=$G$4),(Budget[Amount])))</f>
        <v>0</v>
      </c>
      <c r="D135" s="245">
        <f t="array" ref="D135">SUM(IF((Budget[Account Code]=B135)*(Budget[Sort Code]=$G$4)*(Budget[Date]&lt;=$D$7),(Budget[Amount])))</f>
        <v>0</v>
      </c>
      <c r="E135" s="245">
        <f t="array" ref="E135">((SUM(IF((CkDJ[Sort Code]=(TRIM(G$4)))*(CkDJ[Account Code]=(TRIM($B135)))*(CkDJ[Date]&lt;=$E$7),CkDJ[Debit])))+(SUM(IF((CsDJ[Sort Code]=(TRIM(G$4)))*(CsDJ[Account Code]=(TRIM($B135)))*(CsDJ[Date]&lt;=$E$7),CsDJ[Debit])))+(SUM(IF((CRDJ[Sort Code]=(TRIM(G$4)))*(CRDJ[Account Code]=(TRIM($B135)))*(CRDJ[Date]&lt;=$E$7),CRDJ[Debit])))+(SUM(IF((GJ[Sort Code]=(TRIM(G$4)))*(GJ[Account Code]=(TRIM($B135)))*(GJ[Date]&lt;=$E$7),GJ[Debit]))))-((SUM(IF((CkDJ[Sort Code]=(TRIM(G$4)))*(CkDJ[Account Code]=(TRIM($B135)))*(CkDJ[Date]&lt;=$E$7),CkDJ[Credit])))+(SUM(IF((CsDJ[Sort Code]=(TRIM(G$4)))*(CsDJ[Account Code]=(TRIM($B135)))*(CsDJ[Date]&lt;=$E$7),CsDJ[Credit])))+(SUM(IF((CRDJ[Sort Code]=(TRIM(G$4)))*(CRDJ[Account Code]=(TRIM($B135)))*(CRDJ[Date]&lt;=$E$7),CRDJ[Credit])))+(SUM(IF((GJ[Sort Code]=(TRIM(G$4)))*(GJ[Account Code]=(TRIM($B135)))*(GJ[Date]&lt;=$E$7),GJ[Credit]))))</f>
        <v>0</v>
      </c>
      <c r="F135" s="245">
        <f t="array" ref="F135">((SUM(IF((CkDJ[Date]=$A$3)*(CkDJ[Sort Code]=(TRIM(G$4)))*(CkDJ[Account Code]=(TRIM($B135))),CkDJ[Debit])))+(SUM(IF((CsDJ[Date]=$A$3)*(CsDJ[Sort Code]=(TRIM(G$4)))*(CsDJ[Account Code]=(TRIM($B135))),CsDJ[Debit])))+(SUM(IF((CRDJ[Date]=$A$3)*(CRDJ[Sort Code]=(TRIM(G$4)))*(CRDJ[Account Code]=(TRIM($B135))),CRDJ[Debit])))+(SUM(IF((GJ[Date]=$A$3)*(GJ[Sort Code]=(TRIM(G$4)))*(GJ[Account Code]=(TRIM($B135))),GJ[Debit]))))-((SUM(IF((CkDJ[Date]=$A$3)*(CkDJ[Sort Code]=(TRIM(G$4)))*(CkDJ[Account Code]=(TRIM($B135))),CkDJ[Credit])))+(SUM(IF((CsDJ[Date]=$A$3)*(CsDJ[Sort Code]=(TRIM(G$4)))*(CsDJ[Account Code]=(TRIM($B135))),CsDJ[Credit])))+(SUM(IF((CRDJ[Date]=$A$3)*(CRDJ[Sort Code]=(TRIM(G$4)))*(CRDJ[Account Code]=(TRIM($B135))),CRDJ[Credit])))+(SUM(IF((GJ[Date]=$A$3)*(GJ[Sort Code]=(TRIM(G$4)))*(GJ[Account Code]=(TRIM($B135))),GJ[Credit]))))</f>
        <v>0</v>
      </c>
      <c r="G135" s="343">
        <f t="shared" si="9"/>
        <v>0</v>
      </c>
      <c r="H135" s="246">
        <f t="shared" si="10"/>
        <v>0</v>
      </c>
      <c r="I135" s="246">
        <f t="shared" si="11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Code]=B136)*(Budget[Sort Code]=$G$4),(Budget[Amount])))</f>
        <v>0</v>
      </c>
      <c r="D136" s="245">
        <f t="array" ref="D136">SUM(IF((Budget[Account Code]=B136)*(Budget[Sort Code]=$G$4)*(Budget[Date]&lt;=$D$7),(Budget[Amount])))</f>
        <v>0</v>
      </c>
      <c r="E136" s="245">
        <f t="array" ref="E136">((SUM(IF((CkDJ[Sort Code]=(TRIM(G$4)))*(CkDJ[Account Code]=(TRIM($B136)))*(CkDJ[Date]&lt;=$E$7),CkDJ[Debit])))+(SUM(IF((CsDJ[Sort Code]=(TRIM(G$4)))*(CsDJ[Account Code]=(TRIM($B136)))*(CsDJ[Date]&lt;=$E$7),CsDJ[Debit])))+(SUM(IF((CRDJ[Sort Code]=(TRIM(G$4)))*(CRDJ[Account Code]=(TRIM($B136)))*(CRDJ[Date]&lt;=$E$7),CRDJ[Debit])))+(SUM(IF((GJ[Sort Code]=(TRIM(G$4)))*(GJ[Account Code]=(TRIM($B136)))*(GJ[Date]&lt;=$E$7),GJ[Debit]))))-((SUM(IF((CkDJ[Sort Code]=(TRIM(G$4)))*(CkDJ[Account Code]=(TRIM($B136)))*(CkDJ[Date]&lt;=$E$7),CkDJ[Credit])))+(SUM(IF((CsDJ[Sort Code]=(TRIM(G$4)))*(CsDJ[Account Code]=(TRIM($B136)))*(CsDJ[Date]&lt;=$E$7),CsDJ[Credit])))+(SUM(IF((CRDJ[Sort Code]=(TRIM(G$4)))*(CRDJ[Account Code]=(TRIM($B136)))*(CRDJ[Date]&lt;=$E$7),CRDJ[Credit])))+(SUM(IF((GJ[Sort Code]=(TRIM(G$4)))*(GJ[Account Code]=(TRIM($B136)))*(GJ[Date]&lt;=$E$7),GJ[Credit]))))</f>
        <v>0</v>
      </c>
      <c r="F136" s="245">
        <f t="array" ref="F136">((SUM(IF((CkDJ[Date]=$A$3)*(CkDJ[Sort Code]=(TRIM(G$4)))*(CkDJ[Account Code]=(TRIM($B136))),CkDJ[Debit])))+(SUM(IF((CsDJ[Date]=$A$3)*(CsDJ[Sort Code]=(TRIM(G$4)))*(CsDJ[Account Code]=(TRIM($B136))),CsDJ[Debit])))+(SUM(IF((CRDJ[Date]=$A$3)*(CRDJ[Sort Code]=(TRIM(G$4)))*(CRDJ[Account Code]=(TRIM($B136))),CRDJ[Debit])))+(SUM(IF((GJ[Date]=$A$3)*(GJ[Sort Code]=(TRIM(G$4)))*(GJ[Account Code]=(TRIM($B136))),GJ[Debit]))))-((SUM(IF((CkDJ[Date]=$A$3)*(CkDJ[Sort Code]=(TRIM(G$4)))*(CkDJ[Account Code]=(TRIM($B136))),CkDJ[Credit])))+(SUM(IF((CsDJ[Date]=$A$3)*(CsDJ[Sort Code]=(TRIM(G$4)))*(CsDJ[Account Code]=(TRIM($B136))),CsDJ[Credit])))+(SUM(IF((CRDJ[Date]=$A$3)*(CRDJ[Sort Code]=(TRIM(G$4)))*(CRDJ[Account Code]=(TRIM($B136))),CRDJ[Credit])))+(SUM(IF((GJ[Date]=$A$3)*(GJ[Sort Code]=(TRIM(G$4)))*(GJ[Account Code]=(TRIM($B136))),GJ[Credit]))))</f>
        <v>0</v>
      </c>
      <c r="G136" s="343">
        <f t="shared" si="9"/>
        <v>0</v>
      </c>
      <c r="H136" s="246">
        <f t="shared" si="10"/>
        <v>0</v>
      </c>
      <c r="I136" s="246">
        <f t="shared" si="11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Code]=B137)*(Budget[Sort Code]=$G$4),(Budget[Amount])))</f>
        <v>0</v>
      </c>
      <c r="D137" s="245">
        <f t="array" ref="D137">SUM(IF((Budget[Account Code]=B137)*(Budget[Sort Code]=$G$4)*(Budget[Date]&lt;=$D$7),(Budget[Amount])))</f>
        <v>0</v>
      </c>
      <c r="E137" s="245">
        <f t="array" ref="E137">((SUM(IF((CkDJ[Sort Code]=(TRIM(G$4)))*(CkDJ[Account Code]=(TRIM($B137)))*(CkDJ[Date]&lt;=$E$7),CkDJ[Debit])))+(SUM(IF((CsDJ[Sort Code]=(TRIM(G$4)))*(CsDJ[Account Code]=(TRIM($B137)))*(CsDJ[Date]&lt;=$E$7),CsDJ[Debit])))+(SUM(IF((CRDJ[Sort Code]=(TRIM(G$4)))*(CRDJ[Account Code]=(TRIM($B137)))*(CRDJ[Date]&lt;=$E$7),CRDJ[Debit])))+(SUM(IF((GJ[Sort Code]=(TRIM(G$4)))*(GJ[Account Code]=(TRIM($B137)))*(GJ[Date]&lt;=$E$7),GJ[Debit]))))-((SUM(IF((CkDJ[Sort Code]=(TRIM(G$4)))*(CkDJ[Account Code]=(TRIM($B137)))*(CkDJ[Date]&lt;=$E$7),CkDJ[Credit])))+(SUM(IF((CsDJ[Sort Code]=(TRIM(G$4)))*(CsDJ[Account Code]=(TRIM($B137)))*(CsDJ[Date]&lt;=$E$7),CsDJ[Credit])))+(SUM(IF((CRDJ[Sort Code]=(TRIM(G$4)))*(CRDJ[Account Code]=(TRIM($B137)))*(CRDJ[Date]&lt;=$E$7),CRDJ[Credit])))+(SUM(IF((GJ[Sort Code]=(TRIM(G$4)))*(GJ[Account Code]=(TRIM($B137)))*(GJ[Date]&lt;=$E$7),GJ[Credit]))))</f>
        <v>0</v>
      </c>
      <c r="F137" s="245">
        <f t="array" ref="F137">((SUM(IF((CkDJ[Date]=$A$3)*(CkDJ[Sort Code]=(TRIM(G$4)))*(CkDJ[Account Code]=(TRIM($B137))),CkDJ[Debit])))+(SUM(IF((CsDJ[Date]=$A$3)*(CsDJ[Sort Code]=(TRIM(G$4)))*(CsDJ[Account Code]=(TRIM($B137))),CsDJ[Debit])))+(SUM(IF((CRDJ[Date]=$A$3)*(CRDJ[Sort Code]=(TRIM(G$4)))*(CRDJ[Account Code]=(TRIM($B137))),CRDJ[Debit])))+(SUM(IF((GJ[Date]=$A$3)*(GJ[Sort Code]=(TRIM(G$4)))*(GJ[Account Code]=(TRIM($B137))),GJ[Debit]))))-((SUM(IF((CkDJ[Date]=$A$3)*(CkDJ[Sort Code]=(TRIM(G$4)))*(CkDJ[Account Code]=(TRIM($B137))),CkDJ[Credit])))+(SUM(IF((CsDJ[Date]=$A$3)*(CsDJ[Sort Code]=(TRIM(G$4)))*(CsDJ[Account Code]=(TRIM($B137))),CsDJ[Credit])))+(SUM(IF((CRDJ[Date]=$A$3)*(CRDJ[Sort Code]=(TRIM(G$4)))*(CRDJ[Account Code]=(TRIM($B137))),CRDJ[Credit])))+(SUM(IF((GJ[Date]=$A$3)*(GJ[Sort Code]=(TRIM(G$4)))*(GJ[Account Code]=(TRIM($B137))),GJ[Credit]))))</f>
        <v>0</v>
      </c>
      <c r="G137" s="343">
        <f t="shared" si="9"/>
        <v>0</v>
      </c>
      <c r="H137" s="246">
        <f t="shared" si="10"/>
        <v>0</v>
      </c>
      <c r="I137" s="246">
        <f t="shared" si="11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10"/>
        <v>0</v>
      </c>
      <c r="I138" s="246">
        <f t="shared" si="11"/>
        <v>0</v>
      </c>
    </row>
    <row r="139" spans="1:9" x14ac:dyDescent="0.2">
      <c r="A139" s="253" t="s">
        <v>808</v>
      </c>
      <c r="B139" s="337"/>
      <c r="C139" s="242">
        <f>SUM(C140:C143)</f>
        <v>4511330.5</v>
      </c>
      <c r="D139" s="242">
        <f>SUM(D140:D143)</f>
        <v>4511330.5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10"/>
        <v>-4511330.5</v>
      </c>
      <c r="I139" s="246">
        <f t="shared" si="11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Code]=B140)*(Budget[Sort Code]=$G$4),(Budget[Amount])))</f>
        <v>4511330.5</v>
      </c>
      <c r="D140" s="245">
        <f t="array" ref="D140">SUM(IF((Budget[Account Code]=B140)*(Budget[Sort Code]=$G$4)*(Budget[Date]&lt;=$D$7),(Budget[Amount])))</f>
        <v>4511330.5</v>
      </c>
      <c r="E140" s="245">
        <f t="array" ref="E140">((SUM(IF((CkDJ[Sort Code]=(TRIM(G$4)))*(CkDJ[Account Code]=(TRIM($B140)))*(CkDJ[Date]&lt;=$E$7),CkDJ[Debit])))+(SUM(IF((CsDJ[Sort Code]=(TRIM(G$4)))*(CsDJ[Account Code]=(TRIM($B140)))*(CsDJ[Date]&lt;=$E$7),CsDJ[Debit])))+(SUM(IF((CRDJ[Sort Code]=(TRIM(G$4)))*(CRDJ[Account Code]=(TRIM($B140)))*(CRDJ[Date]&lt;=$E$7),CRDJ[Debit])))+(SUM(IF((GJ[Sort Code]=(TRIM(G$4)))*(GJ[Account Code]=(TRIM($B140)))*(GJ[Date]&lt;=$E$7),GJ[Debit]))))-((SUM(IF((CkDJ[Sort Code]=(TRIM(G$4)))*(CkDJ[Account Code]=(TRIM($B140)))*(CkDJ[Date]&lt;=$E$7),CkDJ[Credit])))+(SUM(IF((CsDJ[Sort Code]=(TRIM(G$4)))*(CsDJ[Account Code]=(TRIM($B140)))*(CsDJ[Date]&lt;=$E$7),CsDJ[Credit])))+(SUM(IF((CRDJ[Sort Code]=(TRIM(G$4)))*(CRDJ[Account Code]=(TRIM($B140)))*(CRDJ[Date]&lt;=$E$7),CRDJ[Credit])))+(SUM(IF((GJ[Sort Code]=(TRIM(G$4)))*(GJ[Account Code]=(TRIM($B140)))*(GJ[Date]&lt;=$E$7),GJ[Credit]))))</f>
        <v>0</v>
      </c>
      <c r="F140" s="245">
        <f t="array" ref="F140">((SUM(IF((CkDJ[Date]=$A$3)*(CkDJ[Sort Code]=(TRIM(G$4)))*(CkDJ[Account Code]=(TRIM($B140))),CkDJ[Debit])))+(SUM(IF((CsDJ[Date]=$A$3)*(CsDJ[Sort Code]=(TRIM(G$4)))*(CsDJ[Account Code]=(TRIM($B140))),CsDJ[Debit])))+(SUM(IF((CRDJ[Date]=$A$3)*(CRDJ[Sort Code]=(TRIM(G$4)))*(CRDJ[Account Code]=(TRIM($B140))),CRDJ[Debit])))+(SUM(IF((GJ[Date]=$A$3)*(GJ[Sort Code]=(TRIM(G$4)))*(GJ[Account Code]=(TRIM($B140))),GJ[Debit]))))-((SUM(IF((CkDJ[Date]=$A$3)*(CkDJ[Sort Code]=(TRIM(G$4)))*(CkDJ[Account Code]=(TRIM($B140))),CkDJ[Credit])))+(SUM(IF((CsDJ[Date]=$A$3)*(CsDJ[Sort Code]=(TRIM(G$4)))*(CsDJ[Account Code]=(TRIM($B140))),CsDJ[Credit])))+(SUM(IF((CRDJ[Date]=$A$3)*(CRDJ[Sort Code]=(TRIM(G$4)))*(CRDJ[Account Code]=(TRIM($B140))),CRDJ[Credit])))+(SUM(IF((GJ[Date]=$A$3)*(GJ[Sort Code]=(TRIM(G$4)))*(GJ[Account Code]=(TRIM($B140))),GJ[Credit]))))</f>
        <v>0</v>
      </c>
      <c r="G140" s="343">
        <f>E140+F140</f>
        <v>0</v>
      </c>
      <c r="H140" s="246">
        <f t="shared" si="10"/>
        <v>-4511330.5</v>
      </c>
      <c r="I140" s="246">
        <f t="shared" si="11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Code]=B141)*(Budget[Sort Code]=$G$4),(Budget[Amount])))</f>
        <v>0</v>
      </c>
      <c r="D141" s="245">
        <f t="array" ref="D141">SUM(IF((Budget[Account Code]=B141)*(Budget[Sort Code]=$G$4)*(Budget[Date]&lt;=$D$7),(Budget[Amount])))</f>
        <v>0</v>
      </c>
      <c r="E141" s="245">
        <f t="array" ref="E141">((SUM(IF((CkDJ[Sort Code]=(TRIM(G$4)))*(CkDJ[Account Code]=(TRIM($B141)))*(CkDJ[Date]&lt;=$E$7),CkDJ[Debit])))+(SUM(IF((CsDJ[Sort Code]=(TRIM(G$4)))*(CsDJ[Account Code]=(TRIM($B141)))*(CsDJ[Date]&lt;=$E$7),CsDJ[Debit])))+(SUM(IF((CRDJ[Sort Code]=(TRIM(G$4)))*(CRDJ[Account Code]=(TRIM($B141)))*(CRDJ[Date]&lt;=$E$7),CRDJ[Debit])))+(SUM(IF((GJ[Sort Code]=(TRIM(G$4)))*(GJ[Account Code]=(TRIM($B141)))*(GJ[Date]&lt;=$E$7),GJ[Debit]))))-((SUM(IF((CkDJ[Sort Code]=(TRIM(G$4)))*(CkDJ[Account Code]=(TRIM($B141)))*(CkDJ[Date]&lt;=$E$7),CkDJ[Credit])))+(SUM(IF((CsDJ[Sort Code]=(TRIM(G$4)))*(CsDJ[Account Code]=(TRIM($B141)))*(CsDJ[Date]&lt;=$E$7),CsDJ[Credit])))+(SUM(IF((CRDJ[Sort Code]=(TRIM(G$4)))*(CRDJ[Account Code]=(TRIM($B141)))*(CRDJ[Date]&lt;=$E$7),CRDJ[Credit])))+(SUM(IF((GJ[Sort Code]=(TRIM(G$4)))*(GJ[Account Code]=(TRIM($B141)))*(GJ[Date]&lt;=$E$7),GJ[Credit]))))</f>
        <v>0</v>
      </c>
      <c r="F141" s="245">
        <f t="array" ref="F141">((SUM(IF((CkDJ[Date]=$A$3)*(CkDJ[Sort Code]=(TRIM(G$4)))*(CkDJ[Account Code]=(TRIM($B141))),CkDJ[Debit])))+(SUM(IF((CsDJ[Date]=$A$3)*(CsDJ[Sort Code]=(TRIM(G$4)))*(CsDJ[Account Code]=(TRIM($B141))),CsDJ[Debit])))+(SUM(IF((CRDJ[Date]=$A$3)*(CRDJ[Sort Code]=(TRIM(G$4)))*(CRDJ[Account Code]=(TRIM($B141))),CRDJ[Debit])))+(SUM(IF((GJ[Date]=$A$3)*(GJ[Sort Code]=(TRIM(G$4)))*(GJ[Account Code]=(TRIM($B141))),GJ[Debit]))))-((SUM(IF((CkDJ[Date]=$A$3)*(CkDJ[Sort Code]=(TRIM(G$4)))*(CkDJ[Account Code]=(TRIM($B141))),CkDJ[Credit])))+(SUM(IF((CsDJ[Date]=$A$3)*(CsDJ[Sort Code]=(TRIM(G$4)))*(CsDJ[Account Code]=(TRIM($B141))),CsDJ[Credit])))+(SUM(IF((CRDJ[Date]=$A$3)*(CRDJ[Sort Code]=(TRIM(G$4)))*(CRDJ[Account Code]=(TRIM($B141))),CRDJ[Credit])))+(SUM(IF((GJ[Date]=$A$3)*(GJ[Sort Code]=(TRIM(G$4)))*(GJ[Account Code]=(TRIM($B141))),GJ[Credit]))))</f>
        <v>0</v>
      </c>
      <c r="G141" s="343">
        <f>E141+F141</f>
        <v>0</v>
      </c>
      <c r="H141" s="246">
        <f t="shared" si="10"/>
        <v>0</v>
      </c>
      <c r="I141" s="246">
        <f t="shared" si="11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Code]=B142)*(Budget[Sort Code]=$G$4),(Budget[Amount])))</f>
        <v>0</v>
      </c>
      <c r="D142" s="245">
        <f t="array" ref="D142">SUM(IF((Budget[Account Code]=B142)*(Budget[Sort Code]=$G$4)*(Budget[Date]&lt;=$D$7),(Budget[Amount])))</f>
        <v>0</v>
      </c>
      <c r="E142" s="245">
        <f t="array" ref="E142">((SUM(IF((CkDJ[Sort Code]=(TRIM(G$4)))*(CkDJ[Account Code]=(TRIM($B142)))*(CkDJ[Date]&lt;=$E$7),CkDJ[Debit])))+(SUM(IF((CsDJ[Sort Code]=(TRIM(G$4)))*(CsDJ[Account Code]=(TRIM($B142)))*(CsDJ[Date]&lt;=$E$7),CsDJ[Debit])))+(SUM(IF((CRDJ[Sort Code]=(TRIM(G$4)))*(CRDJ[Account Code]=(TRIM($B142)))*(CRDJ[Date]&lt;=$E$7),CRDJ[Debit])))+(SUM(IF((GJ[Sort Code]=(TRIM(G$4)))*(GJ[Account Code]=(TRIM($B142)))*(GJ[Date]&lt;=$E$7),GJ[Debit]))))-((SUM(IF((CkDJ[Sort Code]=(TRIM(G$4)))*(CkDJ[Account Code]=(TRIM($B142)))*(CkDJ[Date]&lt;=$E$7),CkDJ[Credit])))+(SUM(IF((CsDJ[Sort Code]=(TRIM(G$4)))*(CsDJ[Account Code]=(TRIM($B142)))*(CsDJ[Date]&lt;=$E$7),CsDJ[Credit])))+(SUM(IF((CRDJ[Sort Code]=(TRIM(G$4)))*(CRDJ[Account Code]=(TRIM($B142)))*(CRDJ[Date]&lt;=$E$7),CRDJ[Credit])))+(SUM(IF((GJ[Sort Code]=(TRIM(G$4)))*(GJ[Account Code]=(TRIM($B142)))*(GJ[Date]&lt;=$E$7),GJ[Credit]))))</f>
        <v>0</v>
      </c>
      <c r="F142" s="245">
        <f t="array" ref="F142">((SUM(IF((CkDJ[Date]=$A$3)*(CkDJ[Sort Code]=(TRIM(G$4)))*(CkDJ[Account Code]=(TRIM($B142))),CkDJ[Debit])))+(SUM(IF((CsDJ[Date]=$A$3)*(CsDJ[Sort Code]=(TRIM(G$4)))*(CsDJ[Account Code]=(TRIM($B142))),CsDJ[Debit])))+(SUM(IF((CRDJ[Date]=$A$3)*(CRDJ[Sort Code]=(TRIM(G$4)))*(CRDJ[Account Code]=(TRIM($B142))),CRDJ[Debit])))+(SUM(IF((GJ[Date]=$A$3)*(GJ[Sort Code]=(TRIM(G$4)))*(GJ[Account Code]=(TRIM($B142))),GJ[Debit]))))-((SUM(IF((CkDJ[Date]=$A$3)*(CkDJ[Sort Code]=(TRIM(G$4)))*(CkDJ[Account Code]=(TRIM($B142))),CkDJ[Credit])))+(SUM(IF((CsDJ[Date]=$A$3)*(CsDJ[Sort Code]=(TRIM(G$4)))*(CsDJ[Account Code]=(TRIM($B142))),CsDJ[Credit])))+(SUM(IF((CRDJ[Date]=$A$3)*(CRDJ[Sort Code]=(TRIM(G$4)))*(CRDJ[Account Code]=(TRIM($B142))),CRDJ[Credit])))+(SUM(IF((GJ[Date]=$A$3)*(GJ[Sort Code]=(TRIM(G$4)))*(GJ[Account Code]=(TRIM($B142))),GJ[Credit]))))</f>
        <v>0</v>
      </c>
      <c r="G142" s="343">
        <f>E142+F142</f>
        <v>0</v>
      </c>
      <c r="H142" s="246">
        <f t="shared" si="10"/>
        <v>0</v>
      </c>
      <c r="I142" s="246">
        <f t="shared" si="11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Code]=B143)*(Budget[Sort Code]=$G$4),(Budget[Amount])))</f>
        <v>0</v>
      </c>
      <c r="D143" s="245">
        <f t="array" ref="D143">SUM(IF((Budget[Account Code]=B143)*(Budget[Sort Code]=$G$4)*(Budget[Date]&lt;=$D$7),(Budget[Amount])))</f>
        <v>0</v>
      </c>
      <c r="E143" s="245">
        <f t="array" ref="E143">((SUM(IF((CkDJ[Sort Code]=(TRIM(G$4)))*(CkDJ[Account Code]=(TRIM($B143)))*(CkDJ[Date]&lt;=$E$7),CkDJ[Debit])))+(SUM(IF((CsDJ[Sort Code]=(TRIM(G$4)))*(CsDJ[Account Code]=(TRIM($B143)))*(CsDJ[Date]&lt;=$E$7),CsDJ[Debit])))+(SUM(IF((CRDJ[Sort Code]=(TRIM(G$4)))*(CRDJ[Account Code]=(TRIM($B143)))*(CRDJ[Date]&lt;=$E$7),CRDJ[Debit])))+(SUM(IF((GJ[Sort Code]=(TRIM(G$4)))*(GJ[Account Code]=(TRIM($B143)))*(GJ[Date]&lt;=$E$7),GJ[Debit]))))-((SUM(IF((CkDJ[Sort Code]=(TRIM(G$4)))*(CkDJ[Account Code]=(TRIM($B143)))*(CkDJ[Date]&lt;=$E$7),CkDJ[Credit])))+(SUM(IF((CsDJ[Sort Code]=(TRIM(G$4)))*(CsDJ[Account Code]=(TRIM($B143)))*(CsDJ[Date]&lt;=$E$7),CsDJ[Credit])))+(SUM(IF((CRDJ[Sort Code]=(TRIM(G$4)))*(CRDJ[Account Code]=(TRIM($B143)))*(CRDJ[Date]&lt;=$E$7),CRDJ[Credit])))+(SUM(IF((GJ[Sort Code]=(TRIM(G$4)))*(GJ[Account Code]=(TRIM($B143)))*(GJ[Date]&lt;=$E$7),GJ[Credit]))))</f>
        <v>0</v>
      </c>
      <c r="F143" s="245">
        <f t="array" ref="F143">((SUM(IF((CkDJ[Date]=$A$3)*(CkDJ[Sort Code]=(TRIM(G$4)))*(CkDJ[Account Code]=(TRIM($B143))),CkDJ[Debit])))+(SUM(IF((CsDJ[Date]=$A$3)*(CsDJ[Sort Code]=(TRIM(G$4)))*(CsDJ[Account Code]=(TRIM($B143))),CsDJ[Debit])))+(SUM(IF((CRDJ[Date]=$A$3)*(CRDJ[Sort Code]=(TRIM(G$4)))*(CRDJ[Account Code]=(TRIM($B143))),CRDJ[Debit])))+(SUM(IF((GJ[Date]=$A$3)*(GJ[Sort Code]=(TRIM(G$4)))*(GJ[Account Code]=(TRIM($B143))),GJ[Debit]))))-((SUM(IF((CkDJ[Date]=$A$3)*(CkDJ[Sort Code]=(TRIM(G$4)))*(CkDJ[Account Code]=(TRIM($B143))),CkDJ[Credit])))+(SUM(IF((CsDJ[Date]=$A$3)*(CsDJ[Sort Code]=(TRIM(G$4)))*(CsDJ[Account Code]=(TRIM($B143))),CsDJ[Credit])))+(SUM(IF((CRDJ[Date]=$A$3)*(CRDJ[Sort Code]=(TRIM(G$4)))*(CRDJ[Account Code]=(TRIM($B143))),CRDJ[Credit])))+(SUM(IF((GJ[Date]=$A$3)*(GJ[Sort Code]=(TRIM(G$4)))*(GJ[Account Code]=(TRIM($B143))),GJ[Credit]))))</f>
        <v>0</v>
      </c>
      <c r="G143" s="343">
        <f>E143+F143</f>
        <v>0</v>
      </c>
      <c r="H143" s="246">
        <f t="shared" si="10"/>
        <v>0</v>
      </c>
      <c r="I143" s="246">
        <f t="shared" si="11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10"/>
        <v>0</v>
      </c>
      <c r="I144" s="242">
        <f t="shared" si="11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Code]=B145)*(Budget[Sort Code]=$G$4),(Budget[Amount])))</f>
        <v>0</v>
      </c>
      <c r="D145" s="245">
        <f t="array" ref="D145">SUM(IF((Budget[Account Code]=B145)*(Budget[Sort Code]=$G$4)*(Budget[Date]&lt;=$D$7),(Budget[Amount])))</f>
        <v>0</v>
      </c>
      <c r="E145" s="245">
        <f t="array" ref="E145">((SUM(IF((CkDJ[Sort Code]=(TRIM(G$4)))*(CkDJ[Account Code]=(TRIM($B145)))*(CkDJ[Date]&lt;=$E$7),CkDJ[Debit])))+(SUM(IF((CsDJ[Sort Code]=(TRIM(G$4)))*(CsDJ[Account Code]=(TRIM($B145)))*(CsDJ[Date]&lt;=$E$7),CsDJ[Debit])))+(SUM(IF((CRDJ[Sort Code]=(TRIM(G$4)))*(CRDJ[Account Code]=(TRIM($B145)))*(CRDJ[Date]&lt;=$E$7),CRDJ[Debit])))+(SUM(IF((GJ[Sort Code]=(TRIM(G$4)))*(GJ[Account Code]=(TRIM($B145)))*(GJ[Date]&lt;=$E$7),GJ[Debit]))))-((SUM(IF((CkDJ[Sort Code]=(TRIM(G$4)))*(CkDJ[Account Code]=(TRIM($B145)))*(CkDJ[Date]&lt;=$E$7),CkDJ[Credit])))+(SUM(IF((CsDJ[Sort Code]=(TRIM(G$4)))*(CsDJ[Account Code]=(TRIM($B145)))*(CsDJ[Date]&lt;=$E$7),CsDJ[Credit])))+(SUM(IF((CRDJ[Sort Code]=(TRIM(G$4)))*(CRDJ[Account Code]=(TRIM($B145)))*(CRDJ[Date]&lt;=$E$7),CRDJ[Credit])))+(SUM(IF((GJ[Sort Code]=(TRIM(G$4)))*(GJ[Account Code]=(TRIM($B145)))*(GJ[Date]&lt;=$E$7),GJ[Credit]))))</f>
        <v>0</v>
      </c>
      <c r="F145" s="245">
        <f t="array" ref="F145">((SUM(IF((CkDJ[Date]=$A$3)*(CkDJ[Sort Code]=(TRIM(G$4)))*(CkDJ[Account Code]=(TRIM($B145))),CkDJ[Debit])))+(SUM(IF((CsDJ[Date]=$A$3)*(CsDJ[Sort Code]=(TRIM(G$4)))*(CsDJ[Account Code]=(TRIM($B145))),CsDJ[Debit])))+(SUM(IF((CRDJ[Date]=$A$3)*(CRDJ[Sort Code]=(TRIM(G$4)))*(CRDJ[Account Code]=(TRIM($B145))),CRDJ[Debit])))+(SUM(IF((GJ[Date]=$A$3)*(GJ[Sort Code]=(TRIM(G$4)))*(GJ[Account Code]=(TRIM($B145))),GJ[Debit]))))-((SUM(IF((CkDJ[Date]=$A$3)*(CkDJ[Sort Code]=(TRIM(G$4)))*(CkDJ[Account Code]=(TRIM($B145))),CkDJ[Credit])))+(SUM(IF((CsDJ[Date]=$A$3)*(CsDJ[Sort Code]=(TRIM(G$4)))*(CsDJ[Account Code]=(TRIM($B145))),CsDJ[Credit])))+(SUM(IF((CRDJ[Date]=$A$3)*(CRDJ[Sort Code]=(TRIM(G$4)))*(CRDJ[Account Code]=(TRIM($B145))),CRDJ[Credit])))+(SUM(IF((GJ[Date]=$A$3)*(GJ[Sort Code]=(TRIM(G$4)))*(GJ[Account Code]=(TRIM($B145))),GJ[Credit]))))</f>
        <v>0</v>
      </c>
      <c r="G145" s="343">
        <f>E145+F145</f>
        <v>0</v>
      </c>
      <c r="H145" s="246">
        <f t="shared" si="10"/>
        <v>0</v>
      </c>
      <c r="I145" s="246">
        <f t="shared" si="11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10"/>
        <v>0</v>
      </c>
      <c r="I146" s="246">
        <f t="shared" si="11"/>
        <v>0</v>
      </c>
    </row>
    <row r="147" spans="1:9" x14ac:dyDescent="0.2">
      <c r="A147" s="251" t="s">
        <v>804</v>
      </c>
      <c r="B147" s="338"/>
      <c r="C147" s="250">
        <f>C50+C76+C144</f>
        <v>36473658.140000001</v>
      </c>
      <c r="D147" s="250">
        <f>D50+D76+D144</f>
        <v>36473658.140000001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10"/>
        <v>-36473658.140000001</v>
      </c>
      <c r="I147" s="250">
        <f t="shared" si="11"/>
        <v>0</v>
      </c>
    </row>
    <row r="148" spans="1:9" x14ac:dyDescent="0.2">
      <c r="A148" s="251" t="s">
        <v>785</v>
      </c>
      <c r="B148" s="338"/>
      <c r="C148" s="250">
        <f>C48-C147</f>
        <v>-35147658.140000001</v>
      </c>
      <c r="D148" s="250">
        <f>D48-D147</f>
        <v>-35147658.140000001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10"/>
        <v>35147658.140000001</v>
      </c>
      <c r="I148" s="250">
        <f t="shared" si="11"/>
        <v>0</v>
      </c>
    </row>
    <row r="149" spans="1:9" x14ac:dyDescent="0.2">
      <c r="A149" s="251" t="s">
        <v>749</v>
      </c>
      <c r="B149" s="338"/>
      <c r="C149" s="250">
        <f>C48/C147</f>
        <v>0.04</v>
      </c>
      <c r="D149" s="250">
        <f>D48/D147</f>
        <v>0.04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10"/>
        <v>#DIV/0!</v>
      </c>
      <c r="I149" s="250" t="e">
        <f t="shared" si="11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10"/>
        <v>0</v>
      </c>
      <c r="I150" s="250">
        <f t="shared" si="11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10"/>
        <v>0</v>
      </c>
      <c r="I151" s="250">
        <f t="shared" si="11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-35147658.140000001</v>
      </c>
      <c r="D152" s="250">
        <f>D148+D150+D151</f>
        <v>-35147658.140000001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10"/>
        <v>35147658.140000001</v>
      </c>
      <c r="I152" s="250">
        <f t="shared" si="11"/>
        <v>0</v>
      </c>
    </row>
    <row r="153" spans="1:9" x14ac:dyDescent="0.2">
      <c r="A153" s="251" t="s">
        <v>749</v>
      </c>
      <c r="B153" s="338"/>
      <c r="C153" s="250">
        <f>C48/(C147-C150-C151)</f>
        <v>0.04</v>
      </c>
      <c r="D153" s="250">
        <f>D48/(D147-D150-D151)</f>
        <v>0.04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10"/>
        <v>#DIV/0!</v>
      </c>
      <c r="I153" s="250" t="e">
        <f t="shared" si="11"/>
        <v>#DIV/0!</v>
      </c>
    </row>
    <row r="154" spans="1:9" x14ac:dyDescent="0.2">
      <c r="A154" s="257" t="s">
        <v>801</v>
      </c>
      <c r="B154" s="340"/>
      <c r="C154" s="258"/>
      <c r="D154" s="258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Code]=B155)*(Budget[Sort Code]=$G$4),(Budget[Amount])))</f>
        <v>0</v>
      </c>
      <c r="D155" s="245">
        <f t="array" ref="D155">SUM(IF((Budget[Account Code]=B155)*(Budget[Sort Code]=$G$4)*(Budget[Date]&lt;=$D$7),(Budget[Amount])))</f>
        <v>0</v>
      </c>
      <c r="E155" s="245">
        <f t="array" ref="E155">((SUM(IF((CkDJ[Sort Code]=(TRIM(G$4)))*(CkDJ[Account Code]=(TRIM($B155)))*(CkDJ[Date]&lt;=$E$7),CkDJ[Debit])))+(SUM(IF((CsDJ[Sort Code]=(TRIM(G$4)))*(CsDJ[Account Code]=(TRIM($B155)))*(CsDJ[Date]&lt;=$E$7),CsDJ[Debit])))+(SUM(IF((CRDJ[Sort Code]=(TRIM(G$4)))*(CRDJ[Account Code]=(TRIM($B155)))*(CRDJ[Date]&lt;=$E$7),CRDJ[Debit])))+(SUM(IF((GJ[Sort Code]=(TRIM(G$4)))*(GJ[Account Code]=(TRIM($B155)))*(GJ[Date]&lt;=$E$7),GJ[Debit]))))-((SUM(IF((CkDJ[Sort Code]=(TRIM(G$4)))*(CkDJ[Account Code]=(TRIM($B155)))*(CkDJ[Date]&lt;=$E$7),CkDJ[Credit])))+(SUM(IF((CsDJ[Sort Code]=(TRIM(G$4)))*(CsDJ[Account Code]=(TRIM($B155)))*(CsDJ[Date]&lt;=$E$7),CsDJ[Credit])))+(SUM(IF((CRDJ[Sort Code]=(TRIM(G$4)))*(CRDJ[Account Code]=(TRIM($B155)))*(CRDJ[Date]&lt;=$E$7),CRDJ[Credit])))+(SUM(IF((GJ[Sort Code]=(TRIM(G$4)))*(GJ[Account Code]=(TRIM($B155)))*(GJ[Date]&lt;=$E$7),GJ[Credit]))))</f>
        <v>0</v>
      </c>
      <c r="F155" s="245">
        <f t="array" ref="F155">((SUM(IF((CkDJ[Date]=$A$3)*(CkDJ[Sort Code]=(TRIM(G$4)))*(CkDJ[Account Code]=(TRIM($B155))),CkDJ[Debit])))+(SUM(IF((CsDJ[Date]=$A$3)*(CsDJ[Sort Code]=(TRIM(G$4)))*(CsDJ[Account Code]=(TRIM($B155))),CsDJ[Debit])))+(SUM(IF((CRDJ[Date]=$A$3)*(CRDJ[Sort Code]=(TRIM(G$4)))*(CRDJ[Account Code]=(TRIM($B155))),CRDJ[Debit])))+(SUM(IF((GJ[Date]=$A$3)*(GJ[Sort Code]=(TRIM(G$4)))*(GJ[Account Code]=(TRIM($B155))),GJ[Debit]))))-((SUM(IF((CkDJ[Date]=$A$3)*(CkDJ[Sort Code]=(TRIM(G$4)))*(CkDJ[Account Code]=(TRIM($B155))),CkDJ[Credit])))+(SUM(IF((CsDJ[Date]=$A$3)*(CsDJ[Sort Code]=(TRIM(G$4)))*(CsDJ[Account Code]=(TRIM($B155))),CsDJ[Credit])))+(SUM(IF((CRDJ[Date]=$A$3)*(CRDJ[Sort Code]=(TRIM(G$4)))*(CRDJ[Account Code]=(TRIM($B155))),CRDJ[Credit])))+(SUM(IF((GJ[Date]=$A$3)*(GJ[Sort Code]=(TRIM(G$4)))*(GJ[Account Code]=(TRIM($B155))),GJ[Credit]))))</f>
        <v>0</v>
      </c>
      <c r="G155" s="343">
        <f t="shared" ref="G155:G163" si="12">E155+F155</f>
        <v>0</v>
      </c>
      <c r="H155" s="246">
        <f t="shared" ref="H155:H184" si="13">G155-D155</f>
        <v>0</v>
      </c>
      <c r="I155" s="246">
        <f t="shared" ref="I155:I184" si="14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Code]=B156)*(Budget[Sort Code]=$G$4),(Budget[Amount])))</f>
        <v>290000</v>
      </c>
      <c r="D156" s="245">
        <f t="array" ref="D156">SUM(IF((Budget[Account Code]=B156)*(Budget[Sort Code]=$G$4)*(Budget[Date]&lt;=$D$7),(Budget[Amount])))</f>
        <v>290000</v>
      </c>
      <c r="E156" s="245">
        <f t="array" ref="E156">((SUM(IF((CkDJ[Sort Code]=(TRIM(G$4)))*(CkDJ[Account Code]=(TRIM($B156)))*(CkDJ[Date]&lt;=$E$7),CkDJ[Debit])))+(SUM(IF((CsDJ[Sort Code]=(TRIM(G$4)))*(CsDJ[Account Code]=(TRIM($B156)))*(CsDJ[Date]&lt;=$E$7),CsDJ[Debit])))+(SUM(IF((CRDJ[Sort Code]=(TRIM(G$4)))*(CRDJ[Account Code]=(TRIM($B156)))*(CRDJ[Date]&lt;=$E$7),CRDJ[Debit])))+(SUM(IF((GJ[Sort Code]=(TRIM(G$4)))*(GJ[Account Code]=(TRIM($B156)))*(GJ[Date]&lt;=$E$7),GJ[Debit]))))-((SUM(IF((CkDJ[Sort Code]=(TRIM(G$4)))*(CkDJ[Account Code]=(TRIM($B156)))*(CkDJ[Date]&lt;=$E$7),CkDJ[Credit])))+(SUM(IF((CsDJ[Sort Code]=(TRIM(G$4)))*(CsDJ[Account Code]=(TRIM($B156)))*(CsDJ[Date]&lt;=$E$7),CsDJ[Credit])))+(SUM(IF((CRDJ[Sort Code]=(TRIM(G$4)))*(CRDJ[Account Code]=(TRIM($B156)))*(CRDJ[Date]&lt;=$E$7),CRDJ[Credit])))+(SUM(IF((GJ[Sort Code]=(TRIM(G$4)))*(GJ[Account Code]=(TRIM($B156)))*(GJ[Date]&lt;=$E$7),GJ[Credit]))))</f>
        <v>0</v>
      </c>
      <c r="F156" s="245">
        <f t="array" ref="F156">((SUM(IF((CkDJ[Date]=$A$3)*(CkDJ[Sort Code]=(TRIM(G$4)))*(CkDJ[Account Code]=(TRIM($B156))),CkDJ[Debit])))+(SUM(IF((CsDJ[Date]=$A$3)*(CsDJ[Sort Code]=(TRIM(G$4)))*(CsDJ[Account Code]=(TRIM($B156))),CsDJ[Debit])))+(SUM(IF((CRDJ[Date]=$A$3)*(CRDJ[Sort Code]=(TRIM(G$4)))*(CRDJ[Account Code]=(TRIM($B156))),CRDJ[Debit])))+(SUM(IF((GJ[Date]=$A$3)*(GJ[Sort Code]=(TRIM(G$4)))*(GJ[Account Code]=(TRIM($B156))),GJ[Debit]))))-((SUM(IF((CkDJ[Date]=$A$3)*(CkDJ[Sort Code]=(TRIM(G$4)))*(CkDJ[Account Code]=(TRIM($B156))),CkDJ[Credit])))+(SUM(IF((CsDJ[Date]=$A$3)*(CsDJ[Sort Code]=(TRIM(G$4)))*(CsDJ[Account Code]=(TRIM($B156))),CsDJ[Credit])))+(SUM(IF((CRDJ[Date]=$A$3)*(CRDJ[Sort Code]=(TRIM(G$4)))*(CRDJ[Account Code]=(TRIM($B156))),CRDJ[Credit])))+(SUM(IF((GJ[Date]=$A$3)*(GJ[Sort Code]=(TRIM(G$4)))*(GJ[Account Code]=(TRIM($B156))),GJ[Credit]))))</f>
        <v>0</v>
      </c>
      <c r="G156" s="343">
        <f t="shared" si="12"/>
        <v>0</v>
      </c>
      <c r="H156" s="246">
        <f t="shared" si="13"/>
        <v>-290000</v>
      </c>
      <c r="I156" s="246">
        <f t="shared" si="14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Code]=B157)*(Budget[Sort Code]=$G$4),(Budget[Amount])))</f>
        <v>0</v>
      </c>
      <c r="D157" s="245">
        <f t="array" ref="D157">SUM(IF((Budget[Account Code]=B157)*(Budget[Sort Code]=$G$4)*(Budget[Date]&lt;=$D$7),(Budget[Amount])))</f>
        <v>0</v>
      </c>
      <c r="E157" s="245">
        <f t="array" ref="E157">((SUM(IF((CkDJ[Sort Code]=(TRIM(G$4)))*(CkDJ[Account Code]=(TRIM($B157)))*(CkDJ[Date]&lt;=$E$7),CkDJ[Debit])))+(SUM(IF((CsDJ[Sort Code]=(TRIM(G$4)))*(CsDJ[Account Code]=(TRIM($B157)))*(CsDJ[Date]&lt;=$E$7),CsDJ[Debit])))+(SUM(IF((CRDJ[Sort Code]=(TRIM(G$4)))*(CRDJ[Account Code]=(TRIM($B157)))*(CRDJ[Date]&lt;=$E$7),CRDJ[Debit])))+(SUM(IF((GJ[Sort Code]=(TRIM(G$4)))*(GJ[Account Code]=(TRIM($B157)))*(GJ[Date]&lt;=$E$7),GJ[Debit]))))-((SUM(IF((CkDJ[Sort Code]=(TRIM(G$4)))*(CkDJ[Account Code]=(TRIM($B157)))*(CkDJ[Date]&lt;=$E$7),CkDJ[Credit])))+(SUM(IF((CsDJ[Sort Code]=(TRIM(G$4)))*(CsDJ[Account Code]=(TRIM($B157)))*(CsDJ[Date]&lt;=$E$7),CsDJ[Credit])))+(SUM(IF((CRDJ[Sort Code]=(TRIM(G$4)))*(CRDJ[Account Code]=(TRIM($B157)))*(CRDJ[Date]&lt;=$E$7),CRDJ[Credit])))+(SUM(IF((GJ[Sort Code]=(TRIM(G$4)))*(GJ[Account Code]=(TRIM($B157)))*(GJ[Date]&lt;=$E$7),GJ[Credit]))))</f>
        <v>0</v>
      </c>
      <c r="F157" s="245">
        <f t="array" ref="F157">((SUM(IF((CkDJ[Date]=$A$3)*(CkDJ[Sort Code]=(TRIM(G$4)))*(CkDJ[Account Code]=(TRIM($B157))),CkDJ[Debit])))+(SUM(IF((CsDJ[Date]=$A$3)*(CsDJ[Sort Code]=(TRIM(G$4)))*(CsDJ[Account Code]=(TRIM($B157))),CsDJ[Debit])))+(SUM(IF((CRDJ[Date]=$A$3)*(CRDJ[Sort Code]=(TRIM(G$4)))*(CRDJ[Account Code]=(TRIM($B157))),CRDJ[Debit])))+(SUM(IF((GJ[Date]=$A$3)*(GJ[Sort Code]=(TRIM(G$4)))*(GJ[Account Code]=(TRIM($B157))),GJ[Debit]))))-((SUM(IF((CkDJ[Date]=$A$3)*(CkDJ[Sort Code]=(TRIM(G$4)))*(CkDJ[Account Code]=(TRIM($B157))),CkDJ[Credit])))+(SUM(IF((CsDJ[Date]=$A$3)*(CsDJ[Sort Code]=(TRIM(G$4)))*(CsDJ[Account Code]=(TRIM($B157))),CsDJ[Credit])))+(SUM(IF((CRDJ[Date]=$A$3)*(CRDJ[Sort Code]=(TRIM(G$4)))*(CRDJ[Account Code]=(TRIM($B157))),CRDJ[Credit])))+(SUM(IF((GJ[Date]=$A$3)*(GJ[Sort Code]=(TRIM(G$4)))*(GJ[Account Code]=(TRIM($B157))),GJ[Credit]))))</f>
        <v>0</v>
      </c>
      <c r="G157" s="343">
        <f t="shared" si="12"/>
        <v>0</v>
      </c>
      <c r="H157" s="246">
        <f t="shared" si="13"/>
        <v>0</v>
      </c>
      <c r="I157" s="246">
        <f t="shared" si="14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Code]=B158)*(Budget[Sort Code]=$G$4),(Budget[Amount])))</f>
        <v>0</v>
      </c>
      <c r="D158" s="245">
        <f t="array" ref="D158">SUM(IF((Budget[Account Code]=B158)*(Budget[Sort Code]=$G$4)*(Budget[Date]&lt;=$D$7),(Budget[Amount])))</f>
        <v>0</v>
      </c>
      <c r="E158" s="245">
        <f t="array" ref="E158">((SUM(IF((CkDJ[Sort Code]=(TRIM(G$4)))*(CkDJ[Account Code]=(TRIM($B158)))*(CkDJ[Date]&lt;=$E$7),CkDJ[Debit])))+(SUM(IF((CsDJ[Sort Code]=(TRIM(G$4)))*(CsDJ[Account Code]=(TRIM($B158)))*(CsDJ[Date]&lt;=$E$7),CsDJ[Debit])))+(SUM(IF((CRDJ[Sort Code]=(TRIM(G$4)))*(CRDJ[Account Code]=(TRIM($B158)))*(CRDJ[Date]&lt;=$E$7),CRDJ[Debit])))+(SUM(IF((GJ[Sort Code]=(TRIM(G$4)))*(GJ[Account Code]=(TRIM($B158)))*(GJ[Date]&lt;=$E$7),GJ[Debit]))))-((SUM(IF((CkDJ[Sort Code]=(TRIM(G$4)))*(CkDJ[Account Code]=(TRIM($B158)))*(CkDJ[Date]&lt;=$E$7),CkDJ[Credit])))+(SUM(IF((CsDJ[Sort Code]=(TRIM(G$4)))*(CsDJ[Account Code]=(TRIM($B158)))*(CsDJ[Date]&lt;=$E$7),CsDJ[Credit])))+(SUM(IF((CRDJ[Sort Code]=(TRIM(G$4)))*(CRDJ[Account Code]=(TRIM($B158)))*(CRDJ[Date]&lt;=$E$7),CRDJ[Credit])))+(SUM(IF((GJ[Sort Code]=(TRIM(G$4)))*(GJ[Account Code]=(TRIM($B158)))*(GJ[Date]&lt;=$E$7),GJ[Credit]))))</f>
        <v>0</v>
      </c>
      <c r="F158" s="245">
        <f t="array" ref="F158">((SUM(IF((CkDJ[Date]=$A$3)*(CkDJ[Sort Code]=(TRIM(G$4)))*(CkDJ[Account Code]=(TRIM($B158))),CkDJ[Debit])))+(SUM(IF((CsDJ[Date]=$A$3)*(CsDJ[Sort Code]=(TRIM(G$4)))*(CsDJ[Account Code]=(TRIM($B158))),CsDJ[Debit])))+(SUM(IF((CRDJ[Date]=$A$3)*(CRDJ[Sort Code]=(TRIM(G$4)))*(CRDJ[Account Code]=(TRIM($B158))),CRDJ[Debit])))+(SUM(IF((GJ[Date]=$A$3)*(GJ[Sort Code]=(TRIM(G$4)))*(GJ[Account Code]=(TRIM($B158))),GJ[Debit]))))-((SUM(IF((CkDJ[Date]=$A$3)*(CkDJ[Sort Code]=(TRIM(G$4)))*(CkDJ[Account Code]=(TRIM($B158))),CkDJ[Credit])))+(SUM(IF((CsDJ[Date]=$A$3)*(CsDJ[Sort Code]=(TRIM(G$4)))*(CsDJ[Account Code]=(TRIM($B158))),CsDJ[Credit])))+(SUM(IF((CRDJ[Date]=$A$3)*(CRDJ[Sort Code]=(TRIM(G$4)))*(CRDJ[Account Code]=(TRIM($B158))),CRDJ[Credit])))+(SUM(IF((GJ[Date]=$A$3)*(GJ[Sort Code]=(TRIM(G$4)))*(GJ[Account Code]=(TRIM($B158))),GJ[Credit]))))</f>
        <v>0</v>
      </c>
      <c r="G158" s="343">
        <f t="shared" si="12"/>
        <v>0</v>
      </c>
      <c r="H158" s="246">
        <f t="shared" si="13"/>
        <v>0</v>
      </c>
      <c r="I158" s="246">
        <f t="shared" si="14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Code]=B159)*(Budget[Sort Code]=$G$4),(Budget[Amount])))</f>
        <v>0</v>
      </c>
      <c r="D159" s="245">
        <f t="array" ref="D159">SUM(IF((Budget[Account Code]=B159)*(Budget[Sort Code]=$G$4)*(Budget[Date]&lt;=$D$7),(Budget[Amount])))</f>
        <v>0</v>
      </c>
      <c r="E159" s="245">
        <f t="array" ref="E159">((SUM(IF((CkDJ[Sort Code]=(TRIM(G$4)))*(CkDJ[Account Code]=(TRIM($B159)))*(CkDJ[Date]&lt;=$E$7),CkDJ[Debit])))+(SUM(IF((CsDJ[Sort Code]=(TRIM(G$4)))*(CsDJ[Account Code]=(TRIM($B159)))*(CsDJ[Date]&lt;=$E$7),CsDJ[Debit])))+(SUM(IF((CRDJ[Sort Code]=(TRIM(G$4)))*(CRDJ[Account Code]=(TRIM($B159)))*(CRDJ[Date]&lt;=$E$7),CRDJ[Debit])))+(SUM(IF((GJ[Sort Code]=(TRIM(G$4)))*(GJ[Account Code]=(TRIM($B159)))*(GJ[Date]&lt;=$E$7),GJ[Debit]))))-((SUM(IF((CkDJ[Sort Code]=(TRIM(G$4)))*(CkDJ[Account Code]=(TRIM($B159)))*(CkDJ[Date]&lt;=$E$7),CkDJ[Credit])))+(SUM(IF((CsDJ[Sort Code]=(TRIM(G$4)))*(CsDJ[Account Code]=(TRIM($B159)))*(CsDJ[Date]&lt;=$E$7),CsDJ[Credit])))+(SUM(IF((CRDJ[Sort Code]=(TRIM(G$4)))*(CRDJ[Account Code]=(TRIM($B159)))*(CRDJ[Date]&lt;=$E$7),CRDJ[Credit])))+(SUM(IF((GJ[Sort Code]=(TRIM(G$4)))*(GJ[Account Code]=(TRIM($B159)))*(GJ[Date]&lt;=$E$7),GJ[Credit]))))</f>
        <v>0</v>
      </c>
      <c r="F159" s="245">
        <f t="array" ref="F159">((SUM(IF((CkDJ[Date]=$A$3)*(CkDJ[Sort Code]=(TRIM(G$4)))*(CkDJ[Account Code]=(TRIM($B159))),CkDJ[Debit])))+(SUM(IF((CsDJ[Date]=$A$3)*(CsDJ[Sort Code]=(TRIM(G$4)))*(CsDJ[Account Code]=(TRIM($B159))),CsDJ[Debit])))+(SUM(IF((CRDJ[Date]=$A$3)*(CRDJ[Sort Code]=(TRIM(G$4)))*(CRDJ[Account Code]=(TRIM($B159))),CRDJ[Debit])))+(SUM(IF((GJ[Date]=$A$3)*(GJ[Sort Code]=(TRIM(G$4)))*(GJ[Account Code]=(TRIM($B159))),GJ[Debit]))))-((SUM(IF((CkDJ[Date]=$A$3)*(CkDJ[Sort Code]=(TRIM(G$4)))*(CkDJ[Account Code]=(TRIM($B159))),CkDJ[Credit])))+(SUM(IF((CsDJ[Date]=$A$3)*(CsDJ[Sort Code]=(TRIM(G$4)))*(CsDJ[Account Code]=(TRIM($B159))),CsDJ[Credit])))+(SUM(IF((CRDJ[Date]=$A$3)*(CRDJ[Sort Code]=(TRIM(G$4)))*(CRDJ[Account Code]=(TRIM($B159))),CRDJ[Credit])))+(SUM(IF((GJ[Date]=$A$3)*(GJ[Sort Code]=(TRIM(G$4)))*(GJ[Account Code]=(TRIM($B159))),GJ[Credit]))))</f>
        <v>0</v>
      </c>
      <c r="G159" s="343">
        <f t="shared" si="12"/>
        <v>0</v>
      </c>
      <c r="H159" s="246">
        <f t="shared" si="13"/>
        <v>0</v>
      </c>
      <c r="I159" s="246">
        <f t="shared" si="14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Code]=B160)*(Budget[Sort Code]=$G$4),(Budget[Amount])))</f>
        <v>0</v>
      </c>
      <c r="D160" s="245">
        <f t="array" ref="D160">SUM(IF((Budget[Account Code]=B160)*(Budget[Sort Code]=$G$4)*(Budget[Date]&lt;=$D$7),(Budget[Amount])))</f>
        <v>0</v>
      </c>
      <c r="E160" s="245">
        <f t="array" ref="E160">((SUM(IF((CkDJ[Sort Code]=(TRIM(G$4)))*(CkDJ[Account Code]=(TRIM($B160)))*(CkDJ[Date]&lt;=$E$7),CkDJ[Debit])))+(SUM(IF((CsDJ[Sort Code]=(TRIM(G$4)))*(CsDJ[Account Code]=(TRIM($B160)))*(CsDJ[Date]&lt;=$E$7),CsDJ[Debit])))+(SUM(IF((CRDJ[Sort Code]=(TRIM(G$4)))*(CRDJ[Account Code]=(TRIM($B160)))*(CRDJ[Date]&lt;=$E$7),CRDJ[Debit])))+(SUM(IF((GJ[Sort Code]=(TRIM(G$4)))*(GJ[Account Code]=(TRIM($B160)))*(GJ[Date]&lt;=$E$7),GJ[Debit]))))-((SUM(IF((CkDJ[Sort Code]=(TRIM(G$4)))*(CkDJ[Account Code]=(TRIM($B160)))*(CkDJ[Date]&lt;=$E$7),CkDJ[Credit])))+(SUM(IF((CsDJ[Sort Code]=(TRIM(G$4)))*(CsDJ[Account Code]=(TRIM($B160)))*(CsDJ[Date]&lt;=$E$7),CsDJ[Credit])))+(SUM(IF((CRDJ[Sort Code]=(TRIM(G$4)))*(CRDJ[Account Code]=(TRIM($B160)))*(CRDJ[Date]&lt;=$E$7),CRDJ[Credit])))+(SUM(IF((GJ[Sort Code]=(TRIM(G$4)))*(GJ[Account Code]=(TRIM($B160)))*(GJ[Date]&lt;=$E$7),GJ[Credit]))))</f>
        <v>0</v>
      </c>
      <c r="F160" s="245">
        <f t="array" ref="F160">((SUM(IF((CkDJ[Date]=$A$3)*(CkDJ[Sort Code]=(TRIM(G$4)))*(CkDJ[Account Code]=(TRIM($B160))),CkDJ[Debit])))+(SUM(IF((CsDJ[Date]=$A$3)*(CsDJ[Sort Code]=(TRIM(G$4)))*(CsDJ[Account Code]=(TRIM($B160))),CsDJ[Debit])))+(SUM(IF((CRDJ[Date]=$A$3)*(CRDJ[Sort Code]=(TRIM(G$4)))*(CRDJ[Account Code]=(TRIM($B160))),CRDJ[Debit])))+(SUM(IF((GJ[Date]=$A$3)*(GJ[Sort Code]=(TRIM(G$4)))*(GJ[Account Code]=(TRIM($B160))),GJ[Debit]))))-((SUM(IF((CkDJ[Date]=$A$3)*(CkDJ[Sort Code]=(TRIM(G$4)))*(CkDJ[Account Code]=(TRIM($B160))),CkDJ[Credit])))+(SUM(IF((CsDJ[Date]=$A$3)*(CsDJ[Sort Code]=(TRIM(G$4)))*(CsDJ[Account Code]=(TRIM($B160))),CsDJ[Credit])))+(SUM(IF((CRDJ[Date]=$A$3)*(CRDJ[Sort Code]=(TRIM(G$4)))*(CRDJ[Account Code]=(TRIM($B160))),CRDJ[Credit])))+(SUM(IF((GJ[Date]=$A$3)*(GJ[Sort Code]=(TRIM(G$4)))*(GJ[Account Code]=(TRIM($B160))),GJ[Credit]))))</f>
        <v>0</v>
      </c>
      <c r="G160" s="343">
        <f t="shared" si="12"/>
        <v>0</v>
      </c>
      <c r="H160" s="246">
        <f t="shared" si="13"/>
        <v>0</v>
      </c>
      <c r="I160" s="246">
        <f t="shared" si="14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Code]=B161)*(Budget[Sort Code]=$G$4),(Budget[Amount])))</f>
        <v>0</v>
      </c>
      <c r="D161" s="245">
        <f t="array" ref="D161">SUM(IF((Budget[Account Code]=B161)*(Budget[Sort Code]=$G$4)*(Budget[Date]&lt;=$D$7),(Budget[Amount])))</f>
        <v>0</v>
      </c>
      <c r="E161" s="245">
        <f t="array" ref="E161">((SUM(IF((CkDJ[Sort Code]=(TRIM(G$4)))*(CkDJ[Account Code]=(TRIM($B161)))*(CkDJ[Date]&lt;=$E$7),CkDJ[Debit])))+(SUM(IF((CsDJ[Sort Code]=(TRIM(G$4)))*(CsDJ[Account Code]=(TRIM($B161)))*(CsDJ[Date]&lt;=$E$7),CsDJ[Debit])))+(SUM(IF((CRDJ[Sort Code]=(TRIM(G$4)))*(CRDJ[Account Code]=(TRIM($B161)))*(CRDJ[Date]&lt;=$E$7),CRDJ[Debit])))+(SUM(IF((GJ[Sort Code]=(TRIM(G$4)))*(GJ[Account Code]=(TRIM($B161)))*(GJ[Date]&lt;=$E$7),GJ[Debit]))))-((SUM(IF((CkDJ[Sort Code]=(TRIM(G$4)))*(CkDJ[Account Code]=(TRIM($B161)))*(CkDJ[Date]&lt;=$E$7),CkDJ[Credit])))+(SUM(IF((CsDJ[Sort Code]=(TRIM(G$4)))*(CsDJ[Account Code]=(TRIM($B161)))*(CsDJ[Date]&lt;=$E$7),CsDJ[Credit])))+(SUM(IF((CRDJ[Sort Code]=(TRIM(G$4)))*(CRDJ[Account Code]=(TRIM($B161)))*(CRDJ[Date]&lt;=$E$7),CRDJ[Credit])))+(SUM(IF((GJ[Sort Code]=(TRIM(G$4)))*(GJ[Account Code]=(TRIM($B161)))*(GJ[Date]&lt;=$E$7),GJ[Credit]))))</f>
        <v>0</v>
      </c>
      <c r="F161" s="245">
        <f t="array" ref="F161">((SUM(IF((CkDJ[Date]=$A$3)*(CkDJ[Sort Code]=(TRIM(G$4)))*(CkDJ[Account Code]=(TRIM($B161))),CkDJ[Debit])))+(SUM(IF((CsDJ[Date]=$A$3)*(CsDJ[Sort Code]=(TRIM(G$4)))*(CsDJ[Account Code]=(TRIM($B161))),CsDJ[Debit])))+(SUM(IF((CRDJ[Date]=$A$3)*(CRDJ[Sort Code]=(TRIM(G$4)))*(CRDJ[Account Code]=(TRIM($B161))),CRDJ[Debit])))+(SUM(IF((GJ[Date]=$A$3)*(GJ[Sort Code]=(TRIM(G$4)))*(GJ[Account Code]=(TRIM($B161))),GJ[Debit]))))-((SUM(IF((CkDJ[Date]=$A$3)*(CkDJ[Sort Code]=(TRIM(G$4)))*(CkDJ[Account Code]=(TRIM($B161))),CkDJ[Credit])))+(SUM(IF((CsDJ[Date]=$A$3)*(CsDJ[Sort Code]=(TRIM(G$4)))*(CsDJ[Account Code]=(TRIM($B161))),CsDJ[Credit])))+(SUM(IF((CRDJ[Date]=$A$3)*(CRDJ[Sort Code]=(TRIM(G$4)))*(CRDJ[Account Code]=(TRIM($B161))),CRDJ[Credit])))+(SUM(IF((GJ[Date]=$A$3)*(GJ[Sort Code]=(TRIM(G$4)))*(GJ[Account Code]=(TRIM($B161))),GJ[Credit]))))</f>
        <v>0</v>
      </c>
      <c r="G161" s="343">
        <f t="shared" si="12"/>
        <v>0</v>
      </c>
      <c r="H161" s="246">
        <f t="shared" si="13"/>
        <v>0</v>
      </c>
      <c r="I161" s="246">
        <f t="shared" si="14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Code]=B162)*(Budget[Sort Code]=$G$4),(Budget[Amount])))</f>
        <v>962082.29</v>
      </c>
      <c r="D162" s="245">
        <f t="array" ref="D162">SUM(IF((Budget[Account Code]=B162)*(Budget[Sort Code]=$G$4)*(Budget[Date]&lt;=$D$7),(Budget[Amount])))</f>
        <v>962082.29</v>
      </c>
      <c r="E162" s="245">
        <f t="array" ref="E162">((SUM(IF((CkDJ[Sort Code]=(TRIM(G$4)))*(CkDJ[Account Code]=(TRIM($B162)))*(CkDJ[Date]&lt;=$E$7),CkDJ[Debit])))+(SUM(IF((CsDJ[Sort Code]=(TRIM(G$4)))*(CsDJ[Account Code]=(TRIM($B162)))*(CsDJ[Date]&lt;=$E$7),CsDJ[Debit])))+(SUM(IF((CRDJ[Sort Code]=(TRIM(G$4)))*(CRDJ[Account Code]=(TRIM($B162)))*(CRDJ[Date]&lt;=$E$7),CRDJ[Debit])))+(SUM(IF((GJ[Sort Code]=(TRIM(G$4)))*(GJ[Account Code]=(TRIM($B162)))*(GJ[Date]&lt;=$E$7),GJ[Debit]))))-((SUM(IF((CkDJ[Sort Code]=(TRIM(G$4)))*(CkDJ[Account Code]=(TRIM($B162)))*(CkDJ[Date]&lt;=$E$7),CkDJ[Credit])))+(SUM(IF((CsDJ[Sort Code]=(TRIM(G$4)))*(CsDJ[Account Code]=(TRIM($B162)))*(CsDJ[Date]&lt;=$E$7),CsDJ[Credit])))+(SUM(IF((CRDJ[Sort Code]=(TRIM(G$4)))*(CRDJ[Account Code]=(TRIM($B162)))*(CRDJ[Date]&lt;=$E$7),CRDJ[Credit])))+(SUM(IF((GJ[Sort Code]=(TRIM(G$4)))*(GJ[Account Code]=(TRIM($B162)))*(GJ[Date]&lt;=$E$7),GJ[Credit]))))</f>
        <v>0</v>
      </c>
      <c r="F162" s="245">
        <f t="array" ref="F162">((SUM(IF((CkDJ[Date]=$A$3)*(CkDJ[Sort Code]=(TRIM(G$4)))*(CkDJ[Account Code]=(TRIM($B162))),CkDJ[Debit])))+(SUM(IF((CsDJ[Date]=$A$3)*(CsDJ[Sort Code]=(TRIM(G$4)))*(CsDJ[Account Code]=(TRIM($B162))),CsDJ[Debit])))+(SUM(IF((CRDJ[Date]=$A$3)*(CRDJ[Sort Code]=(TRIM(G$4)))*(CRDJ[Account Code]=(TRIM($B162))),CRDJ[Debit])))+(SUM(IF((GJ[Date]=$A$3)*(GJ[Sort Code]=(TRIM(G$4)))*(GJ[Account Code]=(TRIM($B162))),GJ[Debit]))))-((SUM(IF((CkDJ[Date]=$A$3)*(CkDJ[Sort Code]=(TRIM(G$4)))*(CkDJ[Account Code]=(TRIM($B162))),CkDJ[Credit])))+(SUM(IF((CsDJ[Date]=$A$3)*(CsDJ[Sort Code]=(TRIM(G$4)))*(CsDJ[Account Code]=(TRIM($B162))),CsDJ[Credit])))+(SUM(IF((CRDJ[Date]=$A$3)*(CRDJ[Sort Code]=(TRIM(G$4)))*(CRDJ[Account Code]=(TRIM($B162))),CRDJ[Credit])))+(SUM(IF((GJ[Date]=$A$3)*(GJ[Sort Code]=(TRIM(G$4)))*(GJ[Account Code]=(TRIM($B162))),GJ[Credit]))))</f>
        <v>0</v>
      </c>
      <c r="G162" s="343">
        <f t="shared" si="12"/>
        <v>0</v>
      </c>
      <c r="H162" s="246">
        <f t="shared" si="13"/>
        <v>-962082.29</v>
      </c>
      <c r="I162" s="246">
        <f t="shared" si="14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Code]=B163)*(Budget[Sort Code]=$G$4),(Budget[Amount])))</f>
        <v>0</v>
      </c>
      <c r="D163" s="245">
        <f t="array" ref="D163">SUM(IF((Budget[Account Code]=B163)*(Budget[Sort Code]=$G$4)*(Budget[Date]&lt;=$D$7),(Budget[Amount])))</f>
        <v>0</v>
      </c>
      <c r="E163" s="245">
        <f t="array" ref="E163">((SUM(IF((CkDJ[Sort Code]=(TRIM(G$4)))*(CkDJ[Account Code]=(TRIM($B163)))*(CkDJ[Date]&lt;=$E$7),CkDJ[Debit])))+(SUM(IF((CsDJ[Sort Code]=(TRIM(G$4)))*(CsDJ[Account Code]=(TRIM($B163)))*(CsDJ[Date]&lt;=$E$7),CsDJ[Debit])))+(SUM(IF((CRDJ[Sort Code]=(TRIM(G$4)))*(CRDJ[Account Code]=(TRIM($B163)))*(CRDJ[Date]&lt;=$E$7),CRDJ[Debit])))+(SUM(IF((GJ[Sort Code]=(TRIM(G$4)))*(GJ[Account Code]=(TRIM($B163)))*(GJ[Date]&lt;=$E$7),GJ[Debit]))))-((SUM(IF((CkDJ[Sort Code]=(TRIM(G$4)))*(CkDJ[Account Code]=(TRIM($B163)))*(CkDJ[Date]&lt;=$E$7),CkDJ[Credit])))+(SUM(IF((CsDJ[Sort Code]=(TRIM(G$4)))*(CsDJ[Account Code]=(TRIM($B163)))*(CsDJ[Date]&lt;=$E$7),CsDJ[Credit])))+(SUM(IF((CRDJ[Sort Code]=(TRIM(G$4)))*(CRDJ[Account Code]=(TRIM($B163)))*(CRDJ[Date]&lt;=$E$7),CRDJ[Credit])))+(SUM(IF((GJ[Sort Code]=(TRIM(G$4)))*(GJ[Account Code]=(TRIM($B163)))*(GJ[Date]&lt;=$E$7),GJ[Credit]))))</f>
        <v>0</v>
      </c>
      <c r="F163" s="245">
        <f t="array" ref="F163">((SUM(IF((CkDJ[Date]=$A$3)*(CkDJ[Sort Code]=(TRIM(G$4)))*(CkDJ[Account Code]=(TRIM($B163))),CkDJ[Debit])))+(SUM(IF((CsDJ[Date]=$A$3)*(CsDJ[Sort Code]=(TRIM(G$4)))*(CsDJ[Account Code]=(TRIM($B163))),CsDJ[Debit])))+(SUM(IF((CRDJ[Date]=$A$3)*(CRDJ[Sort Code]=(TRIM(G$4)))*(CRDJ[Account Code]=(TRIM($B163))),CRDJ[Debit])))+(SUM(IF((GJ[Date]=$A$3)*(GJ[Sort Code]=(TRIM(G$4)))*(GJ[Account Code]=(TRIM($B163))),GJ[Debit]))))-((SUM(IF((CkDJ[Date]=$A$3)*(CkDJ[Sort Code]=(TRIM(G$4)))*(CkDJ[Account Code]=(TRIM($B163))),CkDJ[Credit])))+(SUM(IF((CsDJ[Date]=$A$3)*(CsDJ[Sort Code]=(TRIM(G$4)))*(CsDJ[Account Code]=(TRIM($B163))),CsDJ[Credit])))+(SUM(IF((CRDJ[Date]=$A$3)*(CRDJ[Sort Code]=(TRIM(G$4)))*(CRDJ[Account Code]=(TRIM($B163))),CRDJ[Credit])))+(SUM(IF((GJ[Date]=$A$3)*(GJ[Sort Code]=(TRIM(G$4)))*(GJ[Account Code]=(TRIM($B163))),GJ[Credit]))))</f>
        <v>0</v>
      </c>
      <c r="G163" s="343">
        <f t="shared" si="12"/>
        <v>0</v>
      </c>
      <c r="H163" s="246">
        <f t="shared" si="13"/>
        <v>0</v>
      </c>
      <c r="I163" s="246">
        <f t="shared" si="14"/>
        <v>0</v>
      </c>
    </row>
    <row r="164" spans="1:9" x14ac:dyDescent="0.2">
      <c r="A164" s="251" t="s">
        <v>789</v>
      </c>
      <c r="B164" s="338"/>
      <c r="C164" s="250">
        <f>SUM(C155:C163)</f>
        <v>1252082.29</v>
      </c>
      <c r="D164" s="250">
        <f>SUM(D155:D163)</f>
        <v>1252082.29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3"/>
        <v>-1252082.29</v>
      </c>
      <c r="I164" s="250">
        <f t="shared" si="14"/>
        <v>0</v>
      </c>
    </row>
    <row r="165" spans="1:9" x14ac:dyDescent="0.2">
      <c r="A165" s="251" t="s">
        <v>788</v>
      </c>
      <c r="B165" s="338"/>
      <c r="C165" s="250">
        <f>C147+C164</f>
        <v>37725740.43</v>
      </c>
      <c r="D165" s="250">
        <f>D147+D164</f>
        <v>37725740.43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3"/>
        <v>-37725740.43</v>
      </c>
      <c r="I165" s="250">
        <f t="shared" si="14"/>
        <v>0</v>
      </c>
    </row>
    <row r="166" spans="1:9" x14ac:dyDescent="0.2">
      <c r="A166" s="251" t="s">
        <v>785</v>
      </c>
      <c r="B166" s="338"/>
      <c r="C166" s="250">
        <f>C48-C165</f>
        <v>-36399740.43</v>
      </c>
      <c r="D166" s="250">
        <f>D48-D165</f>
        <v>-36399740.43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3"/>
        <v>36399740.43</v>
      </c>
      <c r="I166" s="250">
        <f t="shared" si="14"/>
        <v>0</v>
      </c>
    </row>
    <row r="167" spans="1:9" x14ac:dyDescent="0.2">
      <c r="A167" s="251" t="s">
        <v>749</v>
      </c>
      <c r="B167" s="338"/>
      <c r="C167" s="250">
        <f>C48/C165</f>
        <v>0.04</v>
      </c>
      <c r="D167" s="250">
        <f>D48/D165</f>
        <v>0.04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3"/>
        <v>#DIV/0!</v>
      </c>
      <c r="I167" s="250" t="e">
        <f t="shared" si="14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3"/>
        <v>0</v>
      </c>
      <c r="I168" s="250">
        <f t="shared" si="14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3"/>
        <v>0</v>
      </c>
      <c r="I169" s="250">
        <f t="shared" si="14"/>
        <v>0</v>
      </c>
    </row>
    <row r="170" spans="1:9" x14ac:dyDescent="0.2">
      <c r="A170" s="251" t="s">
        <v>785</v>
      </c>
      <c r="B170" s="338"/>
      <c r="C170" s="250">
        <f>C166+C168+C169</f>
        <v>-36399740.43</v>
      </c>
      <c r="D170" s="250">
        <f>D166+D168+D169</f>
        <v>-36399740.43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3"/>
        <v>36399740.43</v>
      </c>
      <c r="I170" s="250">
        <f t="shared" si="14"/>
        <v>0</v>
      </c>
    </row>
    <row r="171" spans="1:9" x14ac:dyDescent="0.2">
      <c r="A171" s="251" t="s">
        <v>792</v>
      </c>
      <c r="B171" s="338"/>
      <c r="C171" s="250">
        <f>C48/(C165-C168-C169)</f>
        <v>0.04</v>
      </c>
      <c r="D171" s="250">
        <f>D48/(D165-D168-D169)</f>
        <v>0.04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3"/>
        <v>#DIV/0!</v>
      </c>
      <c r="I171" s="250" t="e">
        <f t="shared" si="14"/>
        <v>#DIV/0!</v>
      </c>
    </row>
    <row r="172" spans="1:9" x14ac:dyDescent="0.2">
      <c r="A172" s="259"/>
      <c r="C172" s="260"/>
      <c r="D172" s="260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262"/>
      <c r="D174" s="262"/>
      <c r="E174" s="348"/>
      <c r="F174" s="348"/>
      <c r="G174" s="263"/>
      <c r="H174" s="263">
        <f t="shared" si="13"/>
        <v>0</v>
      </c>
      <c r="I174" s="263">
        <f t="shared" si="14"/>
        <v>0</v>
      </c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Code]=B175)*(Budget[Sort Code]=$G$4),(Budget[Amount])))</f>
        <v>0</v>
      </c>
      <c r="D175" s="245">
        <f t="array" ref="D175">SUM(IF((Budget[Account Code]=B175)*(Budget[Sort Code]=$G$4)*(Budget[Date]&lt;=$D$7),(Budget[Amount])))</f>
        <v>0</v>
      </c>
      <c r="E175" s="245">
        <f t="array" ref="E175">((SUM(IF((CkDJ[Sort Code]=(TRIM(G$4)))*(CkDJ[Account Code]=(TRIM($B175)))*(CkDJ[Date]&lt;=$E$7),CkDJ[Debit])))+(SUM(IF((CsDJ[Sort Code]=(TRIM(G$4)))*(CsDJ[Account Code]=(TRIM($B175)))*(CsDJ[Date]&lt;=$E$7),CsDJ[Debit])))+(SUM(IF((CRDJ[Sort Code]=(TRIM(G$4)))*(CRDJ[Account Code]=(TRIM($B175)))*(CRDJ[Date]&lt;=$E$7),CRDJ[Debit])))+(SUM(IF((GJ[Sort Code]=(TRIM(G$4)))*(GJ[Account Code]=(TRIM($B175)))*(GJ[Date]&lt;=$E$7),GJ[Debit]))))-((SUM(IF((CkDJ[Sort Code]=(TRIM(G$4)))*(CkDJ[Account Code]=(TRIM($B175)))*(CkDJ[Date]&lt;=$E$7),CkDJ[Credit])))+(SUM(IF((CsDJ[Sort Code]=(TRIM(G$4)))*(CsDJ[Account Code]=(TRIM($B175)))*(CsDJ[Date]&lt;=$E$7),CsDJ[Credit])))+(SUM(IF((CRDJ[Sort Code]=(TRIM(G$4)))*(CRDJ[Account Code]=(TRIM($B175)))*(CRDJ[Date]&lt;=$E$7),CRDJ[Credit])))+(SUM(IF((GJ[Sort Code]=(TRIM(G$4)))*(GJ[Account Code]=(TRIM($B175)))*(GJ[Date]&lt;=$E$7),GJ[Credit]))))</f>
        <v>0</v>
      </c>
      <c r="F175" s="245">
        <f t="array" ref="F175">((SUM(IF((CkDJ[Date]=$A$3)*(CkDJ[Sort Code]=(TRIM(G$4)))*(CkDJ[Account Code]=(TRIM($B175))),CkDJ[Debit])))+(SUM(IF((CsDJ[Date]=$A$3)*(CsDJ[Sort Code]=(TRIM(G$4)))*(CsDJ[Account Code]=(TRIM($B175))),CsDJ[Debit])))+(SUM(IF((CRDJ[Date]=$A$3)*(CRDJ[Sort Code]=(TRIM(G$4)))*(CRDJ[Account Code]=(TRIM($B175))),CRDJ[Debit])))+(SUM(IF((GJ[Date]=$A$3)*(GJ[Sort Code]=(TRIM(G$4)))*(GJ[Account Code]=(TRIM($B175))),GJ[Debit]))))-((SUM(IF((CkDJ[Date]=$A$3)*(CkDJ[Sort Code]=(TRIM(G$4)))*(CkDJ[Account Code]=(TRIM($B175))),CkDJ[Credit])))+(SUM(IF((CsDJ[Date]=$A$3)*(CsDJ[Sort Code]=(TRIM(G$4)))*(CsDJ[Account Code]=(TRIM($B175))),CsDJ[Credit])))+(SUM(IF((CRDJ[Date]=$A$3)*(CRDJ[Sort Code]=(TRIM(G$4)))*(CRDJ[Account Code]=(TRIM($B175))),CRDJ[Credit])))+(SUM(IF((GJ[Date]=$A$3)*(GJ[Sort Code]=(TRIM(G$4)))*(GJ[Account Code]=(TRIM($B175))),GJ[Credit]))))</f>
        <v>0</v>
      </c>
      <c r="G175" s="343">
        <f>E175+F175</f>
        <v>0</v>
      </c>
      <c r="H175" s="246">
        <f t="shared" si="13"/>
        <v>0</v>
      </c>
      <c r="I175" s="246">
        <f t="shared" si="14"/>
        <v>0</v>
      </c>
    </row>
    <row r="176" spans="1:9" x14ac:dyDescent="0.2">
      <c r="A176" s="253"/>
      <c r="B176" s="337"/>
      <c r="C176" s="244"/>
      <c r="D176" s="244"/>
      <c r="E176" s="245"/>
      <c r="F176" s="245"/>
      <c r="G176" s="246"/>
      <c r="H176" s="246">
        <f t="shared" si="13"/>
        <v>0</v>
      </c>
      <c r="I176" s="246">
        <f t="shared" si="14"/>
        <v>0</v>
      </c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3"/>
        <v>0</v>
      </c>
      <c r="I177" s="250">
        <f t="shared" si="14"/>
        <v>0</v>
      </c>
    </row>
    <row r="178" spans="1:9" x14ac:dyDescent="0.2">
      <c r="A178" s="251" t="s">
        <v>788</v>
      </c>
      <c r="B178" s="338"/>
      <c r="C178" s="250">
        <f>C165+C177</f>
        <v>37725740.43</v>
      </c>
      <c r="D178" s="250">
        <f>D165+D177</f>
        <v>37725740.43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3"/>
        <v>-37725740.43</v>
      </c>
      <c r="I178" s="250">
        <f t="shared" si="14"/>
        <v>0</v>
      </c>
    </row>
    <row r="179" spans="1:9" x14ac:dyDescent="0.2">
      <c r="A179" s="251" t="s">
        <v>785</v>
      </c>
      <c r="B179" s="338"/>
      <c r="C179" s="250">
        <f>C48-C178</f>
        <v>-36399740.43</v>
      </c>
      <c r="D179" s="250">
        <f>D48-D178</f>
        <v>-36399740.43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3"/>
        <v>36399740.43</v>
      </c>
      <c r="I179" s="250">
        <f t="shared" si="14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3"/>
        <v>0</v>
      </c>
      <c r="I180" s="250">
        <f t="shared" si="14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3"/>
        <v>0</v>
      </c>
      <c r="I181" s="250">
        <f t="shared" si="14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3"/>
        <v>0</v>
      </c>
      <c r="I182" s="250">
        <f t="shared" si="14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3"/>
        <v>0</v>
      </c>
      <c r="I183" s="250">
        <f t="shared" si="14"/>
        <v>0</v>
      </c>
    </row>
    <row r="184" spans="1:9" x14ac:dyDescent="0.2">
      <c r="A184" s="264" t="s">
        <v>749</v>
      </c>
      <c r="B184" s="338"/>
      <c r="C184" s="265">
        <f>C48/(C178-C181-C182)</f>
        <v>0.04</v>
      </c>
      <c r="D184" s="265">
        <f>D48/(D178-D181-D182)</f>
        <v>0.04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3"/>
        <v>#DIV/0!</v>
      </c>
      <c r="I184" s="265" t="e">
        <f t="shared" si="14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2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Ilocos Norte PIO</v>
      </c>
      <c r="C4" s="332"/>
      <c r="G4" s="331" t="s">
        <v>487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10500000</v>
      </c>
      <c r="D9" s="242">
        <f>D10+D11</f>
        <v>10500000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-10500000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10500000</v>
      </c>
      <c r="D11" s="245">
        <f>SUM(D12:D14)</f>
        <v>10500000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-10500000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10500000</v>
      </c>
      <c r="D12" s="245">
        <f t="array" ref="D12">SUM(IF((Budget[Account Code]=B12)*(Budget[Ofc Code]=$G$4)*(Budget[Date]&lt;=$D$7),(Budget[Amount])))</f>
        <v>10500000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-10500000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0</v>
      </c>
      <c r="D15" s="248">
        <f>SUM(D16:D18)</f>
        <v>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0</v>
      </c>
      <c r="D17" s="245">
        <f t="array" ref="D17">SUM(IF((Budget[Account Code]=B17)*(Budget[Ofc Code]=$G$4)*(Budget[Date]&lt;=$D$7),(Budget[Amount])))</f>
        <v>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10500000</v>
      </c>
      <c r="D24" s="250">
        <f>D9+D15+D19</f>
        <v>10500000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-10500000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15000000</v>
      </c>
      <c r="D26" s="245">
        <f t="array" ref="D26">SUM(IF((Budget[Account Code]=B26)*(Budget[Ofc Code]=$G$4)*(Budget[Date]&lt;=$D$7),(Budget[Amount])))</f>
        <v>15000000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-15000000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3000000</v>
      </c>
      <c r="D27" s="248">
        <f>SUM(D28:D29)</f>
        <v>3000000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-3000000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3000000</v>
      </c>
      <c r="D29" s="245">
        <f>SUM(D30:D31)</f>
        <v>3000000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-3000000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3000000</v>
      </c>
      <c r="D30" s="245">
        <f t="array" ref="D30">SUM(IF((Budget[Account Code]=B30)*(Budget[Ofc Code]=$G$4)*(Budget[Date]&lt;=$D$7),(Budget[Amount])))</f>
        <v>3000000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-3000000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2850000</v>
      </c>
      <c r="D36" s="248">
        <f>SUM(D37:D45)</f>
        <v>2850000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-2850000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20000</v>
      </c>
      <c r="D37" s="245">
        <f t="array" ref="D37">SUM(IF((Budget[Account Code]=B37)*(Budget[Ofc Code]=$G$4)*(Budget[Date]&lt;=$D$7),(Budget[Amount])))</f>
        <v>20000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-20000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280000</v>
      </c>
      <c r="D40" s="245">
        <f t="array" ref="D40">SUM(IF((Budget[Account Code]=B40)*(Budget[Ofc Code]=$G$4)*(Budget[Date]&lt;=$D$7),(Budget[Amount])))</f>
        <v>280000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-280000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2550000</v>
      </c>
      <c r="D44" s="245">
        <f t="array" ref="D44">SUM(IF((Budget[Account Code]=B44)*(Budget[Ofc Code]=$G$4)*(Budget[Date]&lt;=$D$7),(Budget[Amount])))</f>
        <v>2550000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-2550000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20850000</v>
      </c>
      <c r="D47" s="250">
        <f>D26+D27+D32+D36+D46</f>
        <v>20850000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-20850000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31350000</v>
      </c>
      <c r="D48" s="250">
        <f>D24+D47</f>
        <v>31350000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-31350000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17649522.039999999</v>
      </c>
      <c r="D50" s="242">
        <f>D51+D75</f>
        <v>17649522.039999999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-17649522.039999999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17649522.039999999</v>
      </c>
      <c r="D51" s="246">
        <f>SUM(D52:D74)</f>
        <v>17649522.039999999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-17649522.039999999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12163817</v>
      </c>
      <c r="D52" s="245">
        <f t="array" ref="D52">SUM(IF((Budget[Account Code]=B52)*(Budget[Ofc Code]=$G$4)*(Budget[Date]&lt;=$D$7),(Budget[Amount])))</f>
        <v>12163817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-12163817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0</v>
      </c>
      <c r="D53" s="245">
        <f t="array" ref="D53">SUM(IF((Budget[Account Code]=B53)*(Budget[Ofc Code]=$G$4)*(Budget[Date]&lt;=$D$7),(Budget[Amount])))</f>
        <v>0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0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1104000</v>
      </c>
      <c r="D55" s="245">
        <f t="array" ref="D55">SUM(IF((Budget[Account Code]=B55)*(Budget[Ofc Code]=$G$4)*(Budget[Date]&lt;=$D$7),(Budget[Amount])))</f>
        <v>1104000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-1104000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60000</v>
      </c>
      <c r="D56" s="245">
        <f t="array" ref="D56">SUM(IF((Budget[Account Code]=B56)*(Budget[Ofc Code]=$G$4)*(Budget[Date]&lt;=$D$7),(Budget[Amount])))</f>
        <v>60000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-60000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230000</v>
      </c>
      <c r="D58" s="245">
        <f t="array" ref="D58">SUM(IF((Budget[Account Code]=B58)*(Budget[Ofc Code]=$G$4)*(Budget[Date]&lt;=$D$7),(Budget[Amount])))</f>
        <v>230000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-230000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74400</v>
      </c>
      <c r="D61" s="245">
        <f t="array" ref="D61">SUM(IF((Budget[Account Code]=B61)*(Budget[Ofc Code]=$G$4)*(Budget[Date]&lt;=$D$7),(Budget[Amount])))</f>
        <v>74400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-74400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24552</v>
      </c>
      <c r="D62" s="245">
        <f t="array" ref="D62">SUM(IF((Budget[Account Code]=B62)*(Budget[Ofc Code]=$G$4)*(Budget[Date]&lt;=$D$7),(Budget[Amount])))</f>
        <v>24552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-24552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5760</v>
      </c>
      <c r="D63" s="245">
        <f t="array" ref="D63">SUM(IF((Budget[Account Code]=B63)*(Budget[Ofc Code]=$G$4)*(Budget[Date]&lt;=$D$7),(Budget[Amount])))</f>
        <v>5760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-5760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0</v>
      </c>
      <c r="D65" s="245">
        <f t="array" ref="D65">SUM(IF((Budget[Account Code]=B65)*(Budget[Ofc Code]=$G$4)*(Budget[Date]&lt;=$D$7),(Budget[Amount])))</f>
        <v>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230000</v>
      </c>
      <c r="D67" s="245">
        <f t="array" ref="D67">SUM(IF((Budget[Account Code]=B67)*(Budget[Ofc Code]=$G$4)*(Budget[Date]&lt;=$D$7),(Budget[Amount])))</f>
        <v>230000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-230000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2028085</v>
      </c>
      <c r="D68" s="245">
        <f t="array" ref="D68">SUM(IF((Budget[Account Code]=B68)*(Budget[Ofc Code]=$G$4)*(Budget[Date]&lt;=$D$7),(Budget[Amount])))</f>
        <v>2028085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-2028085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1459658.04</v>
      </c>
      <c r="D69" s="245">
        <f t="array" ref="D69">SUM(IF((Budget[Account Code]=B69)*(Budget[Ofc Code]=$G$4)*(Budget[Date]&lt;=$D$7),(Budget[Amount])))</f>
        <v>1459658.04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-1459658.04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55200</v>
      </c>
      <c r="D70" s="245">
        <f t="array" ref="D70">SUM(IF((Budget[Account Code]=B70)*(Budget[Ofc Code]=$G$4)*(Budget[Date]&lt;=$D$7),(Budget[Amount])))</f>
        <v>55200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-55200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158850</v>
      </c>
      <c r="D71" s="245">
        <f t="array" ref="D71">SUM(IF((Budget[Account Code]=B71)*(Budget[Ofc Code]=$G$4)*(Budget[Date]&lt;=$D$7),(Budget[Amount])))</f>
        <v>158850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-158850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55200</v>
      </c>
      <c r="D72" s="245">
        <f t="array" ref="D72">SUM(IF((Budget[Account Code]=B72)*(Budget[Ofc Code]=$G$4)*(Budget[Date]&lt;=$D$7),(Budget[Amount])))</f>
        <v>55200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-55200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19436279.719999999</v>
      </c>
      <c r="D76" s="252">
        <f>D77+D139</f>
        <v>19436279.719999999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-19436279.719999999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10944279.720000001</v>
      </c>
      <c r="D77" s="254">
        <f>D78+D138</f>
        <v>10944279.720000001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-10944279.720000001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10944279.720000001</v>
      </c>
      <c r="D78" s="246">
        <f>SUM(D79:D137)</f>
        <v>10944279.720000001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-10944279.720000001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178560</v>
      </c>
      <c r="D79" s="245">
        <f t="array" ref="D79">SUM(IF((Budget[Account Code]=B79)*(Budget[Ofc Code]=$G$4)*(Budget[Date]&lt;=$D$7),(Budget[Amount])))</f>
        <v>178560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-178560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75000</v>
      </c>
      <c r="D81" s="245">
        <f t="array" ref="D81">SUM(IF((Budget[Account Code]=B81)*(Budget[Ofc Code]=$G$4)*(Budget[Date]&lt;=$D$7),(Budget[Amount])))</f>
        <v>75000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-75000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198000</v>
      </c>
      <c r="D82" s="245">
        <f t="array" ref="D82">SUM(IF((Budget[Account Code]=B82)*(Budget[Ofc Code]=$G$4)*(Budget[Date]&lt;=$D$7),(Budget[Amount])))</f>
        <v>198000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-198000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143000</v>
      </c>
      <c r="D83" s="245">
        <f t="array" ref="D83">SUM(IF((Budget[Account Code]=B83)*(Budget[Ofc Code]=$G$4)*(Budget[Date]&lt;=$D$7),(Budget[Amount])))</f>
        <v>143000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-143000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11000.04</v>
      </c>
      <c r="D84" s="245">
        <f t="array" ref="D84">SUM(IF((Budget[Account Code]=B84)*(Budget[Ofc Code]=$G$4)*(Budget[Date]&lt;=$D$7),(Budget[Amount])))</f>
        <v>11000.04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-11000.04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5499.96</v>
      </c>
      <c r="D85" s="245">
        <f t="array" ref="D85">SUM(IF((Budget[Account Code]=B85)*(Budget[Ofc Code]=$G$4)*(Budget[Date]&lt;=$D$7),(Budget[Amount])))</f>
        <v>5499.96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-5499.96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3596821.8</v>
      </c>
      <c r="D86" s="245">
        <f t="array" ref="D86">SUM(IF((Budget[Account Code]=B86)*(Budget[Ofc Code]=$G$4)*(Budget[Date]&lt;=$D$7),(Budget[Amount])))</f>
        <v>3596821.8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-3596821.8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176000.04</v>
      </c>
      <c r="D88" s="245">
        <f t="array" ref="D88">SUM(IF((Budget[Account Code]=B88)*(Budget[Ofc Code]=$G$4)*(Budget[Date]&lt;=$D$7),(Budget[Amount])))</f>
        <v>176000.04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-176000.04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134199.96</v>
      </c>
      <c r="D89" s="245">
        <f t="array" ref="D89">SUM(IF((Budget[Account Code]=B89)*(Budget[Ofc Code]=$G$4)*(Budget[Date]&lt;=$D$7),(Budget[Amount])))</f>
        <v>134199.96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-134199.96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2569599.96</v>
      </c>
      <c r="D90" s="245">
        <f t="array" ref="D90">SUM(IF((Budget[Account Code]=B90)*(Budget[Ofc Code]=$G$4)*(Budget[Date]&lt;=$D$7),(Budget[Amount])))</f>
        <v>2569599.96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-2569599.96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9999.9599999999991</v>
      </c>
      <c r="D93" s="245">
        <f t="array" ref="D93">SUM(IF((Budget[Account Code]=B93)*(Budget[Ofc Code]=$G$4)*(Budget[Date]&lt;=$D$7),(Budget[Amount])))</f>
        <v>9999.9599999999991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-9999.9599999999991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162360</v>
      </c>
      <c r="D94" s="245">
        <f t="array" ref="D94">SUM(IF((Budget[Account Code]=B94)*(Budget[Ofc Code]=$G$4)*(Budget[Date]&lt;=$D$7),(Budget[Amount])))</f>
        <v>162360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-162360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30360</v>
      </c>
      <c r="D95" s="245">
        <f t="array" ref="D95">SUM(IF((Budget[Account Code]=B95)*(Budget[Ofc Code]=$G$4)*(Budget[Date]&lt;=$D$7),(Budget[Amount])))</f>
        <v>30360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-30360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0</v>
      </c>
      <c r="D96" s="245">
        <f t="array" ref="D96">SUM(IF((Budget[Account Code]=B96)*(Budget[Ofc Code]=$G$4)*(Budget[Date]&lt;=$D$7),(Budget[Amount])))</f>
        <v>0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0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9999.9599999999991</v>
      </c>
      <c r="D99" s="245">
        <f t="array" ref="D99">SUM(IF((Budget[Account Code]=B99)*(Budget[Ofc Code]=$G$4)*(Budget[Date]&lt;=$D$7),(Budget[Amount])))</f>
        <v>9999.9599999999991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-9999.9599999999991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174300</v>
      </c>
      <c r="D111" s="245">
        <f t="array" ref="D111">SUM(IF((Budget[Account Code]=B111)*(Budget[Ofc Code]=$G$4)*(Budget[Date]&lt;=$D$7),(Budget[Amount])))</f>
        <v>174300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-174300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2550000.04</v>
      </c>
      <c r="D112" s="245">
        <f t="array" ref="D112">SUM(IF((Budget[Account Code]=B112)*(Budget[Ofc Code]=$G$4)*(Budget[Date]&lt;=$D$7),(Budget[Amount])))</f>
        <v>2550000.04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-2550000.04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919578</v>
      </c>
      <c r="D118" s="245">
        <f t="array" ref="D118">SUM(IF((Budget[Account Code]=B118)*(Budget[Ofc Code]=$G$4)*(Budget[Date]&lt;=$D$7),(Budget[Amount])))</f>
        <v>919578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-919578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0</v>
      </c>
      <c r="D125" s="245">
        <f t="array" ref="D125">SUM(IF((Budget[Account Code]=B125)*(Budget[Ofc Code]=$G$4)*(Budget[Date]&lt;=$D$7),(Budget[Amount])))</f>
        <v>0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0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8492000</v>
      </c>
      <c r="D139" s="242">
        <f>SUM(D140:D143)</f>
        <v>8492000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-8492000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8492000</v>
      </c>
      <c r="D140" s="245">
        <f t="array" ref="D140">SUM(IF((Budget[Account Code]=B140)*(Budget[Ofc Code]=$G$4)*(Budget[Date]&lt;=$D$7),(Budget[Amount])))</f>
        <v>8492000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-8492000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15000000</v>
      </c>
      <c r="D144" s="252">
        <f>D145+D146</f>
        <v>15000000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-15000000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15000000</v>
      </c>
      <c r="D145" s="245">
        <f t="array" ref="D145">SUM(IF((Budget[Account Code]=B145)*(Budget[Ofc Code]=$G$4)*(Budget[Date]&lt;=$D$7),(Budget[Amount])))</f>
        <v>15000000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-15000000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52085801.759999998</v>
      </c>
      <c r="D147" s="250">
        <f>D50+D76+D144</f>
        <v>52085801.759999998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-52085801.759999998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-20735801.760000002</v>
      </c>
      <c r="D148" s="250">
        <f>D48-D147</f>
        <v>-20735801.760000002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20735801.760000002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0.6</v>
      </c>
      <c r="D149" s="250">
        <f>D48/D147</f>
        <v>0.6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-20735801.760000002</v>
      </c>
      <c r="D152" s="250">
        <f>D148+D150+D151</f>
        <v>-20735801.760000002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20735801.760000002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0.6</v>
      </c>
      <c r="D153" s="250">
        <f>D48/(D147-D150-D151)</f>
        <v>0.6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1015266</v>
      </c>
      <c r="D156" s="245">
        <f t="array" ref="D156">SUM(IF((Budget[Account Code]=B156)*(Budget[Ofc Code]=$G$4)*(Budget[Date]&lt;=$D$7),(Budget[Amount])))</f>
        <v>1015266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-1015266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0</v>
      </c>
      <c r="D157" s="245">
        <f t="array" ref="D157">SUM(IF((Budget[Account Code]=B157)*(Budget[Ofc Code]=$G$4)*(Budget[Date]&lt;=$D$7),(Budget[Amount])))</f>
        <v>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35000</v>
      </c>
      <c r="D158" s="245">
        <f t="array" ref="D158">SUM(IF((Budget[Account Code]=B158)*(Budget[Ofc Code]=$G$4)*(Budget[Date]&lt;=$D$7),(Budget[Amount])))</f>
        <v>35000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-35000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80000</v>
      </c>
      <c r="D160" s="245">
        <f t="array" ref="D160">SUM(IF((Budget[Account Code]=B160)*(Budget[Ofc Code]=$G$4)*(Budget[Date]&lt;=$D$7),(Budget[Amount])))</f>
        <v>80000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-80000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1566176.04</v>
      </c>
      <c r="D162" s="245">
        <f t="array" ref="D162">SUM(IF((Budget[Account Code]=B162)*(Budget[Ofc Code]=$G$4)*(Budget[Date]&lt;=$D$7),(Budget[Amount])))</f>
        <v>1566176.04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-1566176.04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2696442.04</v>
      </c>
      <c r="D164" s="250">
        <f>SUM(D155:D163)</f>
        <v>2696442.04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-2696442.04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54782243.799999997</v>
      </c>
      <c r="D165" s="250">
        <f>D147+D164</f>
        <v>54782243.799999997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-54782243.799999997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-23432243.800000001</v>
      </c>
      <c r="D166" s="250">
        <f>D48-D165</f>
        <v>-23432243.800000001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23432243.800000001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0.56999999999999995</v>
      </c>
      <c r="D167" s="250">
        <f>D48/D165</f>
        <v>0.56999999999999995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-23432243.800000001</v>
      </c>
      <c r="D170" s="250">
        <f>D166+D168+D169</f>
        <v>-23432243.800000001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23432243.800000001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0.56999999999999995</v>
      </c>
      <c r="D171" s="250">
        <f>D48/(D165-D168-D169)</f>
        <v>0.56999999999999995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4000000</v>
      </c>
      <c r="D175" s="245">
        <f t="array" ref="D175">SUM(IF((Budget[Account Code]=B175)*(Budget[Ofc Code]=$G$4)*(Budget[Date]&lt;=$D$7),(Budget[Amount])))</f>
        <v>4000000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-4000000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4000000</v>
      </c>
      <c r="D177" s="250">
        <f>SUM(D174:D176)</f>
        <v>4000000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-4000000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58782243.799999997</v>
      </c>
      <c r="D178" s="250">
        <f>D165+D177</f>
        <v>58782243.799999997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-58782243.799999997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-27432243.800000001</v>
      </c>
      <c r="D179" s="250">
        <f>D48-D178</f>
        <v>-27432243.800000001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27432243.800000001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0.53</v>
      </c>
      <c r="D184" s="265">
        <f>D48/(D178-D181-D182)</f>
        <v>0.53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Ilocos Norte INIS</v>
      </c>
      <c r="C4" s="332"/>
      <c r="G4" s="331" t="s">
        <v>488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400000</v>
      </c>
      <c r="D9" s="242">
        <f>D10+D11</f>
        <v>400000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-400000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400000</v>
      </c>
      <c r="D11" s="245">
        <f>SUM(D12:D14)</f>
        <v>400000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-400000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400000</v>
      </c>
      <c r="D12" s="245">
        <f t="array" ref="D12">SUM(IF((Budget[Account Code]=B12)*(Budget[Ofc Code]=$G$4)*(Budget[Date]&lt;=$D$7),(Budget[Amount])))</f>
        <v>400000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-400000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0</v>
      </c>
      <c r="D15" s="248">
        <f>SUM(D16:D18)</f>
        <v>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0</v>
      </c>
      <c r="D17" s="245">
        <f t="array" ref="D17">SUM(IF((Budget[Account Code]=B17)*(Budget[Ofc Code]=$G$4)*(Budget[Date]&lt;=$D$7),(Budget[Amount])))</f>
        <v>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400000</v>
      </c>
      <c r="D24" s="250">
        <f>D9+D15+D19</f>
        <v>400000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-400000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1662078.06</v>
      </c>
      <c r="D27" s="248">
        <f>SUM(D28:D29)</f>
        <v>1662078.06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-1662078.06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525000</v>
      </c>
      <c r="D28" s="245">
        <f t="array" ref="D28">SUM(IF((Budget[Account Code]=B28)*(Budget[Ofc Code]=$G$4)*(Budget[Date]&lt;=$D$7),(Budget[Amount])))</f>
        <v>525000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-525000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1137078.06</v>
      </c>
      <c r="D29" s="245">
        <f>SUM(D30:D31)</f>
        <v>1137078.06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-1137078.06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1137078.06</v>
      </c>
      <c r="D30" s="245">
        <f t="array" ref="D30">SUM(IF((Budget[Account Code]=B30)*(Budget[Ofc Code]=$G$4)*(Budget[Date]&lt;=$D$7),(Budget[Amount])))</f>
        <v>1137078.06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-1137078.06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100000</v>
      </c>
      <c r="D36" s="248">
        <f>SUM(D37:D45)</f>
        <v>100000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-100000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100000</v>
      </c>
      <c r="D44" s="245">
        <f t="array" ref="D44">SUM(IF((Budget[Account Code]=B44)*(Budget[Ofc Code]=$G$4)*(Budget[Date]&lt;=$D$7),(Budget[Amount])))</f>
        <v>100000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-100000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1762078.06</v>
      </c>
      <c r="D47" s="250">
        <f>D26+D27+D32+D36+D46</f>
        <v>1762078.06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-1762078.06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2162078.06</v>
      </c>
      <c r="D48" s="250">
        <f>D24+D47</f>
        <v>2162078.06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-2162078.06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2384290.3199999998</v>
      </c>
      <c r="D50" s="242">
        <f>D51+D75</f>
        <v>2384290.3199999998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-2384290.3199999998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2384290.3199999998</v>
      </c>
      <c r="D51" s="246">
        <f>SUM(D52:D74)</f>
        <v>2384290.3199999998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-2384290.3199999998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1457256</v>
      </c>
      <c r="D52" s="245">
        <f t="array" ref="D52">SUM(IF((Budget[Account Code]=B52)*(Budget[Ofc Code]=$G$4)*(Budget[Date]&lt;=$D$7),(Budget[Amount])))</f>
        <v>1457256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-1457256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172080</v>
      </c>
      <c r="D53" s="245">
        <f t="array" ref="D53">SUM(IF((Budget[Account Code]=B53)*(Budget[Ofc Code]=$G$4)*(Budget[Date]&lt;=$D$7),(Budget[Amount])))</f>
        <v>172080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-172080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168000</v>
      </c>
      <c r="D55" s="245">
        <f t="array" ref="D55">SUM(IF((Budget[Account Code]=B55)*(Budget[Ofc Code]=$G$4)*(Budget[Date]&lt;=$D$7),(Budget[Amount])))</f>
        <v>168000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-168000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0</v>
      </c>
      <c r="D56" s="245">
        <f t="array" ref="D56">SUM(IF((Budget[Account Code]=B56)*(Budget[Ofc Code]=$G$4)*(Budget[Date]&lt;=$D$7),(Budget[Amount])))</f>
        <v>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35000</v>
      </c>
      <c r="D58" s="245">
        <f t="array" ref="D58">SUM(IF((Budget[Account Code]=B58)*(Budget[Ofc Code]=$G$4)*(Budget[Date]&lt;=$D$7),(Budget[Amount])))</f>
        <v>35000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-35000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9600</v>
      </c>
      <c r="D61" s="245">
        <f t="array" ref="D61">SUM(IF((Budget[Account Code]=B61)*(Budget[Ofc Code]=$G$4)*(Budget[Date]&lt;=$D$7),(Budget[Amount])))</f>
        <v>9600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-9600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3132</v>
      </c>
      <c r="D62" s="245">
        <f t="array" ref="D62">SUM(IF((Budget[Account Code]=B62)*(Budget[Ofc Code]=$G$4)*(Budget[Date]&lt;=$D$7),(Budget[Amount])))</f>
        <v>3132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-3132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1800</v>
      </c>
      <c r="D63" s="245">
        <f t="array" ref="D63">SUM(IF((Budget[Account Code]=B63)*(Budget[Ofc Code]=$G$4)*(Budget[Date]&lt;=$D$7),(Budget[Amount])))</f>
        <v>1800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-1800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0</v>
      </c>
      <c r="D65" s="245">
        <f t="array" ref="D65">SUM(IF((Budget[Account Code]=B65)*(Budget[Ofc Code]=$G$4)*(Budget[Date]&lt;=$D$7),(Budget[Amount])))</f>
        <v>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35000</v>
      </c>
      <c r="D67" s="245">
        <f t="array" ref="D67">SUM(IF((Budget[Account Code]=B67)*(Budget[Ofc Code]=$G$4)*(Budget[Date]&lt;=$D$7),(Budget[Amount])))</f>
        <v>35000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-35000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271556</v>
      </c>
      <c r="D68" s="245">
        <f t="array" ref="D68">SUM(IF((Budget[Account Code]=B68)*(Budget[Ofc Code]=$G$4)*(Budget[Date]&lt;=$D$7),(Budget[Amount])))</f>
        <v>271556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-271556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195520.32</v>
      </c>
      <c r="D69" s="245">
        <f t="array" ref="D69">SUM(IF((Budget[Account Code]=B69)*(Budget[Ofc Code]=$G$4)*(Budget[Date]&lt;=$D$7),(Budget[Amount])))</f>
        <v>195520.32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-195520.32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9300</v>
      </c>
      <c r="D70" s="245">
        <f t="array" ref="D70">SUM(IF((Budget[Account Code]=B70)*(Budget[Ofc Code]=$G$4)*(Budget[Date]&lt;=$D$7),(Budget[Amount])))</f>
        <v>9300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-9300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17646</v>
      </c>
      <c r="D71" s="245">
        <f t="array" ref="D71">SUM(IF((Budget[Account Code]=B71)*(Budget[Ofc Code]=$G$4)*(Budget[Date]&lt;=$D$7),(Budget[Amount])))</f>
        <v>17646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-17646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8400</v>
      </c>
      <c r="D72" s="245">
        <f t="array" ref="D72">SUM(IF((Budget[Account Code]=B72)*(Budget[Ofc Code]=$G$4)*(Budget[Date]&lt;=$D$7),(Budget[Amount])))</f>
        <v>8400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-8400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1284482.33</v>
      </c>
      <c r="D76" s="252">
        <f>D77+D139</f>
        <v>1284482.33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-1284482.33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1106482.3700000001</v>
      </c>
      <c r="D77" s="254">
        <f>D78+D138</f>
        <v>1106482.3700000001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-1106482.3700000001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1106482.3700000001</v>
      </c>
      <c r="D78" s="246">
        <f>SUM(D79:D137)</f>
        <v>1106482.3700000001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-1106482.3700000001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28800</v>
      </c>
      <c r="D79" s="245">
        <f t="array" ref="D79">SUM(IF((Budget[Account Code]=B79)*(Budget[Ofc Code]=$G$4)*(Budget[Date]&lt;=$D$7),(Budget[Amount])))</f>
        <v>28800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-28800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82500</v>
      </c>
      <c r="D82" s="245">
        <f t="array" ref="D82">SUM(IF((Budget[Account Code]=B82)*(Budget[Ofc Code]=$G$4)*(Budget[Date]&lt;=$D$7),(Budget[Amount])))</f>
        <v>82500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-82500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5499.96</v>
      </c>
      <c r="D85" s="245">
        <f t="array" ref="D85">SUM(IF((Budget[Account Code]=B85)*(Budget[Ofc Code]=$G$4)*(Budget[Date]&lt;=$D$7),(Budget[Amount])))</f>
        <v>5499.96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-5499.96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229985.16</v>
      </c>
      <c r="D86" s="245">
        <f t="array" ref="D86">SUM(IF((Budget[Account Code]=B86)*(Budget[Ofc Code]=$G$4)*(Budget[Date]&lt;=$D$7),(Budget[Amount])))</f>
        <v>229985.16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-229985.16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44000.04</v>
      </c>
      <c r="D88" s="245">
        <f t="array" ref="D88">SUM(IF((Budget[Account Code]=B88)*(Budget[Ofc Code]=$G$4)*(Budget[Date]&lt;=$D$7),(Budget[Amount])))</f>
        <v>44000.04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-44000.04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0</v>
      </c>
      <c r="D89" s="245">
        <f t="array" ref="D89">SUM(IF((Budget[Account Code]=B89)*(Budget[Ofc Code]=$G$4)*(Budget[Date]&lt;=$D$7),(Budget[Amount])))</f>
        <v>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54999.96</v>
      </c>
      <c r="D90" s="245">
        <f t="array" ref="D90">SUM(IF((Budget[Account Code]=B90)*(Budget[Ofc Code]=$G$4)*(Budget[Date]&lt;=$D$7),(Budget[Amount])))</f>
        <v>54999.96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-54999.96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39600</v>
      </c>
      <c r="D94" s="245">
        <f t="array" ref="D94">SUM(IF((Budget[Account Code]=B94)*(Budget[Ofc Code]=$G$4)*(Budget[Date]&lt;=$D$7),(Budget[Amount])))</f>
        <v>39600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-39600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0</v>
      </c>
      <c r="D95" s="245">
        <f t="array" ref="D95">SUM(IF((Budget[Account Code]=B95)*(Budget[Ofc Code]=$G$4)*(Budget[Date]&lt;=$D$7),(Budget[Amount])))</f>
        <v>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0</v>
      </c>
      <c r="D96" s="245">
        <f t="array" ref="D96">SUM(IF((Budget[Account Code]=B96)*(Budget[Ofc Code]=$G$4)*(Budget[Date]&lt;=$D$7),(Budget[Amount])))</f>
        <v>0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0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38400</v>
      </c>
      <c r="D111" s="245">
        <f t="array" ref="D111">SUM(IF((Budget[Account Code]=B111)*(Budget[Ofc Code]=$G$4)*(Budget[Date]&lt;=$D$7),(Budget[Amount])))</f>
        <v>38400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-38400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500000.04</v>
      </c>
      <c r="D112" s="245">
        <f t="array" ref="D112">SUM(IF((Budget[Account Code]=B112)*(Budget[Ofc Code]=$G$4)*(Budget[Date]&lt;=$D$7),(Budget[Amount])))</f>
        <v>500000.04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-500000.04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61448.639999999999</v>
      </c>
      <c r="D118" s="245">
        <f t="array" ref="D118">SUM(IF((Budget[Account Code]=B118)*(Budget[Ofc Code]=$G$4)*(Budget[Date]&lt;=$D$7),(Budget[Amount])))</f>
        <v>61448.639999999999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-61448.639999999999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21248.57</v>
      </c>
      <c r="D125" s="245">
        <f t="array" ref="D125">SUM(IF((Budget[Account Code]=B125)*(Budget[Ofc Code]=$G$4)*(Budget[Date]&lt;=$D$7),(Budget[Amount])))</f>
        <v>21248.57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-21248.57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177999.96</v>
      </c>
      <c r="D139" s="242">
        <f>SUM(D140:D143)</f>
        <v>177999.96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-177999.96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177999.96</v>
      </c>
      <c r="D140" s="245">
        <f t="array" ref="D140">SUM(IF((Budget[Account Code]=B140)*(Budget[Ofc Code]=$G$4)*(Budget[Date]&lt;=$D$7),(Budget[Amount])))</f>
        <v>177999.96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-177999.96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3668772.65</v>
      </c>
      <c r="D147" s="250">
        <f>D50+D76+D144</f>
        <v>3668772.65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-3668772.65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-1506694.59</v>
      </c>
      <c r="D148" s="250">
        <f>D48-D147</f>
        <v>-1506694.59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1506694.59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0.59</v>
      </c>
      <c r="D149" s="250">
        <f>D48/D147</f>
        <v>0.59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-1506694.59</v>
      </c>
      <c r="D152" s="250">
        <f>D148+D150+D151</f>
        <v>-1506694.59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1506694.59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0.59</v>
      </c>
      <c r="D153" s="250">
        <f>D48/(D147-D150-D151)</f>
        <v>0.59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135778</v>
      </c>
      <c r="D156" s="245">
        <f t="array" ref="D156">SUM(IF((Budget[Account Code]=B156)*(Budget[Ofc Code]=$G$4)*(Budget[Date]&lt;=$D$7),(Budget[Amount])))</f>
        <v>135778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-135778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0</v>
      </c>
      <c r="D157" s="245">
        <f t="array" ref="D157">SUM(IF((Budget[Account Code]=B157)*(Budget[Ofc Code]=$G$4)*(Budget[Date]&lt;=$D$7),(Budget[Amount])))</f>
        <v>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15000</v>
      </c>
      <c r="D158" s="245">
        <f t="array" ref="D158">SUM(IF((Budget[Account Code]=B158)*(Budget[Ofc Code]=$G$4)*(Budget[Date]&lt;=$D$7),(Budget[Amount])))</f>
        <v>15000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-15000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217407.29</v>
      </c>
      <c r="D162" s="245">
        <f t="array" ref="D162">SUM(IF((Budget[Account Code]=B162)*(Budget[Ofc Code]=$G$4)*(Budget[Date]&lt;=$D$7),(Budget[Amount])))</f>
        <v>217407.29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-217407.29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368185.29</v>
      </c>
      <c r="D164" s="250">
        <f>SUM(D155:D163)</f>
        <v>368185.29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-368185.29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4036957.94</v>
      </c>
      <c r="D165" s="250">
        <f>D147+D164</f>
        <v>4036957.94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-4036957.94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-1874879.88</v>
      </c>
      <c r="D166" s="250">
        <f>D48-D165</f>
        <v>-1874879.88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1874879.88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0.54</v>
      </c>
      <c r="D167" s="250">
        <f>D48/D165</f>
        <v>0.54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-1874879.88</v>
      </c>
      <c r="D170" s="250">
        <f>D166+D168+D169</f>
        <v>-1874879.88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1874879.88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0.54</v>
      </c>
      <c r="D171" s="250">
        <f>D48/(D165-D168-D169)</f>
        <v>0.54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0</v>
      </c>
      <c r="D175" s="245">
        <f t="array" ref="D175">SUM(IF((Budget[Account Code]=B175)*(Budget[Ofc Code]=$G$4)*(Budget[Date]&lt;=$D$7),(Budget[Amount])))</f>
        <v>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4036957.94</v>
      </c>
      <c r="D178" s="250">
        <f>D165+D177</f>
        <v>4036957.94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-4036957.94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-1874879.88</v>
      </c>
      <c r="D179" s="250">
        <f>D48-D178</f>
        <v>-1874879.88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1874879.88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0.54</v>
      </c>
      <c r="D184" s="265">
        <f>D48/(D178-D181-D182)</f>
        <v>0.54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Ilocos Norte NISRIP</v>
      </c>
      <c r="C4" s="332"/>
      <c r="G4" s="331" t="s">
        <v>489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0</v>
      </c>
      <c r="D15" s="248">
        <f>SUM(D16:D18)</f>
        <v>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0</v>
      </c>
      <c r="D17" s="245">
        <f t="array" ref="D17">SUM(IF((Budget[Account Code]=B17)*(Budget[Ofc Code]=$G$4)*(Budget[Date]&lt;=$D$7),(Budget[Amount])))</f>
        <v>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0</v>
      </c>
      <c r="D24" s="250">
        <f>D9+D15+D19</f>
        <v>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2100000</v>
      </c>
      <c r="D27" s="248">
        <f>SUM(D28:D29)</f>
        <v>2100000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-2100000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1200000</v>
      </c>
      <c r="D28" s="245">
        <f t="array" ref="D28">SUM(IF((Budget[Account Code]=B28)*(Budget[Ofc Code]=$G$4)*(Budget[Date]&lt;=$D$7),(Budget[Amount])))</f>
        <v>1200000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-1200000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900000</v>
      </c>
      <c r="D29" s="245">
        <f>SUM(D30:D31)</f>
        <v>900000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-900000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900000</v>
      </c>
      <c r="D30" s="245">
        <f t="array" ref="D30">SUM(IF((Budget[Account Code]=B30)*(Budget[Ofc Code]=$G$4)*(Budget[Date]&lt;=$D$7),(Budget[Amount])))</f>
        <v>900000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-900000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0</v>
      </c>
      <c r="D36" s="248">
        <f>SUM(D37:D45)</f>
        <v>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0</v>
      </c>
      <c r="D44" s="245">
        <f t="array" ref="D44">SUM(IF((Budget[Account Code]=B44)*(Budget[Ofc Code]=$G$4)*(Budget[Date]&lt;=$D$7),(Budget[Amount])))</f>
        <v>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2100000</v>
      </c>
      <c r="D47" s="250">
        <f>D26+D27+D32+D36+D46</f>
        <v>2100000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-2100000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2100000</v>
      </c>
      <c r="D48" s="250">
        <f>D24+D47</f>
        <v>2100000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-2100000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451426.56</v>
      </c>
      <c r="D50" s="242">
        <f>D51+D75</f>
        <v>451426.56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-451426.56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451426.56</v>
      </c>
      <c r="D51" s="246">
        <f>SUM(D52:D74)</f>
        <v>451426.56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-451426.56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319488</v>
      </c>
      <c r="D52" s="245">
        <f t="array" ref="D52">SUM(IF((Budget[Account Code]=B52)*(Budget[Ofc Code]=$G$4)*(Budget[Date]&lt;=$D$7),(Budget[Amount])))</f>
        <v>319488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-319488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0</v>
      </c>
      <c r="D53" s="245">
        <f t="array" ref="D53">SUM(IF((Budget[Account Code]=B53)*(Budget[Ofc Code]=$G$4)*(Budget[Date]&lt;=$D$7),(Budget[Amount])))</f>
        <v>0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0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24000</v>
      </c>
      <c r="D55" s="245">
        <f t="array" ref="D55">SUM(IF((Budget[Account Code]=B55)*(Budget[Ofc Code]=$G$4)*(Budget[Date]&lt;=$D$7),(Budget[Amount])))</f>
        <v>24000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-24000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0</v>
      </c>
      <c r="D56" s="245">
        <f t="array" ref="D56">SUM(IF((Budget[Account Code]=B56)*(Budget[Ofc Code]=$G$4)*(Budget[Date]&lt;=$D$7),(Budget[Amount])))</f>
        <v>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5000</v>
      </c>
      <c r="D58" s="245">
        <f t="array" ref="D58">SUM(IF((Budget[Account Code]=B58)*(Budget[Ofc Code]=$G$4)*(Budget[Date]&lt;=$D$7),(Budget[Amount])))</f>
        <v>5000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-5000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0</v>
      </c>
      <c r="D61" s="245">
        <f t="array" ref="D61">SUM(IF((Budget[Account Code]=B61)*(Budget[Ofc Code]=$G$4)*(Budget[Date]&lt;=$D$7),(Budget[Amount])))</f>
        <v>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0</v>
      </c>
      <c r="D62" s="245">
        <f t="array" ref="D62">SUM(IF((Budget[Account Code]=B62)*(Budget[Ofc Code]=$G$4)*(Budget[Date]&lt;=$D$7),(Budget[Amount])))</f>
        <v>0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0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0</v>
      </c>
      <c r="D63" s="245">
        <f t="array" ref="D63">SUM(IF((Budget[Account Code]=B63)*(Budget[Ofc Code]=$G$4)*(Budget[Date]&lt;=$D$7),(Budget[Amount])))</f>
        <v>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0</v>
      </c>
      <c r="D65" s="245">
        <f t="array" ref="D65">SUM(IF((Budget[Account Code]=B65)*(Budget[Ofc Code]=$G$4)*(Budget[Date]&lt;=$D$7),(Budget[Amount])))</f>
        <v>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5000</v>
      </c>
      <c r="D67" s="245">
        <f t="array" ref="D67">SUM(IF((Budget[Account Code]=B67)*(Budget[Ofc Code]=$G$4)*(Budget[Date]&lt;=$D$7),(Budget[Amount])))</f>
        <v>5000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-5000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53300</v>
      </c>
      <c r="D68" s="245">
        <f t="array" ref="D68">SUM(IF((Budget[Account Code]=B68)*(Budget[Ofc Code]=$G$4)*(Budget[Date]&lt;=$D$7),(Budget[Amount])))</f>
        <v>53300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-53300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38338.559999999998</v>
      </c>
      <c r="D69" s="245">
        <f t="array" ref="D69">SUM(IF((Budget[Account Code]=B69)*(Budget[Ofc Code]=$G$4)*(Budget[Date]&lt;=$D$7),(Budget[Amount])))</f>
        <v>38338.559999999998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-38338.559999999998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1200</v>
      </c>
      <c r="D70" s="245">
        <f t="array" ref="D70">SUM(IF((Budget[Account Code]=B70)*(Budget[Ofc Code]=$G$4)*(Budget[Date]&lt;=$D$7),(Budget[Amount])))</f>
        <v>1200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-1200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3900</v>
      </c>
      <c r="D71" s="245">
        <f t="array" ref="D71">SUM(IF((Budget[Account Code]=B71)*(Budget[Ofc Code]=$G$4)*(Budget[Date]&lt;=$D$7),(Budget[Amount])))</f>
        <v>3900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-3900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1200</v>
      </c>
      <c r="D72" s="245">
        <f t="array" ref="D72">SUM(IF((Budget[Account Code]=B72)*(Budget[Ofc Code]=$G$4)*(Budget[Date]&lt;=$D$7),(Budget[Amount])))</f>
        <v>1200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-1200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1287676.3799999999</v>
      </c>
      <c r="D76" s="252">
        <f>D77+D139</f>
        <v>1287676.3799999999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-1287676.3799999999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1287676.3799999999</v>
      </c>
      <c r="D77" s="254">
        <f>D78+D138</f>
        <v>1287676.3799999999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-1287676.3799999999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1287676.3799999999</v>
      </c>
      <c r="D78" s="246">
        <f>SUM(D79:D137)</f>
        <v>1287676.3799999999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-1287676.3799999999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28800</v>
      </c>
      <c r="D79" s="245">
        <f t="array" ref="D79">SUM(IF((Budget[Account Code]=B79)*(Budget[Ofc Code]=$G$4)*(Budget[Date]&lt;=$D$7),(Budget[Amount])))</f>
        <v>28800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-28800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82500</v>
      </c>
      <c r="D82" s="245">
        <f t="array" ref="D82">SUM(IF((Budget[Account Code]=B82)*(Budget[Ofc Code]=$G$4)*(Budget[Date]&lt;=$D$7),(Budget[Amount])))</f>
        <v>82500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-82500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5499.96</v>
      </c>
      <c r="D85" s="245">
        <f t="array" ref="D85">SUM(IF((Budget[Account Code]=B85)*(Budget[Ofc Code]=$G$4)*(Budget[Date]&lt;=$D$7),(Budget[Amount])))</f>
        <v>5499.96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-5499.96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324365.15999999997</v>
      </c>
      <c r="D86" s="245">
        <f t="array" ref="D86">SUM(IF((Budget[Account Code]=B86)*(Budget[Ofc Code]=$G$4)*(Budget[Date]&lt;=$D$7),(Budget[Amount])))</f>
        <v>324365.15999999997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-324365.15999999997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44000.04</v>
      </c>
      <c r="D88" s="245">
        <f t="array" ref="D88">SUM(IF((Budget[Account Code]=B88)*(Budget[Ofc Code]=$G$4)*(Budget[Date]&lt;=$D$7),(Budget[Amount])))</f>
        <v>44000.04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-44000.04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19800</v>
      </c>
      <c r="D89" s="245">
        <f t="array" ref="D89">SUM(IF((Budget[Account Code]=B89)*(Budget[Ofc Code]=$G$4)*(Budget[Date]&lt;=$D$7),(Budget[Amount])))</f>
        <v>19800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-19800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125400</v>
      </c>
      <c r="D90" s="245">
        <f t="array" ref="D90">SUM(IF((Budget[Account Code]=B90)*(Budget[Ofc Code]=$G$4)*(Budget[Date]&lt;=$D$7),(Budget[Amount])))</f>
        <v>125400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-125400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39600</v>
      </c>
      <c r="D94" s="245">
        <f t="array" ref="D94">SUM(IF((Budget[Account Code]=B94)*(Budget[Ofc Code]=$G$4)*(Budget[Date]&lt;=$D$7),(Budget[Amount])))</f>
        <v>39600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-39600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0</v>
      </c>
      <c r="D95" s="245">
        <f t="array" ref="D95">SUM(IF((Budget[Account Code]=B95)*(Budget[Ofc Code]=$G$4)*(Budget[Date]&lt;=$D$7),(Budget[Amount])))</f>
        <v>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0</v>
      </c>
      <c r="D96" s="245">
        <f t="array" ref="D96">SUM(IF((Budget[Account Code]=B96)*(Budget[Ofc Code]=$G$4)*(Budget[Date]&lt;=$D$7),(Budget[Amount])))</f>
        <v>0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0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37500</v>
      </c>
      <c r="D111" s="245">
        <f t="array" ref="D111">SUM(IF((Budget[Account Code]=B111)*(Budget[Ofc Code]=$G$4)*(Budget[Date]&lt;=$D$7),(Budget[Amount])))</f>
        <v>37500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-37500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500000.04</v>
      </c>
      <c r="D112" s="245">
        <f t="array" ref="D112">SUM(IF((Budget[Account Code]=B112)*(Budget[Ofc Code]=$G$4)*(Budget[Date]&lt;=$D$7),(Budget[Amount])))</f>
        <v>500000.04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-500000.04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66000</v>
      </c>
      <c r="D118" s="245">
        <f t="array" ref="D118">SUM(IF((Budget[Account Code]=B118)*(Budget[Ofc Code]=$G$4)*(Budget[Date]&lt;=$D$7),(Budget[Amount])))</f>
        <v>66000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-66000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14211.18</v>
      </c>
      <c r="D125" s="245">
        <f t="array" ref="D125">SUM(IF((Budget[Account Code]=B125)*(Budget[Ofc Code]=$G$4)*(Budget[Date]&lt;=$D$7),(Budget[Amount])))</f>
        <v>14211.18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-14211.18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0</v>
      </c>
      <c r="D139" s="242">
        <f>SUM(D140:D143)</f>
        <v>0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0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0</v>
      </c>
      <c r="D140" s="245">
        <f t="array" ref="D140">SUM(IF((Budget[Account Code]=B140)*(Budget[Ofc Code]=$G$4)*(Budget[Date]&lt;=$D$7),(Budget[Amount])))</f>
        <v>0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0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1739102.94</v>
      </c>
      <c r="D147" s="250">
        <f>D50+D76+D144</f>
        <v>1739102.94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-1739102.94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360897.06</v>
      </c>
      <c r="D148" s="250">
        <f>D48-D147</f>
        <v>360897.06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-360897.06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1.21</v>
      </c>
      <c r="D149" s="250">
        <f>D48/D147</f>
        <v>1.21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360897.06</v>
      </c>
      <c r="D152" s="250">
        <f>D148+D150+D151</f>
        <v>360897.06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-360897.06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1.21</v>
      </c>
      <c r="D153" s="250">
        <f>D48/(D147-D150-D151)</f>
        <v>1.21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26806</v>
      </c>
      <c r="D156" s="245">
        <f t="array" ref="D156">SUM(IF((Budget[Account Code]=B156)*(Budget[Ofc Code]=$G$4)*(Budget[Date]&lt;=$D$7),(Budget[Amount])))</f>
        <v>26806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-26806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0</v>
      </c>
      <c r="D157" s="245">
        <f t="array" ref="D157">SUM(IF((Budget[Account Code]=B157)*(Budget[Ofc Code]=$G$4)*(Budget[Date]&lt;=$D$7),(Budget[Amount])))</f>
        <v>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0</v>
      </c>
      <c r="D158" s="245">
        <f t="array" ref="D158">SUM(IF((Budget[Account Code]=B158)*(Budget[Ofc Code]=$G$4)*(Budget[Date]&lt;=$D$7),(Budget[Amount])))</f>
        <v>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0</v>
      </c>
      <c r="D162" s="245">
        <f t="array" ref="D162">SUM(IF((Budget[Account Code]=B162)*(Budget[Ofc Code]=$G$4)*(Budget[Date]&lt;=$D$7),(Budget[Amount])))</f>
        <v>0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0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26806</v>
      </c>
      <c r="D164" s="250">
        <f>SUM(D155:D163)</f>
        <v>26806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-26806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1765908.94</v>
      </c>
      <c r="D165" s="250">
        <f>D147+D164</f>
        <v>1765908.94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-1765908.94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334091.06</v>
      </c>
      <c r="D166" s="250">
        <f>D48-D165</f>
        <v>334091.06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-334091.06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1.19</v>
      </c>
      <c r="D167" s="250">
        <f>D48/D165</f>
        <v>1.19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334091.06</v>
      </c>
      <c r="D170" s="250">
        <f>D166+D168+D169</f>
        <v>334091.06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-334091.06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1.19</v>
      </c>
      <c r="D171" s="250">
        <f>D48/(D165-D168-D169)</f>
        <v>1.19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0</v>
      </c>
      <c r="D175" s="245">
        <f t="array" ref="D175">SUM(IF((Budget[Account Code]=B175)*(Budget[Ofc Code]=$G$4)*(Budget[Date]&lt;=$D$7),(Budget[Amount])))</f>
        <v>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1765908.94</v>
      </c>
      <c r="D178" s="250">
        <f>D165+D177</f>
        <v>1765908.94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-1765908.94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334091.06</v>
      </c>
      <c r="D179" s="250">
        <f>D48-D178</f>
        <v>334091.06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-334091.06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1.19</v>
      </c>
      <c r="D184" s="265">
        <f>D48/(D178-D181-D182)</f>
        <v>1.19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Ilocos Norte SULVEC</v>
      </c>
      <c r="C4" s="332"/>
      <c r="G4" s="331" t="s">
        <v>505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0</v>
      </c>
      <c r="D15" s="248">
        <f>SUM(D16:D18)</f>
        <v>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0</v>
      </c>
      <c r="D17" s="245">
        <f t="array" ref="D17">SUM(IF((Budget[Account Code]=B17)*(Budget[Ofc Code]=$G$4)*(Budget[Date]&lt;=$D$7),(Budget[Amount])))</f>
        <v>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0</v>
      </c>
      <c r="D24" s="250">
        <f>D9+D15+D19</f>
        <v>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0</v>
      </c>
      <c r="D36" s="248">
        <f>SUM(D37:D45)</f>
        <v>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0</v>
      </c>
      <c r="D44" s="245">
        <f t="array" ref="D44">SUM(IF((Budget[Account Code]=B44)*(Budget[Ofc Code]=$G$4)*(Budget[Date]&lt;=$D$7),(Budget[Amount])))</f>
        <v>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0</v>
      </c>
      <c r="D47" s="250">
        <f>D26+D27+D32+D36+D46</f>
        <v>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0</v>
      </c>
      <c r="D48" s="250">
        <f>D24+D47</f>
        <v>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8051088.4800000004</v>
      </c>
      <c r="D50" s="242">
        <f>D51+D75</f>
        <v>8051088.4800000004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-8051088.4800000004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8051088.4800000004</v>
      </c>
      <c r="D51" s="246">
        <f>SUM(D52:D74)</f>
        <v>8051088.4800000004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-8051088.4800000004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3919953</v>
      </c>
      <c r="D52" s="245">
        <f t="array" ref="D52">SUM(IF((Budget[Account Code]=B52)*(Budget[Ofc Code]=$G$4)*(Budget[Date]&lt;=$D$7),(Budget[Amount])))</f>
        <v>3919953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-3919953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1713576</v>
      </c>
      <c r="D53" s="245">
        <f t="array" ref="D53">SUM(IF((Budget[Account Code]=B53)*(Budget[Ofc Code]=$G$4)*(Budget[Date]&lt;=$D$7),(Budget[Amount])))</f>
        <v>1713576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-1713576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504000</v>
      </c>
      <c r="D55" s="245">
        <f t="array" ref="D55">SUM(IF((Budget[Account Code]=B55)*(Budget[Ofc Code]=$G$4)*(Budget[Date]&lt;=$D$7),(Budget[Amount])))</f>
        <v>504000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-504000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0</v>
      </c>
      <c r="D56" s="245">
        <f t="array" ref="D56">SUM(IF((Budget[Account Code]=B56)*(Budget[Ofc Code]=$G$4)*(Budget[Date]&lt;=$D$7),(Budget[Amount])))</f>
        <v>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105000</v>
      </c>
      <c r="D58" s="245">
        <f t="array" ref="D58">SUM(IF((Budget[Account Code]=B58)*(Budget[Ofc Code]=$G$4)*(Budget[Date]&lt;=$D$7),(Budget[Amount])))</f>
        <v>105000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-105000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0</v>
      </c>
      <c r="D61" s="245">
        <f t="array" ref="D61">SUM(IF((Budget[Account Code]=B61)*(Budget[Ofc Code]=$G$4)*(Budget[Date]&lt;=$D$7),(Budget[Amount])))</f>
        <v>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0</v>
      </c>
      <c r="D62" s="245">
        <f t="array" ref="D62">SUM(IF((Budget[Account Code]=B62)*(Budget[Ofc Code]=$G$4)*(Budget[Date]&lt;=$D$7),(Budget[Amount])))</f>
        <v>0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0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0</v>
      </c>
      <c r="D63" s="245">
        <f t="array" ref="D63">SUM(IF((Budget[Account Code]=B63)*(Budget[Ofc Code]=$G$4)*(Budget[Date]&lt;=$D$7),(Budget[Amount])))</f>
        <v>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0</v>
      </c>
      <c r="D65" s="245">
        <f t="array" ref="D65">SUM(IF((Budget[Account Code]=B65)*(Budget[Ofc Code]=$G$4)*(Budget[Date]&lt;=$D$7),(Budget[Amount])))</f>
        <v>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105000</v>
      </c>
      <c r="D67" s="245">
        <f t="array" ref="D67">SUM(IF((Budget[Account Code]=B67)*(Budget[Ofc Code]=$G$4)*(Budget[Date]&lt;=$D$7),(Budget[Amount])))</f>
        <v>105000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-105000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939186</v>
      </c>
      <c r="D68" s="245">
        <f t="array" ref="D68">SUM(IF((Budget[Account Code]=B68)*(Budget[Ofc Code]=$G$4)*(Budget[Date]&lt;=$D$7),(Budget[Amount])))</f>
        <v>939186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-939186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676023.48</v>
      </c>
      <c r="D69" s="245">
        <f t="array" ref="D69">SUM(IF((Budget[Account Code]=B69)*(Budget[Ofc Code]=$G$4)*(Budget[Date]&lt;=$D$7),(Budget[Amount])))</f>
        <v>676023.48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-676023.48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25200</v>
      </c>
      <c r="D70" s="245">
        <f t="array" ref="D70">SUM(IF((Budget[Account Code]=B70)*(Budget[Ofc Code]=$G$4)*(Budget[Date]&lt;=$D$7),(Budget[Amount])))</f>
        <v>25200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-25200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37950</v>
      </c>
      <c r="D71" s="245">
        <f t="array" ref="D71">SUM(IF((Budget[Account Code]=B71)*(Budget[Ofc Code]=$G$4)*(Budget[Date]&lt;=$D$7),(Budget[Amount])))</f>
        <v>37950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-37950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25200</v>
      </c>
      <c r="D72" s="245">
        <f t="array" ref="D72">SUM(IF((Budget[Account Code]=B72)*(Budget[Ofc Code]=$G$4)*(Budget[Date]&lt;=$D$7),(Budget[Amount])))</f>
        <v>25200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-25200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0</v>
      </c>
      <c r="D76" s="252">
        <f>D77+D139</f>
        <v>0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0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0</v>
      </c>
      <c r="D77" s="254">
        <f>D78+D138</f>
        <v>0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0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0</v>
      </c>
      <c r="D78" s="246">
        <f>SUM(D79:D137)</f>
        <v>0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0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0</v>
      </c>
      <c r="D79" s="245">
        <f t="array" ref="D79">SUM(IF((Budget[Account Code]=B79)*(Budget[Ofc Code]=$G$4)*(Budget[Date]&lt;=$D$7),(Budget[Amount])))</f>
        <v>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0</v>
      </c>
      <c r="D82" s="245">
        <f t="array" ref="D82">SUM(IF((Budget[Account Code]=B82)*(Budget[Ofc Code]=$G$4)*(Budget[Date]&lt;=$D$7),(Budget[Amount])))</f>
        <v>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0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0</v>
      </c>
      <c r="D86" s="245">
        <f t="array" ref="D86">SUM(IF((Budget[Account Code]=B86)*(Budget[Ofc Code]=$G$4)*(Budget[Date]&lt;=$D$7),(Budget[Amount])))</f>
        <v>0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0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0</v>
      </c>
      <c r="D88" s="245">
        <f t="array" ref="D88">SUM(IF((Budget[Account Code]=B88)*(Budget[Ofc Code]=$G$4)*(Budget[Date]&lt;=$D$7),(Budget[Amount])))</f>
        <v>0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0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0</v>
      </c>
      <c r="D89" s="245">
        <f t="array" ref="D89">SUM(IF((Budget[Account Code]=B89)*(Budget[Ofc Code]=$G$4)*(Budget[Date]&lt;=$D$7),(Budget[Amount])))</f>
        <v>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0</v>
      </c>
      <c r="D90" s="245">
        <f t="array" ref="D90">SUM(IF((Budget[Account Code]=B90)*(Budget[Ofc Code]=$G$4)*(Budget[Date]&lt;=$D$7),(Budget[Amount])))</f>
        <v>0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0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0</v>
      </c>
      <c r="D94" s="245">
        <f t="array" ref="D94">SUM(IF((Budget[Account Code]=B94)*(Budget[Ofc Code]=$G$4)*(Budget[Date]&lt;=$D$7),(Budget[Amount])))</f>
        <v>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0</v>
      </c>
      <c r="D95" s="245">
        <f t="array" ref="D95">SUM(IF((Budget[Account Code]=B95)*(Budget[Ofc Code]=$G$4)*(Budget[Date]&lt;=$D$7),(Budget[Amount])))</f>
        <v>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0</v>
      </c>
      <c r="D96" s="245">
        <f t="array" ref="D96">SUM(IF((Budget[Account Code]=B96)*(Budget[Ofc Code]=$G$4)*(Budget[Date]&lt;=$D$7),(Budget[Amount])))</f>
        <v>0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0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0</v>
      </c>
      <c r="D112" s="245">
        <f t="array" ref="D112">SUM(IF((Budget[Account Code]=B112)*(Budget[Ofc Code]=$G$4)*(Budget[Date]&lt;=$D$7),(Budget[Amount])))</f>
        <v>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0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0</v>
      </c>
      <c r="D118" s="245">
        <f t="array" ref="D118">SUM(IF((Budget[Account Code]=B118)*(Budget[Ofc Code]=$G$4)*(Budget[Date]&lt;=$D$7),(Budget[Amount])))</f>
        <v>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0</v>
      </c>
      <c r="D125" s="245">
        <f t="array" ref="D125">SUM(IF((Budget[Account Code]=B125)*(Budget[Ofc Code]=$G$4)*(Budget[Date]&lt;=$D$7),(Budget[Amount])))</f>
        <v>0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0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0</v>
      </c>
      <c r="D139" s="242">
        <f>SUM(D140:D143)</f>
        <v>0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0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0</v>
      </c>
      <c r="D140" s="245">
        <f t="array" ref="D140">SUM(IF((Budget[Account Code]=B140)*(Budget[Ofc Code]=$G$4)*(Budget[Date]&lt;=$D$7),(Budget[Amount])))</f>
        <v>0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0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8051088.4800000004</v>
      </c>
      <c r="D147" s="250">
        <f>D50+D76+D144</f>
        <v>8051088.4800000004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-8051088.4800000004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-8051088.4800000004</v>
      </c>
      <c r="D148" s="250">
        <f>D48-D147</f>
        <v>-8051088.4800000004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8051088.4800000004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</v>
      </c>
      <c r="D149" s="250">
        <f>D48/D147</f>
        <v>0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>
        <f t="shared" si="8"/>
        <v>0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-8051088.4800000004</v>
      </c>
      <c r="D152" s="250">
        <f>D148+D150+D151</f>
        <v>-8051088.4800000004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8051088.4800000004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</v>
      </c>
      <c r="D153" s="250">
        <f>D48/(D147-D150-D151)</f>
        <v>0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>
        <f t="shared" si="8"/>
        <v>0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470497</v>
      </c>
      <c r="D156" s="245">
        <f t="array" ref="D156">SUM(IF((Budget[Account Code]=B156)*(Budget[Ofc Code]=$G$4)*(Budget[Date]&lt;=$D$7),(Budget[Amount])))</f>
        <v>470497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-470497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0</v>
      </c>
      <c r="D157" s="245">
        <f t="array" ref="D157">SUM(IF((Budget[Account Code]=B157)*(Budget[Ofc Code]=$G$4)*(Budget[Date]&lt;=$D$7),(Budget[Amount])))</f>
        <v>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20000</v>
      </c>
      <c r="D158" s="245">
        <f t="array" ref="D158">SUM(IF((Budget[Account Code]=B158)*(Budget[Ofc Code]=$G$4)*(Budget[Date]&lt;=$D$7),(Budget[Amount])))</f>
        <v>20000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-20000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0</v>
      </c>
      <c r="D162" s="245">
        <f t="array" ref="D162">SUM(IF((Budget[Account Code]=B162)*(Budget[Ofc Code]=$G$4)*(Budget[Date]&lt;=$D$7),(Budget[Amount])))</f>
        <v>0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0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490497</v>
      </c>
      <c r="D164" s="250">
        <f>SUM(D155:D163)</f>
        <v>490497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-490497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8541585.4800000004</v>
      </c>
      <c r="D165" s="250">
        <f>D147+D164</f>
        <v>8541585.4800000004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-8541585.4800000004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-8541585.4800000004</v>
      </c>
      <c r="D166" s="250">
        <f>D48-D165</f>
        <v>-8541585.4800000004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8541585.4800000004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</v>
      </c>
      <c r="D167" s="250">
        <f>D48/D165</f>
        <v>0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>
        <f t="shared" si="11"/>
        <v>0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-8541585.4800000004</v>
      </c>
      <c r="D170" s="250">
        <f>D166+D168+D169</f>
        <v>-8541585.4800000004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8541585.4800000004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</v>
      </c>
      <c r="D171" s="250">
        <f>D48/(D165-D168-D169)</f>
        <v>0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>
        <f t="shared" si="11"/>
        <v>0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0</v>
      </c>
      <c r="D175" s="245">
        <f t="array" ref="D175">SUM(IF((Budget[Account Code]=B175)*(Budget[Ofc Code]=$G$4)*(Budget[Date]&lt;=$D$7),(Budget[Amount])))</f>
        <v>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8541585.4800000004</v>
      </c>
      <c r="D178" s="250">
        <f>D165+D177</f>
        <v>8541585.4800000004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-8541585.4800000004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-8541585.4800000004</v>
      </c>
      <c r="D179" s="250">
        <f>D48-D178</f>
        <v>-8541585.4800000004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8541585.4800000004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</v>
      </c>
      <c r="D184" s="265">
        <f>D48/(D178-D181-D182)</f>
        <v>0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>
        <f t="shared" si="13"/>
        <v>0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Ilocos Sur PIO</v>
      </c>
      <c r="C4" s="332"/>
      <c r="G4" s="331" t="s">
        <v>490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500000</v>
      </c>
      <c r="D15" s="248">
        <f>SUM(D16:D18)</f>
        <v>500000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-500000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500000</v>
      </c>
      <c r="D16" s="245">
        <f t="array" ref="D16">SUM(IF((Budget[Account Code]=B16)*(Budget[Ofc Code]=$G$4)*(Budget[Date]&lt;=$D$7),(Budget[Amount])))</f>
        <v>500000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-500000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0</v>
      </c>
      <c r="D17" s="245">
        <f t="array" ref="D17">SUM(IF((Budget[Account Code]=B17)*(Budget[Ofc Code]=$G$4)*(Budget[Date]&lt;=$D$7),(Budget[Amount])))</f>
        <v>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500000</v>
      </c>
      <c r="D24" s="250">
        <f>D9+D15+D19</f>
        <v>500000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-500000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0</v>
      </c>
      <c r="D36" s="248">
        <f>SUM(D37:D45)</f>
        <v>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0</v>
      </c>
      <c r="D44" s="245">
        <f t="array" ref="D44">SUM(IF((Budget[Account Code]=B44)*(Budget[Ofc Code]=$G$4)*(Budget[Date]&lt;=$D$7),(Budget[Amount])))</f>
        <v>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0</v>
      </c>
      <c r="D47" s="250">
        <f>D26+D27+D32+D36+D46</f>
        <v>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500000</v>
      </c>
      <c r="D48" s="250">
        <f>D24+D47</f>
        <v>500000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-500000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4414290</v>
      </c>
      <c r="D50" s="242">
        <f>D51+D75</f>
        <v>4414290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-4414290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4414290</v>
      </c>
      <c r="D51" s="246">
        <f>SUM(D52:D74)</f>
        <v>4414290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-4414290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3017172</v>
      </c>
      <c r="D52" s="245">
        <f t="array" ref="D52">SUM(IF((Budget[Account Code]=B52)*(Budget[Ofc Code]=$G$4)*(Budget[Date]&lt;=$D$7),(Budget[Amount])))</f>
        <v>3017172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-3017172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0</v>
      </c>
      <c r="D53" s="245">
        <f t="array" ref="D53">SUM(IF((Budget[Account Code]=B53)*(Budget[Ofc Code]=$G$4)*(Budget[Date]&lt;=$D$7),(Budget[Amount])))</f>
        <v>0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0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240000</v>
      </c>
      <c r="D55" s="245">
        <f t="array" ref="D55">SUM(IF((Budget[Account Code]=B55)*(Budget[Ofc Code]=$G$4)*(Budget[Date]&lt;=$D$7),(Budget[Amount])))</f>
        <v>240000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-240000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0</v>
      </c>
      <c r="D56" s="245">
        <f t="array" ref="D56">SUM(IF((Budget[Account Code]=B56)*(Budget[Ofc Code]=$G$4)*(Budget[Date]&lt;=$D$7),(Budget[Amount])))</f>
        <v>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50000</v>
      </c>
      <c r="D58" s="245">
        <f t="array" ref="D58">SUM(IF((Budget[Account Code]=B58)*(Budget[Ofc Code]=$G$4)*(Budget[Date]&lt;=$D$7),(Budget[Amount])))</f>
        <v>50000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-50000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7200</v>
      </c>
      <c r="D61" s="245">
        <f t="array" ref="D61">SUM(IF((Budget[Account Code]=B61)*(Budget[Ofc Code]=$G$4)*(Budget[Date]&lt;=$D$7),(Budget[Amount])))</f>
        <v>7200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-7200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2376</v>
      </c>
      <c r="D62" s="245">
        <f t="array" ref="D62">SUM(IF((Budget[Account Code]=B62)*(Budget[Ofc Code]=$G$4)*(Budget[Date]&lt;=$D$7),(Budget[Amount])))</f>
        <v>2376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-2376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360</v>
      </c>
      <c r="D63" s="245">
        <f t="array" ref="D63">SUM(IF((Budget[Account Code]=B63)*(Budget[Ofc Code]=$G$4)*(Budget[Date]&lt;=$D$7),(Budget[Amount])))</f>
        <v>360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-360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70000</v>
      </c>
      <c r="D65" s="245">
        <f t="array" ref="D65">SUM(IF((Budget[Account Code]=B65)*(Budget[Ofc Code]=$G$4)*(Budget[Date]&lt;=$D$7),(Budget[Amount])))</f>
        <v>70000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-70000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100000</v>
      </c>
      <c r="D67" s="245">
        <f t="array" ref="D67">SUM(IF((Budget[Account Code]=B67)*(Budget[Ofc Code]=$G$4)*(Budget[Date]&lt;=$D$7),(Budget[Amount])))</f>
        <v>100000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-100000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502862</v>
      </c>
      <c r="D68" s="245">
        <f t="array" ref="D68">SUM(IF((Budget[Account Code]=B68)*(Budget[Ofc Code]=$G$4)*(Budget[Date]&lt;=$D$7),(Budget[Amount])))</f>
        <v>502862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-502862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362064</v>
      </c>
      <c r="D69" s="245">
        <f t="array" ref="D69">SUM(IF((Budget[Account Code]=B69)*(Budget[Ofc Code]=$G$4)*(Budget[Date]&lt;=$D$7),(Budget[Amount])))</f>
        <v>362064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-362064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12000</v>
      </c>
      <c r="D70" s="245">
        <f t="array" ref="D70">SUM(IF((Budget[Account Code]=B70)*(Budget[Ofc Code]=$G$4)*(Budget[Date]&lt;=$D$7),(Budget[Amount])))</f>
        <v>12000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-12000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38256</v>
      </c>
      <c r="D71" s="245">
        <f t="array" ref="D71">SUM(IF((Budget[Account Code]=B71)*(Budget[Ofc Code]=$G$4)*(Budget[Date]&lt;=$D$7),(Budget[Amount])))</f>
        <v>38256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-38256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12000</v>
      </c>
      <c r="D72" s="245">
        <f t="array" ref="D72">SUM(IF((Budget[Account Code]=B72)*(Budget[Ofc Code]=$G$4)*(Budget[Date]&lt;=$D$7),(Budget[Amount])))</f>
        <v>12000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-12000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2026454.2</v>
      </c>
      <c r="D76" s="252">
        <f>D77+D139</f>
        <v>2026454.2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-2026454.2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389720.15</v>
      </c>
      <c r="D77" s="254">
        <f>D78+D138</f>
        <v>389720.15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-389720.15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389720.15</v>
      </c>
      <c r="D78" s="246">
        <f>SUM(D79:D137)</f>
        <v>389720.15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-389720.15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19200</v>
      </c>
      <c r="D79" s="245">
        <f t="array" ref="D79">SUM(IF((Budget[Account Code]=B79)*(Budget[Ofc Code]=$G$4)*(Budget[Date]&lt;=$D$7),(Budget[Amount])))</f>
        <v>19200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-19200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180000</v>
      </c>
      <c r="D82" s="245">
        <f t="array" ref="D82">SUM(IF((Budget[Account Code]=B82)*(Budget[Ofc Code]=$G$4)*(Budget[Date]&lt;=$D$7),(Budget[Amount])))</f>
        <v>180000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-180000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0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54000</v>
      </c>
      <c r="D86" s="245">
        <f t="array" ref="D86">SUM(IF((Budget[Account Code]=B86)*(Budget[Ofc Code]=$G$4)*(Budget[Date]&lt;=$D$7),(Budget[Amount])))</f>
        <v>54000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-54000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0</v>
      </c>
      <c r="D88" s="245">
        <f t="array" ref="D88">SUM(IF((Budget[Account Code]=B88)*(Budget[Ofc Code]=$G$4)*(Budget[Date]&lt;=$D$7),(Budget[Amount])))</f>
        <v>0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0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2400</v>
      </c>
      <c r="D89" s="245">
        <f t="array" ref="D89">SUM(IF((Budget[Account Code]=B89)*(Budget[Ofc Code]=$G$4)*(Budget[Date]&lt;=$D$7),(Budget[Amount])))</f>
        <v>2400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-2400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0</v>
      </c>
      <c r="D90" s="245">
        <f t="array" ref="D90">SUM(IF((Budget[Account Code]=B90)*(Budget[Ofc Code]=$G$4)*(Budget[Date]&lt;=$D$7),(Budget[Amount])))</f>
        <v>0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0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0</v>
      </c>
      <c r="D94" s="245">
        <f t="array" ref="D94">SUM(IF((Budget[Account Code]=B94)*(Budget[Ofc Code]=$G$4)*(Budget[Date]&lt;=$D$7),(Budget[Amount])))</f>
        <v>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33600</v>
      </c>
      <c r="D95" s="245">
        <f t="array" ref="D95">SUM(IF((Budget[Account Code]=B95)*(Budget[Ofc Code]=$G$4)*(Budget[Date]&lt;=$D$7),(Budget[Amount])))</f>
        <v>33600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-33600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0</v>
      </c>
      <c r="D96" s="245">
        <f t="array" ref="D96">SUM(IF((Budget[Account Code]=B96)*(Budget[Ofc Code]=$G$4)*(Budget[Date]&lt;=$D$7),(Budget[Amount])))</f>
        <v>0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0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0</v>
      </c>
      <c r="D112" s="245">
        <f t="array" ref="D112">SUM(IF((Budget[Account Code]=B112)*(Budget[Ofc Code]=$G$4)*(Budget[Date]&lt;=$D$7),(Budget[Amount])))</f>
        <v>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0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50000</v>
      </c>
      <c r="D118" s="245">
        <f t="array" ref="D118">SUM(IF((Budget[Account Code]=B118)*(Budget[Ofc Code]=$G$4)*(Budget[Date]&lt;=$D$7),(Budget[Amount])))</f>
        <v>50000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-50000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50520.15</v>
      </c>
      <c r="D125" s="245">
        <f t="array" ref="D125">SUM(IF((Budget[Account Code]=B125)*(Budget[Ofc Code]=$G$4)*(Budget[Date]&lt;=$D$7),(Budget[Amount])))</f>
        <v>50520.15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-50520.15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1636734.05</v>
      </c>
      <c r="D139" s="242">
        <f>SUM(D140:D143)</f>
        <v>1636734.05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-1636734.05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1636734.05</v>
      </c>
      <c r="D140" s="245">
        <f t="array" ref="D140">SUM(IF((Budget[Account Code]=B140)*(Budget[Ofc Code]=$G$4)*(Budget[Date]&lt;=$D$7),(Budget[Amount])))</f>
        <v>1636734.05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-1636734.05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6440744.2000000002</v>
      </c>
      <c r="D147" s="250">
        <f>D50+D76+D144</f>
        <v>6440744.2000000002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-6440744.2000000002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-5940744.2000000002</v>
      </c>
      <c r="D148" s="250">
        <f>D48-D147</f>
        <v>-5940744.2000000002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5940744.2000000002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0.08</v>
      </c>
      <c r="D149" s="250">
        <f>D48/D147</f>
        <v>0.08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-5940744.2000000002</v>
      </c>
      <c r="D152" s="250">
        <f>D148+D150+D151</f>
        <v>-5940744.2000000002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5940744.2000000002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0.08</v>
      </c>
      <c r="D153" s="250">
        <f>D48/(D147-D150-D151)</f>
        <v>0.08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50000</v>
      </c>
      <c r="D156" s="245">
        <f t="array" ref="D156">SUM(IF((Budget[Account Code]=B156)*(Budget[Ofc Code]=$G$4)*(Budget[Date]&lt;=$D$7),(Budget[Amount])))</f>
        <v>50000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-50000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250000</v>
      </c>
      <c r="D157" s="245">
        <f t="array" ref="D157">SUM(IF((Budget[Account Code]=B157)*(Budget[Ofc Code]=$G$4)*(Budget[Date]&lt;=$D$7),(Budget[Amount])))</f>
        <v>250000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-250000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0</v>
      </c>
      <c r="D158" s="245">
        <f t="array" ref="D158">SUM(IF((Budget[Account Code]=B158)*(Budget[Ofc Code]=$G$4)*(Budget[Date]&lt;=$D$7),(Budget[Amount])))</f>
        <v>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0</v>
      </c>
      <c r="D162" s="245">
        <f t="array" ref="D162">SUM(IF((Budget[Account Code]=B162)*(Budget[Ofc Code]=$G$4)*(Budget[Date]&lt;=$D$7),(Budget[Amount])))</f>
        <v>0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0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300000</v>
      </c>
      <c r="D164" s="250">
        <f>SUM(D155:D163)</f>
        <v>300000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-300000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6740744.2000000002</v>
      </c>
      <c r="D165" s="250">
        <f>D147+D164</f>
        <v>6740744.2000000002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-6740744.2000000002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-6240744.2000000002</v>
      </c>
      <c r="D166" s="250">
        <f>D48-D165</f>
        <v>-6240744.2000000002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6240744.2000000002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7.0000000000000007E-2</v>
      </c>
      <c r="D167" s="250">
        <f>D48/D165</f>
        <v>7.0000000000000007E-2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-6240744.2000000002</v>
      </c>
      <c r="D170" s="250">
        <f>D166+D168+D169</f>
        <v>-6240744.2000000002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6240744.2000000002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7.0000000000000007E-2</v>
      </c>
      <c r="D171" s="250">
        <f>D48/(D165-D168-D169)</f>
        <v>7.0000000000000007E-2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500000</v>
      </c>
      <c r="D175" s="245">
        <f t="array" ref="D175">SUM(IF((Budget[Account Code]=B175)*(Budget[Ofc Code]=$G$4)*(Budget[Date]&lt;=$D$7),(Budget[Amount])))</f>
        <v>500000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-500000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500000</v>
      </c>
      <c r="D177" s="250">
        <f>SUM(D174:D176)</f>
        <v>500000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-500000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7240744.2000000002</v>
      </c>
      <c r="D178" s="250">
        <f>D165+D177</f>
        <v>7240744.2000000002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-7240744.2000000002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-6740744.2000000002</v>
      </c>
      <c r="D179" s="250">
        <f>D48-D178</f>
        <v>-6740744.2000000002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6740744.2000000002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7.0000000000000007E-2</v>
      </c>
      <c r="D184" s="265">
        <f>D48/(D178-D181-D182)</f>
        <v>7.0000000000000007E-2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Ilocos Sur RIS</v>
      </c>
      <c r="C4" s="332"/>
      <c r="G4" s="331" t="s">
        <v>491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0</v>
      </c>
      <c r="D15" s="248">
        <f>SUM(D16:D18)</f>
        <v>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0</v>
      </c>
      <c r="D17" s="245">
        <f t="array" ref="D17">SUM(IF((Budget[Account Code]=B17)*(Budget[Ofc Code]=$G$4)*(Budget[Date]&lt;=$D$7),(Budget[Amount])))</f>
        <v>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0</v>
      </c>
      <c r="D24" s="250">
        <f>D9+D15+D19</f>
        <v>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0</v>
      </c>
      <c r="D36" s="248">
        <f>SUM(D37:D45)</f>
        <v>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0</v>
      </c>
      <c r="D44" s="245">
        <f t="array" ref="D44">SUM(IF((Budget[Account Code]=B44)*(Budget[Ofc Code]=$G$4)*(Budget[Date]&lt;=$D$7),(Budget[Amount])))</f>
        <v>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0</v>
      </c>
      <c r="D47" s="250">
        <f>D26+D27+D32+D36+D46</f>
        <v>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0</v>
      </c>
      <c r="D48" s="250">
        <f>D24+D47</f>
        <v>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1090952.6399999999</v>
      </c>
      <c r="D50" s="242">
        <f>D51+D75</f>
        <v>1090952.6399999999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-1090952.6399999999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1090952.6399999999</v>
      </c>
      <c r="D51" s="246">
        <f>SUM(D52:D74)</f>
        <v>1090952.6399999999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-1090952.6399999999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723972</v>
      </c>
      <c r="D52" s="245">
        <f t="array" ref="D52">SUM(IF((Budget[Account Code]=B52)*(Budget[Ofc Code]=$G$4)*(Budget[Date]&lt;=$D$7),(Budget[Amount])))</f>
        <v>723972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-723972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0</v>
      </c>
      <c r="D53" s="245">
        <f t="array" ref="D53">SUM(IF((Budget[Account Code]=B53)*(Budget[Ofc Code]=$G$4)*(Budget[Date]&lt;=$D$7),(Budget[Amount])))</f>
        <v>0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0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96000</v>
      </c>
      <c r="D55" s="245">
        <f t="array" ref="D55">SUM(IF((Budget[Account Code]=B55)*(Budget[Ofc Code]=$G$4)*(Budget[Date]&lt;=$D$7),(Budget[Amount])))</f>
        <v>96000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-96000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0</v>
      </c>
      <c r="D56" s="245">
        <f t="array" ref="D56">SUM(IF((Budget[Account Code]=B56)*(Budget[Ofc Code]=$G$4)*(Budget[Date]&lt;=$D$7),(Budget[Amount])))</f>
        <v>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20000</v>
      </c>
      <c r="D58" s="245">
        <f t="array" ref="D58">SUM(IF((Budget[Account Code]=B58)*(Budget[Ofc Code]=$G$4)*(Budget[Date]&lt;=$D$7),(Budget[Amount])))</f>
        <v>20000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-20000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2400</v>
      </c>
      <c r="D61" s="245">
        <f t="array" ref="D61">SUM(IF((Budget[Account Code]=B61)*(Budget[Ofc Code]=$G$4)*(Budget[Date]&lt;=$D$7),(Budget[Amount])))</f>
        <v>2400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-2400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792</v>
      </c>
      <c r="D62" s="245">
        <f t="array" ref="D62">SUM(IF((Budget[Account Code]=B62)*(Budget[Ofc Code]=$G$4)*(Budget[Date]&lt;=$D$7),(Budget[Amount])))</f>
        <v>792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-792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0</v>
      </c>
      <c r="D63" s="245">
        <f t="array" ref="D63">SUM(IF((Budget[Account Code]=B63)*(Budget[Ofc Code]=$G$4)*(Budget[Date]&lt;=$D$7),(Budget[Amount])))</f>
        <v>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0</v>
      </c>
      <c r="D65" s="245">
        <f t="array" ref="D65">SUM(IF((Budget[Account Code]=B65)*(Budget[Ofc Code]=$G$4)*(Budget[Date]&lt;=$D$7),(Budget[Amount])))</f>
        <v>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20000</v>
      </c>
      <c r="D67" s="245">
        <f t="array" ref="D67">SUM(IF((Budget[Account Code]=B67)*(Budget[Ofc Code]=$G$4)*(Budget[Date]&lt;=$D$7),(Budget[Amount])))</f>
        <v>20000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-20000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120662</v>
      </c>
      <c r="D68" s="245">
        <f t="array" ref="D68">SUM(IF((Budget[Account Code]=B68)*(Budget[Ofc Code]=$G$4)*(Budget[Date]&lt;=$D$7),(Budget[Amount])))</f>
        <v>120662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-120662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86876.64</v>
      </c>
      <c r="D69" s="245">
        <f t="array" ref="D69">SUM(IF((Budget[Account Code]=B69)*(Budget[Ofc Code]=$G$4)*(Budget[Date]&lt;=$D$7),(Budget[Amount])))</f>
        <v>86876.64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-86876.64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4800</v>
      </c>
      <c r="D70" s="245">
        <f t="array" ref="D70">SUM(IF((Budget[Account Code]=B70)*(Budget[Ofc Code]=$G$4)*(Budget[Date]&lt;=$D$7),(Budget[Amount])))</f>
        <v>4800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-4800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10650</v>
      </c>
      <c r="D71" s="245">
        <f t="array" ref="D71">SUM(IF((Budget[Account Code]=B71)*(Budget[Ofc Code]=$G$4)*(Budget[Date]&lt;=$D$7),(Budget[Amount])))</f>
        <v>10650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-10650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4800</v>
      </c>
      <c r="D72" s="245">
        <f t="array" ref="D72">SUM(IF((Budget[Account Code]=B72)*(Budget[Ofc Code]=$G$4)*(Budget[Date]&lt;=$D$7),(Budget[Amount])))</f>
        <v>4800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-4800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368946.75</v>
      </c>
      <c r="D76" s="252">
        <f>D77+D139</f>
        <v>368946.75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-368946.75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273543.75</v>
      </c>
      <c r="D77" s="254">
        <f>D78+D138</f>
        <v>273543.75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-273543.75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273543.75</v>
      </c>
      <c r="D78" s="246">
        <f>SUM(D79:D137)</f>
        <v>273543.75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-273543.75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0</v>
      </c>
      <c r="D79" s="245">
        <f t="array" ref="D79">SUM(IF((Budget[Account Code]=B79)*(Budget[Ofc Code]=$G$4)*(Budget[Date]&lt;=$D$7),(Budget[Amount])))</f>
        <v>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60000</v>
      </c>
      <c r="D82" s="245">
        <f t="array" ref="D82">SUM(IF((Budget[Account Code]=B82)*(Budget[Ofc Code]=$G$4)*(Budget[Date]&lt;=$D$7),(Budget[Amount])))</f>
        <v>60000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-60000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0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60000</v>
      </c>
      <c r="D86" s="245">
        <f t="array" ref="D86">SUM(IF((Budget[Account Code]=B86)*(Budget[Ofc Code]=$G$4)*(Budget[Date]&lt;=$D$7),(Budget[Amount])))</f>
        <v>60000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-60000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0</v>
      </c>
      <c r="D88" s="245">
        <f t="array" ref="D88">SUM(IF((Budget[Account Code]=B88)*(Budget[Ofc Code]=$G$4)*(Budget[Date]&lt;=$D$7),(Budget[Amount])))</f>
        <v>0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0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12000</v>
      </c>
      <c r="D89" s="245">
        <f t="array" ref="D89">SUM(IF((Budget[Account Code]=B89)*(Budget[Ofc Code]=$G$4)*(Budget[Date]&lt;=$D$7),(Budget[Amount])))</f>
        <v>12000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-12000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60000</v>
      </c>
      <c r="D90" s="245">
        <f t="array" ref="D90">SUM(IF((Budget[Account Code]=B90)*(Budget[Ofc Code]=$G$4)*(Budget[Date]&lt;=$D$7),(Budget[Amount])))</f>
        <v>60000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-60000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49200</v>
      </c>
      <c r="D94" s="245">
        <f t="array" ref="D94">SUM(IF((Budget[Account Code]=B94)*(Budget[Ofc Code]=$G$4)*(Budget[Date]&lt;=$D$7),(Budget[Amount])))</f>
        <v>49200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-49200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0</v>
      </c>
      <c r="D95" s="245">
        <f t="array" ref="D95">SUM(IF((Budget[Account Code]=B95)*(Budget[Ofc Code]=$G$4)*(Budget[Date]&lt;=$D$7),(Budget[Amount])))</f>
        <v>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0</v>
      </c>
      <c r="D96" s="245">
        <f t="array" ref="D96">SUM(IF((Budget[Account Code]=B96)*(Budget[Ofc Code]=$G$4)*(Budget[Date]&lt;=$D$7),(Budget[Amount])))</f>
        <v>0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0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0</v>
      </c>
      <c r="D112" s="245">
        <f t="array" ref="D112">SUM(IF((Budget[Account Code]=B112)*(Budget[Ofc Code]=$G$4)*(Budget[Date]&lt;=$D$7),(Budget[Amount])))</f>
        <v>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0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0</v>
      </c>
      <c r="D118" s="245">
        <f t="array" ref="D118">SUM(IF((Budget[Account Code]=B118)*(Budget[Ofc Code]=$G$4)*(Budget[Date]&lt;=$D$7),(Budget[Amount])))</f>
        <v>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32343.75</v>
      </c>
      <c r="D125" s="245">
        <f t="array" ref="D125">SUM(IF((Budget[Account Code]=B125)*(Budget[Ofc Code]=$G$4)*(Budget[Date]&lt;=$D$7),(Budget[Amount])))</f>
        <v>32343.75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-32343.75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95403</v>
      </c>
      <c r="D139" s="242">
        <f>SUM(D140:D143)</f>
        <v>95403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-95403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95403</v>
      </c>
      <c r="D140" s="245">
        <f t="array" ref="D140">SUM(IF((Budget[Account Code]=B140)*(Budget[Ofc Code]=$G$4)*(Budget[Date]&lt;=$D$7),(Budget[Amount])))</f>
        <v>95403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-95403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1459899.39</v>
      </c>
      <c r="D147" s="250">
        <f>D50+D76+D144</f>
        <v>1459899.39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-1459899.39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-1459899.39</v>
      </c>
      <c r="D148" s="250">
        <f>D48-D147</f>
        <v>-1459899.39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1459899.39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</v>
      </c>
      <c r="D149" s="250">
        <f>D48/D147</f>
        <v>0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>
        <f t="shared" si="8"/>
        <v>0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-1459899.39</v>
      </c>
      <c r="D152" s="250">
        <f>D148+D150+D151</f>
        <v>-1459899.39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1459899.39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</v>
      </c>
      <c r="D153" s="250">
        <f>D48/(D147-D150-D151)</f>
        <v>0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>
        <f t="shared" si="8"/>
        <v>0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30000</v>
      </c>
      <c r="D156" s="245">
        <f t="array" ref="D156">SUM(IF((Budget[Account Code]=B156)*(Budget[Ofc Code]=$G$4)*(Budget[Date]&lt;=$D$7),(Budget[Amount])))</f>
        <v>30000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-30000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75000</v>
      </c>
      <c r="D157" s="245">
        <f t="array" ref="D157">SUM(IF((Budget[Account Code]=B157)*(Budget[Ofc Code]=$G$4)*(Budget[Date]&lt;=$D$7),(Budget[Amount])))</f>
        <v>75000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-75000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0</v>
      </c>
      <c r="D158" s="245">
        <f t="array" ref="D158">SUM(IF((Budget[Account Code]=B158)*(Budget[Ofc Code]=$G$4)*(Budget[Date]&lt;=$D$7),(Budget[Amount])))</f>
        <v>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0</v>
      </c>
      <c r="D162" s="245">
        <f t="array" ref="D162">SUM(IF((Budget[Account Code]=B162)*(Budget[Ofc Code]=$G$4)*(Budget[Date]&lt;=$D$7),(Budget[Amount])))</f>
        <v>0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0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105000</v>
      </c>
      <c r="D164" s="250">
        <f>SUM(D155:D163)</f>
        <v>105000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-105000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1564899.39</v>
      </c>
      <c r="D165" s="250">
        <f>D147+D164</f>
        <v>1564899.39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-1564899.39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-1564899.39</v>
      </c>
      <c r="D166" s="250">
        <f>D48-D165</f>
        <v>-1564899.39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1564899.39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</v>
      </c>
      <c r="D167" s="250">
        <f>D48/D165</f>
        <v>0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>
        <f t="shared" si="11"/>
        <v>0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-1564899.39</v>
      </c>
      <c r="D170" s="250">
        <f>D166+D168+D169</f>
        <v>-1564899.39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1564899.39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</v>
      </c>
      <c r="D171" s="250">
        <f>D48/(D165-D168-D169)</f>
        <v>0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>
        <f t="shared" si="11"/>
        <v>0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200000</v>
      </c>
      <c r="D175" s="245">
        <f t="array" ref="D175">SUM(IF((Budget[Account Code]=B175)*(Budget[Ofc Code]=$G$4)*(Budget[Date]&lt;=$D$7),(Budget[Amount])))</f>
        <v>200000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-200000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200000</v>
      </c>
      <c r="D177" s="250">
        <f>SUM(D174:D176)</f>
        <v>200000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-200000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1764899.39</v>
      </c>
      <c r="D178" s="250">
        <f>D165+D177</f>
        <v>1764899.39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-1764899.39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-1764899.39</v>
      </c>
      <c r="D179" s="250">
        <f>D48-D178</f>
        <v>-1764899.39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1764899.39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</v>
      </c>
      <c r="D184" s="265">
        <f>D48/(D178-D181-D182)</f>
        <v>0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>
        <f t="shared" si="13"/>
        <v>0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Ilocos Sur BPIS</v>
      </c>
      <c r="C4" s="332"/>
      <c r="G4" s="331" t="s">
        <v>492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1000000</v>
      </c>
      <c r="D15" s="248">
        <f>SUM(D16:D18)</f>
        <v>1000000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-1000000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1000000</v>
      </c>
      <c r="D16" s="245">
        <f t="array" ref="D16">SUM(IF((Budget[Account Code]=B16)*(Budget[Ofc Code]=$G$4)*(Budget[Date]&lt;=$D$7),(Budget[Amount])))</f>
        <v>1000000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-1000000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0</v>
      </c>
      <c r="D17" s="245">
        <f t="array" ref="D17">SUM(IF((Budget[Account Code]=B17)*(Budget[Ofc Code]=$G$4)*(Budget[Date]&lt;=$D$7),(Budget[Amount])))</f>
        <v>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1000000</v>
      </c>
      <c r="D24" s="250">
        <f>D9+D15+D19</f>
        <v>1000000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-1000000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0</v>
      </c>
      <c r="D36" s="248">
        <f>SUM(D37:D45)</f>
        <v>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0</v>
      </c>
      <c r="D44" s="245">
        <f t="array" ref="D44">SUM(IF((Budget[Account Code]=B44)*(Budget[Ofc Code]=$G$4)*(Budget[Date]&lt;=$D$7),(Budget[Amount])))</f>
        <v>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0</v>
      </c>
      <c r="D47" s="250">
        <f>D26+D27+D32+D36+D46</f>
        <v>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1000000</v>
      </c>
      <c r="D48" s="250">
        <f>D24+D47</f>
        <v>1000000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-1000000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8910662</v>
      </c>
      <c r="D50" s="242">
        <f>D51+D75</f>
        <v>8910662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-8910662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8910662</v>
      </c>
      <c r="D51" s="246">
        <f>SUM(D52:D74)</f>
        <v>8910662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-8910662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6066588</v>
      </c>
      <c r="D52" s="245">
        <f t="array" ref="D52">SUM(IF((Budget[Account Code]=B52)*(Budget[Ofc Code]=$G$4)*(Budget[Date]&lt;=$D$7),(Budget[Amount])))</f>
        <v>6066588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-6066588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0</v>
      </c>
      <c r="D53" s="245">
        <f t="array" ref="D53">SUM(IF((Budget[Account Code]=B53)*(Budget[Ofc Code]=$G$4)*(Budget[Date]&lt;=$D$7),(Budget[Amount])))</f>
        <v>0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0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600000</v>
      </c>
      <c r="D55" s="245">
        <f t="array" ref="D55">SUM(IF((Budget[Account Code]=B55)*(Budget[Ofc Code]=$G$4)*(Budget[Date]&lt;=$D$7),(Budget[Amount])))</f>
        <v>600000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-600000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0</v>
      </c>
      <c r="D56" s="245">
        <f t="array" ref="D56">SUM(IF((Budget[Account Code]=B56)*(Budget[Ofc Code]=$G$4)*(Budget[Date]&lt;=$D$7),(Budget[Amount])))</f>
        <v>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125000</v>
      </c>
      <c r="D58" s="245">
        <f t="array" ref="D58">SUM(IF((Budget[Account Code]=B58)*(Budget[Ofc Code]=$G$4)*(Budget[Date]&lt;=$D$7),(Budget[Amount])))</f>
        <v>125000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-125000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4800</v>
      </c>
      <c r="D61" s="245">
        <f t="array" ref="D61">SUM(IF((Budget[Account Code]=B61)*(Budget[Ofc Code]=$G$4)*(Budget[Date]&lt;=$D$7),(Budget[Amount])))</f>
        <v>4800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-4800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1584</v>
      </c>
      <c r="D62" s="245">
        <f t="array" ref="D62">SUM(IF((Budget[Account Code]=B62)*(Budget[Ofc Code]=$G$4)*(Budget[Date]&lt;=$D$7),(Budget[Amount])))</f>
        <v>1584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-1584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0</v>
      </c>
      <c r="D63" s="245">
        <f t="array" ref="D63">SUM(IF((Budget[Account Code]=B63)*(Budget[Ofc Code]=$G$4)*(Budget[Date]&lt;=$D$7),(Budget[Amount])))</f>
        <v>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110000</v>
      </c>
      <c r="D65" s="245">
        <f t="array" ref="D65">SUM(IF((Budget[Account Code]=B65)*(Budget[Ofc Code]=$G$4)*(Budget[Date]&lt;=$D$7),(Budget[Amount])))</f>
        <v>110000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-110000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125000</v>
      </c>
      <c r="D67" s="245">
        <f t="array" ref="D67">SUM(IF((Budget[Account Code]=B67)*(Budget[Ofc Code]=$G$4)*(Budget[Date]&lt;=$D$7),(Budget[Amount])))</f>
        <v>125000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-125000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1011098</v>
      </c>
      <c r="D68" s="245">
        <f t="array" ref="D68">SUM(IF((Budget[Account Code]=B68)*(Budget[Ofc Code]=$G$4)*(Budget[Date]&lt;=$D$7),(Budget[Amount])))</f>
        <v>1011098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-1011098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727990.56</v>
      </c>
      <c r="D69" s="245">
        <f t="array" ref="D69">SUM(IF((Budget[Account Code]=B69)*(Budget[Ofc Code]=$G$4)*(Budget[Date]&lt;=$D$7),(Budget[Amount])))</f>
        <v>727990.56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-727990.56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30120</v>
      </c>
      <c r="D70" s="245">
        <f t="array" ref="D70">SUM(IF((Budget[Account Code]=B70)*(Budget[Ofc Code]=$G$4)*(Budget[Date]&lt;=$D$7),(Budget[Amount])))</f>
        <v>30120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-30120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78361.440000000002</v>
      </c>
      <c r="D71" s="245">
        <f t="array" ref="D71">SUM(IF((Budget[Account Code]=B71)*(Budget[Ofc Code]=$G$4)*(Budget[Date]&lt;=$D$7),(Budget[Amount])))</f>
        <v>78361.440000000002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-78361.440000000002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30120</v>
      </c>
      <c r="D72" s="245">
        <f t="array" ref="D72">SUM(IF((Budget[Account Code]=B72)*(Budget[Ofc Code]=$G$4)*(Budget[Date]&lt;=$D$7),(Budget[Amount])))</f>
        <v>30120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-30120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1969167.52</v>
      </c>
      <c r="D76" s="252">
        <f>D77+D139</f>
        <v>1969167.52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-1969167.52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807196.52</v>
      </c>
      <c r="D77" s="254">
        <f>D78+D138</f>
        <v>807196.52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-807196.52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807196.52</v>
      </c>
      <c r="D78" s="246">
        <f>SUM(D79:D137)</f>
        <v>807196.52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-807196.52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24000</v>
      </c>
      <c r="D79" s="245">
        <f t="array" ref="D79">SUM(IF((Budget[Account Code]=B79)*(Budget[Ofc Code]=$G$4)*(Budget[Date]&lt;=$D$7),(Budget[Amount])))</f>
        <v>24000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-24000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40000</v>
      </c>
      <c r="D82" s="245">
        <f t="array" ref="D82">SUM(IF((Budget[Account Code]=B82)*(Budget[Ofc Code]=$G$4)*(Budget[Date]&lt;=$D$7),(Budget[Amount])))</f>
        <v>40000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-40000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0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202000</v>
      </c>
      <c r="D86" s="245">
        <f t="array" ref="D86">SUM(IF((Budget[Account Code]=B86)*(Budget[Ofc Code]=$G$4)*(Budget[Date]&lt;=$D$7),(Budget[Amount])))</f>
        <v>202000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-202000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12000</v>
      </c>
      <c r="D88" s="245">
        <f t="array" ref="D88">SUM(IF((Budget[Account Code]=B88)*(Budget[Ofc Code]=$G$4)*(Budget[Date]&lt;=$D$7),(Budget[Amount])))</f>
        <v>12000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-12000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4800</v>
      </c>
      <c r="D89" s="245">
        <f t="array" ref="D89">SUM(IF((Budget[Account Code]=B89)*(Budget[Ofc Code]=$G$4)*(Budget[Date]&lt;=$D$7),(Budget[Amount])))</f>
        <v>4800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-4800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324000</v>
      </c>
      <c r="D90" s="245">
        <f t="array" ref="D90">SUM(IF((Budget[Account Code]=B90)*(Budget[Ofc Code]=$G$4)*(Budget[Date]&lt;=$D$7),(Budget[Amount])))</f>
        <v>324000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-324000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0</v>
      </c>
      <c r="D94" s="245">
        <f t="array" ref="D94">SUM(IF((Budget[Account Code]=B94)*(Budget[Ofc Code]=$G$4)*(Budget[Date]&lt;=$D$7),(Budget[Amount])))</f>
        <v>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9600</v>
      </c>
      <c r="D95" s="245">
        <f t="array" ref="D95">SUM(IF((Budget[Account Code]=B95)*(Budget[Ofc Code]=$G$4)*(Budget[Date]&lt;=$D$7),(Budget[Amount])))</f>
        <v>9600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-9600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0</v>
      </c>
      <c r="D96" s="245">
        <f t="array" ref="D96">SUM(IF((Budget[Account Code]=B96)*(Budget[Ofc Code]=$G$4)*(Budget[Date]&lt;=$D$7),(Budget[Amount])))</f>
        <v>0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0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0</v>
      </c>
      <c r="D112" s="245">
        <f t="array" ref="D112">SUM(IF((Budget[Account Code]=B112)*(Budget[Ofc Code]=$G$4)*(Budget[Date]&lt;=$D$7),(Budget[Amount])))</f>
        <v>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0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70000</v>
      </c>
      <c r="D118" s="245">
        <f t="array" ref="D118">SUM(IF((Budget[Account Code]=B118)*(Budget[Ofc Code]=$G$4)*(Budget[Date]&lt;=$D$7),(Budget[Amount])))</f>
        <v>70000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-70000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100000</v>
      </c>
      <c r="D120" s="245">
        <f t="array" ref="D120">SUM(IF((Budget[Account Code]=B120)*(Budget[Ofc Code]=$G$4)*(Budget[Date]&lt;=$D$7),(Budget[Amount])))</f>
        <v>100000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-100000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20796.52</v>
      </c>
      <c r="D125" s="245">
        <f t="array" ref="D125">SUM(IF((Budget[Account Code]=B125)*(Budget[Ofc Code]=$G$4)*(Budget[Date]&lt;=$D$7),(Budget[Amount])))</f>
        <v>20796.52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-20796.52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1161971</v>
      </c>
      <c r="D139" s="242">
        <f>SUM(D140:D143)</f>
        <v>1161971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-1161971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1161971</v>
      </c>
      <c r="D140" s="245">
        <f t="array" ref="D140">SUM(IF((Budget[Account Code]=B140)*(Budget[Ofc Code]=$G$4)*(Budget[Date]&lt;=$D$7),(Budget[Amount])))</f>
        <v>1161971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-1161971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10879829.52</v>
      </c>
      <c r="D147" s="250">
        <f>D50+D76+D144</f>
        <v>10879829.52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-10879829.52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-9879829.5199999996</v>
      </c>
      <c r="D148" s="250">
        <f>D48-D147</f>
        <v>-9879829.5199999996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9879829.5199999996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0.09</v>
      </c>
      <c r="D149" s="250">
        <f>D48/D147</f>
        <v>0.09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-9879829.5199999996</v>
      </c>
      <c r="D152" s="250">
        <f>D148+D150+D151</f>
        <v>-9879829.5199999996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9879829.5199999996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0.09</v>
      </c>
      <c r="D153" s="250">
        <f>D48/(D147-D150-D151)</f>
        <v>0.09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95000</v>
      </c>
      <c r="D156" s="245">
        <f t="array" ref="D156">SUM(IF((Budget[Account Code]=B156)*(Budget[Ofc Code]=$G$4)*(Budget[Date]&lt;=$D$7),(Budget[Amount])))</f>
        <v>95000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-95000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550000</v>
      </c>
      <c r="D157" s="245">
        <f t="array" ref="D157">SUM(IF((Budget[Account Code]=B157)*(Budget[Ofc Code]=$G$4)*(Budget[Date]&lt;=$D$7),(Budget[Amount])))</f>
        <v>550000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-550000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25000</v>
      </c>
      <c r="D158" s="245">
        <f t="array" ref="D158">SUM(IF((Budget[Account Code]=B158)*(Budget[Ofc Code]=$G$4)*(Budget[Date]&lt;=$D$7),(Budget[Amount])))</f>
        <v>25000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-25000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0</v>
      </c>
      <c r="D162" s="245">
        <f t="array" ref="D162">SUM(IF((Budget[Account Code]=B162)*(Budget[Ofc Code]=$G$4)*(Budget[Date]&lt;=$D$7),(Budget[Amount])))</f>
        <v>0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0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670000</v>
      </c>
      <c r="D164" s="250">
        <f>SUM(D155:D163)</f>
        <v>670000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-670000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11549829.52</v>
      </c>
      <c r="D165" s="250">
        <f>D147+D164</f>
        <v>11549829.52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-11549829.52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-10549829.52</v>
      </c>
      <c r="D166" s="250">
        <f>D48-D165</f>
        <v>-10549829.52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10549829.52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0.09</v>
      </c>
      <c r="D167" s="250">
        <f>D48/D165</f>
        <v>0.09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-10549829.52</v>
      </c>
      <c r="D170" s="250">
        <f>D166+D168+D169</f>
        <v>-10549829.52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10549829.52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0.09</v>
      </c>
      <c r="D171" s="250">
        <f>D48/(D165-D168-D169)</f>
        <v>0.09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300000</v>
      </c>
      <c r="D175" s="245">
        <f t="array" ref="D175">SUM(IF((Budget[Account Code]=B175)*(Budget[Ofc Code]=$G$4)*(Budget[Date]&lt;=$D$7),(Budget[Amount])))</f>
        <v>300000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-300000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300000</v>
      </c>
      <c r="D177" s="250">
        <f>SUM(D174:D176)</f>
        <v>300000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-300000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11849829.52</v>
      </c>
      <c r="D178" s="250">
        <f>D165+D177</f>
        <v>11849829.52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-11849829.52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-10849829.52</v>
      </c>
      <c r="D179" s="250">
        <f>D48-D178</f>
        <v>-10849829.52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10849829.52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0.08</v>
      </c>
      <c r="D184" s="265">
        <f>D48/(D178-D181-D182)</f>
        <v>0.08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e">
        <f>IF(G4=0,,VLOOKUP((TRIM(G4)),SortCode,2,))</f>
        <v>#N/A</v>
      </c>
      <c r="C4" s="332"/>
      <c r="G4" s="331" t="s">
        <v>506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0</v>
      </c>
      <c r="D15" s="248">
        <f>SUM(D16:D18)</f>
        <v>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0</v>
      </c>
      <c r="D17" s="245">
        <f t="array" ref="D17">SUM(IF((Budget[Account Code]=B17)*(Budget[Ofc Code]=$G$4)*(Budget[Date]&lt;=$D$7),(Budget[Amount])))</f>
        <v>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0</v>
      </c>
      <c r="D24" s="250">
        <f>D9+D15+D19</f>
        <v>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1628000</v>
      </c>
      <c r="D36" s="248">
        <f>SUM(D37:D45)</f>
        <v>1628000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-1628000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1628000</v>
      </c>
      <c r="D44" s="245">
        <f t="array" ref="D44">SUM(IF((Budget[Account Code]=B44)*(Budget[Ofc Code]=$G$4)*(Budget[Date]&lt;=$D$7),(Budget[Amount])))</f>
        <v>1628000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-1628000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1628000</v>
      </c>
      <c r="D47" s="250">
        <f>D26+D27+D32+D36+D46</f>
        <v>1628000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-1628000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1628000</v>
      </c>
      <c r="D48" s="250">
        <f>D24+D47</f>
        <v>1628000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-1628000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9759155.7599999998</v>
      </c>
      <c r="D50" s="242">
        <f>D51+D75</f>
        <v>9759155.7599999998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-9759155.7599999998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9759155.7599999998</v>
      </c>
      <c r="D51" s="246">
        <f>SUM(D52:D74)</f>
        <v>9759155.7599999998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-9759155.7599999998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5791092</v>
      </c>
      <c r="D52" s="245">
        <f t="array" ref="D52">SUM(IF((Budget[Account Code]=B52)*(Budget[Ofc Code]=$G$4)*(Budget[Date]&lt;=$D$7),(Budget[Amount])))</f>
        <v>5791092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-5791092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828168</v>
      </c>
      <c r="D53" s="245">
        <f t="array" ref="D53">SUM(IF((Budget[Account Code]=B53)*(Budget[Ofc Code]=$G$4)*(Budget[Date]&lt;=$D$7),(Budget[Amount])))</f>
        <v>828168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-828168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576000</v>
      </c>
      <c r="D55" s="245">
        <f t="array" ref="D55">SUM(IF((Budget[Account Code]=B55)*(Budget[Ofc Code]=$G$4)*(Budget[Date]&lt;=$D$7),(Budget[Amount])))</f>
        <v>576000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-576000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120000</v>
      </c>
      <c r="D56" s="245">
        <f t="array" ref="D56">SUM(IF((Budget[Account Code]=B56)*(Budget[Ofc Code]=$G$4)*(Budget[Date]&lt;=$D$7),(Budget[Amount])))</f>
        <v>120000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-120000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133000</v>
      </c>
      <c r="D58" s="245">
        <f t="array" ref="D58">SUM(IF((Budget[Account Code]=B58)*(Budget[Ofc Code]=$G$4)*(Budget[Date]&lt;=$D$7),(Budget[Amount])))</f>
        <v>133000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-133000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21600</v>
      </c>
      <c r="D61" s="245">
        <f t="array" ref="D61">SUM(IF((Budget[Account Code]=B61)*(Budget[Ofc Code]=$G$4)*(Budget[Date]&lt;=$D$7),(Budget[Amount])))</f>
        <v>21600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-21600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7128</v>
      </c>
      <c r="D62" s="245">
        <f t="array" ref="D62">SUM(IF((Budget[Account Code]=B62)*(Budget[Ofc Code]=$G$4)*(Budget[Date]&lt;=$D$7),(Budget[Amount])))</f>
        <v>7128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-7128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1800</v>
      </c>
      <c r="D63" s="245">
        <f t="array" ref="D63">SUM(IF((Budget[Account Code]=B63)*(Budget[Ofc Code]=$G$4)*(Budget[Date]&lt;=$D$7),(Budget[Amount])))</f>
        <v>1800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-1800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120000</v>
      </c>
      <c r="D65" s="245">
        <f t="array" ref="D65">SUM(IF((Budget[Account Code]=B65)*(Budget[Ofc Code]=$G$4)*(Budget[Date]&lt;=$D$7),(Budget[Amount])))</f>
        <v>120000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-120000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120000</v>
      </c>
      <c r="D67" s="245">
        <f t="array" ref="D67">SUM(IF((Budget[Account Code]=B67)*(Budget[Ofc Code]=$G$4)*(Budget[Date]&lt;=$D$7),(Budget[Amount])))</f>
        <v>120000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-120000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1103210</v>
      </c>
      <c r="D68" s="245">
        <f t="array" ref="D68">SUM(IF((Budget[Account Code]=B68)*(Budget[Ofc Code]=$G$4)*(Budget[Date]&lt;=$D$7),(Budget[Amount])))</f>
        <v>1103210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-1103210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794311.2</v>
      </c>
      <c r="D69" s="245">
        <f t="array" ref="D69">SUM(IF((Budget[Account Code]=B69)*(Budget[Ofc Code]=$G$4)*(Budget[Date]&lt;=$D$7),(Budget[Amount])))</f>
        <v>794311.2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-794311.2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28800</v>
      </c>
      <c r="D70" s="245">
        <f t="array" ref="D70">SUM(IF((Budget[Account Code]=B70)*(Budget[Ofc Code]=$G$4)*(Budget[Date]&lt;=$D$7),(Budget[Amount])))</f>
        <v>28800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-28800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85246.56</v>
      </c>
      <c r="D71" s="245">
        <f t="array" ref="D71">SUM(IF((Budget[Account Code]=B71)*(Budget[Ofc Code]=$G$4)*(Budget[Date]&lt;=$D$7),(Budget[Amount])))</f>
        <v>85246.56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-85246.56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28800</v>
      </c>
      <c r="D72" s="245">
        <f t="array" ref="D72">SUM(IF((Budget[Account Code]=B72)*(Budget[Ofc Code]=$G$4)*(Budget[Date]&lt;=$D$7),(Budget[Amount])))</f>
        <v>28800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-28800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3736136</v>
      </c>
      <c r="D76" s="252">
        <f>D77+D139</f>
        <v>3736136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-3736136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3736136</v>
      </c>
      <c r="D77" s="254">
        <f>D78+D138</f>
        <v>3736136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-3736136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3736136</v>
      </c>
      <c r="D78" s="246">
        <f>SUM(D79:D137)</f>
        <v>3736136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-3736136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56800</v>
      </c>
      <c r="D79" s="245">
        <f t="array" ref="D79">SUM(IF((Budget[Account Code]=B79)*(Budget[Ofc Code]=$G$4)*(Budget[Date]&lt;=$D$7),(Budget[Amount])))</f>
        <v>56800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-56800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150000</v>
      </c>
      <c r="D81" s="245">
        <f t="array" ref="D81">SUM(IF((Budget[Account Code]=B81)*(Budget[Ofc Code]=$G$4)*(Budget[Date]&lt;=$D$7),(Budget[Amount])))</f>
        <v>150000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-150000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220000</v>
      </c>
      <c r="D82" s="245">
        <f t="array" ref="D82">SUM(IF((Budget[Account Code]=B82)*(Budget[Ofc Code]=$G$4)*(Budget[Date]&lt;=$D$7),(Budget[Amount])))</f>
        <v>220000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-220000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0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684000</v>
      </c>
      <c r="D86" s="245">
        <f t="array" ref="D86">SUM(IF((Budget[Account Code]=B86)*(Budget[Ofc Code]=$G$4)*(Budget[Date]&lt;=$D$7),(Budget[Amount])))</f>
        <v>684000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-684000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113000</v>
      </c>
      <c r="D88" s="245">
        <f t="array" ref="D88">SUM(IF((Budget[Account Code]=B88)*(Budget[Ofc Code]=$G$4)*(Budget[Date]&lt;=$D$7),(Budget[Amount])))</f>
        <v>113000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-113000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48000</v>
      </c>
      <c r="D89" s="245">
        <f t="array" ref="D89">SUM(IF((Budget[Account Code]=B89)*(Budget[Ofc Code]=$G$4)*(Budget[Date]&lt;=$D$7),(Budget[Amount])))</f>
        <v>48000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-48000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444000</v>
      </c>
      <c r="D90" s="245">
        <f t="array" ref="D90">SUM(IF((Budget[Account Code]=B90)*(Budget[Ofc Code]=$G$4)*(Budget[Date]&lt;=$D$7),(Budget[Amount])))</f>
        <v>444000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-444000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154836</v>
      </c>
      <c r="D94" s="245">
        <f t="array" ref="D94">SUM(IF((Budget[Account Code]=B94)*(Budget[Ofc Code]=$G$4)*(Budget[Date]&lt;=$D$7),(Budget[Amount])))</f>
        <v>154836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-154836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18000</v>
      </c>
      <c r="D95" s="245">
        <f t="array" ref="D95">SUM(IF((Budget[Account Code]=B95)*(Budget[Ofc Code]=$G$4)*(Budget[Date]&lt;=$D$7),(Budget[Amount])))</f>
        <v>18000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-18000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0</v>
      </c>
      <c r="D96" s="245">
        <f t="array" ref="D96">SUM(IF((Budget[Account Code]=B96)*(Budget[Ofc Code]=$G$4)*(Budget[Date]&lt;=$D$7),(Budget[Amount])))</f>
        <v>0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0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1500000</v>
      </c>
      <c r="D112" s="245">
        <f t="array" ref="D112">SUM(IF((Budget[Account Code]=B112)*(Budget[Ofc Code]=$G$4)*(Budget[Date]&lt;=$D$7),(Budget[Amount])))</f>
        <v>1500000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-1500000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280000</v>
      </c>
      <c r="D118" s="245">
        <f t="array" ref="D118">SUM(IF((Budget[Account Code]=B118)*(Budget[Ofc Code]=$G$4)*(Budget[Date]&lt;=$D$7),(Budget[Amount])))</f>
        <v>280000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-280000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67500</v>
      </c>
      <c r="D125" s="245">
        <f t="array" ref="D125">SUM(IF((Budget[Account Code]=B125)*(Budget[Ofc Code]=$G$4)*(Budget[Date]&lt;=$D$7),(Budget[Amount])))</f>
        <v>67500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-67500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0</v>
      </c>
      <c r="D139" s="242">
        <f>SUM(D140:D143)</f>
        <v>0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0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0</v>
      </c>
      <c r="D140" s="245">
        <f t="array" ref="D140">SUM(IF((Budget[Account Code]=B140)*(Budget[Ofc Code]=$G$4)*(Budget[Date]&lt;=$D$7),(Budget[Amount])))</f>
        <v>0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0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13495291.76</v>
      </c>
      <c r="D147" s="250">
        <f>D50+D76+D144</f>
        <v>13495291.76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-13495291.76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-11867291.76</v>
      </c>
      <c r="D148" s="250">
        <f>D48-D147</f>
        <v>-11867291.76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11867291.76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0.12</v>
      </c>
      <c r="D149" s="250">
        <f>D48/D147</f>
        <v>0.12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-11867291.76</v>
      </c>
      <c r="D152" s="250">
        <f>D148+D150+D151</f>
        <v>-11867291.76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11867291.76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0.12</v>
      </c>
      <c r="D153" s="250">
        <f>D48/(D147-D150-D151)</f>
        <v>0.12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120000</v>
      </c>
      <c r="D156" s="245">
        <f t="array" ref="D156">SUM(IF((Budget[Account Code]=B156)*(Budget[Ofc Code]=$G$4)*(Budget[Date]&lt;=$D$7),(Budget[Amount])))</f>
        <v>120000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-120000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625000</v>
      </c>
      <c r="D157" s="245">
        <f t="array" ref="D157">SUM(IF((Budget[Account Code]=B157)*(Budget[Ofc Code]=$G$4)*(Budget[Date]&lt;=$D$7),(Budget[Amount])))</f>
        <v>625000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-625000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15000</v>
      </c>
      <c r="D158" s="245">
        <f t="array" ref="D158">SUM(IF((Budget[Account Code]=B158)*(Budget[Ofc Code]=$G$4)*(Budget[Date]&lt;=$D$7),(Budget[Amount])))</f>
        <v>15000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-15000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120000</v>
      </c>
      <c r="D160" s="245">
        <f t="array" ref="D160">SUM(IF((Budget[Account Code]=B160)*(Budget[Ofc Code]=$G$4)*(Budget[Date]&lt;=$D$7),(Budget[Amount])))</f>
        <v>120000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-120000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1703243.4</v>
      </c>
      <c r="D162" s="245">
        <f t="array" ref="D162">SUM(IF((Budget[Account Code]=B162)*(Budget[Ofc Code]=$G$4)*(Budget[Date]&lt;=$D$7),(Budget[Amount])))</f>
        <v>1703243.4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-1703243.4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2583243.4</v>
      </c>
      <c r="D164" s="250">
        <f>SUM(D155:D163)</f>
        <v>2583243.4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-2583243.4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16078535.16</v>
      </c>
      <c r="D165" s="250">
        <f>D147+D164</f>
        <v>16078535.16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-16078535.16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-14450535.16</v>
      </c>
      <c r="D166" s="250">
        <f>D48-D165</f>
        <v>-14450535.16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14450535.16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0.1</v>
      </c>
      <c r="D167" s="250">
        <f>D48/D165</f>
        <v>0.1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-14450535.16</v>
      </c>
      <c r="D170" s="250">
        <f>D166+D168+D169</f>
        <v>-14450535.16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14450535.16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0.1</v>
      </c>
      <c r="D171" s="250">
        <f>D48/(D165-D168-D169)</f>
        <v>0.1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0</v>
      </c>
      <c r="D175" s="245">
        <f t="array" ref="D175">SUM(IF((Budget[Account Code]=B175)*(Budget[Ofc Code]=$G$4)*(Budget[Date]&lt;=$D$7),(Budget[Amount])))</f>
        <v>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16078535.16</v>
      </c>
      <c r="D178" s="250">
        <f>D165+D177</f>
        <v>16078535.16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-16078535.16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-14450535.16</v>
      </c>
      <c r="D179" s="250">
        <f>D48-D178</f>
        <v>-14450535.16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14450535.16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0.1</v>
      </c>
      <c r="D184" s="265">
        <f>D48/(D178-D181-D182)</f>
        <v>0.1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La Union PIO</v>
      </c>
      <c r="C4" s="332"/>
      <c r="G4" s="331" t="s">
        <v>493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200000</v>
      </c>
      <c r="D15" s="248">
        <f>SUM(D16:D18)</f>
        <v>200000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-200000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200000</v>
      </c>
      <c r="D17" s="245">
        <f t="array" ref="D17">SUM(IF((Budget[Account Code]=B17)*(Budget[Ofc Code]=$G$4)*(Budget[Date]&lt;=$D$7),(Budget[Amount])))</f>
        <v>200000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-200000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200000</v>
      </c>
      <c r="D24" s="250">
        <f>D9+D15+D19</f>
        <v>200000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-200000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0</v>
      </c>
      <c r="D36" s="248">
        <f>SUM(D37:D45)</f>
        <v>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0</v>
      </c>
      <c r="D44" s="245">
        <f t="array" ref="D44">SUM(IF((Budget[Account Code]=B44)*(Budget[Ofc Code]=$G$4)*(Budget[Date]&lt;=$D$7),(Budget[Amount])))</f>
        <v>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0</v>
      </c>
      <c r="D47" s="250">
        <f>D26+D27+D32+D36+D46</f>
        <v>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200000</v>
      </c>
      <c r="D48" s="250">
        <f>D24+D47</f>
        <v>200000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-200000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5570469.2000000002</v>
      </c>
      <c r="D50" s="242">
        <f>D51+D75</f>
        <v>5570469.2000000002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-5570469.2000000002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5570469.2000000002</v>
      </c>
      <c r="D51" s="246">
        <f>SUM(D52:D74)</f>
        <v>5570469.2000000002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-5570469.2000000002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3129480</v>
      </c>
      <c r="D52" s="245">
        <f t="array" ref="D52">SUM(IF((Budget[Account Code]=B52)*(Budget[Ofc Code]=$G$4)*(Budget[Date]&lt;=$D$7),(Budget[Amount])))</f>
        <v>3129480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-3129480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1075557.6000000001</v>
      </c>
      <c r="D53" s="245">
        <f t="array" ref="D53">SUM(IF((Budget[Account Code]=B53)*(Budget[Ofc Code]=$G$4)*(Budget[Date]&lt;=$D$7),(Budget[Amount])))</f>
        <v>1075557.6000000001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-1075557.6000000001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312000</v>
      </c>
      <c r="D55" s="245">
        <f t="array" ref="D55">SUM(IF((Budget[Account Code]=B55)*(Budget[Ofc Code]=$G$4)*(Budget[Date]&lt;=$D$7),(Budget[Amount])))</f>
        <v>312000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-312000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0</v>
      </c>
      <c r="D56" s="245">
        <f t="array" ref="D56">SUM(IF((Budget[Account Code]=B56)*(Budget[Ofc Code]=$G$4)*(Budget[Date]&lt;=$D$7),(Budget[Amount])))</f>
        <v>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0</v>
      </c>
      <c r="D58" s="245">
        <f t="array" ref="D58">SUM(IF((Budget[Account Code]=B58)*(Budget[Ofc Code]=$G$4)*(Budget[Date]&lt;=$D$7),(Budget[Amount])))</f>
        <v>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16800</v>
      </c>
      <c r="D61" s="245">
        <f t="array" ref="D61">SUM(IF((Budget[Account Code]=B61)*(Budget[Ofc Code]=$G$4)*(Budget[Date]&lt;=$D$7),(Budget[Amount])))</f>
        <v>16800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-16800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5544</v>
      </c>
      <c r="D62" s="245">
        <f t="array" ref="D62">SUM(IF((Budget[Account Code]=B62)*(Budget[Ofc Code]=$G$4)*(Budget[Date]&lt;=$D$7),(Budget[Amount])))</f>
        <v>5544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-5544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720</v>
      </c>
      <c r="D63" s="245">
        <f t="array" ref="D63">SUM(IF((Budget[Account Code]=B63)*(Budget[Ofc Code]=$G$4)*(Budget[Date]&lt;=$D$7),(Budget[Amount])))</f>
        <v>720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-720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0</v>
      </c>
      <c r="D65" s="245">
        <f t="array" ref="D65">SUM(IF((Budget[Account Code]=B65)*(Budget[Ofc Code]=$G$4)*(Budget[Date]&lt;=$D$7),(Budget[Amount])))</f>
        <v>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65000</v>
      </c>
      <c r="D67" s="245">
        <f t="array" ref="D67">SUM(IF((Budget[Account Code]=B67)*(Budget[Ofc Code]=$G$4)*(Budget[Date]&lt;=$D$7),(Budget[Amount])))</f>
        <v>65000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-65000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521580</v>
      </c>
      <c r="D68" s="245">
        <f t="array" ref="D68">SUM(IF((Budget[Account Code]=B68)*(Budget[Ofc Code]=$G$4)*(Budget[Date]&lt;=$D$7),(Budget[Amount])))</f>
        <v>521580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-521580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375537.6</v>
      </c>
      <c r="D69" s="245">
        <f t="array" ref="D69">SUM(IF((Budget[Account Code]=B69)*(Budget[Ofc Code]=$G$4)*(Budget[Date]&lt;=$D$7),(Budget[Amount])))</f>
        <v>375537.6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-375537.6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15600</v>
      </c>
      <c r="D70" s="245">
        <f t="array" ref="D70">SUM(IF((Budget[Account Code]=B70)*(Budget[Ofc Code]=$G$4)*(Budget[Date]&lt;=$D$7),(Budget[Amount])))</f>
        <v>15600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-15600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37050</v>
      </c>
      <c r="D71" s="245">
        <f t="array" ref="D71">SUM(IF((Budget[Account Code]=B71)*(Budget[Ofc Code]=$G$4)*(Budget[Date]&lt;=$D$7),(Budget[Amount])))</f>
        <v>37050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-37050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15600</v>
      </c>
      <c r="D72" s="245">
        <f t="array" ref="D72">SUM(IF((Budget[Account Code]=B72)*(Budget[Ofc Code]=$G$4)*(Budget[Date]&lt;=$D$7),(Budget[Amount])))</f>
        <v>15600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-15600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3956018.76</v>
      </c>
      <c r="D76" s="252">
        <f>D77+D139</f>
        <v>3956018.76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-3956018.76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2253623.7599999998</v>
      </c>
      <c r="D77" s="254">
        <f>D78+D138</f>
        <v>2253623.7599999998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-2253623.7599999998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2253623.7599999998</v>
      </c>
      <c r="D78" s="246">
        <f>SUM(D79:D137)</f>
        <v>2253623.7599999998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-2253623.7599999998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0</v>
      </c>
      <c r="D79" s="245">
        <f t="array" ref="D79">SUM(IF((Budget[Account Code]=B79)*(Budget[Ofc Code]=$G$4)*(Budget[Date]&lt;=$D$7),(Budget[Amount])))</f>
        <v>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0</v>
      </c>
      <c r="D82" s="245">
        <f t="array" ref="D82">SUM(IF((Budget[Account Code]=B82)*(Budget[Ofc Code]=$G$4)*(Budget[Date]&lt;=$D$7),(Budget[Amount])))</f>
        <v>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0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1322702.3999999999</v>
      </c>
      <c r="D86" s="245">
        <f t="array" ref="D86">SUM(IF((Budget[Account Code]=B86)*(Budget[Ofc Code]=$G$4)*(Budget[Date]&lt;=$D$7),(Budget[Amount])))</f>
        <v>1322702.3999999999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-1322702.3999999999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0</v>
      </c>
      <c r="D88" s="245">
        <f t="array" ref="D88">SUM(IF((Budget[Account Code]=B88)*(Budget[Ofc Code]=$G$4)*(Budget[Date]&lt;=$D$7),(Budget[Amount])))</f>
        <v>0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0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33116.160000000003</v>
      </c>
      <c r="D89" s="245">
        <f t="array" ref="D89">SUM(IF((Budget[Account Code]=B89)*(Budget[Ofc Code]=$G$4)*(Budget[Date]&lt;=$D$7),(Budget[Amount])))</f>
        <v>33116.160000000003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-33116.160000000003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764484.36</v>
      </c>
      <c r="D90" s="245">
        <f t="array" ref="D90">SUM(IF((Budget[Account Code]=B90)*(Budget[Ofc Code]=$G$4)*(Budget[Date]&lt;=$D$7),(Budget[Amount])))</f>
        <v>764484.36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-764484.36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0</v>
      </c>
      <c r="D94" s="245">
        <f t="array" ref="D94">SUM(IF((Budget[Account Code]=B94)*(Budget[Ofc Code]=$G$4)*(Budget[Date]&lt;=$D$7),(Budget[Amount])))</f>
        <v>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0</v>
      </c>
      <c r="D95" s="245">
        <f t="array" ref="D95">SUM(IF((Budget[Account Code]=B95)*(Budget[Ofc Code]=$G$4)*(Budget[Date]&lt;=$D$7),(Budget[Amount])))</f>
        <v>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133320.84</v>
      </c>
      <c r="D96" s="245">
        <f t="array" ref="D96">SUM(IF((Budget[Account Code]=B96)*(Budget[Ofc Code]=$G$4)*(Budget[Date]&lt;=$D$7),(Budget[Amount])))</f>
        <v>133320.84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-133320.84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0</v>
      </c>
      <c r="D112" s="245">
        <f t="array" ref="D112">SUM(IF((Budget[Account Code]=B112)*(Budget[Ofc Code]=$G$4)*(Budget[Date]&lt;=$D$7),(Budget[Amount])))</f>
        <v>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0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0</v>
      </c>
      <c r="D118" s="245">
        <f t="array" ref="D118">SUM(IF((Budget[Account Code]=B118)*(Budget[Ofc Code]=$G$4)*(Budget[Date]&lt;=$D$7),(Budget[Amount])))</f>
        <v>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0</v>
      </c>
      <c r="D125" s="245">
        <f t="array" ref="D125">SUM(IF((Budget[Account Code]=B125)*(Budget[Ofc Code]=$G$4)*(Budget[Date]&lt;=$D$7),(Budget[Amount])))</f>
        <v>0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0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1702395</v>
      </c>
      <c r="D139" s="242">
        <f>SUM(D140:D143)</f>
        <v>1702395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-1702395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1702395</v>
      </c>
      <c r="D140" s="245">
        <f t="array" ref="D140">SUM(IF((Budget[Account Code]=B140)*(Budget[Ofc Code]=$G$4)*(Budget[Date]&lt;=$D$7),(Budget[Amount])))</f>
        <v>1702395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-1702395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9526487.9600000009</v>
      </c>
      <c r="D147" s="250">
        <f>D50+D76+D144</f>
        <v>9526487.9600000009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-9526487.9600000009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-9326487.9600000009</v>
      </c>
      <c r="D148" s="250">
        <f>D48-D147</f>
        <v>-9326487.9600000009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9326487.9600000009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0.02</v>
      </c>
      <c r="D149" s="250">
        <f>D48/D147</f>
        <v>0.02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-9326487.9600000009</v>
      </c>
      <c r="D152" s="250">
        <f>D148+D150+D151</f>
        <v>-9326487.9600000009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9326487.9600000009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0.02</v>
      </c>
      <c r="D153" s="250">
        <f>D48/(D147-D150-D151)</f>
        <v>0.02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65000</v>
      </c>
      <c r="D156" s="245">
        <f t="array" ref="D156">SUM(IF((Budget[Account Code]=B156)*(Budget[Ofc Code]=$G$4)*(Budget[Date]&lt;=$D$7),(Budget[Amount])))</f>
        <v>65000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-65000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0</v>
      </c>
      <c r="D157" s="245">
        <f t="array" ref="D157">SUM(IF((Budget[Account Code]=B157)*(Budget[Ofc Code]=$G$4)*(Budget[Date]&lt;=$D$7),(Budget[Amount])))</f>
        <v>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0</v>
      </c>
      <c r="D158" s="245">
        <f t="array" ref="D158">SUM(IF((Budget[Account Code]=B158)*(Budget[Ofc Code]=$G$4)*(Budget[Date]&lt;=$D$7),(Budget[Amount])))</f>
        <v>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962082.29</v>
      </c>
      <c r="D162" s="245">
        <f t="array" ref="D162">SUM(IF((Budget[Account Code]=B162)*(Budget[Ofc Code]=$G$4)*(Budget[Date]&lt;=$D$7),(Budget[Amount])))</f>
        <v>962082.29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-962082.29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1027082.29</v>
      </c>
      <c r="D164" s="250">
        <f>SUM(D155:D163)</f>
        <v>1027082.29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-1027082.29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10553570.25</v>
      </c>
      <c r="D165" s="250">
        <f>D147+D164</f>
        <v>10553570.25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-10553570.25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-10353570.25</v>
      </c>
      <c r="D166" s="250">
        <f>D48-D165</f>
        <v>-10353570.25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10353570.25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0.02</v>
      </c>
      <c r="D167" s="250">
        <f>D48/D165</f>
        <v>0.02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-10353570.25</v>
      </c>
      <c r="D170" s="250">
        <f>D166+D168+D169</f>
        <v>-10353570.25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10353570.25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0.02</v>
      </c>
      <c r="D171" s="250">
        <f>D48/(D165-D168-D169)</f>
        <v>0.02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0</v>
      </c>
      <c r="D175" s="245">
        <f t="array" ref="D175">SUM(IF((Budget[Account Code]=B175)*(Budget[Ofc Code]=$G$4)*(Budget[Date]&lt;=$D$7),(Budget[Amount])))</f>
        <v>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10553570.25</v>
      </c>
      <c r="D178" s="250">
        <f>D165+D177</f>
        <v>10553570.25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-10553570.25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-10353570.25</v>
      </c>
      <c r="D179" s="250">
        <f>D48-D178</f>
        <v>-10353570.25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10353570.25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0.02</v>
      </c>
      <c r="D184" s="265">
        <f>D48/(D178-D181-D182)</f>
        <v>0.02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La Union MASLIP RIS</v>
      </c>
      <c r="C4" s="332"/>
      <c r="G4" s="331" t="s">
        <v>502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50000</v>
      </c>
      <c r="D15" s="248">
        <f>SUM(D16:D18)</f>
        <v>50000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-50000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50000</v>
      </c>
      <c r="D17" s="245">
        <f t="array" ref="D17">SUM(IF((Budget[Account Code]=B17)*(Budget[Ofc Code]=$G$4)*(Budget[Date]&lt;=$D$7),(Budget[Amount])))</f>
        <v>50000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-50000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50000</v>
      </c>
      <c r="D24" s="250">
        <f>D9+D15+D19</f>
        <v>50000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-50000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0</v>
      </c>
      <c r="D36" s="248">
        <f>SUM(D37:D45)</f>
        <v>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0</v>
      </c>
      <c r="D44" s="245">
        <f t="array" ref="D44">SUM(IF((Budget[Account Code]=B44)*(Budget[Ofc Code]=$G$4)*(Budget[Date]&lt;=$D$7),(Budget[Amount])))</f>
        <v>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0</v>
      </c>
      <c r="D47" s="250">
        <f>D26+D27+D32+D36+D46</f>
        <v>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50000</v>
      </c>
      <c r="D48" s="250">
        <f>D24+D47</f>
        <v>50000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-50000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3331571.96</v>
      </c>
      <c r="D50" s="242">
        <f>D51+D75</f>
        <v>3331571.96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-3331571.96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3331571.96</v>
      </c>
      <c r="D51" s="246">
        <f>SUM(D52:D74)</f>
        <v>3331571.96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-3331571.96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890604</v>
      </c>
      <c r="D52" s="245">
        <f t="array" ref="D52">SUM(IF((Budget[Account Code]=B52)*(Budget[Ofc Code]=$G$4)*(Budget[Date]&lt;=$D$7),(Budget[Amount])))</f>
        <v>890604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-890604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2045919.48</v>
      </c>
      <c r="D53" s="245">
        <f t="array" ref="D53">SUM(IF((Budget[Account Code]=B53)*(Budget[Ofc Code]=$G$4)*(Budget[Date]&lt;=$D$7),(Budget[Amount])))</f>
        <v>2045919.48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-2045919.48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96000</v>
      </c>
      <c r="D55" s="245">
        <f t="array" ref="D55">SUM(IF((Budget[Account Code]=B55)*(Budget[Ofc Code]=$G$4)*(Budget[Date]&lt;=$D$7),(Budget[Amount])))</f>
        <v>96000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-96000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0</v>
      </c>
      <c r="D56" s="245">
        <f t="array" ref="D56">SUM(IF((Budget[Account Code]=B56)*(Budget[Ofc Code]=$G$4)*(Budget[Date]&lt;=$D$7),(Budget[Amount])))</f>
        <v>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0</v>
      </c>
      <c r="D58" s="245">
        <f t="array" ref="D58">SUM(IF((Budget[Account Code]=B58)*(Budget[Ofc Code]=$G$4)*(Budget[Date]&lt;=$D$7),(Budget[Amount])))</f>
        <v>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2400</v>
      </c>
      <c r="D61" s="245">
        <f t="array" ref="D61">SUM(IF((Budget[Account Code]=B61)*(Budget[Ofc Code]=$G$4)*(Budget[Date]&lt;=$D$7),(Budget[Amount])))</f>
        <v>2400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-2400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792</v>
      </c>
      <c r="D62" s="245">
        <f t="array" ref="D62">SUM(IF((Budget[Account Code]=B62)*(Budget[Ofc Code]=$G$4)*(Budget[Date]&lt;=$D$7),(Budget[Amount])))</f>
        <v>792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-792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0</v>
      </c>
      <c r="D63" s="245">
        <f t="array" ref="D63">SUM(IF((Budget[Account Code]=B63)*(Budget[Ofc Code]=$G$4)*(Budget[Date]&lt;=$D$7),(Budget[Amount])))</f>
        <v>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0</v>
      </c>
      <c r="D65" s="245">
        <f t="array" ref="D65">SUM(IF((Budget[Account Code]=B65)*(Budget[Ofc Code]=$G$4)*(Budget[Date]&lt;=$D$7),(Budget[Amount])))</f>
        <v>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20000</v>
      </c>
      <c r="D67" s="245">
        <f t="array" ref="D67">SUM(IF((Budget[Account Code]=B67)*(Budget[Ofc Code]=$G$4)*(Budget[Date]&lt;=$D$7),(Budget[Amount])))</f>
        <v>20000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-20000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148434</v>
      </c>
      <c r="D68" s="245">
        <f t="array" ref="D68">SUM(IF((Budget[Account Code]=B68)*(Budget[Ofc Code]=$G$4)*(Budget[Date]&lt;=$D$7),(Budget[Amount])))</f>
        <v>148434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-148434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106872.48</v>
      </c>
      <c r="D69" s="245">
        <f t="array" ref="D69">SUM(IF((Budget[Account Code]=B69)*(Budget[Ofc Code]=$G$4)*(Budget[Date]&lt;=$D$7),(Budget[Amount])))</f>
        <v>106872.48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-106872.48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4800</v>
      </c>
      <c r="D70" s="245">
        <f t="array" ref="D70">SUM(IF((Budget[Account Code]=B70)*(Budget[Ofc Code]=$G$4)*(Budget[Date]&lt;=$D$7),(Budget[Amount])))</f>
        <v>4800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-4800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10950</v>
      </c>
      <c r="D71" s="245">
        <f t="array" ref="D71">SUM(IF((Budget[Account Code]=B71)*(Budget[Ofc Code]=$G$4)*(Budget[Date]&lt;=$D$7),(Budget[Amount])))</f>
        <v>10950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-10950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4800</v>
      </c>
      <c r="D72" s="245">
        <f t="array" ref="D72">SUM(IF((Budget[Account Code]=B72)*(Budget[Ofc Code]=$G$4)*(Budget[Date]&lt;=$D$7),(Budget[Amount])))</f>
        <v>4800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-4800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1384189.14</v>
      </c>
      <c r="D76" s="252">
        <f>D77+D139</f>
        <v>1384189.14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-1384189.14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1087703.6399999999</v>
      </c>
      <c r="D77" s="254">
        <f>D78+D138</f>
        <v>1087703.6399999999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-1087703.6399999999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1087703.6399999999</v>
      </c>
      <c r="D78" s="246">
        <f>SUM(D79:D137)</f>
        <v>1087703.6399999999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-1087703.6399999999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0</v>
      </c>
      <c r="D79" s="245">
        <f t="array" ref="D79">SUM(IF((Budget[Account Code]=B79)*(Budget[Ofc Code]=$G$4)*(Budget[Date]&lt;=$D$7),(Budget[Amount])))</f>
        <v>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0</v>
      </c>
      <c r="D82" s="245">
        <f t="array" ref="D82">SUM(IF((Budget[Account Code]=B82)*(Budget[Ofc Code]=$G$4)*(Budget[Date]&lt;=$D$7),(Budget[Amount])))</f>
        <v>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0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880412.4</v>
      </c>
      <c r="D86" s="245">
        <f t="array" ref="D86">SUM(IF((Budget[Account Code]=B86)*(Budget[Ofc Code]=$G$4)*(Budget[Date]&lt;=$D$7),(Budget[Amount])))</f>
        <v>880412.4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-880412.4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0</v>
      </c>
      <c r="D88" s="245">
        <f t="array" ref="D88">SUM(IF((Budget[Account Code]=B88)*(Budget[Ofc Code]=$G$4)*(Budget[Date]&lt;=$D$7),(Budget[Amount])))</f>
        <v>0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0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0</v>
      </c>
      <c r="D89" s="245">
        <f t="array" ref="D89">SUM(IF((Budget[Account Code]=B89)*(Budget[Ofc Code]=$G$4)*(Budget[Date]&lt;=$D$7),(Budget[Amount])))</f>
        <v>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190263.24</v>
      </c>
      <c r="D90" s="245">
        <f t="array" ref="D90">SUM(IF((Budget[Account Code]=B90)*(Budget[Ofc Code]=$G$4)*(Budget[Date]&lt;=$D$7),(Budget[Amount])))</f>
        <v>190263.24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-190263.24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0</v>
      </c>
      <c r="D94" s="245">
        <f t="array" ref="D94">SUM(IF((Budget[Account Code]=B94)*(Budget[Ofc Code]=$G$4)*(Budget[Date]&lt;=$D$7),(Budget[Amount])))</f>
        <v>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0</v>
      </c>
      <c r="D95" s="245">
        <f t="array" ref="D95">SUM(IF((Budget[Account Code]=B95)*(Budget[Ofc Code]=$G$4)*(Budget[Date]&lt;=$D$7),(Budget[Amount])))</f>
        <v>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17028</v>
      </c>
      <c r="D96" s="245">
        <f t="array" ref="D96">SUM(IF((Budget[Account Code]=B96)*(Budget[Ofc Code]=$G$4)*(Budget[Date]&lt;=$D$7),(Budget[Amount])))</f>
        <v>17028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-17028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0</v>
      </c>
      <c r="D112" s="245">
        <f t="array" ref="D112">SUM(IF((Budget[Account Code]=B112)*(Budget[Ofc Code]=$G$4)*(Budget[Date]&lt;=$D$7),(Budget[Amount])))</f>
        <v>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0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0</v>
      </c>
      <c r="D118" s="245">
        <f t="array" ref="D118">SUM(IF((Budget[Account Code]=B118)*(Budget[Ofc Code]=$G$4)*(Budget[Date]&lt;=$D$7),(Budget[Amount])))</f>
        <v>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0</v>
      </c>
      <c r="D125" s="245">
        <f t="array" ref="D125">SUM(IF((Budget[Account Code]=B125)*(Budget[Ofc Code]=$G$4)*(Budget[Date]&lt;=$D$7),(Budget[Amount])))</f>
        <v>0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0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296485.5</v>
      </c>
      <c r="D139" s="242">
        <f>SUM(D140:D143)</f>
        <v>296485.5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-296485.5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296485.5</v>
      </c>
      <c r="D140" s="245">
        <f t="array" ref="D140">SUM(IF((Budget[Account Code]=B140)*(Budget[Ofc Code]=$G$4)*(Budget[Date]&lt;=$D$7),(Budget[Amount])))</f>
        <v>296485.5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-296485.5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4715761.0999999996</v>
      </c>
      <c r="D147" s="250">
        <f>D50+D76+D144</f>
        <v>4715761.0999999996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-4715761.0999999996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-4665761.0999999996</v>
      </c>
      <c r="D148" s="250">
        <f>D48-D147</f>
        <v>-4665761.0999999996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4665761.0999999996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0.01</v>
      </c>
      <c r="D149" s="250">
        <f>D48/D147</f>
        <v>0.01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-4665761.0999999996</v>
      </c>
      <c r="D152" s="250">
        <f>D148+D150+D151</f>
        <v>-4665761.0999999996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4665761.0999999996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0.01</v>
      </c>
      <c r="D153" s="250">
        <f>D48/(D147-D150-D151)</f>
        <v>0.01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20000</v>
      </c>
      <c r="D156" s="245">
        <f t="array" ref="D156">SUM(IF((Budget[Account Code]=B156)*(Budget[Ofc Code]=$G$4)*(Budget[Date]&lt;=$D$7),(Budget[Amount])))</f>
        <v>20000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-20000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0</v>
      </c>
      <c r="D157" s="245">
        <f t="array" ref="D157">SUM(IF((Budget[Account Code]=B157)*(Budget[Ofc Code]=$G$4)*(Budget[Date]&lt;=$D$7),(Budget[Amount])))</f>
        <v>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0</v>
      </c>
      <c r="D158" s="245">
        <f t="array" ref="D158">SUM(IF((Budget[Account Code]=B158)*(Budget[Ofc Code]=$G$4)*(Budget[Date]&lt;=$D$7),(Budget[Amount])))</f>
        <v>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0</v>
      </c>
      <c r="D162" s="245">
        <f t="array" ref="D162">SUM(IF((Budget[Account Code]=B162)*(Budget[Ofc Code]=$G$4)*(Budget[Date]&lt;=$D$7),(Budget[Amount])))</f>
        <v>0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0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20000</v>
      </c>
      <c r="D164" s="250">
        <f>SUM(D155:D163)</f>
        <v>20000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-20000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4735761.0999999996</v>
      </c>
      <c r="D165" s="250">
        <f>D147+D164</f>
        <v>4735761.0999999996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-4735761.0999999996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-4685761.0999999996</v>
      </c>
      <c r="D166" s="250">
        <f>D48-D165</f>
        <v>-4685761.0999999996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4685761.0999999996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0.01</v>
      </c>
      <c r="D167" s="250">
        <f>D48/D165</f>
        <v>0.01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-4685761.0999999996</v>
      </c>
      <c r="D170" s="250">
        <f>D166+D168+D169</f>
        <v>-4685761.0999999996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4685761.0999999996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0.01</v>
      </c>
      <c r="D171" s="250">
        <f>D48/(D165-D168-D169)</f>
        <v>0.01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0</v>
      </c>
      <c r="D175" s="245">
        <f t="array" ref="D175">SUM(IF((Budget[Account Code]=B175)*(Budget[Ofc Code]=$G$4)*(Budget[Date]&lt;=$D$7),(Budget[Amount])))</f>
        <v>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4735761.0999999996</v>
      </c>
      <c r="D178" s="250">
        <f>D165+D177</f>
        <v>4735761.0999999996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-4735761.0999999996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-4685761.0999999996</v>
      </c>
      <c r="D179" s="250">
        <f>D48-D178</f>
        <v>-4685761.0999999996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4685761.0999999996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0.01</v>
      </c>
      <c r="D184" s="265">
        <f>D48/(D178-D181-D182)</f>
        <v>0.01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tr">
        <f>IF(G4=0,,VLOOKUP((TRIM(G4)),SortCode,2,))</f>
        <v>La Union AMBURAYAN RIS</v>
      </c>
      <c r="C4" s="332"/>
      <c r="G4" s="331" t="s">
        <v>503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200000</v>
      </c>
      <c r="D15" s="248">
        <f>SUM(D16:D18)</f>
        <v>200000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-200000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200000</v>
      </c>
      <c r="D17" s="245">
        <f t="array" ref="D17">SUM(IF((Budget[Account Code]=B17)*(Budget[Ofc Code]=$G$4)*(Budget[Date]&lt;=$D$7),(Budget[Amount])))</f>
        <v>200000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-200000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200000</v>
      </c>
      <c r="D24" s="250">
        <f>D9+D15+D19</f>
        <v>200000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-200000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0</v>
      </c>
      <c r="D36" s="248">
        <f>SUM(D37:D45)</f>
        <v>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0</v>
      </c>
      <c r="D44" s="245">
        <f t="array" ref="D44">SUM(IF((Budget[Account Code]=B44)*(Budget[Ofc Code]=$G$4)*(Budget[Date]&lt;=$D$7),(Budget[Amount])))</f>
        <v>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0</v>
      </c>
      <c r="D47" s="250">
        <f>D26+D27+D32+D36+D46</f>
        <v>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200000</v>
      </c>
      <c r="D48" s="250">
        <f>D24+D47</f>
        <v>200000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-200000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6970805.5599999996</v>
      </c>
      <c r="D50" s="242">
        <f>D51+D75</f>
        <v>6970805.5599999996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-6970805.5599999996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6970805.5599999996</v>
      </c>
      <c r="D51" s="246">
        <f>SUM(D52:D74)</f>
        <v>6970805.5599999996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-6970805.5599999996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4408404</v>
      </c>
      <c r="D52" s="245">
        <f t="array" ref="D52">SUM(IF((Budget[Account Code]=B52)*(Budget[Ofc Code]=$G$4)*(Budget[Date]&lt;=$D$7),(Budget[Amount])))</f>
        <v>4408404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-4408404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670513.07999999996</v>
      </c>
      <c r="D53" s="245">
        <f t="array" ref="D53">SUM(IF((Budget[Account Code]=B53)*(Budget[Ofc Code]=$G$4)*(Budget[Date]&lt;=$D$7),(Budget[Amount])))</f>
        <v>670513.07999999996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-670513.07999999996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432000</v>
      </c>
      <c r="D55" s="245">
        <f t="array" ref="D55">SUM(IF((Budget[Account Code]=B55)*(Budget[Ofc Code]=$G$4)*(Budget[Date]&lt;=$D$7),(Budget[Amount])))</f>
        <v>432000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-432000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0</v>
      </c>
      <c r="D56" s="245">
        <f t="array" ref="D56">SUM(IF((Budget[Account Code]=B56)*(Budget[Ofc Code]=$G$4)*(Budget[Date]&lt;=$D$7),(Budget[Amount])))</f>
        <v>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0</v>
      </c>
      <c r="D58" s="245">
        <f t="array" ref="D58">SUM(IF((Budget[Account Code]=B58)*(Budget[Ofc Code]=$G$4)*(Budget[Date]&lt;=$D$7),(Budget[Amount])))</f>
        <v>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7200</v>
      </c>
      <c r="D61" s="245">
        <f t="array" ref="D61">SUM(IF((Budget[Account Code]=B61)*(Budget[Ofc Code]=$G$4)*(Budget[Date]&lt;=$D$7),(Budget[Amount])))</f>
        <v>7200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-7200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2376</v>
      </c>
      <c r="D62" s="245">
        <f t="array" ref="D62">SUM(IF((Budget[Account Code]=B62)*(Budget[Ofc Code]=$G$4)*(Budget[Date]&lt;=$D$7),(Budget[Amount])))</f>
        <v>2376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-2376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720</v>
      </c>
      <c r="D63" s="245">
        <f t="array" ref="D63">SUM(IF((Budget[Account Code]=B63)*(Budget[Ofc Code]=$G$4)*(Budget[Date]&lt;=$D$7),(Budget[Amount])))</f>
        <v>720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-720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0</v>
      </c>
      <c r="D65" s="245">
        <f t="array" ref="D65">SUM(IF((Budget[Account Code]=B65)*(Budget[Ofc Code]=$G$4)*(Budget[Date]&lt;=$D$7),(Budget[Amount])))</f>
        <v>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90000</v>
      </c>
      <c r="D67" s="245">
        <f t="array" ref="D67">SUM(IF((Budget[Account Code]=B67)*(Budget[Ofc Code]=$G$4)*(Budget[Date]&lt;=$D$7),(Budget[Amount])))</f>
        <v>90000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-90000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734734</v>
      </c>
      <c r="D68" s="245">
        <f t="array" ref="D68">SUM(IF((Budget[Account Code]=B68)*(Budget[Ofc Code]=$G$4)*(Budget[Date]&lt;=$D$7),(Budget[Amount])))</f>
        <v>734734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-734734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529008.48</v>
      </c>
      <c r="D69" s="245">
        <f t="array" ref="D69">SUM(IF((Budget[Account Code]=B69)*(Budget[Ofc Code]=$G$4)*(Budget[Date]&lt;=$D$7),(Budget[Amount])))</f>
        <v>529008.48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-529008.48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21600</v>
      </c>
      <c r="D70" s="245">
        <f t="array" ref="D70">SUM(IF((Budget[Account Code]=B70)*(Budget[Ofc Code]=$G$4)*(Budget[Date]&lt;=$D$7),(Budget[Amount])))</f>
        <v>21600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-21600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52650</v>
      </c>
      <c r="D71" s="245">
        <f t="array" ref="D71">SUM(IF((Budget[Account Code]=B71)*(Budget[Ofc Code]=$G$4)*(Budget[Date]&lt;=$D$7),(Budget[Amount])))</f>
        <v>52650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-52650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21600</v>
      </c>
      <c r="D72" s="245">
        <f t="array" ref="D72">SUM(IF((Budget[Account Code]=B72)*(Budget[Ofc Code]=$G$4)*(Budget[Date]&lt;=$D$7),(Budget[Amount])))</f>
        <v>21600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-21600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3448884.64</v>
      </c>
      <c r="D76" s="252">
        <f>D77+D139</f>
        <v>3448884.64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-3448884.64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1540904.64</v>
      </c>
      <c r="D77" s="254">
        <f>D78+D138</f>
        <v>1540904.64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-1540904.64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1540904.64</v>
      </c>
      <c r="D78" s="246">
        <f>SUM(D79:D137)</f>
        <v>1540904.64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-1540904.64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0</v>
      </c>
      <c r="D79" s="245">
        <f t="array" ref="D79">SUM(IF((Budget[Account Code]=B79)*(Budget[Ofc Code]=$G$4)*(Budget[Date]&lt;=$D$7),(Budget[Amount])))</f>
        <v>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0</v>
      </c>
      <c r="D82" s="245">
        <f t="array" ref="D82">SUM(IF((Budget[Account Code]=B82)*(Budget[Ofc Code]=$G$4)*(Budget[Date]&lt;=$D$7),(Budget[Amount])))</f>
        <v>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0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1282847.76</v>
      </c>
      <c r="D86" s="245">
        <f t="array" ref="D86">SUM(IF((Budget[Account Code]=B86)*(Budget[Ofc Code]=$G$4)*(Budget[Date]&lt;=$D$7),(Budget[Amount])))</f>
        <v>1282847.76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-1282847.76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0</v>
      </c>
      <c r="D88" s="245">
        <f t="array" ref="D88">SUM(IF((Budget[Account Code]=B88)*(Budget[Ofc Code]=$G$4)*(Budget[Date]&lt;=$D$7),(Budget[Amount])))</f>
        <v>0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0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27180</v>
      </c>
      <c r="D89" s="245">
        <f t="array" ref="D89">SUM(IF((Budget[Account Code]=B89)*(Budget[Ofc Code]=$G$4)*(Budget[Date]&lt;=$D$7),(Budget[Amount])))</f>
        <v>27180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-27180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168497.64</v>
      </c>
      <c r="D90" s="245">
        <f t="array" ref="D90">SUM(IF((Budget[Account Code]=B90)*(Budget[Ofc Code]=$G$4)*(Budget[Date]&lt;=$D$7),(Budget[Amount])))</f>
        <v>168497.64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-168497.64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0</v>
      </c>
      <c r="D94" s="245">
        <f t="array" ref="D94">SUM(IF((Budget[Account Code]=B94)*(Budget[Ofc Code]=$G$4)*(Budget[Date]&lt;=$D$7),(Budget[Amount])))</f>
        <v>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0</v>
      </c>
      <c r="D95" s="245">
        <f t="array" ref="D95">SUM(IF((Budget[Account Code]=B95)*(Budget[Ofc Code]=$G$4)*(Budget[Date]&lt;=$D$7),(Budget[Amount])))</f>
        <v>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62379.24</v>
      </c>
      <c r="D96" s="245">
        <f t="array" ref="D96">SUM(IF((Budget[Account Code]=B96)*(Budget[Ofc Code]=$G$4)*(Budget[Date]&lt;=$D$7),(Budget[Amount])))</f>
        <v>62379.24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-62379.24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0</v>
      </c>
      <c r="D112" s="245">
        <f t="array" ref="D112">SUM(IF((Budget[Account Code]=B112)*(Budget[Ofc Code]=$G$4)*(Budget[Date]&lt;=$D$7),(Budget[Amount])))</f>
        <v>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0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0</v>
      </c>
      <c r="D118" s="245">
        <f t="array" ref="D118">SUM(IF((Budget[Account Code]=B118)*(Budget[Ofc Code]=$G$4)*(Budget[Date]&lt;=$D$7),(Budget[Amount])))</f>
        <v>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0</v>
      </c>
      <c r="D125" s="245">
        <f t="array" ref="D125">SUM(IF((Budget[Account Code]=B125)*(Budget[Ofc Code]=$G$4)*(Budget[Date]&lt;=$D$7),(Budget[Amount])))</f>
        <v>0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0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1907980</v>
      </c>
      <c r="D139" s="242">
        <f>SUM(D140:D143)</f>
        <v>1907980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-1907980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1907980</v>
      </c>
      <c r="D140" s="245">
        <f t="array" ref="D140">SUM(IF((Budget[Account Code]=B140)*(Budget[Ofc Code]=$G$4)*(Budget[Date]&lt;=$D$7),(Budget[Amount])))</f>
        <v>1907980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-1907980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10419690.199999999</v>
      </c>
      <c r="D147" s="250">
        <f>D50+D76+D144</f>
        <v>10419690.199999999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-10419690.199999999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-10219690.199999999</v>
      </c>
      <c r="D148" s="250">
        <f>D48-D147</f>
        <v>-10219690.199999999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10219690.199999999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0.02</v>
      </c>
      <c r="D149" s="250">
        <f>D48/D147</f>
        <v>0.02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-10219690.199999999</v>
      </c>
      <c r="D152" s="250">
        <f>D148+D150+D151</f>
        <v>-10219690.199999999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10219690.199999999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0.02</v>
      </c>
      <c r="D153" s="250">
        <f>D48/(D147-D150-D151)</f>
        <v>0.02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90000</v>
      </c>
      <c r="D156" s="245">
        <f t="array" ref="D156">SUM(IF((Budget[Account Code]=B156)*(Budget[Ofc Code]=$G$4)*(Budget[Date]&lt;=$D$7),(Budget[Amount])))</f>
        <v>90000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-90000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0</v>
      </c>
      <c r="D157" s="245">
        <f t="array" ref="D157">SUM(IF((Budget[Account Code]=B157)*(Budget[Ofc Code]=$G$4)*(Budget[Date]&lt;=$D$7),(Budget[Amount])))</f>
        <v>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0</v>
      </c>
      <c r="D158" s="245">
        <f t="array" ref="D158">SUM(IF((Budget[Account Code]=B158)*(Budget[Ofc Code]=$G$4)*(Budget[Date]&lt;=$D$7),(Budget[Amount])))</f>
        <v>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0</v>
      </c>
      <c r="D162" s="245">
        <f t="array" ref="D162">SUM(IF((Budget[Account Code]=B162)*(Budget[Ofc Code]=$G$4)*(Budget[Date]&lt;=$D$7),(Budget[Amount])))</f>
        <v>0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0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90000</v>
      </c>
      <c r="D164" s="250">
        <f>SUM(D155:D163)</f>
        <v>90000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-90000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10509690.199999999</v>
      </c>
      <c r="D165" s="250">
        <f>D147+D164</f>
        <v>10509690.199999999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-10509690.199999999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-10309690.199999999</v>
      </c>
      <c r="D166" s="250">
        <f>D48-D165</f>
        <v>-10309690.199999999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10309690.199999999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0.02</v>
      </c>
      <c r="D167" s="250">
        <f>D48/D165</f>
        <v>0.02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-10309690.199999999</v>
      </c>
      <c r="D170" s="250">
        <f>D166+D168+D169</f>
        <v>-10309690.199999999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10309690.199999999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0.02</v>
      </c>
      <c r="D171" s="250">
        <f>D48/(D165-D168-D169)</f>
        <v>0.02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0</v>
      </c>
      <c r="D175" s="245">
        <f t="array" ref="D175">SUM(IF((Budget[Account Code]=B175)*(Budget[Ofc Code]=$G$4)*(Budget[Date]&lt;=$D$7),(Budget[Amount])))</f>
        <v>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10509690.199999999</v>
      </c>
      <c r="D178" s="250">
        <f>D165+D177</f>
        <v>10509690.199999999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-10509690.199999999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-10309690.199999999</v>
      </c>
      <c r="D179" s="250">
        <f>D48-D178</f>
        <v>-10309690.199999999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10309690.199999999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0.02</v>
      </c>
      <c r="D184" s="265">
        <f>D48/(D178-D181-D182)</f>
        <v>0.02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e">
        <f>IF(G4=0,,VLOOKUP((TRIM(G4)),SortCode,2,))</f>
        <v>#N/A</v>
      </c>
      <c r="C4" s="332"/>
      <c r="G4" s="331" t="s">
        <v>504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50000</v>
      </c>
      <c r="D15" s="248">
        <f>SUM(D16:D18)</f>
        <v>50000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-50000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50000</v>
      </c>
      <c r="D17" s="245">
        <f t="array" ref="D17">SUM(IF((Budget[Account Code]=B17)*(Budget[Ofc Code]=$G$4)*(Budget[Date]&lt;=$D$7),(Budget[Amount])))</f>
        <v>50000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-50000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50000</v>
      </c>
      <c r="D24" s="250">
        <f>D9+D15+D19</f>
        <v>50000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-50000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0</v>
      </c>
      <c r="D36" s="248">
        <f>SUM(D37:D45)</f>
        <v>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0</v>
      </c>
      <c r="D44" s="245">
        <f t="array" ref="D44">SUM(IF((Budget[Account Code]=B44)*(Budget[Ofc Code]=$G$4)*(Budget[Date]&lt;=$D$7),(Budget[Amount])))</f>
        <v>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0</v>
      </c>
      <c r="D47" s="250">
        <f>D26+D27+D32+D36+D46</f>
        <v>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50000</v>
      </c>
      <c r="D48" s="250">
        <f>D24+D47</f>
        <v>50000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-50000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1874104.44</v>
      </c>
      <c r="D50" s="242">
        <f>D51+D75</f>
        <v>1874104.44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-1874104.44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1874104.44</v>
      </c>
      <c r="D51" s="246">
        <f>SUM(D52:D74)</f>
        <v>1874104.44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-1874104.44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564552</v>
      </c>
      <c r="D52" s="245">
        <f t="array" ref="D52">SUM(IF((Budget[Account Code]=B52)*(Budget[Ofc Code]=$G$4)*(Budget[Date]&lt;=$D$7),(Budget[Amount])))</f>
        <v>564552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-564552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954475.32</v>
      </c>
      <c r="D53" s="245">
        <f t="array" ref="D53">SUM(IF((Budget[Account Code]=B53)*(Budget[Ofc Code]=$G$4)*(Budget[Date]&lt;=$D$7),(Budget[Amount])))</f>
        <v>954475.32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-954475.32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120000</v>
      </c>
      <c r="D55" s="245">
        <f t="array" ref="D55">SUM(IF((Budget[Account Code]=B55)*(Budget[Ofc Code]=$G$4)*(Budget[Date]&lt;=$D$7),(Budget[Amount])))</f>
        <v>120000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-120000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0</v>
      </c>
      <c r="D56" s="245">
        <f t="array" ref="D56">SUM(IF((Budget[Account Code]=B56)*(Budget[Ofc Code]=$G$4)*(Budget[Date]&lt;=$D$7),(Budget[Amount])))</f>
        <v>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0</v>
      </c>
      <c r="D58" s="245">
        <f t="array" ref="D58">SUM(IF((Budget[Account Code]=B58)*(Budget[Ofc Code]=$G$4)*(Budget[Date]&lt;=$D$7),(Budget[Amount])))</f>
        <v>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4800</v>
      </c>
      <c r="D61" s="245">
        <f t="array" ref="D61">SUM(IF((Budget[Account Code]=B61)*(Budget[Ofc Code]=$G$4)*(Budget[Date]&lt;=$D$7),(Budget[Amount])))</f>
        <v>4800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-4800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1584</v>
      </c>
      <c r="D62" s="245">
        <f t="array" ref="D62">SUM(IF((Budget[Account Code]=B62)*(Budget[Ofc Code]=$G$4)*(Budget[Date]&lt;=$D$7),(Budget[Amount])))</f>
        <v>1584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-1584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0</v>
      </c>
      <c r="D63" s="245">
        <f t="array" ref="D63">SUM(IF((Budget[Account Code]=B63)*(Budget[Ofc Code]=$G$4)*(Budget[Date]&lt;=$D$7),(Budget[Amount])))</f>
        <v>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0</v>
      </c>
      <c r="D65" s="245">
        <f t="array" ref="D65">SUM(IF((Budget[Account Code]=B65)*(Budget[Ofc Code]=$G$4)*(Budget[Date]&lt;=$D$7),(Budget[Amount])))</f>
        <v>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15000</v>
      </c>
      <c r="D67" s="245">
        <f t="array" ref="D67">SUM(IF((Budget[Account Code]=B67)*(Budget[Ofc Code]=$G$4)*(Budget[Date]&lt;=$D$7),(Budget[Amount])))</f>
        <v>15000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-15000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94092</v>
      </c>
      <c r="D68" s="245">
        <f t="array" ref="D68">SUM(IF((Budget[Account Code]=B68)*(Budget[Ofc Code]=$G$4)*(Budget[Date]&lt;=$D$7),(Budget[Amount])))</f>
        <v>94092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-94092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97701.119999999995</v>
      </c>
      <c r="D69" s="245">
        <f t="array" ref="D69">SUM(IF((Budget[Account Code]=B69)*(Budget[Ofc Code]=$G$4)*(Budget[Date]&lt;=$D$7),(Budget[Amount])))</f>
        <v>97701.119999999995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-97701.119999999995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6000</v>
      </c>
      <c r="D70" s="245">
        <f t="array" ref="D70">SUM(IF((Budget[Account Code]=B70)*(Budget[Ofc Code]=$G$4)*(Budget[Date]&lt;=$D$7),(Budget[Amount])))</f>
        <v>6000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-6000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9900</v>
      </c>
      <c r="D71" s="245">
        <f t="array" ref="D71">SUM(IF((Budget[Account Code]=B71)*(Budget[Ofc Code]=$G$4)*(Budget[Date]&lt;=$D$7),(Budget[Amount])))</f>
        <v>9900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-9900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6000</v>
      </c>
      <c r="D72" s="245">
        <f t="array" ref="D72">SUM(IF((Budget[Account Code]=B72)*(Budget[Ofc Code]=$G$4)*(Budget[Date]&lt;=$D$7),(Budget[Amount])))</f>
        <v>6000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-6000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715328.88</v>
      </c>
      <c r="D76" s="252">
        <f>D77+D139</f>
        <v>715328.88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-715328.88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110858.88</v>
      </c>
      <c r="D77" s="254">
        <f>D78+D138</f>
        <v>110858.88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-110858.88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110858.88</v>
      </c>
      <c r="D78" s="246">
        <f>SUM(D79:D137)</f>
        <v>110858.88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-110858.88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0</v>
      </c>
      <c r="D79" s="245">
        <f t="array" ref="D79">SUM(IF((Budget[Account Code]=B79)*(Budget[Ofc Code]=$G$4)*(Budget[Date]&lt;=$D$7),(Budget[Amount])))</f>
        <v>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0</v>
      </c>
      <c r="D82" s="245">
        <f t="array" ref="D82">SUM(IF((Budget[Account Code]=B82)*(Budget[Ofc Code]=$G$4)*(Budget[Date]&lt;=$D$7),(Budget[Amount])))</f>
        <v>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0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0</v>
      </c>
      <c r="D86" s="245">
        <f t="array" ref="D86">SUM(IF((Budget[Account Code]=B86)*(Budget[Ofc Code]=$G$4)*(Budget[Date]&lt;=$D$7),(Budget[Amount])))</f>
        <v>0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0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0</v>
      </c>
      <c r="D88" s="245">
        <f t="array" ref="D88">SUM(IF((Budget[Account Code]=B88)*(Budget[Ofc Code]=$G$4)*(Budget[Date]&lt;=$D$7),(Budget[Amount])))</f>
        <v>0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0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0</v>
      </c>
      <c r="D89" s="245">
        <f t="array" ref="D89">SUM(IF((Budget[Account Code]=B89)*(Budget[Ofc Code]=$G$4)*(Budget[Date]&lt;=$D$7),(Budget[Amount])))</f>
        <v>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98870.88</v>
      </c>
      <c r="D90" s="245">
        <f t="array" ref="D90">SUM(IF((Budget[Account Code]=B90)*(Budget[Ofc Code]=$G$4)*(Budget[Date]&lt;=$D$7),(Budget[Amount])))</f>
        <v>98870.88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-98870.88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0</v>
      </c>
      <c r="D94" s="245">
        <f t="array" ref="D94">SUM(IF((Budget[Account Code]=B94)*(Budget[Ofc Code]=$G$4)*(Budget[Date]&lt;=$D$7),(Budget[Amount])))</f>
        <v>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0</v>
      </c>
      <c r="D95" s="245">
        <f t="array" ref="D95">SUM(IF((Budget[Account Code]=B95)*(Budget[Ofc Code]=$G$4)*(Budget[Date]&lt;=$D$7),(Budget[Amount])))</f>
        <v>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11988</v>
      </c>
      <c r="D96" s="245">
        <f t="array" ref="D96">SUM(IF((Budget[Account Code]=B96)*(Budget[Ofc Code]=$G$4)*(Budget[Date]&lt;=$D$7),(Budget[Amount])))</f>
        <v>11988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-11988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0</v>
      </c>
      <c r="D112" s="245">
        <f t="array" ref="D112">SUM(IF((Budget[Account Code]=B112)*(Budget[Ofc Code]=$G$4)*(Budget[Date]&lt;=$D$7),(Budget[Amount])))</f>
        <v>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0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0</v>
      </c>
      <c r="D118" s="245">
        <f t="array" ref="D118">SUM(IF((Budget[Account Code]=B118)*(Budget[Ofc Code]=$G$4)*(Budget[Date]&lt;=$D$7),(Budget[Amount])))</f>
        <v>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0</v>
      </c>
      <c r="D125" s="245">
        <f t="array" ref="D125">SUM(IF((Budget[Account Code]=B125)*(Budget[Ofc Code]=$G$4)*(Budget[Date]&lt;=$D$7),(Budget[Amount])))</f>
        <v>0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0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604470</v>
      </c>
      <c r="D139" s="242">
        <f>SUM(D140:D143)</f>
        <v>604470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-604470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604470</v>
      </c>
      <c r="D140" s="245">
        <f t="array" ref="D140">SUM(IF((Budget[Account Code]=B140)*(Budget[Ofc Code]=$G$4)*(Budget[Date]&lt;=$D$7),(Budget[Amount])))</f>
        <v>604470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-604470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2589433.3199999998</v>
      </c>
      <c r="D147" s="250">
        <f>D50+D76+D144</f>
        <v>2589433.3199999998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-2589433.3199999998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-2539433.3199999998</v>
      </c>
      <c r="D148" s="250">
        <f>D48-D147</f>
        <v>-2539433.3199999998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2539433.3199999998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0.02</v>
      </c>
      <c r="D149" s="250">
        <f>D48/D147</f>
        <v>0.02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-2539433.3199999998</v>
      </c>
      <c r="D152" s="250">
        <f>D148+D150+D151</f>
        <v>-2539433.3199999998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2539433.3199999998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0.02</v>
      </c>
      <c r="D153" s="250">
        <f>D48/(D147-D150-D151)</f>
        <v>0.02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25000</v>
      </c>
      <c r="D156" s="245">
        <f t="array" ref="D156">SUM(IF((Budget[Account Code]=B156)*(Budget[Ofc Code]=$G$4)*(Budget[Date]&lt;=$D$7),(Budget[Amount])))</f>
        <v>25000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-25000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0</v>
      </c>
      <c r="D157" s="245">
        <f t="array" ref="D157">SUM(IF((Budget[Account Code]=B157)*(Budget[Ofc Code]=$G$4)*(Budget[Date]&lt;=$D$7),(Budget[Amount])))</f>
        <v>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0</v>
      </c>
      <c r="D158" s="245">
        <f t="array" ref="D158">SUM(IF((Budget[Account Code]=B158)*(Budget[Ofc Code]=$G$4)*(Budget[Date]&lt;=$D$7),(Budget[Amount])))</f>
        <v>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0</v>
      </c>
      <c r="D162" s="245">
        <f t="array" ref="D162">SUM(IF((Budget[Account Code]=B162)*(Budget[Ofc Code]=$G$4)*(Budget[Date]&lt;=$D$7),(Budget[Amount])))</f>
        <v>0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0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25000</v>
      </c>
      <c r="D164" s="250">
        <f>SUM(D155:D163)</f>
        <v>25000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-25000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2614433.3199999998</v>
      </c>
      <c r="D165" s="250">
        <f>D147+D164</f>
        <v>2614433.3199999998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-2614433.3199999998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-2564433.3199999998</v>
      </c>
      <c r="D166" s="250">
        <f>D48-D165</f>
        <v>-2564433.3199999998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2564433.3199999998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0.02</v>
      </c>
      <c r="D167" s="250">
        <f>D48/D165</f>
        <v>0.02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-2564433.3199999998</v>
      </c>
      <c r="D170" s="250">
        <f>D166+D168+D169</f>
        <v>-2564433.3199999998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2564433.3199999998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0.02</v>
      </c>
      <c r="D171" s="250">
        <f>D48/(D165-D168-D169)</f>
        <v>0.02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0</v>
      </c>
      <c r="D175" s="245">
        <f t="array" ref="D175">SUM(IF((Budget[Account Code]=B175)*(Budget[Ofc Code]=$G$4)*(Budget[Date]&lt;=$D$7),(Budget[Amount])))</f>
        <v>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2614433.3199999998</v>
      </c>
      <c r="D178" s="250">
        <f>D165+D177</f>
        <v>2614433.3199999998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-2614433.3199999998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-2564433.3199999998</v>
      </c>
      <c r="D179" s="250">
        <f>D48-D178</f>
        <v>-2564433.3199999998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2564433.3199999998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0.02</v>
      </c>
      <c r="D184" s="265">
        <f>D48/(D178-D181-D182)</f>
        <v>0.02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663300"/>
  </sheetPr>
  <dimension ref="A1:I184"/>
  <sheetViews>
    <sheetView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6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e">
        <f>IF(G4=0,,VLOOKUP((TRIM(G4)),SortCode,2,))</f>
        <v>#N/A</v>
      </c>
      <c r="C4" s="332"/>
      <c r="G4" s="331" t="s">
        <v>507</v>
      </c>
    </row>
    <row r="5" spans="1:9" ht="14.25" customHeight="1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0</v>
      </c>
      <c r="D9" s="242">
        <f>D10+D11</f>
        <v>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>G9-D9</f>
        <v>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Code]=B10)*(Budget[Ofc Code]=$G$4),(Budget[Amount])))</f>
        <v>0</v>
      </c>
      <c r="D10" s="245">
        <f t="array" ref="D10">SUM(IF((Budget[Account Code]=B10)*(Budget[Ofc Code]=$G$4)*(Budget[Date]&lt;=$D$7),(Budget[Amount])))</f>
        <v>0</v>
      </c>
      <c r="E10" s="245">
        <f t="array" ref="E10">((SUM(IF((CkDJ[Ofc Code]=(TRIM(G$4)))*(CkDJ[Account Code]=(TRIM($B10)))*(CkDJ[Date]&lt;=$E$7),CkDJ[Credit])))+(SUM(IF((CsDJ[Ofc Code]=(TRIM(G$4)))*(CsDJ[Account Code]=(TRIM($B10)))*(CsDJ[Date]&lt;=$E$7),CsDJ[Credit])))+(SUM(IF((CRDJ[Ofc Code]=(TRIM(G$4)))*(CRDJ[Account Code]=(TRIM($B10)))*(CRDJ[Date]&lt;=$E$7),CRDJ[Credit])))+(SUM(IF((GJ[Ofc Code]=(TRIM(G$4)))*(GJ[Account Code]=(TRIM($B10)))*(GJ[Date]&lt;=$E$7),GJ[Credit]))))-((SUM(IF((CkDJ[Ofc Code]=(TRIM(G$4)))*(CkDJ[Account Code]=(TRIM($B10)))*(CkDJ[Date]&lt;=$E$7),CkDJ[Debit])))+(SUM(IF((CsDJ[Ofc Code]=(TRIM(G$4)))*(CsDJ[Account Code]=(TRIM($B10)))*(CsDJ[Date]&lt;=$E$7),CsDJ[Debit])))+(SUM(IF((CRDJ[Ofc Code]=(TRIM(G$4)))*(CRDJ[Account Code]=(TRIM($B10)))*(CRDJ[Date]&lt;=$E$7),CRDJ[Debit])))+(SUM(IF((GJ[Ofc Code]=(TRIM(G$4)))*(GJ[Account Code]=(TRIM($B10)))*(GJ[Date]&lt;=$E$7),GJ[Debit]))))</f>
        <v>0</v>
      </c>
      <c r="F10" s="245">
        <f t="array" ref="F10">((SUM(IF((CkDJ[Date]=$A$3)*(CkDJ[Ofc Code]=(TRIM(G$4)))*(CkDJ[Account Code]=(TRIM($B10))),CkDJ[Credit])))+(SUM(IF((CsDJ[Date]=$A$3)*(CsDJ[Ofc Code]=(TRIM(G$4)))*(CsDJ[Account Code]=(TRIM($B10))),CsDJ[Credit])))+(SUM(IF((CRDJ[Date]=$A$3)*(CRDJ[Ofc Code]=(TRIM(G$4)))*(CRDJ[Account Code]=(TRIM($B10))),CRDJ[Credit])))+(SUM(IF((GJ[Date]=$A$3)*(GJ[Ofc Code]=(TRIM(G$4)))*(GJ[Account Code]=(TRIM($B10))),GJ[Credit]))))-((SUM(IF((CkDJ[Date]=$A$3)*(CkDJ[Ofc Code]=(TRIM(G$4)))*(CkDJ[Account Code]=(TRIM($B10))),CkDJ[Debit])))+(SUM(IF((CsDJ[Date]=$A$3)*(CsDJ[Ofc Code]=(TRIM(G$4)))*(CsDJ[Account Code]=(TRIM($B10))),CsDJ[Debit])))+(SUM(IF((CRDJ[Date]=$A$3)*(CRDJ[Ofc Code]=(TRIM(G$4)))*(CRDJ[Account Code]=(TRIM($B10))),CRDJ[Debit])))+(SUM(IF((GJ[Date]=$A$3)*(GJ[Ofc Code]=(TRIM(G$4)))*(GJ[Account Code]=(TRIM($B10))),GJ[Debit]))))</f>
        <v>0</v>
      </c>
      <c r="G10" s="343">
        <f>E10+F10</f>
        <v>0</v>
      </c>
      <c r="H10" s="246">
        <f t="shared" ref="H10:H24" si="0">G10-D10</f>
        <v>0</v>
      </c>
      <c r="I10" s="246">
        <f t="shared" ref="I10:I24" si="1">IF((D10=0),0,G10/D10)</f>
        <v>0</v>
      </c>
    </row>
    <row r="11" spans="1:9" x14ac:dyDescent="0.2">
      <c r="A11" s="243" t="s">
        <v>820</v>
      </c>
      <c r="B11" s="337"/>
      <c r="C11" s="245">
        <f>SUM(C12:C14)</f>
        <v>0</v>
      </c>
      <c r="D11" s="245">
        <f>SUM(D12:D14)</f>
        <v>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Code]=B12)*(Budget[Ofc Code]=$G$4),(Budget[Amount])))</f>
        <v>0</v>
      </c>
      <c r="D12" s="245">
        <f t="array" ref="D12">SUM(IF((Budget[Account Code]=B12)*(Budget[Ofc Code]=$G$4)*(Budget[Date]&lt;=$D$7),(Budget[Amount])))</f>
        <v>0</v>
      </c>
      <c r="E12" s="245">
        <f t="array" ref="E12">((SUM(IF((CkDJ[Ofc Code]=(TRIM(G$4)))*(CkDJ[Account Code]=(TRIM($B12)))*(CkDJ[Date]&lt;=$E$7),CkDJ[Credit])))+(SUM(IF((CsDJ[Ofc Code]=(TRIM(G$4)))*(CsDJ[Account Code]=(TRIM($B12)))*(CsDJ[Date]&lt;=$E$7),CsDJ[Credit])))+(SUM(IF((CRDJ[Ofc Code]=(TRIM(G$4)))*(CRDJ[Account Code]=(TRIM($B12)))*(CRDJ[Date]&lt;=$E$7),CRDJ[Credit])))+(SUM(IF((GJ[Ofc Code]=(TRIM(G$4)))*(GJ[Account Code]=(TRIM($B12)))*(GJ[Date]&lt;=$E$7),GJ[Credit]))))-((SUM(IF((CkDJ[Ofc Code]=(TRIM(G$4)))*(CkDJ[Account Code]=(TRIM($B12)))*(CkDJ[Date]&lt;=$E$7),CkDJ[Debit])))+(SUM(IF((CsDJ[Ofc Code]=(TRIM(G$4)))*(CsDJ[Account Code]=(TRIM($B12)))*(CsDJ[Date]&lt;=$E$7),CsDJ[Debit])))+(SUM(IF((CRDJ[Ofc Code]=(TRIM(G$4)))*(CRDJ[Account Code]=(TRIM($B12)))*(CRDJ[Date]&lt;=$E$7),CRDJ[Debit])))+(SUM(IF((GJ[Ofc Code]=(TRIM(G$4)))*(GJ[Account Code]=(TRIM($B12)))*(GJ[Date]&lt;=$E$7),GJ[Debit]))))</f>
        <v>0</v>
      </c>
      <c r="F12" s="245">
        <f t="array" ref="F12">((SUM(IF((CkDJ[Date]=$A$3)*(CkDJ[Ofc Code]=(TRIM(G$4)))*(CkDJ[Account Code]=(TRIM($B12))),CkDJ[Credit])))+(SUM(IF((CsDJ[Date]=$A$3)*(CsDJ[Ofc Code]=(TRIM(G$4)))*(CsDJ[Account Code]=(TRIM($B12))),CsDJ[Credit])))+(SUM(IF((CRDJ[Date]=$A$3)*(CRDJ[Ofc Code]=(TRIM(G$4)))*(CRDJ[Account Code]=(TRIM($B12))),CRDJ[Credit])))+(SUM(IF((GJ[Date]=$A$3)*(GJ[Ofc Code]=(TRIM(G$4)))*(GJ[Account Code]=(TRIM($B12))),GJ[Credit]))))-((SUM(IF((CkDJ[Date]=$A$3)*(CkDJ[Ofc Code]=(TRIM(G$4)))*(CkDJ[Account Code]=(TRIM($B12))),CkDJ[Debit])))+(SUM(IF((CsDJ[Date]=$A$3)*(CsDJ[Ofc Code]=(TRIM(G$4)))*(CsDJ[Account Code]=(TRIM($B12))),CsDJ[Debit])))+(SUM(IF((CRDJ[Date]=$A$3)*(CRDJ[Ofc Code]=(TRIM(G$4)))*(CRDJ[Account Code]=(TRIM($B12))),CRDJ[Debit])))+(SUM(IF((GJ[Date]=$A$3)*(GJ[Ofc Code]=(TRIM(G$4)))*(GJ[Account Code]=(TRIM($B12))),GJ[Debit]))))</f>
        <v>0</v>
      </c>
      <c r="G12" s="343">
        <f>E12+F12</f>
        <v>0</v>
      </c>
      <c r="H12" s="246">
        <f t="shared" si="0"/>
        <v>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Code]=B13)*(Budget[Ofc Code]=$G$4),(Budget[Amount])))</f>
        <v>0</v>
      </c>
      <c r="D13" s="245">
        <f t="array" ref="D13">SUM(IF((Budget[Account Code]=B13)*(Budget[Ofc Code]=$G$4)*(Budget[Date]&lt;=$D$7),(Budget[Amount])))</f>
        <v>0</v>
      </c>
      <c r="E13" s="245">
        <f t="array" ref="E13">((SUM(IF((CkDJ[Ofc Code]=(TRIM(G$4)))*(CkDJ[Account Code]=(TRIM($B13)))*(CkDJ[Date]&lt;=$E$7),CkDJ[Credit])))+(SUM(IF((CsDJ[Ofc Code]=(TRIM(G$4)))*(CsDJ[Account Code]=(TRIM($B13)))*(CsDJ[Date]&lt;=$E$7),CsDJ[Credit])))+(SUM(IF((CRDJ[Ofc Code]=(TRIM(G$4)))*(CRDJ[Account Code]=(TRIM($B13)))*(CRDJ[Date]&lt;=$E$7),CRDJ[Credit])))+(SUM(IF((GJ[Ofc Code]=(TRIM(G$4)))*(GJ[Account Code]=(TRIM($B13)))*(GJ[Date]&lt;=$E$7),GJ[Credit]))))-((SUM(IF((CkDJ[Ofc Code]=(TRIM(G$4)))*(CkDJ[Account Code]=(TRIM($B13)))*(CkDJ[Date]&lt;=$E$7),CkDJ[Debit])))+(SUM(IF((CsDJ[Ofc Code]=(TRIM(G$4)))*(CsDJ[Account Code]=(TRIM($B13)))*(CsDJ[Date]&lt;=$E$7),CsDJ[Debit])))+(SUM(IF((CRDJ[Ofc Code]=(TRIM(G$4)))*(CRDJ[Account Code]=(TRIM($B13)))*(CRDJ[Date]&lt;=$E$7),CRDJ[Debit])))+(SUM(IF((GJ[Ofc Code]=(TRIM(G$4)))*(GJ[Account Code]=(TRIM($B13)))*(GJ[Date]&lt;=$E$7),GJ[Debit]))))</f>
        <v>0</v>
      </c>
      <c r="F13" s="245">
        <f t="array" ref="F13">((SUM(IF((CkDJ[Date]=$A$3)*(CkDJ[Ofc Code]=(TRIM(G$4)))*(CkDJ[Account Code]=(TRIM($B13))),CkDJ[Credit])))+(SUM(IF((CsDJ[Date]=$A$3)*(CsDJ[Ofc Code]=(TRIM(G$4)))*(CsDJ[Account Code]=(TRIM($B13))),CsDJ[Credit])))+(SUM(IF((CRDJ[Date]=$A$3)*(CRDJ[Ofc Code]=(TRIM(G$4)))*(CRDJ[Account Code]=(TRIM($B13))),CRDJ[Credit])))+(SUM(IF((GJ[Date]=$A$3)*(GJ[Ofc Code]=(TRIM(G$4)))*(GJ[Account Code]=(TRIM($B13))),GJ[Credit]))))-((SUM(IF((CkDJ[Date]=$A$3)*(CkDJ[Ofc Code]=(TRIM(G$4)))*(CkDJ[Account Code]=(TRIM($B13))),CkDJ[Debit])))+(SUM(IF((CsDJ[Date]=$A$3)*(CsDJ[Ofc Code]=(TRIM(G$4)))*(CsDJ[Account Code]=(TRIM($B13))),CsDJ[Debit])))+(SUM(IF((CRDJ[Date]=$A$3)*(CRDJ[Ofc Code]=(TRIM(G$4)))*(CRDJ[Account Code]=(TRIM($B13))),CRDJ[Debit])))+(SUM(IF((GJ[Date]=$A$3)*(GJ[Ofc Code]=(TRIM(G$4)))*(GJ[Account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Code]=B14)*(Budget[Ofc Code]=$G$4),(Budget[Amount])))</f>
        <v>0</v>
      </c>
      <c r="D14" s="245">
        <f t="array" ref="D14">SUM(IF((Budget[Account Code]=B14)*(Budget[Ofc Code]=$G$4)*(Budget[Date]&lt;=$D$7),(Budget[Amount])))</f>
        <v>0</v>
      </c>
      <c r="E14" s="245">
        <f t="array" ref="E14">((SUM(IF((CkDJ[Ofc Code]=(TRIM(G$4)))*(CkDJ[Account Code]=(TRIM($B14)))*(CkDJ[Date]&lt;=$E$7),CkDJ[Credit])))+(SUM(IF((CsDJ[Ofc Code]=(TRIM(G$4)))*(CsDJ[Account Code]=(TRIM($B14)))*(CsDJ[Date]&lt;=$E$7),CsDJ[Credit])))+(SUM(IF((CRDJ[Ofc Code]=(TRIM(G$4)))*(CRDJ[Account Code]=(TRIM($B14)))*(CRDJ[Date]&lt;=$E$7),CRDJ[Credit])))+(SUM(IF((GJ[Ofc Code]=(TRIM(G$4)))*(GJ[Account Code]=(TRIM($B14)))*(GJ[Date]&lt;=$E$7),GJ[Credit]))))-((SUM(IF((CkDJ[Ofc Code]=(TRIM(G$4)))*(CkDJ[Account Code]=(TRIM($B14)))*(CkDJ[Date]&lt;=$E$7),CkDJ[Debit])))+(SUM(IF((CsDJ[Ofc Code]=(TRIM(G$4)))*(CsDJ[Account Code]=(TRIM($B14)))*(CsDJ[Date]&lt;=$E$7),CsDJ[Debit])))+(SUM(IF((CRDJ[Ofc Code]=(TRIM(G$4)))*(CRDJ[Account Code]=(TRIM($B14)))*(CRDJ[Date]&lt;=$E$7),CRDJ[Debit])))+(SUM(IF((GJ[Ofc Code]=(TRIM(G$4)))*(GJ[Account Code]=(TRIM($B14)))*(GJ[Date]&lt;=$E$7),GJ[Debit]))))</f>
        <v>0</v>
      </c>
      <c r="F14" s="245">
        <f t="array" ref="F14">((SUM(IF((CkDJ[Date]=$A$3)*(CkDJ[Ofc Code]=(TRIM(G$4)))*(CkDJ[Account Code]=(TRIM($B14))),CkDJ[Credit])))+(SUM(IF((CsDJ[Date]=$A$3)*(CsDJ[Ofc Code]=(TRIM(G$4)))*(CsDJ[Account Code]=(TRIM($B14))),CsDJ[Credit])))+(SUM(IF((CRDJ[Date]=$A$3)*(CRDJ[Ofc Code]=(TRIM(G$4)))*(CRDJ[Account Code]=(TRIM($B14))),CRDJ[Credit])))+(SUM(IF((GJ[Date]=$A$3)*(GJ[Ofc Code]=(TRIM(G$4)))*(GJ[Account Code]=(TRIM($B14))),GJ[Credit]))))-((SUM(IF((CkDJ[Date]=$A$3)*(CkDJ[Ofc Code]=(TRIM(G$4)))*(CkDJ[Account Code]=(TRIM($B14))),CkDJ[Debit])))+(SUM(IF((CsDJ[Date]=$A$3)*(CsDJ[Ofc Code]=(TRIM(G$4)))*(CsDJ[Account Code]=(TRIM($B14))),CsDJ[Debit])))+(SUM(IF((CRDJ[Date]=$A$3)*(CRDJ[Ofc Code]=(TRIM(G$4)))*(CRDJ[Account Code]=(TRIM($B14))),CRDJ[Debit])))+(SUM(IF((GJ[Date]=$A$3)*(GJ[Ofc Code]=(TRIM(G$4)))*(GJ[Account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0</v>
      </c>
      <c r="D15" s="248">
        <f>SUM(D16:D18)</f>
        <v>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Code]=B16)*(Budget[Ofc Code]=$G$4),(Budget[Amount])))</f>
        <v>0</v>
      </c>
      <c r="D16" s="245">
        <f t="array" ref="D16">SUM(IF((Budget[Account Code]=B16)*(Budget[Ofc Code]=$G$4)*(Budget[Date]&lt;=$D$7),(Budget[Amount])))</f>
        <v>0</v>
      </c>
      <c r="E16" s="245">
        <f t="array" ref="E16">((SUM(IF((CkDJ[Ofc Code]=(TRIM(G$4)))*(CkDJ[Account Code]=(TRIM($B16)))*(CkDJ[Date]&lt;=$E$7),CkDJ[Credit])))+(SUM(IF((CsDJ[Ofc Code]=(TRIM(G$4)))*(CsDJ[Account Code]=(TRIM($B16)))*(CsDJ[Date]&lt;=$E$7),CsDJ[Credit])))+(SUM(IF((CRDJ[Ofc Code]=(TRIM(G$4)))*(CRDJ[Account Code]=(TRIM($B16)))*(CRDJ[Date]&lt;=$E$7),CRDJ[Credit])))+(SUM(IF((GJ[Ofc Code]=(TRIM(G$4)))*(GJ[Account Code]=(TRIM($B16)))*(GJ[Date]&lt;=$E$7),GJ[Credit]))))-((SUM(IF((CkDJ[Ofc Code]=(TRIM(G$4)))*(CkDJ[Account Code]=(TRIM($B16)))*(CkDJ[Date]&lt;=$E$7),CkDJ[Debit])))+(SUM(IF((CsDJ[Ofc Code]=(TRIM(G$4)))*(CsDJ[Account Code]=(TRIM($B16)))*(CsDJ[Date]&lt;=$E$7),CsDJ[Debit])))+(SUM(IF((CRDJ[Ofc Code]=(TRIM(G$4)))*(CRDJ[Account Code]=(TRIM($B16)))*(CRDJ[Date]&lt;=$E$7),CRDJ[Debit])))+(SUM(IF((GJ[Ofc Code]=(TRIM(G$4)))*(GJ[Account Code]=(TRIM($B16)))*(GJ[Date]&lt;=$E$7),GJ[Debit]))))</f>
        <v>0</v>
      </c>
      <c r="F16" s="245">
        <f t="array" ref="F16">((SUM(IF((CkDJ[Date]=$A$3)*(CkDJ[Ofc Code]=(TRIM(G$4)))*(CkDJ[Account Code]=(TRIM($B16))),CkDJ[Credit])))+(SUM(IF((CsDJ[Date]=$A$3)*(CsDJ[Ofc Code]=(TRIM(G$4)))*(CsDJ[Account Code]=(TRIM($B16))),CsDJ[Credit])))+(SUM(IF((CRDJ[Date]=$A$3)*(CRDJ[Ofc Code]=(TRIM(G$4)))*(CRDJ[Account Code]=(TRIM($B16))),CRDJ[Credit])))+(SUM(IF((GJ[Date]=$A$3)*(GJ[Ofc Code]=(TRIM(G$4)))*(GJ[Account Code]=(TRIM($B16))),GJ[Credit]))))-((SUM(IF((CkDJ[Date]=$A$3)*(CkDJ[Ofc Code]=(TRIM(G$4)))*(CkDJ[Account Code]=(TRIM($B16))),CkDJ[Debit])))+(SUM(IF((CsDJ[Date]=$A$3)*(CsDJ[Ofc Code]=(TRIM(G$4)))*(CsDJ[Account Code]=(TRIM($B16))),CsDJ[Debit])))+(SUM(IF((CRDJ[Date]=$A$3)*(CRDJ[Ofc Code]=(TRIM(G$4)))*(CRDJ[Account Code]=(TRIM($B16))),CRDJ[Debit])))+(SUM(IF((GJ[Date]=$A$3)*(GJ[Ofc Code]=(TRIM(G$4)))*(GJ[Account Code]=(TRIM($B16))),GJ[Debit]))))</f>
        <v>0</v>
      </c>
      <c r="G16" s="343">
        <f>E16+F16</f>
        <v>0</v>
      </c>
      <c r="H16" s="246">
        <f t="shared" si="0"/>
        <v>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Code]=B17)*(Budget[Ofc Code]=$G$4),(Budget[Amount])))</f>
        <v>0</v>
      </c>
      <c r="D17" s="245">
        <f t="array" ref="D17">SUM(IF((Budget[Account Code]=B17)*(Budget[Ofc Code]=$G$4)*(Budget[Date]&lt;=$D$7),(Budget[Amount])))</f>
        <v>0</v>
      </c>
      <c r="E17" s="245">
        <f t="array" ref="E17">((SUM(IF((CkDJ[Ofc Code]=(TRIM(G$4)))*(CkDJ[Account Code]=(TRIM($B17)))*(CkDJ[Date]&lt;=$E$7),CkDJ[Credit])))+(SUM(IF((CsDJ[Ofc Code]=(TRIM(G$4)))*(CsDJ[Account Code]=(TRIM($B17)))*(CsDJ[Date]&lt;=$E$7),CsDJ[Credit])))+(SUM(IF((CRDJ[Ofc Code]=(TRIM(G$4)))*(CRDJ[Account Code]=(TRIM($B17)))*(CRDJ[Date]&lt;=$E$7),CRDJ[Credit])))+(SUM(IF((GJ[Ofc Code]=(TRIM(G$4)))*(GJ[Account Code]=(TRIM($B17)))*(GJ[Date]&lt;=$E$7),GJ[Credit]))))-((SUM(IF((CkDJ[Ofc Code]=(TRIM(G$4)))*(CkDJ[Account Code]=(TRIM($B17)))*(CkDJ[Date]&lt;=$E$7),CkDJ[Debit])))+(SUM(IF((CsDJ[Ofc Code]=(TRIM(G$4)))*(CsDJ[Account Code]=(TRIM($B17)))*(CsDJ[Date]&lt;=$E$7),CsDJ[Debit])))+(SUM(IF((CRDJ[Ofc Code]=(TRIM(G$4)))*(CRDJ[Account Code]=(TRIM($B17)))*(CRDJ[Date]&lt;=$E$7),CRDJ[Debit])))+(SUM(IF((GJ[Ofc Code]=(TRIM(G$4)))*(GJ[Account Code]=(TRIM($B17)))*(GJ[Date]&lt;=$E$7),GJ[Debit]))))</f>
        <v>0</v>
      </c>
      <c r="F17" s="245">
        <f t="array" ref="F17">((SUM(IF((CkDJ[Date]=$A$3)*(CkDJ[Ofc Code]=(TRIM(G$4)))*(CkDJ[Account Code]=(TRIM($B17))),CkDJ[Credit])))+(SUM(IF((CsDJ[Date]=$A$3)*(CsDJ[Ofc Code]=(TRIM(G$4)))*(CsDJ[Account Code]=(TRIM($B17))),CsDJ[Credit])))+(SUM(IF((CRDJ[Date]=$A$3)*(CRDJ[Ofc Code]=(TRIM(G$4)))*(CRDJ[Account Code]=(TRIM($B17))),CRDJ[Credit])))+(SUM(IF((GJ[Date]=$A$3)*(GJ[Ofc Code]=(TRIM(G$4)))*(GJ[Account Code]=(TRIM($B17))),GJ[Credit]))))-((SUM(IF((CkDJ[Date]=$A$3)*(CkDJ[Ofc Code]=(TRIM(G$4)))*(CkDJ[Account Code]=(TRIM($B17))),CkDJ[Debit])))+(SUM(IF((CsDJ[Date]=$A$3)*(CsDJ[Ofc Code]=(TRIM(G$4)))*(CsDJ[Account Code]=(TRIM($B17))),CsDJ[Debit])))+(SUM(IF((CRDJ[Date]=$A$3)*(CRDJ[Ofc Code]=(TRIM(G$4)))*(CRDJ[Account Code]=(TRIM($B17))),CRDJ[Debit])))+(SUM(IF((GJ[Date]=$A$3)*(GJ[Ofc Code]=(TRIM(G$4)))*(GJ[Account Code]=(TRIM($B17))),GJ[Debit]))))</f>
        <v>0</v>
      </c>
      <c r="G17" s="343">
        <f>E17+F17</f>
        <v>0</v>
      </c>
      <c r="H17" s="246">
        <f t="shared" si="0"/>
        <v>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Code]=B18)*(Budget[Ofc Code]=$G$4),(Budget[Amount])))</f>
        <v>0</v>
      </c>
      <c r="D18" s="245">
        <f t="array" ref="D18">SUM(IF((Budget[Account Code]=B18)*(Budget[Ofc Code]=$G$4)*(Budget[Date]&lt;=$D$7),(Budget[Amount])))</f>
        <v>0</v>
      </c>
      <c r="E18" s="245">
        <f t="array" ref="E18">((SUM(IF((CkDJ[Ofc Code]=(TRIM(G$4)))*(CkDJ[Account Code]=(TRIM($B18)))*(CkDJ[Date]&lt;=$E$7),CkDJ[Credit])))+(SUM(IF((CsDJ[Ofc Code]=(TRIM(G$4)))*(CsDJ[Account Code]=(TRIM($B18)))*(CsDJ[Date]&lt;=$E$7),CsDJ[Credit])))+(SUM(IF((CRDJ[Ofc Code]=(TRIM(G$4)))*(CRDJ[Account Code]=(TRIM($B18)))*(CRDJ[Date]&lt;=$E$7),CRDJ[Credit])))+(SUM(IF((GJ[Ofc Code]=(TRIM(G$4)))*(GJ[Account Code]=(TRIM($B18)))*(GJ[Date]&lt;=$E$7),GJ[Credit]))))-((SUM(IF((CkDJ[Ofc Code]=(TRIM(G$4)))*(CkDJ[Account Code]=(TRIM($B18)))*(CkDJ[Date]&lt;=$E$7),CkDJ[Debit])))+(SUM(IF((CsDJ[Ofc Code]=(TRIM(G$4)))*(CsDJ[Account Code]=(TRIM($B18)))*(CsDJ[Date]&lt;=$E$7),CsDJ[Debit])))+(SUM(IF((CRDJ[Ofc Code]=(TRIM(G$4)))*(CRDJ[Account Code]=(TRIM($B18)))*(CRDJ[Date]&lt;=$E$7),CRDJ[Debit])))+(SUM(IF((GJ[Ofc Code]=(TRIM(G$4)))*(GJ[Account Code]=(TRIM($B18)))*(GJ[Date]&lt;=$E$7),GJ[Debit]))))</f>
        <v>0</v>
      </c>
      <c r="F18" s="245">
        <f t="array" ref="F18">((SUM(IF((CkDJ[Date]=$A$3)*(CkDJ[Ofc Code]=(TRIM(G$4)))*(CkDJ[Account Code]=(TRIM($B18))),CkDJ[Credit])))+(SUM(IF((CsDJ[Date]=$A$3)*(CsDJ[Ofc Code]=(TRIM(G$4)))*(CsDJ[Account Code]=(TRIM($B18))),CsDJ[Credit])))+(SUM(IF((CRDJ[Date]=$A$3)*(CRDJ[Ofc Code]=(TRIM(G$4)))*(CRDJ[Account Code]=(TRIM($B18))),CRDJ[Credit])))+(SUM(IF((GJ[Date]=$A$3)*(GJ[Ofc Code]=(TRIM(G$4)))*(GJ[Account Code]=(TRIM($B18))),GJ[Credit]))))-((SUM(IF((CkDJ[Date]=$A$3)*(CkDJ[Ofc Code]=(TRIM(G$4)))*(CkDJ[Account Code]=(TRIM($B18))),CkDJ[Debit])))+(SUM(IF((CsDJ[Date]=$A$3)*(CsDJ[Ofc Code]=(TRIM(G$4)))*(CsDJ[Account Code]=(TRIM($B18))),CsDJ[Debit])))+(SUM(IF((CRDJ[Date]=$A$3)*(CRDJ[Ofc Code]=(TRIM(G$4)))*(CRDJ[Account Code]=(TRIM($B18))),CRDJ[Debit])))+(SUM(IF((GJ[Date]=$A$3)*(GJ[Ofc Code]=(TRIM(G$4)))*(GJ[Account Code]=(TRIM($B18))),GJ[Debit]))))</f>
        <v>0</v>
      </c>
      <c r="G18" s="343">
        <f>E18+F18</f>
        <v>0</v>
      </c>
      <c r="H18" s="246">
        <f t="shared" si="0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0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Code]=B20)*(Budget[Ofc Code]=$G$4),(Budget[Amount])))</f>
        <v>0</v>
      </c>
      <c r="D20" s="245">
        <f t="array" ref="D20">SUM(IF((Budget[Account Code]=B20)*(Budget[Ofc Code]=$G$4)*(Budget[Date]&lt;=$D$7),(Budget[Amount])))</f>
        <v>0</v>
      </c>
      <c r="E20" s="245">
        <f t="array" ref="E20">((SUM(IF((CkDJ[Ofc Code]=(TRIM(G$4)))*(CkDJ[Account Code]=(TRIM($B20)))*(CkDJ[Date]&lt;=$E$7),CkDJ[Credit])))+(SUM(IF((CsDJ[Ofc Code]=(TRIM(G$4)))*(CsDJ[Account Code]=(TRIM($B20)))*(CsDJ[Date]&lt;=$E$7),CsDJ[Credit])))+(SUM(IF((CRDJ[Ofc Code]=(TRIM(G$4)))*(CRDJ[Account Code]=(TRIM($B20)))*(CRDJ[Date]&lt;=$E$7),CRDJ[Credit])))+(SUM(IF((GJ[Ofc Code]=(TRIM(G$4)))*(GJ[Account Code]=(TRIM($B20)))*(GJ[Date]&lt;=$E$7),GJ[Credit]))))-((SUM(IF((CkDJ[Ofc Code]=(TRIM(G$4)))*(CkDJ[Account Code]=(TRIM($B20)))*(CkDJ[Date]&lt;=$E$7),CkDJ[Debit])))+(SUM(IF((CsDJ[Ofc Code]=(TRIM(G$4)))*(CsDJ[Account Code]=(TRIM($B20)))*(CsDJ[Date]&lt;=$E$7),CsDJ[Debit])))+(SUM(IF((CRDJ[Ofc Code]=(TRIM(G$4)))*(CRDJ[Account Code]=(TRIM($B20)))*(CRDJ[Date]&lt;=$E$7),CRDJ[Debit])))+(SUM(IF((GJ[Ofc Code]=(TRIM(G$4)))*(GJ[Account Code]=(TRIM($B20)))*(GJ[Date]&lt;=$E$7),GJ[Debit]))))</f>
        <v>0</v>
      </c>
      <c r="F20" s="245">
        <f t="array" ref="F20">((SUM(IF((CkDJ[Date]=$A$3)*(CkDJ[Ofc Code]=(TRIM(G$4)))*(CkDJ[Account Code]=(TRIM($B20))),CkDJ[Credit])))+(SUM(IF((CsDJ[Date]=$A$3)*(CsDJ[Ofc Code]=(TRIM(G$4)))*(CsDJ[Account Code]=(TRIM($B20))),CsDJ[Credit])))+(SUM(IF((CRDJ[Date]=$A$3)*(CRDJ[Ofc Code]=(TRIM(G$4)))*(CRDJ[Account Code]=(TRIM($B20))),CRDJ[Credit])))+(SUM(IF((GJ[Date]=$A$3)*(GJ[Ofc Code]=(TRIM(G$4)))*(GJ[Account Code]=(TRIM($B20))),GJ[Credit]))))-((SUM(IF((CkDJ[Date]=$A$3)*(CkDJ[Ofc Code]=(TRIM(G$4)))*(CkDJ[Account Code]=(TRIM($B20))),CkDJ[Debit])))+(SUM(IF((CsDJ[Date]=$A$3)*(CsDJ[Ofc Code]=(TRIM(G$4)))*(CsDJ[Account Code]=(TRIM($B20))),CsDJ[Debit])))+(SUM(IF((CRDJ[Date]=$A$3)*(CRDJ[Ofc Code]=(TRIM(G$4)))*(CRDJ[Account Code]=(TRIM($B20))),CRDJ[Debit])))+(SUM(IF((GJ[Date]=$A$3)*(GJ[Ofc Code]=(TRIM(G$4)))*(GJ[Account Code]=(TRIM($B20))),GJ[Debit]))))</f>
        <v>0</v>
      </c>
      <c r="G20" s="343">
        <f>E20+F20</f>
        <v>0</v>
      </c>
      <c r="H20" s="246">
        <f t="shared" si="0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0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Code]=B22)*(Budget[Ofc Code]=$G$4),(Budget[Amount])))</f>
        <v>0</v>
      </c>
      <c r="D22" s="245">
        <f t="array" ref="D22">SUM(IF((Budget[Account Code]=B22)*(Budget[Ofc Code]=$G$4)*(Budget[Date]&lt;=$D$7),(Budget[Amount])))</f>
        <v>0</v>
      </c>
      <c r="E22" s="245">
        <f t="array" ref="E22">((SUM(IF((CkDJ[Ofc Code]=(TRIM(G$4)))*(CkDJ[Account Code]=(TRIM($B22)))*(CkDJ[Date]&lt;=$E$7),CkDJ[Credit])))+(SUM(IF((CsDJ[Ofc Code]=(TRIM(G$4)))*(CsDJ[Account Code]=(TRIM($B22)))*(CsDJ[Date]&lt;=$E$7),CsDJ[Credit])))+(SUM(IF((CRDJ[Ofc Code]=(TRIM(G$4)))*(CRDJ[Account Code]=(TRIM($B22)))*(CRDJ[Date]&lt;=$E$7),CRDJ[Credit])))+(SUM(IF((GJ[Ofc Code]=(TRIM(G$4)))*(GJ[Account Code]=(TRIM($B22)))*(GJ[Date]&lt;=$E$7),GJ[Credit]))))-((SUM(IF((CkDJ[Ofc Code]=(TRIM(G$4)))*(CkDJ[Account Code]=(TRIM($B22)))*(CkDJ[Date]&lt;=$E$7),CkDJ[Debit])))+(SUM(IF((CsDJ[Ofc Code]=(TRIM(G$4)))*(CsDJ[Account Code]=(TRIM($B22)))*(CsDJ[Date]&lt;=$E$7),CsDJ[Debit])))+(SUM(IF((CRDJ[Ofc Code]=(TRIM(G$4)))*(CRDJ[Account Code]=(TRIM($B22)))*(CRDJ[Date]&lt;=$E$7),CRDJ[Debit])))+(SUM(IF((GJ[Ofc Code]=(TRIM(G$4)))*(GJ[Account Code]=(TRIM($B22)))*(GJ[Date]&lt;=$E$7),GJ[Debit]))))</f>
        <v>0</v>
      </c>
      <c r="F22" s="245">
        <f t="array" ref="F22">((SUM(IF((CkDJ[Date]=$A$3)*(CkDJ[Ofc Code]=(TRIM(G$4)))*(CkDJ[Account Code]=(TRIM($B22))),CkDJ[Credit])))+(SUM(IF((CsDJ[Date]=$A$3)*(CsDJ[Ofc Code]=(TRIM(G$4)))*(CsDJ[Account Code]=(TRIM($B22))),CsDJ[Credit])))+(SUM(IF((CRDJ[Date]=$A$3)*(CRDJ[Ofc Code]=(TRIM(G$4)))*(CRDJ[Account Code]=(TRIM($B22))),CRDJ[Credit])))+(SUM(IF((GJ[Date]=$A$3)*(GJ[Ofc Code]=(TRIM(G$4)))*(GJ[Account Code]=(TRIM($B22))),GJ[Credit]))))-((SUM(IF((CkDJ[Date]=$A$3)*(CkDJ[Ofc Code]=(TRIM(G$4)))*(CkDJ[Account Code]=(TRIM($B22))),CkDJ[Debit])))+(SUM(IF((CsDJ[Date]=$A$3)*(CsDJ[Ofc Code]=(TRIM(G$4)))*(CsDJ[Account Code]=(TRIM($B22))),CsDJ[Debit])))+(SUM(IF((CRDJ[Date]=$A$3)*(CRDJ[Ofc Code]=(TRIM(G$4)))*(CRDJ[Account Code]=(TRIM($B22))),CRDJ[Debit])))+(SUM(IF((GJ[Date]=$A$3)*(GJ[Ofc Code]=(TRIM(G$4)))*(GJ[Account Code]=(TRIM($B22))),GJ[Debit]))))</f>
        <v>0</v>
      </c>
      <c r="G22" s="343">
        <f>E22+F22</f>
        <v>0</v>
      </c>
      <c r="H22" s="246">
        <f t="shared" si="0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Code]=B23)*(Budget[Ofc Code]=$G$4),(Budget[Amount])))</f>
        <v>0</v>
      </c>
      <c r="D23" s="245">
        <f t="array" ref="D23">SUM(IF((Budget[Account Code]=B23)*(Budget[Ofc Code]=$G$4)*(Budget[Date]&lt;=$D$7),(Budget[Amount])))</f>
        <v>0</v>
      </c>
      <c r="E23" s="245">
        <f t="array" ref="E23">((SUM(IF((CkDJ[Ofc Code]=(TRIM(G$4)))*(CkDJ[Account Code]=(TRIM($B23)))*(CkDJ[Date]&lt;=$E$7),CkDJ[Credit])))+(SUM(IF((CsDJ[Ofc Code]=(TRIM(G$4)))*(CsDJ[Account Code]=(TRIM($B23)))*(CsDJ[Date]&lt;=$E$7),CsDJ[Credit])))+(SUM(IF((CRDJ[Ofc Code]=(TRIM(G$4)))*(CRDJ[Account Code]=(TRIM($B23)))*(CRDJ[Date]&lt;=$E$7),CRDJ[Credit])))+(SUM(IF((GJ[Ofc Code]=(TRIM(G$4)))*(GJ[Account Code]=(TRIM($B23)))*(GJ[Date]&lt;=$E$7),GJ[Credit]))))-((SUM(IF((CkDJ[Ofc Code]=(TRIM(G$4)))*(CkDJ[Account Code]=(TRIM($B23)))*(CkDJ[Date]&lt;=$E$7),CkDJ[Debit])))+(SUM(IF((CsDJ[Ofc Code]=(TRIM(G$4)))*(CsDJ[Account Code]=(TRIM($B23)))*(CsDJ[Date]&lt;=$E$7),CsDJ[Debit])))+(SUM(IF((CRDJ[Ofc Code]=(TRIM(G$4)))*(CRDJ[Account Code]=(TRIM($B23)))*(CRDJ[Date]&lt;=$E$7),CRDJ[Debit])))+(SUM(IF((GJ[Ofc Code]=(TRIM(G$4)))*(GJ[Account Code]=(TRIM($B23)))*(GJ[Date]&lt;=$E$7),GJ[Debit]))))</f>
        <v>0</v>
      </c>
      <c r="F23" s="245">
        <f t="array" ref="F23">((SUM(IF((CkDJ[Date]=$A$3)*(CkDJ[Ofc Code]=(TRIM(G$4)))*(CkDJ[Account Code]=(TRIM($B23))),CkDJ[Credit])))+(SUM(IF((CsDJ[Date]=$A$3)*(CsDJ[Ofc Code]=(TRIM(G$4)))*(CsDJ[Account Code]=(TRIM($B23))),CsDJ[Credit])))+(SUM(IF((CRDJ[Date]=$A$3)*(CRDJ[Ofc Code]=(TRIM(G$4)))*(CRDJ[Account Code]=(TRIM($B23))),CRDJ[Credit])))+(SUM(IF((GJ[Date]=$A$3)*(GJ[Ofc Code]=(TRIM(G$4)))*(GJ[Account Code]=(TRIM($B23))),GJ[Credit]))))-((SUM(IF((CkDJ[Date]=$A$3)*(CkDJ[Ofc Code]=(TRIM(G$4)))*(CkDJ[Account Code]=(TRIM($B23))),CkDJ[Debit])))+(SUM(IF((CsDJ[Date]=$A$3)*(CsDJ[Ofc Code]=(TRIM(G$4)))*(CsDJ[Account Code]=(TRIM($B23))),CsDJ[Debit])))+(SUM(IF((CRDJ[Date]=$A$3)*(CRDJ[Ofc Code]=(TRIM(G$4)))*(CRDJ[Account Code]=(TRIM($B23))),CRDJ[Debit])))+(SUM(IF((GJ[Date]=$A$3)*(GJ[Ofc Code]=(TRIM(G$4)))*(GJ[Account Code]=(TRIM($B23))),GJ[Debit]))))</f>
        <v>0</v>
      </c>
      <c r="G23" s="343">
        <f>E23+F23</f>
        <v>0</v>
      </c>
      <c r="H23" s="246">
        <f t="shared" si="0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0</v>
      </c>
      <c r="D24" s="250">
        <f>D9+D15+D19</f>
        <v>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 t="shared" si="0"/>
        <v>0</v>
      </c>
      <c r="I24" s="250">
        <f t="shared" si="1"/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5">
        <f t="array" ref="C26">SUM(IF((Budget[Account Code]=B26)*(Budget[Ofc Code]=$G$4),(Budget[Amount])))</f>
        <v>0</v>
      </c>
      <c r="D26" s="245">
        <f t="array" ref="D26">SUM(IF((Budget[Account Code]=B26)*(Budget[Ofc Code]=$G$4)*(Budget[Date]&lt;=$D$7),(Budget[Amount])))</f>
        <v>0</v>
      </c>
      <c r="E26" s="245">
        <f t="array" ref="E26">((SUM(IF((CkDJ[Ofc Code]=(TRIM(G$4)))*(CkDJ[Account Code]=(TRIM($B26)))*(CkDJ[Date]&lt;=$E$7),CkDJ[Credit])))+(SUM(IF((CsDJ[Ofc Code]=(TRIM(G$4)))*(CsDJ[Account Code]=(TRIM($B26)))*(CsDJ[Date]&lt;=$E$7),CsDJ[Credit])))+(SUM(IF((CRDJ[Ofc Code]=(TRIM(G$4)))*(CRDJ[Account Code]=(TRIM($B26)))*(CRDJ[Date]&lt;=$E$7),CRDJ[Credit])))+(SUM(IF((GJ[Ofc Code]=(TRIM(G$4)))*(GJ[Account Code]=(TRIM($B26)))*(GJ[Date]&lt;=$E$7),GJ[Credit]))))-((SUM(IF((CkDJ[Ofc Code]=(TRIM(G$4)))*(CkDJ[Account Code]=(TRIM($B26)))*(CkDJ[Date]&lt;=$E$7),CkDJ[Debit])))+(SUM(IF((CsDJ[Ofc Code]=(TRIM(G$4)))*(CsDJ[Account Code]=(TRIM($B26)))*(CsDJ[Date]&lt;=$E$7),CsDJ[Debit])))+(SUM(IF((CRDJ[Ofc Code]=(TRIM(G$4)))*(CRDJ[Account Code]=(TRIM($B26)))*(CRDJ[Date]&lt;=$E$7),CRDJ[Debit])))+(SUM(IF((GJ[Ofc Code]=(TRIM(G$4)))*(GJ[Account Code]=(TRIM($B26)))*(GJ[Date]&lt;=$E$7),GJ[Debit]))))</f>
        <v>0</v>
      </c>
      <c r="F26" s="245">
        <f t="array" ref="F26">((SUM(IF((CkDJ[Date]=$A$3)*(CkDJ[Ofc Code]=(TRIM(G$4)))*(CkDJ[Account Code]=(TRIM($B26))),CkDJ[Credit])))+(SUM(IF((CsDJ[Date]=$A$3)*(CsDJ[Ofc Code]=(TRIM(G$4)))*(CsDJ[Account Code]=(TRIM($B26))),CsDJ[Credit])))+(SUM(IF((CRDJ[Date]=$A$3)*(CRDJ[Ofc Code]=(TRIM(G$4)))*(CRDJ[Account Code]=(TRIM($B26))),CRDJ[Credit])))+(SUM(IF((GJ[Date]=$A$3)*(GJ[Ofc Code]=(TRIM(G$4)))*(GJ[Account Code]=(TRIM($B26))),GJ[Credit]))))-((SUM(IF((CkDJ[Date]=$A$3)*(CkDJ[Ofc Code]=(TRIM(G$4)))*(CkDJ[Account Code]=(TRIM($B26))),CkDJ[Debit])))+(SUM(IF((CsDJ[Date]=$A$3)*(CsDJ[Ofc Code]=(TRIM(G$4)))*(CsDJ[Account Code]=(TRIM($B26))),CsDJ[Debit])))+(SUM(IF((CRDJ[Date]=$A$3)*(CRDJ[Ofc Code]=(TRIM(G$4)))*(CRDJ[Account Code]=(TRIM($B26))),CRDJ[Debit])))+(SUM(IF((GJ[Date]=$A$3)*(GJ[Ofc Code]=(TRIM(G$4)))*(GJ[Account Code]=(TRIM($B26))),GJ[Debit]))))</f>
        <v>0</v>
      </c>
      <c r="G26" s="343">
        <f>E26+F26</f>
        <v>0</v>
      </c>
      <c r="H26" s="246">
        <f t="shared" ref="H26:H98" si="2">G26-D26</f>
        <v>0</v>
      </c>
      <c r="I26" s="246">
        <f t="shared" ref="I26:I9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0</v>
      </c>
      <c r="D27" s="248">
        <f>SUM(D28:D29)</f>
        <v>0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 t="shared" si="2"/>
        <v>0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Code]=B28)*(Budget[Ofc Code]=$G$4),(Budget[Amount])))</f>
        <v>0</v>
      </c>
      <c r="D28" s="245">
        <f t="array" ref="D28">SUM(IF((Budget[Account Code]=B28)*(Budget[Ofc Code]=$G$4)*(Budget[Date]&lt;=$D$7),(Budget[Amount])))</f>
        <v>0</v>
      </c>
      <c r="E28" s="245">
        <f t="array" ref="E28">((SUM(IF((CkDJ[Ofc Code]=(TRIM(G$4)))*(CkDJ[Account Code]=(TRIM($B28)))*(CkDJ[Date]&lt;=$E$7),CkDJ[Credit])))+(SUM(IF((CsDJ[Ofc Code]=(TRIM(G$4)))*(CsDJ[Account Code]=(TRIM($B28)))*(CsDJ[Date]&lt;=$E$7),CsDJ[Credit])))+(SUM(IF((CRDJ[Ofc Code]=(TRIM(G$4)))*(CRDJ[Account Code]=(TRIM($B28)))*(CRDJ[Date]&lt;=$E$7),CRDJ[Credit])))+(SUM(IF((GJ[Ofc Code]=(TRIM(G$4)))*(GJ[Account Code]=(TRIM($B28)))*(GJ[Date]&lt;=$E$7),GJ[Credit]))))-((SUM(IF((CkDJ[Ofc Code]=(TRIM(G$4)))*(CkDJ[Account Code]=(TRIM($B28)))*(CkDJ[Date]&lt;=$E$7),CkDJ[Debit])))+(SUM(IF((CsDJ[Ofc Code]=(TRIM(G$4)))*(CsDJ[Account Code]=(TRIM($B28)))*(CsDJ[Date]&lt;=$E$7),CsDJ[Debit])))+(SUM(IF((CRDJ[Ofc Code]=(TRIM(G$4)))*(CRDJ[Account Code]=(TRIM($B28)))*(CRDJ[Date]&lt;=$E$7),CRDJ[Debit])))+(SUM(IF((GJ[Ofc Code]=(TRIM(G$4)))*(GJ[Account Code]=(TRIM($B28)))*(GJ[Date]&lt;=$E$7),GJ[Debit]))))</f>
        <v>0</v>
      </c>
      <c r="F28" s="245">
        <f t="array" ref="F28">((SUM(IF((CkDJ[Date]=$A$3)*(CkDJ[Ofc Code]=(TRIM(G$4)))*(CkDJ[Account Code]=(TRIM($B28))),CkDJ[Credit])))+(SUM(IF((CsDJ[Date]=$A$3)*(CsDJ[Ofc Code]=(TRIM(G$4)))*(CsDJ[Account Code]=(TRIM($B28))),CsDJ[Credit])))+(SUM(IF((CRDJ[Date]=$A$3)*(CRDJ[Ofc Code]=(TRIM(G$4)))*(CRDJ[Account Code]=(TRIM($B28))),CRDJ[Credit])))+(SUM(IF((GJ[Date]=$A$3)*(GJ[Ofc Code]=(TRIM(G$4)))*(GJ[Account Code]=(TRIM($B28))),GJ[Credit]))))-((SUM(IF((CkDJ[Date]=$A$3)*(CkDJ[Ofc Code]=(TRIM(G$4)))*(CkDJ[Account Code]=(TRIM($B28))),CkDJ[Debit])))+(SUM(IF((CsDJ[Date]=$A$3)*(CsDJ[Ofc Code]=(TRIM(G$4)))*(CsDJ[Account Code]=(TRIM($B28))),CsDJ[Debit])))+(SUM(IF((CRDJ[Date]=$A$3)*(CRDJ[Ofc Code]=(TRIM(G$4)))*(CRDJ[Account Code]=(TRIM($B28))),CRDJ[Debit])))+(SUM(IF((GJ[Date]=$A$3)*(GJ[Ofc Code]=(TRIM(G$4)))*(GJ[Account Code]=(TRIM($B28))),GJ[Debit]))))</f>
        <v>0</v>
      </c>
      <c r="G28" s="343">
        <f>E28+F28</f>
        <v>0</v>
      </c>
      <c r="H28" s="246">
        <f t="shared" si="2"/>
        <v>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0</v>
      </c>
      <c r="D29" s="245">
        <f>SUM(D30:D31)</f>
        <v>0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si="2"/>
        <v>0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Code]=B30)*(Budget[Ofc Code]=$G$4),(Budget[Amount])))</f>
        <v>0</v>
      </c>
      <c r="D30" s="245">
        <f t="array" ref="D30">SUM(IF((Budget[Account Code]=B30)*(Budget[Ofc Code]=$G$4)*(Budget[Date]&lt;=$D$7),(Budget[Amount])))</f>
        <v>0</v>
      </c>
      <c r="E30" s="245">
        <f t="array" ref="E30">((SUM(IF((CkDJ[Ofc Code]=(TRIM(G$4)))*(CkDJ[Account Code]=(TRIM($B30)))*(CkDJ[Date]&lt;=$E$7),CkDJ[Credit])))+(SUM(IF((CsDJ[Ofc Code]=(TRIM(G$4)))*(CsDJ[Account Code]=(TRIM($B30)))*(CsDJ[Date]&lt;=$E$7),CsDJ[Credit])))+(SUM(IF((CRDJ[Ofc Code]=(TRIM(G$4)))*(CRDJ[Account Code]=(TRIM($B30)))*(CRDJ[Date]&lt;=$E$7),CRDJ[Credit])))+(SUM(IF((GJ[Ofc Code]=(TRIM(G$4)))*(GJ[Account Code]=(TRIM($B30)))*(GJ[Date]&lt;=$E$7),GJ[Credit]))))-((SUM(IF((CkDJ[Ofc Code]=(TRIM(G$4)))*(CkDJ[Account Code]=(TRIM($B30)))*(CkDJ[Date]&lt;=$E$7),CkDJ[Debit])))+(SUM(IF((CsDJ[Ofc Code]=(TRIM(G$4)))*(CsDJ[Account Code]=(TRIM($B30)))*(CsDJ[Date]&lt;=$E$7),CsDJ[Debit])))+(SUM(IF((CRDJ[Ofc Code]=(TRIM(G$4)))*(CRDJ[Account Code]=(TRIM($B30)))*(CRDJ[Date]&lt;=$E$7),CRDJ[Debit])))+(SUM(IF((GJ[Ofc Code]=(TRIM(G$4)))*(GJ[Account Code]=(TRIM($B30)))*(GJ[Date]&lt;=$E$7),GJ[Debit]))))</f>
        <v>0</v>
      </c>
      <c r="F30" s="245">
        <f t="array" ref="F30">((SUM(IF((CkDJ[Date]=$A$3)*(CkDJ[Ofc Code]=(TRIM(G$4)))*(CkDJ[Account Code]=(TRIM($B30))),CkDJ[Credit])))+(SUM(IF((CsDJ[Date]=$A$3)*(CsDJ[Ofc Code]=(TRIM(G$4)))*(CsDJ[Account Code]=(TRIM($B30))),CsDJ[Credit])))+(SUM(IF((CRDJ[Date]=$A$3)*(CRDJ[Ofc Code]=(TRIM(G$4)))*(CRDJ[Account Code]=(TRIM($B30))),CRDJ[Credit])))+(SUM(IF((GJ[Date]=$A$3)*(GJ[Ofc Code]=(TRIM(G$4)))*(GJ[Account Code]=(TRIM($B30))),GJ[Credit]))))-((SUM(IF((CkDJ[Date]=$A$3)*(CkDJ[Ofc Code]=(TRIM(G$4)))*(CkDJ[Account Code]=(TRIM($B30))),CkDJ[Debit])))+(SUM(IF((CsDJ[Date]=$A$3)*(CsDJ[Ofc Code]=(TRIM(G$4)))*(CsDJ[Account Code]=(TRIM($B30))),CsDJ[Debit])))+(SUM(IF((CRDJ[Date]=$A$3)*(CRDJ[Ofc Code]=(TRIM(G$4)))*(CRDJ[Account Code]=(TRIM($B30))),CRDJ[Debit])))+(SUM(IF((GJ[Date]=$A$3)*(GJ[Ofc Code]=(TRIM(G$4)))*(GJ[Account Code]=(TRIM($B30))),GJ[Debit]))))</f>
        <v>0</v>
      </c>
      <c r="G30" s="343">
        <f>E30+F30</f>
        <v>0</v>
      </c>
      <c r="H30" s="246">
        <f t="shared" si="2"/>
        <v>0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Code]=B31)*(Budget[Ofc Code]=$G$4),(Budget[Amount])))</f>
        <v>0</v>
      </c>
      <c r="D31" s="245">
        <f t="array" ref="D31">SUM(IF((Budget[Account Code]=B31)*(Budget[Ofc Code]=$G$4)*(Budget[Date]&lt;=$D$7),(Budget[Amount])))</f>
        <v>0</v>
      </c>
      <c r="E31" s="245">
        <f t="array" ref="E31">((SUM(IF((CkDJ[Ofc Code]=(TRIM(G$4)))*(CkDJ[Account Code]=(TRIM($B31)))*(CkDJ[Date]&lt;=$E$7),CkDJ[Credit])))+(SUM(IF((CsDJ[Ofc Code]=(TRIM(G$4)))*(CsDJ[Account Code]=(TRIM($B31)))*(CsDJ[Date]&lt;=$E$7),CsDJ[Credit])))+(SUM(IF((CRDJ[Ofc Code]=(TRIM(G$4)))*(CRDJ[Account Code]=(TRIM($B31)))*(CRDJ[Date]&lt;=$E$7),CRDJ[Credit])))+(SUM(IF((GJ[Ofc Code]=(TRIM(G$4)))*(GJ[Account Code]=(TRIM($B31)))*(GJ[Date]&lt;=$E$7),GJ[Credit]))))-((SUM(IF((CkDJ[Ofc Code]=(TRIM(G$4)))*(CkDJ[Account Code]=(TRIM($B31)))*(CkDJ[Date]&lt;=$E$7),CkDJ[Debit])))+(SUM(IF((CsDJ[Ofc Code]=(TRIM(G$4)))*(CsDJ[Account Code]=(TRIM($B31)))*(CsDJ[Date]&lt;=$E$7),CsDJ[Debit])))+(SUM(IF((CRDJ[Ofc Code]=(TRIM(G$4)))*(CRDJ[Account Code]=(TRIM($B31)))*(CRDJ[Date]&lt;=$E$7),CRDJ[Debit])))+(SUM(IF((GJ[Ofc Code]=(TRIM(G$4)))*(GJ[Account Code]=(TRIM($B31)))*(GJ[Date]&lt;=$E$7),GJ[Debit]))))</f>
        <v>0</v>
      </c>
      <c r="F31" s="245">
        <f t="array" ref="F31">((SUM(IF((CkDJ[Date]=$A$3)*(CkDJ[Ofc Code]=(TRIM(G$4)))*(CkDJ[Account Code]=(TRIM($B31))),CkDJ[Credit])))+(SUM(IF((CsDJ[Date]=$A$3)*(CsDJ[Ofc Code]=(TRIM(G$4)))*(CsDJ[Account Code]=(TRIM($B31))),CsDJ[Credit])))+(SUM(IF((CRDJ[Date]=$A$3)*(CRDJ[Ofc Code]=(TRIM(G$4)))*(CRDJ[Account Code]=(TRIM($B31))),CRDJ[Credit])))+(SUM(IF((GJ[Date]=$A$3)*(GJ[Ofc Code]=(TRIM(G$4)))*(GJ[Account Code]=(TRIM($B31))),GJ[Credit]))))-((SUM(IF((CkDJ[Date]=$A$3)*(CkDJ[Ofc Code]=(TRIM(G$4)))*(CkDJ[Account Code]=(TRIM($B31))),CkDJ[Debit])))+(SUM(IF((CsDJ[Date]=$A$3)*(CsDJ[Ofc Code]=(TRIM(G$4)))*(CsDJ[Account Code]=(TRIM($B31))),CsDJ[Debit])))+(SUM(IF((CRDJ[Date]=$A$3)*(CRDJ[Ofc Code]=(TRIM(G$4)))*(CRDJ[Account Code]=(TRIM($B31))),CRDJ[Debit])))+(SUM(IF((GJ[Date]=$A$3)*(GJ[Ofc Code]=(TRIM(G$4)))*(GJ[Account Code]=(TRIM($B31))),GJ[Debit]))))</f>
        <v>0</v>
      </c>
      <c r="G31" s="343">
        <f>E31+F31</f>
        <v>0</v>
      </c>
      <c r="H31" s="246">
        <f t="shared" si="2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2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Code]=B33)*(Budget[Ofc Code]=$G$4),(Budget[Amount])))</f>
        <v>0</v>
      </c>
      <c r="D33" s="245">
        <f t="array" ref="D33">SUM(IF((Budget[Account Code]=B33)*(Budget[Ofc Code]=$G$4)*(Budget[Date]&lt;=$D$7),(Budget[Amount])))</f>
        <v>0</v>
      </c>
      <c r="E33" s="245">
        <f t="array" ref="E33">((SUM(IF((CkDJ[Ofc Code]=(TRIM(G$4)))*(CkDJ[Account Code]=(TRIM($B33)))*(CkDJ[Date]&lt;=$E$7),CkDJ[Credit])))+(SUM(IF((CsDJ[Ofc Code]=(TRIM(G$4)))*(CsDJ[Account Code]=(TRIM($B33)))*(CsDJ[Date]&lt;=$E$7),CsDJ[Credit])))+(SUM(IF((CRDJ[Ofc Code]=(TRIM(G$4)))*(CRDJ[Account Code]=(TRIM($B33)))*(CRDJ[Date]&lt;=$E$7),CRDJ[Credit])))+(SUM(IF((GJ[Ofc Code]=(TRIM(G$4)))*(GJ[Account Code]=(TRIM($B33)))*(GJ[Date]&lt;=$E$7),GJ[Credit]))))-((SUM(IF((CkDJ[Ofc Code]=(TRIM(G$4)))*(CkDJ[Account Code]=(TRIM($B33)))*(CkDJ[Date]&lt;=$E$7),CkDJ[Debit])))+(SUM(IF((CsDJ[Ofc Code]=(TRIM(G$4)))*(CsDJ[Account Code]=(TRIM($B33)))*(CsDJ[Date]&lt;=$E$7),CsDJ[Debit])))+(SUM(IF((CRDJ[Ofc Code]=(TRIM(G$4)))*(CRDJ[Account Code]=(TRIM($B33)))*(CRDJ[Date]&lt;=$E$7),CRDJ[Debit])))+(SUM(IF((GJ[Ofc Code]=(TRIM(G$4)))*(GJ[Account Code]=(TRIM($B33)))*(GJ[Date]&lt;=$E$7),GJ[Debit]))))</f>
        <v>0</v>
      </c>
      <c r="F33" s="245">
        <f t="array" ref="F33">((SUM(IF((CkDJ[Date]=$A$3)*(CkDJ[Ofc Code]=(TRIM(G$4)))*(CkDJ[Account Code]=(TRIM($B33))),CkDJ[Credit])))+(SUM(IF((CsDJ[Date]=$A$3)*(CsDJ[Ofc Code]=(TRIM(G$4)))*(CsDJ[Account Code]=(TRIM($B33))),CsDJ[Credit])))+(SUM(IF((CRDJ[Date]=$A$3)*(CRDJ[Ofc Code]=(TRIM(G$4)))*(CRDJ[Account Code]=(TRIM($B33))),CRDJ[Credit])))+(SUM(IF((GJ[Date]=$A$3)*(GJ[Ofc Code]=(TRIM(G$4)))*(GJ[Account Code]=(TRIM($B33))),GJ[Credit]))))-((SUM(IF((CkDJ[Date]=$A$3)*(CkDJ[Ofc Code]=(TRIM(G$4)))*(CkDJ[Account Code]=(TRIM($B33))),CkDJ[Debit])))+(SUM(IF((CsDJ[Date]=$A$3)*(CsDJ[Ofc Code]=(TRIM(G$4)))*(CsDJ[Account Code]=(TRIM($B33))),CsDJ[Debit])))+(SUM(IF((CRDJ[Date]=$A$3)*(CRDJ[Ofc Code]=(TRIM(G$4)))*(CRDJ[Account Code]=(TRIM($B33))),CRDJ[Debit])))+(SUM(IF((GJ[Date]=$A$3)*(GJ[Ofc Code]=(TRIM(G$4)))*(GJ[Account Code]=(TRIM($B33))),GJ[Debit]))))</f>
        <v>0</v>
      </c>
      <c r="G33" s="343">
        <f>E33+F33</f>
        <v>0</v>
      </c>
      <c r="H33" s="246">
        <f t="shared" si="2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Code]=B34)*(Budget[Ofc Code]=$G$4),(Budget[Amount])))</f>
        <v>0</v>
      </c>
      <c r="D34" s="245">
        <f t="array" ref="D34">SUM(IF((Budget[Account Code]=B34)*(Budget[Ofc Code]=$G$4)*(Budget[Date]&lt;=$D$7),(Budget[Amount])))</f>
        <v>0</v>
      </c>
      <c r="E34" s="245">
        <f t="array" ref="E34">((SUM(IF((CkDJ[Ofc Code]=(TRIM(G$4)))*(CkDJ[Account Code]=(TRIM($B34)))*(CkDJ[Date]&lt;=$E$7),CkDJ[Credit])))+(SUM(IF((CsDJ[Ofc Code]=(TRIM(G$4)))*(CsDJ[Account Code]=(TRIM($B34)))*(CsDJ[Date]&lt;=$E$7),CsDJ[Credit])))+(SUM(IF((CRDJ[Ofc Code]=(TRIM(G$4)))*(CRDJ[Account Code]=(TRIM($B34)))*(CRDJ[Date]&lt;=$E$7),CRDJ[Credit])))+(SUM(IF((GJ[Ofc Code]=(TRIM(G$4)))*(GJ[Account Code]=(TRIM($B34)))*(GJ[Date]&lt;=$E$7),GJ[Credit]))))-((SUM(IF((CkDJ[Ofc Code]=(TRIM(G$4)))*(CkDJ[Account Code]=(TRIM($B34)))*(CkDJ[Date]&lt;=$E$7),CkDJ[Debit])))+(SUM(IF((CsDJ[Ofc Code]=(TRIM(G$4)))*(CsDJ[Account Code]=(TRIM($B34)))*(CsDJ[Date]&lt;=$E$7),CsDJ[Debit])))+(SUM(IF((CRDJ[Ofc Code]=(TRIM(G$4)))*(CRDJ[Account Code]=(TRIM($B34)))*(CRDJ[Date]&lt;=$E$7),CRDJ[Debit])))+(SUM(IF((GJ[Ofc Code]=(TRIM(G$4)))*(GJ[Account Code]=(TRIM($B34)))*(GJ[Date]&lt;=$E$7),GJ[Debit]))))</f>
        <v>0</v>
      </c>
      <c r="F34" s="245">
        <f t="array" ref="F34">((SUM(IF((CkDJ[Date]=$A$3)*(CkDJ[Ofc Code]=(TRIM(G$4)))*(CkDJ[Account Code]=(TRIM($B34))),CkDJ[Credit])))+(SUM(IF((CsDJ[Date]=$A$3)*(CsDJ[Ofc Code]=(TRIM(G$4)))*(CsDJ[Account Code]=(TRIM($B34))),CsDJ[Credit])))+(SUM(IF((CRDJ[Date]=$A$3)*(CRDJ[Ofc Code]=(TRIM(G$4)))*(CRDJ[Account Code]=(TRIM($B34))),CRDJ[Credit])))+(SUM(IF((GJ[Date]=$A$3)*(GJ[Ofc Code]=(TRIM(G$4)))*(GJ[Account Code]=(TRIM($B34))),GJ[Credit]))))-((SUM(IF((CkDJ[Date]=$A$3)*(CkDJ[Ofc Code]=(TRIM(G$4)))*(CkDJ[Account Code]=(TRIM($B34))),CkDJ[Debit])))+(SUM(IF((CsDJ[Date]=$A$3)*(CsDJ[Ofc Code]=(TRIM(G$4)))*(CsDJ[Account Code]=(TRIM($B34))),CsDJ[Debit])))+(SUM(IF((CRDJ[Date]=$A$3)*(CRDJ[Ofc Code]=(TRIM(G$4)))*(CRDJ[Account Code]=(TRIM($B34))),CRDJ[Debit])))+(SUM(IF((GJ[Date]=$A$3)*(GJ[Ofc Code]=(TRIM(G$4)))*(GJ[Account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Code]=B35)*(Budget[Ofc Code]=$G$4),(Budget[Amount])))</f>
        <v>0</v>
      </c>
      <c r="D35" s="245">
        <f t="array" ref="D35">SUM(IF((Budget[Account Code]=B35)*(Budget[Ofc Code]=$G$4)*(Budget[Date]&lt;=$D$7),(Budget[Amount])))</f>
        <v>0</v>
      </c>
      <c r="E35" s="245">
        <f t="array" ref="E35">((SUM(IF((CkDJ[Ofc Code]=(TRIM(G$4)))*(CkDJ[Account Code]=(TRIM($B35)))*(CkDJ[Date]&lt;=$E$7),CkDJ[Credit])))+(SUM(IF((CsDJ[Ofc Code]=(TRIM(G$4)))*(CsDJ[Account Code]=(TRIM($B35)))*(CsDJ[Date]&lt;=$E$7),CsDJ[Credit])))+(SUM(IF((CRDJ[Ofc Code]=(TRIM(G$4)))*(CRDJ[Account Code]=(TRIM($B35)))*(CRDJ[Date]&lt;=$E$7),CRDJ[Credit])))+(SUM(IF((GJ[Ofc Code]=(TRIM(G$4)))*(GJ[Account Code]=(TRIM($B35)))*(GJ[Date]&lt;=$E$7),GJ[Credit]))))-((SUM(IF((CkDJ[Ofc Code]=(TRIM(G$4)))*(CkDJ[Account Code]=(TRIM($B35)))*(CkDJ[Date]&lt;=$E$7),CkDJ[Debit])))+(SUM(IF((CsDJ[Ofc Code]=(TRIM(G$4)))*(CsDJ[Account Code]=(TRIM($B35)))*(CsDJ[Date]&lt;=$E$7),CsDJ[Debit])))+(SUM(IF((CRDJ[Ofc Code]=(TRIM(G$4)))*(CRDJ[Account Code]=(TRIM($B35)))*(CRDJ[Date]&lt;=$E$7),CRDJ[Debit])))+(SUM(IF((GJ[Ofc Code]=(TRIM(G$4)))*(GJ[Account Code]=(TRIM($B35)))*(GJ[Date]&lt;=$E$7),GJ[Debit]))))</f>
        <v>0</v>
      </c>
      <c r="F35" s="245">
        <f t="array" ref="F35">((SUM(IF((CkDJ[Date]=$A$3)*(CkDJ[Ofc Code]=(TRIM(G$4)))*(CkDJ[Account Code]=(TRIM($B35))),CkDJ[Credit])))+(SUM(IF((CsDJ[Date]=$A$3)*(CsDJ[Ofc Code]=(TRIM(G$4)))*(CsDJ[Account Code]=(TRIM($B35))),CsDJ[Credit])))+(SUM(IF((CRDJ[Date]=$A$3)*(CRDJ[Ofc Code]=(TRIM(G$4)))*(CRDJ[Account Code]=(TRIM($B35))),CRDJ[Credit])))+(SUM(IF((GJ[Date]=$A$3)*(GJ[Ofc Code]=(TRIM(G$4)))*(GJ[Account Code]=(TRIM($B35))),GJ[Credit]))))-((SUM(IF((CkDJ[Date]=$A$3)*(CkDJ[Ofc Code]=(TRIM(G$4)))*(CkDJ[Account Code]=(TRIM($B35))),CkDJ[Debit])))+(SUM(IF((CsDJ[Date]=$A$3)*(CsDJ[Ofc Code]=(TRIM(G$4)))*(CsDJ[Account Code]=(TRIM($B35))),CsDJ[Debit])))+(SUM(IF((CRDJ[Date]=$A$3)*(CRDJ[Ofc Code]=(TRIM(G$4)))*(CRDJ[Account Code]=(TRIM($B35))),CRDJ[Debit])))+(SUM(IF((GJ[Date]=$A$3)*(GJ[Ofc Code]=(TRIM(G$4)))*(GJ[Account Code]=(TRIM($B35))),GJ[Debit]))))</f>
        <v>0</v>
      </c>
      <c r="G35" s="343">
        <f>E35+F35</f>
        <v>0</v>
      </c>
      <c r="H35" s="246">
        <f t="shared" si="2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826000</v>
      </c>
      <c r="D36" s="248">
        <f>SUM(D37:D45)</f>
        <v>826000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2"/>
        <v>-826000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Code]=B37)*(Budget[Ofc Code]=$G$4),(Budget[Amount])))</f>
        <v>0</v>
      </c>
      <c r="D37" s="245">
        <f t="array" ref="D37">SUM(IF((Budget[Account Code]=B37)*(Budget[Ofc Code]=$G$4)*(Budget[Date]&lt;=$D$7),(Budget[Amount])))</f>
        <v>0</v>
      </c>
      <c r="E37" s="245">
        <f t="array" ref="E37">((SUM(IF((CkDJ[Ofc Code]=(TRIM(G$4)))*(CkDJ[Account Code]=(TRIM($B37)))*(CkDJ[Date]&lt;=$E$7),CkDJ[Credit])))+(SUM(IF((CsDJ[Ofc Code]=(TRIM(G$4)))*(CsDJ[Account Code]=(TRIM($B37)))*(CsDJ[Date]&lt;=$E$7),CsDJ[Credit])))+(SUM(IF((CRDJ[Ofc Code]=(TRIM(G$4)))*(CRDJ[Account Code]=(TRIM($B37)))*(CRDJ[Date]&lt;=$E$7),CRDJ[Credit])))+(SUM(IF((GJ[Ofc Code]=(TRIM(G$4)))*(GJ[Account Code]=(TRIM($B37)))*(GJ[Date]&lt;=$E$7),GJ[Credit]))))-((SUM(IF((CkDJ[Ofc Code]=(TRIM(G$4)))*(CkDJ[Account Code]=(TRIM($B37)))*(CkDJ[Date]&lt;=$E$7),CkDJ[Debit])))+(SUM(IF((CsDJ[Ofc Code]=(TRIM(G$4)))*(CsDJ[Account Code]=(TRIM($B37)))*(CsDJ[Date]&lt;=$E$7),CsDJ[Debit])))+(SUM(IF((CRDJ[Ofc Code]=(TRIM(G$4)))*(CRDJ[Account Code]=(TRIM($B37)))*(CRDJ[Date]&lt;=$E$7),CRDJ[Debit])))+(SUM(IF((GJ[Ofc Code]=(TRIM(G$4)))*(GJ[Account Code]=(TRIM($B37)))*(GJ[Date]&lt;=$E$7),GJ[Debit]))))</f>
        <v>0</v>
      </c>
      <c r="F37" s="245">
        <f t="array" ref="F37">((SUM(IF((CkDJ[Date]=$A$3)*(CkDJ[Ofc Code]=(TRIM(G$4)))*(CkDJ[Account Code]=(TRIM($B37))),CkDJ[Credit])))+(SUM(IF((CsDJ[Date]=$A$3)*(CsDJ[Ofc Code]=(TRIM(G$4)))*(CsDJ[Account Code]=(TRIM($B37))),CsDJ[Credit])))+(SUM(IF((CRDJ[Date]=$A$3)*(CRDJ[Ofc Code]=(TRIM(G$4)))*(CRDJ[Account Code]=(TRIM($B37))),CRDJ[Credit])))+(SUM(IF((GJ[Date]=$A$3)*(GJ[Ofc Code]=(TRIM(G$4)))*(GJ[Account Code]=(TRIM($B37))),GJ[Credit]))))-((SUM(IF((CkDJ[Date]=$A$3)*(CkDJ[Ofc Code]=(TRIM(G$4)))*(CkDJ[Account Code]=(TRIM($B37))),CkDJ[Debit])))+(SUM(IF((CsDJ[Date]=$A$3)*(CsDJ[Ofc Code]=(TRIM(G$4)))*(CsDJ[Account Code]=(TRIM($B37))),CsDJ[Debit])))+(SUM(IF((CRDJ[Date]=$A$3)*(CRDJ[Ofc Code]=(TRIM(G$4)))*(CRDJ[Account Code]=(TRIM($B37))),CRDJ[Debit])))+(SUM(IF((GJ[Date]=$A$3)*(GJ[Ofc Code]=(TRIM(G$4)))*(GJ[Account Code]=(TRIM($B37))),GJ[Debit]))))</f>
        <v>0</v>
      </c>
      <c r="G37" s="343">
        <f t="shared" ref="G37:G43" si="4">E37+F37</f>
        <v>0</v>
      </c>
      <c r="H37" s="246">
        <f t="shared" si="2"/>
        <v>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Code]=B38)*(Budget[Ofc Code]=$G$4),(Budget[Amount])))</f>
        <v>0</v>
      </c>
      <c r="D38" s="245">
        <f t="array" ref="D38">SUM(IF((Budget[Account Code]=B38)*(Budget[Ofc Code]=$G$4)*(Budget[Date]&lt;=$D$7),(Budget[Amount])))</f>
        <v>0</v>
      </c>
      <c r="E38" s="245">
        <f t="array" ref="E38">((SUM(IF((CkDJ[Ofc Code]=(TRIM(G$4)))*(CkDJ[Account Code]=(TRIM($B38)))*(CkDJ[Date]&lt;=$E$7),CkDJ[Credit])))+(SUM(IF((CsDJ[Ofc Code]=(TRIM(G$4)))*(CsDJ[Account Code]=(TRIM($B38)))*(CsDJ[Date]&lt;=$E$7),CsDJ[Credit])))+(SUM(IF((CRDJ[Ofc Code]=(TRIM(G$4)))*(CRDJ[Account Code]=(TRIM($B38)))*(CRDJ[Date]&lt;=$E$7),CRDJ[Credit])))+(SUM(IF((GJ[Ofc Code]=(TRIM(G$4)))*(GJ[Account Code]=(TRIM($B38)))*(GJ[Date]&lt;=$E$7),GJ[Credit]))))-((SUM(IF((CkDJ[Ofc Code]=(TRIM(G$4)))*(CkDJ[Account Code]=(TRIM($B38)))*(CkDJ[Date]&lt;=$E$7),CkDJ[Debit])))+(SUM(IF((CsDJ[Ofc Code]=(TRIM(G$4)))*(CsDJ[Account Code]=(TRIM($B38)))*(CsDJ[Date]&lt;=$E$7),CsDJ[Debit])))+(SUM(IF((CRDJ[Ofc Code]=(TRIM(G$4)))*(CRDJ[Account Code]=(TRIM($B38)))*(CRDJ[Date]&lt;=$E$7),CRDJ[Debit])))+(SUM(IF((GJ[Ofc Code]=(TRIM(G$4)))*(GJ[Account Code]=(TRIM($B38)))*(GJ[Date]&lt;=$E$7),GJ[Debit]))))</f>
        <v>0</v>
      </c>
      <c r="F38" s="245">
        <f t="array" ref="F38">((SUM(IF((CkDJ[Date]=$A$3)*(CkDJ[Ofc Code]=(TRIM(G$4)))*(CkDJ[Account Code]=(TRIM($B38))),CkDJ[Credit])))+(SUM(IF((CsDJ[Date]=$A$3)*(CsDJ[Ofc Code]=(TRIM(G$4)))*(CsDJ[Account Code]=(TRIM($B38))),CsDJ[Credit])))+(SUM(IF((CRDJ[Date]=$A$3)*(CRDJ[Ofc Code]=(TRIM(G$4)))*(CRDJ[Account Code]=(TRIM($B38))),CRDJ[Credit])))+(SUM(IF((GJ[Date]=$A$3)*(GJ[Ofc Code]=(TRIM(G$4)))*(GJ[Account Code]=(TRIM($B38))),GJ[Credit]))))-((SUM(IF((CkDJ[Date]=$A$3)*(CkDJ[Ofc Code]=(TRIM(G$4)))*(CkDJ[Account Code]=(TRIM($B38))),CkDJ[Debit])))+(SUM(IF((CsDJ[Date]=$A$3)*(CsDJ[Ofc Code]=(TRIM(G$4)))*(CsDJ[Account Code]=(TRIM($B38))),CsDJ[Debit])))+(SUM(IF((CRDJ[Date]=$A$3)*(CRDJ[Ofc Code]=(TRIM(G$4)))*(CRDJ[Account Code]=(TRIM($B38))),CRDJ[Debit])))+(SUM(IF((GJ[Date]=$A$3)*(GJ[Ofc Code]=(TRIM(G$4)))*(GJ[Account Code]=(TRIM($B38))),GJ[Debit]))))</f>
        <v>0</v>
      </c>
      <c r="G38" s="343">
        <f t="shared" si="4"/>
        <v>0</v>
      </c>
      <c r="H38" s="246">
        <f t="shared" si="2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Code]=B39)*(Budget[Ofc Code]=$G$4),(Budget[Amount])))</f>
        <v>0</v>
      </c>
      <c r="D39" s="245">
        <f t="array" ref="D39">SUM(IF((Budget[Account Code]=B39)*(Budget[Ofc Code]=$G$4)*(Budget[Date]&lt;=$D$7),(Budget[Amount])))</f>
        <v>0</v>
      </c>
      <c r="E39" s="245">
        <f t="array" ref="E39">((SUM(IF((CkDJ[Ofc Code]=(TRIM(G$4)))*(CkDJ[Account Code]=(TRIM($B39)))*(CkDJ[Date]&lt;=$E$7),CkDJ[Credit])))+(SUM(IF((CsDJ[Ofc Code]=(TRIM(G$4)))*(CsDJ[Account Code]=(TRIM($B39)))*(CsDJ[Date]&lt;=$E$7),CsDJ[Credit])))+(SUM(IF((CRDJ[Ofc Code]=(TRIM(G$4)))*(CRDJ[Account Code]=(TRIM($B39)))*(CRDJ[Date]&lt;=$E$7),CRDJ[Credit])))+(SUM(IF((GJ[Ofc Code]=(TRIM(G$4)))*(GJ[Account Code]=(TRIM($B39)))*(GJ[Date]&lt;=$E$7),GJ[Credit]))))-((SUM(IF((CkDJ[Ofc Code]=(TRIM(G$4)))*(CkDJ[Account Code]=(TRIM($B39)))*(CkDJ[Date]&lt;=$E$7),CkDJ[Debit])))+(SUM(IF((CsDJ[Ofc Code]=(TRIM(G$4)))*(CsDJ[Account Code]=(TRIM($B39)))*(CsDJ[Date]&lt;=$E$7),CsDJ[Debit])))+(SUM(IF((CRDJ[Ofc Code]=(TRIM(G$4)))*(CRDJ[Account Code]=(TRIM($B39)))*(CRDJ[Date]&lt;=$E$7),CRDJ[Debit])))+(SUM(IF((GJ[Ofc Code]=(TRIM(G$4)))*(GJ[Account Code]=(TRIM($B39)))*(GJ[Date]&lt;=$E$7),GJ[Debit]))))</f>
        <v>0</v>
      </c>
      <c r="F39" s="245">
        <f t="array" ref="F39">((SUM(IF((CkDJ[Date]=$A$3)*(CkDJ[Ofc Code]=(TRIM(G$4)))*(CkDJ[Account Code]=(TRIM($B39))),CkDJ[Credit])))+(SUM(IF((CsDJ[Date]=$A$3)*(CsDJ[Ofc Code]=(TRIM(G$4)))*(CsDJ[Account Code]=(TRIM($B39))),CsDJ[Credit])))+(SUM(IF((CRDJ[Date]=$A$3)*(CRDJ[Ofc Code]=(TRIM(G$4)))*(CRDJ[Account Code]=(TRIM($B39))),CRDJ[Credit])))+(SUM(IF((GJ[Date]=$A$3)*(GJ[Ofc Code]=(TRIM(G$4)))*(GJ[Account Code]=(TRIM($B39))),GJ[Credit]))))-((SUM(IF((CkDJ[Date]=$A$3)*(CkDJ[Ofc Code]=(TRIM(G$4)))*(CkDJ[Account Code]=(TRIM($B39))),CkDJ[Debit])))+(SUM(IF((CsDJ[Date]=$A$3)*(CsDJ[Ofc Code]=(TRIM(G$4)))*(CsDJ[Account Code]=(TRIM($B39))),CsDJ[Debit])))+(SUM(IF((CRDJ[Date]=$A$3)*(CRDJ[Ofc Code]=(TRIM(G$4)))*(CRDJ[Account Code]=(TRIM($B39))),CRDJ[Debit])))+(SUM(IF((GJ[Date]=$A$3)*(GJ[Ofc Code]=(TRIM(G$4)))*(GJ[Account Code]=(TRIM($B39))),GJ[Debit]))))</f>
        <v>0</v>
      </c>
      <c r="G39" s="343">
        <f t="shared" si="4"/>
        <v>0</v>
      </c>
      <c r="H39" s="246">
        <f t="shared" si="2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Code]=B40)*(Budget[Ofc Code]=$G$4),(Budget[Amount])))</f>
        <v>0</v>
      </c>
      <c r="D40" s="245">
        <f t="array" ref="D40">SUM(IF((Budget[Account Code]=B40)*(Budget[Ofc Code]=$G$4)*(Budget[Date]&lt;=$D$7),(Budget[Amount])))</f>
        <v>0</v>
      </c>
      <c r="E40" s="245">
        <f t="array" ref="E40">((SUM(IF((CkDJ[Ofc Code]=(TRIM(G$4)))*(CkDJ[Account Code]=(TRIM($B40)))*(CkDJ[Date]&lt;=$E$7),CkDJ[Credit])))+(SUM(IF((CsDJ[Ofc Code]=(TRIM(G$4)))*(CsDJ[Account Code]=(TRIM($B40)))*(CsDJ[Date]&lt;=$E$7),CsDJ[Credit])))+(SUM(IF((CRDJ[Ofc Code]=(TRIM(G$4)))*(CRDJ[Account Code]=(TRIM($B40)))*(CRDJ[Date]&lt;=$E$7),CRDJ[Credit])))+(SUM(IF((GJ[Ofc Code]=(TRIM(G$4)))*(GJ[Account Code]=(TRIM($B40)))*(GJ[Date]&lt;=$E$7),GJ[Credit]))))-((SUM(IF((CkDJ[Ofc Code]=(TRIM(G$4)))*(CkDJ[Account Code]=(TRIM($B40)))*(CkDJ[Date]&lt;=$E$7),CkDJ[Debit])))+(SUM(IF((CsDJ[Ofc Code]=(TRIM(G$4)))*(CsDJ[Account Code]=(TRIM($B40)))*(CsDJ[Date]&lt;=$E$7),CsDJ[Debit])))+(SUM(IF((CRDJ[Ofc Code]=(TRIM(G$4)))*(CRDJ[Account Code]=(TRIM($B40)))*(CRDJ[Date]&lt;=$E$7),CRDJ[Debit])))+(SUM(IF((GJ[Ofc Code]=(TRIM(G$4)))*(GJ[Account Code]=(TRIM($B40)))*(GJ[Date]&lt;=$E$7),GJ[Debit]))))</f>
        <v>0</v>
      </c>
      <c r="F40" s="245">
        <f t="array" ref="F40">((SUM(IF((CkDJ[Date]=$A$3)*(CkDJ[Ofc Code]=(TRIM(G$4)))*(CkDJ[Account Code]=(TRIM($B40))),CkDJ[Credit])))+(SUM(IF((CsDJ[Date]=$A$3)*(CsDJ[Ofc Code]=(TRIM(G$4)))*(CsDJ[Account Code]=(TRIM($B40))),CsDJ[Credit])))+(SUM(IF((CRDJ[Date]=$A$3)*(CRDJ[Ofc Code]=(TRIM(G$4)))*(CRDJ[Account Code]=(TRIM($B40))),CRDJ[Credit])))+(SUM(IF((GJ[Date]=$A$3)*(GJ[Ofc Code]=(TRIM(G$4)))*(GJ[Account Code]=(TRIM($B40))),GJ[Credit]))))-((SUM(IF((CkDJ[Date]=$A$3)*(CkDJ[Ofc Code]=(TRIM(G$4)))*(CkDJ[Account Code]=(TRIM($B40))),CkDJ[Debit])))+(SUM(IF((CsDJ[Date]=$A$3)*(CsDJ[Ofc Code]=(TRIM(G$4)))*(CsDJ[Account Code]=(TRIM($B40))),CsDJ[Debit])))+(SUM(IF((CRDJ[Date]=$A$3)*(CRDJ[Ofc Code]=(TRIM(G$4)))*(CRDJ[Account Code]=(TRIM($B40))),CRDJ[Debit])))+(SUM(IF((GJ[Date]=$A$3)*(GJ[Ofc Code]=(TRIM(G$4)))*(GJ[Account Code]=(TRIM($B40))),GJ[Debit]))))</f>
        <v>0</v>
      </c>
      <c r="G40" s="343">
        <f t="shared" si="4"/>
        <v>0</v>
      </c>
      <c r="H40" s="246">
        <f t="shared" si="2"/>
        <v>0</v>
      </c>
      <c r="I40" s="246">
        <f t="shared" si="3"/>
        <v>0</v>
      </c>
    </row>
    <row r="41" spans="1:9" hidden="1" x14ac:dyDescent="0.2">
      <c r="A41" s="272" t="s">
        <v>1269</v>
      </c>
      <c r="B41" s="339" t="s">
        <v>156</v>
      </c>
      <c r="C41" s="245">
        <f t="array" ref="C41">SUM(IF((Budget[Account Code]=B41)*(Budget[Ofc Code]=$G$4),(Budget[Amount])))</f>
        <v>0</v>
      </c>
      <c r="D41" s="245">
        <f t="array" ref="D41">SUM(IF((Budget[Account Code]=B41)*(Budget[Ofc Code]=$G$4)*(Budget[Date]&lt;=$D$7),(Budget[Amount])))</f>
        <v>0</v>
      </c>
      <c r="E41" s="245">
        <f t="array" ref="E41">((SUM(IF((CkDJ[Ofc Code]=(TRIM(G$4)))*(CkDJ[Account Code]=(TRIM($B41)))*(CkDJ[Date]&lt;=$E$7),CkDJ[Credit])))+(SUM(IF((CsDJ[Ofc Code]=(TRIM(G$4)))*(CsDJ[Account Code]=(TRIM($B41)))*(CsDJ[Date]&lt;=$E$7),CsDJ[Credit])))+(SUM(IF((CRDJ[Ofc Code]=(TRIM(G$4)))*(CRDJ[Account Code]=(TRIM($B41)))*(CRDJ[Date]&lt;=$E$7),CRDJ[Credit])))+(SUM(IF((GJ[Ofc Code]=(TRIM(G$4)))*(GJ[Account Code]=(TRIM($B41)))*(GJ[Date]&lt;=$E$7),GJ[Credit]))))-((SUM(IF((CkDJ[Ofc Code]=(TRIM(G$4)))*(CkDJ[Account Code]=(TRIM($B41)))*(CkDJ[Date]&lt;=$E$7),CkDJ[Debit])))+(SUM(IF((CsDJ[Ofc Code]=(TRIM(G$4)))*(CsDJ[Account Code]=(TRIM($B41)))*(CsDJ[Date]&lt;=$E$7),CsDJ[Debit])))+(SUM(IF((CRDJ[Ofc Code]=(TRIM(G$4)))*(CRDJ[Account Code]=(TRIM($B41)))*(CRDJ[Date]&lt;=$E$7),CRDJ[Debit])))+(SUM(IF((GJ[Ofc Code]=(TRIM(G$4)))*(GJ[Account Code]=(TRIM($B41)))*(GJ[Date]&lt;=$E$7),GJ[Debit]))))</f>
        <v>0</v>
      </c>
      <c r="F41" s="245">
        <f t="array" ref="F41">((SUM(IF((CkDJ[Date]=$A$3)*(CkDJ[Ofc Code]=(TRIM(G$4)))*(CkDJ[Account Code]=(TRIM($B41))),CkDJ[Credit])))+(SUM(IF((CsDJ[Date]=$A$3)*(CsDJ[Ofc Code]=(TRIM(G$4)))*(CsDJ[Account Code]=(TRIM($B41))),CsDJ[Credit])))+(SUM(IF((CRDJ[Date]=$A$3)*(CRDJ[Ofc Code]=(TRIM(G$4)))*(CRDJ[Account Code]=(TRIM($B41))),CRDJ[Credit])))+(SUM(IF((GJ[Date]=$A$3)*(GJ[Ofc Code]=(TRIM(G$4)))*(GJ[Account Code]=(TRIM($B41))),GJ[Credit]))))-((SUM(IF((CkDJ[Date]=$A$3)*(CkDJ[Ofc Code]=(TRIM(G$4)))*(CkDJ[Account Code]=(TRIM($B41))),CkDJ[Debit])))+(SUM(IF((CsDJ[Date]=$A$3)*(CsDJ[Ofc Code]=(TRIM(G$4)))*(CsDJ[Account Code]=(TRIM($B41))),CsDJ[Debit])))+(SUM(IF((CRDJ[Date]=$A$3)*(CRDJ[Ofc Code]=(TRIM(G$4)))*(CRDJ[Account Code]=(TRIM($B41))),CRDJ[Debit])))+(SUM(IF((GJ[Date]=$A$3)*(GJ[Ofc Code]=(TRIM(G$4)))*(GJ[Account Code]=(TRIM($B41))),GJ[Debit]))))</f>
        <v>0</v>
      </c>
      <c r="G41" s="343">
        <f>E41+F41</f>
        <v>0</v>
      </c>
      <c r="H41" s="246">
        <f>G41-D41</f>
        <v>0</v>
      </c>
      <c r="I41" s="246">
        <f>IF((D41=0),0,G41/D41)</f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Code]=B42)*(Budget[Ofc Code]=$G$4),(Budget[Amount])))</f>
        <v>0</v>
      </c>
      <c r="D42" s="245">
        <f t="array" ref="D42">SUM(IF((Budget[Account Code]=B42)*(Budget[Ofc Code]=$G$4)*(Budget[Date]&lt;=$D$7),(Budget[Amount])))</f>
        <v>0</v>
      </c>
      <c r="E42" s="245">
        <f t="array" ref="E42">((SUM(IF((CkDJ[Ofc Code]=(TRIM(G$4)))*(CkDJ[Account Code]=(TRIM($B42)))*(CkDJ[Date]&lt;=$E$7),CkDJ[Credit])))+(SUM(IF((CsDJ[Ofc Code]=(TRIM(G$4)))*(CsDJ[Account Code]=(TRIM($B42)))*(CsDJ[Date]&lt;=$E$7),CsDJ[Credit])))+(SUM(IF((CRDJ[Ofc Code]=(TRIM(G$4)))*(CRDJ[Account Code]=(TRIM($B42)))*(CRDJ[Date]&lt;=$E$7),CRDJ[Credit])))+(SUM(IF((GJ[Ofc Code]=(TRIM(G$4)))*(GJ[Account Code]=(TRIM($B42)))*(GJ[Date]&lt;=$E$7),GJ[Credit]))))-((SUM(IF((CkDJ[Ofc Code]=(TRIM(G$4)))*(CkDJ[Account Code]=(TRIM($B42)))*(CkDJ[Date]&lt;=$E$7),CkDJ[Debit])))+(SUM(IF((CsDJ[Ofc Code]=(TRIM(G$4)))*(CsDJ[Account Code]=(TRIM($B42)))*(CsDJ[Date]&lt;=$E$7),CsDJ[Debit])))+(SUM(IF((CRDJ[Ofc Code]=(TRIM(G$4)))*(CRDJ[Account Code]=(TRIM($B42)))*(CRDJ[Date]&lt;=$E$7),CRDJ[Debit])))+(SUM(IF((GJ[Ofc Code]=(TRIM(G$4)))*(GJ[Account Code]=(TRIM($B42)))*(GJ[Date]&lt;=$E$7),GJ[Debit]))))</f>
        <v>0</v>
      </c>
      <c r="F42" s="245">
        <f t="array" ref="F42">((SUM(IF((CkDJ[Date]=$A$3)*(CkDJ[Ofc Code]=(TRIM(G$4)))*(CkDJ[Account Code]=(TRIM($B42))),CkDJ[Credit])))+(SUM(IF((CsDJ[Date]=$A$3)*(CsDJ[Ofc Code]=(TRIM(G$4)))*(CsDJ[Account Code]=(TRIM($B42))),CsDJ[Credit])))+(SUM(IF((CRDJ[Date]=$A$3)*(CRDJ[Ofc Code]=(TRIM(G$4)))*(CRDJ[Account Code]=(TRIM($B42))),CRDJ[Credit])))+(SUM(IF((GJ[Date]=$A$3)*(GJ[Ofc Code]=(TRIM(G$4)))*(GJ[Account Code]=(TRIM($B42))),GJ[Credit]))))-((SUM(IF((CkDJ[Date]=$A$3)*(CkDJ[Ofc Code]=(TRIM(G$4)))*(CkDJ[Account Code]=(TRIM($B42))),CkDJ[Debit])))+(SUM(IF((CsDJ[Date]=$A$3)*(CsDJ[Ofc Code]=(TRIM(G$4)))*(CsDJ[Account Code]=(TRIM($B42))),CsDJ[Debit])))+(SUM(IF((CRDJ[Date]=$A$3)*(CRDJ[Ofc Code]=(TRIM(G$4)))*(CRDJ[Account Code]=(TRIM($B42))),CRDJ[Debit])))+(SUM(IF((GJ[Date]=$A$3)*(GJ[Ofc Code]=(TRIM(G$4)))*(GJ[Account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Code]=B43)*(Budget[Ofc Code]=$G$4),(Budget[Amount])))</f>
        <v>0</v>
      </c>
      <c r="D43" s="245">
        <f t="array" ref="D43">SUM(IF((Budget[Account Code]=B43)*(Budget[Ofc Code]=$G$4)*(Budget[Date]&lt;=$D$7),(Budget[Amount])))</f>
        <v>0</v>
      </c>
      <c r="E43" s="245">
        <f t="array" ref="E43">((SUM(IF((CkDJ[Ofc Code]=(TRIM(G$4)))*(CkDJ[Account Code]=(TRIM($B43)))*(CkDJ[Date]&lt;=$E$7),CkDJ[Credit])))+(SUM(IF((CsDJ[Ofc Code]=(TRIM(G$4)))*(CsDJ[Account Code]=(TRIM($B43)))*(CsDJ[Date]&lt;=$E$7),CsDJ[Credit])))+(SUM(IF((CRDJ[Ofc Code]=(TRIM(G$4)))*(CRDJ[Account Code]=(TRIM($B43)))*(CRDJ[Date]&lt;=$E$7),CRDJ[Credit])))+(SUM(IF((GJ[Ofc Code]=(TRIM(G$4)))*(GJ[Account Code]=(TRIM($B43)))*(GJ[Date]&lt;=$E$7),GJ[Credit]))))-((SUM(IF((CkDJ[Ofc Code]=(TRIM(G$4)))*(CkDJ[Account Code]=(TRIM($B43)))*(CkDJ[Date]&lt;=$E$7),CkDJ[Debit])))+(SUM(IF((CsDJ[Ofc Code]=(TRIM(G$4)))*(CsDJ[Account Code]=(TRIM($B43)))*(CsDJ[Date]&lt;=$E$7),CsDJ[Debit])))+(SUM(IF((CRDJ[Ofc Code]=(TRIM(G$4)))*(CRDJ[Account Code]=(TRIM($B43)))*(CRDJ[Date]&lt;=$E$7),CRDJ[Debit])))+(SUM(IF((GJ[Ofc Code]=(TRIM(G$4)))*(GJ[Account Code]=(TRIM($B43)))*(GJ[Date]&lt;=$E$7),GJ[Debit]))))</f>
        <v>0</v>
      </c>
      <c r="F43" s="245">
        <f t="array" ref="F43">((SUM(IF((CkDJ[Date]=$A$3)*(CkDJ[Ofc Code]=(TRIM(G$4)))*(CkDJ[Account Code]=(TRIM($B43))),CkDJ[Credit])))+(SUM(IF((CsDJ[Date]=$A$3)*(CsDJ[Ofc Code]=(TRIM(G$4)))*(CsDJ[Account Code]=(TRIM($B43))),CsDJ[Credit])))+(SUM(IF((CRDJ[Date]=$A$3)*(CRDJ[Ofc Code]=(TRIM(G$4)))*(CRDJ[Account Code]=(TRIM($B43))),CRDJ[Credit])))+(SUM(IF((GJ[Date]=$A$3)*(GJ[Ofc Code]=(TRIM(G$4)))*(GJ[Account Code]=(TRIM($B43))),GJ[Credit]))))-((SUM(IF((CkDJ[Date]=$A$3)*(CkDJ[Ofc Code]=(TRIM(G$4)))*(CkDJ[Account Code]=(TRIM($B43))),CkDJ[Debit])))+(SUM(IF((CsDJ[Date]=$A$3)*(CsDJ[Ofc Code]=(TRIM(G$4)))*(CsDJ[Account Code]=(TRIM($B43))),CsDJ[Debit])))+(SUM(IF((CRDJ[Date]=$A$3)*(CRDJ[Ofc Code]=(TRIM(G$4)))*(CRDJ[Account Code]=(TRIM($B43))),CRDJ[Debit])))+(SUM(IF((GJ[Date]=$A$3)*(GJ[Ofc Code]=(TRIM(G$4)))*(GJ[Account Code]=(TRIM($B43))),GJ[Debit]))))</f>
        <v>0</v>
      </c>
      <c r="G43" s="343">
        <f t="shared" si="4"/>
        <v>0</v>
      </c>
      <c r="H43" s="246">
        <f t="shared" si="2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Code]=B44)*(Budget[Ofc Code]=$G$4),(Budget[Amount])))</f>
        <v>826000</v>
      </c>
      <c r="D44" s="245">
        <f t="array" ref="D44">SUM(IF((Budget[Account Code]=B44)*(Budget[Ofc Code]=$G$4)*(Budget[Date]&lt;=$D$7),(Budget[Amount])))</f>
        <v>826000</v>
      </c>
      <c r="E44" s="245">
        <f t="array" ref="E44">((SUM(IF((CkDJ[Ofc Code]=(TRIM(G$4)))*(CkDJ[Account Code]=(TRIM($B44)))*(CkDJ[Date]&lt;=$E$7),CkDJ[Credit])))+(SUM(IF((CsDJ[Ofc Code]=(TRIM(G$4)))*(CsDJ[Account Code]=(TRIM($B44)))*(CsDJ[Date]&lt;=$E$7),CsDJ[Credit])))+(SUM(IF((CRDJ[Ofc Code]=(TRIM(G$4)))*(CRDJ[Account Code]=(TRIM($B44)))*(CRDJ[Date]&lt;=$E$7),CRDJ[Credit])))+(SUM(IF((GJ[Ofc Code]=(TRIM(G$4)))*(GJ[Account Code]=(TRIM($B44)))*(GJ[Date]&lt;=$E$7),GJ[Credit]))))-((SUM(IF((CkDJ[Ofc Code]=(TRIM(G$4)))*(CkDJ[Account Code]=(TRIM($B44)))*(CkDJ[Date]&lt;=$E$7),CkDJ[Debit])))+(SUM(IF((CsDJ[Ofc Code]=(TRIM(G$4)))*(CsDJ[Account Code]=(TRIM($B44)))*(CsDJ[Date]&lt;=$E$7),CsDJ[Debit])))+(SUM(IF((CRDJ[Ofc Code]=(TRIM(G$4)))*(CRDJ[Account Code]=(TRIM($B44)))*(CRDJ[Date]&lt;=$E$7),CRDJ[Debit])))+(SUM(IF((GJ[Ofc Code]=(TRIM(G$4)))*(GJ[Account Code]=(TRIM($B44)))*(GJ[Date]&lt;=$E$7),GJ[Debit]))))</f>
        <v>0</v>
      </c>
      <c r="F44" s="245">
        <f t="array" ref="F44">((SUM(IF((CkDJ[Date]=$A$3)*(CkDJ[Ofc Code]=(TRIM(G$4)))*(CkDJ[Account Code]=(TRIM($B44))),CkDJ[Credit])))+(SUM(IF((CsDJ[Date]=$A$3)*(CsDJ[Ofc Code]=(TRIM(G$4)))*(CsDJ[Account Code]=(TRIM($B44))),CsDJ[Credit])))+(SUM(IF((CRDJ[Date]=$A$3)*(CRDJ[Ofc Code]=(TRIM(G$4)))*(CRDJ[Account Code]=(TRIM($B44))),CRDJ[Credit])))+(SUM(IF((GJ[Date]=$A$3)*(GJ[Ofc Code]=(TRIM(G$4)))*(GJ[Account Code]=(TRIM($B44))),GJ[Credit]))))-((SUM(IF((CkDJ[Date]=$A$3)*(CkDJ[Ofc Code]=(TRIM(G$4)))*(CkDJ[Account Code]=(TRIM($B44))),CkDJ[Debit])))+(SUM(IF((CsDJ[Date]=$A$3)*(CsDJ[Ofc Code]=(TRIM(G$4)))*(CsDJ[Account Code]=(TRIM($B44))),CsDJ[Debit])))+(SUM(IF((CRDJ[Date]=$A$3)*(CRDJ[Ofc Code]=(TRIM(G$4)))*(CRDJ[Account Code]=(TRIM($B44))),CRDJ[Debit])))+(SUM(IF((GJ[Date]=$A$3)*(GJ[Ofc Code]=(TRIM(G$4)))*(GJ[Account Code]=(TRIM($B44))),GJ[Debit]))))</f>
        <v>0</v>
      </c>
      <c r="G44" s="343">
        <f>E44+F44</f>
        <v>0</v>
      </c>
      <c r="H44" s="246">
        <f t="shared" si="2"/>
        <v>-826000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Code]=B45)*(Budget[Ofc Code]=$G$4),(Budget[Amount])))</f>
        <v>0</v>
      </c>
      <c r="D45" s="245">
        <f t="array" ref="D45">SUM(IF((Budget[Account Code]=B45)*(Budget[Ofc Code]=$G$4)*(Budget[Date]&lt;=$D$7),(Budget[Amount])))</f>
        <v>0</v>
      </c>
      <c r="E45" s="245">
        <f t="array" ref="E45">((SUM(IF((CkDJ[Ofc Code]=(TRIM(G$4)))*(CkDJ[Account Code]=(TRIM($B45)))*(CkDJ[Date]&lt;=$E$7),CkDJ[Credit])))+(SUM(IF((CsDJ[Ofc Code]=(TRIM(G$4)))*(CsDJ[Account Code]=(TRIM($B45)))*(CsDJ[Date]&lt;=$E$7),CsDJ[Credit])))+(SUM(IF((CRDJ[Ofc Code]=(TRIM(G$4)))*(CRDJ[Account Code]=(TRIM($B45)))*(CRDJ[Date]&lt;=$E$7),CRDJ[Credit])))+(SUM(IF((GJ[Ofc Code]=(TRIM(G$4)))*(GJ[Account Code]=(TRIM($B45)))*(GJ[Date]&lt;=$E$7),GJ[Credit]))))-((SUM(IF((CkDJ[Ofc Code]=(TRIM(G$4)))*(CkDJ[Account Code]=(TRIM($B45)))*(CkDJ[Date]&lt;=$E$7),CkDJ[Debit])))+(SUM(IF((CsDJ[Ofc Code]=(TRIM(G$4)))*(CsDJ[Account Code]=(TRIM($B45)))*(CsDJ[Date]&lt;=$E$7),CsDJ[Debit])))+(SUM(IF((CRDJ[Ofc Code]=(TRIM(G$4)))*(CRDJ[Account Code]=(TRIM($B45)))*(CRDJ[Date]&lt;=$E$7),CRDJ[Debit])))+(SUM(IF((GJ[Ofc Code]=(TRIM(G$4)))*(GJ[Account Code]=(TRIM($B45)))*(GJ[Date]&lt;=$E$7),GJ[Debit]))))</f>
        <v>0</v>
      </c>
      <c r="F45" s="245">
        <f t="array" ref="F45">((SUM(IF((CkDJ[Date]=$A$3)*(CkDJ[Ofc Code]=(TRIM(G$4)))*(CkDJ[Account Code]=(TRIM($B45))),CkDJ[Credit])))+(SUM(IF((CsDJ[Date]=$A$3)*(CsDJ[Ofc Code]=(TRIM(G$4)))*(CsDJ[Account Code]=(TRIM($B45))),CsDJ[Credit])))+(SUM(IF((CRDJ[Date]=$A$3)*(CRDJ[Ofc Code]=(TRIM(G$4)))*(CRDJ[Account Code]=(TRIM($B45))),CRDJ[Credit])))+(SUM(IF((GJ[Date]=$A$3)*(GJ[Ofc Code]=(TRIM(G$4)))*(GJ[Account Code]=(TRIM($B45))),GJ[Credit]))))-((SUM(IF((CkDJ[Date]=$A$3)*(CkDJ[Ofc Code]=(TRIM(G$4)))*(CkDJ[Account Code]=(TRIM($B45))),CkDJ[Debit])))+(SUM(IF((CsDJ[Date]=$A$3)*(CsDJ[Ofc Code]=(TRIM(G$4)))*(CsDJ[Account Code]=(TRIM($B45))),CsDJ[Debit])))+(SUM(IF((CRDJ[Date]=$A$3)*(CRDJ[Ofc Code]=(TRIM(G$4)))*(CRDJ[Account Code]=(TRIM($B45))),CRDJ[Debit])))+(SUM(IF((GJ[Date]=$A$3)*(GJ[Ofc Code]=(TRIM(G$4)))*(GJ[Account Code]=(TRIM($B45))),GJ[Debit]))))</f>
        <v>0</v>
      </c>
      <c r="G45" s="343">
        <f>E45+F45</f>
        <v>0</v>
      </c>
      <c r="H45" s="246">
        <f t="shared" si="2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>
        <f>G46-F46</f>
        <v>0</v>
      </c>
      <c r="F46" s="248"/>
      <c r="G46" s="343">
        <f t="array" ref="G46">((SUM(IF((CkDJ[Ofc Code]=(TRIM(G$4)))*(CkDJ[Account Code]=(TRIM($B46))),CkDJ[Credit])))+(SUM(IF((CsDJ[Ofc Code]=(TRIM(G$4)))*(CsDJ[Account Code]=(TRIM($B46))),CsDJ[Credit])))+(SUM(IF((CRDJ[Ofc Code]=(TRIM(G$4)))*(CRDJ[Account Code]=(TRIM($B46))),CRDJ[Credit])))+(SUM(IF((GJ[Ofc Code]=(TRIM(G$4)))*(GJ[Account Code]=(TRIM($B46))),GJ[Credit]))))-((SUM(IF((CkDJ[Ofc Code]=(TRIM(G$4)))*(CkDJ[Account Code]=(TRIM($B46))),CkDJ[Debit])))+(SUM(IF((CsDJ[Ofc Code]=(TRIM(G$4)))*(CsDJ[Account Code]=(TRIM($B46))),CsDJ[Debit])))+(SUM(IF((CRDJ[Ofc Code]=(TRIM(G$4)))*(CRDJ[Account Code]=(TRIM($B46))),CRDJ[Debit])))+(SUM(IF((GJ[Ofc Code]=(TRIM(G$4)))*(GJ[Account Code]=(TRIM($B46))),GJ[Debit]))))</f>
        <v>0</v>
      </c>
      <c r="H46" s="242">
        <f t="shared" si="2"/>
        <v>0</v>
      </c>
      <c r="I46" s="242">
        <f t="shared" si="3"/>
        <v>0</v>
      </c>
    </row>
    <row r="47" spans="1:9" x14ac:dyDescent="0.2">
      <c r="A47" s="249" t="s">
        <v>814</v>
      </c>
      <c r="B47" s="338"/>
      <c r="C47" s="250">
        <f>C26+C27+C32+C36+C46</f>
        <v>826000</v>
      </c>
      <c r="D47" s="250">
        <f>D26+D27+D32+D36+D46</f>
        <v>826000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2"/>
        <v>-826000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826000</v>
      </c>
      <c r="D48" s="250">
        <f>D24+D47</f>
        <v>826000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2"/>
        <v>-826000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9053829.3200000003</v>
      </c>
      <c r="D50" s="242">
        <f>D51+D75</f>
        <v>9053829.3200000003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si="2"/>
        <v>-9053829.3200000003</v>
      </c>
      <c r="I50" s="242">
        <f t="shared" si="3"/>
        <v>0</v>
      </c>
    </row>
    <row r="51" spans="1:9" x14ac:dyDescent="0.2">
      <c r="A51" s="243" t="s">
        <v>806</v>
      </c>
      <c r="B51" s="337"/>
      <c r="C51" s="246">
        <f>SUM(C52:C74)</f>
        <v>9053829.3200000003</v>
      </c>
      <c r="D51" s="246">
        <f>SUM(D52:D74)</f>
        <v>9053829.3200000003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2"/>
        <v>-9053829.3200000003</v>
      </c>
      <c r="I51" s="246">
        <f t="shared" si="3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Code]=B52)*(Budget[Ofc Code]=$G$4),(Budget[Amount])))</f>
        <v>4647324</v>
      </c>
      <c r="D52" s="245">
        <f t="array" ref="D52">SUM(IF((Budget[Account Code]=B52)*(Budget[Ofc Code]=$G$4)*(Budget[Date]&lt;=$D$7),(Budget[Amount])))</f>
        <v>4647324</v>
      </c>
      <c r="E52" s="245">
        <f t="array" ref="E52">((SUM(IF((CkDJ[Ofc Code]=(TRIM(G$4)))*(CkDJ[Account Code]=(TRIM($B52)))*(CkDJ[Date]&lt;=$E$7),CkDJ[Debit])))+(SUM(IF((CsDJ[Ofc Code]=(TRIM(G$4)))*(CsDJ[Account Code]=(TRIM($B52)))*(CsDJ[Date]&lt;=$E$7),CsDJ[Debit])))+(SUM(IF((CRDJ[Ofc Code]=(TRIM(G$4)))*(CRDJ[Account Code]=(TRIM($B52)))*(CRDJ[Date]&lt;=$E$7),CRDJ[Debit])))+(SUM(IF((GJ[Ofc Code]=(TRIM(G$4)))*(GJ[Account Code]=(TRIM($B52)))*(GJ[Date]&lt;=$E$7),GJ[Debit]))))-((SUM(IF((CkDJ[Ofc Code]=(TRIM(G$4)))*(CkDJ[Account Code]=(TRIM($B52)))*(CkDJ[Date]&lt;=$E$7),CkDJ[Credit])))+(SUM(IF((CsDJ[Ofc Code]=(TRIM(G$4)))*(CsDJ[Account Code]=(TRIM($B52)))*(CsDJ[Date]&lt;=$E$7),CsDJ[Credit])))+(SUM(IF((CRDJ[Ofc Code]=(TRIM(G$4)))*(CRDJ[Account Code]=(TRIM($B52)))*(CRDJ[Date]&lt;=$E$7),CRDJ[Credit])))+(SUM(IF((GJ[Ofc Code]=(TRIM(G$4)))*(GJ[Account Code]=(TRIM($B52)))*(GJ[Date]&lt;=$E$7),GJ[Credit]))))</f>
        <v>0</v>
      </c>
      <c r="F52" s="245">
        <f t="array" ref="F52">((SUM(IF((CkDJ[Date]=$A$3)*(CkDJ[Ofc Code]=(TRIM(G$4)))*(CkDJ[Account Code]=(TRIM($B52))),CkDJ[Debit])))+(SUM(IF((CsDJ[Date]=$A$3)*(CsDJ[Ofc Code]=(TRIM(G$4)))*(CsDJ[Account Code]=(TRIM($B52))),CsDJ[Debit])))+(SUM(IF((CRDJ[Date]=$A$3)*(CRDJ[Ofc Code]=(TRIM(G$4)))*(CRDJ[Account Code]=(TRIM($B52))),CRDJ[Debit])))+(SUM(IF((GJ[Date]=$A$3)*(GJ[Ofc Code]=(TRIM(G$4)))*(GJ[Account Code]=(TRIM($B52))),GJ[Debit]))))-((SUM(IF((CkDJ[Date]=$A$3)*(CkDJ[Ofc Code]=(TRIM(G$4)))*(CkDJ[Account Code]=(TRIM($B52))),CkDJ[Credit])))+(SUM(IF((CsDJ[Date]=$A$3)*(CsDJ[Ofc Code]=(TRIM(G$4)))*(CsDJ[Account Code]=(TRIM($B52))),CsDJ[Credit])))+(SUM(IF((CRDJ[Date]=$A$3)*(CRDJ[Ofc Code]=(TRIM(G$4)))*(CRDJ[Account Code]=(TRIM($B52))),CRDJ[Credit])))+(SUM(IF((GJ[Date]=$A$3)*(GJ[Ofc Code]=(TRIM(G$4)))*(GJ[Account Code]=(TRIM($B52))),GJ[Credit]))))</f>
        <v>0</v>
      </c>
      <c r="G52" s="343">
        <f t="shared" ref="G52:G74" si="5">E52+F52</f>
        <v>0</v>
      </c>
      <c r="H52" s="246">
        <f t="shared" si="2"/>
        <v>-4647324</v>
      </c>
      <c r="I52" s="246">
        <f t="shared" si="3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Code]=B53)*(Budget[Ofc Code]=$G$4),(Budget[Amount])))</f>
        <v>2378302.44</v>
      </c>
      <c r="D53" s="245">
        <f t="array" ref="D53">SUM(IF((Budget[Account Code]=B53)*(Budget[Ofc Code]=$G$4)*(Budget[Date]&lt;=$D$7),(Budget[Amount])))</f>
        <v>2378302.44</v>
      </c>
      <c r="E53" s="245">
        <f t="array" ref="E53">((SUM(IF((CkDJ[Ofc Code]=(TRIM(G$4)))*(CkDJ[Account Code]=(TRIM($B53)))*(CkDJ[Date]&lt;=$E$7),CkDJ[Debit])))+(SUM(IF((CsDJ[Ofc Code]=(TRIM(G$4)))*(CsDJ[Account Code]=(TRIM($B53)))*(CsDJ[Date]&lt;=$E$7),CsDJ[Debit])))+(SUM(IF((CRDJ[Ofc Code]=(TRIM(G$4)))*(CRDJ[Account Code]=(TRIM($B53)))*(CRDJ[Date]&lt;=$E$7),CRDJ[Debit])))+(SUM(IF((GJ[Ofc Code]=(TRIM(G$4)))*(GJ[Account Code]=(TRIM($B53)))*(GJ[Date]&lt;=$E$7),GJ[Debit]))))-((SUM(IF((CkDJ[Ofc Code]=(TRIM(G$4)))*(CkDJ[Account Code]=(TRIM($B53)))*(CkDJ[Date]&lt;=$E$7),CkDJ[Credit])))+(SUM(IF((CsDJ[Ofc Code]=(TRIM(G$4)))*(CsDJ[Account Code]=(TRIM($B53)))*(CsDJ[Date]&lt;=$E$7),CsDJ[Credit])))+(SUM(IF((CRDJ[Ofc Code]=(TRIM(G$4)))*(CRDJ[Account Code]=(TRIM($B53)))*(CRDJ[Date]&lt;=$E$7),CRDJ[Credit])))+(SUM(IF((GJ[Ofc Code]=(TRIM(G$4)))*(GJ[Account Code]=(TRIM($B53)))*(GJ[Date]&lt;=$E$7),GJ[Credit]))))</f>
        <v>0</v>
      </c>
      <c r="F53" s="245">
        <f t="array" ref="F53">((SUM(IF((CkDJ[Date]=$A$3)*(CkDJ[Ofc Code]=(TRIM(G$4)))*(CkDJ[Account Code]=(TRIM($B53))),CkDJ[Debit])))+(SUM(IF((CsDJ[Date]=$A$3)*(CsDJ[Ofc Code]=(TRIM(G$4)))*(CsDJ[Account Code]=(TRIM($B53))),CsDJ[Debit])))+(SUM(IF((CRDJ[Date]=$A$3)*(CRDJ[Ofc Code]=(TRIM(G$4)))*(CRDJ[Account Code]=(TRIM($B53))),CRDJ[Debit])))+(SUM(IF((GJ[Date]=$A$3)*(GJ[Ofc Code]=(TRIM(G$4)))*(GJ[Account Code]=(TRIM($B53))),GJ[Debit]))))-((SUM(IF((CkDJ[Date]=$A$3)*(CkDJ[Ofc Code]=(TRIM(G$4)))*(CkDJ[Account Code]=(TRIM($B53))),CkDJ[Credit])))+(SUM(IF((CsDJ[Date]=$A$3)*(CsDJ[Ofc Code]=(TRIM(G$4)))*(CsDJ[Account Code]=(TRIM($B53))),CsDJ[Credit])))+(SUM(IF((CRDJ[Date]=$A$3)*(CRDJ[Ofc Code]=(TRIM(G$4)))*(CRDJ[Account Code]=(TRIM($B53))),CRDJ[Credit])))+(SUM(IF((GJ[Date]=$A$3)*(GJ[Ofc Code]=(TRIM(G$4)))*(GJ[Account Code]=(TRIM($B53))),GJ[Credit]))))</f>
        <v>0</v>
      </c>
      <c r="G53" s="343">
        <f t="shared" si="5"/>
        <v>0</v>
      </c>
      <c r="H53" s="246">
        <f t="shared" si="2"/>
        <v>-2378302.44</v>
      </c>
      <c r="I53" s="246">
        <f t="shared" si="3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Code]=B54)*(Budget[Ofc Code]=$G$4),(Budget[Amount])))</f>
        <v>0</v>
      </c>
      <c r="D54" s="245">
        <f t="array" ref="D54">SUM(IF((Budget[Account Code]=B54)*(Budget[Ofc Code]=$G$4)*(Budget[Date]&lt;=$D$7),(Budget[Amount])))</f>
        <v>0</v>
      </c>
      <c r="E54" s="245">
        <f t="array" ref="E54">((SUM(IF((CkDJ[Ofc Code]=(TRIM(G$4)))*(CkDJ[Account Code]=(TRIM($B54)))*(CkDJ[Date]&lt;=$E$7),CkDJ[Debit])))+(SUM(IF((CsDJ[Ofc Code]=(TRIM(G$4)))*(CsDJ[Account Code]=(TRIM($B54)))*(CsDJ[Date]&lt;=$E$7),CsDJ[Debit])))+(SUM(IF((CRDJ[Ofc Code]=(TRIM(G$4)))*(CRDJ[Account Code]=(TRIM($B54)))*(CRDJ[Date]&lt;=$E$7),CRDJ[Debit])))+(SUM(IF((GJ[Ofc Code]=(TRIM(G$4)))*(GJ[Account Code]=(TRIM($B54)))*(GJ[Date]&lt;=$E$7),GJ[Debit]))))-((SUM(IF((CkDJ[Ofc Code]=(TRIM(G$4)))*(CkDJ[Account Code]=(TRIM($B54)))*(CkDJ[Date]&lt;=$E$7),CkDJ[Credit])))+(SUM(IF((CsDJ[Ofc Code]=(TRIM(G$4)))*(CsDJ[Account Code]=(TRIM($B54)))*(CsDJ[Date]&lt;=$E$7),CsDJ[Credit])))+(SUM(IF((CRDJ[Ofc Code]=(TRIM(G$4)))*(CRDJ[Account Code]=(TRIM($B54)))*(CRDJ[Date]&lt;=$E$7),CRDJ[Credit])))+(SUM(IF((GJ[Ofc Code]=(TRIM(G$4)))*(GJ[Account Code]=(TRIM($B54)))*(GJ[Date]&lt;=$E$7),GJ[Credit]))))</f>
        <v>0</v>
      </c>
      <c r="F54" s="245">
        <f t="array" ref="F54">((SUM(IF((CkDJ[Date]=$A$3)*(CkDJ[Ofc Code]=(TRIM(G$4)))*(CkDJ[Account Code]=(TRIM($B54))),CkDJ[Debit])))+(SUM(IF((CsDJ[Date]=$A$3)*(CsDJ[Ofc Code]=(TRIM(G$4)))*(CsDJ[Account Code]=(TRIM($B54))),CsDJ[Debit])))+(SUM(IF((CRDJ[Date]=$A$3)*(CRDJ[Ofc Code]=(TRIM(G$4)))*(CRDJ[Account Code]=(TRIM($B54))),CRDJ[Debit])))+(SUM(IF((GJ[Date]=$A$3)*(GJ[Ofc Code]=(TRIM(G$4)))*(GJ[Account Code]=(TRIM($B54))),GJ[Debit]))))-((SUM(IF((CkDJ[Date]=$A$3)*(CkDJ[Ofc Code]=(TRIM(G$4)))*(CkDJ[Account Code]=(TRIM($B54))),CkDJ[Credit])))+(SUM(IF((CsDJ[Date]=$A$3)*(CsDJ[Ofc Code]=(TRIM(G$4)))*(CsDJ[Account Code]=(TRIM($B54))),CsDJ[Credit])))+(SUM(IF((CRDJ[Date]=$A$3)*(CRDJ[Ofc Code]=(TRIM(G$4)))*(CRDJ[Account Code]=(TRIM($B54))),CRDJ[Credit])))+(SUM(IF((GJ[Date]=$A$3)*(GJ[Ofc Code]=(TRIM(G$4)))*(GJ[Account Code]=(TRIM($B54))),GJ[Credit]))))</f>
        <v>0</v>
      </c>
      <c r="G54" s="343">
        <f t="shared" si="5"/>
        <v>0</v>
      </c>
      <c r="H54" s="246">
        <f t="shared" si="2"/>
        <v>0</v>
      </c>
      <c r="I54" s="246">
        <f t="shared" si="3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Code]=B55)*(Budget[Ofc Code]=$G$4),(Budget[Amount])))</f>
        <v>432000</v>
      </c>
      <c r="D55" s="245">
        <f t="array" ref="D55">SUM(IF((Budget[Account Code]=B55)*(Budget[Ofc Code]=$G$4)*(Budget[Date]&lt;=$D$7),(Budget[Amount])))</f>
        <v>432000</v>
      </c>
      <c r="E55" s="245">
        <f t="array" ref="E55">((SUM(IF((CkDJ[Ofc Code]=(TRIM(G$4)))*(CkDJ[Account Code]=(TRIM($B55)))*(CkDJ[Date]&lt;=$E$7),CkDJ[Debit])))+(SUM(IF((CsDJ[Ofc Code]=(TRIM(G$4)))*(CsDJ[Account Code]=(TRIM($B55)))*(CsDJ[Date]&lt;=$E$7),CsDJ[Debit])))+(SUM(IF((CRDJ[Ofc Code]=(TRIM(G$4)))*(CRDJ[Account Code]=(TRIM($B55)))*(CRDJ[Date]&lt;=$E$7),CRDJ[Debit])))+(SUM(IF((GJ[Ofc Code]=(TRIM(G$4)))*(GJ[Account Code]=(TRIM($B55)))*(GJ[Date]&lt;=$E$7),GJ[Debit]))))-((SUM(IF((CkDJ[Ofc Code]=(TRIM(G$4)))*(CkDJ[Account Code]=(TRIM($B55)))*(CkDJ[Date]&lt;=$E$7),CkDJ[Credit])))+(SUM(IF((CsDJ[Ofc Code]=(TRIM(G$4)))*(CsDJ[Account Code]=(TRIM($B55)))*(CsDJ[Date]&lt;=$E$7),CsDJ[Credit])))+(SUM(IF((CRDJ[Ofc Code]=(TRIM(G$4)))*(CRDJ[Account Code]=(TRIM($B55)))*(CRDJ[Date]&lt;=$E$7),CRDJ[Credit])))+(SUM(IF((GJ[Ofc Code]=(TRIM(G$4)))*(GJ[Account Code]=(TRIM($B55)))*(GJ[Date]&lt;=$E$7),GJ[Credit]))))</f>
        <v>0</v>
      </c>
      <c r="F55" s="245">
        <f t="array" ref="F55">((SUM(IF((CkDJ[Date]=$A$3)*(CkDJ[Ofc Code]=(TRIM(G$4)))*(CkDJ[Account Code]=(TRIM($B55))),CkDJ[Debit])))+(SUM(IF((CsDJ[Date]=$A$3)*(CsDJ[Ofc Code]=(TRIM(G$4)))*(CsDJ[Account Code]=(TRIM($B55))),CsDJ[Debit])))+(SUM(IF((CRDJ[Date]=$A$3)*(CRDJ[Ofc Code]=(TRIM(G$4)))*(CRDJ[Account Code]=(TRIM($B55))),CRDJ[Debit])))+(SUM(IF((GJ[Date]=$A$3)*(GJ[Ofc Code]=(TRIM(G$4)))*(GJ[Account Code]=(TRIM($B55))),GJ[Debit]))))-((SUM(IF((CkDJ[Date]=$A$3)*(CkDJ[Ofc Code]=(TRIM(G$4)))*(CkDJ[Account Code]=(TRIM($B55))),CkDJ[Credit])))+(SUM(IF((CsDJ[Date]=$A$3)*(CsDJ[Ofc Code]=(TRIM(G$4)))*(CsDJ[Account Code]=(TRIM($B55))),CsDJ[Credit])))+(SUM(IF((CRDJ[Date]=$A$3)*(CRDJ[Ofc Code]=(TRIM(G$4)))*(CRDJ[Account Code]=(TRIM($B55))),CRDJ[Credit])))+(SUM(IF((GJ[Date]=$A$3)*(GJ[Ofc Code]=(TRIM(G$4)))*(GJ[Account Code]=(TRIM($B55))),GJ[Credit]))))</f>
        <v>0</v>
      </c>
      <c r="G55" s="343">
        <f t="shared" si="5"/>
        <v>0</v>
      </c>
      <c r="H55" s="246">
        <f t="shared" si="2"/>
        <v>-432000</v>
      </c>
      <c r="I55" s="246">
        <f t="shared" si="3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Code]=B56)*(Budget[Ofc Code]=$G$4),(Budget[Amount])))</f>
        <v>60000</v>
      </c>
      <c r="D56" s="245">
        <f t="array" ref="D56">SUM(IF((Budget[Account Code]=B56)*(Budget[Ofc Code]=$G$4)*(Budget[Date]&lt;=$D$7),(Budget[Amount])))</f>
        <v>60000</v>
      </c>
      <c r="E56" s="245">
        <f t="array" ref="E56">((SUM(IF((CkDJ[Ofc Code]=(TRIM(G$4)))*(CkDJ[Account Code]=(TRIM($B56)))*(CkDJ[Date]&lt;=$E$7),CkDJ[Debit])))+(SUM(IF((CsDJ[Ofc Code]=(TRIM(G$4)))*(CsDJ[Account Code]=(TRIM($B56)))*(CsDJ[Date]&lt;=$E$7),CsDJ[Debit])))+(SUM(IF((CRDJ[Ofc Code]=(TRIM(G$4)))*(CRDJ[Account Code]=(TRIM($B56)))*(CRDJ[Date]&lt;=$E$7),CRDJ[Debit])))+(SUM(IF((GJ[Ofc Code]=(TRIM(G$4)))*(GJ[Account Code]=(TRIM($B56)))*(GJ[Date]&lt;=$E$7),GJ[Debit]))))-((SUM(IF((CkDJ[Ofc Code]=(TRIM(G$4)))*(CkDJ[Account Code]=(TRIM($B56)))*(CkDJ[Date]&lt;=$E$7),CkDJ[Credit])))+(SUM(IF((CsDJ[Ofc Code]=(TRIM(G$4)))*(CsDJ[Account Code]=(TRIM($B56)))*(CsDJ[Date]&lt;=$E$7),CsDJ[Credit])))+(SUM(IF((CRDJ[Ofc Code]=(TRIM(G$4)))*(CRDJ[Account Code]=(TRIM($B56)))*(CRDJ[Date]&lt;=$E$7),CRDJ[Credit])))+(SUM(IF((GJ[Ofc Code]=(TRIM(G$4)))*(GJ[Account Code]=(TRIM($B56)))*(GJ[Date]&lt;=$E$7),GJ[Credit]))))</f>
        <v>0</v>
      </c>
      <c r="F56" s="245">
        <f t="array" ref="F56">((SUM(IF((CkDJ[Date]=$A$3)*(CkDJ[Ofc Code]=(TRIM(G$4)))*(CkDJ[Account Code]=(TRIM($B56))),CkDJ[Debit])))+(SUM(IF((CsDJ[Date]=$A$3)*(CsDJ[Ofc Code]=(TRIM(G$4)))*(CsDJ[Account Code]=(TRIM($B56))),CsDJ[Debit])))+(SUM(IF((CRDJ[Date]=$A$3)*(CRDJ[Ofc Code]=(TRIM(G$4)))*(CRDJ[Account Code]=(TRIM($B56))),CRDJ[Debit])))+(SUM(IF((GJ[Date]=$A$3)*(GJ[Ofc Code]=(TRIM(G$4)))*(GJ[Account Code]=(TRIM($B56))),GJ[Debit]))))-((SUM(IF((CkDJ[Date]=$A$3)*(CkDJ[Ofc Code]=(TRIM(G$4)))*(CkDJ[Account Code]=(TRIM($B56))),CkDJ[Credit])))+(SUM(IF((CsDJ[Date]=$A$3)*(CsDJ[Ofc Code]=(TRIM(G$4)))*(CsDJ[Account Code]=(TRIM($B56))),CsDJ[Credit])))+(SUM(IF((CRDJ[Date]=$A$3)*(CRDJ[Ofc Code]=(TRIM(G$4)))*(CRDJ[Account Code]=(TRIM($B56))),CRDJ[Credit])))+(SUM(IF((GJ[Date]=$A$3)*(GJ[Ofc Code]=(TRIM(G$4)))*(GJ[Account Code]=(TRIM($B56))),GJ[Credit]))))</f>
        <v>0</v>
      </c>
      <c r="G56" s="343">
        <f t="shared" si="5"/>
        <v>0</v>
      </c>
      <c r="H56" s="246">
        <f t="shared" si="2"/>
        <v>-60000</v>
      </c>
      <c r="I56" s="246">
        <f t="shared" si="3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Code]=B57)*(Budget[Ofc Code]=$G$4),(Budget[Amount])))</f>
        <v>0</v>
      </c>
      <c r="D57" s="245">
        <f t="array" ref="D57">SUM(IF((Budget[Account Code]=B57)*(Budget[Ofc Code]=$G$4)*(Budget[Date]&lt;=$D$7),(Budget[Amount])))</f>
        <v>0</v>
      </c>
      <c r="E57" s="245">
        <f t="array" ref="E57">((SUM(IF((CkDJ[Ofc Code]=(TRIM(G$4)))*(CkDJ[Account Code]=(TRIM($B57)))*(CkDJ[Date]&lt;=$E$7),CkDJ[Debit])))+(SUM(IF((CsDJ[Ofc Code]=(TRIM(G$4)))*(CsDJ[Account Code]=(TRIM($B57)))*(CsDJ[Date]&lt;=$E$7),CsDJ[Debit])))+(SUM(IF((CRDJ[Ofc Code]=(TRIM(G$4)))*(CRDJ[Account Code]=(TRIM($B57)))*(CRDJ[Date]&lt;=$E$7),CRDJ[Debit])))+(SUM(IF((GJ[Ofc Code]=(TRIM(G$4)))*(GJ[Account Code]=(TRIM($B57)))*(GJ[Date]&lt;=$E$7),GJ[Debit]))))-((SUM(IF((CkDJ[Ofc Code]=(TRIM(G$4)))*(CkDJ[Account Code]=(TRIM($B57)))*(CkDJ[Date]&lt;=$E$7),CkDJ[Credit])))+(SUM(IF((CsDJ[Ofc Code]=(TRIM(G$4)))*(CsDJ[Account Code]=(TRIM($B57)))*(CsDJ[Date]&lt;=$E$7),CsDJ[Credit])))+(SUM(IF((CRDJ[Ofc Code]=(TRIM(G$4)))*(CRDJ[Account Code]=(TRIM($B57)))*(CRDJ[Date]&lt;=$E$7),CRDJ[Credit])))+(SUM(IF((GJ[Ofc Code]=(TRIM(G$4)))*(GJ[Account Code]=(TRIM($B57)))*(GJ[Date]&lt;=$E$7),GJ[Credit]))))</f>
        <v>0</v>
      </c>
      <c r="F57" s="245">
        <f t="array" ref="F57">((SUM(IF((CkDJ[Date]=$A$3)*(CkDJ[Ofc Code]=(TRIM(G$4)))*(CkDJ[Account Code]=(TRIM($B57))),CkDJ[Debit])))+(SUM(IF((CsDJ[Date]=$A$3)*(CsDJ[Ofc Code]=(TRIM(G$4)))*(CsDJ[Account Code]=(TRIM($B57))),CsDJ[Debit])))+(SUM(IF((CRDJ[Date]=$A$3)*(CRDJ[Ofc Code]=(TRIM(G$4)))*(CRDJ[Account Code]=(TRIM($B57))),CRDJ[Debit])))+(SUM(IF((GJ[Date]=$A$3)*(GJ[Ofc Code]=(TRIM(G$4)))*(GJ[Account Code]=(TRIM($B57))),GJ[Debit]))))-((SUM(IF((CkDJ[Date]=$A$3)*(CkDJ[Ofc Code]=(TRIM(G$4)))*(CkDJ[Account Code]=(TRIM($B57))),CkDJ[Credit])))+(SUM(IF((CsDJ[Date]=$A$3)*(CsDJ[Ofc Code]=(TRIM(G$4)))*(CsDJ[Account Code]=(TRIM($B57))),CsDJ[Credit])))+(SUM(IF((CRDJ[Date]=$A$3)*(CRDJ[Ofc Code]=(TRIM(G$4)))*(CRDJ[Account Code]=(TRIM($B57))),CRDJ[Credit])))+(SUM(IF((GJ[Date]=$A$3)*(GJ[Ofc Code]=(TRIM(G$4)))*(GJ[Account Code]=(TRIM($B57))),GJ[Credit]))))</f>
        <v>0</v>
      </c>
      <c r="G57" s="343">
        <f t="shared" si="5"/>
        <v>0</v>
      </c>
      <c r="H57" s="246">
        <f t="shared" si="2"/>
        <v>0</v>
      </c>
      <c r="I57" s="246">
        <f t="shared" si="3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Code]=B58)*(Budget[Ofc Code]=$G$4),(Budget[Amount])))</f>
        <v>0</v>
      </c>
      <c r="D58" s="245">
        <f t="array" ref="D58">SUM(IF((Budget[Account Code]=B58)*(Budget[Ofc Code]=$G$4)*(Budget[Date]&lt;=$D$7),(Budget[Amount])))</f>
        <v>0</v>
      </c>
      <c r="E58" s="245">
        <f t="array" ref="E58">((SUM(IF((CkDJ[Ofc Code]=(TRIM(G$4)))*(CkDJ[Account Code]=(TRIM($B58)))*(CkDJ[Date]&lt;=$E$7),CkDJ[Debit])))+(SUM(IF((CsDJ[Ofc Code]=(TRIM(G$4)))*(CsDJ[Account Code]=(TRIM($B58)))*(CsDJ[Date]&lt;=$E$7),CsDJ[Debit])))+(SUM(IF((CRDJ[Ofc Code]=(TRIM(G$4)))*(CRDJ[Account Code]=(TRIM($B58)))*(CRDJ[Date]&lt;=$E$7),CRDJ[Debit])))+(SUM(IF((GJ[Ofc Code]=(TRIM(G$4)))*(GJ[Account Code]=(TRIM($B58)))*(GJ[Date]&lt;=$E$7),GJ[Debit]))))-((SUM(IF((CkDJ[Ofc Code]=(TRIM(G$4)))*(CkDJ[Account Code]=(TRIM($B58)))*(CkDJ[Date]&lt;=$E$7),CkDJ[Credit])))+(SUM(IF((CsDJ[Ofc Code]=(TRIM(G$4)))*(CsDJ[Account Code]=(TRIM($B58)))*(CsDJ[Date]&lt;=$E$7),CsDJ[Credit])))+(SUM(IF((CRDJ[Ofc Code]=(TRIM(G$4)))*(CRDJ[Account Code]=(TRIM($B58)))*(CRDJ[Date]&lt;=$E$7),CRDJ[Credit])))+(SUM(IF((GJ[Ofc Code]=(TRIM(G$4)))*(GJ[Account Code]=(TRIM($B58)))*(GJ[Date]&lt;=$E$7),GJ[Credit]))))</f>
        <v>0</v>
      </c>
      <c r="F58" s="245">
        <f t="array" ref="F58">((SUM(IF((CkDJ[Date]=$A$3)*(CkDJ[Ofc Code]=(TRIM(G$4)))*(CkDJ[Account Code]=(TRIM($B58))),CkDJ[Debit])))+(SUM(IF((CsDJ[Date]=$A$3)*(CsDJ[Ofc Code]=(TRIM(G$4)))*(CsDJ[Account Code]=(TRIM($B58))),CsDJ[Debit])))+(SUM(IF((CRDJ[Date]=$A$3)*(CRDJ[Ofc Code]=(TRIM(G$4)))*(CRDJ[Account Code]=(TRIM($B58))),CRDJ[Debit])))+(SUM(IF((GJ[Date]=$A$3)*(GJ[Ofc Code]=(TRIM(G$4)))*(GJ[Account Code]=(TRIM($B58))),GJ[Debit]))))-((SUM(IF((CkDJ[Date]=$A$3)*(CkDJ[Ofc Code]=(TRIM(G$4)))*(CkDJ[Account Code]=(TRIM($B58))),CkDJ[Credit])))+(SUM(IF((CsDJ[Date]=$A$3)*(CsDJ[Ofc Code]=(TRIM(G$4)))*(CsDJ[Account Code]=(TRIM($B58))),CsDJ[Credit])))+(SUM(IF((CRDJ[Date]=$A$3)*(CRDJ[Ofc Code]=(TRIM(G$4)))*(CRDJ[Account Code]=(TRIM($B58))),CRDJ[Credit])))+(SUM(IF((GJ[Date]=$A$3)*(GJ[Ofc Code]=(TRIM(G$4)))*(GJ[Account Code]=(TRIM($B58))),GJ[Credit]))))</f>
        <v>0</v>
      </c>
      <c r="G58" s="343">
        <f t="shared" si="5"/>
        <v>0</v>
      </c>
      <c r="H58" s="246">
        <f t="shared" si="2"/>
        <v>0</v>
      </c>
      <c r="I58" s="246">
        <f t="shared" si="3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Code]=B59)*(Budget[Ofc Code]=$G$4),(Budget[Amount])))</f>
        <v>0</v>
      </c>
      <c r="D59" s="245">
        <f t="array" ref="D59">SUM(IF((Budget[Account Code]=B59)*(Budget[Ofc Code]=$G$4)*(Budget[Date]&lt;=$D$7),(Budget[Amount])))</f>
        <v>0</v>
      </c>
      <c r="E59" s="245">
        <f t="array" ref="E59">((SUM(IF((CkDJ[Ofc Code]=(TRIM(G$4)))*(CkDJ[Account Code]=(TRIM($B59)))*(CkDJ[Date]&lt;=$E$7),CkDJ[Debit])))+(SUM(IF((CsDJ[Ofc Code]=(TRIM(G$4)))*(CsDJ[Account Code]=(TRIM($B59)))*(CsDJ[Date]&lt;=$E$7),CsDJ[Debit])))+(SUM(IF((CRDJ[Ofc Code]=(TRIM(G$4)))*(CRDJ[Account Code]=(TRIM($B59)))*(CRDJ[Date]&lt;=$E$7),CRDJ[Debit])))+(SUM(IF((GJ[Ofc Code]=(TRIM(G$4)))*(GJ[Account Code]=(TRIM($B59)))*(GJ[Date]&lt;=$E$7),GJ[Debit]))))-((SUM(IF((CkDJ[Ofc Code]=(TRIM(G$4)))*(CkDJ[Account Code]=(TRIM($B59)))*(CkDJ[Date]&lt;=$E$7),CkDJ[Credit])))+(SUM(IF((CsDJ[Ofc Code]=(TRIM(G$4)))*(CsDJ[Account Code]=(TRIM($B59)))*(CsDJ[Date]&lt;=$E$7),CsDJ[Credit])))+(SUM(IF((CRDJ[Ofc Code]=(TRIM(G$4)))*(CRDJ[Account Code]=(TRIM($B59)))*(CRDJ[Date]&lt;=$E$7),CRDJ[Credit])))+(SUM(IF((GJ[Ofc Code]=(TRIM(G$4)))*(GJ[Account Code]=(TRIM($B59)))*(GJ[Date]&lt;=$E$7),GJ[Credit]))))</f>
        <v>0</v>
      </c>
      <c r="F59" s="245">
        <f t="array" ref="F59">((SUM(IF((CkDJ[Date]=$A$3)*(CkDJ[Ofc Code]=(TRIM(G$4)))*(CkDJ[Account Code]=(TRIM($B59))),CkDJ[Debit])))+(SUM(IF((CsDJ[Date]=$A$3)*(CsDJ[Ofc Code]=(TRIM(G$4)))*(CsDJ[Account Code]=(TRIM($B59))),CsDJ[Debit])))+(SUM(IF((CRDJ[Date]=$A$3)*(CRDJ[Ofc Code]=(TRIM(G$4)))*(CRDJ[Account Code]=(TRIM($B59))),CRDJ[Debit])))+(SUM(IF((GJ[Date]=$A$3)*(GJ[Ofc Code]=(TRIM(G$4)))*(GJ[Account Code]=(TRIM($B59))),GJ[Debit]))))-((SUM(IF((CkDJ[Date]=$A$3)*(CkDJ[Ofc Code]=(TRIM(G$4)))*(CkDJ[Account Code]=(TRIM($B59))),CkDJ[Credit])))+(SUM(IF((CsDJ[Date]=$A$3)*(CsDJ[Ofc Code]=(TRIM(G$4)))*(CsDJ[Account Code]=(TRIM($B59))),CsDJ[Credit])))+(SUM(IF((CRDJ[Date]=$A$3)*(CRDJ[Ofc Code]=(TRIM(G$4)))*(CRDJ[Account Code]=(TRIM($B59))),CRDJ[Credit])))+(SUM(IF((GJ[Date]=$A$3)*(GJ[Ofc Code]=(TRIM(G$4)))*(GJ[Account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Code]=B60)*(Budget[Ofc Code]=$G$4),(Budget[Amount])))</f>
        <v>0</v>
      </c>
      <c r="D60" s="245">
        <f t="array" ref="D60">SUM(IF((Budget[Account Code]=B60)*(Budget[Ofc Code]=$G$4)*(Budget[Date]&lt;=$D$7),(Budget[Amount])))</f>
        <v>0</v>
      </c>
      <c r="E60" s="245">
        <f t="array" ref="E60">((SUM(IF((CkDJ[Ofc Code]=(TRIM(G$4)))*(CkDJ[Account Code]=(TRIM($B60)))*(CkDJ[Date]&lt;=$E$7),CkDJ[Debit])))+(SUM(IF((CsDJ[Ofc Code]=(TRIM(G$4)))*(CsDJ[Account Code]=(TRIM($B60)))*(CsDJ[Date]&lt;=$E$7),CsDJ[Debit])))+(SUM(IF((CRDJ[Ofc Code]=(TRIM(G$4)))*(CRDJ[Account Code]=(TRIM($B60)))*(CRDJ[Date]&lt;=$E$7),CRDJ[Debit])))+(SUM(IF((GJ[Ofc Code]=(TRIM(G$4)))*(GJ[Account Code]=(TRIM($B60)))*(GJ[Date]&lt;=$E$7),GJ[Debit]))))-((SUM(IF((CkDJ[Ofc Code]=(TRIM(G$4)))*(CkDJ[Account Code]=(TRIM($B60)))*(CkDJ[Date]&lt;=$E$7),CkDJ[Credit])))+(SUM(IF((CsDJ[Ofc Code]=(TRIM(G$4)))*(CsDJ[Account Code]=(TRIM($B60)))*(CsDJ[Date]&lt;=$E$7),CsDJ[Credit])))+(SUM(IF((CRDJ[Ofc Code]=(TRIM(G$4)))*(CRDJ[Account Code]=(TRIM($B60)))*(CRDJ[Date]&lt;=$E$7),CRDJ[Credit])))+(SUM(IF((GJ[Ofc Code]=(TRIM(G$4)))*(GJ[Account Code]=(TRIM($B60)))*(GJ[Date]&lt;=$E$7),GJ[Credit]))))</f>
        <v>0</v>
      </c>
      <c r="F60" s="245">
        <f t="array" ref="F60">((SUM(IF((CkDJ[Date]=$A$3)*(CkDJ[Ofc Code]=(TRIM(G$4)))*(CkDJ[Account Code]=(TRIM($B60))),CkDJ[Debit])))+(SUM(IF((CsDJ[Date]=$A$3)*(CsDJ[Ofc Code]=(TRIM(G$4)))*(CsDJ[Account Code]=(TRIM($B60))),CsDJ[Debit])))+(SUM(IF((CRDJ[Date]=$A$3)*(CRDJ[Ofc Code]=(TRIM(G$4)))*(CRDJ[Account Code]=(TRIM($B60))),CRDJ[Debit])))+(SUM(IF((GJ[Date]=$A$3)*(GJ[Ofc Code]=(TRIM(G$4)))*(GJ[Account Code]=(TRIM($B60))),GJ[Debit]))))-((SUM(IF((CkDJ[Date]=$A$3)*(CkDJ[Ofc Code]=(TRIM(G$4)))*(CkDJ[Account Code]=(TRIM($B60))),CkDJ[Credit])))+(SUM(IF((CsDJ[Date]=$A$3)*(CsDJ[Ofc Code]=(TRIM(G$4)))*(CsDJ[Account Code]=(TRIM($B60))),CsDJ[Credit])))+(SUM(IF((CRDJ[Date]=$A$3)*(CRDJ[Ofc Code]=(TRIM(G$4)))*(CRDJ[Account Code]=(TRIM($B60))),CRDJ[Credit])))+(SUM(IF((GJ[Date]=$A$3)*(GJ[Ofc Code]=(TRIM(G$4)))*(GJ[Account Code]=(TRIM($B60))),GJ[Credit]))))</f>
        <v>0</v>
      </c>
      <c r="G60" s="343">
        <f t="shared" si="5"/>
        <v>0</v>
      </c>
      <c r="H60" s="246">
        <f t="shared" si="2"/>
        <v>0</v>
      </c>
      <c r="I60" s="246">
        <f t="shared" si="3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Code]=B61)*(Budget[Ofc Code]=$G$4),(Budget[Amount])))</f>
        <v>12000</v>
      </c>
      <c r="D61" s="245">
        <f t="array" ref="D61">SUM(IF((Budget[Account Code]=B61)*(Budget[Ofc Code]=$G$4)*(Budget[Date]&lt;=$D$7),(Budget[Amount])))</f>
        <v>12000</v>
      </c>
      <c r="E61" s="245">
        <f t="array" ref="E61">((SUM(IF((CkDJ[Ofc Code]=(TRIM(G$4)))*(CkDJ[Account Code]=(TRIM($B61)))*(CkDJ[Date]&lt;=$E$7),CkDJ[Debit])))+(SUM(IF((CsDJ[Ofc Code]=(TRIM(G$4)))*(CsDJ[Account Code]=(TRIM($B61)))*(CsDJ[Date]&lt;=$E$7),CsDJ[Debit])))+(SUM(IF((CRDJ[Ofc Code]=(TRIM(G$4)))*(CRDJ[Account Code]=(TRIM($B61)))*(CRDJ[Date]&lt;=$E$7),CRDJ[Debit])))+(SUM(IF((GJ[Ofc Code]=(TRIM(G$4)))*(GJ[Account Code]=(TRIM($B61)))*(GJ[Date]&lt;=$E$7),GJ[Debit]))))-((SUM(IF((CkDJ[Ofc Code]=(TRIM(G$4)))*(CkDJ[Account Code]=(TRIM($B61)))*(CkDJ[Date]&lt;=$E$7),CkDJ[Credit])))+(SUM(IF((CsDJ[Ofc Code]=(TRIM(G$4)))*(CsDJ[Account Code]=(TRIM($B61)))*(CsDJ[Date]&lt;=$E$7),CsDJ[Credit])))+(SUM(IF((CRDJ[Ofc Code]=(TRIM(G$4)))*(CRDJ[Account Code]=(TRIM($B61)))*(CRDJ[Date]&lt;=$E$7),CRDJ[Credit])))+(SUM(IF((GJ[Ofc Code]=(TRIM(G$4)))*(GJ[Account Code]=(TRIM($B61)))*(GJ[Date]&lt;=$E$7),GJ[Credit]))))</f>
        <v>0</v>
      </c>
      <c r="F61" s="245">
        <f t="array" ref="F61">((SUM(IF((CkDJ[Date]=$A$3)*(CkDJ[Ofc Code]=(TRIM(G$4)))*(CkDJ[Account Code]=(TRIM($B61))),CkDJ[Debit])))+(SUM(IF((CsDJ[Date]=$A$3)*(CsDJ[Ofc Code]=(TRIM(G$4)))*(CsDJ[Account Code]=(TRIM($B61))),CsDJ[Debit])))+(SUM(IF((CRDJ[Date]=$A$3)*(CRDJ[Ofc Code]=(TRIM(G$4)))*(CRDJ[Account Code]=(TRIM($B61))),CRDJ[Debit])))+(SUM(IF((GJ[Date]=$A$3)*(GJ[Ofc Code]=(TRIM(G$4)))*(GJ[Account Code]=(TRIM($B61))),GJ[Debit]))))-((SUM(IF((CkDJ[Date]=$A$3)*(CkDJ[Ofc Code]=(TRIM(G$4)))*(CkDJ[Account Code]=(TRIM($B61))),CkDJ[Credit])))+(SUM(IF((CsDJ[Date]=$A$3)*(CsDJ[Ofc Code]=(TRIM(G$4)))*(CsDJ[Account Code]=(TRIM($B61))),CsDJ[Credit])))+(SUM(IF((CRDJ[Date]=$A$3)*(CRDJ[Ofc Code]=(TRIM(G$4)))*(CRDJ[Account Code]=(TRIM($B61))),CRDJ[Credit])))+(SUM(IF((GJ[Date]=$A$3)*(GJ[Ofc Code]=(TRIM(G$4)))*(GJ[Account Code]=(TRIM($B61))),GJ[Credit]))))</f>
        <v>0</v>
      </c>
      <c r="G61" s="343">
        <f t="shared" si="5"/>
        <v>0</v>
      </c>
      <c r="H61" s="246">
        <f t="shared" si="2"/>
        <v>-12000</v>
      </c>
      <c r="I61" s="246">
        <f t="shared" si="3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Code]=B62)*(Budget[Ofc Code]=$G$4),(Budget[Amount])))</f>
        <v>3960</v>
      </c>
      <c r="D62" s="245">
        <f t="array" ref="D62">SUM(IF((Budget[Account Code]=B62)*(Budget[Ofc Code]=$G$4)*(Budget[Date]&lt;=$D$7),(Budget[Amount])))</f>
        <v>3960</v>
      </c>
      <c r="E62" s="245">
        <f t="array" ref="E62">((SUM(IF((CkDJ[Ofc Code]=(TRIM(G$4)))*(CkDJ[Account Code]=(TRIM($B62)))*(CkDJ[Date]&lt;=$E$7),CkDJ[Debit])))+(SUM(IF((CsDJ[Ofc Code]=(TRIM(G$4)))*(CsDJ[Account Code]=(TRIM($B62)))*(CsDJ[Date]&lt;=$E$7),CsDJ[Debit])))+(SUM(IF((CRDJ[Ofc Code]=(TRIM(G$4)))*(CRDJ[Account Code]=(TRIM($B62)))*(CRDJ[Date]&lt;=$E$7),CRDJ[Debit])))+(SUM(IF((GJ[Ofc Code]=(TRIM(G$4)))*(GJ[Account Code]=(TRIM($B62)))*(GJ[Date]&lt;=$E$7),GJ[Debit]))))-((SUM(IF((CkDJ[Ofc Code]=(TRIM(G$4)))*(CkDJ[Account Code]=(TRIM($B62)))*(CkDJ[Date]&lt;=$E$7),CkDJ[Credit])))+(SUM(IF((CsDJ[Ofc Code]=(TRIM(G$4)))*(CsDJ[Account Code]=(TRIM($B62)))*(CsDJ[Date]&lt;=$E$7),CsDJ[Credit])))+(SUM(IF((CRDJ[Ofc Code]=(TRIM(G$4)))*(CRDJ[Account Code]=(TRIM($B62)))*(CRDJ[Date]&lt;=$E$7),CRDJ[Credit])))+(SUM(IF((GJ[Ofc Code]=(TRIM(G$4)))*(GJ[Account Code]=(TRIM($B62)))*(GJ[Date]&lt;=$E$7),GJ[Credit]))))</f>
        <v>0</v>
      </c>
      <c r="F62" s="245">
        <f t="array" ref="F62">((SUM(IF((CkDJ[Date]=$A$3)*(CkDJ[Ofc Code]=(TRIM(G$4)))*(CkDJ[Account Code]=(TRIM($B62))),CkDJ[Debit])))+(SUM(IF((CsDJ[Date]=$A$3)*(CsDJ[Ofc Code]=(TRIM(G$4)))*(CsDJ[Account Code]=(TRIM($B62))),CsDJ[Debit])))+(SUM(IF((CRDJ[Date]=$A$3)*(CRDJ[Ofc Code]=(TRIM(G$4)))*(CRDJ[Account Code]=(TRIM($B62))),CRDJ[Debit])))+(SUM(IF((GJ[Date]=$A$3)*(GJ[Ofc Code]=(TRIM(G$4)))*(GJ[Account Code]=(TRIM($B62))),GJ[Debit]))))-((SUM(IF((CkDJ[Date]=$A$3)*(CkDJ[Ofc Code]=(TRIM(G$4)))*(CkDJ[Account Code]=(TRIM($B62))),CkDJ[Credit])))+(SUM(IF((CsDJ[Date]=$A$3)*(CsDJ[Ofc Code]=(TRIM(G$4)))*(CsDJ[Account Code]=(TRIM($B62))),CsDJ[Credit])))+(SUM(IF((CRDJ[Date]=$A$3)*(CRDJ[Ofc Code]=(TRIM(G$4)))*(CRDJ[Account Code]=(TRIM($B62))),CRDJ[Credit])))+(SUM(IF((GJ[Date]=$A$3)*(GJ[Ofc Code]=(TRIM(G$4)))*(GJ[Account Code]=(TRIM($B62))),GJ[Credit]))))</f>
        <v>0</v>
      </c>
      <c r="G62" s="343">
        <f t="shared" si="5"/>
        <v>0</v>
      </c>
      <c r="H62" s="246">
        <f t="shared" si="2"/>
        <v>-3960</v>
      </c>
      <c r="I62" s="246">
        <f t="shared" si="3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Code]=B63)*(Budget[Ofc Code]=$G$4),(Budget[Amount])))</f>
        <v>360</v>
      </c>
      <c r="D63" s="245">
        <f t="array" ref="D63">SUM(IF((Budget[Account Code]=B63)*(Budget[Ofc Code]=$G$4)*(Budget[Date]&lt;=$D$7),(Budget[Amount])))</f>
        <v>360</v>
      </c>
      <c r="E63" s="245">
        <f t="array" ref="E63">((SUM(IF((CkDJ[Ofc Code]=(TRIM(G$4)))*(CkDJ[Account Code]=(TRIM($B63)))*(CkDJ[Date]&lt;=$E$7),CkDJ[Debit])))+(SUM(IF((CsDJ[Ofc Code]=(TRIM(G$4)))*(CsDJ[Account Code]=(TRIM($B63)))*(CsDJ[Date]&lt;=$E$7),CsDJ[Debit])))+(SUM(IF((CRDJ[Ofc Code]=(TRIM(G$4)))*(CRDJ[Account Code]=(TRIM($B63)))*(CRDJ[Date]&lt;=$E$7),CRDJ[Debit])))+(SUM(IF((GJ[Ofc Code]=(TRIM(G$4)))*(GJ[Account Code]=(TRIM($B63)))*(GJ[Date]&lt;=$E$7),GJ[Debit]))))-((SUM(IF((CkDJ[Ofc Code]=(TRIM(G$4)))*(CkDJ[Account Code]=(TRIM($B63)))*(CkDJ[Date]&lt;=$E$7),CkDJ[Credit])))+(SUM(IF((CsDJ[Ofc Code]=(TRIM(G$4)))*(CsDJ[Account Code]=(TRIM($B63)))*(CsDJ[Date]&lt;=$E$7),CsDJ[Credit])))+(SUM(IF((CRDJ[Ofc Code]=(TRIM(G$4)))*(CRDJ[Account Code]=(TRIM($B63)))*(CRDJ[Date]&lt;=$E$7),CRDJ[Credit])))+(SUM(IF((GJ[Ofc Code]=(TRIM(G$4)))*(GJ[Account Code]=(TRIM($B63)))*(GJ[Date]&lt;=$E$7),GJ[Credit]))))</f>
        <v>0</v>
      </c>
      <c r="F63" s="245">
        <f t="array" ref="F63">((SUM(IF((CkDJ[Date]=$A$3)*(CkDJ[Ofc Code]=(TRIM(G$4)))*(CkDJ[Account Code]=(TRIM($B63))),CkDJ[Debit])))+(SUM(IF((CsDJ[Date]=$A$3)*(CsDJ[Ofc Code]=(TRIM(G$4)))*(CsDJ[Account Code]=(TRIM($B63))),CsDJ[Debit])))+(SUM(IF((CRDJ[Date]=$A$3)*(CRDJ[Ofc Code]=(TRIM(G$4)))*(CRDJ[Account Code]=(TRIM($B63))),CRDJ[Debit])))+(SUM(IF((GJ[Date]=$A$3)*(GJ[Ofc Code]=(TRIM(G$4)))*(GJ[Account Code]=(TRIM($B63))),GJ[Debit]))))-((SUM(IF((CkDJ[Date]=$A$3)*(CkDJ[Ofc Code]=(TRIM(G$4)))*(CkDJ[Account Code]=(TRIM($B63))),CkDJ[Credit])))+(SUM(IF((CsDJ[Date]=$A$3)*(CsDJ[Ofc Code]=(TRIM(G$4)))*(CsDJ[Account Code]=(TRIM($B63))),CsDJ[Credit])))+(SUM(IF((CRDJ[Date]=$A$3)*(CRDJ[Ofc Code]=(TRIM(G$4)))*(CRDJ[Account Code]=(TRIM($B63))),CRDJ[Credit])))+(SUM(IF((GJ[Date]=$A$3)*(GJ[Ofc Code]=(TRIM(G$4)))*(GJ[Account Code]=(TRIM($B63))),GJ[Credit]))))</f>
        <v>0</v>
      </c>
      <c r="G63" s="343">
        <f t="shared" si="5"/>
        <v>0</v>
      </c>
      <c r="H63" s="246">
        <f t="shared" si="2"/>
        <v>-360</v>
      </c>
      <c r="I63" s="246">
        <f t="shared" si="3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Code]=B64)*(Budget[Ofc Code]=$G$4),(Budget[Amount])))</f>
        <v>0</v>
      </c>
      <c r="D64" s="245">
        <f t="array" ref="D64">SUM(IF((Budget[Account Code]=B64)*(Budget[Ofc Code]=$G$4)*(Budget[Date]&lt;=$D$7),(Budget[Amount])))</f>
        <v>0</v>
      </c>
      <c r="E64" s="245">
        <f t="array" ref="E64">((SUM(IF((CkDJ[Ofc Code]=(TRIM(G$4)))*(CkDJ[Account Code]=(TRIM($B64)))*(CkDJ[Date]&lt;=$E$7),CkDJ[Debit])))+(SUM(IF((CsDJ[Ofc Code]=(TRIM(G$4)))*(CsDJ[Account Code]=(TRIM($B64)))*(CsDJ[Date]&lt;=$E$7),CsDJ[Debit])))+(SUM(IF((CRDJ[Ofc Code]=(TRIM(G$4)))*(CRDJ[Account Code]=(TRIM($B64)))*(CRDJ[Date]&lt;=$E$7),CRDJ[Debit])))+(SUM(IF((GJ[Ofc Code]=(TRIM(G$4)))*(GJ[Account Code]=(TRIM($B64)))*(GJ[Date]&lt;=$E$7),GJ[Debit]))))-((SUM(IF((CkDJ[Ofc Code]=(TRIM(G$4)))*(CkDJ[Account Code]=(TRIM($B64)))*(CkDJ[Date]&lt;=$E$7),CkDJ[Credit])))+(SUM(IF((CsDJ[Ofc Code]=(TRIM(G$4)))*(CsDJ[Account Code]=(TRIM($B64)))*(CsDJ[Date]&lt;=$E$7),CsDJ[Credit])))+(SUM(IF((CRDJ[Ofc Code]=(TRIM(G$4)))*(CRDJ[Account Code]=(TRIM($B64)))*(CRDJ[Date]&lt;=$E$7),CRDJ[Credit])))+(SUM(IF((GJ[Ofc Code]=(TRIM(G$4)))*(GJ[Account Code]=(TRIM($B64)))*(GJ[Date]&lt;=$E$7),GJ[Credit]))))</f>
        <v>0</v>
      </c>
      <c r="F64" s="245">
        <f t="array" ref="F64">((SUM(IF((CkDJ[Date]=$A$3)*(CkDJ[Ofc Code]=(TRIM(G$4)))*(CkDJ[Account Code]=(TRIM($B64))),CkDJ[Debit])))+(SUM(IF((CsDJ[Date]=$A$3)*(CsDJ[Ofc Code]=(TRIM(G$4)))*(CsDJ[Account Code]=(TRIM($B64))),CsDJ[Debit])))+(SUM(IF((CRDJ[Date]=$A$3)*(CRDJ[Ofc Code]=(TRIM(G$4)))*(CRDJ[Account Code]=(TRIM($B64))),CRDJ[Debit])))+(SUM(IF((GJ[Date]=$A$3)*(GJ[Ofc Code]=(TRIM(G$4)))*(GJ[Account Code]=(TRIM($B64))),GJ[Debit]))))-((SUM(IF((CkDJ[Date]=$A$3)*(CkDJ[Ofc Code]=(TRIM(G$4)))*(CkDJ[Account Code]=(TRIM($B64))),CkDJ[Credit])))+(SUM(IF((CsDJ[Date]=$A$3)*(CsDJ[Ofc Code]=(TRIM(G$4)))*(CsDJ[Account Code]=(TRIM($B64))),CsDJ[Credit])))+(SUM(IF((CRDJ[Date]=$A$3)*(CRDJ[Ofc Code]=(TRIM(G$4)))*(CRDJ[Account Code]=(TRIM($B64))),CRDJ[Credit])))+(SUM(IF((GJ[Date]=$A$3)*(GJ[Ofc Code]=(TRIM(G$4)))*(GJ[Account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Code]=B65)*(Budget[Ofc Code]=$G$4),(Budget[Amount])))</f>
        <v>0</v>
      </c>
      <c r="D65" s="245">
        <f t="array" ref="D65">SUM(IF((Budget[Account Code]=B65)*(Budget[Ofc Code]=$G$4)*(Budget[Date]&lt;=$D$7),(Budget[Amount])))</f>
        <v>0</v>
      </c>
      <c r="E65" s="245">
        <f t="array" ref="E65">((SUM(IF((CkDJ[Ofc Code]=(TRIM(G$4)))*(CkDJ[Account Code]=(TRIM($B65)))*(CkDJ[Date]&lt;=$E$7),CkDJ[Debit])))+(SUM(IF((CsDJ[Ofc Code]=(TRIM(G$4)))*(CsDJ[Account Code]=(TRIM($B65)))*(CsDJ[Date]&lt;=$E$7),CsDJ[Debit])))+(SUM(IF((CRDJ[Ofc Code]=(TRIM(G$4)))*(CRDJ[Account Code]=(TRIM($B65)))*(CRDJ[Date]&lt;=$E$7),CRDJ[Debit])))+(SUM(IF((GJ[Ofc Code]=(TRIM(G$4)))*(GJ[Account Code]=(TRIM($B65)))*(GJ[Date]&lt;=$E$7),GJ[Debit]))))-((SUM(IF((CkDJ[Ofc Code]=(TRIM(G$4)))*(CkDJ[Account Code]=(TRIM($B65)))*(CkDJ[Date]&lt;=$E$7),CkDJ[Credit])))+(SUM(IF((CsDJ[Ofc Code]=(TRIM(G$4)))*(CsDJ[Account Code]=(TRIM($B65)))*(CsDJ[Date]&lt;=$E$7),CsDJ[Credit])))+(SUM(IF((CRDJ[Ofc Code]=(TRIM(G$4)))*(CRDJ[Account Code]=(TRIM($B65)))*(CRDJ[Date]&lt;=$E$7),CRDJ[Credit])))+(SUM(IF((GJ[Ofc Code]=(TRIM(G$4)))*(GJ[Account Code]=(TRIM($B65)))*(GJ[Date]&lt;=$E$7),GJ[Credit]))))</f>
        <v>0</v>
      </c>
      <c r="F65" s="245">
        <f t="array" ref="F65">((SUM(IF((CkDJ[Date]=$A$3)*(CkDJ[Ofc Code]=(TRIM(G$4)))*(CkDJ[Account Code]=(TRIM($B65))),CkDJ[Debit])))+(SUM(IF((CsDJ[Date]=$A$3)*(CsDJ[Ofc Code]=(TRIM(G$4)))*(CsDJ[Account Code]=(TRIM($B65))),CsDJ[Debit])))+(SUM(IF((CRDJ[Date]=$A$3)*(CRDJ[Ofc Code]=(TRIM(G$4)))*(CRDJ[Account Code]=(TRIM($B65))),CRDJ[Debit])))+(SUM(IF((GJ[Date]=$A$3)*(GJ[Ofc Code]=(TRIM(G$4)))*(GJ[Account Code]=(TRIM($B65))),GJ[Debit]))))-((SUM(IF((CkDJ[Date]=$A$3)*(CkDJ[Ofc Code]=(TRIM(G$4)))*(CkDJ[Account Code]=(TRIM($B65))),CkDJ[Credit])))+(SUM(IF((CsDJ[Date]=$A$3)*(CsDJ[Ofc Code]=(TRIM(G$4)))*(CsDJ[Account Code]=(TRIM($B65))),CsDJ[Credit])))+(SUM(IF((CRDJ[Date]=$A$3)*(CRDJ[Ofc Code]=(TRIM(G$4)))*(CRDJ[Account Code]=(TRIM($B65))),CRDJ[Credit])))+(SUM(IF((GJ[Date]=$A$3)*(GJ[Ofc Code]=(TRIM(G$4)))*(GJ[Account Code]=(TRIM($B65))),GJ[Credit]))))</f>
        <v>0</v>
      </c>
      <c r="G65" s="343">
        <f t="shared" si="5"/>
        <v>0</v>
      </c>
      <c r="H65" s="246">
        <f t="shared" si="2"/>
        <v>0</v>
      </c>
      <c r="I65" s="246">
        <f t="shared" si="3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Code]=B66)*(Budget[Ofc Code]=$G$4),(Budget[Amount])))</f>
        <v>0</v>
      </c>
      <c r="D66" s="245">
        <f t="array" ref="D66">SUM(IF((Budget[Account Code]=B66)*(Budget[Ofc Code]=$G$4)*(Budget[Date]&lt;=$D$7),(Budget[Amount])))</f>
        <v>0</v>
      </c>
      <c r="E66" s="245">
        <f t="array" ref="E66">((SUM(IF((CkDJ[Ofc Code]=(TRIM(G$4)))*(CkDJ[Account Code]=(TRIM($B66)))*(CkDJ[Date]&lt;=$E$7),CkDJ[Debit])))+(SUM(IF((CsDJ[Ofc Code]=(TRIM(G$4)))*(CsDJ[Account Code]=(TRIM($B66)))*(CsDJ[Date]&lt;=$E$7),CsDJ[Debit])))+(SUM(IF((CRDJ[Ofc Code]=(TRIM(G$4)))*(CRDJ[Account Code]=(TRIM($B66)))*(CRDJ[Date]&lt;=$E$7),CRDJ[Debit])))+(SUM(IF((GJ[Ofc Code]=(TRIM(G$4)))*(GJ[Account Code]=(TRIM($B66)))*(GJ[Date]&lt;=$E$7),GJ[Debit]))))-((SUM(IF((CkDJ[Ofc Code]=(TRIM(G$4)))*(CkDJ[Account Code]=(TRIM($B66)))*(CkDJ[Date]&lt;=$E$7),CkDJ[Credit])))+(SUM(IF((CsDJ[Ofc Code]=(TRIM(G$4)))*(CsDJ[Account Code]=(TRIM($B66)))*(CsDJ[Date]&lt;=$E$7),CsDJ[Credit])))+(SUM(IF((CRDJ[Ofc Code]=(TRIM(G$4)))*(CRDJ[Account Code]=(TRIM($B66)))*(CRDJ[Date]&lt;=$E$7),CRDJ[Credit])))+(SUM(IF((GJ[Ofc Code]=(TRIM(G$4)))*(GJ[Account Code]=(TRIM($B66)))*(GJ[Date]&lt;=$E$7),GJ[Credit]))))</f>
        <v>0</v>
      </c>
      <c r="F66" s="245">
        <f t="array" ref="F66">((SUM(IF((CkDJ[Date]=$A$3)*(CkDJ[Ofc Code]=(TRIM(G$4)))*(CkDJ[Account Code]=(TRIM($B66))),CkDJ[Debit])))+(SUM(IF((CsDJ[Date]=$A$3)*(CsDJ[Ofc Code]=(TRIM(G$4)))*(CsDJ[Account Code]=(TRIM($B66))),CsDJ[Debit])))+(SUM(IF((CRDJ[Date]=$A$3)*(CRDJ[Ofc Code]=(TRIM(G$4)))*(CRDJ[Account Code]=(TRIM($B66))),CRDJ[Debit])))+(SUM(IF((GJ[Date]=$A$3)*(GJ[Ofc Code]=(TRIM(G$4)))*(GJ[Account Code]=(TRIM($B66))),GJ[Debit]))))-((SUM(IF((CkDJ[Date]=$A$3)*(CkDJ[Ofc Code]=(TRIM(G$4)))*(CkDJ[Account Code]=(TRIM($B66))),CkDJ[Credit])))+(SUM(IF((CsDJ[Date]=$A$3)*(CsDJ[Ofc Code]=(TRIM(G$4)))*(CsDJ[Account Code]=(TRIM($B66))),CsDJ[Credit])))+(SUM(IF((CRDJ[Date]=$A$3)*(CRDJ[Ofc Code]=(TRIM(G$4)))*(CRDJ[Account Code]=(TRIM($B66))),CRDJ[Credit])))+(SUM(IF((GJ[Date]=$A$3)*(GJ[Ofc Code]=(TRIM(G$4)))*(GJ[Account Code]=(TRIM($B66))),GJ[Credit]))))</f>
        <v>0</v>
      </c>
      <c r="G66" s="343">
        <f t="shared" si="5"/>
        <v>0</v>
      </c>
      <c r="H66" s="246">
        <f t="shared" si="2"/>
        <v>0</v>
      </c>
      <c r="I66" s="246">
        <f t="shared" si="3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Code]=B67)*(Budget[Ofc Code]=$G$4),(Budget[Amount])))</f>
        <v>90000</v>
      </c>
      <c r="D67" s="245">
        <f t="array" ref="D67">SUM(IF((Budget[Account Code]=B67)*(Budget[Ofc Code]=$G$4)*(Budget[Date]&lt;=$D$7),(Budget[Amount])))</f>
        <v>90000</v>
      </c>
      <c r="E67" s="245">
        <f t="array" ref="E67">((SUM(IF((CkDJ[Ofc Code]=(TRIM(G$4)))*(CkDJ[Account Code]=(TRIM($B67)))*(CkDJ[Date]&lt;=$E$7),CkDJ[Debit])))+(SUM(IF((CsDJ[Ofc Code]=(TRIM(G$4)))*(CsDJ[Account Code]=(TRIM($B67)))*(CsDJ[Date]&lt;=$E$7),CsDJ[Debit])))+(SUM(IF((CRDJ[Ofc Code]=(TRIM(G$4)))*(CRDJ[Account Code]=(TRIM($B67)))*(CRDJ[Date]&lt;=$E$7),CRDJ[Debit])))+(SUM(IF((GJ[Ofc Code]=(TRIM(G$4)))*(GJ[Account Code]=(TRIM($B67)))*(GJ[Date]&lt;=$E$7),GJ[Debit]))))-((SUM(IF((CkDJ[Ofc Code]=(TRIM(G$4)))*(CkDJ[Account Code]=(TRIM($B67)))*(CkDJ[Date]&lt;=$E$7),CkDJ[Credit])))+(SUM(IF((CsDJ[Ofc Code]=(TRIM(G$4)))*(CsDJ[Account Code]=(TRIM($B67)))*(CsDJ[Date]&lt;=$E$7),CsDJ[Credit])))+(SUM(IF((CRDJ[Ofc Code]=(TRIM(G$4)))*(CRDJ[Account Code]=(TRIM($B67)))*(CRDJ[Date]&lt;=$E$7),CRDJ[Credit])))+(SUM(IF((GJ[Ofc Code]=(TRIM(G$4)))*(GJ[Account Code]=(TRIM($B67)))*(GJ[Date]&lt;=$E$7),GJ[Credit]))))</f>
        <v>0</v>
      </c>
      <c r="F67" s="245">
        <f t="array" ref="F67">((SUM(IF((CkDJ[Date]=$A$3)*(CkDJ[Ofc Code]=(TRIM(G$4)))*(CkDJ[Account Code]=(TRIM($B67))),CkDJ[Debit])))+(SUM(IF((CsDJ[Date]=$A$3)*(CsDJ[Ofc Code]=(TRIM(G$4)))*(CsDJ[Account Code]=(TRIM($B67))),CsDJ[Debit])))+(SUM(IF((CRDJ[Date]=$A$3)*(CRDJ[Ofc Code]=(TRIM(G$4)))*(CRDJ[Account Code]=(TRIM($B67))),CRDJ[Debit])))+(SUM(IF((GJ[Date]=$A$3)*(GJ[Ofc Code]=(TRIM(G$4)))*(GJ[Account Code]=(TRIM($B67))),GJ[Debit]))))-((SUM(IF((CkDJ[Date]=$A$3)*(CkDJ[Ofc Code]=(TRIM(G$4)))*(CkDJ[Account Code]=(TRIM($B67))),CkDJ[Credit])))+(SUM(IF((CsDJ[Date]=$A$3)*(CsDJ[Ofc Code]=(TRIM(G$4)))*(CsDJ[Account Code]=(TRIM($B67))),CsDJ[Credit])))+(SUM(IF((CRDJ[Date]=$A$3)*(CRDJ[Ofc Code]=(TRIM(G$4)))*(CRDJ[Account Code]=(TRIM($B67))),CRDJ[Credit])))+(SUM(IF((GJ[Date]=$A$3)*(GJ[Ofc Code]=(TRIM(G$4)))*(GJ[Account Code]=(TRIM($B67))),GJ[Credit]))))</f>
        <v>0</v>
      </c>
      <c r="G67" s="343">
        <f t="shared" si="5"/>
        <v>0</v>
      </c>
      <c r="H67" s="246">
        <f t="shared" si="2"/>
        <v>-90000</v>
      </c>
      <c r="I67" s="246">
        <f t="shared" si="3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Code]=B68)*(Budget[Ofc Code]=$G$4),(Budget[Amount])))</f>
        <v>774554</v>
      </c>
      <c r="D68" s="245">
        <f t="array" ref="D68">SUM(IF((Budget[Account Code]=B68)*(Budget[Ofc Code]=$G$4)*(Budget[Date]&lt;=$D$7),(Budget[Amount])))</f>
        <v>774554</v>
      </c>
      <c r="E68" s="245">
        <f t="array" ref="E68">((SUM(IF((CkDJ[Ofc Code]=(TRIM(G$4)))*(CkDJ[Account Code]=(TRIM($B68)))*(CkDJ[Date]&lt;=$E$7),CkDJ[Debit])))+(SUM(IF((CsDJ[Ofc Code]=(TRIM(G$4)))*(CsDJ[Account Code]=(TRIM($B68)))*(CsDJ[Date]&lt;=$E$7),CsDJ[Debit])))+(SUM(IF((CRDJ[Ofc Code]=(TRIM(G$4)))*(CRDJ[Account Code]=(TRIM($B68)))*(CRDJ[Date]&lt;=$E$7),CRDJ[Debit])))+(SUM(IF((GJ[Ofc Code]=(TRIM(G$4)))*(GJ[Account Code]=(TRIM($B68)))*(GJ[Date]&lt;=$E$7),GJ[Debit]))))-((SUM(IF((CkDJ[Ofc Code]=(TRIM(G$4)))*(CkDJ[Account Code]=(TRIM($B68)))*(CkDJ[Date]&lt;=$E$7),CkDJ[Credit])))+(SUM(IF((CsDJ[Ofc Code]=(TRIM(G$4)))*(CsDJ[Account Code]=(TRIM($B68)))*(CsDJ[Date]&lt;=$E$7),CsDJ[Credit])))+(SUM(IF((CRDJ[Ofc Code]=(TRIM(G$4)))*(CRDJ[Account Code]=(TRIM($B68)))*(CRDJ[Date]&lt;=$E$7),CRDJ[Credit])))+(SUM(IF((GJ[Ofc Code]=(TRIM(G$4)))*(GJ[Account Code]=(TRIM($B68)))*(GJ[Date]&lt;=$E$7),GJ[Credit]))))</f>
        <v>0</v>
      </c>
      <c r="F68" s="245">
        <f t="array" ref="F68">((SUM(IF((CkDJ[Date]=$A$3)*(CkDJ[Ofc Code]=(TRIM(G$4)))*(CkDJ[Account Code]=(TRIM($B68))),CkDJ[Debit])))+(SUM(IF((CsDJ[Date]=$A$3)*(CsDJ[Ofc Code]=(TRIM(G$4)))*(CsDJ[Account Code]=(TRIM($B68))),CsDJ[Debit])))+(SUM(IF((CRDJ[Date]=$A$3)*(CRDJ[Ofc Code]=(TRIM(G$4)))*(CRDJ[Account Code]=(TRIM($B68))),CRDJ[Debit])))+(SUM(IF((GJ[Date]=$A$3)*(GJ[Ofc Code]=(TRIM(G$4)))*(GJ[Account Code]=(TRIM($B68))),GJ[Debit]))))-((SUM(IF((CkDJ[Date]=$A$3)*(CkDJ[Ofc Code]=(TRIM(G$4)))*(CkDJ[Account Code]=(TRIM($B68))),CkDJ[Credit])))+(SUM(IF((CsDJ[Date]=$A$3)*(CsDJ[Ofc Code]=(TRIM(G$4)))*(CsDJ[Account Code]=(TRIM($B68))),CsDJ[Credit])))+(SUM(IF((CRDJ[Date]=$A$3)*(CRDJ[Ofc Code]=(TRIM(G$4)))*(CRDJ[Account Code]=(TRIM($B68))),CRDJ[Credit])))+(SUM(IF((GJ[Date]=$A$3)*(GJ[Ofc Code]=(TRIM(G$4)))*(GJ[Account Code]=(TRIM($B68))),GJ[Credit]))))</f>
        <v>0</v>
      </c>
      <c r="G68" s="343">
        <f t="shared" si="5"/>
        <v>0</v>
      </c>
      <c r="H68" s="246">
        <f t="shared" si="2"/>
        <v>-774554</v>
      </c>
      <c r="I68" s="246">
        <f t="shared" si="3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Code]=B69)*(Budget[Ofc Code]=$G$4),(Budget[Amount])))</f>
        <v>557678.88</v>
      </c>
      <c r="D69" s="245">
        <f t="array" ref="D69">SUM(IF((Budget[Account Code]=B69)*(Budget[Ofc Code]=$G$4)*(Budget[Date]&lt;=$D$7),(Budget[Amount])))</f>
        <v>557678.88</v>
      </c>
      <c r="E69" s="245">
        <f t="array" ref="E69">((SUM(IF((CkDJ[Ofc Code]=(TRIM(G$4)))*(CkDJ[Account Code]=(TRIM($B69)))*(CkDJ[Date]&lt;=$E$7),CkDJ[Debit])))+(SUM(IF((CsDJ[Ofc Code]=(TRIM(G$4)))*(CsDJ[Account Code]=(TRIM($B69)))*(CsDJ[Date]&lt;=$E$7),CsDJ[Debit])))+(SUM(IF((CRDJ[Ofc Code]=(TRIM(G$4)))*(CRDJ[Account Code]=(TRIM($B69)))*(CRDJ[Date]&lt;=$E$7),CRDJ[Debit])))+(SUM(IF((GJ[Ofc Code]=(TRIM(G$4)))*(GJ[Account Code]=(TRIM($B69)))*(GJ[Date]&lt;=$E$7),GJ[Debit]))))-((SUM(IF((CkDJ[Ofc Code]=(TRIM(G$4)))*(CkDJ[Account Code]=(TRIM($B69)))*(CkDJ[Date]&lt;=$E$7),CkDJ[Credit])))+(SUM(IF((CsDJ[Ofc Code]=(TRIM(G$4)))*(CsDJ[Account Code]=(TRIM($B69)))*(CsDJ[Date]&lt;=$E$7),CsDJ[Credit])))+(SUM(IF((CRDJ[Ofc Code]=(TRIM(G$4)))*(CRDJ[Account Code]=(TRIM($B69)))*(CRDJ[Date]&lt;=$E$7),CRDJ[Credit])))+(SUM(IF((GJ[Ofc Code]=(TRIM(G$4)))*(GJ[Account Code]=(TRIM($B69)))*(GJ[Date]&lt;=$E$7),GJ[Credit]))))</f>
        <v>0</v>
      </c>
      <c r="F69" s="245">
        <f t="array" ref="F69">((SUM(IF((CkDJ[Date]=$A$3)*(CkDJ[Ofc Code]=(TRIM(G$4)))*(CkDJ[Account Code]=(TRIM($B69))),CkDJ[Debit])))+(SUM(IF((CsDJ[Date]=$A$3)*(CsDJ[Ofc Code]=(TRIM(G$4)))*(CsDJ[Account Code]=(TRIM($B69))),CsDJ[Debit])))+(SUM(IF((CRDJ[Date]=$A$3)*(CRDJ[Ofc Code]=(TRIM(G$4)))*(CRDJ[Account Code]=(TRIM($B69))),CRDJ[Debit])))+(SUM(IF((GJ[Date]=$A$3)*(GJ[Ofc Code]=(TRIM(G$4)))*(GJ[Account Code]=(TRIM($B69))),GJ[Debit]))))-((SUM(IF((CkDJ[Date]=$A$3)*(CkDJ[Ofc Code]=(TRIM(G$4)))*(CkDJ[Account Code]=(TRIM($B69))),CkDJ[Credit])))+(SUM(IF((CsDJ[Date]=$A$3)*(CsDJ[Ofc Code]=(TRIM(G$4)))*(CsDJ[Account Code]=(TRIM($B69))),CsDJ[Credit])))+(SUM(IF((CRDJ[Date]=$A$3)*(CRDJ[Ofc Code]=(TRIM(G$4)))*(CRDJ[Account Code]=(TRIM($B69))),CRDJ[Credit])))+(SUM(IF((GJ[Date]=$A$3)*(GJ[Ofc Code]=(TRIM(G$4)))*(GJ[Account Code]=(TRIM($B69))),GJ[Credit]))))</f>
        <v>0</v>
      </c>
      <c r="G69" s="343">
        <f t="shared" si="5"/>
        <v>0</v>
      </c>
      <c r="H69" s="246">
        <f t="shared" si="2"/>
        <v>-557678.88</v>
      </c>
      <c r="I69" s="246">
        <f t="shared" si="3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Code]=B70)*(Budget[Ofc Code]=$G$4),(Budget[Amount])))</f>
        <v>21600</v>
      </c>
      <c r="D70" s="245">
        <f t="array" ref="D70">SUM(IF((Budget[Account Code]=B70)*(Budget[Ofc Code]=$G$4)*(Budget[Date]&lt;=$D$7),(Budget[Amount])))</f>
        <v>21600</v>
      </c>
      <c r="E70" s="245">
        <f t="array" ref="E70">((SUM(IF((CkDJ[Ofc Code]=(TRIM(G$4)))*(CkDJ[Account Code]=(TRIM($B70)))*(CkDJ[Date]&lt;=$E$7),CkDJ[Debit])))+(SUM(IF((CsDJ[Ofc Code]=(TRIM(G$4)))*(CsDJ[Account Code]=(TRIM($B70)))*(CsDJ[Date]&lt;=$E$7),CsDJ[Debit])))+(SUM(IF((CRDJ[Ofc Code]=(TRIM(G$4)))*(CRDJ[Account Code]=(TRIM($B70)))*(CRDJ[Date]&lt;=$E$7),CRDJ[Debit])))+(SUM(IF((GJ[Ofc Code]=(TRIM(G$4)))*(GJ[Account Code]=(TRIM($B70)))*(GJ[Date]&lt;=$E$7),GJ[Debit]))))-((SUM(IF((CkDJ[Ofc Code]=(TRIM(G$4)))*(CkDJ[Account Code]=(TRIM($B70)))*(CkDJ[Date]&lt;=$E$7),CkDJ[Credit])))+(SUM(IF((CsDJ[Ofc Code]=(TRIM(G$4)))*(CsDJ[Account Code]=(TRIM($B70)))*(CsDJ[Date]&lt;=$E$7),CsDJ[Credit])))+(SUM(IF((CRDJ[Ofc Code]=(TRIM(G$4)))*(CRDJ[Account Code]=(TRIM($B70)))*(CRDJ[Date]&lt;=$E$7),CRDJ[Credit])))+(SUM(IF((GJ[Ofc Code]=(TRIM(G$4)))*(GJ[Account Code]=(TRIM($B70)))*(GJ[Date]&lt;=$E$7),GJ[Credit]))))</f>
        <v>0</v>
      </c>
      <c r="F70" s="245">
        <f t="array" ref="F70">((SUM(IF((CkDJ[Date]=$A$3)*(CkDJ[Ofc Code]=(TRIM(G$4)))*(CkDJ[Account Code]=(TRIM($B70))),CkDJ[Debit])))+(SUM(IF((CsDJ[Date]=$A$3)*(CsDJ[Ofc Code]=(TRIM(G$4)))*(CsDJ[Account Code]=(TRIM($B70))),CsDJ[Debit])))+(SUM(IF((CRDJ[Date]=$A$3)*(CRDJ[Ofc Code]=(TRIM(G$4)))*(CRDJ[Account Code]=(TRIM($B70))),CRDJ[Debit])))+(SUM(IF((GJ[Date]=$A$3)*(GJ[Ofc Code]=(TRIM(G$4)))*(GJ[Account Code]=(TRIM($B70))),GJ[Debit]))))-((SUM(IF((CkDJ[Date]=$A$3)*(CkDJ[Ofc Code]=(TRIM(G$4)))*(CkDJ[Account Code]=(TRIM($B70))),CkDJ[Credit])))+(SUM(IF((CsDJ[Date]=$A$3)*(CsDJ[Ofc Code]=(TRIM(G$4)))*(CsDJ[Account Code]=(TRIM($B70))),CsDJ[Credit])))+(SUM(IF((CRDJ[Date]=$A$3)*(CRDJ[Ofc Code]=(TRIM(G$4)))*(CRDJ[Account Code]=(TRIM($B70))),CRDJ[Credit])))+(SUM(IF((GJ[Date]=$A$3)*(GJ[Ofc Code]=(TRIM(G$4)))*(GJ[Account Code]=(TRIM($B70))),GJ[Credit]))))</f>
        <v>0</v>
      </c>
      <c r="G70" s="343">
        <f t="shared" si="5"/>
        <v>0</v>
      </c>
      <c r="H70" s="246">
        <f t="shared" si="2"/>
        <v>-21600</v>
      </c>
      <c r="I70" s="246">
        <f t="shared" si="3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Code]=B71)*(Budget[Ofc Code]=$G$4),(Budget[Amount])))</f>
        <v>54450</v>
      </c>
      <c r="D71" s="245">
        <f t="array" ref="D71">SUM(IF((Budget[Account Code]=B71)*(Budget[Ofc Code]=$G$4)*(Budget[Date]&lt;=$D$7),(Budget[Amount])))</f>
        <v>54450</v>
      </c>
      <c r="E71" s="245">
        <f t="array" ref="E71">((SUM(IF((CkDJ[Ofc Code]=(TRIM(G$4)))*(CkDJ[Account Code]=(TRIM($B71)))*(CkDJ[Date]&lt;=$E$7),CkDJ[Debit])))+(SUM(IF((CsDJ[Ofc Code]=(TRIM(G$4)))*(CsDJ[Account Code]=(TRIM($B71)))*(CsDJ[Date]&lt;=$E$7),CsDJ[Debit])))+(SUM(IF((CRDJ[Ofc Code]=(TRIM(G$4)))*(CRDJ[Account Code]=(TRIM($B71)))*(CRDJ[Date]&lt;=$E$7),CRDJ[Debit])))+(SUM(IF((GJ[Ofc Code]=(TRIM(G$4)))*(GJ[Account Code]=(TRIM($B71)))*(GJ[Date]&lt;=$E$7),GJ[Debit]))))-((SUM(IF((CkDJ[Ofc Code]=(TRIM(G$4)))*(CkDJ[Account Code]=(TRIM($B71)))*(CkDJ[Date]&lt;=$E$7),CkDJ[Credit])))+(SUM(IF((CsDJ[Ofc Code]=(TRIM(G$4)))*(CsDJ[Account Code]=(TRIM($B71)))*(CsDJ[Date]&lt;=$E$7),CsDJ[Credit])))+(SUM(IF((CRDJ[Ofc Code]=(TRIM(G$4)))*(CRDJ[Account Code]=(TRIM($B71)))*(CRDJ[Date]&lt;=$E$7),CRDJ[Credit])))+(SUM(IF((GJ[Ofc Code]=(TRIM(G$4)))*(GJ[Account Code]=(TRIM($B71)))*(GJ[Date]&lt;=$E$7),GJ[Credit]))))</f>
        <v>0</v>
      </c>
      <c r="F71" s="245">
        <f t="array" ref="F71">((SUM(IF((CkDJ[Date]=$A$3)*(CkDJ[Ofc Code]=(TRIM(G$4)))*(CkDJ[Account Code]=(TRIM($B71))),CkDJ[Debit])))+(SUM(IF((CsDJ[Date]=$A$3)*(CsDJ[Ofc Code]=(TRIM(G$4)))*(CsDJ[Account Code]=(TRIM($B71))),CsDJ[Debit])))+(SUM(IF((CRDJ[Date]=$A$3)*(CRDJ[Ofc Code]=(TRIM(G$4)))*(CRDJ[Account Code]=(TRIM($B71))),CRDJ[Debit])))+(SUM(IF((GJ[Date]=$A$3)*(GJ[Ofc Code]=(TRIM(G$4)))*(GJ[Account Code]=(TRIM($B71))),GJ[Debit]))))-((SUM(IF((CkDJ[Date]=$A$3)*(CkDJ[Ofc Code]=(TRIM(G$4)))*(CkDJ[Account Code]=(TRIM($B71))),CkDJ[Credit])))+(SUM(IF((CsDJ[Date]=$A$3)*(CsDJ[Ofc Code]=(TRIM(G$4)))*(CsDJ[Account Code]=(TRIM($B71))),CsDJ[Credit])))+(SUM(IF((CRDJ[Date]=$A$3)*(CRDJ[Ofc Code]=(TRIM(G$4)))*(CRDJ[Account Code]=(TRIM($B71))),CRDJ[Credit])))+(SUM(IF((GJ[Date]=$A$3)*(GJ[Ofc Code]=(TRIM(G$4)))*(GJ[Account Code]=(TRIM($B71))),GJ[Credit]))))</f>
        <v>0</v>
      </c>
      <c r="G71" s="343">
        <f t="shared" si="5"/>
        <v>0</v>
      </c>
      <c r="H71" s="246">
        <f t="shared" si="2"/>
        <v>-54450</v>
      </c>
      <c r="I71" s="246">
        <f t="shared" si="3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Code]=B72)*(Budget[Ofc Code]=$G$4),(Budget[Amount])))</f>
        <v>21600</v>
      </c>
      <c r="D72" s="245">
        <f t="array" ref="D72">SUM(IF((Budget[Account Code]=B72)*(Budget[Ofc Code]=$G$4)*(Budget[Date]&lt;=$D$7),(Budget[Amount])))</f>
        <v>21600</v>
      </c>
      <c r="E72" s="245">
        <f t="array" ref="E72">((SUM(IF((CkDJ[Ofc Code]=(TRIM(G$4)))*(CkDJ[Account Code]=(TRIM($B72)))*(CkDJ[Date]&lt;=$E$7),CkDJ[Debit])))+(SUM(IF((CsDJ[Ofc Code]=(TRIM(G$4)))*(CsDJ[Account Code]=(TRIM($B72)))*(CsDJ[Date]&lt;=$E$7),CsDJ[Debit])))+(SUM(IF((CRDJ[Ofc Code]=(TRIM(G$4)))*(CRDJ[Account Code]=(TRIM($B72)))*(CRDJ[Date]&lt;=$E$7),CRDJ[Debit])))+(SUM(IF((GJ[Ofc Code]=(TRIM(G$4)))*(GJ[Account Code]=(TRIM($B72)))*(GJ[Date]&lt;=$E$7),GJ[Debit]))))-((SUM(IF((CkDJ[Ofc Code]=(TRIM(G$4)))*(CkDJ[Account Code]=(TRIM($B72)))*(CkDJ[Date]&lt;=$E$7),CkDJ[Credit])))+(SUM(IF((CsDJ[Ofc Code]=(TRIM(G$4)))*(CsDJ[Account Code]=(TRIM($B72)))*(CsDJ[Date]&lt;=$E$7),CsDJ[Credit])))+(SUM(IF((CRDJ[Ofc Code]=(TRIM(G$4)))*(CRDJ[Account Code]=(TRIM($B72)))*(CRDJ[Date]&lt;=$E$7),CRDJ[Credit])))+(SUM(IF((GJ[Ofc Code]=(TRIM(G$4)))*(GJ[Account Code]=(TRIM($B72)))*(GJ[Date]&lt;=$E$7),GJ[Credit]))))</f>
        <v>0</v>
      </c>
      <c r="F72" s="245">
        <f t="array" ref="F72">((SUM(IF((CkDJ[Date]=$A$3)*(CkDJ[Ofc Code]=(TRIM(G$4)))*(CkDJ[Account Code]=(TRIM($B72))),CkDJ[Debit])))+(SUM(IF((CsDJ[Date]=$A$3)*(CsDJ[Ofc Code]=(TRIM(G$4)))*(CsDJ[Account Code]=(TRIM($B72))),CsDJ[Debit])))+(SUM(IF((CRDJ[Date]=$A$3)*(CRDJ[Ofc Code]=(TRIM(G$4)))*(CRDJ[Account Code]=(TRIM($B72))),CRDJ[Debit])))+(SUM(IF((GJ[Date]=$A$3)*(GJ[Ofc Code]=(TRIM(G$4)))*(GJ[Account Code]=(TRIM($B72))),GJ[Debit]))))-((SUM(IF((CkDJ[Date]=$A$3)*(CkDJ[Ofc Code]=(TRIM(G$4)))*(CkDJ[Account Code]=(TRIM($B72))),CkDJ[Credit])))+(SUM(IF((CsDJ[Date]=$A$3)*(CsDJ[Ofc Code]=(TRIM(G$4)))*(CsDJ[Account Code]=(TRIM($B72))),CsDJ[Credit])))+(SUM(IF((CRDJ[Date]=$A$3)*(CRDJ[Ofc Code]=(TRIM(G$4)))*(CRDJ[Account Code]=(TRIM($B72))),CRDJ[Credit])))+(SUM(IF((GJ[Date]=$A$3)*(GJ[Ofc Code]=(TRIM(G$4)))*(GJ[Account Code]=(TRIM($B72))),GJ[Credit]))))</f>
        <v>0</v>
      </c>
      <c r="G72" s="343">
        <f t="shared" si="5"/>
        <v>0</v>
      </c>
      <c r="H72" s="246">
        <f t="shared" si="2"/>
        <v>-21600</v>
      </c>
      <c r="I72" s="246">
        <f t="shared" si="3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Code]=B73)*(Budget[Ofc Code]=$G$4),(Budget[Amount])))</f>
        <v>0</v>
      </c>
      <c r="D73" s="245">
        <f t="array" ref="D73">SUM(IF((Budget[Account Code]=B73)*(Budget[Ofc Code]=$G$4)*(Budget[Date]&lt;=$D$7),(Budget[Amount])))</f>
        <v>0</v>
      </c>
      <c r="E73" s="245">
        <f t="array" ref="E73">((SUM(IF((CkDJ[Ofc Code]=(TRIM(G$4)))*(CkDJ[Account Code]=(TRIM($B73)))*(CkDJ[Date]&lt;=$E$7),CkDJ[Debit])))+(SUM(IF((CsDJ[Ofc Code]=(TRIM(G$4)))*(CsDJ[Account Code]=(TRIM($B73)))*(CsDJ[Date]&lt;=$E$7),CsDJ[Debit])))+(SUM(IF((CRDJ[Ofc Code]=(TRIM(G$4)))*(CRDJ[Account Code]=(TRIM($B73)))*(CRDJ[Date]&lt;=$E$7),CRDJ[Debit])))+(SUM(IF((GJ[Ofc Code]=(TRIM(G$4)))*(GJ[Account Code]=(TRIM($B73)))*(GJ[Date]&lt;=$E$7),GJ[Debit]))))-((SUM(IF((CkDJ[Ofc Code]=(TRIM(G$4)))*(CkDJ[Account Code]=(TRIM($B73)))*(CkDJ[Date]&lt;=$E$7),CkDJ[Credit])))+(SUM(IF((CsDJ[Ofc Code]=(TRIM(G$4)))*(CsDJ[Account Code]=(TRIM($B73)))*(CsDJ[Date]&lt;=$E$7),CsDJ[Credit])))+(SUM(IF((CRDJ[Ofc Code]=(TRIM(G$4)))*(CRDJ[Account Code]=(TRIM($B73)))*(CRDJ[Date]&lt;=$E$7),CRDJ[Credit])))+(SUM(IF((GJ[Ofc Code]=(TRIM(G$4)))*(GJ[Account Code]=(TRIM($B73)))*(GJ[Date]&lt;=$E$7),GJ[Credit]))))</f>
        <v>0</v>
      </c>
      <c r="F73" s="245">
        <f t="array" ref="F73">((SUM(IF((CkDJ[Date]=$A$3)*(CkDJ[Ofc Code]=(TRIM(G$4)))*(CkDJ[Account Code]=(TRIM($B73))),CkDJ[Debit])))+(SUM(IF((CsDJ[Date]=$A$3)*(CsDJ[Ofc Code]=(TRIM(G$4)))*(CsDJ[Account Code]=(TRIM($B73))),CsDJ[Debit])))+(SUM(IF((CRDJ[Date]=$A$3)*(CRDJ[Ofc Code]=(TRIM(G$4)))*(CRDJ[Account Code]=(TRIM($B73))),CRDJ[Debit])))+(SUM(IF((GJ[Date]=$A$3)*(GJ[Ofc Code]=(TRIM(G$4)))*(GJ[Account Code]=(TRIM($B73))),GJ[Debit]))))-((SUM(IF((CkDJ[Date]=$A$3)*(CkDJ[Ofc Code]=(TRIM(G$4)))*(CkDJ[Account Code]=(TRIM($B73))),CkDJ[Credit])))+(SUM(IF((CsDJ[Date]=$A$3)*(CsDJ[Ofc Code]=(TRIM(G$4)))*(CsDJ[Account Code]=(TRIM($B73))),CsDJ[Credit])))+(SUM(IF((CRDJ[Date]=$A$3)*(CRDJ[Ofc Code]=(TRIM(G$4)))*(CRDJ[Account Code]=(TRIM($B73))),CRDJ[Credit])))+(SUM(IF((GJ[Date]=$A$3)*(GJ[Ofc Code]=(TRIM(G$4)))*(GJ[Account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218</v>
      </c>
      <c r="B74" s="339" t="s">
        <v>213</v>
      </c>
      <c r="C74" s="245">
        <f t="array" ref="C74">SUM(IF((Budget[Account Code]=B74)*(Budget[Ofc Code]=$G$4),(Budget[Amount])))</f>
        <v>0</v>
      </c>
      <c r="D74" s="245">
        <f t="array" ref="D74">SUM(IF((Budget[Account Code]=B74)*(Budget[Ofc Code]=$G$4)*(Budget[Date]&lt;=$D$7),(Budget[Amount])))</f>
        <v>0</v>
      </c>
      <c r="E74" s="245">
        <f t="array" ref="E74">((SUM(IF((CkDJ[Ofc Code]=(TRIM(G$4)))*(CkDJ[Account Code]=(TRIM($B74)))*(CkDJ[Date]&lt;=$E$7),CkDJ[Debit])))+(SUM(IF((CsDJ[Ofc Code]=(TRIM(G$4)))*(CsDJ[Account Code]=(TRIM($B74)))*(CsDJ[Date]&lt;=$E$7),CsDJ[Debit])))+(SUM(IF((CRDJ[Ofc Code]=(TRIM(G$4)))*(CRDJ[Account Code]=(TRIM($B74)))*(CRDJ[Date]&lt;=$E$7),CRDJ[Debit])))+(SUM(IF((GJ[Ofc Code]=(TRIM(G$4)))*(GJ[Account Code]=(TRIM($B74)))*(GJ[Date]&lt;=$E$7),GJ[Debit]))))-((SUM(IF((CkDJ[Ofc Code]=(TRIM(G$4)))*(CkDJ[Account Code]=(TRIM($B74)))*(CkDJ[Date]&lt;=$E$7),CkDJ[Credit])))+(SUM(IF((CsDJ[Ofc Code]=(TRIM(G$4)))*(CsDJ[Account Code]=(TRIM($B74)))*(CsDJ[Date]&lt;=$E$7),CsDJ[Credit])))+(SUM(IF((CRDJ[Ofc Code]=(TRIM(G$4)))*(CRDJ[Account Code]=(TRIM($B74)))*(CRDJ[Date]&lt;=$E$7),CRDJ[Credit])))+(SUM(IF((GJ[Ofc Code]=(TRIM(G$4)))*(GJ[Account Code]=(TRIM($B74)))*(GJ[Date]&lt;=$E$7),GJ[Credit]))))</f>
        <v>0</v>
      </c>
      <c r="F74" s="245">
        <f t="array" ref="F74">((SUM(IF((CkDJ[Date]=$A$3)*(CkDJ[Ofc Code]=(TRIM(G$4)))*(CkDJ[Account Code]=(TRIM($B74))),CkDJ[Debit])))+(SUM(IF((CsDJ[Date]=$A$3)*(CsDJ[Ofc Code]=(TRIM(G$4)))*(CsDJ[Account Code]=(TRIM($B74))),CsDJ[Debit])))+(SUM(IF((CRDJ[Date]=$A$3)*(CRDJ[Ofc Code]=(TRIM(G$4)))*(CRDJ[Account Code]=(TRIM($B74))),CRDJ[Debit])))+(SUM(IF((GJ[Date]=$A$3)*(GJ[Ofc Code]=(TRIM(G$4)))*(GJ[Account Code]=(TRIM($B74))),GJ[Debit]))))-((SUM(IF((CkDJ[Date]=$A$3)*(CkDJ[Ofc Code]=(TRIM(G$4)))*(CkDJ[Account Code]=(TRIM($B74))),CkDJ[Credit])))+(SUM(IF((CsDJ[Date]=$A$3)*(CsDJ[Ofc Code]=(TRIM(G$4)))*(CsDJ[Account Code]=(TRIM($B74))),CsDJ[Credit])))+(SUM(IF((CRDJ[Date]=$A$3)*(CRDJ[Ofc Code]=(TRIM(G$4)))*(CRDJ[Account Code]=(TRIM($B74))),CRDJ[Credit])))+(SUM(IF((GJ[Date]=$A$3)*(GJ[Ofc Code]=(TRIM(G$4)))*(GJ[Account Code]=(TRIM($B74))),GJ[Credit]))))</f>
        <v>0</v>
      </c>
      <c r="G74" s="343">
        <f t="shared" si="5"/>
        <v>0</v>
      </c>
      <c r="H74" s="246">
        <f t="shared" si="2"/>
        <v>0</v>
      </c>
      <c r="I74" s="246">
        <f t="shared" si="3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168456.24</v>
      </c>
      <c r="D76" s="252">
        <f>D77+D139</f>
        <v>168456.24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2"/>
        <v>-168456.24</v>
      </c>
      <c r="I76" s="242">
        <f t="shared" si="3"/>
        <v>0</v>
      </c>
    </row>
    <row r="77" spans="1:9" x14ac:dyDescent="0.2">
      <c r="A77" s="253" t="s">
        <v>809</v>
      </c>
      <c r="B77" s="337"/>
      <c r="C77" s="254">
        <f>C78+C138</f>
        <v>168456.24</v>
      </c>
      <c r="D77" s="254">
        <f>D78+D138</f>
        <v>168456.24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2"/>
        <v>-168456.24</v>
      </c>
      <c r="I77" s="246">
        <f t="shared" si="3"/>
        <v>0</v>
      </c>
    </row>
    <row r="78" spans="1:9" x14ac:dyDescent="0.2">
      <c r="A78" s="255" t="s">
        <v>806</v>
      </c>
      <c r="B78" s="337"/>
      <c r="C78" s="246">
        <f>SUM(C79:C137)</f>
        <v>168456.24</v>
      </c>
      <c r="D78" s="246">
        <f>SUM(D79:D137)</f>
        <v>168456.24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2"/>
        <v>-168456.24</v>
      </c>
      <c r="I78" s="246">
        <f t="shared" si="3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Code]=B79)*(Budget[Ofc Code]=$G$4),(Budget[Amount])))</f>
        <v>0</v>
      </c>
      <c r="D79" s="245">
        <f t="array" ref="D79">SUM(IF((Budget[Account Code]=B79)*(Budget[Ofc Code]=$G$4)*(Budget[Date]&lt;=$D$7),(Budget[Amount])))</f>
        <v>0</v>
      </c>
      <c r="E79" s="245">
        <f t="array" ref="E79">((SUM(IF((CkDJ[Ofc Code]=(TRIM(G$4)))*(CkDJ[Account Code]=(TRIM($B79)))*(CkDJ[Date]&lt;=$E$7),CkDJ[Debit])))+(SUM(IF((CsDJ[Ofc Code]=(TRIM(G$4)))*(CsDJ[Account Code]=(TRIM($B79)))*(CsDJ[Date]&lt;=$E$7),CsDJ[Debit])))+(SUM(IF((CRDJ[Ofc Code]=(TRIM(G$4)))*(CRDJ[Account Code]=(TRIM($B79)))*(CRDJ[Date]&lt;=$E$7),CRDJ[Debit])))+(SUM(IF((GJ[Ofc Code]=(TRIM(G$4)))*(GJ[Account Code]=(TRIM($B79)))*(GJ[Date]&lt;=$E$7),GJ[Debit]))))-((SUM(IF((CkDJ[Ofc Code]=(TRIM(G$4)))*(CkDJ[Account Code]=(TRIM($B79)))*(CkDJ[Date]&lt;=$E$7),CkDJ[Credit])))+(SUM(IF((CsDJ[Ofc Code]=(TRIM(G$4)))*(CsDJ[Account Code]=(TRIM($B79)))*(CsDJ[Date]&lt;=$E$7),CsDJ[Credit])))+(SUM(IF((CRDJ[Ofc Code]=(TRIM(G$4)))*(CRDJ[Account Code]=(TRIM($B79)))*(CRDJ[Date]&lt;=$E$7),CRDJ[Credit])))+(SUM(IF((GJ[Ofc Code]=(TRIM(G$4)))*(GJ[Account Code]=(TRIM($B79)))*(GJ[Date]&lt;=$E$7),GJ[Credit]))))</f>
        <v>0</v>
      </c>
      <c r="F79" s="245">
        <f t="array" ref="F79">((SUM(IF((CkDJ[Date]=$A$3)*(CkDJ[Ofc Code]=(TRIM(G$4)))*(CkDJ[Account Code]=(TRIM($B79))),CkDJ[Debit])))+(SUM(IF((CsDJ[Date]=$A$3)*(CsDJ[Ofc Code]=(TRIM(G$4)))*(CsDJ[Account Code]=(TRIM($B79))),CsDJ[Debit])))+(SUM(IF((CRDJ[Date]=$A$3)*(CRDJ[Ofc Code]=(TRIM(G$4)))*(CRDJ[Account Code]=(TRIM($B79))),CRDJ[Debit])))+(SUM(IF((GJ[Date]=$A$3)*(GJ[Ofc Code]=(TRIM(G$4)))*(GJ[Account Code]=(TRIM($B79))),GJ[Debit]))))-((SUM(IF((CkDJ[Date]=$A$3)*(CkDJ[Ofc Code]=(TRIM(G$4)))*(CkDJ[Account Code]=(TRIM($B79))),CkDJ[Credit])))+(SUM(IF((CsDJ[Date]=$A$3)*(CsDJ[Ofc Code]=(TRIM(G$4)))*(CsDJ[Account Code]=(TRIM($B79))),CsDJ[Credit])))+(SUM(IF((CRDJ[Date]=$A$3)*(CRDJ[Ofc Code]=(TRIM(G$4)))*(CRDJ[Account Code]=(TRIM($B79))),CRDJ[Credit])))+(SUM(IF((GJ[Date]=$A$3)*(GJ[Ofc Code]=(TRIM(G$4)))*(GJ[Account Code]=(TRIM($B79))),GJ[Credit]))))</f>
        <v>0</v>
      </c>
      <c r="G79" s="343">
        <f t="shared" ref="G79:G137" si="6">E79+F79</f>
        <v>0</v>
      </c>
      <c r="H79" s="246">
        <f t="shared" si="2"/>
        <v>0</v>
      </c>
      <c r="I79" s="246">
        <f t="shared" si="3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Code]=B80)*(Budget[Ofc Code]=$G$4),(Budget[Amount])))</f>
        <v>0</v>
      </c>
      <c r="D80" s="245">
        <f t="array" ref="D80">SUM(IF((Budget[Account Code]=B80)*(Budget[Ofc Code]=$G$4)*(Budget[Date]&lt;=$D$7),(Budget[Amount])))</f>
        <v>0</v>
      </c>
      <c r="E80" s="245">
        <f t="array" ref="E80">((SUM(IF((CkDJ[Ofc Code]=(TRIM(G$4)))*(CkDJ[Account Code]=(TRIM($B80)))*(CkDJ[Date]&lt;=$E$7),CkDJ[Debit])))+(SUM(IF((CsDJ[Ofc Code]=(TRIM(G$4)))*(CsDJ[Account Code]=(TRIM($B80)))*(CsDJ[Date]&lt;=$E$7),CsDJ[Debit])))+(SUM(IF((CRDJ[Ofc Code]=(TRIM(G$4)))*(CRDJ[Account Code]=(TRIM($B80)))*(CRDJ[Date]&lt;=$E$7),CRDJ[Debit])))+(SUM(IF((GJ[Ofc Code]=(TRIM(G$4)))*(GJ[Account Code]=(TRIM($B80)))*(GJ[Date]&lt;=$E$7),GJ[Debit]))))-((SUM(IF((CkDJ[Ofc Code]=(TRIM(G$4)))*(CkDJ[Account Code]=(TRIM($B80)))*(CkDJ[Date]&lt;=$E$7),CkDJ[Credit])))+(SUM(IF((CsDJ[Ofc Code]=(TRIM(G$4)))*(CsDJ[Account Code]=(TRIM($B80)))*(CsDJ[Date]&lt;=$E$7),CsDJ[Credit])))+(SUM(IF((CRDJ[Ofc Code]=(TRIM(G$4)))*(CRDJ[Account Code]=(TRIM($B80)))*(CRDJ[Date]&lt;=$E$7),CRDJ[Credit])))+(SUM(IF((GJ[Ofc Code]=(TRIM(G$4)))*(GJ[Account Code]=(TRIM($B80)))*(GJ[Date]&lt;=$E$7),GJ[Credit]))))</f>
        <v>0</v>
      </c>
      <c r="F80" s="245">
        <f t="array" ref="F80">((SUM(IF((CkDJ[Date]=$A$3)*(CkDJ[Ofc Code]=(TRIM(G$4)))*(CkDJ[Account Code]=(TRIM($B80))),CkDJ[Debit])))+(SUM(IF((CsDJ[Date]=$A$3)*(CsDJ[Ofc Code]=(TRIM(G$4)))*(CsDJ[Account Code]=(TRIM($B80))),CsDJ[Debit])))+(SUM(IF((CRDJ[Date]=$A$3)*(CRDJ[Ofc Code]=(TRIM(G$4)))*(CRDJ[Account Code]=(TRIM($B80))),CRDJ[Debit])))+(SUM(IF((GJ[Date]=$A$3)*(GJ[Ofc Code]=(TRIM(G$4)))*(GJ[Account Code]=(TRIM($B80))),GJ[Debit]))))-((SUM(IF((CkDJ[Date]=$A$3)*(CkDJ[Ofc Code]=(TRIM(G$4)))*(CkDJ[Account Code]=(TRIM($B80))),CkDJ[Credit])))+(SUM(IF((CsDJ[Date]=$A$3)*(CsDJ[Ofc Code]=(TRIM(G$4)))*(CsDJ[Account Code]=(TRIM($B80))),CsDJ[Credit])))+(SUM(IF((CRDJ[Date]=$A$3)*(CRDJ[Ofc Code]=(TRIM(G$4)))*(CRDJ[Account Code]=(TRIM($B80))),CRDJ[Credit])))+(SUM(IF((GJ[Date]=$A$3)*(GJ[Ofc Code]=(TRIM(G$4)))*(GJ[Account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Code]=B81)*(Budget[Ofc Code]=$G$4),(Budget[Amount])))</f>
        <v>0</v>
      </c>
      <c r="D81" s="245">
        <f t="array" ref="D81">SUM(IF((Budget[Account Code]=B81)*(Budget[Ofc Code]=$G$4)*(Budget[Date]&lt;=$D$7),(Budget[Amount])))</f>
        <v>0</v>
      </c>
      <c r="E81" s="245">
        <f t="array" ref="E81">((SUM(IF((CkDJ[Ofc Code]=(TRIM(G$4)))*(CkDJ[Account Code]=(TRIM($B81)))*(CkDJ[Date]&lt;=$E$7),CkDJ[Debit])))+(SUM(IF((CsDJ[Ofc Code]=(TRIM(G$4)))*(CsDJ[Account Code]=(TRIM($B81)))*(CsDJ[Date]&lt;=$E$7),CsDJ[Debit])))+(SUM(IF((CRDJ[Ofc Code]=(TRIM(G$4)))*(CRDJ[Account Code]=(TRIM($B81)))*(CRDJ[Date]&lt;=$E$7),CRDJ[Debit])))+(SUM(IF((GJ[Ofc Code]=(TRIM(G$4)))*(GJ[Account Code]=(TRIM($B81)))*(GJ[Date]&lt;=$E$7),GJ[Debit]))))-((SUM(IF((CkDJ[Ofc Code]=(TRIM(G$4)))*(CkDJ[Account Code]=(TRIM($B81)))*(CkDJ[Date]&lt;=$E$7),CkDJ[Credit])))+(SUM(IF((CsDJ[Ofc Code]=(TRIM(G$4)))*(CsDJ[Account Code]=(TRIM($B81)))*(CsDJ[Date]&lt;=$E$7),CsDJ[Credit])))+(SUM(IF((CRDJ[Ofc Code]=(TRIM(G$4)))*(CRDJ[Account Code]=(TRIM($B81)))*(CRDJ[Date]&lt;=$E$7),CRDJ[Credit])))+(SUM(IF((GJ[Ofc Code]=(TRIM(G$4)))*(GJ[Account Code]=(TRIM($B81)))*(GJ[Date]&lt;=$E$7),GJ[Credit]))))</f>
        <v>0</v>
      </c>
      <c r="F81" s="245">
        <f t="array" ref="F81">((SUM(IF((CkDJ[Date]=$A$3)*(CkDJ[Ofc Code]=(TRIM(G$4)))*(CkDJ[Account Code]=(TRIM($B81))),CkDJ[Debit])))+(SUM(IF((CsDJ[Date]=$A$3)*(CsDJ[Ofc Code]=(TRIM(G$4)))*(CsDJ[Account Code]=(TRIM($B81))),CsDJ[Debit])))+(SUM(IF((CRDJ[Date]=$A$3)*(CRDJ[Ofc Code]=(TRIM(G$4)))*(CRDJ[Account Code]=(TRIM($B81))),CRDJ[Debit])))+(SUM(IF((GJ[Date]=$A$3)*(GJ[Ofc Code]=(TRIM(G$4)))*(GJ[Account Code]=(TRIM($B81))),GJ[Debit]))))-((SUM(IF((CkDJ[Date]=$A$3)*(CkDJ[Ofc Code]=(TRIM(G$4)))*(CkDJ[Account Code]=(TRIM($B81))),CkDJ[Credit])))+(SUM(IF((CsDJ[Date]=$A$3)*(CsDJ[Ofc Code]=(TRIM(G$4)))*(CsDJ[Account Code]=(TRIM($B81))),CsDJ[Credit])))+(SUM(IF((CRDJ[Date]=$A$3)*(CRDJ[Ofc Code]=(TRIM(G$4)))*(CRDJ[Account Code]=(TRIM($B81))),CRDJ[Credit])))+(SUM(IF((GJ[Date]=$A$3)*(GJ[Ofc Code]=(TRIM(G$4)))*(GJ[Account Code]=(TRIM($B81))),GJ[Credit]))))</f>
        <v>0</v>
      </c>
      <c r="G81" s="343">
        <f t="shared" si="6"/>
        <v>0</v>
      </c>
      <c r="H81" s="246">
        <f t="shared" si="2"/>
        <v>0</v>
      </c>
      <c r="I81" s="246">
        <f t="shared" si="3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Code]=B82)*(Budget[Ofc Code]=$G$4),(Budget[Amount])))</f>
        <v>0</v>
      </c>
      <c r="D82" s="245">
        <f t="array" ref="D82">SUM(IF((Budget[Account Code]=B82)*(Budget[Ofc Code]=$G$4)*(Budget[Date]&lt;=$D$7),(Budget[Amount])))</f>
        <v>0</v>
      </c>
      <c r="E82" s="245">
        <f t="array" ref="E82">((SUM(IF((CkDJ[Ofc Code]=(TRIM(G$4)))*(CkDJ[Account Code]=(TRIM($B82)))*(CkDJ[Date]&lt;=$E$7),CkDJ[Debit])))+(SUM(IF((CsDJ[Ofc Code]=(TRIM(G$4)))*(CsDJ[Account Code]=(TRIM($B82)))*(CsDJ[Date]&lt;=$E$7),CsDJ[Debit])))+(SUM(IF((CRDJ[Ofc Code]=(TRIM(G$4)))*(CRDJ[Account Code]=(TRIM($B82)))*(CRDJ[Date]&lt;=$E$7),CRDJ[Debit])))+(SUM(IF((GJ[Ofc Code]=(TRIM(G$4)))*(GJ[Account Code]=(TRIM($B82)))*(GJ[Date]&lt;=$E$7),GJ[Debit]))))-((SUM(IF((CkDJ[Ofc Code]=(TRIM(G$4)))*(CkDJ[Account Code]=(TRIM($B82)))*(CkDJ[Date]&lt;=$E$7),CkDJ[Credit])))+(SUM(IF((CsDJ[Ofc Code]=(TRIM(G$4)))*(CsDJ[Account Code]=(TRIM($B82)))*(CsDJ[Date]&lt;=$E$7),CsDJ[Credit])))+(SUM(IF((CRDJ[Ofc Code]=(TRIM(G$4)))*(CRDJ[Account Code]=(TRIM($B82)))*(CRDJ[Date]&lt;=$E$7),CRDJ[Credit])))+(SUM(IF((GJ[Ofc Code]=(TRIM(G$4)))*(GJ[Account Code]=(TRIM($B82)))*(GJ[Date]&lt;=$E$7),GJ[Credit]))))</f>
        <v>0</v>
      </c>
      <c r="F82" s="245">
        <f t="array" ref="F82">((SUM(IF((CkDJ[Date]=$A$3)*(CkDJ[Ofc Code]=(TRIM(G$4)))*(CkDJ[Account Code]=(TRIM($B82))),CkDJ[Debit])))+(SUM(IF((CsDJ[Date]=$A$3)*(CsDJ[Ofc Code]=(TRIM(G$4)))*(CsDJ[Account Code]=(TRIM($B82))),CsDJ[Debit])))+(SUM(IF((CRDJ[Date]=$A$3)*(CRDJ[Ofc Code]=(TRIM(G$4)))*(CRDJ[Account Code]=(TRIM($B82))),CRDJ[Debit])))+(SUM(IF((GJ[Date]=$A$3)*(GJ[Ofc Code]=(TRIM(G$4)))*(GJ[Account Code]=(TRIM($B82))),GJ[Debit]))))-((SUM(IF((CkDJ[Date]=$A$3)*(CkDJ[Ofc Code]=(TRIM(G$4)))*(CkDJ[Account Code]=(TRIM($B82))),CkDJ[Credit])))+(SUM(IF((CsDJ[Date]=$A$3)*(CsDJ[Ofc Code]=(TRIM(G$4)))*(CsDJ[Account Code]=(TRIM($B82))),CsDJ[Credit])))+(SUM(IF((CRDJ[Date]=$A$3)*(CRDJ[Ofc Code]=(TRIM(G$4)))*(CRDJ[Account Code]=(TRIM($B82))),CRDJ[Credit])))+(SUM(IF((GJ[Date]=$A$3)*(GJ[Ofc Code]=(TRIM(G$4)))*(GJ[Account Code]=(TRIM($B82))),GJ[Credit]))))</f>
        <v>0</v>
      </c>
      <c r="G82" s="343">
        <f t="shared" si="6"/>
        <v>0</v>
      </c>
      <c r="H82" s="246">
        <f t="shared" si="2"/>
        <v>0</v>
      </c>
      <c r="I82" s="246">
        <f t="shared" si="3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Code]=B83)*(Budget[Ofc Code]=$G$4),(Budget[Amount])))</f>
        <v>0</v>
      </c>
      <c r="D83" s="245">
        <f t="array" ref="D83">SUM(IF((Budget[Account Code]=B83)*(Budget[Ofc Code]=$G$4)*(Budget[Date]&lt;=$D$7),(Budget[Amount])))</f>
        <v>0</v>
      </c>
      <c r="E83" s="245">
        <f t="array" ref="E83">((SUM(IF((CkDJ[Ofc Code]=(TRIM(G$4)))*(CkDJ[Account Code]=(TRIM($B83)))*(CkDJ[Date]&lt;=$E$7),CkDJ[Debit])))+(SUM(IF((CsDJ[Ofc Code]=(TRIM(G$4)))*(CsDJ[Account Code]=(TRIM($B83)))*(CsDJ[Date]&lt;=$E$7),CsDJ[Debit])))+(SUM(IF((CRDJ[Ofc Code]=(TRIM(G$4)))*(CRDJ[Account Code]=(TRIM($B83)))*(CRDJ[Date]&lt;=$E$7),CRDJ[Debit])))+(SUM(IF((GJ[Ofc Code]=(TRIM(G$4)))*(GJ[Account Code]=(TRIM($B83)))*(GJ[Date]&lt;=$E$7),GJ[Debit]))))-((SUM(IF((CkDJ[Ofc Code]=(TRIM(G$4)))*(CkDJ[Account Code]=(TRIM($B83)))*(CkDJ[Date]&lt;=$E$7),CkDJ[Credit])))+(SUM(IF((CsDJ[Ofc Code]=(TRIM(G$4)))*(CsDJ[Account Code]=(TRIM($B83)))*(CsDJ[Date]&lt;=$E$7),CsDJ[Credit])))+(SUM(IF((CRDJ[Ofc Code]=(TRIM(G$4)))*(CRDJ[Account Code]=(TRIM($B83)))*(CRDJ[Date]&lt;=$E$7),CRDJ[Credit])))+(SUM(IF((GJ[Ofc Code]=(TRIM(G$4)))*(GJ[Account Code]=(TRIM($B83)))*(GJ[Date]&lt;=$E$7),GJ[Credit]))))</f>
        <v>0</v>
      </c>
      <c r="F83" s="245">
        <f t="array" ref="F83">((SUM(IF((CkDJ[Date]=$A$3)*(CkDJ[Ofc Code]=(TRIM(G$4)))*(CkDJ[Account Code]=(TRIM($B83))),CkDJ[Debit])))+(SUM(IF((CsDJ[Date]=$A$3)*(CsDJ[Ofc Code]=(TRIM(G$4)))*(CsDJ[Account Code]=(TRIM($B83))),CsDJ[Debit])))+(SUM(IF((CRDJ[Date]=$A$3)*(CRDJ[Ofc Code]=(TRIM(G$4)))*(CRDJ[Account Code]=(TRIM($B83))),CRDJ[Debit])))+(SUM(IF((GJ[Date]=$A$3)*(GJ[Ofc Code]=(TRIM(G$4)))*(GJ[Account Code]=(TRIM($B83))),GJ[Debit]))))-((SUM(IF((CkDJ[Date]=$A$3)*(CkDJ[Ofc Code]=(TRIM(G$4)))*(CkDJ[Account Code]=(TRIM($B83))),CkDJ[Credit])))+(SUM(IF((CsDJ[Date]=$A$3)*(CsDJ[Ofc Code]=(TRIM(G$4)))*(CsDJ[Account Code]=(TRIM($B83))),CsDJ[Credit])))+(SUM(IF((CRDJ[Date]=$A$3)*(CRDJ[Ofc Code]=(TRIM(G$4)))*(CRDJ[Account Code]=(TRIM($B83))),CRDJ[Credit])))+(SUM(IF((GJ[Date]=$A$3)*(GJ[Ofc Code]=(TRIM(G$4)))*(GJ[Account Code]=(TRIM($B83))),GJ[Credit]))))</f>
        <v>0</v>
      </c>
      <c r="G83" s="343">
        <f t="shared" si="6"/>
        <v>0</v>
      </c>
      <c r="H83" s="246">
        <f t="shared" si="2"/>
        <v>0</v>
      </c>
      <c r="I83" s="246">
        <f t="shared" si="3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Code]=B84)*(Budget[Ofc Code]=$G$4),(Budget[Amount])))</f>
        <v>0</v>
      </c>
      <c r="D84" s="245">
        <f t="array" ref="D84">SUM(IF((Budget[Account Code]=B84)*(Budget[Ofc Code]=$G$4)*(Budget[Date]&lt;=$D$7),(Budget[Amount])))</f>
        <v>0</v>
      </c>
      <c r="E84" s="245">
        <f t="array" ref="E84">((SUM(IF((CkDJ[Ofc Code]=(TRIM(G$4)))*(CkDJ[Account Code]=(TRIM($B84)))*(CkDJ[Date]&lt;=$E$7),CkDJ[Debit])))+(SUM(IF((CsDJ[Ofc Code]=(TRIM(G$4)))*(CsDJ[Account Code]=(TRIM($B84)))*(CsDJ[Date]&lt;=$E$7),CsDJ[Debit])))+(SUM(IF((CRDJ[Ofc Code]=(TRIM(G$4)))*(CRDJ[Account Code]=(TRIM($B84)))*(CRDJ[Date]&lt;=$E$7),CRDJ[Debit])))+(SUM(IF((GJ[Ofc Code]=(TRIM(G$4)))*(GJ[Account Code]=(TRIM($B84)))*(GJ[Date]&lt;=$E$7),GJ[Debit]))))-((SUM(IF((CkDJ[Ofc Code]=(TRIM(G$4)))*(CkDJ[Account Code]=(TRIM($B84)))*(CkDJ[Date]&lt;=$E$7),CkDJ[Credit])))+(SUM(IF((CsDJ[Ofc Code]=(TRIM(G$4)))*(CsDJ[Account Code]=(TRIM($B84)))*(CsDJ[Date]&lt;=$E$7),CsDJ[Credit])))+(SUM(IF((CRDJ[Ofc Code]=(TRIM(G$4)))*(CRDJ[Account Code]=(TRIM($B84)))*(CRDJ[Date]&lt;=$E$7),CRDJ[Credit])))+(SUM(IF((GJ[Ofc Code]=(TRIM(G$4)))*(GJ[Account Code]=(TRIM($B84)))*(GJ[Date]&lt;=$E$7),GJ[Credit]))))</f>
        <v>0</v>
      </c>
      <c r="F84" s="245">
        <f t="array" ref="F84">((SUM(IF((CkDJ[Date]=$A$3)*(CkDJ[Ofc Code]=(TRIM(G$4)))*(CkDJ[Account Code]=(TRIM($B84))),CkDJ[Debit])))+(SUM(IF((CsDJ[Date]=$A$3)*(CsDJ[Ofc Code]=(TRIM(G$4)))*(CsDJ[Account Code]=(TRIM($B84))),CsDJ[Debit])))+(SUM(IF((CRDJ[Date]=$A$3)*(CRDJ[Ofc Code]=(TRIM(G$4)))*(CRDJ[Account Code]=(TRIM($B84))),CRDJ[Debit])))+(SUM(IF((GJ[Date]=$A$3)*(GJ[Ofc Code]=(TRIM(G$4)))*(GJ[Account Code]=(TRIM($B84))),GJ[Debit]))))-((SUM(IF((CkDJ[Date]=$A$3)*(CkDJ[Ofc Code]=(TRIM(G$4)))*(CkDJ[Account Code]=(TRIM($B84))),CkDJ[Credit])))+(SUM(IF((CsDJ[Date]=$A$3)*(CsDJ[Ofc Code]=(TRIM(G$4)))*(CsDJ[Account Code]=(TRIM($B84))),CsDJ[Credit])))+(SUM(IF((CRDJ[Date]=$A$3)*(CRDJ[Ofc Code]=(TRIM(G$4)))*(CRDJ[Account Code]=(TRIM($B84))),CRDJ[Credit])))+(SUM(IF((GJ[Date]=$A$3)*(GJ[Ofc Code]=(TRIM(G$4)))*(GJ[Account Code]=(TRIM($B84))),GJ[Credit]))))</f>
        <v>0</v>
      </c>
      <c r="G84" s="343">
        <f t="shared" si="6"/>
        <v>0</v>
      </c>
      <c r="H84" s="246">
        <f t="shared" si="2"/>
        <v>0</v>
      </c>
      <c r="I84" s="246">
        <f t="shared" si="3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Code]=B85)*(Budget[Ofc Code]=$G$4),(Budget[Amount])))</f>
        <v>0</v>
      </c>
      <c r="D85" s="245">
        <f t="array" ref="D85">SUM(IF((Budget[Account Code]=B85)*(Budget[Ofc Code]=$G$4)*(Budget[Date]&lt;=$D$7),(Budget[Amount])))</f>
        <v>0</v>
      </c>
      <c r="E85" s="245">
        <f t="array" ref="E85">((SUM(IF((CkDJ[Ofc Code]=(TRIM(G$4)))*(CkDJ[Account Code]=(TRIM($B85)))*(CkDJ[Date]&lt;=$E$7),CkDJ[Debit])))+(SUM(IF((CsDJ[Ofc Code]=(TRIM(G$4)))*(CsDJ[Account Code]=(TRIM($B85)))*(CsDJ[Date]&lt;=$E$7),CsDJ[Debit])))+(SUM(IF((CRDJ[Ofc Code]=(TRIM(G$4)))*(CRDJ[Account Code]=(TRIM($B85)))*(CRDJ[Date]&lt;=$E$7),CRDJ[Debit])))+(SUM(IF((GJ[Ofc Code]=(TRIM(G$4)))*(GJ[Account Code]=(TRIM($B85)))*(GJ[Date]&lt;=$E$7),GJ[Debit]))))-((SUM(IF((CkDJ[Ofc Code]=(TRIM(G$4)))*(CkDJ[Account Code]=(TRIM($B85)))*(CkDJ[Date]&lt;=$E$7),CkDJ[Credit])))+(SUM(IF((CsDJ[Ofc Code]=(TRIM(G$4)))*(CsDJ[Account Code]=(TRIM($B85)))*(CsDJ[Date]&lt;=$E$7),CsDJ[Credit])))+(SUM(IF((CRDJ[Ofc Code]=(TRIM(G$4)))*(CRDJ[Account Code]=(TRIM($B85)))*(CRDJ[Date]&lt;=$E$7),CRDJ[Credit])))+(SUM(IF((GJ[Ofc Code]=(TRIM(G$4)))*(GJ[Account Code]=(TRIM($B85)))*(GJ[Date]&lt;=$E$7),GJ[Credit]))))</f>
        <v>0</v>
      </c>
      <c r="F85" s="245">
        <f t="array" ref="F85">((SUM(IF((CkDJ[Date]=$A$3)*(CkDJ[Ofc Code]=(TRIM(G$4)))*(CkDJ[Account Code]=(TRIM($B85))),CkDJ[Debit])))+(SUM(IF((CsDJ[Date]=$A$3)*(CsDJ[Ofc Code]=(TRIM(G$4)))*(CsDJ[Account Code]=(TRIM($B85))),CsDJ[Debit])))+(SUM(IF((CRDJ[Date]=$A$3)*(CRDJ[Ofc Code]=(TRIM(G$4)))*(CRDJ[Account Code]=(TRIM($B85))),CRDJ[Debit])))+(SUM(IF((GJ[Date]=$A$3)*(GJ[Ofc Code]=(TRIM(G$4)))*(GJ[Account Code]=(TRIM($B85))),GJ[Debit]))))-((SUM(IF((CkDJ[Date]=$A$3)*(CkDJ[Ofc Code]=(TRIM(G$4)))*(CkDJ[Account Code]=(TRIM($B85))),CkDJ[Credit])))+(SUM(IF((CsDJ[Date]=$A$3)*(CsDJ[Ofc Code]=(TRIM(G$4)))*(CsDJ[Account Code]=(TRIM($B85))),CsDJ[Credit])))+(SUM(IF((CRDJ[Date]=$A$3)*(CRDJ[Ofc Code]=(TRIM(G$4)))*(CRDJ[Account Code]=(TRIM($B85))),CRDJ[Credit])))+(SUM(IF((GJ[Date]=$A$3)*(GJ[Ofc Code]=(TRIM(G$4)))*(GJ[Account Code]=(TRIM($B85))),GJ[Credit]))))</f>
        <v>0</v>
      </c>
      <c r="G85" s="343">
        <f t="shared" si="6"/>
        <v>0</v>
      </c>
      <c r="H85" s="246">
        <f t="shared" si="2"/>
        <v>0</v>
      </c>
      <c r="I85" s="246">
        <f t="shared" si="3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Code]=B86)*(Budget[Ofc Code]=$G$4),(Budget[Amount])))</f>
        <v>0</v>
      </c>
      <c r="D86" s="245">
        <f t="array" ref="D86">SUM(IF((Budget[Account Code]=B86)*(Budget[Ofc Code]=$G$4)*(Budget[Date]&lt;=$D$7),(Budget[Amount])))</f>
        <v>0</v>
      </c>
      <c r="E86" s="245">
        <f t="array" ref="E86">((SUM(IF((CkDJ[Ofc Code]=(TRIM(G$4)))*(CkDJ[Account Code]=(TRIM($B86)))*(CkDJ[Date]&lt;=$E$7),CkDJ[Debit])))+(SUM(IF((CsDJ[Ofc Code]=(TRIM(G$4)))*(CsDJ[Account Code]=(TRIM($B86)))*(CsDJ[Date]&lt;=$E$7),CsDJ[Debit])))+(SUM(IF((CRDJ[Ofc Code]=(TRIM(G$4)))*(CRDJ[Account Code]=(TRIM($B86)))*(CRDJ[Date]&lt;=$E$7),CRDJ[Debit])))+(SUM(IF((GJ[Ofc Code]=(TRIM(G$4)))*(GJ[Account Code]=(TRIM($B86)))*(GJ[Date]&lt;=$E$7),GJ[Debit]))))-((SUM(IF((CkDJ[Ofc Code]=(TRIM(G$4)))*(CkDJ[Account Code]=(TRIM($B86)))*(CkDJ[Date]&lt;=$E$7),CkDJ[Credit])))+(SUM(IF((CsDJ[Ofc Code]=(TRIM(G$4)))*(CsDJ[Account Code]=(TRIM($B86)))*(CsDJ[Date]&lt;=$E$7),CsDJ[Credit])))+(SUM(IF((CRDJ[Ofc Code]=(TRIM(G$4)))*(CRDJ[Account Code]=(TRIM($B86)))*(CRDJ[Date]&lt;=$E$7),CRDJ[Credit])))+(SUM(IF((GJ[Ofc Code]=(TRIM(G$4)))*(GJ[Account Code]=(TRIM($B86)))*(GJ[Date]&lt;=$E$7),GJ[Credit]))))</f>
        <v>0</v>
      </c>
      <c r="F86" s="245">
        <f t="array" ref="F86">((SUM(IF((CkDJ[Date]=$A$3)*(CkDJ[Ofc Code]=(TRIM(G$4)))*(CkDJ[Account Code]=(TRIM($B86))),CkDJ[Debit])))+(SUM(IF((CsDJ[Date]=$A$3)*(CsDJ[Ofc Code]=(TRIM(G$4)))*(CsDJ[Account Code]=(TRIM($B86))),CsDJ[Debit])))+(SUM(IF((CRDJ[Date]=$A$3)*(CRDJ[Ofc Code]=(TRIM(G$4)))*(CRDJ[Account Code]=(TRIM($B86))),CRDJ[Debit])))+(SUM(IF((GJ[Date]=$A$3)*(GJ[Ofc Code]=(TRIM(G$4)))*(GJ[Account Code]=(TRIM($B86))),GJ[Debit]))))-((SUM(IF((CkDJ[Date]=$A$3)*(CkDJ[Ofc Code]=(TRIM(G$4)))*(CkDJ[Account Code]=(TRIM($B86))),CkDJ[Credit])))+(SUM(IF((CsDJ[Date]=$A$3)*(CsDJ[Ofc Code]=(TRIM(G$4)))*(CsDJ[Account Code]=(TRIM($B86))),CsDJ[Credit])))+(SUM(IF((CRDJ[Date]=$A$3)*(CRDJ[Ofc Code]=(TRIM(G$4)))*(CRDJ[Account Code]=(TRIM($B86))),CRDJ[Credit])))+(SUM(IF((GJ[Date]=$A$3)*(GJ[Ofc Code]=(TRIM(G$4)))*(GJ[Account Code]=(TRIM($B86))),GJ[Credit]))))</f>
        <v>0</v>
      </c>
      <c r="G86" s="343">
        <f t="shared" si="6"/>
        <v>0</v>
      </c>
      <c r="H86" s="246">
        <f t="shared" si="2"/>
        <v>0</v>
      </c>
      <c r="I86" s="246">
        <f t="shared" si="3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Code]=B87)*(Budget[Ofc Code]=$G$4),(Budget[Amount])))</f>
        <v>0</v>
      </c>
      <c r="D87" s="245">
        <f t="array" ref="D87">SUM(IF((Budget[Account Code]=B87)*(Budget[Ofc Code]=$G$4)*(Budget[Date]&lt;=$D$7),(Budget[Amount])))</f>
        <v>0</v>
      </c>
      <c r="E87" s="245">
        <f t="array" ref="E87">((SUM(IF((CkDJ[Ofc Code]=(TRIM(G$4)))*(CkDJ[Account Code]=(TRIM($B87)))*(CkDJ[Date]&lt;=$E$7),CkDJ[Debit])))+(SUM(IF((CsDJ[Ofc Code]=(TRIM(G$4)))*(CsDJ[Account Code]=(TRIM($B87)))*(CsDJ[Date]&lt;=$E$7),CsDJ[Debit])))+(SUM(IF((CRDJ[Ofc Code]=(TRIM(G$4)))*(CRDJ[Account Code]=(TRIM($B87)))*(CRDJ[Date]&lt;=$E$7),CRDJ[Debit])))+(SUM(IF((GJ[Ofc Code]=(TRIM(G$4)))*(GJ[Account Code]=(TRIM($B87)))*(GJ[Date]&lt;=$E$7),GJ[Debit]))))-((SUM(IF((CkDJ[Ofc Code]=(TRIM(G$4)))*(CkDJ[Account Code]=(TRIM($B87)))*(CkDJ[Date]&lt;=$E$7),CkDJ[Credit])))+(SUM(IF((CsDJ[Ofc Code]=(TRIM(G$4)))*(CsDJ[Account Code]=(TRIM($B87)))*(CsDJ[Date]&lt;=$E$7),CsDJ[Credit])))+(SUM(IF((CRDJ[Ofc Code]=(TRIM(G$4)))*(CRDJ[Account Code]=(TRIM($B87)))*(CRDJ[Date]&lt;=$E$7),CRDJ[Credit])))+(SUM(IF((GJ[Ofc Code]=(TRIM(G$4)))*(GJ[Account Code]=(TRIM($B87)))*(GJ[Date]&lt;=$E$7),GJ[Credit]))))</f>
        <v>0</v>
      </c>
      <c r="F87" s="245">
        <f t="array" ref="F87">((SUM(IF((CkDJ[Date]=$A$3)*(CkDJ[Ofc Code]=(TRIM(G$4)))*(CkDJ[Account Code]=(TRIM($B87))),CkDJ[Debit])))+(SUM(IF((CsDJ[Date]=$A$3)*(CsDJ[Ofc Code]=(TRIM(G$4)))*(CsDJ[Account Code]=(TRIM($B87))),CsDJ[Debit])))+(SUM(IF((CRDJ[Date]=$A$3)*(CRDJ[Ofc Code]=(TRIM(G$4)))*(CRDJ[Account Code]=(TRIM($B87))),CRDJ[Debit])))+(SUM(IF((GJ[Date]=$A$3)*(GJ[Ofc Code]=(TRIM(G$4)))*(GJ[Account Code]=(TRIM($B87))),GJ[Debit]))))-((SUM(IF((CkDJ[Date]=$A$3)*(CkDJ[Ofc Code]=(TRIM(G$4)))*(CkDJ[Account Code]=(TRIM($B87))),CkDJ[Credit])))+(SUM(IF((CsDJ[Date]=$A$3)*(CsDJ[Ofc Code]=(TRIM(G$4)))*(CsDJ[Account Code]=(TRIM($B87))),CsDJ[Credit])))+(SUM(IF((CRDJ[Date]=$A$3)*(CRDJ[Ofc Code]=(TRIM(G$4)))*(CRDJ[Account Code]=(TRIM($B87))),CRDJ[Credit])))+(SUM(IF((GJ[Date]=$A$3)*(GJ[Ofc Code]=(TRIM(G$4)))*(GJ[Account Code]=(TRIM($B87))),GJ[Credit]))))</f>
        <v>0</v>
      </c>
      <c r="G87" s="343">
        <f t="shared" si="6"/>
        <v>0</v>
      </c>
      <c r="H87" s="246">
        <f t="shared" si="2"/>
        <v>0</v>
      </c>
      <c r="I87" s="246">
        <f t="shared" si="3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Code]=B88)*(Budget[Ofc Code]=$G$4),(Budget[Amount])))</f>
        <v>0</v>
      </c>
      <c r="D88" s="245">
        <f t="array" ref="D88">SUM(IF((Budget[Account Code]=B88)*(Budget[Ofc Code]=$G$4)*(Budget[Date]&lt;=$D$7),(Budget[Amount])))</f>
        <v>0</v>
      </c>
      <c r="E88" s="245">
        <f t="array" ref="E88">((SUM(IF((CkDJ[Ofc Code]=(TRIM(G$4)))*(CkDJ[Account Code]=(TRIM($B88)))*(CkDJ[Date]&lt;=$E$7),CkDJ[Debit])))+(SUM(IF((CsDJ[Ofc Code]=(TRIM(G$4)))*(CsDJ[Account Code]=(TRIM($B88)))*(CsDJ[Date]&lt;=$E$7),CsDJ[Debit])))+(SUM(IF((CRDJ[Ofc Code]=(TRIM(G$4)))*(CRDJ[Account Code]=(TRIM($B88)))*(CRDJ[Date]&lt;=$E$7),CRDJ[Debit])))+(SUM(IF((GJ[Ofc Code]=(TRIM(G$4)))*(GJ[Account Code]=(TRIM($B88)))*(GJ[Date]&lt;=$E$7),GJ[Debit]))))-((SUM(IF((CkDJ[Ofc Code]=(TRIM(G$4)))*(CkDJ[Account Code]=(TRIM($B88)))*(CkDJ[Date]&lt;=$E$7),CkDJ[Credit])))+(SUM(IF((CsDJ[Ofc Code]=(TRIM(G$4)))*(CsDJ[Account Code]=(TRIM($B88)))*(CsDJ[Date]&lt;=$E$7),CsDJ[Credit])))+(SUM(IF((CRDJ[Ofc Code]=(TRIM(G$4)))*(CRDJ[Account Code]=(TRIM($B88)))*(CRDJ[Date]&lt;=$E$7),CRDJ[Credit])))+(SUM(IF((GJ[Ofc Code]=(TRIM(G$4)))*(GJ[Account Code]=(TRIM($B88)))*(GJ[Date]&lt;=$E$7),GJ[Credit]))))</f>
        <v>0</v>
      </c>
      <c r="F88" s="245">
        <f t="array" ref="F88">((SUM(IF((CkDJ[Date]=$A$3)*(CkDJ[Ofc Code]=(TRIM(G$4)))*(CkDJ[Account Code]=(TRIM($B88))),CkDJ[Debit])))+(SUM(IF((CsDJ[Date]=$A$3)*(CsDJ[Ofc Code]=(TRIM(G$4)))*(CsDJ[Account Code]=(TRIM($B88))),CsDJ[Debit])))+(SUM(IF((CRDJ[Date]=$A$3)*(CRDJ[Ofc Code]=(TRIM(G$4)))*(CRDJ[Account Code]=(TRIM($B88))),CRDJ[Debit])))+(SUM(IF((GJ[Date]=$A$3)*(GJ[Ofc Code]=(TRIM(G$4)))*(GJ[Account Code]=(TRIM($B88))),GJ[Debit]))))-((SUM(IF((CkDJ[Date]=$A$3)*(CkDJ[Ofc Code]=(TRIM(G$4)))*(CkDJ[Account Code]=(TRIM($B88))),CkDJ[Credit])))+(SUM(IF((CsDJ[Date]=$A$3)*(CsDJ[Ofc Code]=(TRIM(G$4)))*(CsDJ[Account Code]=(TRIM($B88))),CsDJ[Credit])))+(SUM(IF((CRDJ[Date]=$A$3)*(CRDJ[Ofc Code]=(TRIM(G$4)))*(CRDJ[Account Code]=(TRIM($B88))),CRDJ[Credit])))+(SUM(IF((GJ[Date]=$A$3)*(GJ[Ofc Code]=(TRIM(G$4)))*(GJ[Account Code]=(TRIM($B88))),GJ[Credit]))))</f>
        <v>0</v>
      </c>
      <c r="G88" s="343">
        <f t="shared" si="6"/>
        <v>0</v>
      </c>
      <c r="H88" s="246">
        <f t="shared" si="2"/>
        <v>0</v>
      </c>
      <c r="I88" s="246">
        <f t="shared" si="3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Code]=B89)*(Budget[Ofc Code]=$G$4),(Budget[Amount])))</f>
        <v>0</v>
      </c>
      <c r="D89" s="245">
        <f t="array" ref="D89">SUM(IF((Budget[Account Code]=B89)*(Budget[Ofc Code]=$G$4)*(Budget[Date]&lt;=$D$7),(Budget[Amount])))</f>
        <v>0</v>
      </c>
      <c r="E89" s="245">
        <f t="array" ref="E89">((SUM(IF((CkDJ[Ofc Code]=(TRIM(G$4)))*(CkDJ[Account Code]=(TRIM($B89)))*(CkDJ[Date]&lt;=$E$7),CkDJ[Debit])))+(SUM(IF((CsDJ[Ofc Code]=(TRIM(G$4)))*(CsDJ[Account Code]=(TRIM($B89)))*(CsDJ[Date]&lt;=$E$7),CsDJ[Debit])))+(SUM(IF((CRDJ[Ofc Code]=(TRIM(G$4)))*(CRDJ[Account Code]=(TRIM($B89)))*(CRDJ[Date]&lt;=$E$7),CRDJ[Debit])))+(SUM(IF((GJ[Ofc Code]=(TRIM(G$4)))*(GJ[Account Code]=(TRIM($B89)))*(GJ[Date]&lt;=$E$7),GJ[Debit]))))-((SUM(IF((CkDJ[Ofc Code]=(TRIM(G$4)))*(CkDJ[Account Code]=(TRIM($B89)))*(CkDJ[Date]&lt;=$E$7),CkDJ[Credit])))+(SUM(IF((CsDJ[Ofc Code]=(TRIM(G$4)))*(CsDJ[Account Code]=(TRIM($B89)))*(CsDJ[Date]&lt;=$E$7),CsDJ[Credit])))+(SUM(IF((CRDJ[Ofc Code]=(TRIM(G$4)))*(CRDJ[Account Code]=(TRIM($B89)))*(CRDJ[Date]&lt;=$E$7),CRDJ[Credit])))+(SUM(IF((GJ[Ofc Code]=(TRIM(G$4)))*(GJ[Account Code]=(TRIM($B89)))*(GJ[Date]&lt;=$E$7),GJ[Credit]))))</f>
        <v>0</v>
      </c>
      <c r="F89" s="245">
        <f t="array" ref="F89">((SUM(IF((CkDJ[Date]=$A$3)*(CkDJ[Ofc Code]=(TRIM(G$4)))*(CkDJ[Account Code]=(TRIM($B89))),CkDJ[Debit])))+(SUM(IF((CsDJ[Date]=$A$3)*(CsDJ[Ofc Code]=(TRIM(G$4)))*(CsDJ[Account Code]=(TRIM($B89))),CsDJ[Debit])))+(SUM(IF((CRDJ[Date]=$A$3)*(CRDJ[Ofc Code]=(TRIM(G$4)))*(CRDJ[Account Code]=(TRIM($B89))),CRDJ[Debit])))+(SUM(IF((GJ[Date]=$A$3)*(GJ[Ofc Code]=(TRIM(G$4)))*(GJ[Account Code]=(TRIM($B89))),GJ[Debit]))))-((SUM(IF((CkDJ[Date]=$A$3)*(CkDJ[Ofc Code]=(TRIM(G$4)))*(CkDJ[Account Code]=(TRIM($B89))),CkDJ[Credit])))+(SUM(IF((CsDJ[Date]=$A$3)*(CsDJ[Ofc Code]=(TRIM(G$4)))*(CsDJ[Account Code]=(TRIM($B89))),CsDJ[Credit])))+(SUM(IF((CRDJ[Date]=$A$3)*(CRDJ[Ofc Code]=(TRIM(G$4)))*(CRDJ[Account Code]=(TRIM($B89))),CRDJ[Credit])))+(SUM(IF((GJ[Date]=$A$3)*(GJ[Ofc Code]=(TRIM(G$4)))*(GJ[Account Code]=(TRIM($B89))),GJ[Credit]))))</f>
        <v>0</v>
      </c>
      <c r="G89" s="343">
        <f t="shared" si="6"/>
        <v>0</v>
      </c>
      <c r="H89" s="246">
        <f t="shared" si="2"/>
        <v>0</v>
      </c>
      <c r="I89" s="246">
        <f t="shared" si="3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Code]=B90)*(Budget[Ofc Code]=$G$4),(Budget[Amount])))</f>
        <v>0</v>
      </c>
      <c r="D90" s="245">
        <f t="array" ref="D90">SUM(IF((Budget[Account Code]=B90)*(Budget[Ofc Code]=$G$4)*(Budget[Date]&lt;=$D$7),(Budget[Amount])))</f>
        <v>0</v>
      </c>
      <c r="E90" s="245">
        <f t="array" ref="E90">((SUM(IF((CkDJ[Ofc Code]=(TRIM(G$4)))*(CkDJ[Account Code]=(TRIM($B90)))*(CkDJ[Date]&lt;=$E$7),CkDJ[Debit])))+(SUM(IF((CsDJ[Ofc Code]=(TRIM(G$4)))*(CsDJ[Account Code]=(TRIM($B90)))*(CsDJ[Date]&lt;=$E$7),CsDJ[Debit])))+(SUM(IF((CRDJ[Ofc Code]=(TRIM(G$4)))*(CRDJ[Account Code]=(TRIM($B90)))*(CRDJ[Date]&lt;=$E$7),CRDJ[Debit])))+(SUM(IF((GJ[Ofc Code]=(TRIM(G$4)))*(GJ[Account Code]=(TRIM($B90)))*(GJ[Date]&lt;=$E$7),GJ[Debit]))))-((SUM(IF((CkDJ[Ofc Code]=(TRIM(G$4)))*(CkDJ[Account Code]=(TRIM($B90)))*(CkDJ[Date]&lt;=$E$7),CkDJ[Credit])))+(SUM(IF((CsDJ[Ofc Code]=(TRIM(G$4)))*(CsDJ[Account Code]=(TRIM($B90)))*(CsDJ[Date]&lt;=$E$7),CsDJ[Credit])))+(SUM(IF((CRDJ[Ofc Code]=(TRIM(G$4)))*(CRDJ[Account Code]=(TRIM($B90)))*(CRDJ[Date]&lt;=$E$7),CRDJ[Credit])))+(SUM(IF((GJ[Ofc Code]=(TRIM(G$4)))*(GJ[Account Code]=(TRIM($B90)))*(GJ[Date]&lt;=$E$7),GJ[Credit]))))</f>
        <v>0</v>
      </c>
      <c r="F90" s="245">
        <f t="array" ref="F90">((SUM(IF((CkDJ[Date]=$A$3)*(CkDJ[Ofc Code]=(TRIM(G$4)))*(CkDJ[Account Code]=(TRIM($B90))),CkDJ[Debit])))+(SUM(IF((CsDJ[Date]=$A$3)*(CsDJ[Ofc Code]=(TRIM(G$4)))*(CsDJ[Account Code]=(TRIM($B90))),CsDJ[Debit])))+(SUM(IF((CRDJ[Date]=$A$3)*(CRDJ[Ofc Code]=(TRIM(G$4)))*(CRDJ[Account Code]=(TRIM($B90))),CRDJ[Debit])))+(SUM(IF((GJ[Date]=$A$3)*(GJ[Ofc Code]=(TRIM(G$4)))*(GJ[Account Code]=(TRIM($B90))),GJ[Debit]))))-((SUM(IF((CkDJ[Date]=$A$3)*(CkDJ[Ofc Code]=(TRIM(G$4)))*(CkDJ[Account Code]=(TRIM($B90))),CkDJ[Credit])))+(SUM(IF((CsDJ[Date]=$A$3)*(CsDJ[Ofc Code]=(TRIM(G$4)))*(CsDJ[Account Code]=(TRIM($B90))),CsDJ[Credit])))+(SUM(IF((CRDJ[Date]=$A$3)*(CRDJ[Ofc Code]=(TRIM(G$4)))*(CRDJ[Account Code]=(TRIM($B90))),CRDJ[Credit])))+(SUM(IF((GJ[Date]=$A$3)*(GJ[Ofc Code]=(TRIM(G$4)))*(GJ[Account Code]=(TRIM($B90))),GJ[Credit]))))</f>
        <v>0</v>
      </c>
      <c r="G90" s="343">
        <f t="shared" si="6"/>
        <v>0</v>
      </c>
      <c r="H90" s="246">
        <f t="shared" si="2"/>
        <v>0</v>
      </c>
      <c r="I90" s="246">
        <f t="shared" si="3"/>
        <v>0</v>
      </c>
    </row>
    <row r="91" spans="1:9" x14ac:dyDescent="0.2">
      <c r="A91" s="256" t="s">
        <v>1475</v>
      </c>
      <c r="B91" s="339" t="s">
        <v>1265</v>
      </c>
      <c r="C91" s="245">
        <f t="array" ref="C91">SUM(IF((Budget[Account Code]=B91)*(Budget[Ofc Code]=$G$4),(Budget[Amount])))</f>
        <v>0</v>
      </c>
      <c r="D91" s="245">
        <f t="array" ref="D91">SUM(IF((Budget[Account Code]=B91)*(Budget[Ofc Code]=$G$4)*(Budget[Date]&lt;=$D$7),(Budget[Amount])))</f>
        <v>0</v>
      </c>
      <c r="E91" s="245">
        <f t="array" ref="E91">((SUM(IF((CkDJ[Ofc Code]=(TRIM(G$4)))*(CkDJ[Account Code]=(TRIM($B91)))*(CkDJ[Date]&lt;=$E$7),CkDJ[Debit])))+(SUM(IF((CsDJ[Ofc Code]=(TRIM(G$4)))*(CsDJ[Account Code]=(TRIM($B91)))*(CsDJ[Date]&lt;=$E$7),CsDJ[Debit])))+(SUM(IF((CRDJ[Ofc Code]=(TRIM(G$4)))*(CRDJ[Account Code]=(TRIM($B91)))*(CRDJ[Date]&lt;=$E$7),CRDJ[Debit])))+(SUM(IF((GJ[Ofc Code]=(TRIM(G$4)))*(GJ[Account Code]=(TRIM($B91)))*(GJ[Date]&lt;=$E$7),GJ[Debit]))))-((SUM(IF((CkDJ[Ofc Code]=(TRIM(G$4)))*(CkDJ[Account Code]=(TRIM($B91)))*(CkDJ[Date]&lt;=$E$7),CkDJ[Credit])))+(SUM(IF((CsDJ[Ofc Code]=(TRIM(G$4)))*(CsDJ[Account Code]=(TRIM($B91)))*(CsDJ[Date]&lt;=$E$7),CsDJ[Credit])))+(SUM(IF((CRDJ[Ofc Code]=(TRIM(G$4)))*(CRDJ[Account Code]=(TRIM($B91)))*(CRDJ[Date]&lt;=$E$7),CRDJ[Credit])))+(SUM(IF((GJ[Ofc Code]=(TRIM(G$4)))*(GJ[Account Code]=(TRIM($B91)))*(GJ[Date]&lt;=$E$7),GJ[Credit]))))</f>
        <v>0</v>
      </c>
      <c r="F91" s="245">
        <f t="array" ref="F91">((SUM(IF((CkDJ[Date]=$A$3)*(CkDJ[Ofc Code]=(TRIM(G$4)))*(CkDJ[Account Code]=(TRIM($B91))),CkDJ[Debit])))+(SUM(IF((CsDJ[Date]=$A$3)*(CsDJ[Ofc Code]=(TRIM(G$4)))*(CsDJ[Account Code]=(TRIM($B91))),CsDJ[Debit])))+(SUM(IF((CRDJ[Date]=$A$3)*(CRDJ[Ofc Code]=(TRIM(G$4)))*(CRDJ[Account Code]=(TRIM($B91))),CRDJ[Debit])))+(SUM(IF((GJ[Date]=$A$3)*(GJ[Ofc Code]=(TRIM(G$4)))*(GJ[Account Code]=(TRIM($B91))),GJ[Debit]))))-((SUM(IF((CkDJ[Date]=$A$3)*(CkDJ[Ofc Code]=(TRIM(G$4)))*(CkDJ[Account Code]=(TRIM($B91))),CkDJ[Credit])))+(SUM(IF((CsDJ[Date]=$A$3)*(CsDJ[Ofc Code]=(TRIM(G$4)))*(CsDJ[Account Code]=(TRIM($B91))),CsDJ[Credit])))+(SUM(IF((CRDJ[Date]=$A$3)*(CRDJ[Ofc Code]=(TRIM(G$4)))*(CRDJ[Account Code]=(TRIM($B91))),CRDJ[Credit])))+(SUM(IF((GJ[Date]=$A$3)*(GJ[Ofc Code]=(TRIM(G$4)))*(GJ[Account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x14ac:dyDescent="0.2">
      <c r="A92" s="256" t="s">
        <v>1475</v>
      </c>
      <c r="B92" s="339" t="s">
        <v>1266</v>
      </c>
      <c r="C92" s="245">
        <f t="array" ref="C92">SUM(IF((Budget[Account Code]=B92)*(Budget[Ofc Code]=$G$4),(Budget[Amount])))</f>
        <v>0</v>
      </c>
      <c r="D92" s="245">
        <f t="array" ref="D92">SUM(IF((Budget[Account Code]=B92)*(Budget[Ofc Code]=$G$4)*(Budget[Date]&lt;=$D$7),(Budget[Amount])))</f>
        <v>0</v>
      </c>
      <c r="E92" s="245">
        <f t="array" ref="E92">((SUM(IF((CkDJ[Ofc Code]=(TRIM(G$4)))*(CkDJ[Account Code]=(TRIM($B92)))*(CkDJ[Date]&lt;=$E$7),CkDJ[Debit])))+(SUM(IF((CsDJ[Ofc Code]=(TRIM(G$4)))*(CsDJ[Account Code]=(TRIM($B92)))*(CsDJ[Date]&lt;=$E$7),CsDJ[Debit])))+(SUM(IF((CRDJ[Ofc Code]=(TRIM(G$4)))*(CRDJ[Account Code]=(TRIM($B92)))*(CRDJ[Date]&lt;=$E$7),CRDJ[Debit])))+(SUM(IF((GJ[Ofc Code]=(TRIM(G$4)))*(GJ[Account Code]=(TRIM($B92)))*(GJ[Date]&lt;=$E$7),GJ[Debit]))))-((SUM(IF((CkDJ[Ofc Code]=(TRIM(G$4)))*(CkDJ[Account Code]=(TRIM($B92)))*(CkDJ[Date]&lt;=$E$7),CkDJ[Credit])))+(SUM(IF((CsDJ[Ofc Code]=(TRIM(G$4)))*(CsDJ[Account Code]=(TRIM($B92)))*(CsDJ[Date]&lt;=$E$7),CsDJ[Credit])))+(SUM(IF((CRDJ[Ofc Code]=(TRIM(G$4)))*(CRDJ[Account Code]=(TRIM($B92)))*(CRDJ[Date]&lt;=$E$7),CRDJ[Credit])))+(SUM(IF((GJ[Ofc Code]=(TRIM(G$4)))*(GJ[Account Code]=(TRIM($B92)))*(GJ[Date]&lt;=$E$7),GJ[Credit]))))</f>
        <v>0</v>
      </c>
      <c r="F92" s="245">
        <f t="array" ref="F92">((SUM(IF((CkDJ[Date]=$A$3)*(CkDJ[Ofc Code]=(TRIM(G$4)))*(CkDJ[Account Code]=(TRIM($B92))),CkDJ[Debit])))+(SUM(IF((CsDJ[Date]=$A$3)*(CsDJ[Ofc Code]=(TRIM(G$4)))*(CsDJ[Account Code]=(TRIM($B92))),CsDJ[Debit])))+(SUM(IF((CRDJ[Date]=$A$3)*(CRDJ[Ofc Code]=(TRIM(G$4)))*(CRDJ[Account Code]=(TRIM($B92))),CRDJ[Debit])))+(SUM(IF((GJ[Date]=$A$3)*(GJ[Ofc Code]=(TRIM(G$4)))*(GJ[Account Code]=(TRIM($B92))),GJ[Debit]))))-((SUM(IF((CkDJ[Date]=$A$3)*(CkDJ[Ofc Code]=(TRIM(G$4)))*(CkDJ[Account Code]=(TRIM($B92))),CkDJ[Credit])))+(SUM(IF((CsDJ[Date]=$A$3)*(CsDJ[Ofc Code]=(TRIM(G$4)))*(CsDJ[Account Code]=(TRIM($B92))),CsDJ[Credit])))+(SUM(IF((CRDJ[Date]=$A$3)*(CRDJ[Ofc Code]=(TRIM(G$4)))*(CRDJ[Account Code]=(TRIM($B92))),CRDJ[Credit])))+(SUM(IF((GJ[Date]=$A$3)*(GJ[Ofc Code]=(TRIM(G$4)))*(GJ[Account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Code]=B93)*(Budget[Ofc Code]=$G$4),(Budget[Amount])))</f>
        <v>0</v>
      </c>
      <c r="D93" s="245">
        <f t="array" ref="D93">SUM(IF((Budget[Account Code]=B93)*(Budget[Ofc Code]=$G$4)*(Budget[Date]&lt;=$D$7),(Budget[Amount])))</f>
        <v>0</v>
      </c>
      <c r="E93" s="245">
        <f t="array" ref="E93">((SUM(IF((CkDJ[Ofc Code]=(TRIM(G$4)))*(CkDJ[Account Code]=(TRIM($B93)))*(CkDJ[Date]&lt;=$E$7),CkDJ[Debit])))+(SUM(IF((CsDJ[Ofc Code]=(TRIM(G$4)))*(CsDJ[Account Code]=(TRIM($B93)))*(CsDJ[Date]&lt;=$E$7),CsDJ[Debit])))+(SUM(IF((CRDJ[Ofc Code]=(TRIM(G$4)))*(CRDJ[Account Code]=(TRIM($B93)))*(CRDJ[Date]&lt;=$E$7),CRDJ[Debit])))+(SUM(IF((GJ[Ofc Code]=(TRIM(G$4)))*(GJ[Account Code]=(TRIM($B93)))*(GJ[Date]&lt;=$E$7),GJ[Debit]))))-((SUM(IF((CkDJ[Ofc Code]=(TRIM(G$4)))*(CkDJ[Account Code]=(TRIM($B93)))*(CkDJ[Date]&lt;=$E$7),CkDJ[Credit])))+(SUM(IF((CsDJ[Ofc Code]=(TRIM(G$4)))*(CsDJ[Account Code]=(TRIM($B93)))*(CsDJ[Date]&lt;=$E$7),CsDJ[Credit])))+(SUM(IF((CRDJ[Ofc Code]=(TRIM(G$4)))*(CRDJ[Account Code]=(TRIM($B93)))*(CRDJ[Date]&lt;=$E$7),CRDJ[Credit])))+(SUM(IF((GJ[Ofc Code]=(TRIM(G$4)))*(GJ[Account Code]=(TRIM($B93)))*(GJ[Date]&lt;=$E$7),GJ[Credit]))))</f>
        <v>0</v>
      </c>
      <c r="F93" s="245">
        <f t="array" ref="F93">((SUM(IF((CkDJ[Date]=$A$3)*(CkDJ[Ofc Code]=(TRIM(G$4)))*(CkDJ[Account Code]=(TRIM($B93))),CkDJ[Debit])))+(SUM(IF((CsDJ[Date]=$A$3)*(CsDJ[Ofc Code]=(TRIM(G$4)))*(CsDJ[Account Code]=(TRIM($B93))),CsDJ[Debit])))+(SUM(IF((CRDJ[Date]=$A$3)*(CRDJ[Ofc Code]=(TRIM(G$4)))*(CRDJ[Account Code]=(TRIM($B93))),CRDJ[Debit])))+(SUM(IF((GJ[Date]=$A$3)*(GJ[Ofc Code]=(TRIM(G$4)))*(GJ[Account Code]=(TRIM($B93))),GJ[Debit]))))-((SUM(IF((CkDJ[Date]=$A$3)*(CkDJ[Ofc Code]=(TRIM(G$4)))*(CkDJ[Account Code]=(TRIM($B93))),CkDJ[Credit])))+(SUM(IF((CsDJ[Date]=$A$3)*(CsDJ[Ofc Code]=(TRIM(G$4)))*(CsDJ[Account Code]=(TRIM($B93))),CsDJ[Credit])))+(SUM(IF((CRDJ[Date]=$A$3)*(CRDJ[Ofc Code]=(TRIM(G$4)))*(CRDJ[Account Code]=(TRIM($B93))),CRDJ[Credit])))+(SUM(IF((GJ[Date]=$A$3)*(GJ[Ofc Code]=(TRIM(G$4)))*(GJ[Account Code]=(TRIM($B93))),GJ[Credit]))))</f>
        <v>0</v>
      </c>
      <c r="G93" s="343">
        <f t="shared" si="6"/>
        <v>0</v>
      </c>
      <c r="H93" s="246">
        <f t="shared" si="2"/>
        <v>0</v>
      </c>
      <c r="I93" s="246">
        <f t="shared" si="3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Code]=B94)*(Budget[Ofc Code]=$G$4),(Budget[Amount])))</f>
        <v>0</v>
      </c>
      <c r="D94" s="245">
        <f t="array" ref="D94">SUM(IF((Budget[Account Code]=B94)*(Budget[Ofc Code]=$G$4)*(Budget[Date]&lt;=$D$7),(Budget[Amount])))</f>
        <v>0</v>
      </c>
      <c r="E94" s="245">
        <f t="array" ref="E94">((SUM(IF((CkDJ[Ofc Code]=(TRIM(G$4)))*(CkDJ[Account Code]=(TRIM($B94)))*(CkDJ[Date]&lt;=$E$7),CkDJ[Debit])))+(SUM(IF((CsDJ[Ofc Code]=(TRIM(G$4)))*(CsDJ[Account Code]=(TRIM($B94)))*(CsDJ[Date]&lt;=$E$7),CsDJ[Debit])))+(SUM(IF((CRDJ[Ofc Code]=(TRIM(G$4)))*(CRDJ[Account Code]=(TRIM($B94)))*(CRDJ[Date]&lt;=$E$7),CRDJ[Debit])))+(SUM(IF((GJ[Ofc Code]=(TRIM(G$4)))*(GJ[Account Code]=(TRIM($B94)))*(GJ[Date]&lt;=$E$7),GJ[Debit]))))-((SUM(IF((CkDJ[Ofc Code]=(TRIM(G$4)))*(CkDJ[Account Code]=(TRIM($B94)))*(CkDJ[Date]&lt;=$E$7),CkDJ[Credit])))+(SUM(IF((CsDJ[Ofc Code]=(TRIM(G$4)))*(CsDJ[Account Code]=(TRIM($B94)))*(CsDJ[Date]&lt;=$E$7),CsDJ[Credit])))+(SUM(IF((CRDJ[Ofc Code]=(TRIM(G$4)))*(CRDJ[Account Code]=(TRIM($B94)))*(CRDJ[Date]&lt;=$E$7),CRDJ[Credit])))+(SUM(IF((GJ[Ofc Code]=(TRIM(G$4)))*(GJ[Account Code]=(TRIM($B94)))*(GJ[Date]&lt;=$E$7),GJ[Credit]))))</f>
        <v>0</v>
      </c>
      <c r="F94" s="245">
        <f t="array" ref="F94">((SUM(IF((CkDJ[Date]=$A$3)*(CkDJ[Ofc Code]=(TRIM(G$4)))*(CkDJ[Account Code]=(TRIM($B94))),CkDJ[Debit])))+(SUM(IF((CsDJ[Date]=$A$3)*(CsDJ[Ofc Code]=(TRIM(G$4)))*(CsDJ[Account Code]=(TRIM($B94))),CsDJ[Debit])))+(SUM(IF((CRDJ[Date]=$A$3)*(CRDJ[Ofc Code]=(TRIM(G$4)))*(CRDJ[Account Code]=(TRIM($B94))),CRDJ[Debit])))+(SUM(IF((GJ[Date]=$A$3)*(GJ[Ofc Code]=(TRIM(G$4)))*(GJ[Account Code]=(TRIM($B94))),GJ[Debit]))))-((SUM(IF((CkDJ[Date]=$A$3)*(CkDJ[Ofc Code]=(TRIM(G$4)))*(CkDJ[Account Code]=(TRIM($B94))),CkDJ[Credit])))+(SUM(IF((CsDJ[Date]=$A$3)*(CsDJ[Ofc Code]=(TRIM(G$4)))*(CsDJ[Account Code]=(TRIM($B94))),CsDJ[Credit])))+(SUM(IF((CRDJ[Date]=$A$3)*(CRDJ[Ofc Code]=(TRIM(G$4)))*(CRDJ[Account Code]=(TRIM($B94))),CRDJ[Credit])))+(SUM(IF((GJ[Date]=$A$3)*(GJ[Ofc Code]=(TRIM(G$4)))*(GJ[Account Code]=(TRIM($B94))),GJ[Credit]))))</f>
        <v>0</v>
      </c>
      <c r="G94" s="343">
        <f t="shared" si="6"/>
        <v>0</v>
      </c>
      <c r="H94" s="246">
        <f t="shared" si="2"/>
        <v>0</v>
      </c>
      <c r="I94" s="246">
        <f t="shared" si="3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Code]=B95)*(Budget[Ofc Code]=$G$4),(Budget[Amount])))</f>
        <v>0</v>
      </c>
      <c r="D95" s="245">
        <f t="array" ref="D95">SUM(IF((Budget[Account Code]=B95)*(Budget[Ofc Code]=$G$4)*(Budget[Date]&lt;=$D$7),(Budget[Amount])))</f>
        <v>0</v>
      </c>
      <c r="E95" s="245">
        <f t="array" ref="E95">((SUM(IF((CkDJ[Ofc Code]=(TRIM(G$4)))*(CkDJ[Account Code]=(TRIM($B95)))*(CkDJ[Date]&lt;=$E$7),CkDJ[Debit])))+(SUM(IF((CsDJ[Ofc Code]=(TRIM(G$4)))*(CsDJ[Account Code]=(TRIM($B95)))*(CsDJ[Date]&lt;=$E$7),CsDJ[Debit])))+(SUM(IF((CRDJ[Ofc Code]=(TRIM(G$4)))*(CRDJ[Account Code]=(TRIM($B95)))*(CRDJ[Date]&lt;=$E$7),CRDJ[Debit])))+(SUM(IF((GJ[Ofc Code]=(TRIM(G$4)))*(GJ[Account Code]=(TRIM($B95)))*(GJ[Date]&lt;=$E$7),GJ[Debit]))))-((SUM(IF((CkDJ[Ofc Code]=(TRIM(G$4)))*(CkDJ[Account Code]=(TRIM($B95)))*(CkDJ[Date]&lt;=$E$7),CkDJ[Credit])))+(SUM(IF((CsDJ[Ofc Code]=(TRIM(G$4)))*(CsDJ[Account Code]=(TRIM($B95)))*(CsDJ[Date]&lt;=$E$7),CsDJ[Credit])))+(SUM(IF((CRDJ[Ofc Code]=(TRIM(G$4)))*(CRDJ[Account Code]=(TRIM($B95)))*(CRDJ[Date]&lt;=$E$7),CRDJ[Credit])))+(SUM(IF((GJ[Ofc Code]=(TRIM(G$4)))*(GJ[Account Code]=(TRIM($B95)))*(GJ[Date]&lt;=$E$7),GJ[Credit]))))</f>
        <v>0</v>
      </c>
      <c r="F95" s="245">
        <f t="array" ref="F95">((SUM(IF((CkDJ[Date]=$A$3)*(CkDJ[Ofc Code]=(TRIM(G$4)))*(CkDJ[Account Code]=(TRIM($B95))),CkDJ[Debit])))+(SUM(IF((CsDJ[Date]=$A$3)*(CsDJ[Ofc Code]=(TRIM(G$4)))*(CsDJ[Account Code]=(TRIM($B95))),CsDJ[Debit])))+(SUM(IF((CRDJ[Date]=$A$3)*(CRDJ[Ofc Code]=(TRIM(G$4)))*(CRDJ[Account Code]=(TRIM($B95))),CRDJ[Debit])))+(SUM(IF((GJ[Date]=$A$3)*(GJ[Ofc Code]=(TRIM(G$4)))*(GJ[Account Code]=(TRIM($B95))),GJ[Debit]))))-((SUM(IF((CkDJ[Date]=$A$3)*(CkDJ[Ofc Code]=(TRIM(G$4)))*(CkDJ[Account Code]=(TRIM($B95))),CkDJ[Credit])))+(SUM(IF((CsDJ[Date]=$A$3)*(CsDJ[Ofc Code]=(TRIM(G$4)))*(CsDJ[Account Code]=(TRIM($B95))),CsDJ[Credit])))+(SUM(IF((CRDJ[Date]=$A$3)*(CRDJ[Ofc Code]=(TRIM(G$4)))*(CRDJ[Account Code]=(TRIM($B95))),CRDJ[Credit])))+(SUM(IF((GJ[Date]=$A$3)*(GJ[Ofc Code]=(TRIM(G$4)))*(GJ[Account Code]=(TRIM($B95))),GJ[Credit]))))</f>
        <v>0</v>
      </c>
      <c r="G95" s="343">
        <f t="shared" si="6"/>
        <v>0</v>
      </c>
      <c r="H95" s="246">
        <f t="shared" si="2"/>
        <v>0</v>
      </c>
      <c r="I95" s="246">
        <f t="shared" si="3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Code]=B96)*(Budget[Ofc Code]=$G$4),(Budget[Amount])))</f>
        <v>0</v>
      </c>
      <c r="D96" s="245">
        <f t="array" ref="D96">SUM(IF((Budget[Account Code]=B96)*(Budget[Ofc Code]=$G$4)*(Budget[Date]&lt;=$D$7),(Budget[Amount])))</f>
        <v>0</v>
      </c>
      <c r="E96" s="245">
        <f t="array" ref="E96">((SUM(IF((CkDJ[Ofc Code]=(TRIM(G$4)))*(CkDJ[Account Code]=(TRIM($B96)))*(CkDJ[Date]&lt;=$E$7),CkDJ[Debit])))+(SUM(IF((CsDJ[Ofc Code]=(TRIM(G$4)))*(CsDJ[Account Code]=(TRIM($B96)))*(CsDJ[Date]&lt;=$E$7),CsDJ[Debit])))+(SUM(IF((CRDJ[Ofc Code]=(TRIM(G$4)))*(CRDJ[Account Code]=(TRIM($B96)))*(CRDJ[Date]&lt;=$E$7),CRDJ[Debit])))+(SUM(IF((GJ[Ofc Code]=(TRIM(G$4)))*(GJ[Account Code]=(TRIM($B96)))*(GJ[Date]&lt;=$E$7),GJ[Debit]))))-((SUM(IF((CkDJ[Ofc Code]=(TRIM(G$4)))*(CkDJ[Account Code]=(TRIM($B96)))*(CkDJ[Date]&lt;=$E$7),CkDJ[Credit])))+(SUM(IF((CsDJ[Ofc Code]=(TRIM(G$4)))*(CsDJ[Account Code]=(TRIM($B96)))*(CsDJ[Date]&lt;=$E$7),CsDJ[Credit])))+(SUM(IF((CRDJ[Ofc Code]=(TRIM(G$4)))*(CRDJ[Account Code]=(TRIM($B96)))*(CRDJ[Date]&lt;=$E$7),CRDJ[Credit])))+(SUM(IF((GJ[Ofc Code]=(TRIM(G$4)))*(GJ[Account Code]=(TRIM($B96)))*(GJ[Date]&lt;=$E$7),GJ[Credit]))))</f>
        <v>0</v>
      </c>
      <c r="F96" s="245">
        <f t="array" ref="F96">((SUM(IF((CkDJ[Date]=$A$3)*(CkDJ[Ofc Code]=(TRIM(G$4)))*(CkDJ[Account Code]=(TRIM($B96))),CkDJ[Debit])))+(SUM(IF((CsDJ[Date]=$A$3)*(CsDJ[Ofc Code]=(TRIM(G$4)))*(CsDJ[Account Code]=(TRIM($B96))),CsDJ[Debit])))+(SUM(IF((CRDJ[Date]=$A$3)*(CRDJ[Ofc Code]=(TRIM(G$4)))*(CRDJ[Account Code]=(TRIM($B96))),CRDJ[Debit])))+(SUM(IF((GJ[Date]=$A$3)*(GJ[Ofc Code]=(TRIM(G$4)))*(GJ[Account Code]=(TRIM($B96))),GJ[Debit]))))-((SUM(IF((CkDJ[Date]=$A$3)*(CkDJ[Ofc Code]=(TRIM(G$4)))*(CkDJ[Account Code]=(TRIM($B96))),CkDJ[Credit])))+(SUM(IF((CsDJ[Date]=$A$3)*(CsDJ[Ofc Code]=(TRIM(G$4)))*(CsDJ[Account Code]=(TRIM($B96))),CsDJ[Credit])))+(SUM(IF((CRDJ[Date]=$A$3)*(CRDJ[Ofc Code]=(TRIM(G$4)))*(CRDJ[Account Code]=(TRIM($B96))),CRDJ[Credit])))+(SUM(IF((GJ[Date]=$A$3)*(GJ[Ofc Code]=(TRIM(G$4)))*(GJ[Account Code]=(TRIM($B96))),GJ[Credit]))))</f>
        <v>0</v>
      </c>
      <c r="G96" s="343">
        <f t="shared" si="6"/>
        <v>0</v>
      </c>
      <c r="H96" s="246">
        <f t="shared" si="2"/>
        <v>0</v>
      </c>
      <c r="I96" s="246">
        <f t="shared" si="3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Code]=B97)*(Budget[Ofc Code]=$G$4),(Budget[Amount])))</f>
        <v>0</v>
      </c>
      <c r="D97" s="245">
        <f t="array" ref="D97">SUM(IF((Budget[Account Code]=B97)*(Budget[Ofc Code]=$G$4)*(Budget[Date]&lt;=$D$7),(Budget[Amount])))</f>
        <v>0</v>
      </c>
      <c r="E97" s="245">
        <f t="array" ref="E97">((SUM(IF((CkDJ[Ofc Code]=(TRIM(G$4)))*(CkDJ[Account Code]=(TRIM($B97)))*(CkDJ[Date]&lt;=$E$7),CkDJ[Debit])))+(SUM(IF((CsDJ[Ofc Code]=(TRIM(G$4)))*(CsDJ[Account Code]=(TRIM($B97)))*(CsDJ[Date]&lt;=$E$7),CsDJ[Debit])))+(SUM(IF((CRDJ[Ofc Code]=(TRIM(G$4)))*(CRDJ[Account Code]=(TRIM($B97)))*(CRDJ[Date]&lt;=$E$7),CRDJ[Debit])))+(SUM(IF((GJ[Ofc Code]=(TRIM(G$4)))*(GJ[Account Code]=(TRIM($B97)))*(GJ[Date]&lt;=$E$7),GJ[Debit]))))-((SUM(IF((CkDJ[Ofc Code]=(TRIM(G$4)))*(CkDJ[Account Code]=(TRIM($B97)))*(CkDJ[Date]&lt;=$E$7),CkDJ[Credit])))+(SUM(IF((CsDJ[Ofc Code]=(TRIM(G$4)))*(CsDJ[Account Code]=(TRIM($B97)))*(CsDJ[Date]&lt;=$E$7),CsDJ[Credit])))+(SUM(IF((CRDJ[Ofc Code]=(TRIM(G$4)))*(CRDJ[Account Code]=(TRIM($B97)))*(CRDJ[Date]&lt;=$E$7),CRDJ[Credit])))+(SUM(IF((GJ[Ofc Code]=(TRIM(G$4)))*(GJ[Account Code]=(TRIM($B97)))*(GJ[Date]&lt;=$E$7),GJ[Credit]))))</f>
        <v>0</v>
      </c>
      <c r="F97" s="245">
        <f t="array" ref="F97">((SUM(IF((CkDJ[Date]=$A$3)*(CkDJ[Ofc Code]=(TRIM(G$4)))*(CkDJ[Account Code]=(TRIM($B97))),CkDJ[Debit])))+(SUM(IF((CsDJ[Date]=$A$3)*(CsDJ[Ofc Code]=(TRIM(G$4)))*(CsDJ[Account Code]=(TRIM($B97))),CsDJ[Debit])))+(SUM(IF((CRDJ[Date]=$A$3)*(CRDJ[Ofc Code]=(TRIM(G$4)))*(CRDJ[Account Code]=(TRIM($B97))),CRDJ[Debit])))+(SUM(IF((GJ[Date]=$A$3)*(GJ[Ofc Code]=(TRIM(G$4)))*(GJ[Account Code]=(TRIM($B97))),GJ[Debit]))))-((SUM(IF((CkDJ[Date]=$A$3)*(CkDJ[Ofc Code]=(TRIM(G$4)))*(CkDJ[Account Code]=(TRIM($B97))),CkDJ[Credit])))+(SUM(IF((CsDJ[Date]=$A$3)*(CsDJ[Ofc Code]=(TRIM(G$4)))*(CsDJ[Account Code]=(TRIM($B97))),CsDJ[Credit])))+(SUM(IF((CRDJ[Date]=$A$3)*(CRDJ[Ofc Code]=(TRIM(G$4)))*(CRDJ[Account Code]=(TRIM($B97))),CRDJ[Credit])))+(SUM(IF((GJ[Date]=$A$3)*(GJ[Ofc Code]=(TRIM(G$4)))*(GJ[Account Code]=(TRIM($B97))),GJ[Credit]))))</f>
        <v>0</v>
      </c>
      <c r="G97" s="343">
        <f t="shared" si="6"/>
        <v>0</v>
      </c>
      <c r="H97" s="246">
        <f t="shared" si="2"/>
        <v>0</v>
      </c>
      <c r="I97" s="246">
        <f t="shared" si="3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Code]=B98)*(Budget[Ofc Code]=$G$4),(Budget[Amount])))</f>
        <v>0</v>
      </c>
      <c r="D98" s="245">
        <f t="array" ref="D98">SUM(IF((Budget[Account Code]=B98)*(Budget[Ofc Code]=$G$4)*(Budget[Date]&lt;=$D$7),(Budget[Amount])))</f>
        <v>0</v>
      </c>
      <c r="E98" s="245">
        <f t="array" ref="E98">((SUM(IF((CkDJ[Ofc Code]=(TRIM(G$4)))*(CkDJ[Account Code]=(TRIM($B98)))*(CkDJ[Date]&lt;=$E$7),CkDJ[Debit])))+(SUM(IF((CsDJ[Ofc Code]=(TRIM(G$4)))*(CsDJ[Account Code]=(TRIM($B98)))*(CsDJ[Date]&lt;=$E$7),CsDJ[Debit])))+(SUM(IF((CRDJ[Ofc Code]=(TRIM(G$4)))*(CRDJ[Account Code]=(TRIM($B98)))*(CRDJ[Date]&lt;=$E$7),CRDJ[Debit])))+(SUM(IF((GJ[Ofc Code]=(TRIM(G$4)))*(GJ[Account Code]=(TRIM($B98)))*(GJ[Date]&lt;=$E$7),GJ[Debit]))))-((SUM(IF((CkDJ[Ofc Code]=(TRIM(G$4)))*(CkDJ[Account Code]=(TRIM($B98)))*(CkDJ[Date]&lt;=$E$7),CkDJ[Credit])))+(SUM(IF((CsDJ[Ofc Code]=(TRIM(G$4)))*(CsDJ[Account Code]=(TRIM($B98)))*(CsDJ[Date]&lt;=$E$7),CsDJ[Credit])))+(SUM(IF((CRDJ[Ofc Code]=(TRIM(G$4)))*(CRDJ[Account Code]=(TRIM($B98)))*(CRDJ[Date]&lt;=$E$7),CRDJ[Credit])))+(SUM(IF((GJ[Ofc Code]=(TRIM(G$4)))*(GJ[Account Code]=(TRIM($B98)))*(GJ[Date]&lt;=$E$7),GJ[Credit]))))</f>
        <v>0</v>
      </c>
      <c r="F98" s="245">
        <f t="array" ref="F98">((SUM(IF((CkDJ[Date]=$A$3)*(CkDJ[Ofc Code]=(TRIM(G$4)))*(CkDJ[Account Code]=(TRIM($B98))),CkDJ[Debit])))+(SUM(IF((CsDJ[Date]=$A$3)*(CsDJ[Ofc Code]=(TRIM(G$4)))*(CsDJ[Account Code]=(TRIM($B98))),CsDJ[Debit])))+(SUM(IF((CRDJ[Date]=$A$3)*(CRDJ[Ofc Code]=(TRIM(G$4)))*(CRDJ[Account Code]=(TRIM($B98))),CRDJ[Debit])))+(SUM(IF((GJ[Date]=$A$3)*(GJ[Ofc Code]=(TRIM(G$4)))*(GJ[Account Code]=(TRIM($B98))),GJ[Debit]))))-((SUM(IF((CkDJ[Date]=$A$3)*(CkDJ[Ofc Code]=(TRIM(G$4)))*(CkDJ[Account Code]=(TRIM($B98))),CkDJ[Credit])))+(SUM(IF((CsDJ[Date]=$A$3)*(CsDJ[Ofc Code]=(TRIM(G$4)))*(CsDJ[Account Code]=(TRIM($B98))),CsDJ[Credit])))+(SUM(IF((CRDJ[Date]=$A$3)*(CRDJ[Ofc Code]=(TRIM(G$4)))*(CRDJ[Account Code]=(TRIM($B98))),CRDJ[Credit])))+(SUM(IF((GJ[Date]=$A$3)*(GJ[Ofc Code]=(TRIM(G$4)))*(GJ[Account Code]=(TRIM($B98))),GJ[Credit]))))</f>
        <v>0</v>
      </c>
      <c r="G98" s="343">
        <f t="shared" si="6"/>
        <v>0</v>
      </c>
      <c r="H98" s="246">
        <f t="shared" si="2"/>
        <v>0</v>
      </c>
      <c r="I98" s="246">
        <f t="shared" si="3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Code]=B99)*(Budget[Ofc Code]=$G$4),(Budget[Amount])))</f>
        <v>0</v>
      </c>
      <c r="D99" s="245">
        <f t="array" ref="D99">SUM(IF((Budget[Account Code]=B99)*(Budget[Ofc Code]=$G$4)*(Budget[Date]&lt;=$D$7),(Budget[Amount])))</f>
        <v>0</v>
      </c>
      <c r="E99" s="245">
        <f t="array" ref="E99">((SUM(IF((CkDJ[Ofc Code]=(TRIM(G$4)))*(CkDJ[Account Code]=(TRIM($B99)))*(CkDJ[Date]&lt;=$E$7),CkDJ[Debit])))+(SUM(IF((CsDJ[Ofc Code]=(TRIM(G$4)))*(CsDJ[Account Code]=(TRIM($B99)))*(CsDJ[Date]&lt;=$E$7),CsDJ[Debit])))+(SUM(IF((CRDJ[Ofc Code]=(TRIM(G$4)))*(CRDJ[Account Code]=(TRIM($B99)))*(CRDJ[Date]&lt;=$E$7),CRDJ[Debit])))+(SUM(IF((GJ[Ofc Code]=(TRIM(G$4)))*(GJ[Account Code]=(TRIM($B99)))*(GJ[Date]&lt;=$E$7),GJ[Debit]))))-((SUM(IF((CkDJ[Ofc Code]=(TRIM(G$4)))*(CkDJ[Account Code]=(TRIM($B99)))*(CkDJ[Date]&lt;=$E$7),CkDJ[Credit])))+(SUM(IF((CsDJ[Ofc Code]=(TRIM(G$4)))*(CsDJ[Account Code]=(TRIM($B99)))*(CsDJ[Date]&lt;=$E$7),CsDJ[Credit])))+(SUM(IF((CRDJ[Ofc Code]=(TRIM(G$4)))*(CRDJ[Account Code]=(TRIM($B99)))*(CRDJ[Date]&lt;=$E$7),CRDJ[Credit])))+(SUM(IF((GJ[Ofc Code]=(TRIM(G$4)))*(GJ[Account Code]=(TRIM($B99)))*(GJ[Date]&lt;=$E$7),GJ[Credit]))))</f>
        <v>0</v>
      </c>
      <c r="F99" s="245">
        <f t="array" ref="F99">((SUM(IF((CkDJ[Date]=$A$3)*(CkDJ[Ofc Code]=(TRIM(G$4)))*(CkDJ[Account Code]=(TRIM($B99))),CkDJ[Debit])))+(SUM(IF((CsDJ[Date]=$A$3)*(CsDJ[Ofc Code]=(TRIM(G$4)))*(CsDJ[Account Code]=(TRIM($B99))),CsDJ[Debit])))+(SUM(IF((CRDJ[Date]=$A$3)*(CRDJ[Ofc Code]=(TRIM(G$4)))*(CRDJ[Account Code]=(TRIM($B99))),CRDJ[Debit])))+(SUM(IF((GJ[Date]=$A$3)*(GJ[Ofc Code]=(TRIM(G$4)))*(GJ[Account Code]=(TRIM($B99))),GJ[Debit]))))-((SUM(IF((CkDJ[Date]=$A$3)*(CkDJ[Ofc Code]=(TRIM(G$4)))*(CkDJ[Account Code]=(TRIM($B99))),CkDJ[Credit])))+(SUM(IF((CsDJ[Date]=$A$3)*(CsDJ[Ofc Code]=(TRIM(G$4)))*(CsDJ[Account Code]=(TRIM($B99))),CsDJ[Credit])))+(SUM(IF((CRDJ[Date]=$A$3)*(CRDJ[Ofc Code]=(TRIM(G$4)))*(CRDJ[Account Code]=(TRIM($B99))),CRDJ[Credit])))+(SUM(IF((GJ[Date]=$A$3)*(GJ[Ofc Code]=(TRIM(G$4)))*(GJ[Account Code]=(TRIM($B99))),GJ[Credit]))))</f>
        <v>0</v>
      </c>
      <c r="G99" s="343">
        <f t="shared" si="6"/>
        <v>0</v>
      </c>
      <c r="H99" s="246">
        <f t="shared" ref="H99:H153" si="7">G99-D99</f>
        <v>0</v>
      </c>
      <c r="I99" s="246">
        <f t="shared" ref="I99:I153" si="8">IF((D99=0),0,G99/D99)</f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Code]=B100)*(Budget[Ofc Code]=$G$4),(Budget[Amount])))</f>
        <v>0</v>
      </c>
      <c r="D100" s="245">
        <f t="array" ref="D100">SUM(IF((Budget[Account Code]=B100)*(Budget[Ofc Code]=$G$4)*(Budget[Date]&lt;=$D$7),(Budget[Amount])))</f>
        <v>0</v>
      </c>
      <c r="E100" s="245">
        <f t="array" ref="E100">((SUM(IF((CkDJ[Ofc Code]=(TRIM(G$4)))*(CkDJ[Account Code]=(TRIM($B100)))*(CkDJ[Date]&lt;=$E$7),CkDJ[Debit])))+(SUM(IF((CsDJ[Ofc Code]=(TRIM(G$4)))*(CsDJ[Account Code]=(TRIM($B100)))*(CsDJ[Date]&lt;=$E$7),CsDJ[Debit])))+(SUM(IF((CRDJ[Ofc Code]=(TRIM(G$4)))*(CRDJ[Account Code]=(TRIM($B100)))*(CRDJ[Date]&lt;=$E$7),CRDJ[Debit])))+(SUM(IF((GJ[Ofc Code]=(TRIM(G$4)))*(GJ[Account Code]=(TRIM($B100)))*(GJ[Date]&lt;=$E$7),GJ[Debit]))))-((SUM(IF((CkDJ[Ofc Code]=(TRIM(G$4)))*(CkDJ[Account Code]=(TRIM($B100)))*(CkDJ[Date]&lt;=$E$7),CkDJ[Credit])))+(SUM(IF((CsDJ[Ofc Code]=(TRIM(G$4)))*(CsDJ[Account Code]=(TRIM($B100)))*(CsDJ[Date]&lt;=$E$7),CsDJ[Credit])))+(SUM(IF((CRDJ[Ofc Code]=(TRIM(G$4)))*(CRDJ[Account Code]=(TRIM($B100)))*(CRDJ[Date]&lt;=$E$7),CRDJ[Credit])))+(SUM(IF((GJ[Ofc Code]=(TRIM(G$4)))*(GJ[Account Code]=(TRIM($B100)))*(GJ[Date]&lt;=$E$7),GJ[Credit]))))</f>
        <v>0</v>
      </c>
      <c r="F100" s="245">
        <f t="array" ref="F100">((SUM(IF((CkDJ[Date]=$A$3)*(CkDJ[Ofc Code]=(TRIM(G$4)))*(CkDJ[Account Code]=(TRIM($B100))),CkDJ[Debit])))+(SUM(IF((CsDJ[Date]=$A$3)*(CsDJ[Ofc Code]=(TRIM(G$4)))*(CsDJ[Account Code]=(TRIM($B100))),CsDJ[Debit])))+(SUM(IF((CRDJ[Date]=$A$3)*(CRDJ[Ofc Code]=(TRIM(G$4)))*(CRDJ[Account Code]=(TRIM($B100))),CRDJ[Debit])))+(SUM(IF((GJ[Date]=$A$3)*(GJ[Ofc Code]=(TRIM(G$4)))*(GJ[Account Code]=(TRIM($B100))),GJ[Debit]))))-((SUM(IF((CkDJ[Date]=$A$3)*(CkDJ[Ofc Code]=(TRIM(G$4)))*(CkDJ[Account Code]=(TRIM($B100))),CkDJ[Credit])))+(SUM(IF((CsDJ[Date]=$A$3)*(CsDJ[Ofc Code]=(TRIM(G$4)))*(CsDJ[Account Code]=(TRIM($B100))),CsDJ[Credit])))+(SUM(IF((CRDJ[Date]=$A$3)*(CRDJ[Ofc Code]=(TRIM(G$4)))*(CRDJ[Account Code]=(TRIM($B100))),CRDJ[Credit])))+(SUM(IF((GJ[Date]=$A$3)*(GJ[Ofc Code]=(TRIM(G$4)))*(GJ[Account Code]=(TRIM($B100))),GJ[Credit]))))</f>
        <v>0</v>
      </c>
      <c r="G100" s="343">
        <f t="shared" si="6"/>
        <v>0</v>
      </c>
      <c r="H100" s="246">
        <f t="shared" si="7"/>
        <v>0</v>
      </c>
      <c r="I100" s="246">
        <f t="shared" si="8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Code]=B101)*(Budget[Ofc Code]=$G$4),(Budget[Amount])))</f>
        <v>0</v>
      </c>
      <c r="D101" s="245">
        <f t="array" ref="D101">SUM(IF((Budget[Account Code]=B101)*(Budget[Ofc Code]=$G$4)*(Budget[Date]&lt;=$D$7),(Budget[Amount])))</f>
        <v>0</v>
      </c>
      <c r="E101" s="245">
        <f t="array" ref="E101">((SUM(IF((CkDJ[Ofc Code]=(TRIM(G$4)))*(CkDJ[Account Code]=(TRIM($B101)))*(CkDJ[Date]&lt;=$E$7),CkDJ[Debit])))+(SUM(IF((CsDJ[Ofc Code]=(TRIM(G$4)))*(CsDJ[Account Code]=(TRIM($B101)))*(CsDJ[Date]&lt;=$E$7),CsDJ[Debit])))+(SUM(IF((CRDJ[Ofc Code]=(TRIM(G$4)))*(CRDJ[Account Code]=(TRIM($B101)))*(CRDJ[Date]&lt;=$E$7),CRDJ[Debit])))+(SUM(IF((GJ[Ofc Code]=(TRIM(G$4)))*(GJ[Account Code]=(TRIM($B101)))*(GJ[Date]&lt;=$E$7),GJ[Debit]))))-((SUM(IF((CkDJ[Ofc Code]=(TRIM(G$4)))*(CkDJ[Account Code]=(TRIM($B101)))*(CkDJ[Date]&lt;=$E$7),CkDJ[Credit])))+(SUM(IF((CsDJ[Ofc Code]=(TRIM(G$4)))*(CsDJ[Account Code]=(TRIM($B101)))*(CsDJ[Date]&lt;=$E$7),CsDJ[Credit])))+(SUM(IF((CRDJ[Ofc Code]=(TRIM(G$4)))*(CRDJ[Account Code]=(TRIM($B101)))*(CRDJ[Date]&lt;=$E$7),CRDJ[Credit])))+(SUM(IF((GJ[Ofc Code]=(TRIM(G$4)))*(GJ[Account Code]=(TRIM($B101)))*(GJ[Date]&lt;=$E$7),GJ[Credit]))))</f>
        <v>0</v>
      </c>
      <c r="F101" s="245">
        <f t="array" ref="F101">((SUM(IF((CkDJ[Date]=$A$3)*(CkDJ[Ofc Code]=(TRIM(G$4)))*(CkDJ[Account Code]=(TRIM($B101))),CkDJ[Debit])))+(SUM(IF((CsDJ[Date]=$A$3)*(CsDJ[Ofc Code]=(TRIM(G$4)))*(CsDJ[Account Code]=(TRIM($B101))),CsDJ[Debit])))+(SUM(IF((CRDJ[Date]=$A$3)*(CRDJ[Ofc Code]=(TRIM(G$4)))*(CRDJ[Account Code]=(TRIM($B101))),CRDJ[Debit])))+(SUM(IF((GJ[Date]=$A$3)*(GJ[Ofc Code]=(TRIM(G$4)))*(GJ[Account Code]=(TRIM($B101))),GJ[Debit]))))-((SUM(IF((CkDJ[Date]=$A$3)*(CkDJ[Ofc Code]=(TRIM(G$4)))*(CkDJ[Account Code]=(TRIM($B101))),CkDJ[Credit])))+(SUM(IF((CsDJ[Date]=$A$3)*(CsDJ[Ofc Code]=(TRIM(G$4)))*(CsDJ[Account Code]=(TRIM($B101))),CsDJ[Credit])))+(SUM(IF((CRDJ[Date]=$A$3)*(CRDJ[Ofc Code]=(TRIM(G$4)))*(CRDJ[Account Code]=(TRIM($B101))),CRDJ[Credit])))+(SUM(IF((GJ[Date]=$A$3)*(GJ[Ofc Code]=(TRIM(G$4)))*(GJ[Account Code]=(TRIM($B101))),GJ[Credit]))))</f>
        <v>0</v>
      </c>
      <c r="G101" s="343">
        <f t="shared" si="6"/>
        <v>0</v>
      </c>
      <c r="H101" s="246">
        <f t="shared" si="7"/>
        <v>0</v>
      </c>
      <c r="I101" s="246">
        <f t="shared" si="8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Code]=B102)*(Budget[Ofc Code]=$G$4),(Budget[Amount])))</f>
        <v>0</v>
      </c>
      <c r="D102" s="245">
        <f t="array" ref="D102">SUM(IF((Budget[Account Code]=B102)*(Budget[Ofc Code]=$G$4)*(Budget[Date]&lt;=$D$7),(Budget[Amount])))</f>
        <v>0</v>
      </c>
      <c r="E102" s="245">
        <f t="array" ref="E102">((SUM(IF((CkDJ[Ofc Code]=(TRIM(G$4)))*(CkDJ[Account Code]=(TRIM($B102)))*(CkDJ[Date]&lt;=$E$7),CkDJ[Debit])))+(SUM(IF((CsDJ[Ofc Code]=(TRIM(G$4)))*(CsDJ[Account Code]=(TRIM($B102)))*(CsDJ[Date]&lt;=$E$7),CsDJ[Debit])))+(SUM(IF((CRDJ[Ofc Code]=(TRIM(G$4)))*(CRDJ[Account Code]=(TRIM($B102)))*(CRDJ[Date]&lt;=$E$7),CRDJ[Debit])))+(SUM(IF((GJ[Ofc Code]=(TRIM(G$4)))*(GJ[Account Code]=(TRIM($B102)))*(GJ[Date]&lt;=$E$7),GJ[Debit]))))-((SUM(IF((CkDJ[Ofc Code]=(TRIM(G$4)))*(CkDJ[Account Code]=(TRIM($B102)))*(CkDJ[Date]&lt;=$E$7),CkDJ[Credit])))+(SUM(IF((CsDJ[Ofc Code]=(TRIM(G$4)))*(CsDJ[Account Code]=(TRIM($B102)))*(CsDJ[Date]&lt;=$E$7),CsDJ[Credit])))+(SUM(IF((CRDJ[Ofc Code]=(TRIM(G$4)))*(CRDJ[Account Code]=(TRIM($B102)))*(CRDJ[Date]&lt;=$E$7),CRDJ[Credit])))+(SUM(IF((GJ[Ofc Code]=(TRIM(G$4)))*(GJ[Account Code]=(TRIM($B102)))*(GJ[Date]&lt;=$E$7),GJ[Credit]))))</f>
        <v>0</v>
      </c>
      <c r="F102" s="245">
        <f t="array" ref="F102">((SUM(IF((CkDJ[Date]=$A$3)*(CkDJ[Ofc Code]=(TRIM(G$4)))*(CkDJ[Account Code]=(TRIM($B102))),CkDJ[Debit])))+(SUM(IF((CsDJ[Date]=$A$3)*(CsDJ[Ofc Code]=(TRIM(G$4)))*(CsDJ[Account Code]=(TRIM($B102))),CsDJ[Debit])))+(SUM(IF((CRDJ[Date]=$A$3)*(CRDJ[Ofc Code]=(TRIM(G$4)))*(CRDJ[Account Code]=(TRIM($B102))),CRDJ[Debit])))+(SUM(IF((GJ[Date]=$A$3)*(GJ[Ofc Code]=(TRIM(G$4)))*(GJ[Account Code]=(TRIM($B102))),GJ[Debit]))))-((SUM(IF((CkDJ[Date]=$A$3)*(CkDJ[Ofc Code]=(TRIM(G$4)))*(CkDJ[Account Code]=(TRIM($B102))),CkDJ[Credit])))+(SUM(IF((CsDJ[Date]=$A$3)*(CsDJ[Ofc Code]=(TRIM(G$4)))*(CsDJ[Account Code]=(TRIM($B102))),CsDJ[Credit])))+(SUM(IF((CRDJ[Date]=$A$3)*(CRDJ[Ofc Code]=(TRIM(G$4)))*(CRDJ[Account Code]=(TRIM($B102))),CRDJ[Credit])))+(SUM(IF((GJ[Date]=$A$3)*(GJ[Ofc Code]=(TRIM(G$4)))*(GJ[Account Code]=(TRIM($B102))),GJ[Credit]))))</f>
        <v>0</v>
      </c>
      <c r="G102" s="343">
        <f t="shared" si="6"/>
        <v>0</v>
      </c>
      <c r="H102" s="246">
        <f t="shared" si="7"/>
        <v>0</v>
      </c>
      <c r="I102" s="246">
        <f t="shared" si="8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Code]=B103)*(Budget[Ofc Code]=$G$4),(Budget[Amount])))</f>
        <v>0</v>
      </c>
      <c r="D103" s="245">
        <f t="array" ref="D103">SUM(IF((Budget[Account Code]=B103)*(Budget[Ofc Code]=$G$4)*(Budget[Date]&lt;=$D$7),(Budget[Amount])))</f>
        <v>0</v>
      </c>
      <c r="E103" s="245">
        <f t="array" ref="E103">((SUM(IF((CkDJ[Ofc Code]=(TRIM(G$4)))*(CkDJ[Account Code]=(TRIM($B103)))*(CkDJ[Date]&lt;=$E$7),CkDJ[Debit])))+(SUM(IF((CsDJ[Ofc Code]=(TRIM(G$4)))*(CsDJ[Account Code]=(TRIM($B103)))*(CsDJ[Date]&lt;=$E$7),CsDJ[Debit])))+(SUM(IF((CRDJ[Ofc Code]=(TRIM(G$4)))*(CRDJ[Account Code]=(TRIM($B103)))*(CRDJ[Date]&lt;=$E$7),CRDJ[Debit])))+(SUM(IF((GJ[Ofc Code]=(TRIM(G$4)))*(GJ[Account Code]=(TRIM($B103)))*(GJ[Date]&lt;=$E$7),GJ[Debit]))))-((SUM(IF((CkDJ[Ofc Code]=(TRIM(G$4)))*(CkDJ[Account Code]=(TRIM($B103)))*(CkDJ[Date]&lt;=$E$7),CkDJ[Credit])))+(SUM(IF((CsDJ[Ofc Code]=(TRIM(G$4)))*(CsDJ[Account Code]=(TRIM($B103)))*(CsDJ[Date]&lt;=$E$7),CsDJ[Credit])))+(SUM(IF((CRDJ[Ofc Code]=(TRIM(G$4)))*(CRDJ[Account Code]=(TRIM($B103)))*(CRDJ[Date]&lt;=$E$7),CRDJ[Credit])))+(SUM(IF((GJ[Ofc Code]=(TRIM(G$4)))*(GJ[Account Code]=(TRIM($B103)))*(GJ[Date]&lt;=$E$7),GJ[Credit]))))</f>
        <v>0</v>
      </c>
      <c r="F103" s="245">
        <f t="array" ref="F103">((SUM(IF((CkDJ[Date]=$A$3)*(CkDJ[Ofc Code]=(TRIM(G$4)))*(CkDJ[Account Code]=(TRIM($B103))),CkDJ[Debit])))+(SUM(IF((CsDJ[Date]=$A$3)*(CsDJ[Ofc Code]=(TRIM(G$4)))*(CsDJ[Account Code]=(TRIM($B103))),CsDJ[Debit])))+(SUM(IF((CRDJ[Date]=$A$3)*(CRDJ[Ofc Code]=(TRIM(G$4)))*(CRDJ[Account Code]=(TRIM($B103))),CRDJ[Debit])))+(SUM(IF((GJ[Date]=$A$3)*(GJ[Ofc Code]=(TRIM(G$4)))*(GJ[Account Code]=(TRIM($B103))),GJ[Debit]))))-((SUM(IF((CkDJ[Date]=$A$3)*(CkDJ[Ofc Code]=(TRIM(G$4)))*(CkDJ[Account Code]=(TRIM($B103))),CkDJ[Credit])))+(SUM(IF((CsDJ[Date]=$A$3)*(CsDJ[Ofc Code]=(TRIM(G$4)))*(CsDJ[Account Code]=(TRIM($B103))),CsDJ[Credit])))+(SUM(IF((CRDJ[Date]=$A$3)*(CRDJ[Ofc Code]=(TRIM(G$4)))*(CRDJ[Account Code]=(TRIM($B103))),CRDJ[Credit])))+(SUM(IF((GJ[Date]=$A$3)*(GJ[Ofc Code]=(TRIM(G$4)))*(GJ[Account Code]=(TRIM($B103))),GJ[Credit]))))</f>
        <v>0</v>
      </c>
      <c r="G103" s="343">
        <f t="shared" si="6"/>
        <v>0</v>
      </c>
      <c r="H103" s="246">
        <f t="shared" si="7"/>
        <v>0</v>
      </c>
      <c r="I103" s="246">
        <f t="shared" si="8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Code]=B104)*(Budget[Ofc Code]=$G$4),(Budget[Amount])))</f>
        <v>0</v>
      </c>
      <c r="D104" s="245">
        <f t="array" ref="D104">SUM(IF((Budget[Account Code]=B104)*(Budget[Ofc Code]=$G$4)*(Budget[Date]&lt;=$D$7),(Budget[Amount])))</f>
        <v>0</v>
      </c>
      <c r="E104" s="245">
        <f t="array" ref="E104">((SUM(IF((CkDJ[Ofc Code]=(TRIM(G$4)))*(CkDJ[Account Code]=(TRIM($B104)))*(CkDJ[Date]&lt;=$E$7),CkDJ[Debit])))+(SUM(IF((CsDJ[Ofc Code]=(TRIM(G$4)))*(CsDJ[Account Code]=(TRIM($B104)))*(CsDJ[Date]&lt;=$E$7),CsDJ[Debit])))+(SUM(IF((CRDJ[Ofc Code]=(TRIM(G$4)))*(CRDJ[Account Code]=(TRIM($B104)))*(CRDJ[Date]&lt;=$E$7),CRDJ[Debit])))+(SUM(IF((GJ[Ofc Code]=(TRIM(G$4)))*(GJ[Account Code]=(TRIM($B104)))*(GJ[Date]&lt;=$E$7),GJ[Debit]))))-((SUM(IF((CkDJ[Ofc Code]=(TRIM(G$4)))*(CkDJ[Account Code]=(TRIM($B104)))*(CkDJ[Date]&lt;=$E$7),CkDJ[Credit])))+(SUM(IF((CsDJ[Ofc Code]=(TRIM(G$4)))*(CsDJ[Account Code]=(TRIM($B104)))*(CsDJ[Date]&lt;=$E$7),CsDJ[Credit])))+(SUM(IF((CRDJ[Ofc Code]=(TRIM(G$4)))*(CRDJ[Account Code]=(TRIM($B104)))*(CRDJ[Date]&lt;=$E$7),CRDJ[Credit])))+(SUM(IF((GJ[Ofc Code]=(TRIM(G$4)))*(GJ[Account Code]=(TRIM($B104)))*(GJ[Date]&lt;=$E$7),GJ[Credit]))))</f>
        <v>0</v>
      </c>
      <c r="F104" s="245">
        <f t="array" ref="F104">((SUM(IF((CkDJ[Date]=$A$3)*(CkDJ[Ofc Code]=(TRIM(G$4)))*(CkDJ[Account Code]=(TRIM($B104))),CkDJ[Debit])))+(SUM(IF((CsDJ[Date]=$A$3)*(CsDJ[Ofc Code]=(TRIM(G$4)))*(CsDJ[Account Code]=(TRIM($B104))),CsDJ[Debit])))+(SUM(IF((CRDJ[Date]=$A$3)*(CRDJ[Ofc Code]=(TRIM(G$4)))*(CRDJ[Account Code]=(TRIM($B104))),CRDJ[Debit])))+(SUM(IF((GJ[Date]=$A$3)*(GJ[Ofc Code]=(TRIM(G$4)))*(GJ[Account Code]=(TRIM($B104))),GJ[Debit]))))-((SUM(IF((CkDJ[Date]=$A$3)*(CkDJ[Ofc Code]=(TRIM(G$4)))*(CkDJ[Account Code]=(TRIM($B104))),CkDJ[Credit])))+(SUM(IF((CsDJ[Date]=$A$3)*(CsDJ[Ofc Code]=(TRIM(G$4)))*(CsDJ[Account Code]=(TRIM($B104))),CsDJ[Credit])))+(SUM(IF((CRDJ[Date]=$A$3)*(CRDJ[Ofc Code]=(TRIM(G$4)))*(CRDJ[Account Code]=(TRIM($B104))),CRDJ[Credit])))+(SUM(IF((GJ[Date]=$A$3)*(GJ[Ofc Code]=(TRIM(G$4)))*(GJ[Account Code]=(TRIM($B104))),GJ[Credit]))))</f>
        <v>0</v>
      </c>
      <c r="G104" s="343">
        <f t="shared" si="6"/>
        <v>0</v>
      </c>
      <c r="H104" s="246">
        <f t="shared" si="7"/>
        <v>0</v>
      </c>
      <c r="I104" s="246">
        <f t="shared" si="8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Code]=B105)*(Budget[Ofc Code]=$G$4),(Budget[Amount])))</f>
        <v>0</v>
      </c>
      <c r="D105" s="245">
        <f t="array" ref="D105">SUM(IF((Budget[Account Code]=B105)*(Budget[Ofc Code]=$G$4)*(Budget[Date]&lt;=$D$7),(Budget[Amount])))</f>
        <v>0</v>
      </c>
      <c r="E105" s="245">
        <f t="array" ref="E105">((SUM(IF((CkDJ[Ofc Code]=(TRIM(G$4)))*(CkDJ[Account Code]=(TRIM($B105)))*(CkDJ[Date]&lt;=$E$7),CkDJ[Debit])))+(SUM(IF((CsDJ[Ofc Code]=(TRIM(G$4)))*(CsDJ[Account Code]=(TRIM($B105)))*(CsDJ[Date]&lt;=$E$7),CsDJ[Debit])))+(SUM(IF((CRDJ[Ofc Code]=(TRIM(G$4)))*(CRDJ[Account Code]=(TRIM($B105)))*(CRDJ[Date]&lt;=$E$7),CRDJ[Debit])))+(SUM(IF((GJ[Ofc Code]=(TRIM(G$4)))*(GJ[Account Code]=(TRIM($B105)))*(GJ[Date]&lt;=$E$7),GJ[Debit]))))-((SUM(IF((CkDJ[Ofc Code]=(TRIM(G$4)))*(CkDJ[Account Code]=(TRIM($B105)))*(CkDJ[Date]&lt;=$E$7),CkDJ[Credit])))+(SUM(IF((CsDJ[Ofc Code]=(TRIM(G$4)))*(CsDJ[Account Code]=(TRIM($B105)))*(CsDJ[Date]&lt;=$E$7),CsDJ[Credit])))+(SUM(IF((CRDJ[Ofc Code]=(TRIM(G$4)))*(CRDJ[Account Code]=(TRIM($B105)))*(CRDJ[Date]&lt;=$E$7),CRDJ[Credit])))+(SUM(IF((GJ[Ofc Code]=(TRIM(G$4)))*(GJ[Account Code]=(TRIM($B105)))*(GJ[Date]&lt;=$E$7),GJ[Credit]))))</f>
        <v>0</v>
      </c>
      <c r="F105" s="245">
        <f t="array" ref="F105">((SUM(IF((CkDJ[Date]=$A$3)*(CkDJ[Ofc Code]=(TRIM(G$4)))*(CkDJ[Account Code]=(TRIM($B105))),CkDJ[Debit])))+(SUM(IF((CsDJ[Date]=$A$3)*(CsDJ[Ofc Code]=(TRIM(G$4)))*(CsDJ[Account Code]=(TRIM($B105))),CsDJ[Debit])))+(SUM(IF((CRDJ[Date]=$A$3)*(CRDJ[Ofc Code]=(TRIM(G$4)))*(CRDJ[Account Code]=(TRIM($B105))),CRDJ[Debit])))+(SUM(IF((GJ[Date]=$A$3)*(GJ[Ofc Code]=(TRIM(G$4)))*(GJ[Account Code]=(TRIM($B105))),GJ[Debit]))))-((SUM(IF((CkDJ[Date]=$A$3)*(CkDJ[Ofc Code]=(TRIM(G$4)))*(CkDJ[Account Code]=(TRIM($B105))),CkDJ[Credit])))+(SUM(IF((CsDJ[Date]=$A$3)*(CsDJ[Ofc Code]=(TRIM(G$4)))*(CsDJ[Account Code]=(TRIM($B105))),CsDJ[Credit])))+(SUM(IF((CRDJ[Date]=$A$3)*(CRDJ[Ofc Code]=(TRIM(G$4)))*(CRDJ[Account Code]=(TRIM($B105))),CRDJ[Credit])))+(SUM(IF((GJ[Date]=$A$3)*(GJ[Ofc Code]=(TRIM(G$4)))*(GJ[Account Code]=(TRIM($B105))),GJ[Credit]))))</f>
        <v>0</v>
      </c>
      <c r="G105" s="343">
        <f t="shared" si="6"/>
        <v>0</v>
      </c>
      <c r="H105" s="246">
        <f t="shared" si="7"/>
        <v>0</v>
      </c>
      <c r="I105" s="246">
        <f t="shared" si="8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Code]=B106)*(Budget[Ofc Code]=$G$4),(Budget[Amount])))</f>
        <v>0</v>
      </c>
      <c r="D106" s="245">
        <f t="array" ref="D106">SUM(IF((Budget[Account Code]=B106)*(Budget[Ofc Code]=$G$4)*(Budget[Date]&lt;=$D$7),(Budget[Amount])))</f>
        <v>0</v>
      </c>
      <c r="E106" s="245">
        <f t="array" ref="E106">((SUM(IF((CkDJ[Ofc Code]=(TRIM(G$4)))*(CkDJ[Account Code]=(TRIM($B106)))*(CkDJ[Date]&lt;=$E$7),CkDJ[Debit])))+(SUM(IF((CsDJ[Ofc Code]=(TRIM(G$4)))*(CsDJ[Account Code]=(TRIM($B106)))*(CsDJ[Date]&lt;=$E$7),CsDJ[Debit])))+(SUM(IF((CRDJ[Ofc Code]=(TRIM(G$4)))*(CRDJ[Account Code]=(TRIM($B106)))*(CRDJ[Date]&lt;=$E$7),CRDJ[Debit])))+(SUM(IF((GJ[Ofc Code]=(TRIM(G$4)))*(GJ[Account Code]=(TRIM($B106)))*(GJ[Date]&lt;=$E$7),GJ[Debit]))))-((SUM(IF((CkDJ[Ofc Code]=(TRIM(G$4)))*(CkDJ[Account Code]=(TRIM($B106)))*(CkDJ[Date]&lt;=$E$7),CkDJ[Credit])))+(SUM(IF((CsDJ[Ofc Code]=(TRIM(G$4)))*(CsDJ[Account Code]=(TRIM($B106)))*(CsDJ[Date]&lt;=$E$7),CsDJ[Credit])))+(SUM(IF((CRDJ[Ofc Code]=(TRIM(G$4)))*(CRDJ[Account Code]=(TRIM($B106)))*(CRDJ[Date]&lt;=$E$7),CRDJ[Credit])))+(SUM(IF((GJ[Ofc Code]=(TRIM(G$4)))*(GJ[Account Code]=(TRIM($B106)))*(GJ[Date]&lt;=$E$7),GJ[Credit]))))</f>
        <v>0</v>
      </c>
      <c r="F106" s="245">
        <f t="array" ref="F106">((SUM(IF((CkDJ[Date]=$A$3)*(CkDJ[Ofc Code]=(TRIM(G$4)))*(CkDJ[Account Code]=(TRIM($B106))),CkDJ[Debit])))+(SUM(IF((CsDJ[Date]=$A$3)*(CsDJ[Ofc Code]=(TRIM(G$4)))*(CsDJ[Account Code]=(TRIM($B106))),CsDJ[Debit])))+(SUM(IF((CRDJ[Date]=$A$3)*(CRDJ[Ofc Code]=(TRIM(G$4)))*(CRDJ[Account Code]=(TRIM($B106))),CRDJ[Debit])))+(SUM(IF((GJ[Date]=$A$3)*(GJ[Ofc Code]=(TRIM(G$4)))*(GJ[Account Code]=(TRIM($B106))),GJ[Debit]))))-((SUM(IF((CkDJ[Date]=$A$3)*(CkDJ[Ofc Code]=(TRIM(G$4)))*(CkDJ[Account Code]=(TRIM($B106))),CkDJ[Credit])))+(SUM(IF((CsDJ[Date]=$A$3)*(CsDJ[Ofc Code]=(TRIM(G$4)))*(CsDJ[Account Code]=(TRIM($B106))),CsDJ[Credit])))+(SUM(IF((CRDJ[Date]=$A$3)*(CRDJ[Ofc Code]=(TRIM(G$4)))*(CRDJ[Account Code]=(TRIM($B106))),CRDJ[Credit])))+(SUM(IF((GJ[Date]=$A$3)*(GJ[Ofc Code]=(TRIM(G$4)))*(GJ[Account Code]=(TRIM($B106))),GJ[Credit]))))</f>
        <v>0</v>
      </c>
      <c r="G106" s="343">
        <f t="shared" si="6"/>
        <v>0</v>
      </c>
      <c r="H106" s="246">
        <f t="shared" si="7"/>
        <v>0</v>
      </c>
      <c r="I106" s="246">
        <f t="shared" si="8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Code]=B107)*(Budget[Ofc Code]=$G$4),(Budget[Amount])))</f>
        <v>0</v>
      </c>
      <c r="D107" s="245">
        <f t="array" ref="D107">SUM(IF((Budget[Account Code]=B107)*(Budget[Ofc Code]=$G$4)*(Budget[Date]&lt;=$D$7),(Budget[Amount])))</f>
        <v>0</v>
      </c>
      <c r="E107" s="245">
        <f t="array" ref="E107">((SUM(IF((CkDJ[Ofc Code]=(TRIM(G$4)))*(CkDJ[Account Code]=(TRIM($B107)))*(CkDJ[Date]&lt;=$E$7),CkDJ[Debit])))+(SUM(IF((CsDJ[Ofc Code]=(TRIM(G$4)))*(CsDJ[Account Code]=(TRIM($B107)))*(CsDJ[Date]&lt;=$E$7),CsDJ[Debit])))+(SUM(IF((CRDJ[Ofc Code]=(TRIM(G$4)))*(CRDJ[Account Code]=(TRIM($B107)))*(CRDJ[Date]&lt;=$E$7),CRDJ[Debit])))+(SUM(IF((GJ[Ofc Code]=(TRIM(G$4)))*(GJ[Account Code]=(TRIM($B107)))*(GJ[Date]&lt;=$E$7),GJ[Debit]))))-((SUM(IF((CkDJ[Ofc Code]=(TRIM(G$4)))*(CkDJ[Account Code]=(TRIM($B107)))*(CkDJ[Date]&lt;=$E$7),CkDJ[Credit])))+(SUM(IF((CsDJ[Ofc Code]=(TRIM(G$4)))*(CsDJ[Account Code]=(TRIM($B107)))*(CsDJ[Date]&lt;=$E$7),CsDJ[Credit])))+(SUM(IF((CRDJ[Ofc Code]=(TRIM(G$4)))*(CRDJ[Account Code]=(TRIM($B107)))*(CRDJ[Date]&lt;=$E$7),CRDJ[Credit])))+(SUM(IF((GJ[Ofc Code]=(TRIM(G$4)))*(GJ[Account Code]=(TRIM($B107)))*(GJ[Date]&lt;=$E$7),GJ[Credit]))))</f>
        <v>0</v>
      </c>
      <c r="F107" s="245">
        <f t="array" ref="F107">((SUM(IF((CkDJ[Date]=$A$3)*(CkDJ[Ofc Code]=(TRIM(G$4)))*(CkDJ[Account Code]=(TRIM($B107))),CkDJ[Debit])))+(SUM(IF((CsDJ[Date]=$A$3)*(CsDJ[Ofc Code]=(TRIM(G$4)))*(CsDJ[Account Code]=(TRIM($B107))),CsDJ[Debit])))+(SUM(IF((CRDJ[Date]=$A$3)*(CRDJ[Ofc Code]=(TRIM(G$4)))*(CRDJ[Account Code]=(TRIM($B107))),CRDJ[Debit])))+(SUM(IF((GJ[Date]=$A$3)*(GJ[Ofc Code]=(TRIM(G$4)))*(GJ[Account Code]=(TRIM($B107))),GJ[Debit]))))-((SUM(IF((CkDJ[Date]=$A$3)*(CkDJ[Ofc Code]=(TRIM(G$4)))*(CkDJ[Account Code]=(TRIM($B107))),CkDJ[Credit])))+(SUM(IF((CsDJ[Date]=$A$3)*(CsDJ[Ofc Code]=(TRIM(G$4)))*(CsDJ[Account Code]=(TRIM($B107))),CsDJ[Credit])))+(SUM(IF((CRDJ[Date]=$A$3)*(CRDJ[Ofc Code]=(TRIM(G$4)))*(CRDJ[Account Code]=(TRIM($B107))),CRDJ[Credit])))+(SUM(IF((GJ[Date]=$A$3)*(GJ[Ofc Code]=(TRIM(G$4)))*(GJ[Account Code]=(TRIM($B107))),GJ[Credit]))))</f>
        <v>0</v>
      </c>
      <c r="G107" s="343">
        <f t="shared" si="6"/>
        <v>0</v>
      </c>
      <c r="H107" s="246">
        <f t="shared" si="7"/>
        <v>0</v>
      </c>
      <c r="I107" s="246">
        <f t="shared" si="8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Code]=B108)*(Budget[Ofc Code]=$G$4),(Budget[Amount])))</f>
        <v>0</v>
      </c>
      <c r="D108" s="245">
        <f t="array" ref="D108">SUM(IF((Budget[Account Code]=B108)*(Budget[Ofc Code]=$G$4)*(Budget[Date]&lt;=$D$7),(Budget[Amount])))</f>
        <v>0</v>
      </c>
      <c r="E108" s="245">
        <f t="array" ref="E108">((SUM(IF((CkDJ[Ofc Code]=(TRIM(G$4)))*(CkDJ[Account Code]=(TRIM($B108)))*(CkDJ[Date]&lt;=$E$7),CkDJ[Debit])))+(SUM(IF((CsDJ[Ofc Code]=(TRIM(G$4)))*(CsDJ[Account Code]=(TRIM($B108)))*(CsDJ[Date]&lt;=$E$7),CsDJ[Debit])))+(SUM(IF((CRDJ[Ofc Code]=(TRIM(G$4)))*(CRDJ[Account Code]=(TRIM($B108)))*(CRDJ[Date]&lt;=$E$7),CRDJ[Debit])))+(SUM(IF((GJ[Ofc Code]=(TRIM(G$4)))*(GJ[Account Code]=(TRIM($B108)))*(GJ[Date]&lt;=$E$7),GJ[Debit]))))-((SUM(IF((CkDJ[Ofc Code]=(TRIM(G$4)))*(CkDJ[Account Code]=(TRIM($B108)))*(CkDJ[Date]&lt;=$E$7),CkDJ[Credit])))+(SUM(IF((CsDJ[Ofc Code]=(TRIM(G$4)))*(CsDJ[Account Code]=(TRIM($B108)))*(CsDJ[Date]&lt;=$E$7),CsDJ[Credit])))+(SUM(IF((CRDJ[Ofc Code]=(TRIM(G$4)))*(CRDJ[Account Code]=(TRIM($B108)))*(CRDJ[Date]&lt;=$E$7),CRDJ[Credit])))+(SUM(IF((GJ[Ofc Code]=(TRIM(G$4)))*(GJ[Account Code]=(TRIM($B108)))*(GJ[Date]&lt;=$E$7),GJ[Credit]))))</f>
        <v>0</v>
      </c>
      <c r="F108" s="245">
        <f t="array" ref="F108">((SUM(IF((CkDJ[Date]=$A$3)*(CkDJ[Ofc Code]=(TRIM(G$4)))*(CkDJ[Account Code]=(TRIM($B108))),CkDJ[Debit])))+(SUM(IF((CsDJ[Date]=$A$3)*(CsDJ[Ofc Code]=(TRIM(G$4)))*(CsDJ[Account Code]=(TRIM($B108))),CsDJ[Debit])))+(SUM(IF((CRDJ[Date]=$A$3)*(CRDJ[Ofc Code]=(TRIM(G$4)))*(CRDJ[Account Code]=(TRIM($B108))),CRDJ[Debit])))+(SUM(IF((GJ[Date]=$A$3)*(GJ[Ofc Code]=(TRIM(G$4)))*(GJ[Account Code]=(TRIM($B108))),GJ[Debit]))))-((SUM(IF((CkDJ[Date]=$A$3)*(CkDJ[Ofc Code]=(TRIM(G$4)))*(CkDJ[Account Code]=(TRIM($B108))),CkDJ[Credit])))+(SUM(IF((CsDJ[Date]=$A$3)*(CsDJ[Ofc Code]=(TRIM(G$4)))*(CsDJ[Account Code]=(TRIM($B108))),CsDJ[Credit])))+(SUM(IF((CRDJ[Date]=$A$3)*(CRDJ[Ofc Code]=(TRIM(G$4)))*(CRDJ[Account Code]=(TRIM($B108))),CRDJ[Credit])))+(SUM(IF((GJ[Date]=$A$3)*(GJ[Ofc Code]=(TRIM(G$4)))*(GJ[Account Code]=(TRIM($B108))),GJ[Credit]))))</f>
        <v>0</v>
      </c>
      <c r="G108" s="343">
        <f t="shared" si="6"/>
        <v>0</v>
      </c>
      <c r="H108" s="246">
        <f t="shared" si="7"/>
        <v>0</v>
      </c>
      <c r="I108" s="246">
        <f t="shared" si="8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Code]=B109)*(Budget[Ofc Code]=$G$4),(Budget[Amount])))</f>
        <v>0</v>
      </c>
      <c r="D109" s="245">
        <f t="array" ref="D109">SUM(IF((Budget[Account Code]=B109)*(Budget[Ofc Code]=$G$4)*(Budget[Date]&lt;=$D$7),(Budget[Amount])))</f>
        <v>0</v>
      </c>
      <c r="E109" s="245">
        <f t="array" ref="E109">((SUM(IF((CkDJ[Ofc Code]=(TRIM(G$4)))*(CkDJ[Account Code]=(TRIM($B109)))*(CkDJ[Date]&lt;=$E$7),CkDJ[Debit])))+(SUM(IF((CsDJ[Ofc Code]=(TRIM(G$4)))*(CsDJ[Account Code]=(TRIM($B109)))*(CsDJ[Date]&lt;=$E$7),CsDJ[Debit])))+(SUM(IF((CRDJ[Ofc Code]=(TRIM(G$4)))*(CRDJ[Account Code]=(TRIM($B109)))*(CRDJ[Date]&lt;=$E$7),CRDJ[Debit])))+(SUM(IF((GJ[Ofc Code]=(TRIM(G$4)))*(GJ[Account Code]=(TRIM($B109)))*(GJ[Date]&lt;=$E$7),GJ[Debit]))))-((SUM(IF((CkDJ[Ofc Code]=(TRIM(G$4)))*(CkDJ[Account Code]=(TRIM($B109)))*(CkDJ[Date]&lt;=$E$7),CkDJ[Credit])))+(SUM(IF((CsDJ[Ofc Code]=(TRIM(G$4)))*(CsDJ[Account Code]=(TRIM($B109)))*(CsDJ[Date]&lt;=$E$7),CsDJ[Credit])))+(SUM(IF((CRDJ[Ofc Code]=(TRIM(G$4)))*(CRDJ[Account Code]=(TRIM($B109)))*(CRDJ[Date]&lt;=$E$7),CRDJ[Credit])))+(SUM(IF((GJ[Ofc Code]=(TRIM(G$4)))*(GJ[Account Code]=(TRIM($B109)))*(GJ[Date]&lt;=$E$7),GJ[Credit]))))</f>
        <v>0</v>
      </c>
      <c r="F109" s="245">
        <f t="array" ref="F109">((SUM(IF((CkDJ[Date]=$A$3)*(CkDJ[Ofc Code]=(TRIM(G$4)))*(CkDJ[Account Code]=(TRIM($B109))),CkDJ[Debit])))+(SUM(IF((CsDJ[Date]=$A$3)*(CsDJ[Ofc Code]=(TRIM(G$4)))*(CsDJ[Account Code]=(TRIM($B109))),CsDJ[Debit])))+(SUM(IF((CRDJ[Date]=$A$3)*(CRDJ[Ofc Code]=(TRIM(G$4)))*(CRDJ[Account Code]=(TRIM($B109))),CRDJ[Debit])))+(SUM(IF((GJ[Date]=$A$3)*(GJ[Ofc Code]=(TRIM(G$4)))*(GJ[Account Code]=(TRIM($B109))),GJ[Debit]))))-((SUM(IF((CkDJ[Date]=$A$3)*(CkDJ[Ofc Code]=(TRIM(G$4)))*(CkDJ[Account Code]=(TRIM($B109))),CkDJ[Credit])))+(SUM(IF((CsDJ[Date]=$A$3)*(CsDJ[Ofc Code]=(TRIM(G$4)))*(CsDJ[Account Code]=(TRIM($B109))),CsDJ[Credit])))+(SUM(IF((CRDJ[Date]=$A$3)*(CRDJ[Ofc Code]=(TRIM(G$4)))*(CRDJ[Account Code]=(TRIM($B109))),CRDJ[Credit])))+(SUM(IF((GJ[Date]=$A$3)*(GJ[Ofc Code]=(TRIM(G$4)))*(GJ[Account Code]=(TRIM($B109))),GJ[Credit]))))</f>
        <v>0</v>
      </c>
      <c r="G109" s="343">
        <f t="shared" si="6"/>
        <v>0</v>
      </c>
      <c r="H109" s="246">
        <f t="shared" si="7"/>
        <v>0</v>
      </c>
      <c r="I109" s="246">
        <f t="shared" si="8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Code]=B110)*(Budget[Ofc Code]=$G$4),(Budget[Amount])))</f>
        <v>0</v>
      </c>
      <c r="D110" s="245">
        <f t="array" ref="D110">SUM(IF((Budget[Account Code]=B110)*(Budget[Ofc Code]=$G$4)*(Budget[Date]&lt;=$D$7),(Budget[Amount])))</f>
        <v>0</v>
      </c>
      <c r="E110" s="245">
        <f t="array" ref="E110">((SUM(IF((CkDJ[Ofc Code]=(TRIM(G$4)))*(CkDJ[Account Code]=(TRIM($B110)))*(CkDJ[Date]&lt;=$E$7),CkDJ[Debit])))+(SUM(IF((CsDJ[Ofc Code]=(TRIM(G$4)))*(CsDJ[Account Code]=(TRIM($B110)))*(CsDJ[Date]&lt;=$E$7),CsDJ[Debit])))+(SUM(IF((CRDJ[Ofc Code]=(TRIM(G$4)))*(CRDJ[Account Code]=(TRIM($B110)))*(CRDJ[Date]&lt;=$E$7),CRDJ[Debit])))+(SUM(IF((GJ[Ofc Code]=(TRIM(G$4)))*(GJ[Account Code]=(TRIM($B110)))*(GJ[Date]&lt;=$E$7),GJ[Debit]))))-((SUM(IF((CkDJ[Ofc Code]=(TRIM(G$4)))*(CkDJ[Account Code]=(TRIM($B110)))*(CkDJ[Date]&lt;=$E$7),CkDJ[Credit])))+(SUM(IF((CsDJ[Ofc Code]=(TRIM(G$4)))*(CsDJ[Account Code]=(TRIM($B110)))*(CsDJ[Date]&lt;=$E$7),CsDJ[Credit])))+(SUM(IF((CRDJ[Ofc Code]=(TRIM(G$4)))*(CRDJ[Account Code]=(TRIM($B110)))*(CRDJ[Date]&lt;=$E$7),CRDJ[Credit])))+(SUM(IF((GJ[Ofc Code]=(TRIM(G$4)))*(GJ[Account Code]=(TRIM($B110)))*(GJ[Date]&lt;=$E$7),GJ[Credit]))))</f>
        <v>0</v>
      </c>
      <c r="F110" s="245">
        <f t="array" ref="F110">((SUM(IF((CkDJ[Date]=$A$3)*(CkDJ[Ofc Code]=(TRIM(G$4)))*(CkDJ[Account Code]=(TRIM($B110))),CkDJ[Debit])))+(SUM(IF((CsDJ[Date]=$A$3)*(CsDJ[Ofc Code]=(TRIM(G$4)))*(CsDJ[Account Code]=(TRIM($B110))),CsDJ[Debit])))+(SUM(IF((CRDJ[Date]=$A$3)*(CRDJ[Ofc Code]=(TRIM(G$4)))*(CRDJ[Account Code]=(TRIM($B110))),CRDJ[Debit])))+(SUM(IF((GJ[Date]=$A$3)*(GJ[Ofc Code]=(TRIM(G$4)))*(GJ[Account Code]=(TRIM($B110))),GJ[Debit]))))-((SUM(IF((CkDJ[Date]=$A$3)*(CkDJ[Ofc Code]=(TRIM(G$4)))*(CkDJ[Account Code]=(TRIM($B110))),CkDJ[Credit])))+(SUM(IF((CsDJ[Date]=$A$3)*(CsDJ[Ofc Code]=(TRIM(G$4)))*(CsDJ[Account Code]=(TRIM($B110))),CsDJ[Credit])))+(SUM(IF((CRDJ[Date]=$A$3)*(CRDJ[Ofc Code]=(TRIM(G$4)))*(CRDJ[Account Code]=(TRIM($B110))),CRDJ[Credit])))+(SUM(IF((GJ[Date]=$A$3)*(GJ[Ofc Code]=(TRIM(G$4)))*(GJ[Account Code]=(TRIM($B110))),GJ[Credit]))))</f>
        <v>0</v>
      </c>
      <c r="G110" s="343">
        <f t="shared" si="6"/>
        <v>0</v>
      </c>
      <c r="H110" s="246">
        <f t="shared" si="7"/>
        <v>0</v>
      </c>
      <c r="I110" s="246">
        <f t="shared" si="8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Code]=B111)*(Budget[Ofc Code]=$G$4),(Budget[Amount])))</f>
        <v>0</v>
      </c>
      <c r="D111" s="245">
        <f t="array" ref="D111">SUM(IF((Budget[Account Code]=B111)*(Budget[Ofc Code]=$G$4)*(Budget[Date]&lt;=$D$7),(Budget[Amount])))</f>
        <v>0</v>
      </c>
      <c r="E111" s="245">
        <f t="array" ref="E111">((SUM(IF((CkDJ[Ofc Code]=(TRIM(G$4)))*(CkDJ[Account Code]=(TRIM($B111)))*(CkDJ[Date]&lt;=$E$7),CkDJ[Debit])))+(SUM(IF((CsDJ[Ofc Code]=(TRIM(G$4)))*(CsDJ[Account Code]=(TRIM($B111)))*(CsDJ[Date]&lt;=$E$7),CsDJ[Debit])))+(SUM(IF((CRDJ[Ofc Code]=(TRIM(G$4)))*(CRDJ[Account Code]=(TRIM($B111)))*(CRDJ[Date]&lt;=$E$7),CRDJ[Debit])))+(SUM(IF((GJ[Ofc Code]=(TRIM(G$4)))*(GJ[Account Code]=(TRIM($B111)))*(GJ[Date]&lt;=$E$7),GJ[Debit]))))-((SUM(IF((CkDJ[Ofc Code]=(TRIM(G$4)))*(CkDJ[Account Code]=(TRIM($B111)))*(CkDJ[Date]&lt;=$E$7),CkDJ[Credit])))+(SUM(IF((CsDJ[Ofc Code]=(TRIM(G$4)))*(CsDJ[Account Code]=(TRIM($B111)))*(CsDJ[Date]&lt;=$E$7),CsDJ[Credit])))+(SUM(IF((CRDJ[Ofc Code]=(TRIM(G$4)))*(CRDJ[Account Code]=(TRIM($B111)))*(CRDJ[Date]&lt;=$E$7),CRDJ[Credit])))+(SUM(IF((GJ[Ofc Code]=(TRIM(G$4)))*(GJ[Account Code]=(TRIM($B111)))*(GJ[Date]&lt;=$E$7),GJ[Credit]))))</f>
        <v>0</v>
      </c>
      <c r="F111" s="245">
        <f t="array" ref="F111">((SUM(IF((CkDJ[Date]=$A$3)*(CkDJ[Ofc Code]=(TRIM(G$4)))*(CkDJ[Account Code]=(TRIM($B111))),CkDJ[Debit])))+(SUM(IF((CsDJ[Date]=$A$3)*(CsDJ[Ofc Code]=(TRIM(G$4)))*(CsDJ[Account Code]=(TRIM($B111))),CsDJ[Debit])))+(SUM(IF((CRDJ[Date]=$A$3)*(CRDJ[Ofc Code]=(TRIM(G$4)))*(CRDJ[Account Code]=(TRIM($B111))),CRDJ[Debit])))+(SUM(IF((GJ[Date]=$A$3)*(GJ[Ofc Code]=(TRIM(G$4)))*(GJ[Account Code]=(TRIM($B111))),GJ[Debit]))))-((SUM(IF((CkDJ[Date]=$A$3)*(CkDJ[Ofc Code]=(TRIM(G$4)))*(CkDJ[Account Code]=(TRIM($B111))),CkDJ[Credit])))+(SUM(IF((CsDJ[Date]=$A$3)*(CsDJ[Ofc Code]=(TRIM(G$4)))*(CsDJ[Account Code]=(TRIM($B111))),CsDJ[Credit])))+(SUM(IF((CRDJ[Date]=$A$3)*(CRDJ[Ofc Code]=(TRIM(G$4)))*(CRDJ[Account Code]=(TRIM($B111))),CRDJ[Credit])))+(SUM(IF((GJ[Date]=$A$3)*(GJ[Ofc Code]=(TRIM(G$4)))*(GJ[Account Code]=(TRIM($B111))),GJ[Credit]))))</f>
        <v>0</v>
      </c>
      <c r="G111" s="343">
        <f t="shared" si="6"/>
        <v>0</v>
      </c>
      <c r="H111" s="246">
        <f t="shared" si="7"/>
        <v>0</v>
      </c>
      <c r="I111" s="246">
        <f t="shared" si="8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Code]=B112)*(Budget[Ofc Code]=$G$4),(Budget[Amount])))</f>
        <v>0</v>
      </c>
      <c r="D112" s="245">
        <f t="array" ref="D112">SUM(IF((Budget[Account Code]=B112)*(Budget[Ofc Code]=$G$4)*(Budget[Date]&lt;=$D$7),(Budget[Amount])))</f>
        <v>0</v>
      </c>
      <c r="E112" s="245">
        <f t="array" ref="E112">((SUM(IF((CkDJ[Ofc Code]=(TRIM(G$4)))*(CkDJ[Account Code]=(TRIM($B112)))*(CkDJ[Date]&lt;=$E$7),CkDJ[Debit])))+(SUM(IF((CsDJ[Ofc Code]=(TRIM(G$4)))*(CsDJ[Account Code]=(TRIM($B112)))*(CsDJ[Date]&lt;=$E$7),CsDJ[Debit])))+(SUM(IF((CRDJ[Ofc Code]=(TRIM(G$4)))*(CRDJ[Account Code]=(TRIM($B112)))*(CRDJ[Date]&lt;=$E$7),CRDJ[Debit])))+(SUM(IF((GJ[Ofc Code]=(TRIM(G$4)))*(GJ[Account Code]=(TRIM($B112)))*(GJ[Date]&lt;=$E$7),GJ[Debit]))))-((SUM(IF((CkDJ[Ofc Code]=(TRIM(G$4)))*(CkDJ[Account Code]=(TRIM($B112)))*(CkDJ[Date]&lt;=$E$7),CkDJ[Credit])))+(SUM(IF((CsDJ[Ofc Code]=(TRIM(G$4)))*(CsDJ[Account Code]=(TRIM($B112)))*(CsDJ[Date]&lt;=$E$7),CsDJ[Credit])))+(SUM(IF((CRDJ[Ofc Code]=(TRIM(G$4)))*(CRDJ[Account Code]=(TRIM($B112)))*(CRDJ[Date]&lt;=$E$7),CRDJ[Credit])))+(SUM(IF((GJ[Ofc Code]=(TRIM(G$4)))*(GJ[Account Code]=(TRIM($B112)))*(GJ[Date]&lt;=$E$7),GJ[Credit]))))</f>
        <v>0</v>
      </c>
      <c r="F112" s="245">
        <f t="array" ref="F112">((SUM(IF((CkDJ[Date]=$A$3)*(CkDJ[Ofc Code]=(TRIM(G$4)))*(CkDJ[Account Code]=(TRIM($B112))),CkDJ[Debit])))+(SUM(IF((CsDJ[Date]=$A$3)*(CsDJ[Ofc Code]=(TRIM(G$4)))*(CsDJ[Account Code]=(TRIM($B112))),CsDJ[Debit])))+(SUM(IF((CRDJ[Date]=$A$3)*(CRDJ[Ofc Code]=(TRIM(G$4)))*(CRDJ[Account Code]=(TRIM($B112))),CRDJ[Debit])))+(SUM(IF((GJ[Date]=$A$3)*(GJ[Ofc Code]=(TRIM(G$4)))*(GJ[Account Code]=(TRIM($B112))),GJ[Debit]))))-((SUM(IF((CkDJ[Date]=$A$3)*(CkDJ[Ofc Code]=(TRIM(G$4)))*(CkDJ[Account Code]=(TRIM($B112))),CkDJ[Credit])))+(SUM(IF((CsDJ[Date]=$A$3)*(CsDJ[Ofc Code]=(TRIM(G$4)))*(CsDJ[Account Code]=(TRIM($B112))),CsDJ[Credit])))+(SUM(IF((CRDJ[Date]=$A$3)*(CRDJ[Ofc Code]=(TRIM(G$4)))*(CRDJ[Account Code]=(TRIM($B112))),CRDJ[Credit])))+(SUM(IF((GJ[Date]=$A$3)*(GJ[Ofc Code]=(TRIM(G$4)))*(GJ[Account Code]=(TRIM($B112))),GJ[Credit]))))</f>
        <v>0</v>
      </c>
      <c r="G112" s="343">
        <f t="shared" si="6"/>
        <v>0</v>
      </c>
      <c r="H112" s="246">
        <f t="shared" si="7"/>
        <v>0</v>
      </c>
      <c r="I112" s="246">
        <f t="shared" si="8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Code]=B113)*(Budget[Ofc Code]=$G$4),(Budget[Amount])))</f>
        <v>0</v>
      </c>
      <c r="D113" s="245">
        <f t="array" ref="D113">SUM(IF((Budget[Account Code]=B113)*(Budget[Ofc Code]=$G$4)*(Budget[Date]&lt;=$D$7),(Budget[Amount])))</f>
        <v>0</v>
      </c>
      <c r="E113" s="245">
        <f t="array" ref="E113">((SUM(IF((CkDJ[Ofc Code]=(TRIM(G$4)))*(CkDJ[Account Code]=(TRIM($B113)))*(CkDJ[Date]&lt;=$E$7),CkDJ[Debit])))+(SUM(IF((CsDJ[Ofc Code]=(TRIM(G$4)))*(CsDJ[Account Code]=(TRIM($B113)))*(CsDJ[Date]&lt;=$E$7),CsDJ[Debit])))+(SUM(IF((CRDJ[Ofc Code]=(TRIM(G$4)))*(CRDJ[Account Code]=(TRIM($B113)))*(CRDJ[Date]&lt;=$E$7),CRDJ[Debit])))+(SUM(IF((GJ[Ofc Code]=(TRIM(G$4)))*(GJ[Account Code]=(TRIM($B113)))*(GJ[Date]&lt;=$E$7),GJ[Debit]))))-((SUM(IF((CkDJ[Ofc Code]=(TRIM(G$4)))*(CkDJ[Account Code]=(TRIM($B113)))*(CkDJ[Date]&lt;=$E$7),CkDJ[Credit])))+(SUM(IF((CsDJ[Ofc Code]=(TRIM(G$4)))*(CsDJ[Account Code]=(TRIM($B113)))*(CsDJ[Date]&lt;=$E$7),CsDJ[Credit])))+(SUM(IF((CRDJ[Ofc Code]=(TRIM(G$4)))*(CRDJ[Account Code]=(TRIM($B113)))*(CRDJ[Date]&lt;=$E$7),CRDJ[Credit])))+(SUM(IF((GJ[Ofc Code]=(TRIM(G$4)))*(GJ[Account Code]=(TRIM($B113)))*(GJ[Date]&lt;=$E$7),GJ[Credit]))))</f>
        <v>0</v>
      </c>
      <c r="F113" s="245">
        <f t="array" ref="F113">((SUM(IF((CkDJ[Date]=$A$3)*(CkDJ[Ofc Code]=(TRIM(G$4)))*(CkDJ[Account Code]=(TRIM($B113))),CkDJ[Debit])))+(SUM(IF((CsDJ[Date]=$A$3)*(CsDJ[Ofc Code]=(TRIM(G$4)))*(CsDJ[Account Code]=(TRIM($B113))),CsDJ[Debit])))+(SUM(IF((CRDJ[Date]=$A$3)*(CRDJ[Ofc Code]=(TRIM(G$4)))*(CRDJ[Account Code]=(TRIM($B113))),CRDJ[Debit])))+(SUM(IF((GJ[Date]=$A$3)*(GJ[Ofc Code]=(TRIM(G$4)))*(GJ[Account Code]=(TRIM($B113))),GJ[Debit]))))-((SUM(IF((CkDJ[Date]=$A$3)*(CkDJ[Ofc Code]=(TRIM(G$4)))*(CkDJ[Account Code]=(TRIM($B113))),CkDJ[Credit])))+(SUM(IF((CsDJ[Date]=$A$3)*(CsDJ[Ofc Code]=(TRIM(G$4)))*(CsDJ[Account Code]=(TRIM($B113))),CsDJ[Credit])))+(SUM(IF((CRDJ[Date]=$A$3)*(CRDJ[Ofc Code]=(TRIM(G$4)))*(CRDJ[Account Code]=(TRIM($B113))),CRDJ[Credit])))+(SUM(IF((GJ[Date]=$A$3)*(GJ[Ofc Code]=(TRIM(G$4)))*(GJ[Account Code]=(TRIM($B113))),GJ[Credit]))))</f>
        <v>0</v>
      </c>
      <c r="G113" s="343">
        <f t="shared" si="6"/>
        <v>0</v>
      </c>
      <c r="H113" s="246">
        <f t="shared" si="7"/>
        <v>0</v>
      </c>
      <c r="I113" s="246">
        <f t="shared" si="8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Code]=B114)*(Budget[Ofc Code]=$G$4),(Budget[Amount])))</f>
        <v>0</v>
      </c>
      <c r="D114" s="245">
        <f t="array" ref="D114">SUM(IF((Budget[Account Code]=B114)*(Budget[Ofc Code]=$G$4)*(Budget[Date]&lt;=$D$7),(Budget[Amount])))</f>
        <v>0</v>
      </c>
      <c r="E114" s="245">
        <f t="array" ref="E114">((SUM(IF((CkDJ[Ofc Code]=(TRIM(G$4)))*(CkDJ[Account Code]=(TRIM($B114)))*(CkDJ[Date]&lt;=$E$7),CkDJ[Debit])))+(SUM(IF((CsDJ[Ofc Code]=(TRIM(G$4)))*(CsDJ[Account Code]=(TRIM($B114)))*(CsDJ[Date]&lt;=$E$7),CsDJ[Debit])))+(SUM(IF((CRDJ[Ofc Code]=(TRIM(G$4)))*(CRDJ[Account Code]=(TRIM($B114)))*(CRDJ[Date]&lt;=$E$7),CRDJ[Debit])))+(SUM(IF((GJ[Ofc Code]=(TRIM(G$4)))*(GJ[Account Code]=(TRIM($B114)))*(GJ[Date]&lt;=$E$7),GJ[Debit]))))-((SUM(IF((CkDJ[Ofc Code]=(TRIM(G$4)))*(CkDJ[Account Code]=(TRIM($B114)))*(CkDJ[Date]&lt;=$E$7),CkDJ[Credit])))+(SUM(IF((CsDJ[Ofc Code]=(TRIM(G$4)))*(CsDJ[Account Code]=(TRIM($B114)))*(CsDJ[Date]&lt;=$E$7),CsDJ[Credit])))+(SUM(IF((CRDJ[Ofc Code]=(TRIM(G$4)))*(CRDJ[Account Code]=(TRIM($B114)))*(CRDJ[Date]&lt;=$E$7),CRDJ[Credit])))+(SUM(IF((GJ[Ofc Code]=(TRIM(G$4)))*(GJ[Account Code]=(TRIM($B114)))*(GJ[Date]&lt;=$E$7),GJ[Credit]))))</f>
        <v>0</v>
      </c>
      <c r="F114" s="245">
        <f t="array" ref="F114">((SUM(IF((CkDJ[Date]=$A$3)*(CkDJ[Ofc Code]=(TRIM(G$4)))*(CkDJ[Account Code]=(TRIM($B114))),CkDJ[Debit])))+(SUM(IF((CsDJ[Date]=$A$3)*(CsDJ[Ofc Code]=(TRIM(G$4)))*(CsDJ[Account Code]=(TRIM($B114))),CsDJ[Debit])))+(SUM(IF((CRDJ[Date]=$A$3)*(CRDJ[Ofc Code]=(TRIM(G$4)))*(CRDJ[Account Code]=(TRIM($B114))),CRDJ[Debit])))+(SUM(IF((GJ[Date]=$A$3)*(GJ[Ofc Code]=(TRIM(G$4)))*(GJ[Account Code]=(TRIM($B114))),GJ[Debit]))))-((SUM(IF((CkDJ[Date]=$A$3)*(CkDJ[Ofc Code]=(TRIM(G$4)))*(CkDJ[Account Code]=(TRIM($B114))),CkDJ[Credit])))+(SUM(IF((CsDJ[Date]=$A$3)*(CsDJ[Ofc Code]=(TRIM(G$4)))*(CsDJ[Account Code]=(TRIM($B114))),CsDJ[Credit])))+(SUM(IF((CRDJ[Date]=$A$3)*(CRDJ[Ofc Code]=(TRIM(G$4)))*(CRDJ[Account Code]=(TRIM($B114))),CRDJ[Credit])))+(SUM(IF((GJ[Date]=$A$3)*(GJ[Ofc Code]=(TRIM(G$4)))*(GJ[Account Code]=(TRIM($B114))),GJ[Credit]))))</f>
        <v>0</v>
      </c>
      <c r="G114" s="343">
        <f t="shared" si="6"/>
        <v>0</v>
      </c>
      <c r="H114" s="246">
        <f t="shared" si="7"/>
        <v>0</v>
      </c>
      <c r="I114" s="246">
        <f t="shared" si="8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Code]=B115)*(Budget[Ofc Code]=$G$4),(Budget[Amount])))</f>
        <v>0</v>
      </c>
      <c r="D115" s="245">
        <f t="array" ref="D115">SUM(IF((Budget[Account Code]=B115)*(Budget[Ofc Code]=$G$4)*(Budget[Date]&lt;=$D$7),(Budget[Amount])))</f>
        <v>0</v>
      </c>
      <c r="E115" s="245">
        <f t="array" ref="E115">((SUM(IF((CkDJ[Ofc Code]=(TRIM(G$4)))*(CkDJ[Account Code]=(TRIM($B115)))*(CkDJ[Date]&lt;=$E$7),CkDJ[Debit])))+(SUM(IF((CsDJ[Ofc Code]=(TRIM(G$4)))*(CsDJ[Account Code]=(TRIM($B115)))*(CsDJ[Date]&lt;=$E$7),CsDJ[Debit])))+(SUM(IF((CRDJ[Ofc Code]=(TRIM(G$4)))*(CRDJ[Account Code]=(TRIM($B115)))*(CRDJ[Date]&lt;=$E$7),CRDJ[Debit])))+(SUM(IF((GJ[Ofc Code]=(TRIM(G$4)))*(GJ[Account Code]=(TRIM($B115)))*(GJ[Date]&lt;=$E$7),GJ[Debit]))))-((SUM(IF((CkDJ[Ofc Code]=(TRIM(G$4)))*(CkDJ[Account Code]=(TRIM($B115)))*(CkDJ[Date]&lt;=$E$7),CkDJ[Credit])))+(SUM(IF((CsDJ[Ofc Code]=(TRIM(G$4)))*(CsDJ[Account Code]=(TRIM($B115)))*(CsDJ[Date]&lt;=$E$7),CsDJ[Credit])))+(SUM(IF((CRDJ[Ofc Code]=(TRIM(G$4)))*(CRDJ[Account Code]=(TRIM($B115)))*(CRDJ[Date]&lt;=$E$7),CRDJ[Credit])))+(SUM(IF((GJ[Ofc Code]=(TRIM(G$4)))*(GJ[Account Code]=(TRIM($B115)))*(GJ[Date]&lt;=$E$7),GJ[Credit]))))</f>
        <v>0</v>
      </c>
      <c r="F115" s="245">
        <f t="array" ref="F115">((SUM(IF((CkDJ[Date]=$A$3)*(CkDJ[Ofc Code]=(TRIM(G$4)))*(CkDJ[Account Code]=(TRIM($B115))),CkDJ[Debit])))+(SUM(IF((CsDJ[Date]=$A$3)*(CsDJ[Ofc Code]=(TRIM(G$4)))*(CsDJ[Account Code]=(TRIM($B115))),CsDJ[Debit])))+(SUM(IF((CRDJ[Date]=$A$3)*(CRDJ[Ofc Code]=(TRIM(G$4)))*(CRDJ[Account Code]=(TRIM($B115))),CRDJ[Debit])))+(SUM(IF((GJ[Date]=$A$3)*(GJ[Ofc Code]=(TRIM(G$4)))*(GJ[Account Code]=(TRIM($B115))),GJ[Debit]))))-((SUM(IF((CkDJ[Date]=$A$3)*(CkDJ[Ofc Code]=(TRIM(G$4)))*(CkDJ[Account Code]=(TRIM($B115))),CkDJ[Credit])))+(SUM(IF((CsDJ[Date]=$A$3)*(CsDJ[Ofc Code]=(TRIM(G$4)))*(CsDJ[Account Code]=(TRIM($B115))),CsDJ[Credit])))+(SUM(IF((CRDJ[Date]=$A$3)*(CRDJ[Ofc Code]=(TRIM(G$4)))*(CRDJ[Account Code]=(TRIM($B115))),CRDJ[Credit])))+(SUM(IF((GJ[Date]=$A$3)*(GJ[Ofc Code]=(TRIM(G$4)))*(GJ[Account Code]=(TRIM($B115))),GJ[Credit]))))</f>
        <v>0</v>
      </c>
      <c r="G115" s="343">
        <f t="shared" si="6"/>
        <v>0</v>
      </c>
      <c r="H115" s="246">
        <f t="shared" si="7"/>
        <v>0</v>
      </c>
      <c r="I115" s="246">
        <f t="shared" si="8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Code]=B116)*(Budget[Ofc Code]=$G$4),(Budget[Amount])))</f>
        <v>0</v>
      </c>
      <c r="D116" s="245">
        <f t="array" ref="D116">SUM(IF((Budget[Account Code]=B116)*(Budget[Ofc Code]=$G$4)*(Budget[Date]&lt;=$D$7),(Budget[Amount])))</f>
        <v>0</v>
      </c>
      <c r="E116" s="245">
        <f t="array" ref="E116">((SUM(IF((CkDJ[Ofc Code]=(TRIM(G$4)))*(CkDJ[Account Code]=(TRIM($B116)))*(CkDJ[Date]&lt;=$E$7),CkDJ[Debit])))+(SUM(IF((CsDJ[Ofc Code]=(TRIM(G$4)))*(CsDJ[Account Code]=(TRIM($B116)))*(CsDJ[Date]&lt;=$E$7),CsDJ[Debit])))+(SUM(IF((CRDJ[Ofc Code]=(TRIM(G$4)))*(CRDJ[Account Code]=(TRIM($B116)))*(CRDJ[Date]&lt;=$E$7),CRDJ[Debit])))+(SUM(IF((GJ[Ofc Code]=(TRIM(G$4)))*(GJ[Account Code]=(TRIM($B116)))*(GJ[Date]&lt;=$E$7),GJ[Debit]))))-((SUM(IF((CkDJ[Ofc Code]=(TRIM(G$4)))*(CkDJ[Account Code]=(TRIM($B116)))*(CkDJ[Date]&lt;=$E$7),CkDJ[Credit])))+(SUM(IF((CsDJ[Ofc Code]=(TRIM(G$4)))*(CsDJ[Account Code]=(TRIM($B116)))*(CsDJ[Date]&lt;=$E$7),CsDJ[Credit])))+(SUM(IF((CRDJ[Ofc Code]=(TRIM(G$4)))*(CRDJ[Account Code]=(TRIM($B116)))*(CRDJ[Date]&lt;=$E$7),CRDJ[Credit])))+(SUM(IF((GJ[Ofc Code]=(TRIM(G$4)))*(GJ[Account Code]=(TRIM($B116)))*(GJ[Date]&lt;=$E$7),GJ[Credit]))))</f>
        <v>0</v>
      </c>
      <c r="F116" s="245">
        <f t="array" ref="F116">((SUM(IF((CkDJ[Date]=$A$3)*(CkDJ[Ofc Code]=(TRIM(G$4)))*(CkDJ[Account Code]=(TRIM($B116))),CkDJ[Debit])))+(SUM(IF((CsDJ[Date]=$A$3)*(CsDJ[Ofc Code]=(TRIM(G$4)))*(CsDJ[Account Code]=(TRIM($B116))),CsDJ[Debit])))+(SUM(IF((CRDJ[Date]=$A$3)*(CRDJ[Ofc Code]=(TRIM(G$4)))*(CRDJ[Account Code]=(TRIM($B116))),CRDJ[Debit])))+(SUM(IF((GJ[Date]=$A$3)*(GJ[Ofc Code]=(TRIM(G$4)))*(GJ[Account Code]=(TRIM($B116))),GJ[Debit]))))-((SUM(IF((CkDJ[Date]=$A$3)*(CkDJ[Ofc Code]=(TRIM(G$4)))*(CkDJ[Account Code]=(TRIM($B116))),CkDJ[Credit])))+(SUM(IF((CsDJ[Date]=$A$3)*(CsDJ[Ofc Code]=(TRIM(G$4)))*(CsDJ[Account Code]=(TRIM($B116))),CsDJ[Credit])))+(SUM(IF((CRDJ[Date]=$A$3)*(CRDJ[Ofc Code]=(TRIM(G$4)))*(CRDJ[Account Code]=(TRIM($B116))),CRDJ[Credit])))+(SUM(IF((GJ[Date]=$A$3)*(GJ[Ofc Code]=(TRIM(G$4)))*(GJ[Account Code]=(TRIM($B116))),GJ[Credit]))))</f>
        <v>0</v>
      </c>
      <c r="G116" s="343">
        <f t="shared" si="6"/>
        <v>0</v>
      </c>
      <c r="H116" s="246">
        <f t="shared" si="7"/>
        <v>0</v>
      </c>
      <c r="I116" s="246">
        <f t="shared" si="8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Code]=B117)*(Budget[Ofc Code]=$G$4),(Budget[Amount])))</f>
        <v>0</v>
      </c>
      <c r="D117" s="245">
        <f t="array" ref="D117">SUM(IF((Budget[Account Code]=B117)*(Budget[Ofc Code]=$G$4)*(Budget[Date]&lt;=$D$7),(Budget[Amount])))</f>
        <v>0</v>
      </c>
      <c r="E117" s="245">
        <f t="array" ref="E117">((SUM(IF((CkDJ[Ofc Code]=(TRIM(G$4)))*(CkDJ[Account Code]=(TRIM($B117)))*(CkDJ[Date]&lt;=$E$7),CkDJ[Debit])))+(SUM(IF((CsDJ[Ofc Code]=(TRIM(G$4)))*(CsDJ[Account Code]=(TRIM($B117)))*(CsDJ[Date]&lt;=$E$7),CsDJ[Debit])))+(SUM(IF((CRDJ[Ofc Code]=(TRIM(G$4)))*(CRDJ[Account Code]=(TRIM($B117)))*(CRDJ[Date]&lt;=$E$7),CRDJ[Debit])))+(SUM(IF((GJ[Ofc Code]=(TRIM(G$4)))*(GJ[Account Code]=(TRIM($B117)))*(GJ[Date]&lt;=$E$7),GJ[Debit]))))-((SUM(IF((CkDJ[Ofc Code]=(TRIM(G$4)))*(CkDJ[Account Code]=(TRIM($B117)))*(CkDJ[Date]&lt;=$E$7),CkDJ[Credit])))+(SUM(IF((CsDJ[Ofc Code]=(TRIM(G$4)))*(CsDJ[Account Code]=(TRIM($B117)))*(CsDJ[Date]&lt;=$E$7),CsDJ[Credit])))+(SUM(IF((CRDJ[Ofc Code]=(TRIM(G$4)))*(CRDJ[Account Code]=(TRIM($B117)))*(CRDJ[Date]&lt;=$E$7),CRDJ[Credit])))+(SUM(IF((GJ[Ofc Code]=(TRIM(G$4)))*(GJ[Account Code]=(TRIM($B117)))*(GJ[Date]&lt;=$E$7),GJ[Credit]))))</f>
        <v>0</v>
      </c>
      <c r="F117" s="245">
        <f t="array" ref="F117">((SUM(IF((CkDJ[Date]=$A$3)*(CkDJ[Ofc Code]=(TRIM(G$4)))*(CkDJ[Account Code]=(TRIM($B117))),CkDJ[Debit])))+(SUM(IF((CsDJ[Date]=$A$3)*(CsDJ[Ofc Code]=(TRIM(G$4)))*(CsDJ[Account Code]=(TRIM($B117))),CsDJ[Debit])))+(SUM(IF((CRDJ[Date]=$A$3)*(CRDJ[Ofc Code]=(TRIM(G$4)))*(CRDJ[Account Code]=(TRIM($B117))),CRDJ[Debit])))+(SUM(IF((GJ[Date]=$A$3)*(GJ[Ofc Code]=(TRIM(G$4)))*(GJ[Account Code]=(TRIM($B117))),GJ[Debit]))))-((SUM(IF((CkDJ[Date]=$A$3)*(CkDJ[Ofc Code]=(TRIM(G$4)))*(CkDJ[Account Code]=(TRIM($B117))),CkDJ[Credit])))+(SUM(IF((CsDJ[Date]=$A$3)*(CsDJ[Ofc Code]=(TRIM(G$4)))*(CsDJ[Account Code]=(TRIM($B117))),CsDJ[Credit])))+(SUM(IF((CRDJ[Date]=$A$3)*(CRDJ[Ofc Code]=(TRIM(G$4)))*(CRDJ[Account Code]=(TRIM($B117))),CRDJ[Credit])))+(SUM(IF((GJ[Date]=$A$3)*(GJ[Ofc Code]=(TRIM(G$4)))*(GJ[Account Code]=(TRIM($B117))),GJ[Credit]))))</f>
        <v>0</v>
      </c>
      <c r="G117" s="343">
        <f t="shared" si="6"/>
        <v>0</v>
      </c>
      <c r="H117" s="246">
        <f t="shared" si="7"/>
        <v>0</v>
      </c>
      <c r="I117" s="246">
        <f t="shared" si="8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Code]=B118)*(Budget[Ofc Code]=$G$4),(Budget[Amount])))</f>
        <v>0</v>
      </c>
      <c r="D118" s="245">
        <f t="array" ref="D118">SUM(IF((Budget[Account Code]=B118)*(Budget[Ofc Code]=$G$4)*(Budget[Date]&lt;=$D$7),(Budget[Amount])))</f>
        <v>0</v>
      </c>
      <c r="E118" s="245">
        <f t="array" ref="E118">((SUM(IF((CkDJ[Ofc Code]=(TRIM(G$4)))*(CkDJ[Account Code]=(TRIM($B118)))*(CkDJ[Date]&lt;=$E$7),CkDJ[Debit])))+(SUM(IF((CsDJ[Ofc Code]=(TRIM(G$4)))*(CsDJ[Account Code]=(TRIM($B118)))*(CsDJ[Date]&lt;=$E$7),CsDJ[Debit])))+(SUM(IF((CRDJ[Ofc Code]=(TRIM(G$4)))*(CRDJ[Account Code]=(TRIM($B118)))*(CRDJ[Date]&lt;=$E$7),CRDJ[Debit])))+(SUM(IF((GJ[Ofc Code]=(TRIM(G$4)))*(GJ[Account Code]=(TRIM($B118)))*(GJ[Date]&lt;=$E$7),GJ[Debit]))))-((SUM(IF((CkDJ[Ofc Code]=(TRIM(G$4)))*(CkDJ[Account Code]=(TRIM($B118)))*(CkDJ[Date]&lt;=$E$7),CkDJ[Credit])))+(SUM(IF((CsDJ[Ofc Code]=(TRIM(G$4)))*(CsDJ[Account Code]=(TRIM($B118)))*(CsDJ[Date]&lt;=$E$7),CsDJ[Credit])))+(SUM(IF((CRDJ[Ofc Code]=(TRIM(G$4)))*(CRDJ[Account Code]=(TRIM($B118)))*(CRDJ[Date]&lt;=$E$7),CRDJ[Credit])))+(SUM(IF((GJ[Ofc Code]=(TRIM(G$4)))*(GJ[Account Code]=(TRIM($B118)))*(GJ[Date]&lt;=$E$7),GJ[Credit]))))</f>
        <v>0</v>
      </c>
      <c r="F118" s="245">
        <f t="array" ref="F118">((SUM(IF((CkDJ[Date]=$A$3)*(CkDJ[Ofc Code]=(TRIM(G$4)))*(CkDJ[Account Code]=(TRIM($B118))),CkDJ[Debit])))+(SUM(IF((CsDJ[Date]=$A$3)*(CsDJ[Ofc Code]=(TRIM(G$4)))*(CsDJ[Account Code]=(TRIM($B118))),CsDJ[Debit])))+(SUM(IF((CRDJ[Date]=$A$3)*(CRDJ[Ofc Code]=(TRIM(G$4)))*(CRDJ[Account Code]=(TRIM($B118))),CRDJ[Debit])))+(SUM(IF((GJ[Date]=$A$3)*(GJ[Ofc Code]=(TRIM(G$4)))*(GJ[Account Code]=(TRIM($B118))),GJ[Debit]))))-((SUM(IF((CkDJ[Date]=$A$3)*(CkDJ[Ofc Code]=(TRIM(G$4)))*(CkDJ[Account Code]=(TRIM($B118))),CkDJ[Credit])))+(SUM(IF((CsDJ[Date]=$A$3)*(CsDJ[Ofc Code]=(TRIM(G$4)))*(CsDJ[Account Code]=(TRIM($B118))),CsDJ[Credit])))+(SUM(IF((CRDJ[Date]=$A$3)*(CRDJ[Ofc Code]=(TRIM(G$4)))*(CRDJ[Account Code]=(TRIM($B118))),CRDJ[Credit])))+(SUM(IF((GJ[Date]=$A$3)*(GJ[Ofc Code]=(TRIM(G$4)))*(GJ[Account Code]=(TRIM($B118))),GJ[Credit]))))</f>
        <v>0</v>
      </c>
      <c r="G118" s="343">
        <f t="shared" si="6"/>
        <v>0</v>
      </c>
      <c r="H118" s="246">
        <f t="shared" si="7"/>
        <v>0</v>
      </c>
      <c r="I118" s="246">
        <f t="shared" si="8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Code]=B119)*(Budget[Ofc Code]=$G$4),(Budget[Amount])))</f>
        <v>0</v>
      </c>
      <c r="D119" s="245">
        <f t="array" ref="D119">SUM(IF((Budget[Account Code]=B119)*(Budget[Ofc Code]=$G$4)*(Budget[Date]&lt;=$D$7),(Budget[Amount])))</f>
        <v>0</v>
      </c>
      <c r="E119" s="245">
        <f t="array" ref="E119">((SUM(IF((CkDJ[Ofc Code]=(TRIM(G$4)))*(CkDJ[Account Code]=(TRIM($B119)))*(CkDJ[Date]&lt;=$E$7),CkDJ[Debit])))+(SUM(IF((CsDJ[Ofc Code]=(TRIM(G$4)))*(CsDJ[Account Code]=(TRIM($B119)))*(CsDJ[Date]&lt;=$E$7),CsDJ[Debit])))+(SUM(IF((CRDJ[Ofc Code]=(TRIM(G$4)))*(CRDJ[Account Code]=(TRIM($B119)))*(CRDJ[Date]&lt;=$E$7),CRDJ[Debit])))+(SUM(IF((GJ[Ofc Code]=(TRIM(G$4)))*(GJ[Account Code]=(TRIM($B119)))*(GJ[Date]&lt;=$E$7),GJ[Debit]))))-((SUM(IF((CkDJ[Ofc Code]=(TRIM(G$4)))*(CkDJ[Account Code]=(TRIM($B119)))*(CkDJ[Date]&lt;=$E$7),CkDJ[Credit])))+(SUM(IF((CsDJ[Ofc Code]=(TRIM(G$4)))*(CsDJ[Account Code]=(TRIM($B119)))*(CsDJ[Date]&lt;=$E$7),CsDJ[Credit])))+(SUM(IF((CRDJ[Ofc Code]=(TRIM(G$4)))*(CRDJ[Account Code]=(TRIM($B119)))*(CRDJ[Date]&lt;=$E$7),CRDJ[Credit])))+(SUM(IF((GJ[Ofc Code]=(TRIM(G$4)))*(GJ[Account Code]=(TRIM($B119)))*(GJ[Date]&lt;=$E$7),GJ[Credit]))))</f>
        <v>0</v>
      </c>
      <c r="F119" s="245">
        <f t="array" ref="F119">((SUM(IF((CkDJ[Date]=$A$3)*(CkDJ[Ofc Code]=(TRIM(G$4)))*(CkDJ[Account Code]=(TRIM($B119))),CkDJ[Debit])))+(SUM(IF((CsDJ[Date]=$A$3)*(CsDJ[Ofc Code]=(TRIM(G$4)))*(CsDJ[Account Code]=(TRIM($B119))),CsDJ[Debit])))+(SUM(IF((CRDJ[Date]=$A$3)*(CRDJ[Ofc Code]=(TRIM(G$4)))*(CRDJ[Account Code]=(TRIM($B119))),CRDJ[Debit])))+(SUM(IF((GJ[Date]=$A$3)*(GJ[Ofc Code]=(TRIM(G$4)))*(GJ[Account Code]=(TRIM($B119))),GJ[Debit]))))-((SUM(IF((CkDJ[Date]=$A$3)*(CkDJ[Ofc Code]=(TRIM(G$4)))*(CkDJ[Account Code]=(TRIM($B119))),CkDJ[Credit])))+(SUM(IF((CsDJ[Date]=$A$3)*(CsDJ[Ofc Code]=(TRIM(G$4)))*(CsDJ[Account Code]=(TRIM($B119))),CsDJ[Credit])))+(SUM(IF((CRDJ[Date]=$A$3)*(CRDJ[Ofc Code]=(TRIM(G$4)))*(CRDJ[Account Code]=(TRIM($B119))),CRDJ[Credit])))+(SUM(IF((GJ[Date]=$A$3)*(GJ[Ofc Code]=(TRIM(G$4)))*(GJ[Account Code]=(TRIM($B119))),GJ[Credit]))))</f>
        <v>0</v>
      </c>
      <c r="G119" s="343">
        <f t="shared" si="6"/>
        <v>0</v>
      </c>
      <c r="H119" s="246">
        <f t="shared" si="7"/>
        <v>0</v>
      </c>
      <c r="I119" s="246">
        <f t="shared" si="8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Code]=B120)*(Budget[Ofc Code]=$G$4),(Budget[Amount])))</f>
        <v>0</v>
      </c>
      <c r="D120" s="245">
        <f t="array" ref="D120">SUM(IF((Budget[Account Code]=B120)*(Budget[Ofc Code]=$G$4)*(Budget[Date]&lt;=$D$7),(Budget[Amount])))</f>
        <v>0</v>
      </c>
      <c r="E120" s="245">
        <f t="array" ref="E120">((SUM(IF((CkDJ[Ofc Code]=(TRIM(G$4)))*(CkDJ[Account Code]=(TRIM($B120)))*(CkDJ[Date]&lt;=$E$7),CkDJ[Debit])))+(SUM(IF((CsDJ[Ofc Code]=(TRIM(G$4)))*(CsDJ[Account Code]=(TRIM($B120)))*(CsDJ[Date]&lt;=$E$7),CsDJ[Debit])))+(SUM(IF((CRDJ[Ofc Code]=(TRIM(G$4)))*(CRDJ[Account Code]=(TRIM($B120)))*(CRDJ[Date]&lt;=$E$7),CRDJ[Debit])))+(SUM(IF((GJ[Ofc Code]=(TRIM(G$4)))*(GJ[Account Code]=(TRIM($B120)))*(GJ[Date]&lt;=$E$7),GJ[Debit]))))-((SUM(IF((CkDJ[Ofc Code]=(TRIM(G$4)))*(CkDJ[Account Code]=(TRIM($B120)))*(CkDJ[Date]&lt;=$E$7),CkDJ[Credit])))+(SUM(IF((CsDJ[Ofc Code]=(TRIM(G$4)))*(CsDJ[Account Code]=(TRIM($B120)))*(CsDJ[Date]&lt;=$E$7),CsDJ[Credit])))+(SUM(IF((CRDJ[Ofc Code]=(TRIM(G$4)))*(CRDJ[Account Code]=(TRIM($B120)))*(CRDJ[Date]&lt;=$E$7),CRDJ[Credit])))+(SUM(IF((GJ[Ofc Code]=(TRIM(G$4)))*(GJ[Account Code]=(TRIM($B120)))*(GJ[Date]&lt;=$E$7),GJ[Credit]))))</f>
        <v>0</v>
      </c>
      <c r="F120" s="245">
        <f t="array" ref="F120">((SUM(IF((CkDJ[Date]=$A$3)*(CkDJ[Ofc Code]=(TRIM(G$4)))*(CkDJ[Account Code]=(TRIM($B120))),CkDJ[Debit])))+(SUM(IF((CsDJ[Date]=$A$3)*(CsDJ[Ofc Code]=(TRIM(G$4)))*(CsDJ[Account Code]=(TRIM($B120))),CsDJ[Debit])))+(SUM(IF((CRDJ[Date]=$A$3)*(CRDJ[Ofc Code]=(TRIM(G$4)))*(CRDJ[Account Code]=(TRIM($B120))),CRDJ[Debit])))+(SUM(IF((GJ[Date]=$A$3)*(GJ[Ofc Code]=(TRIM(G$4)))*(GJ[Account Code]=(TRIM($B120))),GJ[Debit]))))-((SUM(IF((CkDJ[Date]=$A$3)*(CkDJ[Ofc Code]=(TRIM(G$4)))*(CkDJ[Account Code]=(TRIM($B120))),CkDJ[Credit])))+(SUM(IF((CsDJ[Date]=$A$3)*(CsDJ[Ofc Code]=(TRIM(G$4)))*(CsDJ[Account Code]=(TRIM($B120))),CsDJ[Credit])))+(SUM(IF((CRDJ[Date]=$A$3)*(CRDJ[Ofc Code]=(TRIM(G$4)))*(CRDJ[Account Code]=(TRIM($B120))),CRDJ[Credit])))+(SUM(IF((GJ[Date]=$A$3)*(GJ[Ofc Code]=(TRIM(G$4)))*(GJ[Account Code]=(TRIM($B120))),GJ[Credit]))))</f>
        <v>0</v>
      </c>
      <c r="G120" s="343">
        <f t="shared" si="6"/>
        <v>0</v>
      </c>
      <c r="H120" s="246">
        <f t="shared" si="7"/>
        <v>0</v>
      </c>
      <c r="I120" s="246">
        <f t="shared" si="8"/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Code]=B121)*(Budget[Ofc Code]=$G$4),(Budget[Amount])))</f>
        <v>0</v>
      </c>
      <c r="D121" s="245">
        <f t="array" ref="D121">SUM(IF((Budget[Account Code]=B121)*(Budget[Ofc Code]=$G$4)*(Budget[Date]&lt;=$D$7),(Budget[Amount])))</f>
        <v>0</v>
      </c>
      <c r="E121" s="245">
        <f t="array" ref="E121">((SUM(IF((CkDJ[Ofc Code]=(TRIM(G$4)))*(CkDJ[Account Code]=(TRIM($B121)))*(CkDJ[Date]&lt;=$E$7),CkDJ[Debit])))+(SUM(IF((CsDJ[Ofc Code]=(TRIM(G$4)))*(CsDJ[Account Code]=(TRIM($B121)))*(CsDJ[Date]&lt;=$E$7),CsDJ[Debit])))+(SUM(IF((CRDJ[Ofc Code]=(TRIM(G$4)))*(CRDJ[Account Code]=(TRIM($B121)))*(CRDJ[Date]&lt;=$E$7),CRDJ[Debit])))+(SUM(IF((GJ[Ofc Code]=(TRIM(G$4)))*(GJ[Account Code]=(TRIM($B121)))*(GJ[Date]&lt;=$E$7),GJ[Debit]))))-((SUM(IF((CkDJ[Ofc Code]=(TRIM(G$4)))*(CkDJ[Account Code]=(TRIM($B121)))*(CkDJ[Date]&lt;=$E$7),CkDJ[Credit])))+(SUM(IF((CsDJ[Ofc Code]=(TRIM(G$4)))*(CsDJ[Account Code]=(TRIM($B121)))*(CsDJ[Date]&lt;=$E$7),CsDJ[Credit])))+(SUM(IF((CRDJ[Ofc Code]=(TRIM(G$4)))*(CRDJ[Account Code]=(TRIM($B121)))*(CRDJ[Date]&lt;=$E$7),CRDJ[Credit])))+(SUM(IF((GJ[Ofc Code]=(TRIM(G$4)))*(GJ[Account Code]=(TRIM($B121)))*(GJ[Date]&lt;=$E$7),GJ[Credit]))))</f>
        <v>0</v>
      </c>
      <c r="F121" s="245">
        <f t="array" ref="F121">((SUM(IF((CkDJ[Date]=$A$3)*(CkDJ[Ofc Code]=(TRIM(G$4)))*(CkDJ[Account Code]=(TRIM($B121))),CkDJ[Debit])))+(SUM(IF((CsDJ[Date]=$A$3)*(CsDJ[Ofc Code]=(TRIM(G$4)))*(CsDJ[Account Code]=(TRIM($B121))),CsDJ[Debit])))+(SUM(IF((CRDJ[Date]=$A$3)*(CRDJ[Ofc Code]=(TRIM(G$4)))*(CRDJ[Account Code]=(TRIM($B121))),CRDJ[Debit])))+(SUM(IF((GJ[Date]=$A$3)*(GJ[Ofc Code]=(TRIM(G$4)))*(GJ[Account Code]=(TRIM($B121))),GJ[Debit]))))-((SUM(IF((CkDJ[Date]=$A$3)*(CkDJ[Ofc Code]=(TRIM(G$4)))*(CkDJ[Account Code]=(TRIM($B121))),CkDJ[Credit])))+(SUM(IF((CsDJ[Date]=$A$3)*(CsDJ[Ofc Code]=(TRIM(G$4)))*(CsDJ[Account Code]=(TRIM($B121))),CsDJ[Credit])))+(SUM(IF((CRDJ[Date]=$A$3)*(CRDJ[Ofc Code]=(TRIM(G$4)))*(CRDJ[Account Code]=(TRIM($B121))),CRDJ[Credit])))+(SUM(IF((GJ[Date]=$A$3)*(GJ[Ofc Code]=(TRIM(G$4)))*(GJ[Account Code]=(TRIM($B121))),GJ[Credit]))))</f>
        <v>0</v>
      </c>
      <c r="G121" s="343">
        <f t="shared" si="6"/>
        <v>0</v>
      </c>
      <c r="H121" s="246">
        <f t="shared" si="7"/>
        <v>0</v>
      </c>
      <c r="I121" s="246">
        <f t="shared" si="8"/>
        <v>0</v>
      </c>
    </row>
    <row r="122" spans="1:9" hidden="1" x14ac:dyDescent="0.2">
      <c r="A122" s="256" t="s">
        <v>409</v>
      </c>
      <c r="B122" s="339" t="s">
        <v>408</v>
      </c>
      <c r="C122" s="245">
        <f t="array" ref="C122">SUM(IF((Budget[Account Code]=B122)*(Budget[Ofc Code]=$G$4),(Budget[Amount])))</f>
        <v>0</v>
      </c>
      <c r="D122" s="245">
        <f t="array" ref="D122">SUM(IF((Budget[Account Code]=B122)*(Budget[Ofc Code]=$G$4)*(Budget[Date]&lt;=$D$7),(Budget[Amount])))</f>
        <v>0</v>
      </c>
      <c r="E122" s="245">
        <f t="array" ref="E122">((SUM(IF((CkDJ[Ofc Code]=(TRIM(G$4)))*(CkDJ[Account Code]=(TRIM($B122)))*(CkDJ[Date]&lt;=$E$7),CkDJ[Debit])))+(SUM(IF((CsDJ[Ofc Code]=(TRIM(G$4)))*(CsDJ[Account Code]=(TRIM($B122)))*(CsDJ[Date]&lt;=$E$7),CsDJ[Debit])))+(SUM(IF((CRDJ[Ofc Code]=(TRIM(G$4)))*(CRDJ[Account Code]=(TRIM($B122)))*(CRDJ[Date]&lt;=$E$7),CRDJ[Debit])))+(SUM(IF((GJ[Ofc Code]=(TRIM(G$4)))*(GJ[Account Code]=(TRIM($B122)))*(GJ[Date]&lt;=$E$7),GJ[Debit]))))-((SUM(IF((CkDJ[Ofc Code]=(TRIM(G$4)))*(CkDJ[Account Code]=(TRIM($B122)))*(CkDJ[Date]&lt;=$E$7),CkDJ[Credit])))+(SUM(IF((CsDJ[Ofc Code]=(TRIM(G$4)))*(CsDJ[Account Code]=(TRIM($B122)))*(CsDJ[Date]&lt;=$E$7),CsDJ[Credit])))+(SUM(IF((CRDJ[Ofc Code]=(TRIM(G$4)))*(CRDJ[Account Code]=(TRIM($B122)))*(CRDJ[Date]&lt;=$E$7),CRDJ[Credit])))+(SUM(IF((GJ[Ofc Code]=(TRIM(G$4)))*(GJ[Account Code]=(TRIM($B122)))*(GJ[Date]&lt;=$E$7),GJ[Credit]))))</f>
        <v>0</v>
      </c>
      <c r="F122" s="245">
        <f t="array" ref="F122">((SUM(IF((CkDJ[Date]=$A$3)*(CkDJ[Ofc Code]=(TRIM(G$4)))*(CkDJ[Account Code]=(TRIM($B122))),CkDJ[Debit])))+(SUM(IF((CsDJ[Date]=$A$3)*(CsDJ[Ofc Code]=(TRIM(G$4)))*(CsDJ[Account Code]=(TRIM($B122))),CsDJ[Debit])))+(SUM(IF((CRDJ[Date]=$A$3)*(CRDJ[Ofc Code]=(TRIM(G$4)))*(CRDJ[Account Code]=(TRIM($B122))),CRDJ[Debit])))+(SUM(IF((GJ[Date]=$A$3)*(GJ[Ofc Code]=(TRIM(G$4)))*(GJ[Account Code]=(TRIM($B122))),GJ[Debit]))))-((SUM(IF((CkDJ[Date]=$A$3)*(CkDJ[Ofc Code]=(TRIM(G$4)))*(CkDJ[Account Code]=(TRIM($B122))),CkDJ[Credit])))+(SUM(IF((CsDJ[Date]=$A$3)*(CsDJ[Ofc Code]=(TRIM(G$4)))*(CsDJ[Account Code]=(TRIM($B122))),CsDJ[Credit])))+(SUM(IF((CRDJ[Date]=$A$3)*(CRDJ[Ofc Code]=(TRIM(G$4)))*(CRDJ[Account Code]=(TRIM($B122))),CRDJ[Credit])))+(SUM(IF((GJ[Date]=$A$3)*(GJ[Ofc Code]=(TRIM(G$4)))*(GJ[Account Code]=(TRIM($B122))),GJ[Credit]))))</f>
        <v>0</v>
      </c>
      <c r="G122" s="343">
        <f>E122+F122</f>
        <v>0</v>
      </c>
      <c r="H122" s="246">
        <f>G122-D122</f>
        <v>0</v>
      </c>
      <c r="I122" s="246">
        <f>IF((D122=0),0,G122/D122)</f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Code]=B123)*(Budget[Ofc Code]=$G$4),(Budget[Amount])))</f>
        <v>0</v>
      </c>
      <c r="D123" s="245">
        <f t="array" ref="D123">SUM(IF((Budget[Account Code]=B123)*(Budget[Ofc Code]=$G$4)*(Budget[Date]&lt;=$D$7),(Budget[Amount])))</f>
        <v>0</v>
      </c>
      <c r="E123" s="245">
        <f t="array" ref="E123">((SUM(IF((CkDJ[Ofc Code]=(TRIM(G$4)))*(CkDJ[Account Code]=(TRIM($B123)))*(CkDJ[Date]&lt;=$E$7),CkDJ[Debit])))+(SUM(IF((CsDJ[Ofc Code]=(TRIM(G$4)))*(CsDJ[Account Code]=(TRIM($B123)))*(CsDJ[Date]&lt;=$E$7),CsDJ[Debit])))+(SUM(IF((CRDJ[Ofc Code]=(TRIM(G$4)))*(CRDJ[Account Code]=(TRIM($B123)))*(CRDJ[Date]&lt;=$E$7),CRDJ[Debit])))+(SUM(IF((GJ[Ofc Code]=(TRIM(G$4)))*(GJ[Account Code]=(TRIM($B123)))*(GJ[Date]&lt;=$E$7),GJ[Debit]))))-((SUM(IF((CkDJ[Ofc Code]=(TRIM(G$4)))*(CkDJ[Account Code]=(TRIM($B123)))*(CkDJ[Date]&lt;=$E$7),CkDJ[Credit])))+(SUM(IF((CsDJ[Ofc Code]=(TRIM(G$4)))*(CsDJ[Account Code]=(TRIM($B123)))*(CsDJ[Date]&lt;=$E$7),CsDJ[Credit])))+(SUM(IF((CRDJ[Ofc Code]=(TRIM(G$4)))*(CRDJ[Account Code]=(TRIM($B123)))*(CRDJ[Date]&lt;=$E$7),CRDJ[Credit])))+(SUM(IF((GJ[Ofc Code]=(TRIM(G$4)))*(GJ[Account Code]=(TRIM($B123)))*(GJ[Date]&lt;=$E$7),GJ[Credit]))))</f>
        <v>0</v>
      </c>
      <c r="F123" s="245">
        <f t="array" ref="F123">((SUM(IF((CkDJ[Date]=$A$3)*(CkDJ[Ofc Code]=(TRIM(G$4)))*(CkDJ[Account Code]=(TRIM($B123))),CkDJ[Debit])))+(SUM(IF((CsDJ[Date]=$A$3)*(CsDJ[Ofc Code]=(TRIM(G$4)))*(CsDJ[Account Code]=(TRIM($B123))),CsDJ[Debit])))+(SUM(IF((CRDJ[Date]=$A$3)*(CRDJ[Ofc Code]=(TRIM(G$4)))*(CRDJ[Account Code]=(TRIM($B123))),CRDJ[Debit])))+(SUM(IF((GJ[Date]=$A$3)*(GJ[Ofc Code]=(TRIM(G$4)))*(GJ[Account Code]=(TRIM($B123))),GJ[Debit]))))-((SUM(IF((CkDJ[Date]=$A$3)*(CkDJ[Ofc Code]=(TRIM(G$4)))*(CkDJ[Account Code]=(TRIM($B123))),CkDJ[Credit])))+(SUM(IF((CsDJ[Date]=$A$3)*(CsDJ[Ofc Code]=(TRIM(G$4)))*(CsDJ[Account Code]=(TRIM($B123))),CsDJ[Credit])))+(SUM(IF((CRDJ[Date]=$A$3)*(CRDJ[Ofc Code]=(TRIM(G$4)))*(CRDJ[Account Code]=(TRIM($B123))),CRDJ[Credit])))+(SUM(IF((GJ[Date]=$A$3)*(GJ[Ofc Code]=(TRIM(G$4)))*(GJ[Account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Code]=B124)*(Budget[Ofc Code]=$G$4),(Budget[Amount])))</f>
        <v>0</v>
      </c>
      <c r="D124" s="245">
        <f t="array" ref="D124">SUM(IF((Budget[Account Code]=B124)*(Budget[Ofc Code]=$G$4)*(Budget[Date]&lt;=$D$7),(Budget[Amount])))</f>
        <v>0</v>
      </c>
      <c r="E124" s="245">
        <f t="array" ref="E124">((SUM(IF((CkDJ[Ofc Code]=(TRIM(G$4)))*(CkDJ[Account Code]=(TRIM($B124)))*(CkDJ[Date]&lt;=$E$7),CkDJ[Debit])))+(SUM(IF((CsDJ[Ofc Code]=(TRIM(G$4)))*(CsDJ[Account Code]=(TRIM($B124)))*(CsDJ[Date]&lt;=$E$7),CsDJ[Debit])))+(SUM(IF((CRDJ[Ofc Code]=(TRIM(G$4)))*(CRDJ[Account Code]=(TRIM($B124)))*(CRDJ[Date]&lt;=$E$7),CRDJ[Debit])))+(SUM(IF((GJ[Ofc Code]=(TRIM(G$4)))*(GJ[Account Code]=(TRIM($B124)))*(GJ[Date]&lt;=$E$7),GJ[Debit]))))-((SUM(IF((CkDJ[Ofc Code]=(TRIM(G$4)))*(CkDJ[Account Code]=(TRIM($B124)))*(CkDJ[Date]&lt;=$E$7),CkDJ[Credit])))+(SUM(IF((CsDJ[Ofc Code]=(TRIM(G$4)))*(CsDJ[Account Code]=(TRIM($B124)))*(CsDJ[Date]&lt;=$E$7),CsDJ[Credit])))+(SUM(IF((CRDJ[Ofc Code]=(TRIM(G$4)))*(CRDJ[Account Code]=(TRIM($B124)))*(CRDJ[Date]&lt;=$E$7),CRDJ[Credit])))+(SUM(IF((GJ[Ofc Code]=(TRIM(G$4)))*(GJ[Account Code]=(TRIM($B124)))*(GJ[Date]&lt;=$E$7),GJ[Credit]))))</f>
        <v>0</v>
      </c>
      <c r="F124" s="245">
        <f t="array" ref="F124">((SUM(IF((CkDJ[Date]=$A$3)*(CkDJ[Ofc Code]=(TRIM(G$4)))*(CkDJ[Account Code]=(TRIM($B124))),CkDJ[Debit])))+(SUM(IF((CsDJ[Date]=$A$3)*(CsDJ[Ofc Code]=(TRIM(G$4)))*(CsDJ[Account Code]=(TRIM($B124))),CsDJ[Debit])))+(SUM(IF((CRDJ[Date]=$A$3)*(CRDJ[Ofc Code]=(TRIM(G$4)))*(CRDJ[Account Code]=(TRIM($B124))),CRDJ[Debit])))+(SUM(IF((GJ[Date]=$A$3)*(GJ[Ofc Code]=(TRIM(G$4)))*(GJ[Account Code]=(TRIM($B124))),GJ[Debit]))))-((SUM(IF((CkDJ[Date]=$A$3)*(CkDJ[Ofc Code]=(TRIM(G$4)))*(CkDJ[Account Code]=(TRIM($B124))),CkDJ[Credit])))+(SUM(IF((CsDJ[Date]=$A$3)*(CsDJ[Ofc Code]=(TRIM(G$4)))*(CsDJ[Account Code]=(TRIM($B124))),CsDJ[Credit])))+(SUM(IF((CRDJ[Date]=$A$3)*(CRDJ[Ofc Code]=(TRIM(G$4)))*(CRDJ[Account Code]=(TRIM($B124))),CRDJ[Credit])))+(SUM(IF((GJ[Date]=$A$3)*(GJ[Ofc Code]=(TRIM(G$4)))*(GJ[Account Code]=(TRIM($B124))),GJ[Credit]))))</f>
        <v>0</v>
      </c>
      <c r="G124" s="343">
        <f t="shared" si="6"/>
        <v>0</v>
      </c>
      <c r="H124" s="246">
        <f t="shared" si="7"/>
        <v>0</v>
      </c>
      <c r="I124" s="246">
        <f t="shared" si="8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Code]=B125)*(Budget[Ofc Code]=$G$4),(Budget[Amount])))</f>
        <v>168456.24</v>
      </c>
      <c r="D125" s="245">
        <f t="array" ref="D125">SUM(IF((Budget[Account Code]=B125)*(Budget[Ofc Code]=$G$4)*(Budget[Date]&lt;=$D$7),(Budget[Amount])))</f>
        <v>168456.24</v>
      </c>
      <c r="E125" s="245">
        <f t="array" ref="E125">((SUM(IF((CkDJ[Ofc Code]=(TRIM(G$4)))*(CkDJ[Account Code]=(TRIM($B125)))*(CkDJ[Date]&lt;=$E$7),CkDJ[Debit])))+(SUM(IF((CsDJ[Ofc Code]=(TRIM(G$4)))*(CsDJ[Account Code]=(TRIM($B125)))*(CsDJ[Date]&lt;=$E$7),CsDJ[Debit])))+(SUM(IF((CRDJ[Ofc Code]=(TRIM(G$4)))*(CRDJ[Account Code]=(TRIM($B125)))*(CRDJ[Date]&lt;=$E$7),CRDJ[Debit])))+(SUM(IF((GJ[Ofc Code]=(TRIM(G$4)))*(GJ[Account Code]=(TRIM($B125)))*(GJ[Date]&lt;=$E$7),GJ[Debit]))))-((SUM(IF((CkDJ[Ofc Code]=(TRIM(G$4)))*(CkDJ[Account Code]=(TRIM($B125)))*(CkDJ[Date]&lt;=$E$7),CkDJ[Credit])))+(SUM(IF((CsDJ[Ofc Code]=(TRIM(G$4)))*(CsDJ[Account Code]=(TRIM($B125)))*(CsDJ[Date]&lt;=$E$7),CsDJ[Credit])))+(SUM(IF((CRDJ[Ofc Code]=(TRIM(G$4)))*(CRDJ[Account Code]=(TRIM($B125)))*(CRDJ[Date]&lt;=$E$7),CRDJ[Credit])))+(SUM(IF((GJ[Ofc Code]=(TRIM(G$4)))*(GJ[Account Code]=(TRIM($B125)))*(GJ[Date]&lt;=$E$7),GJ[Credit]))))</f>
        <v>0</v>
      </c>
      <c r="F125" s="245">
        <f t="array" ref="F125">((SUM(IF((CkDJ[Date]=$A$3)*(CkDJ[Ofc Code]=(TRIM(G$4)))*(CkDJ[Account Code]=(TRIM($B125))),CkDJ[Debit])))+(SUM(IF((CsDJ[Date]=$A$3)*(CsDJ[Ofc Code]=(TRIM(G$4)))*(CsDJ[Account Code]=(TRIM($B125))),CsDJ[Debit])))+(SUM(IF((CRDJ[Date]=$A$3)*(CRDJ[Ofc Code]=(TRIM(G$4)))*(CRDJ[Account Code]=(TRIM($B125))),CRDJ[Debit])))+(SUM(IF((GJ[Date]=$A$3)*(GJ[Ofc Code]=(TRIM(G$4)))*(GJ[Account Code]=(TRIM($B125))),GJ[Debit]))))-((SUM(IF((CkDJ[Date]=$A$3)*(CkDJ[Ofc Code]=(TRIM(G$4)))*(CkDJ[Account Code]=(TRIM($B125))),CkDJ[Credit])))+(SUM(IF((CsDJ[Date]=$A$3)*(CsDJ[Ofc Code]=(TRIM(G$4)))*(CsDJ[Account Code]=(TRIM($B125))),CsDJ[Credit])))+(SUM(IF((CRDJ[Date]=$A$3)*(CRDJ[Ofc Code]=(TRIM(G$4)))*(CRDJ[Account Code]=(TRIM($B125))),CRDJ[Credit])))+(SUM(IF((GJ[Date]=$A$3)*(GJ[Ofc Code]=(TRIM(G$4)))*(GJ[Account Code]=(TRIM($B125))),GJ[Credit]))))</f>
        <v>0</v>
      </c>
      <c r="G125" s="343">
        <f t="shared" si="6"/>
        <v>0</v>
      </c>
      <c r="H125" s="246">
        <f t="shared" si="7"/>
        <v>-168456.24</v>
      </c>
      <c r="I125" s="246">
        <f t="shared" si="8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Code]=B126)*(Budget[Ofc Code]=$G$4),(Budget[Amount])))</f>
        <v>0</v>
      </c>
      <c r="D126" s="245">
        <f t="array" ref="D126">SUM(IF((Budget[Account Code]=B126)*(Budget[Ofc Code]=$G$4)*(Budget[Date]&lt;=$D$7),(Budget[Amount])))</f>
        <v>0</v>
      </c>
      <c r="E126" s="245">
        <f t="array" ref="E126">((SUM(IF((CkDJ[Ofc Code]=(TRIM(G$4)))*(CkDJ[Account Code]=(TRIM($B126)))*(CkDJ[Date]&lt;=$E$7),CkDJ[Debit])))+(SUM(IF((CsDJ[Ofc Code]=(TRIM(G$4)))*(CsDJ[Account Code]=(TRIM($B126)))*(CsDJ[Date]&lt;=$E$7),CsDJ[Debit])))+(SUM(IF((CRDJ[Ofc Code]=(TRIM(G$4)))*(CRDJ[Account Code]=(TRIM($B126)))*(CRDJ[Date]&lt;=$E$7),CRDJ[Debit])))+(SUM(IF((GJ[Ofc Code]=(TRIM(G$4)))*(GJ[Account Code]=(TRIM($B126)))*(GJ[Date]&lt;=$E$7),GJ[Debit]))))-((SUM(IF((CkDJ[Ofc Code]=(TRIM(G$4)))*(CkDJ[Account Code]=(TRIM($B126)))*(CkDJ[Date]&lt;=$E$7),CkDJ[Credit])))+(SUM(IF((CsDJ[Ofc Code]=(TRIM(G$4)))*(CsDJ[Account Code]=(TRIM($B126)))*(CsDJ[Date]&lt;=$E$7),CsDJ[Credit])))+(SUM(IF((CRDJ[Ofc Code]=(TRIM(G$4)))*(CRDJ[Account Code]=(TRIM($B126)))*(CRDJ[Date]&lt;=$E$7),CRDJ[Credit])))+(SUM(IF((GJ[Ofc Code]=(TRIM(G$4)))*(GJ[Account Code]=(TRIM($B126)))*(GJ[Date]&lt;=$E$7),GJ[Credit]))))</f>
        <v>0</v>
      </c>
      <c r="F126" s="245">
        <f t="array" ref="F126">((SUM(IF((CkDJ[Date]=$A$3)*(CkDJ[Ofc Code]=(TRIM(G$4)))*(CkDJ[Account Code]=(TRIM($B126))),CkDJ[Debit])))+(SUM(IF((CsDJ[Date]=$A$3)*(CsDJ[Ofc Code]=(TRIM(G$4)))*(CsDJ[Account Code]=(TRIM($B126))),CsDJ[Debit])))+(SUM(IF((CRDJ[Date]=$A$3)*(CRDJ[Ofc Code]=(TRIM(G$4)))*(CRDJ[Account Code]=(TRIM($B126))),CRDJ[Debit])))+(SUM(IF((GJ[Date]=$A$3)*(GJ[Ofc Code]=(TRIM(G$4)))*(GJ[Account Code]=(TRIM($B126))),GJ[Debit]))))-((SUM(IF((CkDJ[Date]=$A$3)*(CkDJ[Ofc Code]=(TRIM(G$4)))*(CkDJ[Account Code]=(TRIM($B126))),CkDJ[Credit])))+(SUM(IF((CsDJ[Date]=$A$3)*(CsDJ[Ofc Code]=(TRIM(G$4)))*(CsDJ[Account Code]=(TRIM($B126))),CsDJ[Credit])))+(SUM(IF((CRDJ[Date]=$A$3)*(CRDJ[Ofc Code]=(TRIM(G$4)))*(CRDJ[Account Code]=(TRIM($B126))),CRDJ[Credit])))+(SUM(IF((GJ[Date]=$A$3)*(GJ[Ofc Code]=(TRIM(G$4)))*(GJ[Account Code]=(TRIM($B126))),GJ[Credit]))))</f>
        <v>0</v>
      </c>
      <c r="G126" s="343">
        <f t="shared" si="6"/>
        <v>0</v>
      </c>
      <c r="H126" s="246">
        <f t="shared" si="7"/>
        <v>0</v>
      </c>
      <c r="I126" s="246">
        <f t="shared" si="8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Code]=B127)*(Budget[Ofc Code]=$G$4),(Budget[Amount])))</f>
        <v>0</v>
      </c>
      <c r="D127" s="245">
        <f t="array" ref="D127">SUM(IF((Budget[Account Code]=B127)*(Budget[Ofc Code]=$G$4)*(Budget[Date]&lt;=$D$7),(Budget[Amount])))</f>
        <v>0</v>
      </c>
      <c r="E127" s="245">
        <f t="array" ref="E127">((SUM(IF((CkDJ[Ofc Code]=(TRIM(G$4)))*(CkDJ[Account Code]=(TRIM($B127)))*(CkDJ[Date]&lt;=$E$7),CkDJ[Debit])))+(SUM(IF((CsDJ[Ofc Code]=(TRIM(G$4)))*(CsDJ[Account Code]=(TRIM($B127)))*(CsDJ[Date]&lt;=$E$7),CsDJ[Debit])))+(SUM(IF((CRDJ[Ofc Code]=(TRIM(G$4)))*(CRDJ[Account Code]=(TRIM($B127)))*(CRDJ[Date]&lt;=$E$7),CRDJ[Debit])))+(SUM(IF((GJ[Ofc Code]=(TRIM(G$4)))*(GJ[Account Code]=(TRIM($B127)))*(GJ[Date]&lt;=$E$7),GJ[Debit]))))-((SUM(IF((CkDJ[Ofc Code]=(TRIM(G$4)))*(CkDJ[Account Code]=(TRIM($B127)))*(CkDJ[Date]&lt;=$E$7),CkDJ[Credit])))+(SUM(IF((CsDJ[Ofc Code]=(TRIM(G$4)))*(CsDJ[Account Code]=(TRIM($B127)))*(CsDJ[Date]&lt;=$E$7),CsDJ[Credit])))+(SUM(IF((CRDJ[Ofc Code]=(TRIM(G$4)))*(CRDJ[Account Code]=(TRIM($B127)))*(CRDJ[Date]&lt;=$E$7),CRDJ[Credit])))+(SUM(IF((GJ[Ofc Code]=(TRIM(G$4)))*(GJ[Account Code]=(TRIM($B127)))*(GJ[Date]&lt;=$E$7),GJ[Credit]))))</f>
        <v>0</v>
      </c>
      <c r="F127" s="245">
        <f t="array" ref="F127">((SUM(IF((CkDJ[Date]=$A$3)*(CkDJ[Ofc Code]=(TRIM(G$4)))*(CkDJ[Account Code]=(TRIM($B127))),CkDJ[Debit])))+(SUM(IF((CsDJ[Date]=$A$3)*(CsDJ[Ofc Code]=(TRIM(G$4)))*(CsDJ[Account Code]=(TRIM($B127))),CsDJ[Debit])))+(SUM(IF((CRDJ[Date]=$A$3)*(CRDJ[Ofc Code]=(TRIM(G$4)))*(CRDJ[Account Code]=(TRIM($B127))),CRDJ[Debit])))+(SUM(IF((GJ[Date]=$A$3)*(GJ[Ofc Code]=(TRIM(G$4)))*(GJ[Account Code]=(TRIM($B127))),GJ[Debit]))))-((SUM(IF((CkDJ[Date]=$A$3)*(CkDJ[Ofc Code]=(TRIM(G$4)))*(CkDJ[Account Code]=(TRIM($B127))),CkDJ[Credit])))+(SUM(IF((CsDJ[Date]=$A$3)*(CsDJ[Ofc Code]=(TRIM(G$4)))*(CsDJ[Account Code]=(TRIM($B127))),CsDJ[Credit])))+(SUM(IF((CRDJ[Date]=$A$3)*(CRDJ[Ofc Code]=(TRIM(G$4)))*(CRDJ[Account Code]=(TRIM($B127))),CRDJ[Credit])))+(SUM(IF((GJ[Date]=$A$3)*(GJ[Ofc Code]=(TRIM(G$4)))*(GJ[Account Code]=(TRIM($B127))),GJ[Credit]))))</f>
        <v>0</v>
      </c>
      <c r="G127" s="343">
        <f t="shared" si="6"/>
        <v>0</v>
      </c>
      <c r="H127" s="246">
        <f t="shared" si="7"/>
        <v>0</v>
      </c>
      <c r="I127" s="246">
        <f t="shared" si="8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Code]=B128)*(Budget[Ofc Code]=$G$4),(Budget[Amount])))</f>
        <v>0</v>
      </c>
      <c r="D128" s="245">
        <f t="array" ref="D128">SUM(IF((Budget[Account Code]=B128)*(Budget[Ofc Code]=$G$4)*(Budget[Date]&lt;=$D$7),(Budget[Amount])))</f>
        <v>0</v>
      </c>
      <c r="E128" s="245">
        <f t="array" ref="E128">((SUM(IF((CkDJ[Ofc Code]=(TRIM(G$4)))*(CkDJ[Account Code]=(TRIM($B128)))*(CkDJ[Date]&lt;=$E$7),CkDJ[Debit])))+(SUM(IF((CsDJ[Ofc Code]=(TRIM(G$4)))*(CsDJ[Account Code]=(TRIM($B128)))*(CsDJ[Date]&lt;=$E$7),CsDJ[Debit])))+(SUM(IF((CRDJ[Ofc Code]=(TRIM(G$4)))*(CRDJ[Account Code]=(TRIM($B128)))*(CRDJ[Date]&lt;=$E$7),CRDJ[Debit])))+(SUM(IF((GJ[Ofc Code]=(TRIM(G$4)))*(GJ[Account Code]=(TRIM($B128)))*(GJ[Date]&lt;=$E$7),GJ[Debit]))))-((SUM(IF((CkDJ[Ofc Code]=(TRIM(G$4)))*(CkDJ[Account Code]=(TRIM($B128)))*(CkDJ[Date]&lt;=$E$7),CkDJ[Credit])))+(SUM(IF((CsDJ[Ofc Code]=(TRIM(G$4)))*(CsDJ[Account Code]=(TRIM($B128)))*(CsDJ[Date]&lt;=$E$7),CsDJ[Credit])))+(SUM(IF((CRDJ[Ofc Code]=(TRIM(G$4)))*(CRDJ[Account Code]=(TRIM($B128)))*(CRDJ[Date]&lt;=$E$7),CRDJ[Credit])))+(SUM(IF((GJ[Ofc Code]=(TRIM(G$4)))*(GJ[Account Code]=(TRIM($B128)))*(GJ[Date]&lt;=$E$7),GJ[Credit]))))</f>
        <v>0</v>
      </c>
      <c r="F128" s="245">
        <f t="array" ref="F128">((SUM(IF((CkDJ[Date]=$A$3)*(CkDJ[Ofc Code]=(TRIM(G$4)))*(CkDJ[Account Code]=(TRIM($B128))),CkDJ[Debit])))+(SUM(IF((CsDJ[Date]=$A$3)*(CsDJ[Ofc Code]=(TRIM(G$4)))*(CsDJ[Account Code]=(TRIM($B128))),CsDJ[Debit])))+(SUM(IF((CRDJ[Date]=$A$3)*(CRDJ[Ofc Code]=(TRIM(G$4)))*(CRDJ[Account Code]=(TRIM($B128))),CRDJ[Debit])))+(SUM(IF((GJ[Date]=$A$3)*(GJ[Ofc Code]=(TRIM(G$4)))*(GJ[Account Code]=(TRIM($B128))),GJ[Debit]))))-((SUM(IF((CkDJ[Date]=$A$3)*(CkDJ[Ofc Code]=(TRIM(G$4)))*(CkDJ[Account Code]=(TRIM($B128))),CkDJ[Credit])))+(SUM(IF((CsDJ[Date]=$A$3)*(CsDJ[Ofc Code]=(TRIM(G$4)))*(CsDJ[Account Code]=(TRIM($B128))),CsDJ[Credit])))+(SUM(IF((CRDJ[Date]=$A$3)*(CRDJ[Ofc Code]=(TRIM(G$4)))*(CRDJ[Account Code]=(TRIM($B128))),CRDJ[Credit])))+(SUM(IF((GJ[Date]=$A$3)*(GJ[Ofc Code]=(TRIM(G$4)))*(GJ[Account Code]=(TRIM($B128))),GJ[Credit]))))</f>
        <v>0</v>
      </c>
      <c r="G128" s="343">
        <f t="shared" si="6"/>
        <v>0</v>
      </c>
      <c r="H128" s="246">
        <f t="shared" si="7"/>
        <v>0</v>
      </c>
      <c r="I128" s="246">
        <f t="shared" si="8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Code]=B129)*(Budget[Ofc Code]=$G$4),(Budget[Amount])))</f>
        <v>0</v>
      </c>
      <c r="D129" s="245">
        <f t="array" ref="D129">SUM(IF((Budget[Account Code]=B129)*(Budget[Ofc Code]=$G$4)*(Budget[Date]&lt;=$D$7),(Budget[Amount])))</f>
        <v>0</v>
      </c>
      <c r="E129" s="245">
        <f t="array" ref="E129">((SUM(IF((CkDJ[Ofc Code]=(TRIM(G$4)))*(CkDJ[Account Code]=(TRIM($B129)))*(CkDJ[Date]&lt;=$E$7),CkDJ[Debit])))+(SUM(IF((CsDJ[Ofc Code]=(TRIM(G$4)))*(CsDJ[Account Code]=(TRIM($B129)))*(CsDJ[Date]&lt;=$E$7),CsDJ[Debit])))+(SUM(IF((CRDJ[Ofc Code]=(TRIM(G$4)))*(CRDJ[Account Code]=(TRIM($B129)))*(CRDJ[Date]&lt;=$E$7),CRDJ[Debit])))+(SUM(IF((GJ[Ofc Code]=(TRIM(G$4)))*(GJ[Account Code]=(TRIM($B129)))*(GJ[Date]&lt;=$E$7),GJ[Debit]))))-((SUM(IF((CkDJ[Ofc Code]=(TRIM(G$4)))*(CkDJ[Account Code]=(TRIM($B129)))*(CkDJ[Date]&lt;=$E$7),CkDJ[Credit])))+(SUM(IF((CsDJ[Ofc Code]=(TRIM(G$4)))*(CsDJ[Account Code]=(TRIM($B129)))*(CsDJ[Date]&lt;=$E$7),CsDJ[Credit])))+(SUM(IF((CRDJ[Ofc Code]=(TRIM(G$4)))*(CRDJ[Account Code]=(TRIM($B129)))*(CRDJ[Date]&lt;=$E$7),CRDJ[Credit])))+(SUM(IF((GJ[Ofc Code]=(TRIM(G$4)))*(GJ[Account Code]=(TRIM($B129)))*(GJ[Date]&lt;=$E$7),GJ[Credit]))))</f>
        <v>0</v>
      </c>
      <c r="F129" s="245">
        <f t="array" ref="F129">((SUM(IF((CkDJ[Date]=$A$3)*(CkDJ[Ofc Code]=(TRIM(G$4)))*(CkDJ[Account Code]=(TRIM($B129))),CkDJ[Debit])))+(SUM(IF((CsDJ[Date]=$A$3)*(CsDJ[Ofc Code]=(TRIM(G$4)))*(CsDJ[Account Code]=(TRIM($B129))),CsDJ[Debit])))+(SUM(IF((CRDJ[Date]=$A$3)*(CRDJ[Ofc Code]=(TRIM(G$4)))*(CRDJ[Account Code]=(TRIM($B129))),CRDJ[Debit])))+(SUM(IF((GJ[Date]=$A$3)*(GJ[Ofc Code]=(TRIM(G$4)))*(GJ[Account Code]=(TRIM($B129))),GJ[Debit]))))-((SUM(IF((CkDJ[Date]=$A$3)*(CkDJ[Ofc Code]=(TRIM(G$4)))*(CkDJ[Account Code]=(TRIM($B129))),CkDJ[Credit])))+(SUM(IF((CsDJ[Date]=$A$3)*(CsDJ[Ofc Code]=(TRIM(G$4)))*(CsDJ[Account Code]=(TRIM($B129))),CsDJ[Credit])))+(SUM(IF((CRDJ[Date]=$A$3)*(CRDJ[Ofc Code]=(TRIM(G$4)))*(CRDJ[Account Code]=(TRIM($B129))),CRDJ[Credit])))+(SUM(IF((GJ[Date]=$A$3)*(GJ[Ofc Code]=(TRIM(G$4)))*(GJ[Account Code]=(TRIM($B129))),GJ[Credit]))))</f>
        <v>0</v>
      </c>
      <c r="G129" s="343">
        <f t="shared" si="6"/>
        <v>0</v>
      </c>
      <c r="H129" s="246">
        <f t="shared" si="7"/>
        <v>0</v>
      </c>
      <c r="I129" s="246">
        <f t="shared" si="8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Code]=B130)*(Budget[Ofc Code]=$G$4),(Budget[Amount])))</f>
        <v>0</v>
      </c>
      <c r="D130" s="245">
        <f t="array" ref="D130">SUM(IF((Budget[Account Code]=B130)*(Budget[Ofc Code]=$G$4)*(Budget[Date]&lt;=$D$7),(Budget[Amount])))</f>
        <v>0</v>
      </c>
      <c r="E130" s="245">
        <f t="array" ref="E130">((SUM(IF((CkDJ[Ofc Code]=(TRIM(G$4)))*(CkDJ[Account Code]=(TRIM($B130)))*(CkDJ[Date]&lt;=$E$7),CkDJ[Debit])))+(SUM(IF((CsDJ[Ofc Code]=(TRIM(G$4)))*(CsDJ[Account Code]=(TRIM($B130)))*(CsDJ[Date]&lt;=$E$7),CsDJ[Debit])))+(SUM(IF((CRDJ[Ofc Code]=(TRIM(G$4)))*(CRDJ[Account Code]=(TRIM($B130)))*(CRDJ[Date]&lt;=$E$7),CRDJ[Debit])))+(SUM(IF((GJ[Ofc Code]=(TRIM(G$4)))*(GJ[Account Code]=(TRIM($B130)))*(GJ[Date]&lt;=$E$7),GJ[Debit]))))-((SUM(IF((CkDJ[Ofc Code]=(TRIM(G$4)))*(CkDJ[Account Code]=(TRIM($B130)))*(CkDJ[Date]&lt;=$E$7),CkDJ[Credit])))+(SUM(IF((CsDJ[Ofc Code]=(TRIM(G$4)))*(CsDJ[Account Code]=(TRIM($B130)))*(CsDJ[Date]&lt;=$E$7),CsDJ[Credit])))+(SUM(IF((CRDJ[Ofc Code]=(TRIM(G$4)))*(CRDJ[Account Code]=(TRIM($B130)))*(CRDJ[Date]&lt;=$E$7),CRDJ[Credit])))+(SUM(IF((GJ[Ofc Code]=(TRIM(G$4)))*(GJ[Account Code]=(TRIM($B130)))*(GJ[Date]&lt;=$E$7),GJ[Credit]))))</f>
        <v>0</v>
      </c>
      <c r="F130" s="245">
        <f t="array" ref="F130">((SUM(IF((CkDJ[Date]=$A$3)*(CkDJ[Ofc Code]=(TRIM(G$4)))*(CkDJ[Account Code]=(TRIM($B130))),CkDJ[Debit])))+(SUM(IF((CsDJ[Date]=$A$3)*(CsDJ[Ofc Code]=(TRIM(G$4)))*(CsDJ[Account Code]=(TRIM($B130))),CsDJ[Debit])))+(SUM(IF((CRDJ[Date]=$A$3)*(CRDJ[Ofc Code]=(TRIM(G$4)))*(CRDJ[Account Code]=(TRIM($B130))),CRDJ[Debit])))+(SUM(IF((GJ[Date]=$A$3)*(GJ[Ofc Code]=(TRIM(G$4)))*(GJ[Account Code]=(TRIM($B130))),GJ[Debit]))))-((SUM(IF((CkDJ[Date]=$A$3)*(CkDJ[Ofc Code]=(TRIM(G$4)))*(CkDJ[Account Code]=(TRIM($B130))),CkDJ[Credit])))+(SUM(IF((CsDJ[Date]=$A$3)*(CsDJ[Ofc Code]=(TRIM(G$4)))*(CsDJ[Account Code]=(TRIM($B130))),CsDJ[Credit])))+(SUM(IF((CRDJ[Date]=$A$3)*(CRDJ[Ofc Code]=(TRIM(G$4)))*(CRDJ[Account Code]=(TRIM($B130))),CRDJ[Credit])))+(SUM(IF((GJ[Date]=$A$3)*(GJ[Ofc Code]=(TRIM(G$4)))*(GJ[Account Code]=(TRIM($B130))),GJ[Credit]))))</f>
        <v>0</v>
      </c>
      <c r="G130" s="343">
        <f t="shared" si="6"/>
        <v>0</v>
      </c>
      <c r="H130" s="246">
        <f t="shared" si="7"/>
        <v>0</v>
      </c>
      <c r="I130" s="246">
        <f t="shared" si="8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Code]=B131)*(Budget[Ofc Code]=$G$4),(Budget[Amount])))</f>
        <v>0</v>
      </c>
      <c r="D131" s="245">
        <f t="array" ref="D131">SUM(IF((Budget[Account Code]=B131)*(Budget[Ofc Code]=$G$4)*(Budget[Date]&lt;=$D$7),(Budget[Amount])))</f>
        <v>0</v>
      </c>
      <c r="E131" s="245">
        <f t="array" ref="E131">((SUM(IF((CkDJ[Ofc Code]=(TRIM(G$4)))*(CkDJ[Account Code]=(TRIM($B131)))*(CkDJ[Date]&lt;=$E$7),CkDJ[Debit])))+(SUM(IF((CsDJ[Ofc Code]=(TRIM(G$4)))*(CsDJ[Account Code]=(TRIM($B131)))*(CsDJ[Date]&lt;=$E$7),CsDJ[Debit])))+(SUM(IF((CRDJ[Ofc Code]=(TRIM(G$4)))*(CRDJ[Account Code]=(TRIM($B131)))*(CRDJ[Date]&lt;=$E$7),CRDJ[Debit])))+(SUM(IF((GJ[Ofc Code]=(TRIM(G$4)))*(GJ[Account Code]=(TRIM($B131)))*(GJ[Date]&lt;=$E$7),GJ[Debit]))))-((SUM(IF((CkDJ[Ofc Code]=(TRIM(G$4)))*(CkDJ[Account Code]=(TRIM($B131)))*(CkDJ[Date]&lt;=$E$7),CkDJ[Credit])))+(SUM(IF((CsDJ[Ofc Code]=(TRIM(G$4)))*(CsDJ[Account Code]=(TRIM($B131)))*(CsDJ[Date]&lt;=$E$7),CsDJ[Credit])))+(SUM(IF((CRDJ[Ofc Code]=(TRIM(G$4)))*(CRDJ[Account Code]=(TRIM($B131)))*(CRDJ[Date]&lt;=$E$7),CRDJ[Credit])))+(SUM(IF((GJ[Ofc Code]=(TRIM(G$4)))*(GJ[Account Code]=(TRIM($B131)))*(GJ[Date]&lt;=$E$7),GJ[Credit]))))</f>
        <v>0</v>
      </c>
      <c r="F131" s="245">
        <f t="array" ref="F131">((SUM(IF((CkDJ[Date]=$A$3)*(CkDJ[Ofc Code]=(TRIM(G$4)))*(CkDJ[Account Code]=(TRIM($B131))),CkDJ[Debit])))+(SUM(IF((CsDJ[Date]=$A$3)*(CsDJ[Ofc Code]=(TRIM(G$4)))*(CsDJ[Account Code]=(TRIM($B131))),CsDJ[Debit])))+(SUM(IF((CRDJ[Date]=$A$3)*(CRDJ[Ofc Code]=(TRIM(G$4)))*(CRDJ[Account Code]=(TRIM($B131))),CRDJ[Debit])))+(SUM(IF((GJ[Date]=$A$3)*(GJ[Ofc Code]=(TRIM(G$4)))*(GJ[Account Code]=(TRIM($B131))),GJ[Debit]))))-((SUM(IF((CkDJ[Date]=$A$3)*(CkDJ[Ofc Code]=(TRIM(G$4)))*(CkDJ[Account Code]=(TRIM($B131))),CkDJ[Credit])))+(SUM(IF((CsDJ[Date]=$A$3)*(CsDJ[Ofc Code]=(TRIM(G$4)))*(CsDJ[Account Code]=(TRIM($B131))),CsDJ[Credit])))+(SUM(IF((CRDJ[Date]=$A$3)*(CRDJ[Ofc Code]=(TRIM(G$4)))*(CRDJ[Account Code]=(TRIM($B131))),CRDJ[Credit])))+(SUM(IF((GJ[Date]=$A$3)*(GJ[Ofc Code]=(TRIM(G$4)))*(GJ[Account Code]=(TRIM($B131))),GJ[Credit]))))</f>
        <v>0</v>
      </c>
      <c r="G131" s="343">
        <f t="shared" si="6"/>
        <v>0</v>
      </c>
      <c r="H131" s="246">
        <f t="shared" si="7"/>
        <v>0</v>
      </c>
      <c r="I131" s="246">
        <f t="shared" si="8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Code]=B132)*(Budget[Ofc Code]=$G$4),(Budget[Amount])))</f>
        <v>0</v>
      </c>
      <c r="D132" s="245">
        <f t="array" ref="D132">SUM(IF((Budget[Account Code]=B132)*(Budget[Ofc Code]=$G$4)*(Budget[Date]&lt;=$D$7),(Budget[Amount])))</f>
        <v>0</v>
      </c>
      <c r="E132" s="245">
        <f t="array" ref="E132">((SUM(IF((CkDJ[Ofc Code]=(TRIM(G$4)))*(CkDJ[Account Code]=(TRIM($B132)))*(CkDJ[Date]&lt;=$E$7),CkDJ[Debit])))+(SUM(IF((CsDJ[Ofc Code]=(TRIM(G$4)))*(CsDJ[Account Code]=(TRIM($B132)))*(CsDJ[Date]&lt;=$E$7),CsDJ[Debit])))+(SUM(IF((CRDJ[Ofc Code]=(TRIM(G$4)))*(CRDJ[Account Code]=(TRIM($B132)))*(CRDJ[Date]&lt;=$E$7),CRDJ[Debit])))+(SUM(IF((GJ[Ofc Code]=(TRIM(G$4)))*(GJ[Account Code]=(TRIM($B132)))*(GJ[Date]&lt;=$E$7),GJ[Debit]))))-((SUM(IF((CkDJ[Ofc Code]=(TRIM(G$4)))*(CkDJ[Account Code]=(TRIM($B132)))*(CkDJ[Date]&lt;=$E$7),CkDJ[Credit])))+(SUM(IF((CsDJ[Ofc Code]=(TRIM(G$4)))*(CsDJ[Account Code]=(TRIM($B132)))*(CsDJ[Date]&lt;=$E$7),CsDJ[Credit])))+(SUM(IF((CRDJ[Ofc Code]=(TRIM(G$4)))*(CRDJ[Account Code]=(TRIM($B132)))*(CRDJ[Date]&lt;=$E$7),CRDJ[Credit])))+(SUM(IF((GJ[Ofc Code]=(TRIM(G$4)))*(GJ[Account Code]=(TRIM($B132)))*(GJ[Date]&lt;=$E$7),GJ[Credit]))))</f>
        <v>0</v>
      </c>
      <c r="F132" s="245">
        <f t="array" ref="F132">((SUM(IF((CkDJ[Date]=$A$3)*(CkDJ[Ofc Code]=(TRIM(G$4)))*(CkDJ[Account Code]=(TRIM($B132))),CkDJ[Debit])))+(SUM(IF((CsDJ[Date]=$A$3)*(CsDJ[Ofc Code]=(TRIM(G$4)))*(CsDJ[Account Code]=(TRIM($B132))),CsDJ[Debit])))+(SUM(IF((CRDJ[Date]=$A$3)*(CRDJ[Ofc Code]=(TRIM(G$4)))*(CRDJ[Account Code]=(TRIM($B132))),CRDJ[Debit])))+(SUM(IF((GJ[Date]=$A$3)*(GJ[Ofc Code]=(TRIM(G$4)))*(GJ[Account Code]=(TRIM($B132))),GJ[Debit]))))-((SUM(IF((CkDJ[Date]=$A$3)*(CkDJ[Ofc Code]=(TRIM(G$4)))*(CkDJ[Account Code]=(TRIM($B132))),CkDJ[Credit])))+(SUM(IF((CsDJ[Date]=$A$3)*(CsDJ[Ofc Code]=(TRIM(G$4)))*(CsDJ[Account Code]=(TRIM($B132))),CsDJ[Credit])))+(SUM(IF((CRDJ[Date]=$A$3)*(CRDJ[Ofc Code]=(TRIM(G$4)))*(CRDJ[Account Code]=(TRIM($B132))),CRDJ[Credit])))+(SUM(IF((GJ[Date]=$A$3)*(GJ[Ofc Code]=(TRIM(G$4)))*(GJ[Account Code]=(TRIM($B132))),GJ[Credit]))))</f>
        <v>0</v>
      </c>
      <c r="G132" s="343">
        <f t="shared" si="6"/>
        <v>0</v>
      </c>
      <c r="H132" s="246">
        <f t="shared" si="7"/>
        <v>0</v>
      </c>
      <c r="I132" s="246">
        <f t="shared" si="8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Code]=B133)*(Budget[Ofc Code]=$G$4),(Budget[Amount])))</f>
        <v>0</v>
      </c>
      <c r="D133" s="245">
        <f t="array" ref="D133">SUM(IF((Budget[Account Code]=B133)*(Budget[Ofc Code]=$G$4)*(Budget[Date]&lt;=$D$7),(Budget[Amount])))</f>
        <v>0</v>
      </c>
      <c r="E133" s="245">
        <f t="array" ref="E133">((SUM(IF((CkDJ[Ofc Code]=(TRIM(G$4)))*(CkDJ[Account Code]=(TRIM($B133)))*(CkDJ[Date]&lt;=$E$7),CkDJ[Debit])))+(SUM(IF((CsDJ[Ofc Code]=(TRIM(G$4)))*(CsDJ[Account Code]=(TRIM($B133)))*(CsDJ[Date]&lt;=$E$7),CsDJ[Debit])))+(SUM(IF((CRDJ[Ofc Code]=(TRIM(G$4)))*(CRDJ[Account Code]=(TRIM($B133)))*(CRDJ[Date]&lt;=$E$7),CRDJ[Debit])))+(SUM(IF((GJ[Ofc Code]=(TRIM(G$4)))*(GJ[Account Code]=(TRIM($B133)))*(GJ[Date]&lt;=$E$7),GJ[Debit]))))-((SUM(IF((CkDJ[Ofc Code]=(TRIM(G$4)))*(CkDJ[Account Code]=(TRIM($B133)))*(CkDJ[Date]&lt;=$E$7),CkDJ[Credit])))+(SUM(IF((CsDJ[Ofc Code]=(TRIM(G$4)))*(CsDJ[Account Code]=(TRIM($B133)))*(CsDJ[Date]&lt;=$E$7),CsDJ[Credit])))+(SUM(IF((CRDJ[Ofc Code]=(TRIM(G$4)))*(CRDJ[Account Code]=(TRIM($B133)))*(CRDJ[Date]&lt;=$E$7),CRDJ[Credit])))+(SUM(IF((GJ[Ofc Code]=(TRIM(G$4)))*(GJ[Account Code]=(TRIM($B133)))*(GJ[Date]&lt;=$E$7),GJ[Credit]))))</f>
        <v>0</v>
      </c>
      <c r="F133" s="245">
        <f t="array" ref="F133">((SUM(IF((CkDJ[Date]=$A$3)*(CkDJ[Ofc Code]=(TRIM(G$4)))*(CkDJ[Account Code]=(TRIM($B133))),CkDJ[Debit])))+(SUM(IF((CsDJ[Date]=$A$3)*(CsDJ[Ofc Code]=(TRIM(G$4)))*(CsDJ[Account Code]=(TRIM($B133))),CsDJ[Debit])))+(SUM(IF((CRDJ[Date]=$A$3)*(CRDJ[Ofc Code]=(TRIM(G$4)))*(CRDJ[Account Code]=(TRIM($B133))),CRDJ[Debit])))+(SUM(IF((GJ[Date]=$A$3)*(GJ[Ofc Code]=(TRIM(G$4)))*(GJ[Account Code]=(TRIM($B133))),GJ[Debit]))))-((SUM(IF((CkDJ[Date]=$A$3)*(CkDJ[Ofc Code]=(TRIM(G$4)))*(CkDJ[Account Code]=(TRIM($B133))),CkDJ[Credit])))+(SUM(IF((CsDJ[Date]=$A$3)*(CsDJ[Ofc Code]=(TRIM(G$4)))*(CsDJ[Account Code]=(TRIM($B133))),CsDJ[Credit])))+(SUM(IF((CRDJ[Date]=$A$3)*(CRDJ[Ofc Code]=(TRIM(G$4)))*(CRDJ[Account Code]=(TRIM($B133))),CRDJ[Credit])))+(SUM(IF((GJ[Date]=$A$3)*(GJ[Ofc Code]=(TRIM(G$4)))*(GJ[Account Code]=(TRIM($B133))),GJ[Credit]))))</f>
        <v>0</v>
      </c>
      <c r="G133" s="343">
        <f t="shared" si="6"/>
        <v>0</v>
      </c>
      <c r="H133" s="246">
        <f t="shared" si="7"/>
        <v>0</v>
      </c>
      <c r="I133" s="246">
        <f t="shared" si="8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Code]=B134)*(Budget[Ofc Code]=$G$4),(Budget[Amount])))</f>
        <v>0</v>
      </c>
      <c r="D134" s="245">
        <f t="array" ref="D134">SUM(IF((Budget[Account Code]=B134)*(Budget[Ofc Code]=$G$4)*(Budget[Date]&lt;=$D$7),(Budget[Amount])))</f>
        <v>0</v>
      </c>
      <c r="E134" s="245">
        <f t="array" ref="E134">((SUM(IF((CkDJ[Ofc Code]=(TRIM(G$4)))*(CkDJ[Account Code]=(TRIM($B134)))*(CkDJ[Date]&lt;=$E$7),CkDJ[Debit])))+(SUM(IF((CsDJ[Ofc Code]=(TRIM(G$4)))*(CsDJ[Account Code]=(TRIM($B134)))*(CsDJ[Date]&lt;=$E$7),CsDJ[Debit])))+(SUM(IF((CRDJ[Ofc Code]=(TRIM(G$4)))*(CRDJ[Account Code]=(TRIM($B134)))*(CRDJ[Date]&lt;=$E$7),CRDJ[Debit])))+(SUM(IF((GJ[Ofc Code]=(TRIM(G$4)))*(GJ[Account Code]=(TRIM($B134)))*(GJ[Date]&lt;=$E$7),GJ[Debit]))))-((SUM(IF((CkDJ[Ofc Code]=(TRIM(G$4)))*(CkDJ[Account Code]=(TRIM($B134)))*(CkDJ[Date]&lt;=$E$7),CkDJ[Credit])))+(SUM(IF((CsDJ[Ofc Code]=(TRIM(G$4)))*(CsDJ[Account Code]=(TRIM($B134)))*(CsDJ[Date]&lt;=$E$7),CsDJ[Credit])))+(SUM(IF((CRDJ[Ofc Code]=(TRIM(G$4)))*(CRDJ[Account Code]=(TRIM($B134)))*(CRDJ[Date]&lt;=$E$7),CRDJ[Credit])))+(SUM(IF((GJ[Ofc Code]=(TRIM(G$4)))*(GJ[Account Code]=(TRIM($B134)))*(GJ[Date]&lt;=$E$7),GJ[Credit]))))</f>
        <v>0</v>
      </c>
      <c r="F134" s="245">
        <f t="array" ref="F134">((SUM(IF((CkDJ[Date]=$A$3)*(CkDJ[Ofc Code]=(TRIM(G$4)))*(CkDJ[Account Code]=(TRIM($B134))),CkDJ[Debit])))+(SUM(IF((CsDJ[Date]=$A$3)*(CsDJ[Ofc Code]=(TRIM(G$4)))*(CsDJ[Account Code]=(TRIM($B134))),CsDJ[Debit])))+(SUM(IF((CRDJ[Date]=$A$3)*(CRDJ[Ofc Code]=(TRIM(G$4)))*(CRDJ[Account Code]=(TRIM($B134))),CRDJ[Debit])))+(SUM(IF((GJ[Date]=$A$3)*(GJ[Ofc Code]=(TRIM(G$4)))*(GJ[Account Code]=(TRIM($B134))),GJ[Debit]))))-((SUM(IF((CkDJ[Date]=$A$3)*(CkDJ[Ofc Code]=(TRIM(G$4)))*(CkDJ[Account Code]=(TRIM($B134))),CkDJ[Credit])))+(SUM(IF((CsDJ[Date]=$A$3)*(CsDJ[Ofc Code]=(TRIM(G$4)))*(CsDJ[Account Code]=(TRIM($B134))),CsDJ[Credit])))+(SUM(IF((CRDJ[Date]=$A$3)*(CRDJ[Ofc Code]=(TRIM(G$4)))*(CRDJ[Account Code]=(TRIM($B134))),CRDJ[Credit])))+(SUM(IF((GJ[Date]=$A$3)*(GJ[Ofc Code]=(TRIM(G$4)))*(GJ[Account Code]=(TRIM($B134))),GJ[Credit]))))</f>
        <v>0</v>
      </c>
      <c r="G134" s="343">
        <f t="shared" si="6"/>
        <v>0</v>
      </c>
      <c r="H134" s="246">
        <f t="shared" si="7"/>
        <v>0</v>
      </c>
      <c r="I134" s="246">
        <f t="shared" si="8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Code]=B135)*(Budget[Ofc Code]=$G$4),(Budget[Amount])))</f>
        <v>0</v>
      </c>
      <c r="D135" s="245">
        <f t="array" ref="D135">SUM(IF((Budget[Account Code]=B135)*(Budget[Ofc Code]=$G$4)*(Budget[Date]&lt;=$D$7),(Budget[Amount])))</f>
        <v>0</v>
      </c>
      <c r="E135" s="245">
        <f t="array" ref="E135">((SUM(IF((CkDJ[Ofc Code]=(TRIM(G$4)))*(CkDJ[Account Code]=(TRIM($B135)))*(CkDJ[Date]&lt;=$E$7),CkDJ[Debit])))+(SUM(IF((CsDJ[Ofc Code]=(TRIM(G$4)))*(CsDJ[Account Code]=(TRIM($B135)))*(CsDJ[Date]&lt;=$E$7),CsDJ[Debit])))+(SUM(IF((CRDJ[Ofc Code]=(TRIM(G$4)))*(CRDJ[Account Code]=(TRIM($B135)))*(CRDJ[Date]&lt;=$E$7),CRDJ[Debit])))+(SUM(IF((GJ[Ofc Code]=(TRIM(G$4)))*(GJ[Account Code]=(TRIM($B135)))*(GJ[Date]&lt;=$E$7),GJ[Debit]))))-((SUM(IF((CkDJ[Ofc Code]=(TRIM(G$4)))*(CkDJ[Account Code]=(TRIM($B135)))*(CkDJ[Date]&lt;=$E$7),CkDJ[Credit])))+(SUM(IF((CsDJ[Ofc Code]=(TRIM(G$4)))*(CsDJ[Account Code]=(TRIM($B135)))*(CsDJ[Date]&lt;=$E$7),CsDJ[Credit])))+(SUM(IF((CRDJ[Ofc Code]=(TRIM(G$4)))*(CRDJ[Account Code]=(TRIM($B135)))*(CRDJ[Date]&lt;=$E$7),CRDJ[Credit])))+(SUM(IF((GJ[Ofc Code]=(TRIM(G$4)))*(GJ[Account Code]=(TRIM($B135)))*(GJ[Date]&lt;=$E$7),GJ[Credit]))))</f>
        <v>0</v>
      </c>
      <c r="F135" s="245">
        <f t="array" ref="F135">((SUM(IF((CkDJ[Date]=$A$3)*(CkDJ[Ofc Code]=(TRIM(G$4)))*(CkDJ[Account Code]=(TRIM($B135))),CkDJ[Debit])))+(SUM(IF((CsDJ[Date]=$A$3)*(CsDJ[Ofc Code]=(TRIM(G$4)))*(CsDJ[Account Code]=(TRIM($B135))),CsDJ[Debit])))+(SUM(IF((CRDJ[Date]=$A$3)*(CRDJ[Ofc Code]=(TRIM(G$4)))*(CRDJ[Account Code]=(TRIM($B135))),CRDJ[Debit])))+(SUM(IF((GJ[Date]=$A$3)*(GJ[Ofc Code]=(TRIM(G$4)))*(GJ[Account Code]=(TRIM($B135))),GJ[Debit]))))-((SUM(IF((CkDJ[Date]=$A$3)*(CkDJ[Ofc Code]=(TRIM(G$4)))*(CkDJ[Account Code]=(TRIM($B135))),CkDJ[Credit])))+(SUM(IF((CsDJ[Date]=$A$3)*(CsDJ[Ofc Code]=(TRIM(G$4)))*(CsDJ[Account Code]=(TRIM($B135))),CsDJ[Credit])))+(SUM(IF((CRDJ[Date]=$A$3)*(CRDJ[Ofc Code]=(TRIM(G$4)))*(CRDJ[Account Code]=(TRIM($B135))),CRDJ[Credit])))+(SUM(IF((GJ[Date]=$A$3)*(GJ[Ofc Code]=(TRIM(G$4)))*(GJ[Account Code]=(TRIM($B135))),GJ[Credit]))))</f>
        <v>0</v>
      </c>
      <c r="G135" s="343">
        <f t="shared" si="6"/>
        <v>0</v>
      </c>
      <c r="H135" s="246">
        <f t="shared" si="7"/>
        <v>0</v>
      </c>
      <c r="I135" s="246">
        <f t="shared" si="8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Code]=B136)*(Budget[Ofc Code]=$G$4),(Budget[Amount])))</f>
        <v>0</v>
      </c>
      <c r="D136" s="245">
        <f t="array" ref="D136">SUM(IF((Budget[Account Code]=B136)*(Budget[Ofc Code]=$G$4)*(Budget[Date]&lt;=$D$7),(Budget[Amount])))</f>
        <v>0</v>
      </c>
      <c r="E136" s="245">
        <f t="array" ref="E136">((SUM(IF((CkDJ[Ofc Code]=(TRIM(G$4)))*(CkDJ[Account Code]=(TRIM($B136)))*(CkDJ[Date]&lt;=$E$7),CkDJ[Debit])))+(SUM(IF((CsDJ[Ofc Code]=(TRIM(G$4)))*(CsDJ[Account Code]=(TRIM($B136)))*(CsDJ[Date]&lt;=$E$7),CsDJ[Debit])))+(SUM(IF((CRDJ[Ofc Code]=(TRIM(G$4)))*(CRDJ[Account Code]=(TRIM($B136)))*(CRDJ[Date]&lt;=$E$7),CRDJ[Debit])))+(SUM(IF((GJ[Ofc Code]=(TRIM(G$4)))*(GJ[Account Code]=(TRIM($B136)))*(GJ[Date]&lt;=$E$7),GJ[Debit]))))-((SUM(IF((CkDJ[Ofc Code]=(TRIM(G$4)))*(CkDJ[Account Code]=(TRIM($B136)))*(CkDJ[Date]&lt;=$E$7),CkDJ[Credit])))+(SUM(IF((CsDJ[Ofc Code]=(TRIM(G$4)))*(CsDJ[Account Code]=(TRIM($B136)))*(CsDJ[Date]&lt;=$E$7),CsDJ[Credit])))+(SUM(IF((CRDJ[Ofc Code]=(TRIM(G$4)))*(CRDJ[Account Code]=(TRIM($B136)))*(CRDJ[Date]&lt;=$E$7),CRDJ[Credit])))+(SUM(IF((GJ[Ofc Code]=(TRIM(G$4)))*(GJ[Account Code]=(TRIM($B136)))*(GJ[Date]&lt;=$E$7),GJ[Credit]))))</f>
        <v>0</v>
      </c>
      <c r="F136" s="245">
        <f t="array" ref="F136">((SUM(IF((CkDJ[Date]=$A$3)*(CkDJ[Ofc Code]=(TRIM(G$4)))*(CkDJ[Account Code]=(TRIM($B136))),CkDJ[Debit])))+(SUM(IF((CsDJ[Date]=$A$3)*(CsDJ[Ofc Code]=(TRIM(G$4)))*(CsDJ[Account Code]=(TRIM($B136))),CsDJ[Debit])))+(SUM(IF((CRDJ[Date]=$A$3)*(CRDJ[Ofc Code]=(TRIM(G$4)))*(CRDJ[Account Code]=(TRIM($B136))),CRDJ[Debit])))+(SUM(IF((GJ[Date]=$A$3)*(GJ[Ofc Code]=(TRIM(G$4)))*(GJ[Account Code]=(TRIM($B136))),GJ[Debit]))))-((SUM(IF((CkDJ[Date]=$A$3)*(CkDJ[Ofc Code]=(TRIM(G$4)))*(CkDJ[Account Code]=(TRIM($B136))),CkDJ[Credit])))+(SUM(IF((CsDJ[Date]=$A$3)*(CsDJ[Ofc Code]=(TRIM(G$4)))*(CsDJ[Account Code]=(TRIM($B136))),CsDJ[Credit])))+(SUM(IF((CRDJ[Date]=$A$3)*(CRDJ[Ofc Code]=(TRIM(G$4)))*(CRDJ[Account Code]=(TRIM($B136))),CRDJ[Credit])))+(SUM(IF((GJ[Date]=$A$3)*(GJ[Ofc Code]=(TRIM(G$4)))*(GJ[Account Code]=(TRIM($B136))),GJ[Credit]))))</f>
        <v>0</v>
      </c>
      <c r="G136" s="343">
        <f t="shared" si="6"/>
        <v>0</v>
      </c>
      <c r="H136" s="246">
        <f t="shared" si="7"/>
        <v>0</v>
      </c>
      <c r="I136" s="246">
        <f t="shared" si="8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Code]=B137)*(Budget[Ofc Code]=$G$4),(Budget[Amount])))</f>
        <v>0</v>
      </c>
      <c r="D137" s="245">
        <f t="array" ref="D137">SUM(IF((Budget[Account Code]=B137)*(Budget[Ofc Code]=$G$4)*(Budget[Date]&lt;=$D$7),(Budget[Amount])))</f>
        <v>0</v>
      </c>
      <c r="E137" s="245">
        <f t="array" ref="E137">((SUM(IF((CkDJ[Ofc Code]=(TRIM(G$4)))*(CkDJ[Account Code]=(TRIM($B137)))*(CkDJ[Date]&lt;=$E$7),CkDJ[Debit])))+(SUM(IF((CsDJ[Ofc Code]=(TRIM(G$4)))*(CsDJ[Account Code]=(TRIM($B137)))*(CsDJ[Date]&lt;=$E$7),CsDJ[Debit])))+(SUM(IF((CRDJ[Ofc Code]=(TRIM(G$4)))*(CRDJ[Account Code]=(TRIM($B137)))*(CRDJ[Date]&lt;=$E$7),CRDJ[Debit])))+(SUM(IF((GJ[Ofc Code]=(TRIM(G$4)))*(GJ[Account Code]=(TRIM($B137)))*(GJ[Date]&lt;=$E$7),GJ[Debit]))))-((SUM(IF((CkDJ[Ofc Code]=(TRIM(G$4)))*(CkDJ[Account Code]=(TRIM($B137)))*(CkDJ[Date]&lt;=$E$7),CkDJ[Credit])))+(SUM(IF((CsDJ[Ofc Code]=(TRIM(G$4)))*(CsDJ[Account Code]=(TRIM($B137)))*(CsDJ[Date]&lt;=$E$7),CsDJ[Credit])))+(SUM(IF((CRDJ[Ofc Code]=(TRIM(G$4)))*(CRDJ[Account Code]=(TRIM($B137)))*(CRDJ[Date]&lt;=$E$7),CRDJ[Credit])))+(SUM(IF((GJ[Ofc Code]=(TRIM(G$4)))*(GJ[Account Code]=(TRIM($B137)))*(GJ[Date]&lt;=$E$7),GJ[Credit]))))</f>
        <v>0</v>
      </c>
      <c r="F137" s="245">
        <f t="array" ref="F137">((SUM(IF((CkDJ[Date]=$A$3)*(CkDJ[Ofc Code]=(TRIM(G$4)))*(CkDJ[Account Code]=(TRIM($B137))),CkDJ[Debit])))+(SUM(IF((CsDJ[Date]=$A$3)*(CsDJ[Ofc Code]=(TRIM(G$4)))*(CsDJ[Account Code]=(TRIM($B137))),CsDJ[Debit])))+(SUM(IF((CRDJ[Date]=$A$3)*(CRDJ[Ofc Code]=(TRIM(G$4)))*(CRDJ[Account Code]=(TRIM($B137))),CRDJ[Debit])))+(SUM(IF((GJ[Date]=$A$3)*(GJ[Ofc Code]=(TRIM(G$4)))*(GJ[Account Code]=(TRIM($B137))),GJ[Debit]))))-((SUM(IF((CkDJ[Date]=$A$3)*(CkDJ[Ofc Code]=(TRIM(G$4)))*(CkDJ[Account Code]=(TRIM($B137))),CkDJ[Credit])))+(SUM(IF((CsDJ[Date]=$A$3)*(CsDJ[Ofc Code]=(TRIM(G$4)))*(CsDJ[Account Code]=(TRIM($B137))),CsDJ[Credit])))+(SUM(IF((CRDJ[Date]=$A$3)*(CRDJ[Ofc Code]=(TRIM(G$4)))*(CRDJ[Account Code]=(TRIM($B137))),CRDJ[Credit])))+(SUM(IF((GJ[Date]=$A$3)*(GJ[Ofc Code]=(TRIM(G$4)))*(GJ[Account Code]=(TRIM($B137))),GJ[Credit]))))</f>
        <v>0</v>
      </c>
      <c r="G137" s="343">
        <f t="shared" si="6"/>
        <v>0</v>
      </c>
      <c r="H137" s="246">
        <f t="shared" si="7"/>
        <v>0</v>
      </c>
      <c r="I137" s="246">
        <f t="shared" si="8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7"/>
        <v>0</v>
      </c>
      <c r="I138" s="246">
        <f t="shared" si="8"/>
        <v>0</v>
      </c>
    </row>
    <row r="139" spans="1:9" x14ac:dyDescent="0.2">
      <c r="A139" s="253" t="s">
        <v>808</v>
      </c>
      <c r="B139" s="337"/>
      <c r="C139" s="242">
        <f>SUM(C140:C143)</f>
        <v>0</v>
      </c>
      <c r="D139" s="242">
        <f>SUM(D140:D143)</f>
        <v>0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6">
        <f t="shared" si="7"/>
        <v>0</v>
      </c>
      <c r="I139" s="246">
        <f t="shared" si="8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Code]=B140)*(Budget[Ofc Code]=$G$4),(Budget[Amount])))</f>
        <v>0</v>
      </c>
      <c r="D140" s="245">
        <f t="array" ref="D140">SUM(IF((Budget[Account Code]=B140)*(Budget[Ofc Code]=$G$4)*(Budget[Date]&lt;=$D$7),(Budget[Amount])))</f>
        <v>0</v>
      </c>
      <c r="E140" s="245">
        <f t="array" ref="E140">((SUM(IF((CkDJ[Ofc Code]=(TRIM(G$4)))*(CkDJ[Account Code]=(TRIM($B140)))*(CkDJ[Date]&lt;=$E$7),CkDJ[Debit])))+(SUM(IF((CsDJ[Ofc Code]=(TRIM(G$4)))*(CsDJ[Account Code]=(TRIM($B140)))*(CsDJ[Date]&lt;=$E$7),CsDJ[Debit])))+(SUM(IF((CRDJ[Ofc Code]=(TRIM(G$4)))*(CRDJ[Account Code]=(TRIM($B140)))*(CRDJ[Date]&lt;=$E$7),CRDJ[Debit])))+(SUM(IF((GJ[Ofc Code]=(TRIM(G$4)))*(GJ[Account Code]=(TRIM($B140)))*(GJ[Date]&lt;=$E$7),GJ[Debit]))))-((SUM(IF((CkDJ[Ofc Code]=(TRIM(G$4)))*(CkDJ[Account Code]=(TRIM($B140)))*(CkDJ[Date]&lt;=$E$7),CkDJ[Credit])))+(SUM(IF((CsDJ[Ofc Code]=(TRIM(G$4)))*(CsDJ[Account Code]=(TRIM($B140)))*(CsDJ[Date]&lt;=$E$7),CsDJ[Credit])))+(SUM(IF((CRDJ[Ofc Code]=(TRIM(G$4)))*(CRDJ[Account Code]=(TRIM($B140)))*(CRDJ[Date]&lt;=$E$7),CRDJ[Credit])))+(SUM(IF((GJ[Ofc Code]=(TRIM(G$4)))*(GJ[Account Code]=(TRIM($B140)))*(GJ[Date]&lt;=$E$7),GJ[Credit]))))</f>
        <v>0</v>
      </c>
      <c r="F140" s="245">
        <f t="array" ref="F140">((SUM(IF((CkDJ[Date]=$A$3)*(CkDJ[Ofc Code]=(TRIM(G$4)))*(CkDJ[Account Code]=(TRIM($B140))),CkDJ[Debit])))+(SUM(IF((CsDJ[Date]=$A$3)*(CsDJ[Ofc Code]=(TRIM(G$4)))*(CsDJ[Account Code]=(TRIM($B140))),CsDJ[Debit])))+(SUM(IF((CRDJ[Date]=$A$3)*(CRDJ[Ofc Code]=(TRIM(G$4)))*(CRDJ[Account Code]=(TRIM($B140))),CRDJ[Debit])))+(SUM(IF((GJ[Date]=$A$3)*(GJ[Ofc Code]=(TRIM(G$4)))*(GJ[Account Code]=(TRIM($B140))),GJ[Debit]))))-((SUM(IF((CkDJ[Date]=$A$3)*(CkDJ[Ofc Code]=(TRIM(G$4)))*(CkDJ[Account Code]=(TRIM($B140))),CkDJ[Credit])))+(SUM(IF((CsDJ[Date]=$A$3)*(CsDJ[Ofc Code]=(TRIM(G$4)))*(CsDJ[Account Code]=(TRIM($B140))),CsDJ[Credit])))+(SUM(IF((CRDJ[Date]=$A$3)*(CRDJ[Ofc Code]=(TRIM(G$4)))*(CRDJ[Account Code]=(TRIM($B140))),CRDJ[Credit])))+(SUM(IF((GJ[Date]=$A$3)*(GJ[Ofc Code]=(TRIM(G$4)))*(GJ[Account Code]=(TRIM($B140))),GJ[Credit]))))</f>
        <v>0</v>
      </c>
      <c r="G140" s="343">
        <f>E140+F140</f>
        <v>0</v>
      </c>
      <c r="H140" s="246">
        <f t="shared" si="7"/>
        <v>0</v>
      </c>
      <c r="I140" s="246">
        <f t="shared" si="8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Code]=B141)*(Budget[Ofc Code]=$G$4),(Budget[Amount])))</f>
        <v>0</v>
      </c>
      <c r="D141" s="245">
        <f t="array" ref="D141">SUM(IF((Budget[Account Code]=B141)*(Budget[Ofc Code]=$G$4)*(Budget[Date]&lt;=$D$7),(Budget[Amount])))</f>
        <v>0</v>
      </c>
      <c r="E141" s="245">
        <f t="array" ref="E141">((SUM(IF((CkDJ[Ofc Code]=(TRIM(G$4)))*(CkDJ[Account Code]=(TRIM($B141)))*(CkDJ[Date]&lt;=$E$7),CkDJ[Debit])))+(SUM(IF((CsDJ[Ofc Code]=(TRIM(G$4)))*(CsDJ[Account Code]=(TRIM($B141)))*(CsDJ[Date]&lt;=$E$7),CsDJ[Debit])))+(SUM(IF((CRDJ[Ofc Code]=(TRIM(G$4)))*(CRDJ[Account Code]=(TRIM($B141)))*(CRDJ[Date]&lt;=$E$7),CRDJ[Debit])))+(SUM(IF((GJ[Ofc Code]=(TRIM(G$4)))*(GJ[Account Code]=(TRIM($B141)))*(GJ[Date]&lt;=$E$7),GJ[Debit]))))-((SUM(IF((CkDJ[Ofc Code]=(TRIM(G$4)))*(CkDJ[Account Code]=(TRIM($B141)))*(CkDJ[Date]&lt;=$E$7),CkDJ[Credit])))+(SUM(IF((CsDJ[Ofc Code]=(TRIM(G$4)))*(CsDJ[Account Code]=(TRIM($B141)))*(CsDJ[Date]&lt;=$E$7),CsDJ[Credit])))+(SUM(IF((CRDJ[Ofc Code]=(TRIM(G$4)))*(CRDJ[Account Code]=(TRIM($B141)))*(CRDJ[Date]&lt;=$E$7),CRDJ[Credit])))+(SUM(IF((GJ[Ofc Code]=(TRIM(G$4)))*(GJ[Account Code]=(TRIM($B141)))*(GJ[Date]&lt;=$E$7),GJ[Credit]))))</f>
        <v>0</v>
      </c>
      <c r="F141" s="245">
        <f t="array" ref="F141">((SUM(IF((CkDJ[Date]=$A$3)*(CkDJ[Ofc Code]=(TRIM(G$4)))*(CkDJ[Account Code]=(TRIM($B141))),CkDJ[Debit])))+(SUM(IF((CsDJ[Date]=$A$3)*(CsDJ[Ofc Code]=(TRIM(G$4)))*(CsDJ[Account Code]=(TRIM($B141))),CsDJ[Debit])))+(SUM(IF((CRDJ[Date]=$A$3)*(CRDJ[Ofc Code]=(TRIM(G$4)))*(CRDJ[Account Code]=(TRIM($B141))),CRDJ[Debit])))+(SUM(IF((GJ[Date]=$A$3)*(GJ[Ofc Code]=(TRIM(G$4)))*(GJ[Account Code]=(TRIM($B141))),GJ[Debit]))))-((SUM(IF((CkDJ[Date]=$A$3)*(CkDJ[Ofc Code]=(TRIM(G$4)))*(CkDJ[Account Code]=(TRIM($B141))),CkDJ[Credit])))+(SUM(IF((CsDJ[Date]=$A$3)*(CsDJ[Ofc Code]=(TRIM(G$4)))*(CsDJ[Account Code]=(TRIM($B141))),CsDJ[Credit])))+(SUM(IF((CRDJ[Date]=$A$3)*(CRDJ[Ofc Code]=(TRIM(G$4)))*(CRDJ[Account Code]=(TRIM($B141))),CRDJ[Credit])))+(SUM(IF((GJ[Date]=$A$3)*(GJ[Ofc Code]=(TRIM(G$4)))*(GJ[Account Code]=(TRIM($B141))),GJ[Credit]))))</f>
        <v>0</v>
      </c>
      <c r="G141" s="343">
        <f>E141+F141</f>
        <v>0</v>
      </c>
      <c r="H141" s="246">
        <f t="shared" si="7"/>
        <v>0</v>
      </c>
      <c r="I141" s="246">
        <f t="shared" si="8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Code]=B142)*(Budget[Ofc Code]=$G$4),(Budget[Amount])))</f>
        <v>0</v>
      </c>
      <c r="D142" s="245">
        <f t="array" ref="D142">SUM(IF((Budget[Account Code]=B142)*(Budget[Ofc Code]=$G$4)*(Budget[Date]&lt;=$D$7),(Budget[Amount])))</f>
        <v>0</v>
      </c>
      <c r="E142" s="245">
        <f t="array" ref="E142">((SUM(IF((CkDJ[Ofc Code]=(TRIM(G$4)))*(CkDJ[Account Code]=(TRIM($B142)))*(CkDJ[Date]&lt;=$E$7),CkDJ[Debit])))+(SUM(IF((CsDJ[Ofc Code]=(TRIM(G$4)))*(CsDJ[Account Code]=(TRIM($B142)))*(CsDJ[Date]&lt;=$E$7),CsDJ[Debit])))+(SUM(IF((CRDJ[Ofc Code]=(TRIM(G$4)))*(CRDJ[Account Code]=(TRIM($B142)))*(CRDJ[Date]&lt;=$E$7),CRDJ[Debit])))+(SUM(IF((GJ[Ofc Code]=(TRIM(G$4)))*(GJ[Account Code]=(TRIM($B142)))*(GJ[Date]&lt;=$E$7),GJ[Debit]))))-((SUM(IF((CkDJ[Ofc Code]=(TRIM(G$4)))*(CkDJ[Account Code]=(TRIM($B142)))*(CkDJ[Date]&lt;=$E$7),CkDJ[Credit])))+(SUM(IF((CsDJ[Ofc Code]=(TRIM(G$4)))*(CsDJ[Account Code]=(TRIM($B142)))*(CsDJ[Date]&lt;=$E$7),CsDJ[Credit])))+(SUM(IF((CRDJ[Ofc Code]=(TRIM(G$4)))*(CRDJ[Account Code]=(TRIM($B142)))*(CRDJ[Date]&lt;=$E$7),CRDJ[Credit])))+(SUM(IF((GJ[Ofc Code]=(TRIM(G$4)))*(GJ[Account Code]=(TRIM($B142)))*(GJ[Date]&lt;=$E$7),GJ[Credit]))))</f>
        <v>0</v>
      </c>
      <c r="F142" s="245">
        <f t="array" ref="F142">((SUM(IF((CkDJ[Date]=$A$3)*(CkDJ[Ofc Code]=(TRIM(G$4)))*(CkDJ[Account Code]=(TRIM($B142))),CkDJ[Debit])))+(SUM(IF((CsDJ[Date]=$A$3)*(CsDJ[Ofc Code]=(TRIM(G$4)))*(CsDJ[Account Code]=(TRIM($B142))),CsDJ[Debit])))+(SUM(IF((CRDJ[Date]=$A$3)*(CRDJ[Ofc Code]=(TRIM(G$4)))*(CRDJ[Account Code]=(TRIM($B142))),CRDJ[Debit])))+(SUM(IF((GJ[Date]=$A$3)*(GJ[Ofc Code]=(TRIM(G$4)))*(GJ[Account Code]=(TRIM($B142))),GJ[Debit]))))-((SUM(IF((CkDJ[Date]=$A$3)*(CkDJ[Ofc Code]=(TRIM(G$4)))*(CkDJ[Account Code]=(TRIM($B142))),CkDJ[Credit])))+(SUM(IF((CsDJ[Date]=$A$3)*(CsDJ[Ofc Code]=(TRIM(G$4)))*(CsDJ[Account Code]=(TRIM($B142))),CsDJ[Credit])))+(SUM(IF((CRDJ[Date]=$A$3)*(CRDJ[Ofc Code]=(TRIM(G$4)))*(CRDJ[Account Code]=(TRIM($B142))),CRDJ[Credit])))+(SUM(IF((GJ[Date]=$A$3)*(GJ[Ofc Code]=(TRIM(G$4)))*(GJ[Account Code]=(TRIM($B142))),GJ[Credit]))))</f>
        <v>0</v>
      </c>
      <c r="G142" s="343">
        <f>E142+F142</f>
        <v>0</v>
      </c>
      <c r="H142" s="246">
        <f t="shared" si="7"/>
        <v>0</v>
      </c>
      <c r="I142" s="246">
        <f t="shared" si="8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7"/>
        <v>0</v>
      </c>
      <c r="I143" s="246">
        <f t="shared" si="8"/>
        <v>0</v>
      </c>
    </row>
    <row r="144" spans="1:9" x14ac:dyDescent="0.2">
      <c r="A144" s="239" t="s">
        <v>807</v>
      </c>
      <c r="B144" s="337"/>
      <c r="C144" s="252">
        <f>C145+C146</f>
        <v>0</v>
      </c>
      <c r="D144" s="252">
        <f>D145+D146</f>
        <v>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7"/>
        <v>0</v>
      </c>
      <c r="I144" s="242">
        <f t="shared" si="8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Code]=B145)*(Budget[Ofc Code]=$G$4),(Budget[Amount])))</f>
        <v>0</v>
      </c>
      <c r="D145" s="245">
        <f t="array" ref="D145">SUM(IF((Budget[Account Code]=B145)*(Budget[Ofc Code]=$G$4)*(Budget[Date]&lt;=$D$7),(Budget[Amount])))</f>
        <v>0</v>
      </c>
      <c r="E145" s="245">
        <f t="array" ref="E145">((SUM(IF((CkDJ[Ofc Code]=(TRIM(G$4)))*(CkDJ[Account Code]=(TRIM($B145)))*(CkDJ[Date]&lt;=$E$7),CkDJ[Debit])))+(SUM(IF((CsDJ[Ofc Code]=(TRIM(G$4)))*(CsDJ[Account Code]=(TRIM($B145)))*(CsDJ[Date]&lt;=$E$7),CsDJ[Debit])))+(SUM(IF((CRDJ[Ofc Code]=(TRIM(G$4)))*(CRDJ[Account Code]=(TRIM($B145)))*(CRDJ[Date]&lt;=$E$7),CRDJ[Debit])))+(SUM(IF((GJ[Ofc Code]=(TRIM(G$4)))*(GJ[Account Code]=(TRIM($B145)))*(GJ[Date]&lt;=$E$7),GJ[Debit]))))-((SUM(IF((CkDJ[Ofc Code]=(TRIM(G$4)))*(CkDJ[Account Code]=(TRIM($B145)))*(CkDJ[Date]&lt;=$E$7),CkDJ[Credit])))+(SUM(IF((CsDJ[Ofc Code]=(TRIM(G$4)))*(CsDJ[Account Code]=(TRIM($B145)))*(CsDJ[Date]&lt;=$E$7),CsDJ[Credit])))+(SUM(IF((CRDJ[Ofc Code]=(TRIM(G$4)))*(CRDJ[Account Code]=(TRIM($B145)))*(CRDJ[Date]&lt;=$E$7),CRDJ[Credit])))+(SUM(IF((GJ[Ofc Code]=(TRIM(G$4)))*(GJ[Account Code]=(TRIM($B145)))*(GJ[Date]&lt;=$E$7),GJ[Credit]))))</f>
        <v>0</v>
      </c>
      <c r="F145" s="245">
        <f t="array" ref="F145">((SUM(IF((CkDJ[Date]=$A$3)*(CkDJ[Ofc Code]=(TRIM(G$4)))*(CkDJ[Account Code]=(TRIM($B145))),CkDJ[Debit])))+(SUM(IF((CsDJ[Date]=$A$3)*(CsDJ[Ofc Code]=(TRIM(G$4)))*(CsDJ[Account Code]=(TRIM($B145))),CsDJ[Debit])))+(SUM(IF((CRDJ[Date]=$A$3)*(CRDJ[Ofc Code]=(TRIM(G$4)))*(CRDJ[Account Code]=(TRIM($B145))),CRDJ[Debit])))+(SUM(IF((GJ[Date]=$A$3)*(GJ[Ofc Code]=(TRIM(G$4)))*(GJ[Account Code]=(TRIM($B145))),GJ[Debit]))))-((SUM(IF((CkDJ[Date]=$A$3)*(CkDJ[Ofc Code]=(TRIM(G$4)))*(CkDJ[Account Code]=(TRIM($B145))),CkDJ[Credit])))+(SUM(IF((CsDJ[Date]=$A$3)*(CsDJ[Ofc Code]=(TRIM(G$4)))*(CsDJ[Account Code]=(TRIM($B145))),CsDJ[Credit])))+(SUM(IF((CRDJ[Date]=$A$3)*(CRDJ[Ofc Code]=(TRIM(G$4)))*(CRDJ[Account Code]=(TRIM($B145))),CRDJ[Credit])))+(SUM(IF((GJ[Date]=$A$3)*(GJ[Ofc Code]=(TRIM(G$4)))*(GJ[Account Code]=(TRIM($B145))),GJ[Credit]))))</f>
        <v>0</v>
      </c>
      <c r="G145" s="343">
        <f>E145+F145</f>
        <v>0</v>
      </c>
      <c r="H145" s="246">
        <f t="shared" si="7"/>
        <v>0</v>
      </c>
      <c r="I145" s="246">
        <f t="shared" si="8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343">
        <f>E146+F146</f>
        <v>0</v>
      </c>
      <c r="H146" s="246">
        <f t="shared" si="7"/>
        <v>0</v>
      </c>
      <c r="I146" s="246">
        <f t="shared" si="8"/>
        <v>0</v>
      </c>
    </row>
    <row r="147" spans="1:9" x14ac:dyDescent="0.2">
      <c r="A147" s="251" t="s">
        <v>804</v>
      </c>
      <c r="B147" s="338"/>
      <c r="C147" s="250">
        <f>C50+C76+C144</f>
        <v>9222285.5600000005</v>
      </c>
      <c r="D147" s="250">
        <f>D50+D76+D144</f>
        <v>9222285.5600000005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si="7"/>
        <v>-9222285.5600000005</v>
      </c>
      <c r="I147" s="250">
        <f t="shared" si="8"/>
        <v>0</v>
      </c>
    </row>
    <row r="148" spans="1:9" x14ac:dyDescent="0.2">
      <c r="A148" s="251" t="s">
        <v>785</v>
      </c>
      <c r="B148" s="338"/>
      <c r="C148" s="250">
        <f>C48-C147</f>
        <v>-8396285.5600000005</v>
      </c>
      <c r="D148" s="250">
        <f>D48-D147</f>
        <v>-8396285.5600000005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7"/>
        <v>8396285.5600000005</v>
      </c>
      <c r="I148" s="250">
        <f t="shared" si="8"/>
        <v>0</v>
      </c>
    </row>
    <row r="149" spans="1:9" x14ac:dyDescent="0.2">
      <c r="A149" s="251" t="s">
        <v>749</v>
      </c>
      <c r="B149" s="338"/>
      <c r="C149" s="250">
        <f>C48/C147</f>
        <v>0.09</v>
      </c>
      <c r="D149" s="250">
        <f>D48/D147</f>
        <v>0.09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7"/>
        <v>#DIV/0!</v>
      </c>
      <c r="I149" s="250" t="e">
        <f t="shared" si="8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7"/>
        <v>0</v>
      </c>
      <c r="I150" s="250">
        <f t="shared" si="8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7"/>
        <v>0</v>
      </c>
      <c r="I151" s="250">
        <f t="shared" si="8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-8396285.5600000005</v>
      </c>
      <c r="D152" s="250">
        <f>D148+D150+D151</f>
        <v>-8396285.5600000005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7"/>
        <v>8396285.5600000005</v>
      </c>
      <c r="I152" s="250">
        <f t="shared" si="8"/>
        <v>0</v>
      </c>
    </row>
    <row r="153" spans="1:9" x14ac:dyDescent="0.2">
      <c r="A153" s="251" t="s">
        <v>749</v>
      </c>
      <c r="B153" s="338"/>
      <c r="C153" s="250">
        <f>C48/(C147-C150-C151)</f>
        <v>0.09</v>
      </c>
      <c r="D153" s="250">
        <f>D48/(D147-D150-D151)</f>
        <v>0.09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7"/>
        <v>#DIV/0!</v>
      </c>
      <c r="I153" s="250" t="e">
        <f t="shared" si="8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Code]=B155)*(Budget[Ofc Code]=$G$4),(Budget[Amount])))</f>
        <v>0</v>
      </c>
      <c r="D155" s="245">
        <f t="array" ref="D155">SUM(IF((Budget[Account Code]=B155)*(Budget[Ofc Code]=$G$4)*(Budget[Date]&lt;=$D$7),(Budget[Amount])))</f>
        <v>0</v>
      </c>
      <c r="E155" s="245">
        <f t="array" ref="E155">((SUM(IF((CkDJ[Ofc Code]=(TRIM(G$4)))*(CkDJ[Account Code]=(TRIM($B155)))*(CkDJ[Date]&lt;=$E$7),CkDJ[Debit])))+(SUM(IF((CsDJ[Ofc Code]=(TRIM(G$4)))*(CsDJ[Account Code]=(TRIM($B155)))*(CsDJ[Date]&lt;=$E$7),CsDJ[Debit])))+(SUM(IF((CRDJ[Ofc Code]=(TRIM(G$4)))*(CRDJ[Account Code]=(TRIM($B155)))*(CRDJ[Date]&lt;=$E$7),CRDJ[Debit])))+(SUM(IF((GJ[Ofc Code]=(TRIM(G$4)))*(GJ[Account Code]=(TRIM($B155)))*(GJ[Date]&lt;=$E$7),GJ[Debit]))))-((SUM(IF((CkDJ[Ofc Code]=(TRIM(G$4)))*(CkDJ[Account Code]=(TRIM($B155)))*(CkDJ[Date]&lt;=$E$7),CkDJ[Credit])))+(SUM(IF((CsDJ[Ofc Code]=(TRIM(G$4)))*(CsDJ[Account Code]=(TRIM($B155)))*(CsDJ[Date]&lt;=$E$7),CsDJ[Credit])))+(SUM(IF((CRDJ[Ofc Code]=(TRIM(G$4)))*(CRDJ[Account Code]=(TRIM($B155)))*(CRDJ[Date]&lt;=$E$7),CRDJ[Credit])))+(SUM(IF((GJ[Ofc Code]=(TRIM(G$4)))*(GJ[Account Code]=(TRIM($B155)))*(GJ[Date]&lt;=$E$7),GJ[Credit]))))</f>
        <v>0</v>
      </c>
      <c r="F155" s="245">
        <f t="array" ref="F155">((SUM(IF((CkDJ[Date]=$A$3)*(CkDJ[Ofc Code]=(TRIM(G$4)))*(CkDJ[Account Code]=(TRIM($B155))),CkDJ[Debit])))+(SUM(IF((CsDJ[Date]=$A$3)*(CsDJ[Ofc Code]=(TRIM(G$4)))*(CsDJ[Account Code]=(TRIM($B155))),CsDJ[Debit])))+(SUM(IF((CRDJ[Date]=$A$3)*(CRDJ[Ofc Code]=(TRIM(G$4)))*(CRDJ[Account Code]=(TRIM($B155))),CRDJ[Debit])))+(SUM(IF((GJ[Date]=$A$3)*(GJ[Ofc Code]=(TRIM(G$4)))*(GJ[Account Code]=(TRIM($B155))),GJ[Debit]))))-((SUM(IF((CkDJ[Date]=$A$3)*(CkDJ[Ofc Code]=(TRIM(G$4)))*(CkDJ[Account Code]=(TRIM($B155))),CkDJ[Credit])))+(SUM(IF((CsDJ[Date]=$A$3)*(CsDJ[Ofc Code]=(TRIM(G$4)))*(CsDJ[Account Code]=(TRIM($B155))),CsDJ[Credit])))+(SUM(IF((CRDJ[Date]=$A$3)*(CRDJ[Ofc Code]=(TRIM(G$4)))*(CRDJ[Account Code]=(TRIM($B155))),CRDJ[Credit])))+(SUM(IF((GJ[Date]=$A$3)*(GJ[Ofc Code]=(TRIM(G$4)))*(GJ[Account Code]=(TRIM($B155))),GJ[Credit]))))</f>
        <v>0</v>
      </c>
      <c r="G155" s="343">
        <f t="shared" ref="G155:G163" si="9">E155+F155</f>
        <v>0</v>
      </c>
      <c r="H155" s="246">
        <f t="shared" ref="H155:H171" si="10">G155-D155</f>
        <v>0</v>
      </c>
      <c r="I155" s="246">
        <f t="shared" ref="I155:I171" si="11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Code]=B156)*(Budget[Ofc Code]=$G$4),(Budget[Amount])))</f>
        <v>90000</v>
      </c>
      <c r="D156" s="245">
        <f t="array" ref="D156">SUM(IF((Budget[Account Code]=B156)*(Budget[Ofc Code]=$G$4)*(Budget[Date]&lt;=$D$7),(Budget[Amount])))</f>
        <v>90000</v>
      </c>
      <c r="E156" s="245">
        <f t="array" ref="E156">((SUM(IF((CkDJ[Ofc Code]=(TRIM(G$4)))*(CkDJ[Account Code]=(TRIM($B156)))*(CkDJ[Date]&lt;=$E$7),CkDJ[Debit])))+(SUM(IF((CsDJ[Ofc Code]=(TRIM(G$4)))*(CsDJ[Account Code]=(TRIM($B156)))*(CsDJ[Date]&lt;=$E$7),CsDJ[Debit])))+(SUM(IF((CRDJ[Ofc Code]=(TRIM(G$4)))*(CRDJ[Account Code]=(TRIM($B156)))*(CRDJ[Date]&lt;=$E$7),CRDJ[Debit])))+(SUM(IF((GJ[Ofc Code]=(TRIM(G$4)))*(GJ[Account Code]=(TRIM($B156)))*(GJ[Date]&lt;=$E$7),GJ[Debit]))))-((SUM(IF((CkDJ[Ofc Code]=(TRIM(G$4)))*(CkDJ[Account Code]=(TRIM($B156)))*(CkDJ[Date]&lt;=$E$7),CkDJ[Credit])))+(SUM(IF((CsDJ[Ofc Code]=(TRIM(G$4)))*(CsDJ[Account Code]=(TRIM($B156)))*(CsDJ[Date]&lt;=$E$7),CsDJ[Credit])))+(SUM(IF((CRDJ[Ofc Code]=(TRIM(G$4)))*(CRDJ[Account Code]=(TRIM($B156)))*(CRDJ[Date]&lt;=$E$7),CRDJ[Credit])))+(SUM(IF((GJ[Ofc Code]=(TRIM(G$4)))*(GJ[Account Code]=(TRIM($B156)))*(GJ[Date]&lt;=$E$7),GJ[Credit]))))</f>
        <v>0</v>
      </c>
      <c r="F156" s="245">
        <f t="array" ref="F156">((SUM(IF((CkDJ[Date]=$A$3)*(CkDJ[Ofc Code]=(TRIM(G$4)))*(CkDJ[Account Code]=(TRIM($B156))),CkDJ[Debit])))+(SUM(IF((CsDJ[Date]=$A$3)*(CsDJ[Ofc Code]=(TRIM(G$4)))*(CsDJ[Account Code]=(TRIM($B156))),CsDJ[Debit])))+(SUM(IF((CRDJ[Date]=$A$3)*(CRDJ[Ofc Code]=(TRIM(G$4)))*(CRDJ[Account Code]=(TRIM($B156))),CRDJ[Debit])))+(SUM(IF((GJ[Date]=$A$3)*(GJ[Ofc Code]=(TRIM(G$4)))*(GJ[Account Code]=(TRIM($B156))),GJ[Debit]))))-((SUM(IF((CkDJ[Date]=$A$3)*(CkDJ[Ofc Code]=(TRIM(G$4)))*(CkDJ[Account Code]=(TRIM($B156))),CkDJ[Credit])))+(SUM(IF((CsDJ[Date]=$A$3)*(CsDJ[Ofc Code]=(TRIM(G$4)))*(CsDJ[Account Code]=(TRIM($B156))),CsDJ[Credit])))+(SUM(IF((CRDJ[Date]=$A$3)*(CRDJ[Ofc Code]=(TRIM(G$4)))*(CRDJ[Account Code]=(TRIM($B156))),CRDJ[Credit])))+(SUM(IF((GJ[Date]=$A$3)*(GJ[Ofc Code]=(TRIM(G$4)))*(GJ[Account Code]=(TRIM($B156))),GJ[Credit]))))</f>
        <v>0</v>
      </c>
      <c r="G156" s="343">
        <f t="shared" si="9"/>
        <v>0</v>
      </c>
      <c r="H156" s="246">
        <f t="shared" si="10"/>
        <v>-90000</v>
      </c>
      <c r="I156" s="246">
        <f t="shared" si="11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Code]=B157)*(Budget[Ofc Code]=$G$4),(Budget[Amount])))</f>
        <v>0</v>
      </c>
      <c r="D157" s="245">
        <f t="array" ref="D157">SUM(IF((Budget[Account Code]=B157)*(Budget[Ofc Code]=$G$4)*(Budget[Date]&lt;=$D$7),(Budget[Amount])))</f>
        <v>0</v>
      </c>
      <c r="E157" s="245">
        <f t="array" ref="E157">((SUM(IF((CkDJ[Ofc Code]=(TRIM(G$4)))*(CkDJ[Account Code]=(TRIM($B157)))*(CkDJ[Date]&lt;=$E$7),CkDJ[Debit])))+(SUM(IF((CsDJ[Ofc Code]=(TRIM(G$4)))*(CsDJ[Account Code]=(TRIM($B157)))*(CsDJ[Date]&lt;=$E$7),CsDJ[Debit])))+(SUM(IF((CRDJ[Ofc Code]=(TRIM(G$4)))*(CRDJ[Account Code]=(TRIM($B157)))*(CRDJ[Date]&lt;=$E$7),CRDJ[Debit])))+(SUM(IF((GJ[Ofc Code]=(TRIM(G$4)))*(GJ[Account Code]=(TRIM($B157)))*(GJ[Date]&lt;=$E$7),GJ[Debit]))))-((SUM(IF((CkDJ[Ofc Code]=(TRIM(G$4)))*(CkDJ[Account Code]=(TRIM($B157)))*(CkDJ[Date]&lt;=$E$7),CkDJ[Credit])))+(SUM(IF((CsDJ[Ofc Code]=(TRIM(G$4)))*(CsDJ[Account Code]=(TRIM($B157)))*(CsDJ[Date]&lt;=$E$7),CsDJ[Credit])))+(SUM(IF((CRDJ[Ofc Code]=(TRIM(G$4)))*(CRDJ[Account Code]=(TRIM($B157)))*(CRDJ[Date]&lt;=$E$7),CRDJ[Credit])))+(SUM(IF((GJ[Ofc Code]=(TRIM(G$4)))*(GJ[Account Code]=(TRIM($B157)))*(GJ[Date]&lt;=$E$7),GJ[Credit]))))</f>
        <v>0</v>
      </c>
      <c r="F157" s="245">
        <f t="array" ref="F157">((SUM(IF((CkDJ[Date]=$A$3)*(CkDJ[Ofc Code]=(TRIM(G$4)))*(CkDJ[Account Code]=(TRIM($B157))),CkDJ[Debit])))+(SUM(IF((CsDJ[Date]=$A$3)*(CsDJ[Ofc Code]=(TRIM(G$4)))*(CsDJ[Account Code]=(TRIM($B157))),CsDJ[Debit])))+(SUM(IF((CRDJ[Date]=$A$3)*(CRDJ[Ofc Code]=(TRIM(G$4)))*(CRDJ[Account Code]=(TRIM($B157))),CRDJ[Debit])))+(SUM(IF((GJ[Date]=$A$3)*(GJ[Ofc Code]=(TRIM(G$4)))*(GJ[Account Code]=(TRIM($B157))),GJ[Debit]))))-((SUM(IF((CkDJ[Date]=$A$3)*(CkDJ[Ofc Code]=(TRIM(G$4)))*(CkDJ[Account Code]=(TRIM($B157))),CkDJ[Credit])))+(SUM(IF((CsDJ[Date]=$A$3)*(CsDJ[Ofc Code]=(TRIM(G$4)))*(CsDJ[Account Code]=(TRIM($B157))),CsDJ[Credit])))+(SUM(IF((CRDJ[Date]=$A$3)*(CRDJ[Ofc Code]=(TRIM(G$4)))*(CRDJ[Account Code]=(TRIM($B157))),CRDJ[Credit])))+(SUM(IF((GJ[Date]=$A$3)*(GJ[Ofc Code]=(TRIM(G$4)))*(GJ[Account Code]=(TRIM($B157))),GJ[Credit]))))</f>
        <v>0</v>
      </c>
      <c r="G157" s="343">
        <f t="shared" si="9"/>
        <v>0</v>
      </c>
      <c r="H157" s="246">
        <f t="shared" si="10"/>
        <v>0</v>
      </c>
      <c r="I157" s="246">
        <f t="shared" si="11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Code]=B158)*(Budget[Ofc Code]=$G$4),(Budget[Amount])))</f>
        <v>0</v>
      </c>
      <c r="D158" s="245">
        <f t="array" ref="D158">SUM(IF((Budget[Account Code]=B158)*(Budget[Ofc Code]=$G$4)*(Budget[Date]&lt;=$D$7),(Budget[Amount])))</f>
        <v>0</v>
      </c>
      <c r="E158" s="245">
        <f t="array" ref="E158">((SUM(IF((CkDJ[Ofc Code]=(TRIM(G$4)))*(CkDJ[Account Code]=(TRIM($B158)))*(CkDJ[Date]&lt;=$E$7),CkDJ[Debit])))+(SUM(IF((CsDJ[Ofc Code]=(TRIM(G$4)))*(CsDJ[Account Code]=(TRIM($B158)))*(CsDJ[Date]&lt;=$E$7),CsDJ[Debit])))+(SUM(IF((CRDJ[Ofc Code]=(TRIM(G$4)))*(CRDJ[Account Code]=(TRIM($B158)))*(CRDJ[Date]&lt;=$E$7),CRDJ[Debit])))+(SUM(IF((GJ[Ofc Code]=(TRIM(G$4)))*(GJ[Account Code]=(TRIM($B158)))*(GJ[Date]&lt;=$E$7),GJ[Debit]))))-((SUM(IF((CkDJ[Ofc Code]=(TRIM(G$4)))*(CkDJ[Account Code]=(TRIM($B158)))*(CkDJ[Date]&lt;=$E$7),CkDJ[Credit])))+(SUM(IF((CsDJ[Ofc Code]=(TRIM(G$4)))*(CsDJ[Account Code]=(TRIM($B158)))*(CsDJ[Date]&lt;=$E$7),CsDJ[Credit])))+(SUM(IF((CRDJ[Ofc Code]=(TRIM(G$4)))*(CRDJ[Account Code]=(TRIM($B158)))*(CRDJ[Date]&lt;=$E$7),CRDJ[Credit])))+(SUM(IF((GJ[Ofc Code]=(TRIM(G$4)))*(GJ[Account Code]=(TRIM($B158)))*(GJ[Date]&lt;=$E$7),GJ[Credit]))))</f>
        <v>0</v>
      </c>
      <c r="F158" s="245">
        <f t="array" ref="F158">((SUM(IF((CkDJ[Date]=$A$3)*(CkDJ[Ofc Code]=(TRIM(G$4)))*(CkDJ[Account Code]=(TRIM($B158))),CkDJ[Debit])))+(SUM(IF((CsDJ[Date]=$A$3)*(CsDJ[Ofc Code]=(TRIM(G$4)))*(CsDJ[Account Code]=(TRIM($B158))),CsDJ[Debit])))+(SUM(IF((CRDJ[Date]=$A$3)*(CRDJ[Ofc Code]=(TRIM(G$4)))*(CRDJ[Account Code]=(TRIM($B158))),CRDJ[Debit])))+(SUM(IF((GJ[Date]=$A$3)*(GJ[Ofc Code]=(TRIM(G$4)))*(GJ[Account Code]=(TRIM($B158))),GJ[Debit]))))-((SUM(IF((CkDJ[Date]=$A$3)*(CkDJ[Ofc Code]=(TRIM(G$4)))*(CkDJ[Account Code]=(TRIM($B158))),CkDJ[Credit])))+(SUM(IF((CsDJ[Date]=$A$3)*(CsDJ[Ofc Code]=(TRIM(G$4)))*(CsDJ[Account Code]=(TRIM($B158))),CsDJ[Credit])))+(SUM(IF((CRDJ[Date]=$A$3)*(CRDJ[Ofc Code]=(TRIM(G$4)))*(CRDJ[Account Code]=(TRIM($B158))),CRDJ[Credit])))+(SUM(IF((GJ[Date]=$A$3)*(GJ[Ofc Code]=(TRIM(G$4)))*(GJ[Account Code]=(TRIM($B158))),GJ[Credit]))))</f>
        <v>0</v>
      </c>
      <c r="G158" s="343">
        <f t="shared" si="9"/>
        <v>0</v>
      </c>
      <c r="H158" s="246">
        <f t="shared" si="10"/>
        <v>0</v>
      </c>
      <c r="I158" s="246">
        <f t="shared" si="11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Code]=B159)*(Budget[Ofc Code]=$G$4),(Budget[Amount])))</f>
        <v>0</v>
      </c>
      <c r="D159" s="245">
        <f t="array" ref="D159">SUM(IF((Budget[Account Code]=B159)*(Budget[Ofc Code]=$G$4)*(Budget[Date]&lt;=$D$7),(Budget[Amount])))</f>
        <v>0</v>
      </c>
      <c r="E159" s="245">
        <f t="array" ref="E159">((SUM(IF((CkDJ[Ofc Code]=(TRIM(G$4)))*(CkDJ[Account Code]=(TRIM($B159)))*(CkDJ[Date]&lt;=$E$7),CkDJ[Debit])))+(SUM(IF((CsDJ[Ofc Code]=(TRIM(G$4)))*(CsDJ[Account Code]=(TRIM($B159)))*(CsDJ[Date]&lt;=$E$7),CsDJ[Debit])))+(SUM(IF((CRDJ[Ofc Code]=(TRIM(G$4)))*(CRDJ[Account Code]=(TRIM($B159)))*(CRDJ[Date]&lt;=$E$7),CRDJ[Debit])))+(SUM(IF((GJ[Ofc Code]=(TRIM(G$4)))*(GJ[Account Code]=(TRIM($B159)))*(GJ[Date]&lt;=$E$7),GJ[Debit]))))-((SUM(IF((CkDJ[Ofc Code]=(TRIM(G$4)))*(CkDJ[Account Code]=(TRIM($B159)))*(CkDJ[Date]&lt;=$E$7),CkDJ[Credit])))+(SUM(IF((CsDJ[Ofc Code]=(TRIM(G$4)))*(CsDJ[Account Code]=(TRIM($B159)))*(CsDJ[Date]&lt;=$E$7),CsDJ[Credit])))+(SUM(IF((CRDJ[Ofc Code]=(TRIM(G$4)))*(CRDJ[Account Code]=(TRIM($B159)))*(CRDJ[Date]&lt;=$E$7),CRDJ[Credit])))+(SUM(IF((GJ[Ofc Code]=(TRIM(G$4)))*(GJ[Account Code]=(TRIM($B159)))*(GJ[Date]&lt;=$E$7),GJ[Credit]))))</f>
        <v>0</v>
      </c>
      <c r="F159" s="245">
        <f t="array" ref="F159">((SUM(IF((CkDJ[Date]=$A$3)*(CkDJ[Ofc Code]=(TRIM(G$4)))*(CkDJ[Account Code]=(TRIM($B159))),CkDJ[Debit])))+(SUM(IF((CsDJ[Date]=$A$3)*(CsDJ[Ofc Code]=(TRIM(G$4)))*(CsDJ[Account Code]=(TRIM($B159))),CsDJ[Debit])))+(SUM(IF((CRDJ[Date]=$A$3)*(CRDJ[Ofc Code]=(TRIM(G$4)))*(CRDJ[Account Code]=(TRIM($B159))),CRDJ[Debit])))+(SUM(IF((GJ[Date]=$A$3)*(GJ[Ofc Code]=(TRIM(G$4)))*(GJ[Account Code]=(TRIM($B159))),GJ[Debit]))))-((SUM(IF((CkDJ[Date]=$A$3)*(CkDJ[Ofc Code]=(TRIM(G$4)))*(CkDJ[Account Code]=(TRIM($B159))),CkDJ[Credit])))+(SUM(IF((CsDJ[Date]=$A$3)*(CsDJ[Ofc Code]=(TRIM(G$4)))*(CsDJ[Account Code]=(TRIM($B159))),CsDJ[Credit])))+(SUM(IF((CRDJ[Date]=$A$3)*(CRDJ[Ofc Code]=(TRIM(G$4)))*(CRDJ[Account Code]=(TRIM($B159))),CRDJ[Credit])))+(SUM(IF((GJ[Date]=$A$3)*(GJ[Ofc Code]=(TRIM(G$4)))*(GJ[Account Code]=(TRIM($B159))),GJ[Credit]))))</f>
        <v>0</v>
      </c>
      <c r="G159" s="343">
        <f t="shared" si="9"/>
        <v>0</v>
      </c>
      <c r="H159" s="246">
        <f t="shared" si="10"/>
        <v>0</v>
      </c>
      <c r="I159" s="246">
        <f t="shared" si="11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Code]=B160)*(Budget[Ofc Code]=$G$4),(Budget[Amount])))</f>
        <v>0</v>
      </c>
      <c r="D160" s="245">
        <f t="array" ref="D160">SUM(IF((Budget[Account Code]=B160)*(Budget[Ofc Code]=$G$4)*(Budget[Date]&lt;=$D$7),(Budget[Amount])))</f>
        <v>0</v>
      </c>
      <c r="E160" s="245">
        <f t="array" ref="E160">((SUM(IF((CkDJ[Ofc Code]=(TRIM(G$4)))*(CkDJ[Account Code]=(TRIM($B160)))*(CkDJ[Date]&lt;=$E$7),CkDJ[Debit])))+(SUM(IF((CsDJ[Ofc Code]=(TRIM(G$4)))*(CsDJ[Account Code]=(TRIM($B160)))*(CsDJ[Date]&lt;=$E$7),CsDJ[Debit])))+(SUM(IF((CRDJ[Ofc Code]=(TRIM(G$4)))*(CRDJ[Account Code]=(TRIM($B160)))*(CRDJ[Date]&lt;=$E$7),CRDJ[Debit])))+(SUM(IF((GJ[Ofc Code]=(TRIM(G$4)))*(GJ[Account Code]=(TRIM($B160)))*(GJ[Date]&lt;=$E$7),GJ[Debit]))))-((SUM(IF((CkDJ[Ofc Code]=(TRIM(G$4)))*(CkDJ[Account Code]=(TRIM($B160)))*(CkDJ[Date]&lt;=$E$7),CkDJ[Credit])))+(SUM(IF((CsDJ[Ofc Code]=(TRIM(G$4)))*(CsDJ[Account Code]=(TRIM($B160)))*(CsDJ[Date]&lt;=$E$7),CsDJ[Credit])))+(SUM(IF((CRDJ[Ofc Code]=(TRIM(G$4)))*(CRDJ[Account Code]=(TRIM($B160)))*(CRDJ[Date]&lt;=$E$7),CRDJ[Credit])))+(SUM(IF((GJ[Ofc Code]=(TRIM(G$4)))*(GJ[Account Code]=(TRIM($B160)))*(GJ[Date]&lt;=$E$7),GJ[Credit]))))</f>
        <v>0</v>
      </c>
      <c r="F160" s="245">
        <f t="array" ref="F160">((SUM(IF((CkDJ[Date]=$A$3)*(CkDJ[Ofc Code]=(TRIM(G$4)))*(CkDJ[Account Code]=(TRIM($B160))),CkDJ[Debit])))+(SUM(IF((CsDJ[Date]=$A$3)*(CsDJ[Ofc Code]=(TRIM(G$4)))*(CsDJ[Account Code]=(TRIM($B160))),CsDJ[Debit])))+(SUM(IF((CRDJ[Date]=$A$3)*(CRDJ[Ofc Code]=(TRIM(G$4)))*(CRDJ[Account Code]=(TRIM($B160))),CRDJ[Debit])))+(SUM(IF((GJ[Date]=$A$3)*(GJ[Ofc Code]=(TRIM(G$4)))*(GJ[Account Code]=(TRIM($B160))),GJ[Debit]))))-((SUM(IF((CkDJ[Date]=$A$3)*(CkDJ[Ofc Code]=(TRIM(G$4)))*(CkDJ[Account Code]=(TRIM($B160))),CkDJ[Credit])))+(SUM(IF((CsDJ[Date]=$A$3)*(CsDJ[Ofc Code]=(TRIM(G$4)))*(CsDJ[Account Code]=(TRIM($B160))),CsDJ[Credit])))+(SUM(IF((CRDJ[Date]=$A$3)*(CRDJ[Ofc Code]=(TRIM(G$4)))*(CRDJ[Account Code]=(TRIM($B160))),CRDJ[Credit])))+(SUM(IF((GJ[Date]=$A$3)*(GJ[Ofc Code]=(TRIM(G$4)))*(GJ[Account Code]=(TRIM($B160))),GJ[Credit]))))</f>
        <v>0</v>
      </c>
      <c r="G160" s="343">
        <f t="shared" si="9"/>
        <v>0</v>
      </c>
      <c r="H160" s="246">
        <f t="shared" si="10"/>
        <v>0</v>
      </c>
      <c r="I160" s="246">
        <f t="shared" si="11"/>
        <v>0</v>
      </c>
    </row>
    <row r="161" spans="1:9" x14ac:dyDescent="0.2">
      <c r="A161" s="253" t="s">
        <v>795</v>
      </c>
      <c r="B161" s="337"/>
      <c r="C161" s="245">
        <f t="array" ref="C161">SUM(IF((Budget[Account Code]=B161)*(Budget[Ofc Code]=$G$4),(Budget[Amount])))</f>
        <v>0</v>
      </c>
      <c r="D161" s="245">
        <f t="array" ref="D161">SUM(IF((Budget[Account Code]=B161)*(Budget[Ofc Code]=$G$4)*(Budget[Date]&lt;=$D$7),(Budget[Amount])))</f>
        <v>0</v>
      </c>
      <c r="E161" s="245">
        <f t="array" ref="E161">((SUM(IF((CkDJ[Ofc Code]=(TRIM(G$4)))*(CkDJ[Account Code]=(TRIM($B161)))*(CkDJ[Date]&lt;=$E$7),CkDJ[Debit])))+(SUM(IF((CsDJ[Ofc Code]=(TRIM(G$4)))*(CsDJ[Account Code]=(TRIM($B161)))*(CsDJ[Date]&lt;=$E$7),CsDJ[Debit])))+(SUM(IF((CRDJ[Ofc Code]=(TRIM(G$4)))*(CRDJ[Account Code]=(TRIM($B161)))*(CRDJ[Date]&lt;=$E$7),CRDJ[Debit])))+(SUM(IF((GJ[Ofc Code]=(TRIM(G$4)))*(GJ[Account Code]=(TRIM($B161)))*(GJ[Date]&lt;=$E$7),GJ[Debit]))))-((SUM(IF((CkDJ[Ofc Code]=(TRIM(G$4)))*(CkDJ[Account Code]=(TRIM($B161)))*(CkDJ[Date]&lt;=$E$7),CkDJ[Credit])))+(SUM(IF((CsDJ[Ofc Code]=(TRIM(G$4)))*(CsDJ[Account Code]=(TRIM($B161)))*(CsDJ[Date]&lt;=$E$7),CsDJ[Credit])))+(SUM(IF((CRDJ[Ofc Code]=(TRIM(G$4)))*(CRDJ[Account Code]=(TRIM($B161)))*(CRDJ[Date]&lt;=$E$7),CRDJ[Credit])))+(SUM(IF((GJ[Ofc Code]=(TRIM(G$4)))*(GJ[Account Code]=(TRIM($B161)))*(GJ[Date]&lt;=$E$7),GJ[Credit]))))</f>
        <v>0</v>
      </c>
      <c r="F161" s="245">
        <f t="array" ref="F161">((SUM(IF((CkDJ[Date]=$A$3)*(CkDJ[Ofc Code]=(TRIM(G$4)))*(CkDJ[Account Code]=(TRIM($B161))),CkDJ[Debit])))+(SUM(IF((CsDJ[Date]=$A$3)*(CsDJ[Ofc Code]=(TRIM(G$4)))*(CsDJ[Account Code]=(TRIM($B161))),CsDJ[Debit])))+(SUM(IF((CRDJ[Date]=$A$3)*(CRDJ[Ofc Code]=(TRIM(G$4)))*(CRDJ[Account Code]=(TRIM($B161))),CRDJ[Debit])))+(SUM(IF((GJ[Date]=$A$3)*(GJ[Ofc Code]=(TRIM(G$4)))*(GJ[Account Code]=(TRIM($B161))),GJ[Debit]))))-((SUM(IF((CkDJ[Date]=$A$3)*(CkDJ[Ofc Code]=(TRIM(G$4)))*(CkDJ[Account Code]=(TRIM($B161))),CkDJ[Credit])))+(SUM(IF((CsDJ[Date]=$A$3)*(CsDJ[Ofc Code]=(TRIM(G$4)))*(CsDJ[Account Code]=(TRIM($B161))),CsDJ[Credit])))+(SUM(IF((CRDJ[Date]=$A$3)*(CRDJ[Ofc Code]=(TRIM(G$4)))*(CRDJ[Account Code]=(TRIM($B161))),CRDJ[Credit])))+(SUM(IF((GJ[Date]=$A$3)*(GJ[Ofc Code]=(TRIM(G$4)))*(GJ[Account Code]=(TRIM($B161))),GJ[Credit]))))</f>
        <v>0</v>
      </c>
      <c r="G161" s="343">
        <f t="shared" si="9"/>
        <v>0</v>
      </c>
      <c r="H161" s="246">
        <f t="shared" si="10"/>
        <v>0</v>
      </c>
      <c r="I161" s="246">
        <f t="shared" si="11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Code]=B162)*(Budget[Ofc Code]=$G$4),(Budget[Amount])))</f>
        <v>0</v>
      </c>
      <c r="D162" s="245">
        <f t="array" ref="D162">SUM(IF((Budget[Account Code]=B162)*(Budget[Ofc Code]=$G$4)*(Budget[Date]&lt;=$D$7),(Budget[Amount])))</f>
        <v>0</v>
      </c>
      <c r="E162" s="245">
        <f t="array" ref="E162">((SUM(IF((CkDJ[Ofc Code]=(TRIM(G$4)))*(CkDJ[Account Code]=(TRIM($B162)))*(CkDJ[Date]&lt;=$E$7),CkDJ[Debit])))+(SUM(IF((CsDJ[Ofc Code]=(TRIM(G$4)))*(CsDJ[Account Code]=(TRIM($B162)))*(CsDJ[Date]&lt;=$E$7),CsDJ[Debit])))+(SUM(IF((CRDJ[Ofc Code]=(TRIM(G$4)))*(CRDJ[Account Code]=(TRIM($B162)))*(CRDJ[Date]&lt;=$E$7),CRDJ[Debit])))+(SUM(IF((GJ[Ofc Code]=(TRIM(G$4)))*(GJ[Account Code]=(TRIM($B162)))*(GJ[Date]&lt;=$E$7),GJ[Debit]))))-((SUM(IF((CkDJ[Ofc Code]=(TRIM(G$4)))*(CkDJ[Account Code]=(TRIM($B162)))*(CkDJ[Date]&lt;=$E$7),CkDJ[Credit])))+(SUM(IF((CsDJ[Ofc Code]=(TRIM(G$4)))*(CsDJ[Account Code]=(TRIM($B162)))*(CsDJ[Date]&lt;=$E$7),CsDJ[Credit])))+(SUM(IF((CRDJ[Ofc Code]=(TRIM(G$4)))*(CRDJ[Account Code]=(TRIM($B162)))*(CRDJ[Date]&lt;=$E$7),CRDJ[Credit])))+(SUM(IF((GJ[Ofc Code]=(TRIM(G$4)))*(GJ[Account Code]=(TRIM($B162)))*(GJ[Date]&lt;=$E$7),GJ[Credit]))))</f>
        <v>0</v>
      </c>
      <c r="F162" s="245">
        <f t="array" ref="F162">((SUM(IF((CkDJ[Date]=$A$3)*(CkDJ[Ofc Code]=(TRIM(G$4)))*(CkDJ[Account Code]=(TRIM($B162))),CkDJ[Debit])))+(SUM(IF((CsDJ[Date]=$A$3)*(CsDJ[Ofc Code]=(TRIM(G$4)))*(CsDJ[Account Code]=(TRIM($B162))),CsDJ[Debit])))+(SUM(IF((CRDJ[Date]=$A$3)*(CRDJ[Ofc Code]=(TRIM(G$4)))*(CRDJ[Account Code]=(TRIM($B162))),CRDJ[Debit])))+(SUM(IF((GJ[Date]=$A$3)*(GJ[Ofc Code]=(TRIM(G$4)))*(GJ[Account Code]=(TRIM($B162))),GJ[Debit]))))-((SUM(IF((CkDJ[Date]=$A$3)*(CkDJ[Ofc Code]=(TRIM(G$4)))*(CkDJ[Account Code]=(TRIM($B162))),CkDJ[Credit])))+(SUM(IF((CsDJ[Date]=$A$3)*(CsDJ[Ofc Code]=(TRIM(G$4)))*(CsDJ[Account Code]=(TRIM($B162))),CsDJ[Credit])))+(SUM(IF((CRDJ[Date]=$A$3)*(CRDJ[Ofc Code]=(TRIM(G$4)))*(CRDJ[Account Code]=(TRIM($B162))),CRDJ[Credit])))+(SUM(IF((GJ[Date]=$A$3)*(GJ[Ofc Code]=(TRIM(G$4)))*(GJ[Account Code]=(TRIM($B162))),GJ[Credit]))))</f>
        <v>0</v>
      </c>
      <c r="G162" s="343">
        <f t="shared" si="9"/>
        <v>0</v>
      </c>
      <c r="H162" s="246">
        <f t="shared" si="10"/>
        <v>0</v>
      </c>
      <c r="I162" s="246">
        <f t="shared" si="11"/>
        <v>0</v>
      </c>
    </row>
    <row r="163" spans="1:9" x14ac:dyDescent="0.2">
      <c r="A163" s="253" t="s">
        <v>793</v>
      </c>
      <c r="B163" s="337"/>
      <c r="C163" s="245">
        <f t="array" ref="C163">SUM(IF((Budget[Account Code]=B163)*(Budget[Ofc Code]=$G$4),(Budget[Amount])))</f>
        <v>0</v>
      </c>
      <c r="D163" s="245">
        <f t="array" ref="D163">SUM(IF((Budget[Account Code]=B163)*(Budget[Ofc Code]=$G$4)*(Budget[Date]&lt;=$D$7),(Budget[Amount])))</f>
        <v>0</v>
      </c>
      <c r="E163" s="245">
        <f t="array" ref="E163">((SUM(IF((CkDJ[Ofc Code]=(TRIM(G$4)))*(CkDJ[Account Code]=(TRIM($B163)))*(CkDJ[Date]&lt;=$E$7),CkDJ[Debit])))+(SUM(IF((CsDJ[Ofc Code]=(TRIM(G$4)))*(CsDJ[Account Code]=(TRIM($B163)))*(CsDJ[Date]&lt;=$E$7),CsDJ[Debit])))+(SUM(IF((CRDJ[Ofc Code]=(TRIM(G$4)))*(CRDJ[Account Code]=(TRIM($B163)))*(CRDJ[Date]&lt;=$E$7),CRDJ[Debit])))+(SUM(IF((GJ[Ofc Code]=(TRIM(G$4)))*(GJ[Account Code]=(TRIM($B163)))*(GJ[Date]&lt;=$E$7),GJ[Debit]))))-((SUM(IF((CkDJ[Ofc Code]=(TRIM(G$4)))*(CkDJ[Account Code]=(TRIM($B163)))*(CkDJ[Date]&lt;=$E$7),CkDJ[Credit])))+(SUM(IF((CsDJ[Ofc Code]=(TRIM(G$4)))*(CsDJ[Account Code]=(TRIM($B163)))*(CsDJ[Date]&lt;=$E$7),CsDJ[Credit])))+(SUM(IF((CRDJ[Ofc Code]=(TRIM(G$4)))*(CRDJ[Account Code]=(TRIM($B163)))*(CRDJ[Date]&lt;=$E$7),CRDJ[Credit])))+(SUM(IF((GJ[Ofc Code]=(TRIM(G$4)))*(GJ[Account Code]=(TRIM($B163)))*(GJ[Date]&lt;=$E$7),GJ[Credit]))))</f>
        <v>0</v>
      </c>
      <c r="F163" s="245">
        <f t="array" ref="F163">((SUM(IF((CkDJ[Date]=$A$3)*(CkDJ[Ofc Code]=(TRIM(G$4)))*(CkDJ[Account Code]=(TRIM($B163))),CkDJ[Debit])))+(SUM(IF((CsDJ[Date]=$A$3)*(CsDJ[Ofc Code]=(TRIM(G$4)))*(CsDJ[Account Code]=(TRIM($B163))),CsDJ[Debit])))+(SUM(IF((CRDJ[Date]=$A$3)*(CRDJ[Ofc Code]=(TRIM(G$4)))*(CRDJ[Account Code]=(TRIM($B163))),CRDJ[Debit])))+(SUM(IF((GJ[Date]=$A$3)*(GJ[Ofc Code]=(TRIM(G$4)))*(GJ[Account Code]=(TRIM($B163))),GJ[Debit]))))-((SUM(IF((CkDJ[Date]=$A$3)*(CkDJ[Ofc Code]=(TRIM(G$4)))*(CkDJ[Account Code]=(TRIM($B163))),CkDJ[Credit])))+(SUM(IF((CsDJ[Date]=$A$3)*(CsDJ[Ofc Code]=(TRIM(G$4)))*(CsDJ[Account Code]=(TRIM($B163))),CsDJ[Credit])))+(SUM(IF((CRDJ[Date]=$A$3)*(CRDJ[Ofc Code]=(TRIM(G$4)))*(CRDJ[Account Code]=(TRIM($B163))),CRDJ[Credit])))+(SUM(IF((GJ[Date]=$A$3)*(GJ[Ofc Code]=(TRIM(G$4)))*(GJ[Account Code]=(TRIM($B163))),GJ[Credit]))))</f>
        <v>0</v>
      </c>
      <c r="G163" s="343">
        <f t="shared" si="9"/>
        <v>0</v>
      </c>
      <c r="H163" s="246">
        <f t="shared" si="10"/>
        <v>0</v>
      </c>
      <c r="I163" s="246">
        <f t="shared" si="11"/>
        <v>0</v>
      </c>
    </row>
    <row r="164" spans="1:9" x14ac:dyDescent="0.2">
      <c r="A164" s="251" t="s">
        <v>789</v>
      </c>
      <c r="B164" s="338"/>
      <c r="C164" s="250">
        <f>SUM(C155:C163)</f>
        <v>90000</v>
      </c>
      <c r="D164" s="250">
        <f>SUM(D155:D163)</f>
        <v>90000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0"/>
        <v>-90000</v>
      </c>
      <c r="I164" s="250">
        <f t="shared" si="11"/>
        <v>0</v>
      </c>
    </row>
    <row r="165" spans="1:9" x14ac:dyDescent="0.2">
      <c r="A165" s="251" t="s">
        <v>788</v>
      </c>
      <c r="B165" s="338"/>
      <c r="C165" s="250">
        <f>C147+C164</f>
        <v>9312285.5600000005</v>
      </c>
      <c r="D165" s="250">
        <f>D147+D164</f>
        <v>9312285.5600000005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0"/>
        <v>-9312285.5600000005</v>
      </c>
      <c r="I165" s="250">
        <f t="shared" si="11"/>
        <v>0</v>
      </c>
    </row>
    <row r="166" spans="1:9" x14ac:dyDescent="0.2">
      <c r="A166" s="251" t="s">
        <v>785</v>
      </c>
      <c r="B166" s="338"/>
      <c r="C166" s="250">
        <f>C48-C165</f>
        <v>-8486285.5600000005</v>
      </c>
      <c r="D166" s="250">
        <f>D48-D165</f>
        <v>-8486285.5600000005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0"/>
        <v>8486285.5600000005</v>
      </c>
      <c r="I166" s="250">
        <f t="shared" si="11"/>
        <v>0</v>
      </c>
    </row>
    <row r="167" spans="1:9" x14ac:dyDescent="0.2">
      <c r="A167" s="251" t="s">
        <v>749</v>
      </c>
      <c r="B167" s="338"/>
      <c r="C167" s="250">
        <f>C48/C165</f>
        <v>0.09</v>
      </c>
      <c r="D167" s="250">
        <f>D48/D165</f>
        <v>0.09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0"/>
        <v>#DIV/0!</v>
      </c>
      <c r="I167" s="250" t="e">
        <f t="shared" si="11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0"/>
        <v>0</v>
      </c>
      <c r="I168" s="250">
        <f t="shared" si="11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0"/>
        <v>0</v>
      </c>
      <c r="I169" s="250">
        <f t="shared" si="11"/>
        <v>0</v>
      </c>
    </row>
    <row r="170" spans="1:9" x14ac:dyDescent="0.2">
      <c r="A170" s="251" t="s">
        <v>785</v>
      </c>
      <c r="B170" s="338"/>
      <c r="C170" s="250">
        <f>C166+C168+C169</f>
        <v>-8486285.5600000005</v>
      </c>
      <c r="D170" s="250">
        <f>D166+D168+D169</f>
        <v>-8486285.5600000005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0"/>
        <v>8486285.5600000005</v>
      </c>
      <c r="I170" s="250">
        <f t="shared" si="11"/>
        <v>0</v>
      </c>
    </row>
    <row r="171" spans="1:9" x14ac:dyDescent="0.2">
      <c r="A171" s="251" t="s">
        <v>792</v>
      </c>
      <c r="B171" s="338"/>
      <c r="C171" s="250">
        <f>C48/(C165-C168-C169)</f>
        <v>0.09</v>
      </c>
      <c r="D171" s="250">
        <f>D48/(D165-D168-D169)</f>
        <v>0.09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0"/>
        <v>#DIV/0!</v>
      </c>
      <c r="I171" s="250" t="e">
        <f t="shared" si="11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Code]=B175)*(Budget[Ofc Code]=$G$4),(Budget[Amount])))</f>
        <v>0</v>
      </c>
      <c r="D175" s="245">
        <f t="array" ref="D175">SUM(IF((Budget[Account Code]=B175)*(Budget[Ofc Code]=$G$4)*(Budget[Date]&lt;=$D$7),(Budget[Amount])))</f>
        <v>0</v>
      </c>
      <c r="E175" s="245">
        <f t="array" ref="E175">((SUM(IF((CkDJ[Ofc Code]=(TRIM(G$4)))*(CkDJ[Account Code]=(TRIM($B175)))*(CkDJ[Date]&lt;=$E$7),CkDJ[Debit])))+(SUM(IF((CsDJ[Ofc Code]=(TRIM(G$4)))*(CsDJ[Account Code]=(TRIM($B175)))*(CsDJ[Date]&lt;=$E$7),CsDJ[Debit])))+(SUM(IF((CRDJ[Ofc Code]=(TRIM(G$4)))*(CRDJ[Account Code]=(TRIM($B175)))*(CRDJ[Date]&lt;=$E$7),CRDJ[Debit])))+(SUM(IF((GJ[Ofc Code]=(TRIM(G$4)))*(GJ[Account Code]=(TRIM($B175)))*(GJ[Date]&lt;=$E$7),GJ[Debit]))))-((SUM(IF((CkDJ[Ofc Code]=(TRIM(G$4)))*(CkDJ[Account Code]=(TRIM($B175)))*(CkDJ[Date]&lt;=$E$7),CkDJ[Credit])))+(SUM(IF((CsDJ[Ofc Code]=(TRIM(G$4)))*(CsDJ[Account Code]=(TRIM($B175)))*(CsDJ[Date]&lt;=$E$7),CsDJ[Credit])))+(SUM(IF((CRDJ[Ofc Code]=(TRIM(G$4)))*(CRDJ[Account Code]=(TRIM($B175)))*(CRDJ[Date]&lt;=$E$7),CRDJ[Credit])))+(SUM(IF((GJ[Ofc Code]=(TRIM(G$4)))*(GJ[Account Code]=(TRIM($B175)))*(GJ[Date]&lt;=$E$7),GJ[Credit]))))</f>
        <v>0</v>
      </c>
      <c r="F175" s="245">
        <f t="array" ref="F175">((SUM(IF((CkDJ[Date]=$A$3)*(CkDJ[Ofc Code]=(TRIM(G$4)))*(CkDJ[Account Code]=(TRIM($B175))),CkDJ[Debit])))+(SUM(IF((CsDJ[Date]=$A$3)*(CsDJ[Ofc Code]=(TRIM(G$4)))*(CsDJ[Account Code]=(TRIM($B175))),CsDJ[Debit])))+(SUM(IF((CRDJ[Date]=$A$3)*(CRDJ[Ofc Code]=(TRIM(G$4)))*(CRDJ[Account Code]=(TRIM($B175))),CRDJ[Debit])))+(SUM(IF((GJ[Date]=$A$3)*(GJ[Ofc Code]=(TRIM(G$4)))*(GJ[Account Code]=(TRIM($B175))),GJ[Debit]))))-((SUM(IF((CkDJ[Date]=$A$3)*(CkDJ[Ofc Code]=(TRIM(G$4)))*(CkDJ[Account Code]=(TRIM($B175))),CkDJ[Credit])))+(SUM(IF((CsDJ[Date]=$A$3)*(CsDJ[Ofc Code]=(TRIM(G$4)))*(CsDJ[Account Code]=(TRIM($B175))),CsDJ[Credit])))+(SUM(IF((CRDJ[Date]=$A$3)*(CRDJ[Ofc Code]=(TRIM(G$4)))*(CRDJ[Account Code]=(TRIM($B175))),CRDJ[Credit])))+(SUM(IF((GJ[Date]=$A$3)*(GJ[Ofc Code]=(TRIM(G$4)))*(GJ[Account Code]=(TRIM($B175))),GJ[Credit]))))</f>
        <v>0</v>
      </c>
      <c r="G175" s="343">
        <f>E175+F175</f>
        <v>0</v>
      </c>
      <c r="H175" s="246">
        <f t="shared" ref="H175:H184" si="12">G175-D175</f>
        <v>0</v>
      </c>
      <c r="I175" s="246">
        <f t="shared" ref="I175:I184" si="13"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0</v>
      </c>
      <c r="D177" s="250">
        <f>SUM(D174:D176)</f>
        <v>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si="12"/>
        <v>0</v>
      </c>
      <c r="I177" s="250">
        <f t="shared" si="13"/>
        <v>0</v>
      </c>
    </row>
    <row r="178" spans="1:9" x14ac:dyDescent="0.2">
      <c r="A178" s="251" t="s">
        <v>788</v>
      </c>
      <c r="B178" s="338"/>
      <c r="C178" s="250">
        <f>C165+C177</f>
        <v>9312285.5600000005</v>
      </c>
      <c r="D178" s="250">
        <f>D165+D177</f>
        <v>9312285.5600000005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2"/>
        <v>-9312285.5600000005</v>
      </c>
      <c r="I178" s="250">
        <f t="shared" si="13"/>
        <v>0</v>
      </c>
    </row>
    <row r="179" spans="1:9" x14ac:dyDescent="0.2">
      <c r="A179" s="251" t="s">
        <v>785</v>
      </c>
      <c r="B179" s="338"/>
      <c r="C179" s="250">
        <f>C48-C178</f>
        <v>-8486285.5600000005</v>
      </c>
      <c r="D179" s="250">
        <f>D48-D178</f>
        <v>-8486285.5600000005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2"/>
        <v>8486285.5600000005</v>
      </c>
      <c r="I179" s="250">
        <f t="shared" si="13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2"/>
        <v>0</v>
      </c>
      <c r="I180" s="250">
        <f t="shared" si="13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2"/>
        <v>0</v>
      </c>
      <c r="I181" s="250">
        <f t="shared" si="13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2"/>
        <v>0</v>
      </c>
      <c r="I182" s="250">
        <f t="shared" si="13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2"/>
        <v>0</v>
      </c>
      <c r="I183" s="250">
        <f t="shared" si="13"/>
        <v>0</v>
      </c>
    </row>
    <row r="184" spans="1:9" x14ac:dyDescent="0.2">
      <c r="A184" s="264" t="s">
        <v>749</v>
      </c>
      <c r="B184" s="338"/>
      <c r="C184" s="265">
        <f>C48/(C178-C181-C182)</f>
        <v>0.09</v>
      </c>
      <c r="D184" s="265">
        <f>D48/(D178-D181-D182)</f>
        <v>0.09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2"/>
        <v>#DIV/0!</v>
      </c>
      <c r="I184" s="265" t="e">
        <f t="shared" si="13"/>
        <v>#DIV/0!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65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663300"/>
    <pageSetUpPr fitToPage="1"/>
  </sheetPr>
  <dimension ref="A1:I192"/>
  <sheetViews>
    <sheetView zoomScale="130" zoomScaleNormal="130" workbookViewId="0"/>
  </sheetViews>
  <sheetFormatPr defaultColWidth="9" defaultRowHeight="14.25" x14ac:dyDescent="0.2"/>
  <cols>
    <col min="1" max="1" width="35.5" style="233" customWidth="1"/>
    <col min="2" max="2" width="10" style="336" hidden="1" customWidth="1"/>
    <col min="3" max="3" width="17.125" style="236" customWidth="1"/>
    <col min="4" max="4" width="18.125" style="236" customWidth="1"/>
    <col min="5" max="5" width="17.5" style="236" customWidth="1"/>
    <col min="6" max="6" width="16.875" style="237" customWidth="1"/>
    <col min="7" max="7" width="17.875" style="236" customWidth="1"/>
    <col min="8" max="8" width="16.5" style="236" customWidth="1"/>
    <col min="9" max="9" width="8.625" style="236" customWidth="1"/>
    <col min="10" max="16384" width="9" style="233"/>
  </cols>
  <sheetData>
    <row r="1" spans="1:9" x14ac:dyDescent="0.2">
      <c r="A1" s="232" t="s">
        <v>836</v>
      </c>
      <c r="B1" s="335"/>
      <c r="C1" s="232"/>
      <c r="D1" s="232"/>
      <c r="E1" s="232"/>
      <c r="F1" s="232"/>
      <c r="G1" s="232"/>
      <c r="H1" s="232"/>
      <c r="I1" s="232"/>
    </row>
    <row r="2" spans="1:9" x14ac:dyDescent="0.2">
      <c r="A2" s="232" t="s">
        <v>1060</v>
      </c>
      <c r="B2" s="335"/>
      <c r="C2" s="232"/>
      <c r="D2" s="232"/>
      <c r="E2" s="232"/>
      <c r="F2" s="232"/>
      <c r="G2" s="232"/>
      <c r="H2" s="232"/>
      <c r="I2" s="232"/>
    </row>
    <row r="3" spans="1:9" x14ac:dyDescent="0.2">
      <c r="A3" s="234">
        <f>Account!G2</f>
        <v>44500</v>
      </c>
      <c r="B3" s="335"/>
      <c r="C3" s="232"/>
      <c r="D3" s="232"/>
      <c r="E3" s="232"/>
      <c r="F3" s="232"/>
      <c r="G3" s="232"/>
      <c r="H3" s="232"/>
      <c r="I3" s="232"/>
    </row>
    <row r="4" spans="1:9" x14ac:dyDescent="0.2">
      <c r="A4" s="235" t="s">
        <v>400</v>
      </c>
      <c r="C4" s="332"/>
      <c r="G4" s="331"/>
    </row>
    <row r="5" spans="1:9" x14ac:dyDescent="0.2">
      <c r="A5" s="1193" t="s">
        <v>440</v>
      </c>
      <c r="B5" s="1196" t="s">
        <v>370</v>
      </c>
      <c r="C5" s="1188" t="s">
        <v>1012</v>
      </c>
      <c r="D5" s="1199" t="s">
        <v>835</v>
      </c>
      <c r="E5" s="1201" t="s">
        <v>834</v>
      </c>
      <c r="F5" s="1202"/>
      <c r="G5" s="1203"/>
      <c r="H5" s="1188" t="s">
        <v>1033</v>
      </c>
      <c r="I5" s="1188" t="s">
        <v>833</v>
      </c>
    </row>
    <row r="6" spans="1:9" x14ac:dyDescent="0.2">
      <c r="A6" s="1194"/>
      <c r="B6" s="1197"/>
      <c r="C6" s="1189"/>
      <c r="D6" s="1200"/>
      <c r="E6" s="300" t="s">
        <v>832</v>
      </c>
      <c r="F6" s="1191">
        <f>A3</f>
        <v>44500</v>
      </c>
      <c r="G6" s="1188" t="s">
        <v>831</v>
      </c>
      <c r="H6" s="1189"/>
      <c r="I6" s="1189"/>
    </row>
    <row r="7" spans="1:9" x14ac:dyDescent="0.2">
      <c r="A7" s="1195"/>
      <c r="B7" s="1198"/>
      <c r="C7" s="1190"/>
      <c r="D7" s="238">
        <f>A3</f>
        <v>44500</v>
      </c>
      <c r="E7" s="304">
        <f>'REVGEN (1)'!E7</f>
        <v>43373</v>
      </c>
      <c r="F7" s="1192"/>
      <c r="G7" s="1190"/>
      <c r="H7" s="1190"/>
      <c r="I7" s="1190"/>
    </row>
    <row r="8" spans="1:9" x14ac:dyDescent="0.2">
      <c r="A8" s="239" t="s">
        <v>830</v>
      </c>
      <c r="B8" s="337"/>
      <c r="C8" s="271"/>
      <c r="D8" s="271"/>
      <c r="E8" s="271"/>
      <c r="F8" s="271"/>
      <c r="G8" s="271"/>
      <c r="H8" s="240"/>
      <c r="I8" s="240"/>
    </row>
    <row r="9" spans="1:9" x14ac:dyDescent="0.2">
      <c r="A9" s="241" t="s">
        <v>829</v>
      </c>
      <c r="B9" s="337"/>
      <c r="C9" s="242">
        <f>C10+C11</f>
        <v>10900000</v>
      </c>
      <c r="D9" s="242">
        <f>D10+D11</f>
        <v>10900000</v>
      </c>
      <c r="E9" s="242">
        <f>E10+E11</f>
        <v>0</v>
      </c>
      <c r="F9" s="242">
        <f>F10+F11</f>
        <v>0</v>
      </c>
      <c r="G9" s="242">
        <f>G10+G11</f>
        <v>0</v>
      </c>
      <c r="H9" s="242">
        <f t="shared" ref="H9:H16" si="0">G9-D9</f>
        <v>-10900000</v>
      </c>
      <c r="I9" s="242">
        <f>IF((D9=0),0,G9/D9)</f>
        <v>0</v>
      </c>
    </row>
    <row r="10" spans="1:9" x14ac:dyDescent="0.2">
      <c r="A10" s="243" t="s">
        <v>821</v>
      </c>
      <c r="B10" s="337" t="s">
        <v>125</v>
      </c>
      <c r="C10" s="245">
        <f t="array" ref="C10">SUM(IF((Budget[Account Code]=B10),(Budget[Amount])))</f>
        <v>0</v>
      </c>
      <c r="D10" s="245">
        <f t="array" ref="D10">SUM(IF((Budget[Account Code]=B10)*(Budget[Date]&lt;=$D$7),(Budget[Amount])))</f>
        <v>0</v>
      </c>
      <c r="E10" s="245">
        <f t="array" ref="E10">((SUM(IF((CkDJ[Account Code]=(TRIM($B10)))*(CkDJ[Date]&lt;=$E$7),CkDJ[Credit])))+(SUM(IF((CsDJ[Account Code]=(TRIM($B10)))*(CsDJ[Date]&lt;=$E$7),CsDJ[Credit])))+(SUM(IF((CRDJ[Account Code]=(TRIM($B10)))*(CRDJ[Date]&lt;=$E$7),CRDJ[Credit])))+(SUM(IF((GJ[Account Code]=(TRIM($B10)))*(GJ[Date]&lt;=$E$7),GJ[Credit]))))-((SUM(IF((CkDJ[Account Code]=(TRIM($B10)))*(CkDJ[Date]&lt;=$E$7),CkDJ[Debit])))+(SUM(IF((CsDJ[Account Code]=(TRIM($B10)))*(CsDJ[Date]&lt;=$E$7),CsDJ[Debit])))+(SUM(IF((CRDJ[Account Code]=(TRIM($B10)))*(CRDJ[Date]&lt;=$E$7),CRDJ[Debit])))+(SUM(IF((GJ[Account Code]=(TRIM($B10)))*(GJ[Date]&lt;=$E$7),GJ[Debit]))))</f>
        <v>0</v>
      </c>
      <c r="F10" s="245">
        <f t="array" ref="F10">((SUM(IF((CkDJ[Date]=$A$3)*(CkDJ[Account Code]=(TRIM($B10))),CkDJ[Credit])))+(SUM(IF((CsDJ[Date]=$A$3)*(CsDJ[Account Code]=(TRIM($B10))),CsDJ[Credit])))+(SUM(IF((CRDJ[Date]=$A$3)*(CRDJ[Account Code]=(TRIM($B10))),CRDJ[Credit])))+(SUM(IF((GJ[Date]=$A$3)*(GJ[Account Code]=(TRIM($B10))),GJ[Credit]))))-((SUM(IF((CkDJ[Date]=$A$3)*(CkDJ[Account Code]=(TRIM($B10))),CkDJ[Debit])))+(SUM(IF((CsDJ[Date]=$A$3)*(CsDJ[Account Code]=(TRIM($B10))),CsDJ[Debit])))+(SUM(IF((CRDJ[Date]=$A$3)*(CRDJ[Account Code]=(TRIM($B10))),CRDJ[Debit])))+(SUM(IF((GJ[Date]=$A$3)*(GJ[Account Code]=(TRIM($B10))),GJ[Debit]))))</f>
        <v>0</v>
      </c>
      <c r="G10" s="343">
        <f>E10+F10</f>
        <v>0</v>
      </c>
      <c r="H10" s="246">
        <f t="shared" si="0"/>
        <v>0</v>
      </c>
      <c r="I10" s="246">
        <f t="shared" ref="I10:I23" si="1">IF((D10=0),0,G10/D10)</f>
        <v>0</v>
      </c>
    </row>
    <row r="11" spans="1:9" x14ac:dyDescent="0.2">
      <c r="A11" s="243" t="s">
        <v>820</v>
      </c>
      <c r="B11" s="337"/>
      <c r="C11" s="245">
        <f>SUM(C12:C14)</f>
        <v>10900000</v>
      </c>
      <c r="D11" s="245">
        <f>SUM(D12:D14)</f>
        <v>10900000</v>
      </c>
      <c r="E11" s="245">
        <f>SUM(E12:E14)</f>
        <v>0</v>
      </c>
      <c r="F11" s="245">
        <f>SUM(F12:F14)</f>
        <v>0</v>
      </c>
      <c r="G11" s="343">
        <f>SUM(G12:G14)</f>
        <v>0</v>
      </c>
      <c r="H11" s="246">
        <f t="shared" si="0"/>
        <v>-10900000</v>
      </c>
      <c r="I11" s="246">
        <f t="shared" si="1"/>
        <v>0</v>
      </c>
    </row>
    <row r="12" spans="1:9" x14ac:dyDescent="0.2">
      <c r="A12" s="247" t="s">
        <v>809</v>
      </c>
      <c r="B12" s="337" t="s">
        <v>126</v>
      </c>
      <c r="C12" s="245">
        <f t="array" ref="C12">SUM(IF((Budget[Account Code]=B12),(Budget[Amount])))</f>
        <v>10900000</v>
      </c>
      <c r="D12" s="245">
        <f t="array" ref="D12">SUM(IF((Budget[Account Code]=B12)*(Budget[Date]&lt;=$D$7),(Budget[Amount])))</f>
        <v>10900000</v>
      </c>
      <c r="E12" s="245">
        <f t="array" ref="E12">((SUM(IF((CkDJ[Account Code]=(TRIM($B12)))*(CkDJ[Date]&lt;=$E$7),CkDJ[Credit])))+(SUM(IF((CsDJ[Account Code]=(TRIM($B12)))*(CsDJ[Date]&lt;=$E$7),CsDJ[Credit])))+(SUM(IF((CRDJ[Account Code]=(TRIM($B12)))*(CRDJ[Date]&lt;=$E$7),CRDJ[Credit])))+(SUM(IF((GJ[Account Code]=(TRIM($B12)))*(GJ[Date]&lt;=$E$7),GJ[Credit]))))-((SUM(IF((CkDJ[Account Code]=(TRIM($B12)))*(CkDJ[Date]&lt;=$E$7),CkDJ[Debit])))+(SUM(IF((CsDJ[Account Code]=(TRIM($B12)))*(CsDJ[Date]&lt;=$E$7),CsDJ[Debit])))+(SUM(IF((CRDJ[Account Code]=(TRIM($B12)))*(CRDJ[Date]&lt;=$E$7),CRDJ[Debit])))+(SUM(IF((GJ[Account Code]=(TRIM($B12)))*(GJ[Date]&lt;=$E$7),GJ[Debit]))))</f>
        <v>0</v>
      </c>
      <c r="F12" s="245">
        <f t="array" ref="F12">((SUM(IF((CkDJ[Date]=$A$3)*(CkDJ[Account Code]=(TRIM($B12))),CkDJ[Credit])))+(SUM(IF((CsDJ[Date]=$A$3)*(CsDJ[Account Code]=(TRIM($B12))),CsDJ[Credit])))+(SUM(IF((CRDJ[Date]=$A$3)*(CRDJ[Account Code]=(TRIM($B12))),CRDJ[Credit])))+(SUM(IF((GJ[Date]=$A$3)*(GJ[Account Code]=(TRIM($B12))),GJ[Credit]))))-((SUM(IF((CkDJ[Date]=$A$3)*(CkDJ[Account Code]=(TRIM($B12))),CkDJ[Debit])))+(SUM(IF((CsDJ[Date]=$A$3)*(CsDJ[Account Code]=(TRIM($B12))),CsDJ[Debit])))+(SUM(IF((CRDJ[Date]=$A$3)*(CRDJ[Account Code]=(TRIM($B12))),CRDJ[Debit])))+(SUM(IF((GJ[Date]=$A$3)*(GJ[Account Code]=(TRIM($B12))),GJ[Debit]))))</f>
        <v>0</v>
      </c>
      <c r="G12" s="343">
        <f>E12+F12</f>
        <v>0</v>
      </c>
      <c r="H12" s="246">
        <f t="shared" si="0"/>
        <v>-10900000</v>
      </c>
      <c r="I12" s="246">
        <f t="shared" si="1"/>
        <v>0</v>
      </c>
    </row>
    <row r="13" spans="1:9" x14ac:dyDescent="0.2">
      <c r="A13" s="247" t="s">
        <v>828</v>
      </c>
      <c r="B13" s="337" t="s">
        <v>721</v>
      </c>
      <c r="C13" s="245">
        <f t="array" ref="C13">SUM(IF((Budget[Account Code]=B13),(Budget[Amount])))</f>
        <v>0</v>
      </c>
      <c r="D13" s="245">
        <f t="array" ref="D13">SUM(IF((Budget[Account Code]=B13)*(Budget[Date]&lt;=$D$7),(Budget[Amount])))</f>
        <v>0</v>
      </c>
      <c r="E13" s="245">
        <f t="array" ref="E13">((SUM(IF((CkDJ[Account Code]=(TRIM($B13)))*(CkDJ[Date]&lt;=$E$7),CkDJ[Credit])))+(SUM(IF((CsDJ[Account Code]=(TRIM($B13)))*(CsDJ[Date]&lt;=$E$7),CsDJ[Credit])))+(SUM(IF((CRDJ[Account Code]=(TRIM($B13)))*(CRDJ[Date]&lt;=$E$7),CRDJ[Credit])))+(SUM(IF((GJ[Account Code]=(TRIM($B13)))*(GJ[Date]&lt;=$E$7),GJ[Credit]))))-((SUM(IF((CkDJ[Account Code]=(TRIM($B13)))*(CkDJ[Date]&lt;=$E$7),CkDJ[Debit])))+(SUM(IF((CsDJ[Account Code]=(TRIM($B13)))*(CsDJ[Date]&lt;=$E$7),CsDJ[Debit])))+(SUM(IF((CRDJ[Account Code]=(TRIM($B13)))*(CRDJ[Date]&lt;=$E$7),CRDJ[Debit])))+(SUM(IF((GJ[Account Code]=(TRIM($B13)))*(GJ[Date]&lt;=$E$7),GJ[Debit]))))</f>
        <v>0</v>
      </c>
      <c r="F13" s="245">
        <f t="array" ref="F13">((SUM(IF((CkDJ[Date]=$A$3)*(CkDJ[Account Code]=(TRIM($B13))),CkDJ[Credit])))+(SUM(IF((CsDJ[Date]=$A$3)*(CsDJ[Account Code]=(TRIM($B13))),CsDJ[Credit])))+(SUM(IF((CRDJ[Date]=$A$3)*(CRDJ[Account Code]=(TRIM($B13))),CRDJ[Credit])))+(SUM(IF((GJ[Date]=$A$3)*(GJ[Account Code]=(TRIM($B13))),GJ[Credit]))))-((SUM(IF((CkDJ[Date]=$A$3)*(CkDJ[Account Code]=(TRIM($B13))),CkDJ[Debit])))+(SUM(IF((CsDJ[Date]=$A$3)*(CsDJ[Account Code]=(TRIM($B13))),CsDJ[Debit])))+(SUM(IF((CRDJ[Date]=$A$3)*(CRDJ[Account Code]=(TRIM($B13))),CRDJ[Debit])))+(SUM(IF((GJ[Date]=$A$3)*(GJ[Account Code]=(TRIM($B13))),GJ[Debit]))))</f>
        <v>0</v>
      </c>
      <c r="G13" s="343">
        <f>E13+F13</f>
        <v>0</v>
      </c>
      <c r="H13" s="246">
        <f t="shared" si="0"/>
        <v>0</v>
      </c>
      <c r="I13" s="246">
        <f t="shared" si="1"/>
        <v>0</v>
      </c>
    </row>
    <row r="14" spans="1:9" x14ac:dyDescent="0.2">
      <c r="A14" s="247" t="s">
        <v>827</v>
      </c>
      <c r="B14" s="337" t="s">
        <v>143</v>
      </c>
      <c r="C14" s="245">
        <f t="array" ref="C14">SUM(IF((Budget[Account Code]=B14),(Budget[Amount])))</f>
        <v>0</v>
      </c>
      <c r="D14" s="245">
        <f t="array" ref="D14">SUM(IF((Budget[Account Code]=B14)*(Budget[Date]&lt;=$D$7),(Budget[Amount])))</f>
        <v>0</v>
      </c>
      <c r="E14" s="245">
        <f t="array" ref="E14">((SUM(IF((CkDJ[Account Code]=(TRIM($B14)))*(CkDJ[Date]&lt;=$E$7),CkDJ[Credit])))+(SUM(IF((CsDJ[Account Code]=(TRIM($B14)))*(CsDJ[Date]&lt;=$E$7),CsDJ[Credit])))+(SUM(IF((CRDJ[Account Code]=(TRIM($B14)))*(CRDJ[Date]&lt;=$E$7),CRDJ[Credit])))+(SUM(IF((GJ[Account Code]=(TRIM($B14)))*(GJ[Date]&lt;=$E$7),GJ[Credit]))))-((SUM(IF((CkDJ[Account Code]=(TRIM($B14)))*(CkDJ[Date]&lt;=$E$7),CkDJ[Debit])))+(SUM(IF((CsDJ[Account Code]=(TRIM($B14)))*(CsDJ[Date]&lt;=$E$7),CsDJ[Debit])))+(SUM(IF((CRDJ[Account Code]=(TRIM($B14)))*(CRDJ[Date]&lt;=$E$7),CRDJ[Debit])))+(SUM(IF((GJ[Account Code]=(TRIM($B14)))*(GJ[Date]&lt;=$E$7),GJ[Debit]))))</f>
        <v>0</v>
      </c>
      <c r="F14" s="245">
        <f t="array" ref="F14">((SUM(IF((CkDJ[Date]=$A$3)*(CkDJ[Account Code]=(TRIM($B14))),CkDJ[Credit])))+(SUM(IF((CsDJ[Date]=$A$3)*(CsDJ[Account Code]=(TRIM($B14))),CsDJ[Credit])))+(SUM(IF((CRDJ[Date]=$A$3)*(CRDJ[Account Code]=(TRIM($B14))),CRDJ[Credit])))+(SUM(IF((GJ[Date]=$A$3)*(GJ[Account Code]=(TRIM($B14))),GJ[Credit]))))-((SUM(IF((CkDJ[Date]=$A$3)*(CkDJ[Account Code]=(TRIM($B14))),CkDJ[Debit])))+(SUM(IF((CsDJ[Date]=$A$3)*(CsDJ[Account Code]=(TRIM($B14))),CsDJ[Debit])))+(SUM(IF((CRDJ[Date]=$A$3)*(CRDJ[Account Code]=(TRIM($B14))),CRDJ[Debit])))+(SUM(IF((GJ[Date]=$A$3)*(GJ[Account Code]=(TRIM($B14))),GJ[Debit]))))</f>
        <v>0</v>
      </c>
      <c r="G14" s="343">
        <f>E14+F14</f>
        <v>0</v>
      </c>
      <c r="H14" s="246">
        <f t="shared" si="0"/>
        <v>0</v>
      </c>
      <c r="I14" s="246">
        <f t="shared" si="1"/>
        <v>0</v>
      </c>
    </row>
    <row r="15" spans="1:9" x14ac:dyDescent="0.2">
      <c r="A15" s="241" t="s">
        <v>826</v>
      </c>
      <c r="B15" s="337"/>
      <c r="C15" s="248">
        <f>SUM(C16:C18)</f>
        <v>2500000</v>
      </c>
      <c r="D15" s="248">
        <f>SUM(D16:D18)</f>
        <v>2500000</v>
      </c>
      <c r="E15" s="248">
        <f>SUM(E16:E18)</f>
        <v>0</v>
      </c>
      <c r="F15" s="248">
        <f>SUM(F16:F18)</f>
        <v>0</v>
      </c>
      <c r="G15" s="248">
        <f>SUM(G16:G18)</f>
        <v>0</v>
      </c>
      <c r="H15" s="242">
        <f t="shared" si="0"/>
        <v>-2500000</v>
      </c>
      <c r="I15" s="242">
        <f t="shared" si="1"/>
        <v>0</v>
      </c>
    </row>
    <row r="16" spans="1:9" hidden="1" x14ac:dyDescent="0.2">
      <c r="A16" s="243" t="s">
        <v>182</v>
      </c>
      <c r="B16" s="337" t="s">
        <v>146</v>
      </c>
      <c r="C16" s="245">
        <f t="array" ref="C16">SUM(IF((Budget[Account Code]=B16),(Budget[Amount])))</f>
        <v>2000000</v>
      </c>
      <c r="D16" s="245">
        <f t="array" ref="D16">SUM(IF((Budget[Account Code]=B16)*(Budget[Date]&lt;=$D$7),(Budget[Amount])))</f>
        <v>2000000</v>
      </c>
      <c r="E16" s="245">
        <f t="array" ref="E16">((SUM(IF((CkDJ[Account Code]=(TRIM($B16)))*(CkDJ[Date]&lt;=$E$7),CkDJ[Credit])))+(SUM(IF((CsDJ[Account Code]=(TRIM($B16)))*(CsDJ[Date]&lt;=$E$7),CsDJ[Credit])))+(SUM(IF((CRDJ[Account Code]=(TRIM($B16)))*(CRDJ[Date]&lt;=$E$7),CRDJ[Credit])))+(SUM(IF((GJ[Account Code]=(TRIM($B16)))*(GJ[Date]&lt;=$E$7),GJ[Credit]))))-((SUM(IF((CkDJ[Account Code]=(TRIM($B16)))*(CkDJ[Date]&lt;=$E$7),CkDJ[Debit])))+(SUM(IF((CsDJ[Account Code]=(TRIM($B16)))*(CsDJ[Date]&lt;=$E$7),CsDJ[Debit])))+(SUM(IF((CRDJ[Account Code]=(TRIM($B16)))*(CRDJ[Date]&lt;=$E$7),CRDJ[Debit])))+(SUM(IF((GJ[Account Code]=(TRIM($B16)))*(GJ[Date]&lt;=$E$7),GJ[Debit]))))</f>
        <v>0</v>
      </c>
      <c r="F16" s="245">
        <f t="array" ref="F16">((SUM(IF((CkDJ[Date]=$A$3)*(CkDJ[Account Code]=(TRIM($B16))),CkDJ[Credit])))+(SUM(IF((CsDJ[Date]=$A$3)*(CsDJ[Account Code]=(TRIM($B16))),CsDJ[Credit])))+(SUM(IF((CRDJ[Date]=$A$3)*(CRDJ[Account Code]=(TRIM($B16))),CRDJ[Credit])))+(SUM(IF((GJ[Date]=$A$3)*(GJ[Account Code]=(TRIM($B16))),GJ[Credit]))))-((SUM(IF((CkDJ[Date]=$A$3)*(CkDJ[Account Code]=(TRIM($B16))),CkDJ[Debit])))+(SUM(IF((CsDJ[Date]=$A$3)*(CsDJ[Account Code]=(TRIM($B16))),CsDJ[Debit])))+(SUM(IF((CRDJ[Date]=$A$3)*(CRDJ[Account Code]=(TRIM($B16))),CRDJ[Debit])))+(SUM(IF((GJ[Date]=$A$3)*(GJ[Account Code]=(TRIM($B16))),GJ[Debit]))))</f>
        <v>0</v>
      </c>
      <c r="G16" s="343">
        <f>E16+F16</f>
        <v>0</v>
      </c>
      <c r="H16" s="246">
        <f t="shared" si="0"/>
        <v>-2000000</v>
      </c>
      <c r="I16" s="246">
        <f t="shared" si="1"/>
        <v>0</v>
      </c>
    </row>
    <row r="17" spans="1:9" hidden="1" x14ac:dyDescent="0.2">
      <c r="A17" s="243" t="s">
        <v>183</v>
      </c>
      <c r="B17" s="337" t="s">
        <v>147</v>
      </c>
      <c r="C17" s="245">
        <f t="array" ref="C17">SUM(IF((Budget[Account Code]=B17),(Budget[Amount])))</f>
        <v>500000</v>
      </c>
      <c r="D17" s="245">
        <f t="array" ref="D17">SUM(IF((Budget[Account Code]=B17)*(Budget[Date]&lt;=$D$7),(Budget[Amount])))</f>
        <v>500000</v>
      </c>
      <c r="E17" s="245">
        <f t="array" ref="E17">((SUM(IF((CkDJ[Account Code]=(TRIM($B17)))*(CkDJ[Date]&lt;=$E$7),CkDJ[Credit])))+(SUM(IF((CsDJ[Account Code]=(TRIM($B17)))*(CsDJ[Date]&lt;=$E$7),CsDJ[Credit])))+(SUM(IF((CRDJ[Account Code]=(TRIM($B17)))*(CRDJ[Date]&lt;=$E$7),CRDJ[Credit])))+(SUM(IF((GJ[Account Code]=(TRIM($B17)))*(GJ[Date]&lt;=$E$7),GJ[Credit]))))-((SUM(IF((CkDJ[Account Code]=(TRIM($B17)))*(CkDJ[Date]&lt;=$E$7),CkDJ[Debit])))+(SUM(IF((CsDJ[Account Code]=(TRIM($B17)))*(CsDJ[Date]&lt;=$E$7),CsDJ[Debit])))+(SUM(IF((CRDJ[Account Code]=(TRIM($B17)))*(CRDJ[Date]&lt;=$E$7),CRDJ[Debit])))+(SUM(IF((GJ[Account Code]=(TRIM($B17)))*(GJ[Date]&lt;=$E$7),GJ[Debit]))))</f>
        <v>0</v>
      </c>
      <c r="F17" s="245">
        <f t="array" ref="F17">((SUM(IF((CkDJ[Date]=$A$3)*(CkDJ[Account Code]=(TRIM($B17))),CkDJ[Credit])))+(SUM(IF((CsDJ[Date]=$A$3)*(CsDJ[Account Code]=(TRIM($B17))),CsDJ[Credit])))+(SUM(IF((CRDJ[Date]=$A$3)*(CRDJ[Account Code]=(TRIM($B17))),CRDJ[Credit])))+(SUM(IF((GJ[Date]=$A$3)*(GJ[Account Code]=(TRIM($B17))),GJ[Credit]))))-((SUM(IF((CkDJ[Date]=$A$3)*(CkDJ[Account Code]=(TRIM($B17))),CkDJ[Debit])))+(SUM(IF((CsDJ[Date]=$A$3)*(CsDJ[Account Code]=(TRIM($B17))),CsDJ[Debit])))+(SUM(IF((CRDJ[Date]=$A$3)*(CRDJ[Account Code]=(TRIM($B17))),CRDJ[Debit])))+(SUM(IF((GJ[Date]=$A$3)*(GJ[Account Code]=(TRIM($B17))),GJ[Debit]))))</f>
        <v>0</v>
      </c>
      <c r="G17" s="343">
        <f>E17+F17</f>
        <v>0</v>
      </c>
      <c r="H17" s="246">
        <f t="shared" ref="H17:H23" si="2">G17-D17</f>
        <v>-500000</v>
      </c>
      <c r="I17" s="246">
        <f t="shared" si="1"/>
        <v>0</v>
      </c>
    </row>
    <row r="18" spans="1:9" hidden="1" x14ac:dyDescent="0.2">
      <c r="A18" s="243" t="s">
        <v>184</v>
      </c>
      <c r="B18" s="337" t="s">
        <v>148</v>
      </c>
      <c r="C18" s="245">
        <f t="array" ref="C18">SUM(IF((Budget[Account Code]=B18),(Budget[Amount])))</f>
        <v>0</v>
      </c>
      <c r="D18" s="245">
        <f t="array" ref="D18">SUM(IF((Budget[Account Code]=B18)*(Budget[Date]&lt;=$D$7),(Budget[Amount])))</f>
        <v>0</v>
      </c>
      <c r="E18" s="245">
        <f t="array" ref="E18">((SUM(IF((CkDJ[Account Code]=(TRIM($B18)))*(CkDJ[Date]&lt;=$E$7),CkDJ[Credit])))+(SUM(IF((CsDJ[Account Code]=(TRIM($B18)))*(CsDJ[Date]&lt;=$E$7),CsDJ[Credit])))+(SUM(IF((CRDJ[Account Code]=(TRIM($B18)))*(CRDJ[Date]&lt;=$E$7),CRDJ[Credit])))+(SUM(IF((GJ[Account Code]=(TRIM($B18)))*(GJ[Date]&lt;=$E$7),GJ[Credit]))))-((SUM(IF((CkDJ[Account Code]=(TRIM($B18)))*(CkDJ[Date]&lt;=$E$7),CkDJ[Debit])))+(SUM(IF((CsDJ[Account Code]=(TRIM($B18)))*(CsDJ[Date]&lt;=$E$7),CsDJ[Debit])))+(SUM(IF((CRDJ[Account Code]=(TRIM($B18)))*(CRDJ[Date]&lt;=$E$7),CRDJ[Debit])))+(SUM(IF((GJ[Account Code]=(TRIM($B18)))*(GJ[Date]&lt;=$E$7),GJ[Debit]))))</f>
        <v>0</v>
      </c>
      <c r="F18" s="245">
        <f t="array" ref="F18">((SUM(IF((CkDJ[Date]=$A$3)*(CkDJ[Account Code]=(TRIM($B18))),CkDJ[Credit])))+(SUM(IF((CsDJ[Date]=$A$3)*(CsDJ[Account Code]=(TRIM($B18))),CsDJ[Credit])))+(SUM(IF((CRDJ[Date]=$A$3)*(CRDJ[Account Code]=(TRIM($B18))),CRDJ[Credit])))+(SUM(IF((GJ[Date]=$A$3)*(GJ[Account Code]=(TRIM($B18))),GJ[Credit]))))-((SUM(IF((CkDJ[Date]=$A$3)*(CkDJ[Account Code]=(TRIM($B18))),CkDJ[Debit])))+(SUM(IF((CsDJ[Date]=$A$3)*(CsDJ[Account Code]=(TRIM($B18))),CsDJ[Debit])))+(SUM(IF((CRDJ[Date]=$A$3)*(CRDJ[Account Code]=(TRIM($B18))),CRDJ[Debit])))+(SUM(IF((GJ[Date]=$A$3)*(GJ[Account Code]=(TRIM($B18))),GJ[Debit]))))</f>
        <v>0</v>
      </c>
      <c r="G18" s="343">
        <f>E18+F18</f>
        <v>0</v>
      </c>
      <c r="H18" s="246">
        <f t="shared" si="2"/>
        <v>0</v>
      </c>
      <c r="I18" s="246">
        <f t="shared" si="1"/>
        <v>0</v>
      </c>
    </row>
    <row r="19" spans="1:9" x14ac:dyDescent="0.2">
      <c r="A19" s="241" t="s">
        <v>825</v>
      </c>
      <c r="B19" s="337"/>
      <c r="C19" s="248">
        <f>SUM(C20:C21)</f>
        <v>0</v>
      </c>
      <c r="D19" s="248">
        <f>SUM(D20:D21)</f>
        <v>0</v>
      </c>
      <c r="E19" s="248">
        <f>SUM(E20:E21)</f>
        <v>0</v>
      </c>
      <c r="F19" s="248">
        <f>SUM(F20:F21)</f>
        <v>0</v>
      </c>
      <c r="G19" s="248">
        <f>SUM(G20:G21)</f>
        <v>0</v>
      </c>
      <c r="H19" s="242">
        <f t="shared" si="2"/>
        <v>0</v>
      </c>
      <c r="I19" s="242">
        <f t="shared" si="1"/>
        <v>0</v>
      </c>
    </row>
    <row r="20" spans="1:9" x14ac:dyDescent="0.2">
      <c r="A20" s="243" t="s">
        <v>821</v>
      </c>
      <c r="B20" s="337" t="s">
        <v>131</v>
      </c>
      <c r="C20" s="245">
        <f t="array" ref="C20">SUM(IF((Budget[Account Code]=B20),(Budget[Amount])))</f>
        <v>0</v>
      </c>
      <c r="D20" s="245">
        <f t="array" ref="D20">SUM(IF((Budget[Account Code]=B20)*(Budget[Date]&lt;=$D$7),(Budget[Amount])))</f>
        <v>0</v>
      </c>
      <c r="E20" s="245">
        <f t="array" ref="E20">((SUM(IF((CkDJ[Account Code]=(TRIM($B20)))*(CkDJ[Date]&lt;=$E$7),CkDJ[Credit])))+(SUM(IF((CsDJ[Account Code]=(TRIM($B20)))*(CsDJ[Date]&lt;=$E$7),CsDJ[Credit])))+(SUM(IF((CRDJ[Account Code]=(TRIM($B20)))*(CRDJ[Date]&lt;=$E$7),CRDJ[Credit])))+(SUM(IF((GJ[Account Code]=(TRIM($B20)))*(GJ[Date]&lt;=$E$7),GJ[Credit]))))-((SUM(IF((CkDJ[Account Code]=(TRIM($B20)))*(CkDJ[Date]&lt;=$E$7),CkDJ[Debit])))+(SUM(IF((CsDJ[Account Code]=(TRIM($B20)))*(CsDJ[Date]&lt;=$E$7),CsDJ[Debit])))+(SUM(IF((CRDJ[Account Code]=(TRIM($B20)))*(CRDJ[Date]&lt;=$E$7),CRDJ[Debit])))+(SUM(IF((GJ[Account Code]=(TRIM($B20)))*(GJ[Date]&lt;=$E$7),GJ[Debit]))))</f>
        <v>0</v>
      </c>
      <c r="F20" s="245">
        <f t="array" ref="F20">((SUM(IF((CkDJ[Date]=$A$3)*(CkDJ[Account Code]=(TRIM($B20))),CkDJ[Credit])))+(SUM(IF((CsDJ[Date]=$A$3)*(CsDJ[Account Code]=(TRIM($B20))),CsDJ[Credit])))+(SUM(IF((CRDJ[Date]=$A$3)*(CRDJ[Account Code]=(TRIM($B20))),CRDJ[Credit])))+(SUM(IF((GJ[Date]=$A$3)*(GJ[Account Code]=(TRIM($B20))),GJ[Credit]))))-((SUM(IF((CkDJ[Date]=$A$3)*(CkDJ[Account Code]=(TRIM($B20))),CkDJ[Debit])))+(SUM(IF((CsDJ[Date]=$A$3)*(CsDJ[Account Code]=(TRIM($B20))),CsDJ[Debit])))+(SUM(IF((CRDJ[Date]=$A$3)*(CRDJ[Account Code]=(TRIM($B20))),CRDJ[Debit])))+(SUM(IF((GJ[Date]=$A$3)*(GJ[Account Code]=(TRIM($B20))),GJ[Debit]))))</f>
        <v>0</v>
      </c>
      <c r="G20" s="343">
        <f>E20+F20</f>
        <v>0</v>
      </c>
      <c r="H20" s="246">
        <f t="shared" si="2"/>
        <v>0</v>
      </c>
      <c r="I20" s="246">
        <f t="shared" si="1"/>
        <v>0</v>
      </c>
    </row>
    <row r="21" spans="1:9" x14ac:dyDescent="0.2">
      <c r="A21" s="243" t="s">
        <v>820</v>
      </c>
      <c r="B21" s="337"/>
      <c r="C21" s="245">
        <f>SUM(C22:C23)</f>
        <v>0</v>
      </c>
      <c r="D21" s="245">
        <f>SUM(D22:D23)</f>
        <v>0</v>
      </c>
      <c r="E21" s="245">
        <f>SUM(E22:E23)</f>
        <v>0</v>
      </c>
      <c r="F21" s="245">
        <f>SUM(F22:F23)</f>
        <v>0</v>
      </c>
      <c r="G21" s="245">
        <f>SUM(G22:G23)</f>
        <v>0</v>
      </c>
      <c r="H21" s="246">
        <f t="shared" si="2"/>
        <v>0</v>
      </c>
      <c r="I21" s="246">
        <f t="shared" si="1"/>
        <v>0</v>
      </c>
    </row>
    <row r="22" spans="1:9" hidden="1" x14ac:dyDescent="0.2">
      <c r="A22" s="247" t="s">
        <v>819</v>
      </c>
      <c r="B22" s="337" t="s">
        <v>140</v>
      </c>
      <c r="C22" s="245">
        <f t="array" ref="C22">SUM(IF((Budget[Account Code]=B22),(Budget[Amount])))</f>
        <v>0</v>
      </c>
      <c r="D22" s="245">
        <f t="array" ref="D22">SUM(IF((Budget[Account Code]=B22)*(Budget[Date]&lt;=$D$7),(Budget[Amount])))</f>
        <v>0</v>
      </c>
      <c r="E22" s="245">
        <f t="array" ref="E22">((SUM(IF((CkDJ[Account Code]=(TRIM($B22)))*(CkDJ[Date]&lt;=$E$7),CkDJ[Credit])))+(SUM(IF((CsDJ[Account Code]=(TRIM($B22)))*(CsDJ[Date]&lt;=$E$7),CsDJ[Credit])))+(SUM(IF((CRDJ[Account Code]=(TRIM($B22)))*(CRDJ[Date]&lt;=$E$7),CRDJ[Credit])))+(SUM(IF((GJ[Account Code]=(TRIM($B22)))*(GJ[Date]&lt;=$E$7),GJ[Credit]))))-((SUM(IF((CkDJ[Account Code]=(TRIM($B22)))*(CkDJ[Date]&lt;=$E$7),CkDJ[Debit])))+(SUM(IF((CsDJ[Account Code]=(TRIM($B22)))*(CsDJ[Date]&lt;=$E$7),CsDJ[Debit])))+(SUM(IF((CRDJ[Account Code]=(TRIM($B22)))*(CRDJ[Date]&lt;=$E$7),CRDJ[Debit])))+(SUM(IF((GJ[Account Code]=(TRIM($B22)))*(GJ[Date]&lt;=$E$7),GJ[Debit]))))</f>
        <v>0</v>
      </c>
      <c r="F22" s="245">
        <f t="array" ref="F22">((SUM(IF((CkDJ[Date]=$A$3)*(CkDJ[Account Code]=(TRIM($B22))),CkDJ[Credit])))+(SUM(IF((CsDJ[Date]=$A$3)*(CsDJ[Account Code]=(TRIM($B22))),CsDJ[Credit])))+(SUM(IF((CRDJ[Date]=$A$3)*(CRDJ[Account Code]=(TRIM($B22))),CRDJ[Credit])))+(SUM(IF((GJ[Date]=$A$3)*(GJ[Account Code]=(TRIM($B22))),GJ[Credit]))))-((SUM(IF((CkDJ[Date]=$A$3)*(CkDJ[Account Code]=(TRIM($B22))),CkDJ[Debit])))+(SUM(IF((CsDJ[Date]=$A$3)*(CsDJ[Account Code]=(TRIM($B22))),CsDJ[Debit])))+(SUM(IF((CRDJ[Date]=$A$3)*(CRDJ[Account Code]=(TRIM($B22))),CRDJ[Debit])))+(SUM(IF((GJ[Date]=$A$3)*(GJ[Account Code]=(TRIM($B22))),GJ[Debit]))))</f>
        <v>0</v>
      </c>
      <c r="G22" s="343">
        <f>E22+F22</f>
        <v>0</v>
      </c>
      <c r="H22" s="246">
        <f t="shared" si="2"/>
        <v>0</v>
      </c>
      <c r="I22" s="246">
        <f t="shared" si="1"/>
        <v>0</v>
      </c>
    </row>
    <row r="23" spans="1:9" hidden="1" x14ac:dyDescent="0.2">
      <c r="A23" s="247" t="s">
        <v>818</v>
      </c>
      <c r="B23" s="337" t="s">
        <v>144</v>
      </c>
      <c r="C23" s="245">
        <f t="array" ref="C23">SUM(IF((Budget[Account Code]=B23),(Budget[Amount])))</f>
        <v>0</v>
      </c>
      <c r="D23" s="245">
        <f t="array" ref="D23">SUM(IF((Budget[Account Code]=B23)*(Budget[Date]&lt;=$D$7),(Budget[Amount])))</f>
        <v>0</v>
      </c>
      <c r="E23" s="245">
        <f t="array" ref="E23">((SUM(IF((CkDJ[Account Code]=(TRIM($B23)))*(CkDJ[Date]&lt;=$E$7),CkDJ[Credit])))+(SUM(IF((CsDJ[Account Code]=(TRIM($B23)))*(CsDJ[Date]&lt;=$E$7),CsDJ[Credit])))+(SUM(IF((CRDJ[Account Code]=(TRIM($B23)))*(CRDJ[Date]&lt;=$E$7),CRDJ[Credit])))+(SUM(IF((GJ[Account Code]=(TRIM($B23)))*(GJ[Date]&lt;=$E$7),GJ[Credit]))))-((SUM(IF((CkDJ[Account Code]=(TRIM($B23)))*(CkDJ[Date]&lt;=$E$7),CkDJ[Debit])))+(SUM(IF((CsDJ[Account Code]=(TRIM($B23)))*(CsDJ[Date]&lt;=$E$7),CsDJ[Debit])))+(SUM(IF((CRDJ[Account Code]=(TRIM($B23)))*(CRDJ[Date]&lt;=$E$7),CRDJ[Debit])))+(SUM(IF((GJ[Account Code]=(TRIM($B23)))*(GJ[Date]&lt;=$E$7),GJ[Debit]))))</f>
        <v>0</v>
      </c>
      <c r="F23" s="245">
        <f t="array" ref="F23">((SUM(IF((CkDJ[Date]=$A$3)*(CkDJ[Account Code]=(TRIM($B23))),CkDJ[Credit])))+(SUM(IF((CsDJ[Date]=$A$3)*(CsDJ[Account Code]=(TRIM($B23))),CsDJ[Credit])))+(SUM(IF((CRDJ[Date]=$A$3)*(CRDJ[Account Code]=(TRIM($B23))),CRDJ[Credit])))+(SUM(IF((GJ[Date]=$A$3)*(GJ[Account Code]=(TRIM($B23))),GJ[Credit]))))-((SUM(IF((CkDJ[Date]=$A$3)*(CkDJ[Account Code]=(TRIM($B23))),CkDJ[Debit])))+(SUM(IF((CsDJ[Date]=$A$3)*(CsDJ[Account Code]=(TRIM($B23))),CsDJ[Debit])))+(SUM(IF((CRDJ[Date]=$A$3)*(CRDJ[Account Code]=(TRIM($B23))),CRDJ[Debit])))+(SUM(IF((GJ[Date]=$A$3)*(GJ[Account Code]=(TRIM($B23))),GJ[Debit]))))</f>
        <v>0</v>
      </c>
      <c r="G23" s="343">
        <f>E23+F23</f>
        <v>0</v>
      </c>
      <c r="H23" s="246">
        <f t="shared" si="2"/>
        <v>0</v>
      </c>
      <c r="I23" s="246">
        <f t="shared" si="1"/>
        <v>0</v>
      </c>
    </row>
    <row r="24" spans="1:9" x14ac:dyDescent="0.2">
      <c r="A24" s="249" t="s">
        <v>814</v>
      </c>
      <c r="B24" s="338"/>
      <c r="C24" s="250">
        <f>C9+C15+C19</f>
        <v>13400000</v>
      </c>
      <c r="D24" s="250">
        <f>D9+D15+D19</f>
        <v>13400000</v>
      </c>
      <c r="E24" s="250">
        <f>E9+E15+E19</f>
        <v>0</v>
      </c>
      <c r="F24" s="250">
        <f>F9+F15+F19</f>
        <v>0</v>
      </c>
      <c r="G24" s="250">
        <f>G9+G15+G19</f>
        <v>0</v>
      </c>
      <c r="H24" s="250">
        <f>G24-D24</f>
        <v>-13400000</v>
      </c>
      <c r="I24" s="250">
        <f>IF((D24=0),0,G24/D24)</f>
        <v>0</v>
      </c>
    </row>
    <row r="25" spans="1:9" x14ac:dyDescent="0.2">
      <c r="A25" s="239" t="s">
        <v>824</v>
      </c>
      <c r="B25" s="337"/>
      <c r="C25" s="240"/>
      <c r="D25" s="240"/>
      <c r="E25" s="240"/>
      <c r="F25" s="240"/>
      <c r="G25" s="246"/>
      <c r="H25" s="246"/>
      <c r="I25" s="246"/>
    </row>
    <row r="26" spans="1:9" x14ac:dyDescent="0.2">
      <c r="A26" s="241" t="s">
        <v>823</v>
      </c>
      <c r="B26" s="337" t="s">
        <v>352</v>
      </c>
      <c r="C26" s="248">
        <f t="array" ref="C26">SUM(IF((Budget[Account Code]=B26),(Budget[Amount])))</f>
        <v>15000000</v>
      </c>
      <c r="D26" s="248">
        <f t="array" ref="D26">SUM(IF((Budget[Account Code]=B26)*(Budget[Date]&lt;=$D$7),(Budget[Amount])))</f>
        <v>15000000</v>
      </c>
      <c r="E26" s="248">
        <f t="array" ref="E26">((SUM(IF((CkDJ[Account Code]=(TRIM($B26)))*(CkDJ[Date]&lt;=$E$7),CkDJ[Credit])))+(SUM(IF((CsDJ[Account Code]=(TRIM($B26)))*(CsDJ[Date]&lt;=$E$7),CsDJ[Credit])))+(SUM(IF((CRDJ[Account Code]=(TRIM($B26)))*(CRDJ[Date]&lt;=$E$7),CRDJ[Credit])))+(SUM(IF((GJ[Account Code]=(TRIM($B26)))*(GJ[Date]&lt;=$E$7),GJ[Credit]))))-((SUM(IF((CkDJ[Account Code]=(TRIM($B26)))*(CkDJ[Date]&lt;=$E$7),CkDJ[Debit])))+(SUM(IF((CsDJ[Account Code]=(TRIM($B26)))*(CsDJ[Date]&lt;=$E$7),CsDJ[Debit])))+(SUM(IF((CRDJ[Account Code]=(TRIM($B26)))*(CRDJ[Date]&lt;=$E$7),CRDJ[Debit])))+(SUM(IF((GJ[Account Code]=(TRIM($B26)))*(GJ[Date]&lt;=$E$7),GJ[Debit]))))</f>
        <v>0</v>
      </c>
      <c r="F26" s="248">
        <f t="array" ref="F26">((SUM(IF((CkDJ[Date]=$A$3)*(CkDJ[Account Code]=(TRIM($B26))),CkDJ[Credit])))+(SUM(IF((CsDJ[Date]=$A$3)*(CsDJ[Account Code]=(TRIM($B26))),CsDJ[Credit])))+(SUM(IF((CRDJ[Date]=$A$3)*(CRDJ[Account Code]=(TRIM($B26))),CRDJ[Credit])))+(SUM(IF((GJ[Date]=$A$3)*(GJ[Account Code]=(TRIM($B26))),GJ[Credit]))))-((SUM(IF((CkDJ[Date]=$A$3)*(CkDJ[Account Code]=(TRIM($B26))),CkDJ[Debit])))+(SUM(IF((CsDJ[Date]=$A$3)*(CsDJ[Account Code]=(TRIM($B26))),CsDJ[Debit])))+(SUM(IF((CRDJ[Date]=$A$3)*(CRDJ[Account Code]=(TRIM($B26))),CRDJ[Debit])))+(SUM(IF((GJ[Date]=$A$3)*(GJ[Account Code]=(TRIM($B26))),GJ[Debit]))))</f>
        <v>0</v>
      </c>
      <c r="G26" s="349">
        <f>E26+F26</f>
        <v>0</v>
      </c>
      <c r="H26" s="242">
        <f>G26-D26</f>
        <v>-15000000</v>
      </c>
      <c r="I26" s="242">
        <f t="shared" ref="I26:I48" si="3">IF((D26=0),0,G26/D26)</f>
        <v>0</v>
      </c>
    </row>
    <row r="27" spans="1:9" x14ac:dyDescent="0.2">
      <c r="A27" s="241" t="s">
        <v>822</v>
      </c>
      <c r="B27" s="337"/>
      <c r="C27" s="248">
        <f>SUM(C28:C29)</f>
        <v>6762078.0599999996</v>
      </c>
      <c r="D27" s="248">
        <f>SUM(D28:D29)</f>
        <v>6762078.0599999996</v>
      </c>
      <c r="E27" s="248">
        <f>SUM(E28:E29)</f>
        <v>0</v>
      </c>
      <c r="F27" s="248">
        <f>SUM(F28:F29)</f>
        <v>0</v>
      </c>
      <c r="G27" s="248">
        <f>SUM(G28:G29)</f>
        <v>0</v>
      </c>
      <c r="H27" s="242">
        <f>G27-D27</f>
        <v>-6762078.0599999996</v>
      </c>
      <c r="I27" s="242">
        <f t="shared" si="3"/>
        <v>0</v>
      </c>
    </row>
    <row r="28" spans="1:9" x14ac:dyDescent="0.2">
      <c r="A28" s="243" t="s">
        <v>821</v>
      </c>
      <c r="B28" s="339" t="s">
        <v>128</v>
      </c>
      <c r="C28" s="245">
        <f t="array" ref="C28">SUM(IF((Budget[Account Code]=B28),(Budget[Amount])))</f>
        <v>1725000</v>
      </c>
      <c r="D28" s="245">
        <f t="array" ref="D28">SUM(IF((Budget[Account Code]=B28)*(Budget[Date]&lt;=$D$7),(Budget[Amount])))</f>
        <v>1725000</v>
      </c>
      <c r="E28" s="245">
        <f t="array" ref="E28">((SUM(IF((CkDJ[Account Code]=(TRIM($B28)))*(CkDJ[Date]&lt;=$E$7),CkDJ[Credit])))+(SUM(IF((CsDJ[Account Code]=(TRIM($B28)))*(CsDJ[Date]&lt;=$E$7),CsDJ[Credit])))+(SUM(IF((CRDJ[Account Code]=(TRIM($B28)))*(CRDJ[Date]&lt;=$E$7),CRDJ[Credit])))+(SUM(IF((GJ[Account Code]=(TRIM($B28)))*(GJ[Date]&lt;=$E$7),GJ[Credit]))))-((SUM(IF((CkDJ[Account Code]=(TRIM($B28)))*(CkDJ[Date]&lt;=$E$7),CkDJ[Debit])))+(SUM(IF((CsDJ[Account Code]=(TRIM($B28)))*(CsDJ[Date]&lt;=$E$7),CsDJ[Debit])))+(SUM(IF((CRDJ[Account Code]=(TRIM($B28)))*(CRDJ[Date]&lt;=$E$7),CRDJ[Debit])))+(SUM(IF((GJ[Account Code]=(TRIM($B28)))*(GJ[Date]&lt;=$E$7),GJ[Debit]))))</f>
        <v>0</v>
      </c>
      <c r="F28" s="245">
        <f t="array" ref="F28">((SUM(IF((CkDJ[Date]=$A$3)*(CkDJ[Account Code]=(TRIM($B28))),CkDJ[Credit])))+(SUM(IF((CsDJ[Date]=$A$3)*(CsDJ[Account Code]=(TRIM($B28))),CsDJ[Credit])))+(SUM(IF((CRDJ[Date]=$A$3)*(CRDJ[Account Code]=(TRIM($B28))),CRDJ[Credit])))+(SUM(IF((GJ[Date]=$A$3)*(GJ[Account Code]=(TRIM($B28))),GJ[Credit]))))-((SUM(IF((CkDJ[Date]=$A$3)*(CkDJ[Account Code]=(TRIM($B28))),CkDJ[Debit])))+(SUM(IF((CsDJ[Date]=$A$3)*(CsDJ[Account Code]=(TRIM($B28))),CsDJ[Debit])))+(SUM(IF((CRDJ[Date]=$A$3)*(CRDJ[Account Code]=(TRIM($B28))),CRDJ[Debit])))+(SUM(IF((GJ[Date]=$A$3)*(GJ[Account Code]=(TRIM($B28))),GJ[Debit]))))</f>
        <v>0</v>
      </c>
      <c r="G28" s="343">
        <f>E28+F28</f>
        <v>0</v>
      </c>
      <c r="H28" s="246">
        <f>G28-D28</f>
        <v>-1725000</v>
      </c>
      <c r="I28" s="246">
        <f t="shared" si="3"/>
        <v>0</v>
      </c>
    </row>
    <row r="29" spans="1:9" x14ac:dyDescent="0.2">
      <c r="A29" s="243" t="s">
        <v>820</v>
      </c>
      <c r="B29" s="339"/>
      <c r="C29" s="245">
        <f>SUM(C30:C31)</f>
        <v>5037078.0599999996</v>
      </c>
      <c r="D29" s="245">
        <f>SUM(D30:D31)</f>
        <v>5037078.0599999996</v>
      </c>
      <c r="E29" s="245">
        <f>SUM(E30:E31)</f>
        <v>0</v>
      </c>
      <c r="F29" s="245">
        <f>SUM(F30:F31)</f>
        <v>0</v>
      </c>
      <c r="G29" s="245">
        <f>SUM(G30:G31)</f>
        <v>0</v>
      </c>
      <c r="H29" s="246">
        <f t="shared" ref="H29:H48" si="4">G29-D29</f>
        <v>-5037078.0599999996</v>
      </c>
      <c r="I29" s="246">
        <f t="shared" si="3"/>
        <v>0</v>
      </c>
    </row>
    <row r="30" spans="1:9" hidden="1" x14ac:dyDescent="0.2">
      <c r="A30" s="247" t="s">
        <v>819</v>
      </c>
      <c r="B30" s="339" t="s">
        <v>129</v>
      </c>
      <c r="C30" s="245">
        <f t="array" ref="C30">SUM(IF((Budget[Account Code]=B30),(Budget[Amount])))</f>
        <v>5037078.0599999996</v>
      </c>
      <c r="D30" s="245">
        <f t="array" ref="D30">SUM(IF((Budget[Account Code]=B30)*(Budget[Date]&lt;=$D$7),(Budget[Amount])))</f>
        <v>5037078.0599999996</v>
      </c>
      <c r="E30" s="245">
        <f t="array" ref="E30">((SUM(IF((CkDJ[Account Code]=(TRIM($B30)))*(CkDJ[Date]&lt;=$E$7),CkDJ[Credit])))+(SUM(IF((CsDJ[Account Code]=(TRIM($B30)))*(CsDJ[Date]&lt;=$E$7),CsDJ[Credit])))+(SUM(IF((CRDJ[Account Code]=(TRIM($B30)))*(CRDJ[Date]&lt;=$E$7),CRDJ[Credit])))+(SUM(IF((GJ[Account Code]=(TRIM($B30)))*(GJ[Date]&lt;=$E$7),GJ[Credit]))))-((SUM(IF((CkDJ[Account Code]=(TRIM($B30)))*(CkDJ[Date]&lt;=$E$7),CkDJ[Debit])))+(SUM(IF((CsDJ[Account Code]=(TRIM($B30)))*(CsDJ[Date]&lt;=$E$7),CsDJ[Debit])))+(SUM(IF((CRDJ[Account Code]=(TRIM($B30)))*(CRDJ[Date]&lt;=$E$7),CRDJ[Debit])))+(SUM(IF((GJ[Account Code]=(TRIM($B30)))*(GJ[Date]&lt;=$E$7),GJ[Debit]))))</f>
        <v>0</v>
      </c>
      <c r="F30" s="245">
        <f t="array" ref="F30">((SUM(IF((CkDJ[Date]=$A$3)*(CkDJ[Account Code]=(TRIM($B30))),CkDJ[Credit])))+(SUM(IF((CsDJ[Date]=$A$3)*(CsDJ[Account Code]=(TRIM($B30))),CsDJ[Credit])))+(SUM(IF((CRDJ[Date]=$A$3)*(CRDJ[Account Code]=(TRIM($B30))),CRDJ[Credit])))+(SUM(IF((GJ[Date]=$A$3)*(GJ[Account Code]=(TRIM($B30))),GJ[Credit]))))-((SUM(IF((CkDJ[Date]=$A$3)*(CkDJ[Account Code]=(TRIM($B30))),CkDJ[Debit])))+(SUM(IF((CsDJ[Date]=$A$3)*(CsDJ[Account Code]=(TRIM($B30))),CsDJ[Debit])))+(SUM(IF((CRDJ[Date]=$A$3)*(CRDJ[Account Code]=(TRIM($B30))),CRDJ[Debit])))+(SUM(IF((GJ[Date]=$A$3)*(GJ[Account Code]=(TRIM($B30))),GJ[Debit]))))</f>
        <v>0</v>
      </c>
      <c r="G30" s="343">
        <f>E30+F30</f>
        <v>0</v>
      </c>
      <c r="H30" s="246">
        <f t="shared" si="4"/>
        <v>-5037078.0599999996</v>
      </c>
      <c r="I30" s="246">
        <f t="shared" si="3"/>
        <v>0</v>
      </c>
    </row>
    <row r="31" spans="1:9" hidden="1" x14ac:dyDescent="0.2">
      <c r="A31" s="247" t="s">
        <v>818</v>
      </c>
      <c r="B31" s="339" t="s">
        <v>145</v>
      </c>
      <c r="C31" s="245">
        <f t="array" ref="C31">SUM(IF((Budget[Account Code]=B31),(Budget[Amount])))</f>
        <v>0</v>
      </c>
      <c r="D31" s="245">
        <f t="array" ref="D31">SUM(IF((Budget[Account Code]=B31)*(Budget[Date]&lt;=$D$7),(Budget[Amount])))</f>
        <v>0</v>
      </c>
      <c r="E31" s="245">
        <f t="array" ref="E31">((SUM(IF((CkDJ[Account Code]=(TRIM($B31)))*(CkDJ[Date]&lt;=$E$7),CkDJ[Credit])))+(SUM(IF((CsDJ[Account Code]=(TRIM($B31)))*(CsDJ[Date]&lt;=$E$7),CsDJ[Credit])))+(SUM(IF((CRDJ[Account Code]=(TRIM($B31)))*(CRDJ[Date]&lt;=$E$7),CRDJ[Credit])))+(SUM(IF((GJ[Account Code]=(TRIM($B31)))*(GJ[Date]&lt;=$E$7),GJ[Credit]))))-((SUM(IF((CkDJ[Account Code]=(TRIM($B31)))*(CkDJ[Date]&lt;=$E$7),CkDJ[Debit])))+(SUM(IF((CsDJ[Account Code]=(TRIM($B31)))*(CsDJ[Date]&lt;=$E$7),CsDJ[Debit])))+(SUM(IF((CRDJ[Account Code]=(TRIM($B31)))*(CRDJ[Date]&lt;=$E$7),CRDJ[Debit])))+(SUM(IF((GJ[Account Code]=(TRIM($B31)))*(GJ[Date]&lt;=$E$7),GJ[Debit]))))</f>
        <v>0</v>
      </c>
      <c r="F31" s="245">
        <f t="array" ref="F31">((SUM(IF((CkDJ[Date]=$A$3)*(CkDJ[Account Code]=(TRIM($B31))),CkDJ[Credit])))+(SUM(IF((CsDJ[Date]=$A$3)*(CsDJ[Account Code]=(TRIM($B31))),CsDJ[Credit])))+(SUM(IF((CRDJ[Date]=$A$3)*(CRDJ[Account Code]=(TRIM($B31))),CRDJ[Credit])))+(SUM(IF((GJ[Date]=$A$3)*(GJ[Account Code]=(TRIM($B31))),GJ[Credit]))))-((SUM(IF((CkDJ[Date]=$A$3)*(CkDJ[Account Code]=(TRIM($B31))),CkDJ[Debit])))+(SUM(IF((CsDJ[Date]=$A$3)*(CsDJ[Account Code]=(TRIM($B31))),CsDJ[Debit])))+(SUM(IF((CRDJ[Date]=$A$3)*(CRDJ[Account Code]=(TRIM($B31))),CRDJ[Debit])))+(SUM(IF((GJ[Date]=$A$3)*(GJ[Account Code]=(TRIM($B31))),GJ[Debit]))))</f>
        <v>0</v>
      </c>
      <c r="G31" s="343">
        <f>E31+F31</f>
        <v>0</v>
      </c>
      <c r="H31" s="246">
        <f t="shared" si="4"/>
        <v>0</v>
      </c>
      <c r="I31" s="246">
        <f t="shared" si="3"/>
        <v>0</v>
      </c>
    </row>
    <row r="32" spans="1:9" x14ac:dyDescent="0.2">
      <c r="A32" s="241" t="s">
        <v>817</v>
      </c>
      <c r="B32" s="339"/>
      <c r="C32" s="248">
        <f>SUM(C33:C35)</f>
        <v>0</v>
      </c>
      <c r="D32" s="248">
        <f>SUM(D33:D35)</f>
        <v>0</v>
      </c>
      <c r="E32" s="248">
        <f>SUM(E33:E35)</f>
        <v>0</v>
      </c>
      <c r="F32" s="248">
        <f>SUM(F33:F35)</f>
        <v>0</v>
      </c>
      <c r="G32" s="248">
        <f>SUM(G33:G35)</f>
        <v>0</v>
      </c>
      <c r="H32" s="242">
        <f t="shared" si="4"/>
        <v>0</v>
      </c>
      <c r="I32" s="242">
        <f t="shared" si="3"/>
        <v>0</v>
      </c>
    </row>
    <row r="33" spans="1:9" hidden="1" x14ac:dyDescent="0.2">
      <c r="A33" s="272" t="s">
        <v>139</v>
      </c>
      <c r="B33" s="339" t="s">
        <v>130</v>
      </c>
      <c r="C33" s="245">
        <f t="array" ref="C33">SUM(IF((Budget[Account Code]=B33),(Budget[Amount])))</f>
        <v>0</v>
      </c>
      <c r="D33" s="245">
        <f t="array" ref="D33">SUM(IF((Budget[Account Code]=B33)*(Budget[Date]&lt;=$D$7),(Budget[Amount])))</f>
        <v>0</v>
      </c>
      <c r="E33" s="245">
        <f t="array" ref="E33">((SUM(IF((CkDJ[Account Code]=(TRIM($B33)))*(CkDJ[Date]&lt;=$E$7),CkDJ[Credit])))+(SUM(IF((CsDJ[Account Code]=(TRIM($B33)))*(CsDJ[Date]&lt;=$E$7),CsDJ[Credit])))+(SUM(IF((CRDJ[Account Code]=(TRIM($B33)))*(CRDJ[Date]&lt;=$E$7),CRDJ[Credit])))+(SUM(IF((GJ[Account Code]=(TRIM($B33)))*(GJ[Date]&lt;=$E$7),GJ[Credit]))))-((SUM(IF((CkDJ[Account Code]=(TRIM($B33)))*(CkDJ[Date]&lt;=$E$7),CkDJ[Debit])))+(SUM(IF((CsDJ[Account Code]=(TRIM($B33)))*(CsDJ[Date]&lt;=$E$7),CsDJ[Debit])))+(SUM(IF((CRDJ[Account Code]=(TRIM($B33)))*(CRDJ[Date]&lt;=$E$7),CRDJ[Debit])))+(SUM(IF((GJ[Account Code]=(TRIM($B33)))*(GJ[Date]&lt;=$E$7),GJ[Debit]))))</f>
        <v>0</v>
      </c>
      <c r="F33" s="245">
        <f t="array" ref="F33">((SUM(IF((CkDJ[Date]=$A$3)*(CkDJ[Account Code]=(TRIM($B33))),CkDJ[Credit])))+(SUM(IF((CsDJ[Date]=$A$3)*(CsDJ[Account Code]=(TRIM($B33))),CsDJ[Credit])))+(SUM(IF((CRDJ[Date]=$A$3)*(CRDJ[Account Code]=(TRIM($B33))),CRDJ[Credit])))+(SUM(IF((GJ[Date]=$A$3)*(GJ[Account Code]=(TRIM($B33))),GJ[Credit]))))-((SUM(IF((CkDJ[Date]=$A$3)*(CkDJ[Account Code]=(TRIM($B33))),CkDJ[Debit])))+(SUM(IF((CsDJ[Date]=$A$3)*(CsDJ[Account Code]=(TRIM($B33))),CsDJ[Debit])))+(SUM(IF((CRDJ[Date]=$A$3)*(CRDJ[Account Code]=(TRIM($B33))),CRDJ[Debit])))+(SUM(IF((GJ[Date]=$A$3)*(GJ[Account Code]=(TRIM($B33))),GJ[Debit]))))</f>
        <v>0</v>
      </c>
      <c r="G33" s="343">
        <f>E33+F33</f>
        <v>0</v>
      </c>
      <c r="H33" s="246">
        <f t="shared" si="4"/>
        <v>0</v>
      </c>
      <c r="I33" s="246">
        <f t="shared" si="3"/>
        <v>0</v>
      </c>
    </row>
    <row r="34" spans="1:9" hidden="1" x14ac:dyDescent="0.2">
      <c r="A34" s="272" t="s">
        <v>180</v>
      </c>
      <c r="B34" s="339" t="s">
        <v>141</v>
      </c>
      <c r="C34" s="245">
        <f t="array" ref="C34">SUM(IF((Budget[Account Code]=B34),(Budget[Amount])))</f>
        <v>0</v>
      </c>
      <c r="D34" s="245">
        <f t="array" ref="D34">SUM(IF((Budget[Account Code]=B34)*(Budget[Date]&lt;=$D$7),(Budget[Amount])))</f>
        <v>0</v>
      </c>
      <c r="E34" s="245">
        <f t="array" ref="E34">((SUM(IF((CkDJ[Account Code]=(TRIM($B34)))*(CkDJ[Date]&lt;=$E$7),CkDJ[Credit])))+(SUM(IF((CsDJ[Account Code]=(TRIM($B34)))*(CsDJ[Date]&lt;=$E$7),CsDJ[Credit])))+(SUM(IF((CRDJ[Account Code]=(TRIM($B34)))*(CRDJ[Date]&lt;=$E$7),CRDJ[Credit])))+(SUM(IF((GJ[Account Code]=(TRIM($B34)))*(GJ[Date]&lt;=$E$7),GJ[Credit]))))-((SUM(IF((CkDJ[Account Code]=(TRIM($B34)))*(CkDJ[Date]&lt;=$E$7),CkDJ[Debit])))+(SUM(IF((CsDJ[Account Code]=(TRIM($B34)))*(CsDJ[Date]&lt;=$E$7),CsDJ[Debit])))+(SUM(IF((CRDJ[Account Code]=(TRIM($B34)))*(CRDJ[Date]&lt;=$E$7),CRDJ[Debit])))+(SUM(IF((GJ[Account Code]=(TRIM($B34)))*(GJ[Date]&lt;=$E$7),GJ[Debit]))))</f>
        <v>0</v>
      </c>
      <c r="F34" s="245">
        <f t="array" ref="F34">((SUM(IF((CkDJ[Date]=$A$3)*(CkDJ[Account Code]=(TRIM($B34))),CkDJ[Credit])))+(SUM(IF((CsDJ[Date]=$A$3)*(CsDJ[Account Code]=(TRIM($B34))),CsDJ[Credit])))+(SUM(IF((CRDJ[Date]=$A$3)*(CRDJ[Account Code]=(TRIM($B34))),CRDJ[Credit])))+(SUM(IF((GJ[Date]=$A$3)*(GJ[Account Code]=(TRIM($B34))),GJ[Credit]))))-((SUM(IF((CkDJ[Date]=$A$3)*(CkDJ[Account Code]=(TRIM($B34))),CkDJ[Debit])))+(SUM(IF((CsDJ[Date]=$A$3)*(CsDJ[Account Code]=(TRIM($B34))),CsDJ[Debit])))+(SUM(IF((CRDJ[Date]=$A$3)*(CRDJ[Account Code]=(TRIM($B34))),CRDJ[Debit])))+(SUM(IF((GJ[Date]=$A$3)*(GJ[Account Code]=(TRIM($B34))),GJ[Debit]))))</f>
        <v>0</v>
      </c>
      <c r="G34" s="343">
        <f>E34+F34</f>
        <v>0</v>
      </c>
      <c r="H34" s="246">
        <f>G34-D34</f>
        <v>0</v>
      </c>
      <c r="I34" s="246">
        <f>IF((D34=0),0,G34/D34)</f>
        <v>0</v>
      </c>
    </row>
    <row r="35" spans="1:9" hidden="1" x14ac:dyDescent="0.2">
      <c r="A35" s="272" t="s">
        <v>181</v>
      </c>
      <c r="B35" s="339" t="s">
        <v>142</v>
      </c>
      <c r="C35" s="245">
        <f t="array" ref="C35">SUM(IF((Budget[Account Code]=B35),(Budget[Amount])))</f>
        <v>0</v>
      </c>
      <c r="D35" s="245">
        <f t="array" ref="D35">SUM(IF((Budget[Account Code]=B35)*(Budget[Date]&lt;=$D$7),(Budget[Amount])))</f>
        <v>0</v>
      </c>
      <c r="E35" s="245">
        <f t="array" ref="E35">((SUM(IF((CkDJ[Account Code]=(TRIM($B35)))*(CkDJ[Date]&lt;=$E$7),CkDJ[Credit])))+(SUM(IF((CsDJ[Account Code]=(TRIM($B35)))*(CsDJ[Date]&lt;=$E$7),CsDJ[Credit])))+(SUM(IF((CRDJ[Account Code]=(TRIM($B35)))*(CRDJ[Date]&lt;=$E$7),CRDJ[Credit])))+(SUM(IF((GJ[Account Code]=(TRIM($B35)))*(GJ[Date]&lt;=$E$7),GJ[Credit]))))-((SUM(IF((CkDJ[Account Code]=(TRIM($B35)))*(CkDJ[Date]&lt;=$E$7),CkDJ[Debit])))+(SUM(IF((CsDJ[Account Code]=(TRIM($B35)))*(CsDJ[Date]&lt;=$E$7),CsDJ[Debit])))+(SUM(IF((CRDJ[Account Code]=(TRIM($B35)))*(CRDJ[Date]&lt;=$E$7),CRDJ[Debit])))+(SUM(IF((GJ[Account Code]=(TRIM($B35)))*(GJ[Date]&lt;=$E$7),GJ[Debit]))))</f>
        <v>0</v>
      </c>
      <c r="F35" s="245">
        <f t="array" ref="F35">((SUM(IF((CkDJ[Date]=$A$3)*(CkDJ[Account Code]=(TRIM($B35))),CkDJ[Credit])))+(SUM(IF((CsDJ[Date]=$A$3)*(CsDJ[Account Code]=(TRIM($B35))),CsDJ[Credit])))+(SUM(IF((CRDJ[Date]=$A$3)*(CRDJ[Account Code]=(TRIM($B35))),CRDJ[Credit])))+(SUM(IF((GJ[Date]=$A$3)*(GJ[Account Code]=(TRIM($B35))),GJ[Credit]))))-((SUM(IF((CkDJ[Date]=$A$3)*(CkDJ[Account Code]=(TRIM($B35))),CkDJ[Debit])))+(SUM(IF((CsDJ[Date]=$A$3)*(CsDJ[Account Code]=(TRIM($B35))),CsDJ[Debit])))+(SUM(IF((CRDJ[Date]=$A$3)*(CRDJ[Account Code]=(TRIM($B35))),CRDJ[Debit])))+(SUM(IF((GJ[Date]=$A$3)*(GJ[Account Code]=(TRIM($B35))),GJ[Debit]))))</f>
        <v>0</v>
      </c>
      <c r="G35" s="343">
        <f>E35+F35</f>
        <v>0</v>
      </c>
      <c r="H35" s="246">
        <f t="shared" si="4"/>
        <v>0</v>
      </c>
      <c r="I35" s="246">
        <f t="shared" si="3"/>
        <v>0</v>
      </c>
    </row>
    <row r="36" spans="1:9" x14ac:dyDescent="0.2">
      <c r="A36" s="241" t="s">
        <v>816</v>
      </c>
      <c r="B36" s="337"/>
      <c r="C36" s="248">
        <f>SUM(C37:C45)</f>
        <v>5904000</v>
      </c>
      <c r="D36" s="248">
        <f>SUM(D37:D45)</f>
        <v>5904000</v>
      </c>
      <c r="E36" s="248">
        <f>SUM(E37:E45)</f>
        <v>0</v>
      </c>
      <c r="F36" s="248">
        <f>SUM(F37:F45)</f>
        <v>0</v>
      </c>
      <c r="G36" s="248">
        <f>SUM(G37:G45)</f>
        <v>0</v>
      </c>
      <c r="H36" s="242">
        <f t="shared" si="4"/>
        <v>-5904000</v>
      </c>
      <c r="I36" s="242">
        <f t="shared" si="3"/>
        <v>0</v>
      </c>
    </row>
    <row r="37" spans="1:9" hidden="1" x14ac:dyDescent="0.2">
      <c r="A37" s="272" t="s">
        <v>186</v>
      </c>
      <c r="B37" s="339" t="s">
        <v>150</v>
      </c>
      <c r="C37" s="245">
        <f t="array" ref="C37">SUM(IF((Budget[Account Code]=B37),(Budget[Amount])))</f>
        <v>20000</v>
      </c>
      <c r="D37" s="245">
        <f t="array" ref="D37">SUM(IF((Budget[Account Code]=B37)*(Budget[Date]&lt;=$D$7),(Budget[Amount])))</f>
        <v>20000</v>
      </c>
      <c r="E37" s="245">
        <f t="array" ref="E37">((SUM(IF((CkDJ[Account Code]=(TRIM($B37)))*(CkDJ[Date]&lt;=$E$7),CkDJ[Credit])))+(SUM(IF((CsDJ[Account Code]=(TRIM($B37)))*(CsDJ[Date]&lt;=$E$7),CsDJ[Credit])))+(SUM(IF((CRDJ[Account Code]=(TRIM($B37)))*(CRDJ[Date]&lt;=$E$7),CRDJ[Credit])))+(SUM(IF((GJ[Account Code]=(TRIM($B37)))*(GJ[Date]&lt;=$E$7),GJ[Credit]))))-((SUM(IF((CkDJ[Account Code]=(TRIM($B37)))*(CkDJ[Date]&lt;=$E$7),CkDJ[Debit])))+(SUM(IF((CsDJ[Account Code]=(TRIM($B37)))*(CsDJ[Date]&lt;=$E$7),CsDJ[Debit])))+(SUM(IF((CRDJ[Account Code]=(TRIM($B37)))*(CRDJ[Date]&lt;=$E$7),CRDJ[Debit])))+(SUM(IF((GJ[Account Code]=(TRIM($B37)))*(GJ[Date]&lt;=$E$7),GJ[Debit]))))</f>
        <v>0</v>
      </c>
      <c r="F37" s="245">
        <f t="array" ref="F37">((SUM(IF((CkDJ[Date]=$A$3)*(CkDJ[Account Code]=(TRIM($B37))),CkDJ[Credit])))+(SUM(IF((CsDJ[Date]=$A$3)*(CsDJ[Account Code]=(TRIM($B37))),CsDJ[Credit])))+(SUM(IF((CRDJ[Date]=$A$3)*(CRDJ[Account Code]=(TRIM($B37))),CRDJ[Credit])))+(SUM(IF((GJ[Date]=$A$3)*(GJ[Account Code]=(TRIM($B37))),GJ[Credit]))))-((SUM(IF((CkDJ[Date]=$A$3)*(CkDJ[Account Code]=(TRIM($B37))),CkDJ[Debit])))+(SUM(IF((CsDJ[Date]=$A$3)*(CsDJ[Account Code]=(TRIM($B37))),CsDJ[Debit])))+(SUM(IF((CRDJ[Date]=$A$3)*(CRDJ[Account Code]=(TRIM($B37))),CRDJ[Debit])))+(SUM(IF((GJ[Date]=$A$3)*(GJ[Account Code]=(TRIM($B37))),GJ[Debit]))))</f>
        <v>0</v>
      </c>
      <c r="G37" s="343">
        <f t="shared" ref="G37:G45" si="5">E37+F37</f>
        <v>0</v>
      </c>
      <c r="H37" s="246">
        <f t="shared" si="4"/>
        <v>-20000</v>
      </c>
      <c r="I37" s="246">
        <f t="shared" si="3"/>
        <v>0</v>
      </c>
    </row>
    <row r="38" spans="1:9" hidden="1" x14ac:dyDescent="0.2">
      <c r="A38" s="272" t="s">
        <v>187</v>
      </c>
      <c r="B38" s="339" t="s">
        <v>153</v>
      </c>
      <c r="C38" s="245">
        <f t="array" ref="C38">SUM(IF((Budget[Account Code]=B38),(Budget[Amount])))</f>
        <v>0</v>
      </c>
      <c r="D38" s="245">
        <f t="array" ref="D38">SUM(IF((Budget[Account Code]=B38)*(Budget[Date]&lt;=$D$7),(Budget[Amount])))</f>
        <v>0</v>
      </c>
      <c r="E38" s="245">
        <f t="array" ref="E38">((SUM(IF((CkDJ[Account Code]=(TRIM($B38)))*(CkDJ[Date]&lt;=$E$7),CkDJ[Credit])))+(SUM(IF((CsDJ[Account Code]=(TRIM($B38)))*(CsDJ[Date]&lt;=$E$7),CsDJ[Credit])))+(SUM(IF((CRDJ[Account Code]=(TRIM($B38)))*(CRDJ[Date]&lt;=$E$7),CRDJ[Credit])))+(SUM(IF((GJ[Account Code]=(TRIM($B38)))*(GJ[Date]&lt;=$E$7),GJ[Credit]))))-((SUM(IF((CkDJ[Account Code]=(TRIM($B38)))*(CkDJ[Date]&lt;=$E$7),CkDJ[Debit])))+(SUM(IF((CsDJ[Account Code]=(TRIM($B38)))*(CsDJ[Date]&lt;=$E$7),CsDJ[Debit])))+(SUM(IF((CRDJ[Account Code]=(TRIM($B38)))*(CRDJ[Date]&lt;=$E$7),CRDJ[Debit])))+(SUM(IF((GJ[Account Code]=(TRIM($B38)))*(GJ[Date]&lt;=$E$7),GJ[Debit]))))</f>
        <v>0</v>
      </c>
      <c r="F38" s="245">
        <f t="array" ref="F38">((SUM(IF((CkDJ[Date]=$A$3)*(CkDJ[Account Code]=(TRIM($B38))),CkDJ[Credit])))+(SUM(IF((CsDJ[Date]=$A$3)*(CsDJ[Account Code]=(TRIM($B38))),CsDJ[Credit])))+(SUM(IF((CRDJ[Date]=$A$3)*(CRDJ[Account Code]=(TRIM($B38))),CRDJ[Credit])))+(SUM(IF((GJ[Date]=$A$3)*(GJ[Account Code]=(TRIM($B38))),GJ[Credit]))))-((SUM(IF((CkDJ[Date]=$A$3)*(CkDJ[Account Code]=(TRIM($B38))),CkDJ[Debit])))+(SUM(IF((CsDJ[Date]=$A$3)*(CsDJ[Account Code]=(TRIM($B38))),CsDJ[Debit])))+(SUM(IF((CRDJ[Date]=$A$3)*(CRDJ[Account Code]=(TRIM($B38))),CRDJ[Debit])))+(SUM(IF((GJ[Date]=$A$3)*(GJ[Account Code]=(TRIM($B38))),GJ[Debit]))))</f>
        <v>0</v>
      </c>
      <c r="G38" s="343">
        <f t="shared" si="5"/>
        <v>0</v>
      </c>
      <c r="H38" s="246">
        <f t="shared" si="4"/>
        <v>0</v>
      </c>
      <c r="I38" s="246">
        <f t="shared" si="3"/>
        <v>0</v>
      </c>
    </row>
    <row r="39" spans="1:9" hidden="1" x14ac:dyDescent="0.2">
      <c r="A39" s="272" t="s">
        <v>188</v>
      </c>
      <c r="B39" s="339" t="s">
        <v>154</v>
      </c>
      <c r="C39" s="245">
        <f t="array" ref="C39">SUM(IF((Budget[Account Code]=B39),(Budget[Amount])))</f>
        <v>0</v>
      </c>
      <c r="D39" s="245">
        <f t="array" ref="D39">SUM(IF((Budget[Account Code]=B39)*(Budget[Date]&lt;=$D$7),(Budget[Amount])))</f>
        <v>0</v>
      </c>
      <c r="E39" s="245">
        <f t="array" ref="E39">((SUM(IF((CkDJ[Account Code]=(TRIM($B39)))*(CkDJ[Date]&lt;=$E$7),CkDJ[Credit])))+(SUM(IF((CsDJ[Account Code]=(TRIM($B39)))*(CsDJ[Date]&lt;=$E$7),CsDJ[Credit])))+(SUM(IF((CRDJ[Account Code]=(TRIM($B39)))*(CRDJ[Date]&lt;=$E$7),CRDJ[Credit])))+(SUM(IF((GJ[Account Code]=(TRIM($B39)))*(GJ[Date]&lt;=$E$7),GJ[Credit]))))-((SUM(IF((CkDJ[Account Code]=(TRIM($B39)))*(CkDJ[Date]&lt;=$E$7),CkDJ[Debit])))+(SUM(IF((CsDJ[Account Code]=(TRIM($B39)))*(CsDJ[Date]&lt;=$E$7),CsDJ[Debit])))+(SUM(IF((CRDJ[Account Code]=(TRIM($B39)))*(CRDJ[Date]&lt;=$E$7),CRDJ[Debit])))+(SUM(IF((GJ[Account Code]=(TRIM($B39)))*(GJ[Date]&lt;=$E$7),GJ[Debit]))))</f>
        <v>0</v>
      </c>
      <c r="F39" s="245">
        <f t="array" ref="F39">((SUM(IF((CkDJ[Date]=$A$3)*(CkDJ[Account Code]=(TRIM($B39))),CkDJ[Credit])))+(SUM(IF((CsDJ[Date]=$A$3)*(CsDJ[Account Code]=(TRIM($B39))),CsDJ[Credit])))+(SUM(IF((CRDJ[Date]=$A$3)*(CRDJ[Account Code]=(TRIM($B39))),CRDJ[Credit])))+(SUM(IF((GJ[Date]=$A$3)*(GJ[Account Code]=(TRIM($B39))),GJ[Credit]))))-((SUM(IF((CkDJ[Date]=$A$3)*(CkDJ[Account Code]=(TRIM($B39))),CkDJ[Debit])))+(SUM(IF((CsDJ[Date]=$A$3)*(CsDJ[Account Code]=(TRIM($B39))),CsDJ[Debit])))+(SUM(IF((CRDJ[Date]=$A$3)*(CRDJ[Account Code]=(TRIM($B39))),CRDJ[Debit])))+(SUM(IF((GJ[Date]=$A$3)*(GJ[Account Code]=(TRIM($B39))),GJ[Debit]))))</f>
        <v>0</v>
      </c>
      <c r="G39" s="343">
        <f t="shared" si="5"/>
        <v>0</v>
      </c>
      <c r="H39" s="246">
        <f t="shared" si="4"/>
        <v>0</v>
      </c>
      <c r="I39" s="246">
        <f t="shared" si="3"/>
        <v>0</v>
      </c>
    </row>
    <row r="40" spans="1:9" hidden="1" x14ac:dyDescent="0.2">
      <c r="A40" s="272" t="s">
        <v>189</v>
      </c>
      <c r="B40" s="339" t="s">
        <v>155</v>
      </c>
      <c r="C40" s="245">
        <f t="array" ref="C40">SUM(IF((Budget[Account Code]=B40),(Budget[Amount])))</f>
        <v>780000</v>
      </c>
      <c r="D40" s="245">
        <f t="array" ref="D40">SUM(IF((Budget[Account Code]=B40)*(Budget[Date]&lt;=$D$7),(Budget[Amount])))</f>
        <v>780000</v>
      </c>
      <c r="E40" s="245">
        <f t="array" ref="E40">((SUM(IF((CkDJ[Account Code]=(TRIM($B40)))*(CkDJ[Date]&lt;=$E$7),CkDJ[Credit])))+(SUM(IF((CsDJ[Account Code]=(TRIM($B40)))*(CsDJ[Date]&lt;=$E$7),CsDJ[Credit])))+(SUM(IF((CRDJ[Account Code]=(TRIM($B40)))*(CRDJ[Date]&lt;=$E$7),CRDJ[Credit])))+(SUM(IF((GJ[Account Code]=(TRIM($B40)))*(GJ[Date]&lt;=$E$7),GJ[Credit]))))-((SUM(IF((CkDJ[Account Code]=(TRIM($B40)))*(CkDJ[Date]&lt;=$E$7),CkDJ[Debit])))+(SUM(IF((CsDJ[Account Code]=(TRIM($B40)))*(CsDJ[Date]&lt;=$E$7),CsDJ[Debit])))+(SUM(IF((CRDJ[Account Code]=(TRIM($B40)))*(CRDJ[Date]&lt;=$E$7),CRDJ[Debit])))+(SUM(IF((GJ[Account Code]=(TRIM($B40)))*(GJ[Date]&lt;=$E$7),GJ[Debit]))))</f>
        <v>0</v>
      </c>
      <c r="F40" s="245">
        <f t="array" ref="F40">((SUM(IF((CkDJ[Date]=$A$3)*(CkDJ[Account Code]=(TRIM($B40))),CkDJ[Credit])))+(SUM(IF((CsDJ[Date]=$A$3)*(CsDJ[Account Code]=(TRIM($B40))),CsDJ[Credit])))+(SUM(IF((CRDJ[Date]=$A$3)*(CRDJ[Account Code]=(TRIM($B40))),CRDJ[Credit])))+(SUM(IF((GJ[Date]=$A$3)*(GJ[Account Code]=(TRIM($B40))),GJ[Credit]))))-((SUM(IF((CkDJ[Date]=$A$3)*(CkDJ[Account Code]=(TRIM($B40))),CkDJ[Debit])))+(SUM(IF((CsDJ[Date]=$A$3)*(CsDJ[Account Code]=(TRIM($B40))),CsDJ[Debit])))+(SUM(IF((CRDJ[Date]=$A$3)*(CRDJ[Account Code]=(TRIM($B40))),CRDJ[Debit])))+(SUM(IF((GJ[Date]=$A$3)*(GJ[Account Code]=(TRIM($B40))),GJ[Debit]))))</f>
        <v>0</v>
      </c>
      <c r="G40" s="343">
        <f t="shared" si="5"/>
        <v>0</v>
      </c>
      <c r="H40" s="246">
        <f t="shared" si="4"/>
        <v>-780000</v>
      </c>
      <c r="I40" s="246">
        <f t="shared" si="3"/>
        <v>0</v>
      </c>
    </row>
    <row r="41" spans="1:9" hidden="1" x14ac:dyDescent="0.2">
      <c r="A41" s="272" t="s">
        <v>1270</v>
      </c>
      <c r="B41" s="339" t="s">
        <v>156</v>
      </c>
      <c r="C41" s="245">
        <f t="array" ref="C41">SUM(IF((Budget[Account Code]=B41),(Budget[Amount])))</f>
        <v>0</v>
      </c>
      <c r="D41" s="245">
        <f t="array" ref="D41">SUM(IF((Budget[Account Code]=B41)*(Budget[Date]&lt;=$D$7),(Budget[Amount])))</f>
        <v>0</v>
      </c>
      <c r="E41" s="245">
        <f t="array" ref="E41">((SUM(IF((CkDJ[Account Code]=(TRIM($B41)))*(CkDJ[Date]&lt;=$E$7),CkDJ[Credit])))+(SUM(IF((CsDJ[Account Code]=(TRIM($B41)))*(CsDJ[Date]&lt;=$E$7),CsDJ[Credit])))+(SUM(IF((CRDJ[Account Code]=(TRIM($B41)))*(CRDJ[Date]&lt;=$E$7),CRDJ[Credit])))+(SUM(IF((GJ[Account Code]=(TRIM($B41)))*(GJ[Date]&lt;=$E$7),GJ[Credit]))))-((SUM(IF((CkDJ[Account Code]=(TRIM($B41)))*(CkDJ[Date]&lt;=$E$7),CkDJ[Debit])))+(SUM(IF((CsDJ[Account Code]=(TRIM($B41)))*(CsDJ[Date]&lt;=$E$7),CsDJ[Debit])))+(SUM(IF((CRDJ[Account Code]=(TRIM($B41)))*(CRDJ[Date]&lt;=$E$7),CRDJ[Debit])))+(SUM(IF((GJ[Account Code]=(TRIM($B41)))*(GJ[Date]&lt;=$E$7),GJ[Debit]))))</f>
        <v>0</v>
      </c>
      <c r="F41" s="245">
        <f t="array" ref="F41">((SUM(IF((CkDJ[Date]=$A$3)*(CkDJ[Account Code]=(TRIM($B41))),CkDJ[Credit])))+(SUM(IF((CsDJ[Date]=$A$3)*(CsDJ[Account Code]=(TRIM($B41))),CsDJ[Credit])))+(SUM(IF((CRDJ[Date]=$A$3)*(CRDJ[Account Code]=(TRIM($B41))),CRDJ[Credit])))+(SUM(IF((GJ[Date]=$A$3)*(GJ[Account Code]=(TRIM($B41))),GJ[Credit]))))-((SUM(IF((CkDJ[Date]=$A$3)*(CkDJ[Account Code]=(TRIM($B41))),CkDJ[Debit])))+(SUM(IF((CsDJ[Date]=$A$3)*(CsDJ[Account Code]=(TRIM($B41))),CsDJ[Debit])))+(SUM(IF((CRDJ[Date]=$A$3)*(CRDJ[Account Code]=(TRIM($B41))),CRDJ[Debit])))+(SUM(IF((GJ[Date]=$A$3)*(GJ[Account Code]=(TRIM($B41))),GJ[Debit]))))</f>
        <v>0</v>
      </c>
      <c r="G41" s="343">
        <f t="shared" si="5"/>
        <v>0</v>
      </c>
      <c r="H41" s="246">
        <f t="shared" si="4"/>
        <v>0</v>
      </c>
      <c r="I41" s="246">
        <f t="shared" si="3"/>
        <v>0</v>
      </c>
    </row>
    <row r="42" spans="1:9" hidden="1" x14ac:dyDescent="0.2">
      <c r="A42" s="272" t="s">
        <v>190</v>
      </c>
      <c r="B42" s="339" t="s">
        <v>157</v>
      </c>
      <c r="C42" s="245">
        <f t="array" ref="C42">SUM(IF((Budget[Account Code]=B42),(Budget[Amount])))</f>
        <v>0</v>
      </c>
      <c r="D42" s="245">
        <f t="array" ref="D42">SUM(IF((Budget[Account Code]=B42)*(Budget[Date]&lt;=$D$7),(Budget[Amount])))</f>
        <v>0</v>
      </c>
      <c r="E42" s="245">
        <f t="array" ref="E42">((SUM(IF((CkDJ[Account Code]=(TRIM($B42)))*(CkDJ[Date]&lt;=$E$7),CkDJ[Credit])))+(SUM(IF((CsDJ[Account Code]=(TRIM($B42)))*(CsDJ[Date]&lt;=$E$7),CsDJ[Credit])))+(SUM(IF((CRDJ[Account Code]=(TRIM($B42)))*(CRDJ[Date]&lt;=$E$7),CRDJ[Credit])))+(SUM(IF((GJ[Account Code]=(TRIM($B42)))*(GJ[Date]&lt;=$E$7),GJ[Credit]))))-((SUM(IF((CkDJ[Account Code]=(TRIM($B42)))*(CkDJ[Date]&lt;=$E$7),CkDJ[Debit])))+(SUM(IF((CsDJ[Account Code]=(TRIM($B42)))*(CsDJ[Date]&lt;=$E$7),CsDJ[Debit])))+(SUM(IF((CRDJ[Account Code]=(TRIM($B42)))*(CRDJ[Date]&lt;=$E$7),CRDJ[Debit])))+(SUM(IF((GJ[Account Code]=(TRIM($B42)))*(GJ[Date]&lt;=$E$7),GJ[Debit]))))</f>
        <v>0</v>
      </c>
      <c r="F42" s="245">
        <f t="array" ref="F42">((SUM(IF((CkDJ[Date]=$A$3)*(CkDJ[Account Code]=(TRIM($B42))),CkDJ[Credit])))+(SUM(IF((CsDJ[Date]=$A$3)*(CsDJ[Account Code]=(TRIM($B42))),CsDJ[Credit])))+(SUM(IF((CRDJ[Date]=$A$3)*(CRDJ[Account Code]=(TRIM($B42))),CRDJ[Credit])))+(SUM(IF((GJ[Date]=$A$3)*(GJ[Account Code]=(TRIM($B42))),GJ[Credit]))))-((SUM(IF((CkDJ[Date]=$A$3)*(CkDJ[Account Code]=(TRIM($B42))),CkDJ[Debit])))+(SUM(IF((CsDJ[Date]=$A$3)*(CsDJ[Account Code]=(TRIM($B42))),CsDJ[Debit])))+(SUM(IF((CRDJ[Date]=$A$3)*(CRDJ[Account Code]=(TRIM($B42))),CRDJ[Debit])))+(SUM(IF((GJ[Date]=$A$3)*(GJ[Account Code]=(TRIM($B42))),GJ[Debit]))))</f>
        <v>0</v>
      </c>
      <c r="G42" s="343">
        <f>E42+F42</f>
        <v>0</v>
      </c>
      <c r="H42" s="246">
        <f>G42-D42</f>
        <v>0</v>
      </c>
      <c r="I42" s="246">
        <f>IF((D42=0),0,G42/D42)</f>
        <v>0</v>
      </c>
    </row>
    <row r="43" spans="1:9" hidden="1" x14ac:dyDescent="0.2">
      <c r="A43" s="272" t="s">
        <v>192</v>
      </c>
      <c r="B43" s="339" t="s">
        <v>159</v>
      </c>
      <c r="C43" s="245">
        <f t="array" ref="C43">SUM(IF((Budget[Account Code]=B43),(Budget[Amount])))</f>
        <v>0</v>
      </c>
      <c r="D43" s="245">
        <f t="array" ref="D43">SUM(IF((Budget[Account Code]=B43)*(Budget[Date]&lt;=$D$7),(Budget[Amount])))</f>
        <v>0</v>
      </c>
      <c r="E43" s="245">
        <f t="array" ref="E43">((SUM(IF((CkDJ[Account Code]=(TRIM($B43)))*(CkDJ[Date]&lt;=$E$7),CkDJ[Credit])))+(SUM(IF((CsDJ[Account Code]=(TRIM($B43)))*(CsDJ[Date]&lt;=$E$7),CsDJ[Credit])))+(SUM(IF((CRDJ[Account Code]=(TRIM($B43)))*(CRDJ[Date]&lt;=$E$7),CRDJ[Credit])))+(SUM(IF((GJ[Account Code]=(TRIM($B43)))*(GJ[Date]&lt;=$E$7),GJ[Credit]))))-((SUM(IF((CkDJ[Account Code]=(TRIM($B43)))*(CkDJ[Date]&lt;=$E$7),CkDJ[Debit])))+(SUM(IF((CsDJ[Account Code]=(TRIM($B43)))*(CsDJ[Date]&lt;=$E$7),CsDJ[Debit])))+(SUM(IF((CRDJ[Account Code]=(TRIM($B43)))*(CRDJ[Date]&lt;=$E$7),CRDJ[Debit])))+(SUM(IF((GJ[Account Code]=(TRIM($B43)))*(GJ[Date]&lt;=$E$7),GJ[Debit]))))</f>
        <v>0</v>
      </c>
      <c r="F43" s="245">
        <f t="array" ref="F43">((SUM(IF((CkDJ[Date]=$A$3)*(CkDJ[Account Code]=(TRIM($B43))),CkDJ[Credit])))+(SUM(IF((CsDJ[Date]=$A$3)*(CsDJ[Account Code]=(TRIM($B43))),CsDJ[Credit])))+(SUM(IF((CRDJ[Date]=$A$3)*(CRDJ[Account Code]=(TRIM($B43))),CRDJ[Credit])))+(SUM(IF((GJ[Date]=$A$3)*(GJ[Account Code]=(TRIM($B43))),GJ[Credit]))))-((SUM(IF((CkDJ[Date]=$A$3)*(CkDJ[Account Code]=(TRIM($B43))),CkDJ[Debit])))+(SUM(IF((CsDJ[Date]=$A$3)*(CsDJ[Account Code]=(TRIM($B43))),CsDJ[Debit])))+(SUM(IF((CRDJ[Date]=$A$3)*(CRDJ[Account Code]=(TRIM($B43))),CRDJ[Debit])))+(SUM(IF((GJ[Date]=$A$3)*(GJ[Account Code]=(TRIM($B43))),GJ[Debit]))))</f>
        <v>0</v>
      </c>
      <c r="G43" s="343">
        <f t="shared" si="5"/>
        <v>0</v>
      </c>
      <c r="H43" s="246">
        <f t="shared" si="4"/>
        <v>0</v>
      </c>
      <c r="I43" s="246">
        <f t="shared" si="3"/>
        <v>0</v>
      </c>
    </row>
    <row r="44" spans="1:9" hidden="1" x14ac:dyDescent="0.2">
      <c r="A44" s="272" t="s">
        <v>193</v>
      </c>
      <c r="B44" s="339" t="s">
        <v>160</v>
      </c>
      <c r="C44" s="245">
        <f t="array" ref="C44">SUM(IF((Budget[Account Code]=B44),(Budget[Amount])))</f>
        <v>5104000</v>
      </c>
      <c r="D44" s="245">
        <f t="array" ref="D44">SUM(IF((Budget[Account Code]=B44)*(Budget[Date]&lt;=$D$7),(Budget[Amount])))</f>
        <v>5104000</v>
      </c>
      <c r="E44" s="245">
        <f t="array" ref="E44">((SUM(IF((CkDJ[Account Code]=(TRIM($B44)))*(CkDJ[Date]&lt;=$E$7),CkDJ[Credit])))+(SUM(IF((CsDJ[Account Code]=(TRIM($B44)))*(CsDJ[Date]&lt;=$E$7),CsDJ[Credit])))+(SUM(IF((CRDJ[Account Code]=(TRIM($B44)))*(CRDJ[Date]&lt;=$E$7),CRDJ[Credit])))+(SUM(IF((GJ[Account Code]=(TRIM($B44)))*(GJ[Date]&lt;=$E$7),GJ[Credit]))))-((SUM(IF((CkDJ[Account Code]=(TRIM($B44)))*(CkDJ[Date]&lt;=$E$7),CkDJ[Debit])))+(SUM(IF((CsDJ[Account Code]=(TRIM($B44)))*(CsDJ[Date]&lt;=$E$7),CsDJ[Debit])))+(SUM(IF((CRDJ[Account Code]=(TRIM($B44)))*(CRDJ[Date]&lt;=$E$7),CRDJ[Debit])))+(SUM(IF((GJ[Account Code]=(TRIM($B44)))*(GJ[Date]&lt;=$E$7),GJ[Debit]))))</f>
        <v>0</v>
      </c>
      <c r="F44" s="245">
        <f t="array" ref="F44">((SUM(IF((CkDJ[Date]=$A$3)*(CkDJ[Account Code]=(TRIM($B44))),CkDJ[Credit])))+(SUM(IF((CsDJ[Date]=$A$3)*(CsDJ[Account Code]=(TRIM($B44))),CsDJ[Credit])))+(SUM(IF((CRDJ[Date]=$A$3)*(CRDJ[Account Code]=(TRIM($B44))),CRDJ[Credit])))+(SUM(IF((GJ[Date]=$A$3)*(GJ[Account Code]=(TRIM($B44))),GJ[Credit]))))-((SUM(IF((CkDJ[Date]=$A$3)*(CkDJ[Account Code]=(TRIM($B44))),CkDJ[Debit])))+(SUM(IF((CsDJ[Date]=$A$3)*(CsDJ[Account Code]=(TRIM($B44))),CsDJ[Debit])))+(SUM(IF((CRDJ[Date]=$A$3)*(CRDJ[Account Code]=(TRIM($B44))),CRDJ[Debit])))+(SUM(IF((GJ[Date]=$A$3)*(GJ[Account Code]=(TRIM($B44))),GJ[Debit]))))</f>
        <v>0</v>
      </c>
      <c r="G44" s="343">
        <f t="shared" si="5"/>
        <v>0</v>
      </c>
      <c r="H44" s="246">
        <f t="shared" si="4"/>
        <v>-5104000</v>
      </c>
      <c r="I44" s="246">
        <f t="shared" si="3"/>
        <v>0</v>
      </c>
    </row>
    <row r="45" spans="1:9" hidden="1" x14ac:dyDescent="0.2">
      <c r="A45" s="272" t="s">
        <v>191</v>
      </c>
      <c r="B45" s="339" t="s">
        <v>161</v>
      </c>
      <c r="C45" s="245">
        <f t="array" ref="C45">SUM(IF((Budget[Account Code]=B45),(Budget[Amount])))</f>
        <v>0</v>
      </c>
      <c r="D45" s="245">
        <f t="array" ref="D45">SUM(IF((Budget[Account Code]=B45)*(Budget[Date]&lt;=$D$7),(Budget[Amount])))</f>
        <v>0</v>
      </c>
      <c r="E45" s="245">
        <f t="array" ref="E45">((SUM(IF((CkDJ[Account Code]=(TRIM($B45)))*(CkDJ[Date]&lt;=$E$7),CkDJ[Credit])))+(SUM(IF((CsDJ[Account Code]=(TRIM($B45)))*(CsDJ[Date]&lt;=$E$7),CsDJ[Credit])))+(SUM(IF((CRDJ[Account Code]=(TRIM($B45)))*(CRDJ[Date]&lt;=$E$7),CRDJ[Credit])))+(SUM(IF((GJ[Account Code]=(TRIM($B45)))*(GJ[Date]&lt;=$E$7),GJ[Credit]))))-((SUM(IF((CkDJ[Account Code]=(TRIM($B45)))*(CkDJ[Date]&lt;=$E$7),CkDJ[Debit])))+(SUM(IF((CsDJ[Account Code]=(TRIM($B45)))*(CsDJ[Date]&lt;=$E$7),CsDJ[Debit])))+(SUM(IF((CRDJ[Account Code]=(TRIM($B45)))*(CRDJ[Date]&lt;=$E$7),CRDJ[Debit])))+(SUM(IF((GJ[Account Code]=(TRIM($B45)))*(GJ[Date]&lt;=$E$7),GJ[Debit]))))</f>
        <v>0</v>
      </c>
      <c r="F45" s="245">
        <f t="array" ref="F45">((SUM(IF((CkDJ[Date]=$A$3)*(CkDJ[Account Code]=(TRIM($B45))),CkDJ[Credit])))+(SUM(IF((CsDJ[Date]=$A$3)*(CsDJ[Account Code]=(TRIM($B45))),CsDJ[Credit])))+(SUM(IF((CRDJ[Date]=$A$3)*(CRDJ[Account Code]=(TRIM($B45))),CRDJ[Credit])))+(SUM(IF((GJ[Date]=$A$3)*(GJ[Account Code]=(TRIM($B45))),GJ[Credit]))))-((SUM(IF((CkDJ[Date]=$A$3)*(CkDJ[Account Code]=(TRIM($B45))),CkDJ[Debit])))+(SUM(IF((CsDJ[Date]=$A$3)*(CsDJ[Account Code]=(TRIM($B45))),CsDJ[Debit])))+(SUM(IF((CRDJ[Date]=$A$3)*(CRDJ[Account Code]=(TRIM($B45))),CRDJ[Debit])))+(SUM(IF((GJ[Date]=$A$3)*(GJ[Account Code]=(TRIM($B45))),GJ[Debit]))))</f>
        <v>0</v>
      </c>
      <c r="G45" s="343">
        <f t="shared" si="5"/>
        <v>0</v>
      </c>
      <c r="H45" s="246">
        <f t="shared" si="4"/>
        <v>0</v>
      </c>
      <c r="I45" s="246">
        <f t="shared" si="3"/>
        <v>0</v>
      </c>
    </row>
    <row r="46" spans="1:9" x14ac:dyDescent="0.2">
      <c r="A46" s="241" t="s">
        <v>815</v>
      </c>
      <c r="B46" s="337"/>
      <c r="C46" s="248"/>
      <c r="D46" s="248"/>
      <c r="E46" s="344"/>
      <c r="F46" s="248"/>
      <c r="G46" s="343"/>
      <c r="H46" s="242"/>
      <c r="I46" s="242"/>
    </row>
    <row r="47" spans="1:9" x14ac:dyDescent="0.2">
      <c r="A47" s="249" t="s">
        <v>814</v>
      </c>
      <c r="B47" s="338"/>
      <c r="C47" s="250">
        <f>C26+C27+C32+C36+C46</f>
        <v>27666078.059999999</v>
      </c>
      <c r="D47" s="250">
        <f>D26+D27+D32+D36+D46</f>
        <v>27666078.059999999</v>
      </c>
      <c r="E47" s="250">
        <f>E26+E27+E32+E36+E46</f>
        <v>0</v>
      </c>
      <c r="F47" s="250">
        <f>F26+F27+F32+F36+F46</f>
        <v>0</v>
      </c>
      <c r="G47" s="250">
        <f>G26+G27+G32+G36+G46</f>
        <v>0</v>
      </c>
      <c r="H47" s="250">
        <f t="shared" si="4"/>
        <v>-27666078.059999999</v>
      </c>
      <c r="I47" s="250">
        <f t="shared" si="3"/>
        <v>0</v>
      </c>
    </row>
    <row r="48" spans="1:9" x14ac:dyDescent="0.2">
      <c r="A48" s="251" t="s">
        <v>813</v>
      </c>
      <c r="B48" s="338"/>
      <c r="C48" s="250">
        <f>C24+C47</f>
        <v>41066078.060000002</v>
      </c>
      <c r="D48" s="250">
        <f>D24+D47</f>
        <v>41066078.060000002</v>
      </c>
      <c r="E48" s="250">
        <f>E24+E47</f>
        <v>0</v>
      </c>
      <c r="F48" s="250">
        <f>F24+F47</f>
        <v>0</v>
      </c>
      <c r="G48" s="250">
        <f>G24+G47</f>
        <v>0</v>
      </c>
      <c r="H48" s="250">
        <f t="shared" si="4"/>
        <v>-41066078.060000002</v>
      </c>
      <c r="I48" s="250">
        <f t="shared" si="3"/>
        <v>0</v>
      </c>
    </row>
    <row r="49" spans="1:9" x14ac:dyDescent="0.2">
      <c r="A49" s="239" t="s">
        <v>812</v>
      </c>
      <c r="B49" s="337"/>
      <c r="C49" s="240"/>
      <c r="D49" s="240"/>
      <c r="E49" s="240"/>
      <c r="F49" s="240"/>
      <c r="G49" s="246"/>
      <c r="H49" s="246"/>
      <c r="I49" s="246"/>
    </row>
    <row r="50" spans="1:9" x14ac:dyDescent="0.2">
      <c r="A50" s="239" t="s">
        <v>811</v>
      </c>
      <c r="B50" s="337"/>
      <c r="C50" s="242">
        <f>C51+C75</f>
        <v>109361262.40000001</v>
      </c>
      <c r="D50" s="242">
        <f>D51+D75</f>
        <v>109361262.40000001</v>
      </c>
      <c r="E50" s="242">
        <f>E51+E75</f>
        <v>0</v>
      </c>
      <c r="F50" s="242">
        <f>F51+F75</f>
        <v>0</v>
      </c>
      <c r="G50" s="242">
        <f>G51+G75</f>
        <v>0</v>
      </c>
      <c r="H50" s="242">
        <f t="shared" ref="H50:H119" si="6">G50-D50</f>
        <v>-109361262.40000001</v>
      </c>
      <c r="I50" s="242">
        <f t="shared" ref="I50:I119" si="7">IF((D50=0),0,G50/D50)</f>
        <v>0</v>
      </c>
    </row>
    <row r="51" spans="1:9" x14ac:dyDescent="0.2">
      <c r="A51" s="243" t="s">
        <v>806</v>
      </c>
      <c r="B51" s="337"/>
      <c r="C51" s="246">
        <f>SUM(C52:C74)</f>
        <v>109361262.40000001</v>
      </c>
      <c r="D51" s="246">
        <f>SUM(D52:D74)</f>
        <v>109361262.40000001</v>
      </c>
      <c r="E51" s="246">
        <f>SUM(E52:E74)</f>
        <v>0</v>
      </c>
      <c r="F51" s="246">
        <f>SUM(F52:F74)</f>
        <v>0</v>
      </c>
      <c r="G51" s="246">
        <f>SUM(G52:G74)</f>
        <v>0</v>
      </c>
      <c r="H51" s="246">
        <f t="shared" si="6"/>
        <v>-109361262.40000001</v>
      </c>
      <c r="I51" s="246">
        <f t="shared" si="7"/>
        <v>0</v>
      </c>
    </row>
    <row r="52" spans="1:9" hidden="1" x14ac:dyDescent="0.2">
      <c r="A52" s="247" t="s">
        <v>194</v>
      </c>
      <c r="B52" s="339" t="s">
        <v>162</v>
      </c>
      <c r="C52" s="245">
        <f t="array" ref="C52">SUM(IF((Budget[Account Code]=B52),(Budget[Amount])))</f>
        <v>66970226</v>
      </c>
      <c r="D52" s="245">
        <f t="array" ref="D52">SUM(IF((Budget[Account Code]=B52)*(Budget[Date]&lt;=$D$7),(Budget[Amount])))</f>
        <v>66970226</v>
      </c>
      <c r="E52" s="245">
        <f t="array" ref="E52">((SUM(IF((CkDJ[Account Code]=(TRIM($B52)))*(CkDJ[Date]&lt;=$E$7),CkDJ[Debit])))+(SUM(IF((CsDJ[Account Code]=(TRIM($B52)))*(CsDJ[Date]&lt;=$E$7),CsDJ[Debit])))+(SUM(IF((CRDJ[Account Code]=(TRIM($B52)))*(CRDJ[Date]&lt;=$E$7),CRDJ[Debit])))+(SUM(IF((GJ[Account Code]=(TRIM($B52)))*(GJ[Date]&lt;=$E$7),GJ[Debit]))))-((SUM(IF((CkDJ[Account Code]=(TRIM($B52)))*(CkDJ[Date]&lt;=$E$7),CkDJ[Credit])))+(SUM(IF((CsDJ[Account Code]=(TRIM($B52)))*(CsDJ[Date]&lt;=$E$7),CsDJ[Credit])))+(SUM(IF((CRDJ[Account Code]=(TRIM($B52)))*(CRDJ[Date]&lt;=$E$7),CRDJ[Credit])))+(SUM(IF((GJ[Account Code]=(TRIM($B52)))*(GJ[Date]&lt;=$E$7),GJ[Credit]))))</f>
        <v>0</v>
      </c>
      <c r="F52" s="245">
        <f t="array" ref="F52">((SUM(IF((CkDJ[Date]=$A$3)*(CkDJ[Account Code]=(TRIM($B52))),CkDJ[Debit])))+(SUM(IF((CsDJ[Date]=$A$3)*(CsDJ[Account Code]=(TRIM($B52))),CsDJ[Debit])))+(SUM(IF((CRDJ[Date]=$A$3)*(CRDJ[Account Code]=(TRIM($B52))),CRDJ[Debit])))+(SUM(IF((GJ[Date]=$A$3)*(GJ[Account Code]=(TRIM($B52))),GJ[Debit]))))-((SUM(IF((CkDJ[Date]=$A$3)*(CkDJ[Account Code]=(TRIM($B52))),CkDJ[Credit])))+(SUM(IF((CsDJ[Date]=$A$3)*(CsDJ[Account Code]=(TRIM($B52))),CsDJ[Credit])))+(SUM(IF((CRDJ[Date]=$A$3)*(CRDJ[Account Code]=(TRIM($B52))),CRDJ[Credit])))+(SUM(IF((GJ[Date]=$A$3)*(GJ[Account Code]=(TRIM($B52))),GJ[Credit]))))</f>
        <v>0</v>
      </c>
      <c r="G52" s="343">
        <f>E52+F52</f>
        <v>0</v>
      </c>
      <c r="H52" s="246">
        <f t="shared" si="6"/>
        <v>-66970226</v>
      </c>
      <c r="I52" s="246">
        <f t="shared" si="7"/>
        <v>0</v>
      </c>
    </row>
    <row r="53" spans="1:9" hidden="1" x14ac:dyDescent="0.2">
      <c r="A53" s="247" t="s">
        <v>195</v>
      </c>
      <c r="B53" s="339" t="s">
        <v>163</v>
      </c>
      <c r="C53" s="245">
        <f t="array" ref="C53">SUM(IF((Budget[Account Code]=B53),(Budget[Amount])))</f>
        <v>10796707.92</v>
      </c>
      <c r="D53" s="245">
        <f t="array" ref="D53">SUM(IF((Budget[Account Code]=B53)*(Budget[Date]&lt;=$D$7),(Budget[Amount])))</f>
        <v>10796707.92</v>
      </c>
      <c r="E53" s="245">
        <f t="array" ref="E53">((SUM(IF((CkDJ[Account Code]=(TRIM($B53)))*(CkDJ[Date]&lt;=$E$7),CkDJ[Debit])))+(SUM(IF((CsDJ[Account Code]=(TRIM($B53)))*(CsDJ[Date]&lt;=$E$7),CsDJ[Debit])))+(SUM(IF((CRDJ[Account Code]=(TRIM($B53)))*(CRDJ[Date]&lt;=$E$7),CRDJ[Debit])))+(SUM(IF((GJ[Account Code]=(TRIM($B53)))*(GJ[Date]&lt;=$E$7),GJ[Debit]))))-((SUM(IF((CkDJ[Account Code]=(TRIM($B53)))*(CkDJ[Date]&lt;=$E$7),CkDJ[Credit])))+(SUM(IF((CsDJ[Account Code]=(TRIM($B53)))*(CsDJ[Date]&lt;=$E$7),CsDJ[Credit])))+(SUM(IF((CRDJ[Account Code]=(TRIM($B53)))*(CRDJ[Date]&lt;=$E$7),CRDJ[Credit])))+(SUM(IF((GJ[Account Code]=(TRIM($B53)))*(GJ[Date]&lt;=$E$7),GJ[Credit]))))</f>
        <v>0</v>
      </c>
      <c r="F53" s="245">
        <f t="array" ref="F53">((SUM(IF((CkDJ[Date]=$A$3)*(CkDJ[Account Code]=(TRIM($B53))),CkDJ[Debit])))+(SUM(IF((CsDJ[Date]=$A$3)*(CsDJ[Account Code]=(TRIM($B53))),CsDJ[Debit])))+(SUM(IF((CRDJ[Date]=$A$3)*(CRDJ[Account Code]=(TRIM($B53))),CRDJ[Debit])))+(SUM(IF((GJ[Date]=$A$3)*(GJ[Account Code]=(TRIM($B53))),GJ[Debit]))))-((SUM(IF((CkDJ[Date]=$A$3)*(CkDJ[Account Code]=(TRIM($B53))),CkDJ[Credit])))+(SUM(IF((CsDJ[Date]=$A$3)*(CsDJ[Account Code]=(TRIM($B53))),CsDJ[Credit])))+(SUM(IF((CRDJ[Date]=$A$3)*(CRDJ[Account Code]=(TRIM($B53))),CRDJ[Credit])))+(SUM(IF((GJ[Date]=$A$3)*(GJ[Account Code]=(TRIM($B53))),GJ[Credit]))))</f>
        <v>0</v>
      </c>
      <c r="G53" s="343">
        <f t="shared" ref="G53:G74" si="8">E53+F53</f>
        <v>0</v>
      </c>
      <c r="H53" s="246">
        <f t="shared" si="6"/>
        <v>-10796707.92</v>
      </c>
      <c r="I53" s="246">
        <f t="shared" si="7"/>
        <v>0</v>
      </c>
    </row>
    <row r="54" spans="1:9" hidden="1" x14ac:dyDescent="0.2">
      <c r="A54" s="247" t="s">
        <v>196</v>
      </c>
      <c r="B54" s="339" t="s">
        <v>1013</v>
      </c>
      <c r="C54" s="245">
        <f t="array" ref="C54">SUM(IF((Budget[Account Code]=B54),(Budget[Amount])))</f>
        <v>0</v>
      </c>
      <c r="D54" s="245">
        <f t="array" ref="D54">SUM(IF((Budget[Account Code]=B54)*(Budget[Date]&lt;=$D$7),(Budget[Amount])))</f>
        <v>0</v>
      </c>
      <c r="E54" s="245">
        <f t="array" ref="E54">((SUM(IF((CkDJ[Account Code]=(TRIM($B54)))*(CkDJ[Date]&lt;=$E$7),CkDJ[Debit])))+(SUM(IF((CsDJ[Account Code]=(TRIM($B54)))*(CsDJ[Date]&lt;=$E$7),CsDJ[Debit])))+(SUM(IF((CRDJ[Account Code]=(TRIM($B54)))*(CRDJ[Date]&lt;=$E$7),CRDJ[Debit])))+(SUM(IF((GJ[Account Code]=(TRIM($B54)))*(GJ[Date]&lt;=$E$7),GJ[Debit]))))-((SUM(IF((CkDJ[Account Code]=(TRIM($B54)))*(CkDJ[Date]&lt;=$E$7),CkDJ[Credit])))+(SUM(IF((CsDJ[Account Code]=(TRIM($B54)))*(CsDJ[Date]&lt;=$E$7),CsDJ[Credit])))+(SUM(IF((CRDJ[Account Code]=(TRIM($B54)))*(CRDJ[Date]&lt;=$E$7),CRDJ[Credit])))+(SUM(IF((GJ[Account Code]=(TRIM($B54)))*(GJ[Date]&lt;=$E$7),GJ[Credit]))))</f>
        <v>0</v>
      </c>
      <c r="F54" s="245">
        <f t="array" ref="F54">((SUM(IF((CkDJ[Date]=$A$3)*(CkDJ[Account Code]=(TRIM($B54))),CkDJ[Debit])))+(SUM(IF((CsDJ[Date]=$A$3)*(CsDJ[Account Code]=(TRIM($B54))),CsDJ[Debit])))+(SUM(IF((CRDJ[Date]=$A$3)*(CRDJ[Account Code]=(TRIM($B54))),CRDJ[Debit])))+(SUM(IF((GJ[Date]=$A$3)*(GJ[Account Code]=(TRIM($B54))),GJ[Debit]))))-((SUM(IF((CkDJ[Date]=$A$3)*(CkDJ[Account Code]=(TRIM($B54))),CkDJ[Credit])))+(SUM(IF((CsDJ[Date]=$A$3)*(CsDJ[Account Code]=(TRIM($B54))),CsDJ[Credit])))+(SUM(IF((CRDJ[Date]=$A$3)*(CRDJ[Account Code]=(TRIM($B54))),CRDJ[Credit])))+(SUM(IF((GJ[Date]=$A$3)*(GJ[Account Code]=(TRIM($B54))),GJ[Credit]))))</f>
        <v>0</v>
      </c>
      <c r="G54" s="343">
        <f t="shared" si="8"/>
        <v>0</v>
      </c>
      <c r="H54" s="246">
        <f t="shared" si="6"/>
        <v>0</v>
      </c>
      <c r="I54" s="246">
        <f t="shared" si="7"/>
        <v>0</v>
      </c>
    </row>
    <row r="55" spans="1:9" hidden="1" x14ac:dyDescent="0.2">
      <c r="A55" s="247" t="s">
        <v>197</v>
      </c>
      <c r="B55" s="339" t="s">
        <v>164</v>
      </c>
      <c r="C55" s="245">
        <f t="array" ref="C55">SUM(IF((Budget[Account Code]=B55),(Budget[Amount])))</f>
        <v>6144000</v>
      </c>
      <c r="D55" s="245">
        <f t="array" ref="D55">SUM(IF((Budget[Account Code]=B55)*(Budget[Date]&lt;=$D$7),(Budget[Amount])))</f>
        <v>6144000</v>
      </c>
      <c r="E55" s="245">
        <f t="array" ref="E55">((SUM(IF((CkDJ[Account Code]=(TRIM($B55)))*(CkDJ[Date]&lt;=$E$7),CkDJ[Debit])))+(SUM(IF((CsDJ[Account Code]=(TRIM($B55)))*(CsDJ[Date]&lt;=$E$7),CsDJ[Debit])))+(SUM(IF((CRDJ[Account Code]=(TRIM($B55)))*(CRDJ[Date]&lt;=$E$7),CRDJ[Debit])))+(SUM(IF((GJ[Account Code]=(TRIM($B55)))*(GJ[Date]&lt;=$E$7),GJ[Debit]))))-((SUM(IF((CkDJ[Account Code]=(TRIM($B55)))*(CkDJ[Date]&lt;=$E$7),CkDJ[Credit])))+(SUM(IF((CsDJ[Account Code]=(TRIM($B55)))*(CsDJ[Date]&lt;=$E$7),CsDJ[Credit])))+(SUM(IF((CRDJ[Account Code]=(TRIM($B55)))*(CRDJ[Date]&lt;=$E$7),CRDJ[Credit])))+(SUM(IF((GJ[Account Code]=(TRIM($B55)))*(GJ[Date]&lt;=$E$7),GJ[Credit]))))</f>
        <v>0</v>
      </c>
      <c r="F55" s="245">
        <f t="array" ref="F55">((SUM(IF((CkDJ[Date]=$A$3)*(CkDJ[Account Code]=(TRIM($B55))),CkDJ[Debit])))+(SUM(IF((CsDJ[Date]=$A$3)*(CsDJ[Account Code]=(TRIM($B55))),CsDJ[Debit])))+(SUM(IF((CRDJ[Date]=$A$3)*(CRDJ[Account Code]=(TRIM($B55))),CRDJ[Debit])))+(SUM(IF((GJ[Date]=$A$3)*(GJ[Account Code]=(TRIM($B55))),GJ[Debit]))))-((SUM(IF((CkDJ[Date]=$A$3)*(CkDJ[Account Code]=(TRIM($B55))),CkDJ[Credit])))+(SUM(IF((CsDJ[Date]=$A$3)*(CsDJ[Account Code]=(TRIM($B55))),CsDJ[Credit])))+(SUM(IF((CRDJ[Date]=$A$3)*(CRDJ[Account Code]=(TRIM($B55))),CRDJ[Credit])))+(SUM(IF((GJ[Date]=$A$3)*(GJ[Account Code]=(TRIM($B55))),GJ[Credit]))))</f>
        <v>0</v>
      </c>
      <c r="G55" s="343">
        <f t="shared" si="8"/>
        <v>0</v>
      </c>
      <c r="H55" s="246">
        <f t="shared" si="6"/>
        <v>-6144000</v>
      </c>
      <c r="I55" s="246">
        <f t="shared" si="7"/>
        <v>0</v>
      </c>
    </row>
    <row r="56" spans="1:9" hidden="1" x14ac:dyDescent="0.2">
      <c r="A56" s="247" t="s">
        <v>198</v>
      </c>
      <c r="B56" s="339" t="s">
        <v>165</v>
      </c>
      <c r="C56" s="245">
        <f t="array" ref="C56">SUM(IF((Budget[Account Code]=B56),(Budget[Amount])))</f>
        <v>360000</v>
      </c>
      <c r="D56" s="245">
        <f t="array" ref="D56">SUM(IF((Budget[Account Code]=B56)*(Budget[Date]&lt;=$D$7),(Budget[Amount])))</f>
        <v>360000</v>
      </c>
      <c r="E56" s="245">
        <f t="array" ref="E56">((SUM(IF((CkDJ[Account Code]=(TRIM($B56)))*(CkDJ[Date]&lt;=$E$7),CkDJ[Debit])))+(SUM(IF((CsDJ[Account Code]=(TRIM($B56)))*(CsDJ[Date]&lt;=$E$7),CsDJ[Debit])))+(SUM(IF((CRDJ[Account Code]=(TRIM($B56)))*(CRDJ[Date]&lt;=$E$7),CRDJ[Debit])))+(SUM(IF((GJ[Account Code]=(TRIM($B56)))*(GJ[Date]&lt;=$E$7),GJ[Debit]))))-((SUM(IF((CkDJ[Account Code]=(TRIM($B56)))*(CkDJ[Date]&lt;=$E$7),CkDJ[Credit])))+(SUM(IF((CsDJ[Account Code]=(TRIM($B56)))*(CsDJ[Date]&lt;=$E$7),CsDJ[Credit])))+(SUM(IF((CRDJ[Account Code]=(TRIM($B56)))*(CRDJ[Date]&lt;=$E$7),CRDJ[Credit])))+(SUM(IF((GJ[Account Code]=(TRIM($B56)))*(GJ[Date]&lt;=$E$7),GJ[Credit]))))</f>
        <v>0</v>
      </c>
      <c r="F56" s="245">
        <f t="array" ref="F56">((SUM(IF((CkDJ[Date]=$A$3)*(CkDJ[Account Code]=(TRIM($B56))),CkDJ[Debit])))+(SUM(IF((CsDJ[Date]=$A$3)*(CsDJ[Account Code]=(TRIM($B56))),CsDJ[Debit])))+(SUM(IF((CRDJ[Date]=$A$3)*(CRDJ[Account Code]=(TRIM($B56))),CRDJ[Debit])))+(SUM(IF((GJ[Date]=$A$3)*(GJ[Account Code]=(TRIM($B56))),GJ[Debit]))))-((SUM(IF((CkDJ[Date]=$A$3)*(CkDJ[Account Code]=(TRIM($B56))),CkDJ[Credit])))+(SUM(IF((CsDJ[Date]=$A$3)*(CsDJ[Account Code]=(TRIM($B56))),CsDJ[Credit])))+(SUM(IF((CRDJ[Date]=$A$3)*(CRDJ[Account Code]=(TRIM($B56))),CRDJ[Credit])))+(SUM(IF((GJ[Date]=$A$3)*(GJ[Account Code]=(TRIM($B56))),GJ[Credit]))))</f>
        <v>0</v>
      </c>
      <c r="G56" s="343">
        <f t="shared" si="8"/>
        <v>0</v>
      </c>
      <c r="H56" s="246">
        <f t="shared" si="6"/>
        <v>-360000</v>
      </c>
      <c r="I56" s="246">
        <f t="shared" si="7"/>
        <v>0</v>
      </c>
    </row>
    <row r="57" spans="1:9" hidden="1" x14ac:dyDescent="0.2">
      <c r="A57" s="247" t="s">
        <v>199</v>
      </c>
      <c r="B57" s="339" t="s">
        <v>166</v>
      </c>
      <c r="C57" s="245">
        <f t="array" ref="C57">SUM(IF((Budget[Account Code]=B57),(Budget[Amount])))</f>
        <v>0</v>
      </c>
      <c r="D57" s="245">
        <f t="array" ref="D57">SUM(IF((Budget[Account Code]=B57)*(Budget[Date]&lt;=$D$7),(Budget[Amount])))</f>
        <v>0</v>
      </c>
      <c r="E57" s="245">
        <f t="array" ref="E57">((SUM(IF((CkDJ[Account Code]=(TRIM($B57)))*(CkDJ[Date]&lt;=$E$7),CkDJ[Debit])))+(SUM(IF((CsDJ[Account Code]=(TRIM($B57)))*(CsDJ[Date]&lt;=$E$7),CsDJ[Debit])))+(SUM(IF((CRDJ[Account Code]=(TRIM($B57)))*(CRDJ[Date]&lt;=$E$7),CRDJ[Debit])))+(SUM(IF((GJ[Account Code]=(TRIM($B57)))*(GJ[Date]&lt;=$E$7),GJ[Debit]))))-((SUM(IF((CkDJ[Account Code]=(TRIM($B57)))*(CkDJ[Date]&lt;=$E$7),CkDJ[Credit])))+(SUM(IF((CsDJ[Account Code]=(TRIM($B57)))*(CsDJ[Date]&lt;=$E$7),CsDJ[Credit])))+(SUM(IF((CRDJ[Account Code]=(TRIM($B57)))*(CRDJ[Date]&lt;=$E$7),CRDJ[Credit])))+(SUM(IF((GJ[Account Code]=(TRIM($B57)))*(GJ[Date]&lt;=$E$7),GJ[Credit]))))</f>
        <v>0</v>
      </c>
      <c r="F57" s="245">
        <f t="array" ref="F57">((SUM(IF((CkDJ[Date]=$A$3)*(CkDJ[Account Code]=(TRIM($B57))),CkDJ[Debit])))+(SUM(IF((CsDJ[Date]=$A$3)*(CsDJ[Account Code]=(TRIM($B57))),CsDJ[Debit])))+(SUM(IF((CRDJ[Date]=$A$3)*(CRDJ[Account Code]=(TRIM($B57))),CRDJ[Debit])))+(SUM(IF((GJ[Date]=$A$3)*(GJ[Account Code]=(TRIM($B57))),GJ[Debit]))))-((SUM(IF((CkDJ[Date]=$A$3)*(CkDJ[Account Code]=(TRIM($B57))),CkDJ[Credit])))+(SUM(IF((CsDJ[Date]=$A$3)*(CsDJ[Account Code]=(TRIM($B57))),CsDJ[Credit])))+(SUM(IF((CRDJ[Date]=$A$3)*(CRDJ[Account Code]=(TRIM($B57))),CRDJ[Credit])))+(SUM(IF((GJ[Date]=$A$3)*(GJ[Account Code]=(TRIM($B57))),GJ[Credit]))))</f>
        <v>0</v>
      </c>
      <c r="G57" s="343">
        <f t="shared" si="8"/>
        <v>0</v>
      </c>
      <c r="H57" s="246">
        <f t="shared" si="6"/>
        <v>0</v>
      </c>
      <c r="I57" s="246">
        <f t="shared" si="7"/>
        <v>0</v>
      </c>
    </row>
    <row r="58" spans="1:9" hidden="1" x14ac:dyDescent="0.2">
      <c r="A58" s="247" t="s">
        <v>200</v>
      </c>
      <c r="B58" s="339" t="s">
        <v>167</v>
      </c>
      <c r="C58" s="245">
        <f t="array" ref="C58">SUM(IF((Budget[Account Code]=B58),(Budget[Amount])))</f>
        <v>1003000</v>
      </c>
      <c r="D58" s="245">
        <f t="array" ref="D58">SUM(IF((Budget[Account Code]=B58)*(Budget[Date]&lt;=$D$7),(Budget[Amount])))</f>
        <v>1003000</v>
      </c>
      <c r="E58" s="245">
        <f t="array" ref="E58">((SUM(IF((CkDJ[Account Code]=(TRIM($B58)))*(CkDJ[Date]&lt;=$E$7),CkDJ[Debit])))+(SUM(IF((CsDJ[Account Code]=(TRIM($B58)))*(CsDJ[Date]&lt;=$E$7),CsDJ[Debit])))+(SUM(IF((CRDJ[Account Code]=(TRIM($B58)))*(CRDJ[Date]&lt;=$E$7),CRDJ[Debit])))+(SUM(IF((GJ[Account Code]=(TRIM($B58)))*(GJ[Date]&lt;=$E$7),GJ[Debit]))))-((SUM(IF((CkDJ[Account Code]=(TRIM($B58)))*(CkDJ[Date]&lt;=$E$7),CkDJ[Credit])))+(SUM(IF((CsDJ[Account Code]=(TRIM($B58)))*(CsDJ[Date]&lt;=$E$7),CsDJ[Credit])))+(SUM(IF((CRDJ[Account Code]=(TRIM($B58)))*(CRDJ[Date]&lt;=$E$7),CRDJ[Credit])))+(SUM(IF((GJ[Account Code]=(TRIM($B58)))*(GJ[Date]&lt;=$E$7),GJ[Credit]))))</f>
        <v>0</v>
      </c>
      <c r="F58" s="245">
        <f t="array" ref="F58">((SUM(IF((CkDJ[Date]=$A$3)*(CkDJ[Account Code]=(TRIM($B58))),CkDJ[Debit])))+(SUM(IF((CsDJ[Date]=$A$3)*(CsDJ[Account Code]=(TRIM($B58))),CsDJ[Debit])))+(SUM(IF((CRDJ[Date]=$A$3)*(CRDJ[Account Code]=(TRIM($B58))),CRDJ[Debit])))+(SUM(IF((GJ[Date]=$A$3)*(GJ[Account Code]=(TRIM($B58))),GJ[Debit]))))-((SUM(IF((CkDJ[Date]=$A$3)*(CkDJ[Account Code]=(TRIM($B58))),CkDJ[Credit])))+(SUM(IF((CsDJ[Date]=$A$3)*(CsDJ[Account Code]=(TRIM($B58))),CsDJ[Credit])))+(SUM(IF((CRDJ[Date]=$A$3)*(CRDJ[Account Code]=(TRIM($B58))),CRDJ[Credit])))+(SUM(IF((GJ[Date]=$A$3)*(GJ[Account Code]=(TRIM($B58))),GJ[Credit]))))</f>
        <v>0</v>
      </c>
      <c r="G58" s="343">
        <f t="shared" si="8"/>
        <v>0</v>
      </c>
      <c r="H58" s="246">
        <f t="shared" si="6"/>
        <v>-1003000</v>
      </c>
      <c r="I58" s="246">
        <f t="shared" si="7"/>
        <v>0</v>
      </c>
    </row>
    <row r="59" spans="1:9" hidden="1" x14ac:dyDescent="0.2">
      <c r="A59" s="247" t="s">
        <v>1204</v>
      </c>
      <c r="B59" s="339" t="s">
        <v>1262</v>
      </c>
      <c r="C59" s="245">
        <f t="array" ref="C59">SUM(IF((Budget[Account Code]=B59),(Budget[Amount])))</f>
        <v>0</v>
      </c>
      <c r="D59" s="245">
        <f t="array" ref="D59">SUM(IF((Budget[Account Code]=B59)*(Budget[Date]&lt;=$D$7),(Budget[Amount])))</f>
        <v>0</v>
      </c>
      <c r="E59" s="245">
        <f t="array" ref="E59">((SUM(IF((CkDJ[Account Code]=(TRIM($B59)))*(CkDJ[Date]&lt;=$E$7),CkDJ[Debit])))+(SUM(IF((CsDJ[Account Code]=(TRIM($B59)))*(CsDJ[Date]&lt;=$E$7),CsDJ[Debit])))+(SUM(IF((CRDJ[Account Code]=(TRIM($B59)))*(CRDJ[Date]&lt;=$E$7),CRDJ[Debit])))+(SUM(IF((GJ[Account Code]=(TRIM($B59)))*(GJ[Date]&lt;=$E$7),GJ[Debit]))))-((SUM(IF((CkDJ[Account Code]=(TRIM($B59)))*(CkDJ[Date]&lt;=$E$7),CkDJ[Credit])))+(SUM(IF((CsDJ[Account Code]=(TRIM($B59)))*(CsDJ[Date]&lt;=$E$7),CsDJ[Credit])))+(SUM(IF((CRDJ[Account Code]=(TRIM($B59)))*(CRDJ[Date]&lt;=$E$7),CRDJ[Credit])))+(SUM(IF((GJ[Account Code]=(TRIM($B59)))*(GJ[Date]&lt;=$E$7),GJ[Credit]))))</f>
        <v>0</v>
      </c>
      <c r="F59" s="245">
        <f t="array" ref="F59">((SUM(IF((CkDJ[Date]=$A$3)*(CkDJ[Account Code]=(TRIM($B59))),CkDJ[Debit])))+(SUM(IF((CsDJ[Date]=$A$3)*(CsDJ[Account Code]=(TRIM($B59))),CsDJ[Debit])))+(SUM(IF((CRDJ[Date]=$A$3)*(CRDJ[Account Code]=(TRIM($B59))),CRDJ[Debit])))+(SUM(IF((GJ[Date]=$A$3)*(GJ[Account Code]=(TRIM($B59))),GJ[Debit]))))-((SUM(IF((CkDJ[Date]=$A$3)*(CkDJ[Account Code]=(TRIM($B59))),CkDJ[Credit])))+(SUM(IF((CsDJ[Date]=$A$3)*(CsDJ[Account Code]=(TRIM($B59))),CsDJ[Credit])))+(SUM(IF((CRDJ[Date]=$A$3)*(CRDJ[Account Code]=(TRIM($B59))),CRDJ[Credit])))+(SUM(IF((GJ[Date]=$A$3)*(GJ[Account Code]=(TRIM($B59))),GJ[Credit]))))</f>
        <v>0</v>
      </c>
      <c r="G59" s="343">
        <f>E59+F59</f>
        <v>0</v>
      </c>
      <c r="H59" s="246">
        <f>G59-D59</f>
        <v>0</v>
      </c>
      <c r="I59" s="246">
        <f>IF((D59=0),0,G59/D59)</f>
        <v>0</v>
      </c>
    </row>
    <row r="60" spans="1:9" hidden="1" x14ac:dyDescent="0.2">
      <c r="A60" s="247" t="s">
        <v>204</v>
      </c>
      <c r="B60" s="339" t="s">
        <v>171</v>
      </c>
      <c r="C60" s="245">
        <f t="array" ref="C60">SUM(IF((Budget[Account Code]=B60),(Budget[Amount])))</f>
        <v>0</v>
      </c>
      <c r="D60" s="245">
        <f t="array" ref="D60">SUM(IF((Budget[Account Code]=B60)*(Budget[Date]&lt;=$D$7),(Budget[Amount])))</f>
        <v>0</v>
      </c>
      <c r="E60" s="245">
        <f t="array" ref="E60">((SUM(IF((CkDJ[Account Code]=(TRIM($B60)))*(CkDJ[Date]&lt;=$E$7),CkDJ[Debit])))+(SUM(IF((CsDJ[Account Code]=(TRIM($B60)))*(CsDJ[Date]&lt;=$E$7),CsDJ[Debit])))+(SUM(IF((CRDJ[Account Code]=(TRIM($B60)))*(CRDJ[Date]&lt;=$E$7),CRDJ[Debit])))+(SUM(IF((GJ[Account Code]=(TRIM($B60)))*(GJ[Date]&lt;=$E$7),GJ[Debit]))))-((SUM(IF((CkDJ[Account Code]=(TRIM($B60)))*(CkDJ[Date]&lt;=$E$7),CkDJ[Credit])))+(SUM(IF((CsDJ[Account Code]=(TRIM($B60)))*(CsDJ[Date]&lt;=$E$7),CsDJ[Credit])))+(SUM(IF((CRDJ[Account Code]=(TRIM($B60)))*(CRDJ[Date]&lt;=$E$7),CRDJ[Credit])))+(SUM(IF((GJ[Account Code]=(TRIM($B60)))*(GJ[Date]&lt;=$E$7),GJ[Credit]))))</f>
        <v>0</v>
      </c>
      <c r="F60" s="245">
        <f t="array" ref="F60">((SUM(IF((CkDJ[Date]=$A$3)*(CkDJ[Account Code]=(TRIM($B60))),CkDJ[Debit])))+(SUM(IF((CsDJ[Date]=$A$3)*(CsDJ[Account Code]=(TRIM($B60))),CsDJ[Debit])))+(SUM(IF((CRDJ[Date]=$A$3)*(CRDJ[Account Code]=(TRIM($B60))),CRDJ[Debit])))+(SUM(IF((GJ[Date]=$A$3)*(GJ[Account Code]=(TRIM($B60))),GJ[Debit]))))-((SUM(IF((CkDJ[Date]=$A$3)*(CkDJ[Account Code]=(TRIM($B60))),CkDJ[Credit])))+(SUM(IF((CsDJ[Date]=$A$3)*(CsDJ[Account Code]=(TRIM($B60))),CsDJ[Credit])))+(SUM(IF((CRDJ[Date]=$A$3)*(CRDJ[Account Code]=(TRIM($B60))),CRDJ[Credit])))+(SUM(IF((GJ[Date]=$A$3)*(GJ[Account Code]=(TRIM($B60))),GJ[Credit]))))</f>
        <v>0</v>
      </c>
      <c r="G60" s="343">
        <f t="shared" si="8"/>
        <v>0</v>
      </c>
      <c r="H60" s="246">
        <f t="shared" si="6"/>
        <v>0</v>
      </c>
      <c r="I60" s="246">
        <f t="shared" si="7"/>
        <v>0</v>
      </c>
    </row>
    <row r="61" spans="1:9" hidden="1" x14ac:dyDescent="0.2">
      <c r="A61" s="247" t="s">
        <v>201</v>
      </c>
      <c r="B61" s="339" t="s">
        <v>5</v>
      </c>
      <c r="C61" s="245">
        <f t="array" ref="C61">SUM(IF((Budget[Account Code]=B61),(Budget[Amount])))</f>
        <v>220800</v>
      </c>
      <c r="D61" s="245">
        <f t="array" ref="D61">SUM(IF((Budget[Account Code]=B61)*(Budget[Date]&lt;=$D$7),(Budget[Amount])))</f>
        <v>220800</v>
      </c>
      <c r="E61" s="245">
        <f t="array" ref="E61">((SUM(IF((CkDJ[Account Code]=(TRIM($B61)))*(CkDJ[Date]&lt;=$E$7),CkDJ[Debit])))+(SUM(IF((CsDJ[Account Code]=(TRIM($B61)))*(CsDJ[Date]&lt;=$E$7),CsDJ[Debit])))+(SUM(IF((CRDJ[Account Code]=(TRIM($B61)))*(CRDJ[Date]&lt;=$E$7),CRDJ[Debit])))+(SUM(IF((GJ[Account Code]=(TRIM($B61)))*(GJ[Date]&lt;=$E$7),GJ[Debit]))))-((SUM(IF((CkDJ[Account Code]=(TRIM($B61)))*(CkDJ[Date]&lt;=$E$7),CkDJ[Credit])))+(SUM(IF((CsDJ[Account Code]=(TRIM($B61)))*(CsDJ[Date]&lt;=$E$7),CsDJ[Credit])))+(SUM(IF((CRDJ[Account Code]=(TRIM($B61)))*(CRDJ[Date]&lt;=$E$7),CRDJ[Credit])))+(SUM(IF((GJ[Account Code]=(TRIM($B61)))*(GJ[Date]&lt;=$E$7),GJ[Credit]))))</f>
        <v>0</v>
      </c>
      <c r="F61" s="245">
        <f t="array" ref="F61">((SUM(IF((CkDJ[Date]=$A$3)*(CkDJ[Account Code]=(TRIM($B61))),CkDJ[Debit])))+(SUM(IF((CsDJ[Date]=$A$3)*(CsDJ[Account Code]=(TRIM($B61))),CsDJ[Debit])))+(SUM(IF((CRDJ[Date]=$A$3)*(CRDJ[Account Code]=(TRIM($B61))),CRDJ[Debit])))+(SUM(IF((GJ[Date]=$A$3)*(GJ[Account Code]=(TRIM($B61))),GJ[Debit]))))-((SUM(IF((CkDJ[Date]=$A$3)*(CkDJ[Account Code]=(TRIM($B61))),CkDJ[Credit])))+(SUM(IF((CsDJ[Date]=$A$3)*(CsDJ[Account Code]=(TRIM($B61))),CsDJ[Credit])))+(SUM(IF((CRDJ[Date]=$A$3)*(CRDJ[Account Code]=(TRIM($B61))),CRDJ[Credit])))+(SUM(IF((GJ[Date]=$A$3)*(GJ[Account Code]=(TRIM($B61))),GJ[Credit]))))</f>
        <v>0</v>
      </c>
      <c r="G61" s="343">
        <f t="shared" si="8"/>
        <v>0</v>
      </c>
      <c r="H61" s="246">
        <f t="shared" si="6"/>
        <v>-220800</v>
      </c>
      <c r="I61" s="246">
        <f t="shared" si="7"/>
        <v>0</v>
      </c>
    </row>
    <row r="62" spans="1:9" hidden="1" x14ac:dyDescent="0.2">
      <c r="A62" s="247" t="s">
        <v>202</v>
      </c>
      <c r="B62" s="339" t="s">
        <v>6</v>
      </c>
      <c r="C62" s="245">
        <f t="array" ref="C62">SUM(IF((Budget[Account Code]=B62),(Budget[Amount])))</f>
        <v>72828</v>
      </c>
      <c r="D62" s="245">
        <f t="array" ref="D62">SUM(IF((Budget[Account Code]=B62)*(Budget[Date]&lt;=$D$7),(Budget[Amount])))</f>
        <v>72828</v>
      </c>
      <c r="E62" s="245">
        <f t="array" ref="E62">((SUM(IF((CkDJ[Account Code]=(TRIM($B62)))*(CkDJ[Date]&lt;=$E$7),CkDJ[Debit])))+(SUM(IF((CsDJ[Account Code]=(TRIM($B62)))*(CsDJ[Date]&lt;=$E$7),CsDJ[Debit])))+(SUM(IF((CRDJ[Account Code]=(TRIM($B62)))*(CRDJ[Date]&lt;=$E$7),CRDJ[Debit])))+(SUM(IF((GJ[Account Code]=(TRIM($B62)))*(GJ[Date]&lt;=$E$7),GJ[Debit]))))-((SUM(IF((CkDJ[Account Code]=(TRIM($B62)))*(CkDJ[Date]&lt;=$E$7),CkDJ[Credit])))+(SUM(IF((CsDJ[Account Code]=(TRIM($B62)))*(CsDJ[Date]&lt;=$E$7),CsDJ[Credit])))+(SUM(IF((CRDJ[Account Code]=(TRIM($B62)))*(CRDJ[Date]&lt;=$E$7),CRDJ[Credit])))+(SUM(IF((GJ[Account Code]=(TRIM($B62)))*(GJ[Date]&lt;=$E$7),GJ[Credit]))))</f>
        <v>0</v>
      </c>
      <c r="F62" s="245">
        <f t="array" ref="F62">((SUM(IF((CkDJ[Date]=$A$3)*(CkDJ[Account Code]=(TRIM($B62))),CkDJ[Debit])))+(SUM(IF((CsDJ[Date]=$A$3)*(CsDJ[Account Code]=(TRIM($B62))),CsDJ[Debit])))+(SUM(IF((CRDJ[Date]=$A$3)*(CRDJ[Account Code]=(TRIM($B62))),CRDJ[Debit])))+(SUM(IF((GJ[Date]=$A$3)*(GJ[Account Code]=(TRIM($B62))),GJ[Debit]))))-((SUM(IF((CkDJ[Date]=$A$3)*(CkDJ[Account Code]=(TRIM($B62))),CkDJ[Credit])))+(SUM(IF((CsDJ[Date]=$A$3)*(CsDJ[Account Code]=(TRIM($B62))),CsDJ[Credit])))+(SUM(IF((CRDJ[Date]=$A$3)*(CRDJ[Account Code]=(TRIM($B62))),CRDJ[Credit])))+(SUM(IF((GJ[Date]=$A$3)*(GJ[Account Code]=(TRIM($B62))),GJ[Credit]))))</f>
        <v>0</v>
      </c>
      <c r="G62" s="343">
        <f t="shared" si="8"/>
        <v>0</v>
      </c>
      <c r="H62" s="246">
        <f t="shared" si="6"/>
        <v>-72828</v>
      </c>
      <c r="I62" s="246">
        <f t="shared" si="7"/>
        <v>0</v>
      </c>
    </row>
    <row r="63" spans="1:9" hidden="1" x14ac:dyDescent="0.2">
      <c r="A63" s="247" t="s">
        <v>203</v>
      </c>
      <c r="B63" s="339" t="s">
        <v>7</v>
      </c>
      <c r="C63" s="245">
        <f t="array" ref="C63">SUM(IF((Budget[Account Code]=B63),(Budget[Amount])))</f>
        <v>21960</v>
      </c>
      <c r="D63" s="245">
        <f t="array" ref="D63">SUM(IF((Budget[Account Code]=B63)*(Budget[Date]&lt;=$D$7),(Budget[Amount])))</f>
        <v>21960</v>
      </c>
      <c r="E63" s="245">
        <f t="array" ref="E63">((SUM(IF((CkDJ[Account Code]=(TRIM($B63)))*(CkDJ[Date]&lt;=$E$7),CkDJ[Debit])))+(SUM(IF((CsDJ[Account Code]=(TRIM($B63)))*(CsDJ[Date]&lt;=$E$7),CsDJ[Debit])))+(SUM(IF((CRDJ[Account Code]=(TRIM($B63)))*(CRDJ[Date]&lt;=$E$7),CRDJ[Debit])))+(SUM(IF((GJ[Account Code]=(TRIM($B63)))*(GJ[Date]&lt;=$E$7),GJ[Debit]))))-((SUM(IF((CkDJ[Account Code]=(TRIM($B63)))*(CkDJ[Date]&lt;=$E$7),CkDJ[Credit])))+(SUM(IF((CsDJ[Account Code]=(TRIM($B63)))*(CsDJ[Date]&lt;=$E$7),CsDJ[Credit])))+(SUM(IF((CRDJ[Account Code]=(TRIM($B63)))*(CRDJ[Date]&lt;=$E$7),CRDJ[Credit])))+(SUM(IF((GJ[Account Code]=(TRIM($B63)))*(GJ[Date]&lt;=$E$7),GJ[Credit]))))</f>
        <v>0</v>
      </c>
      <c r="F63" s="245">
        <f t="array" ref="F63">((SUM(IF((CkDJ[Date]=$A$3)*(CkDJ[Account Code]=(TRIM($B63))),CkDJ[Debit])))+(SUM(IF((CsDJ[Date]=$A$3)*(CsDJ[Account Code]=(TRIM($B63))),CsDJ[Debit])))+(SUM(IF((CRDJ[Date]=$A$3)*(CRDJ[Account Code]=(TRIM($B63))),CRDJ[Debit])))+(SUM(IF((GJ[Date]=$A$3)*(GJ[Account Code]=(TRIM($B63))),GJ[Debit]))))-((SUM(IF((CkDJ[Date]=$A$3)*(CkDJ[Account Code]=(TRIM($B63))),CkDJ[Credit])))+(SUM(IF((CsDJ[Date]=$A$3)*(CsDJ[Account Code]=(TRIM($B63))),CsDJ[Credit])))+(SUM(IF((CRDJ[Date]=$A$3)*(CRDJ[Account Code]=(TRIM($B63))),CRDJ[Credit])))+(SUM(IF((GJ[Date]=$A$3)*(GJ[Account Code]=(TRIM($B63))),GJ[Credit]))))</f>
        <v>0</v>
      </c>
      <c r="G63" s="343">
        <f t="shared" si="8"/>
        <v>0</v>
      </c>
      <c r="H63" s="246">
        <f t="shared" si="6"/>
        <v>-21960</v>
      </c>
      <c r="I63" s="246">
        <f t="shared" si="7"/>
        <v>0</v>
      </c>
    </row>
    <row r="64" spans="1:9" hidden="1" x14ac:dyDescent="0.2">
      <c r="A64" s="247" t="s">
        <v>1378</v>
      </c>
      <c r="B64" s="339" t="s">
        <v>169</v>
      </c>
      <c r="C64" s="245">
        <f t="array" ref="C64">SUM(IF((Budget[Account Code]=B64),(Budget[Amount])))</f>
        <v>0</v>
      </c>
      <c r="D64" s="245">
        <f t="array" ref="D64">SUM(IF((Budget[Account Code]=B64)*(Budget[Date]&lt;=$D$7),(Budget[Amount])))</f>
        <v>0</v>
      </c>
      <c r="E64" s="245">
        <f t="array" ref="E64">((SUM(IF((CkDJ[Account Code]=(TRIM($B64)))*(CkDJ[Date]&lt;=$E$7),CkDJ[Debit])))+(SUM(IF((CsDJ[Account Code]=(TRIM($B64)))*(CsDJ[Date]&lt;=$E$7),CsDJ[Debit])))+(SUM(IF((CRDJ[Account Code]=(TRIM($B64)))*(CRDJ[Date]&lt;=$E$7),CRDJ[Debit])))+(SUM(IF((GJ[Account Code]=(TRIM($B64)))*(GJ[Date]&lt;=$E$7),GJ[Debit]))))-((SUM(IF((CkDJ[Account Code]=(TRIM($B64)))*(CkDJ[Date]&lt;=$E$7),CkDJ[Credit])))+(SUM(IF((CsDJ[Account Code]=(TRIM($B64)))*(CsDJ[Date]&lt;=$E$7),CsDJ[Credit])))+(SUM(IF((CRDJ[Account Code]=(TRIM($B64)))*(CRDJ[Date]&lt;=$E$7),CRDJ[Credit])))+(SUM(IF((GJ[Account Code]=(TRIM($B64)))*(GJ[Date]&lt;=$E$7),GJ[Credit]))))</f>
        <v>0</v>
      </c>
      <c r="F64" s="245">
        <f t="array" ref="F64">((SUM(IF((CkDJ[Date]=$A$3)*(CkDJ[Account Code]=(TRIM($B64))),CkDJ[Debit])))+(SUM(IF((CsDJ[Date]=$A$3)*(CsDJ[Account Code]=(TRIM($B64))),CsDJ[Debit])))+(SUM(IF((CRDJ[Date]=$A$3)*(CRDJ[Account Code]=(TRIM($B64))),CRDJ[Debit])))+(SUM(IF((GJ[Date]=$A$3)*(GJ[Account Code]=(TRIM($B64))),GJ[Debit]))))-((SUM(IF((CkDJ[Date]=$A$3)*(CkDJ[Account Code]=(TRIM($B64))),CkDJ[Credit])))+(SUM(IF((CsDJ[Date]=$A$3)*(CsDJ[Account Code]=(TRIM($B64))),CsDJ[Credit])))+(SUM(IF((CRDJ[Date]=$A$3)*(CRDJ[Account Code]=(TRIM($B64))),CRDJ[Credit])))+(SUM(IF((GJ[Date]=$A$3)*(GJ[Account Code]=(TRIM($B64))),GJ[Credit]))))</f>
        <v>0</v>
      </c>
      <c r="G64" s="343">
        <f>E64+F64</f>
        <v>0</v>
      </c>
      <c r="H64" s="246">
        <f>G64-D64</f>
        <v>0</v>
      </c>
      <c r="I64" s="246">
        <f>IF((D64=0),0,G64/D64)</f>
        <v>0</v>
      </c>
    </row>
    <row r="65" spans="1:9" hidden="1" x14ac:dyDescent="0.2">
      <c r="A65" s="247" t="s">
        <v>206</v>
      </c>
      <c r="B65" s="339" t="s">
        <v>173</v>
      </c>
      <c r="C65" s="245">
        <f t="array" ref="C65">SUM(IF((Budget[Account Code]=B65),(Budget[Amount])))</f>
        <v>700000</v>
      </c>
      <c r="D65" s="245">
        <f t="array" ref="D65">SUM(IF((Budget[Account Code]=B65)*(Budget[Date]&lt;=$D$7),(Budget[Amount])))</f>
        <v>700000</v>
      </c>
      <c r="E65" s="245">
        <f t="array" ref="E65">((SUM(IF((CkDJ[Account Code]=(TRIM($B65)))*(CkDJ[Date]&lt;=$E$7),CkDJ[Debit])))+(SUM(IF((CsDJ[Account Code]=(TRIM($B65)))*(CsDJ[Date]&lt;=$E$7),CsDJ[Debit])))+(SUM(IF((CRDJ[Account Code]=(TRIM($B65)))*(CRDJ[Date]&lt;=$E$7),CRDJ[Debit])))+(SUM(IF((GJ[Account Code]=(TRIM($B65)))*(GJ[Date]&lt;=$E$7),GJ[Debit]))))-((SUM(IF((CkDJ[Account Code]=(TRIM($B65)))*(CkDJ[Date]&lt;=$E$7),CkDJ[Credit])))+(SUM(IF((CsDJ[Account Code]=(TRIM($B65)))*(CsDJ[Date]&lt;=$E$7),CsDJ[Credit])))+(SUM(IF((CRDJ[Account Code]=(TRIM($B65)))*(CRDJ[Date]&lt;=$E$7),CRDJ[Credit])))+(SUM(IF((GJ[Account Code]=(TRIM($B65)))*(GJ[Date]&lt;=$E$7),GJ[Credit]))))</f>
        <v>0</v>
      </c>
      <c r="F65" s="245">
        <f t="array" ref="F65">((SUM(IF((CkDJ[Date]=$A$3)*(CkDJ[Account Code]=(TRIM($B65))),CkDJ[Debit])))+(SUM(IF((CsDJ[Date]=$A$3)*(CsDJ[Account Code]=(TRIM($B65))),CsDJ[Debit])))+(SUM(IF((CRDJ[Date]=$A$3)*(CRDJ[Account Code]=(TRIM($B65))),CRDJ[Debit])))+(SUM(IF((GJ[Date]=$A$3)*(GJ[Account Code]=(TRIM($B65))),GJ[Debit]))))-((SUM(IF((CkDJ[Date]=$A$3)*(CkDJ[Account Code]=(TRIM($B65))),CkDJ[Credit])))+(SUM(IF((CsDJ[Date]=$A$3)*(CsDJ[Account Code]=(TRIM($B65))),CsDJ[Credit])))+(SUM(IF((CRDJ[Date]=$A$3)*(CRDJ[Account Code]=(TRIM($B65))),CRDJ[Credit])))+(SUM(IF((GJ[Date]=$A$3)*(GJ[Account Code]=(TRIM($B65))),GJ[Credit]))))</f>
        <v>0</v>
      </c>
      <c r="G65" s="343">
        <f t="shared" si="8"/>
        <v>0</v>
      </c>
      <c r="H65" s="246">
        <f t="shared" si="6"/>
        <v>-700000</v>
      </c>
      <c r="I65" s="246">
        <f t="shared" si="7"/>
        <v>0</v>
      </c>
    </row>
    <row r="66" spans="1:9" hidden="1" x14ac:dyDescent="0.2">
      <c r="A66" s="247" t="s">
        <v>219</v>
      </c>
      <c r="B66" s="339" t="s">
        <v>214</v>
      </c>
      <c r="C66" s="245">
        <f t="array" ref="C66">SUM(IF((Budget[Account Code]=B66),(Budget[Amount])))</f>
        <v>0</v>
      </c>
      <c r="D66" s="245">
        <f t="array" ref="D66">SUM(IF((Budget[Account Code]=B66)*(Budget[Date]&lt;=$D$7),(Budget[Amount])))</f>
        <v>0</v>
      </c>
      <c r="E66" s="245">
        <f t="array" ref="E66">((SUM(IF((CkDJ[Account Code]=(TRIM($B66)))*(CkDJ[Date]&lt;=$E$7),CkDJ[Debit])))+(SUM(IF((CsDJ[Account Code]=(TRIM($B66)))*(CsDJ[Date]&lt;=$E$7),CsDJ[Debit])))+(SUM(IF((CRDJ[Account Code]=(TRIM($B66)))*(CRDJ[Date]&lt;=$E$7),CRDJ[Debit])))+(SUM(IF((GJ[Account Code]=(TRIM($B66)))*(GJ[Date]&lt;=$E$7),GJ[Debit]))))-((SUM(IF((CkDJ[Account Code]=(TRIM($B66)))*(CkDJ[Date]&lt;=$E$7),CkDJ[Credit])))+(SUM(IF((CsDJ[Account Code]=(TRIM($B66)))*(CsDJ[Date]&lt;=$E$7),CsDJ[Credit])))+(SUM(IF((CRDJ[Account Code]=(TRIM($B66)))*(CRDJ[Date]&lt;=$E$7),CRDJ[Credit])))+(SUM(IF((GJ[Account Code]=(TRIM($B66)))*(GJ[Date]&lt;=$E$7),GJ[Credit]))))</f>
        <v>0</v>
      </c>
      <c r="F66" s="245">
        <f t="array" ref="F66">((SUM(IF((CkDJ[Date]=$A$3)*(CkDJ[Account Code]=(TRIM($B66))),CkDJ[Debit])))+(SUM(IF((CsDJ[Date]=$A$3)*(CsDJ[Account Code]=(TRIM($B66))),CsDJ[Debit])))+(SUM(IF((CRDJ[Date]=$A$3)*(CRDJ[Account Code]=(TRIM($B66))),CRDJ[Debit])))+(SUM(IF((GJ[Date]=$A$3)*(GJ[Account Code]=(TRIM($B66))),GJ[Debit]))))-((SUM(IF((CkDJ[Date]=$A$3)*(CkDJ[Account Code]=(TRIM($B66))),CkDJ[Credit])))+(SUM(IF((CsDJ[Date]=$A$3)*(CsDJ[Account Code]=(TRIM($B66))),CsDJ[Credit])))+(SUM(IF((CRDJ[Date]=$A$3)*(CRDJ[Account Code]=(TRIM($B66))),CRDJ[Credit])))+(SUM(IF((GJ[Date]=$A$3)*(GJ[Account Code]=(TRIM($B66))),GJ[Credit]))))</f>
        <v>0</v>
      </c>
      <c r="G66" s="343">
        <f t="shared" si="8"/>
        <v>0</v>
      </c>
      <c r="H66" s="246">
        <f t="shared" si="6"/>
        <v>0</v>
      </c>
      <c r="I66" s="246">
        <f t="shared" si="7"/>
        <v>0</v>
      </c>
    </row>
    <row r="67" spans="1:9" hidden="1" x14ac:dyDescent="0.2">
      <c r="A67" s="247" t="s">
        <v>205</v>
      </c>
      <c r="B67" s="339" t="s">
        <v>172</v>
      </c>
      <c r="C67" s="245">
        <f t="array" ref="C67">SUM(IF((Budget[Account Code]=B67),(Budget[Amount])))</f>
        <v>1320000</v>
      </c>
      <c r="D67" s="245">
        <f t="array" ref="D67">SUM(IF((Budget[Account Code]=B67)*(Budget[Date]&lt;=$D$7),(Budget[Amount])))</f>
        <v>1320000</v>
      </c>
      <c r="E67" s="245">
        <f t="array" ref="E67">((SUM(IF((CkDJ[Account Code]=(TRIM($B67)))*(CkDJ[Date]&lt;=$E$7),CkDJ[Debit])))+(SUM(IF((CsDJ[Account Code]=(TRIM($B67)))*(CsDJ[Date]&lt;=$E$7),CsDJ[Debit])))+(SUM(IF((CRDJ[Account Code]=(TRIM($B67)))*(CRDJ[Date]&lt;=$E$7),CRDJ[Debit])))+(SUM(IF((GJ[Account Code]=(TRIM($B67)))*(GJ[Date]&lt;=$E$7),GJ[Debit]))))-((SUM(IF((CkDJ[Account Code]=(TRIM($B67)))*(CkDJ[Date]&lt;=$E$7),CkDJ[Credit])))+(SUM(IF((CsDJ[Account Code]=(TRIM($B67)))*(CsDJ[Date]&lt;=$E$7),CsDJ[Credit])))+(SUM(IF((CRDJ[Account Code]=(TRIM($B67)))*(CRDJ[Date]&lt;=$E$7),CRDJ[Credit])))+(SUM(IF((GJ[Account Code]=(TRIM($B67)))*(GJ[Date]&lt;=$E$7),GJ[Credit]))))</f>
        <v>0</v>
      </c>
      <c r="F67" s="245">
        <f t="array" ref="F67">((SUM(IF((CkDJ[Date]=$A$3)*(CkDJ[Account Code]=(TRIM($B67))),CkDJ[Debit])))+(SUM(IF((CsDJ[Date]=$A$3)*(CsDJ[Account Code]=(TRIM($B67))),CsDJ[Debit])))+(SUM(IF((CRDJ[Date]=$A$3)*(CRDJ[Account Code]=(TRIM($B67))),CRDJ[Debit])))+(SUM(IF((GJ[Date]=$A$3)*(GJ[Account Code]=(TRIM($B67))),GJ[Debit]))))-((SUM(IF((CkDJ[Date]=$A$3)*(CkDJ[Account Code]=(TRIM($B67))),CkDJ[Credit])))+(SUM(IF((CsDJ[Date]=$A$3)*(CsDJ[Account Code]=(TRIM($B67))),CsDJ[Credit])))+(SUM(IF((CRDJ[Date]=$A$3)*(CRDJ[Account Code]=(TRIM($B67))),CRDJ[Credit])))+(SUM(IF((GJ[Date]=$A$3)*(GJ[Account Code]=(TRIM($B67))),GJ[Credit]))))</f>
        <v>0</v>
      </c>
      <c r="G67" s="343">
        <f t="shared" si="8"/>
        <v>0</v>
      </c>
      <c r="H67" s="246">
        <f t="shared" si="6"/>
        <v>-1320000</v>
      </c>
      <c r="I67" s="246">
        <f t="shared" si="7"/>
        <v>0</v>
      </c>
    </row>
    <row r="68" spans="1:9" hidden="1" x14ac:dyDescent="0.2">
      <c r="A68" s="247" t="s">
        <v>207</v>
      </c>
      <c r="B68" s="339" t="s">
        <v>174</v>
      </c>
      <c r="C68" s="245">
        <f t="array" ref="C68">SUM(IF((Budget[Account Code]=B68),(Budget[Amount])))</f>
        <v>11774793</v>
      </c>
      <c r="D68" s="245">
        <f t="array" ref="D68">SUM(IF((Budget[Account Code]=B68)*(Budget[Date]&lt;=$D$7),(Budget[Amount])))</f>
        <v>11774793</v>
      </c>
      <c r="E68" s="245">
        <f t="array" ref="E68">((SUM(IF((CkDJ[Account Code]=(TRIM($B68)))*(CkDJ[Date]&lt;=$E$7),CkDJ[Debit])))+(SUM(IF((CsDJ[Account Code]=(TRIM($B68)))*(CsDJ[Date]&lt;=$E$7),CsDJ[Debit])))+(SUM(IF((CRDJ[Account Code]=(TRIM($B68)))*(CRDJ[Date]&lt;=$E$7),CRDJ[Debit])))+(SUM(IF((GJ[Account Code]=(TRIM($B68)))*(GJ[Date]&lt;=$E$7),GJ[Debit]))))-((SUM(IF((CkDJ[Account Code]=(TRIM($B68)))*(CkDJ[Date]&lt;=$E$7),CkDJ[Credit])))+(SUM(IF((CsDJ[Account Code]=(TRIM($B68)))*(CsDJ[Date]&lt;=$E$7),CsDJ[Credit])))+(SUM(IF((CRDJ[Account Code]=(TRIM($B68)))*(CRDJ[Date]&lt;=$E$7),CRDJ[Credit])))+(SUM(IF((GJ[Account Code]=(TRIM($B68)))*(GJ[Date]&lt;=$E$7),GJ[Credit]))))</f>
        <v>0</v>
      </c>
      <c r="F68" s="245">
        <f t="array" ref="F68">((SUM(IF((CkDJ[Date]=$A$3)*(CkDJ[Account Code]=(TRIM($B68))),CkDJ[Debit])))+(SUM(IF((CsDJ[Date]=$A$3)*(CsDJ[Account Code]=(TRIM($B68))),CsDJ[Debit])))+(SUM(IF((CRDJ[Date]=$A$3)*(CRDJ[Account Code]=(TRIM($B68))),CRDJ[Debit])))+(SUM(IF((GJ[Date]=$A$3)*(GJ[Account Code]=(TRIM($B68))),GJ[Debit]))))-((SUM(IF((CkDJ[Date]=$A$3)*(CkDJ[Account Code]=(TRIM($B68))),CkDJ[Credit])))+(SUM(IF((CsDJ[Date]=$A$3)*(CsDJ[Account Code]=(TRIM($B68))),CsDJ[Credit])))+(SUM(IF((CRDJ[Date]=$A$3)*(CRDJ[Account Code]=(TRIM($B68))),CRDJ[Credit])))+(SUM(IF((GJ[Date]=$A$3)*(GJ[Account Code]=(TRIM($B68))),GJ[Credit]))))</f>
        <v>0</v>
      </c>
      <c r="G68" s="343">
        <f t="shared" si="8"/>
        <v>0</v>
      </c>
      <c r="H68" s="246">
        <f t="shared" si="6"/>
        <v>-11774793</v>
      </c>
      <c r="I68" s="246">
        <f t="shared" si="7"/>
        <v>0</v>
      </c>
    </row>
    <row r="69" spans="1:9" hidden="1" x14ac:dyDescent="0.2">
      <c r="A69" s="247" t="s">
        <v>208</v>
      </c>
      <c r="B69" s="339" t="s">
        <v>175</v>
      </c>
      <c r="C69" s="245">
        <f t="array" ref="C69">SUM(IF((Budget[Account Code]=B69),(Budget[Amount])))</f>
        <v>8507018.1600000001</v>
      </c>
      <c r="D69" s="245">
        <f t="array" ref="D69">SUM(IF((Budget[Account Code]=B69)*(Budget[Date]&lt;=$D$7),(Budget[Amount])))</f>
        <v>8507018.1600000001</v>
      </c>
      <c r="E69" s="245">
        <f t="array" ref="E69">((SUM(IF((CkDJ[Account Code]=(TRIM($B69)))*(CkDJ[Date]&lt;=$E$7),CkDJ[Debit])))+(SUM(IF((CsDJ[Account Code]=(TRIM($B69)))*(CsDJ[Date]&lt;=$E$7),CsDJ[Debit])))+(SUM(IF((CRDJ[Account Code]=(TRIM($B69)))*(CRDJ[Date]&lt;=$E$7),CRDJ[Debit])))+(SUM(IF((GJ[Account Code]=(TRIM($B69)))*(GJ[Date]&lt;=$E$7),GJ[Debit]))))-((SUM(IF((CkDJ[Account Code]=(TRIM($B69)))*(CkDJ[Date]&lt;=$E$7),CkDJ[Credit])))+(SUM(IF((CsDJ[Account Code]=(TRIM($B69)))*(CsDJ[Date]&lt;=$E$7),CsDJ[Credit])))+(SUM(IF((CRDJ[Account Code]=(TRIM($B69)))*(CRDJ[Date]&lt;=$E$7),CRDJ[Credit])))+(SUM(IF((GJ[Account Code]=(TRIM($B69)))*(GJ[Date]&lt;=$E$7),GJ[Credit]))))</f>
        <v>0</v>
      </c>
      <c r="F69" s="245">
        <f t="array" ref="F69">((SUM(IF((CkDJ[Date]=$A$3)*(CkDJ[Account Code]=(TRIM($B69))),CkDJ[Debit])))+(SUM(IF((CsDJ[Date]=$A$3)*(CsDJ[Account Code]=(TRIM($B69))),CsDJ[Debit])))+(SUM(IF((CRDJ[Date]=$A$3)*(CRDJ[Account Code]=(TRIM($B69))),CRDJ[Debit])))+(SUM(IF((GJ[Date]=$A$3)*(GJ[Account Code]=(TRIM($B69))),GJ[Debit]))))-((SUM(IF((CkDJ[Date]=$A$3)*(CkDJ[Account Code]=(TRIM($B69))),CkDJ[Credit])))+(SUM(IF((CsDJ[Date]=$A$3)*(CsDJ[Account Code]=(TRIM($B69))),CsDJ[Credit])))+(SUM(IF((CRDJ[Date]=$A$3)*(CRDJ[Account Code]=(TRIM($B69))),CRDJ[Credit])))+(SUM(IF((GJ[Date]=$A$3)*(GJ[Account Code]=(TRIM($B69))),GJ[Credit]))))</f>
        <v>0</v>
      </c>
      <c r="G69" s="343">
        <f t="shared" si="8"/>
        <v>0</v>
      </c>
      <c r="H69" s="246">
        <f t="shared" si="6"/>
        <v>-8507018.1600000001</v>
      </c>
      <c r="I69" s="246">
        <f t="shared" si="7"/>
        <v>0</v>
      </c>
    </row>
    <row r="70" spans="1:9" hidden="1" x14ac:dyDescent="0.2">
      <c r="A70" s="247" t="s">
        <v>209</v>
      </c>
      <c r="B70" s="339" t="s">
        <v>176</v>
      </c>
      <c r="C70" s="245">
        <f t="array" ref="C70">SUM(IF((Budget[Account Code]=B70),(Budget[Amount])))</f>
        <v>308220</v>
      </c>
      <c r="D70" s="245">
        <f t="array" ref="D70">SUM(IF((Budget[Account Code]=B70)*(Budget[Date]&lt;=$D$7),(Budget[Amount])))</f>
        <v>308220</v>
      </c>
      <c r="E70" s="245">
        <f t="array" ref="E70">((SUM(IF((CkDJ[Account Code]=(TRIM($B70)))*(CkDJ[Date]&lt;=$E$7),CkDJ[Debit])))+(SUM(IF((CsDJ[Account Code]=(TRIM($B70)))*(CsDJ[Date]&lt;=$E$7),CsDJ[Debit])))+(SUM(IF((CRDJ[Account Code]=(TRIM($B70)))*(CRDJ[Date]&lt;=$E$7),CRDJ[Debit])))+(SUM(IF((GJ[Account Code]=(TRIM($B70)))*(GJ[Date]&lt;=$E$7),GJ[Debit]))))-((SUM(IF((CkDJ[Account Code]=(TRIM($B70)))*(CkDJ[Date]&lt;=$E$7),CkDJ[Credit])))+(SUM(IF((CsDJ[Account Code]=(TRIM($B70)))*(CsDJ[Date]&lt;=$E$7),CsDJ[Credit])))+(SUM(IF((CRDJ[Account Code]=(TRIM($B70)))*(CRDJ[Date]&lt;=$E$7),CRDJ[Credit])))+(SUM(IF((GJ[Account Code]=(TRIM($B70)))*(GJ[Date]&lt;=$E$7),GJ[Credit]))))</f>
        <v>0</v>
      </c>
      <c r="F70" s="245">
        <f t="array" ref="F70">((SUM(IF((CkDJ[Date]=$A$3)*(CkDJ[Account Code]=(TRIM($B70))),CkDJ[Debit])))+(SUM(IF((CsDJ[Date]=$A$3)*(CsDJ[Account Code]=(TRIM($B70))),CsDJ[Debit])))+(SUM(IF((CRDJ[Date]=$A$3)*(CRDJ[Account Code]=(TRIM($B70))),CRDJ[Debit])))+(SUM(IF((GJ[Date]=$A$3)*(GJ[Account Code]=(TRIM($B70))),GJ[Debit]))))-((SUM(IF((CkDJ[Date]=$A$3)*(CkDJ[Account Code]=(TRIM($B70))),CkDJ[Credit])))+(SUM(IF((CsDJ[Date]=$A$3)*(CsDJ[Account Code]=(TRIM($B70))),CsDJ[Credit])))+(SUM(IF((CRDJ[Date]=$A$3)*(CRDJ[Account Code]=(TRIM($B70))),CRDJ[Credit])))+(SUM(IF((GJ[Date]=$A$3)*(GJ[Account Code]=(TRIM($B70))),GJ[Credit]))))</f>
        <v>0</v>
      </c>
      <c r="G70" s="343">
        <f t="shared" si="8"/>
        <v>0</v>
      </c>
      <c r="H70" s="246">
        <f t="shared" si="6"/>
        <v>-308220</v>
      </c>
      <c r="I70" s="246">
        <f t="shared" si="7"/>
        <v>0</v>
      </c>
    </row>
    <row r="71" spans="1:9" hidden="1" x14ac:dyDescent="0.2">
      <c r="A71" s="247" t="s">
        <v>210</v>
      </c>
      <c r="B71" s="339" t="s">
        <v>177</v>
      </c>
      <c r="C71" s="245">
        <f t="array" ref="C71">SUM(IF((Budget[Account Code]=B71),(Budget[Amount])))</f>
        <v>854389.32</v>
      </c>
      <c r="D71" s="245">
        <f t="array" ref="D71">SUM(IF((Budget[Account Code]=B71)*(Budget[Date]&lt;=$D$7),(Budget[Amount])))</f>
        <v>854389.32</v>
      </c>
      <c r="E71" s="245">
        <f t="array" ref="E71">((SUM(IF((CkDJ[Account Code]=(TRIM($B71)))*(CkDJ[Date]&lt;=$E$7),CkDJ[Debit])))+(SUM(IF((CsDJ[Account Code]=(TRIM($B71)))*(CsDJ[Date]&lt;=$E$7),CsDJ[Debit])))+(SUM(IF((CRDJ[Account Code]=(TRIM($B71)))*(CRDJ[Date]&lt;=$E$7),CRDJ[Debit])))+(SUM(IF((GJ[Account Code]=(TRIM($B71)))*(GJ[Date]&lt;=$E$7),GJ[Debit]))))-((SUM(IF((CkDJ[Account Code]=(TRIM($B71)))*(CkDJ[Date]&lt;=$E$7),CkDJ[Credit])))+(SUM(IF((CsDJ[Account Code]=(TRIM($B71)))*(CsDJ[Date]&lt;=$E$7),CsDJ[Credit])))+(SUM(IF((CRDJ[Account Code]=(TRIM($B71)))*(CRDJ[Date]&lt;=$E$7),CRDJ[Credit])))+(SUM(IF((GJ[Account Code]=(TRIM($B71)))*(GJ[Date]&lt;=$E$7),GJ[Credit]))))</f>
        <v>0</v>
      </c>
      <c r="F71" s="245">
        <f t="array" ref="F71">((SUM(IF((CkDJ[Date]=$A$3)*(CkDJ[Account Code]=(TRIM($B71))),CkDJ[Debit])))+(SUM(IF((CsDJ[Date]=$A$3)*(CsDJ[Account Code]=(TRIM($B71))),CsDJ[Debit])))+(SUM(IF((CRDJ[Date]=$A$3)*(CRDJ[Account Code]=(TRIM($B71))),CRDJ[Debit])))+(SUM(IF((GJ[Date]=$A$3)*(GJ[Account Code]=(TRIM($B71))),GJ[Debit]))))-((SUM(IF((CkDJ[Date]=$A$3)*(CkDJ[Account Code]=(TRIM($B71))),CkDJ[Credit])))+(SUM(IF((CsDJ[Date]=$A$3)*(CsDJ[Account Code]=(TRIM($B71))),CsDJ[Credit])))+(SUM(IF((CRDJ[Date]=$A$3)*(CRDJ[Account Code]=(TRIM($B71))),CRDJ[Credit])))+(SUM(IF((GJ[Date]=$A$3)*(GJ[Account Code]=(TRIM($B71))),GJ[Credit]))))</f>
        <v>0</v>
      </c>
      <c r="G71" s="343">
        <f t="shared" si="8"/>
        <v>0</v>
      </c>
      <c r="H71" s="246">
        <f t="shared" si="6"/>
        <v>-854389.32</v>
      </c>
      <c r="I71" s="246">
        <f t="shared" si="7"/>
        <v>0</v>
      </c>
    </row>
    <row r="72" spans="1:9" hidden="1" x14ac:dyDescent="0.2">
      <c r="A72" s="247" t="s">
        <v>211</v>
      </c>
      <c r="B72" s="339" t="s">
        <v>178</v>
      </c>
      <c r="C72" s="245">
        <f t="array" ref="C72">SUM(IF((Budget[Account Code]=B72),(Budget[Amount])))</f>
        <v>307320</v>
      </c>
      <c r="D72" s="245">
        <f t="array" ref="D72">SUM(IF((Budget[Account Code]=B72)*(Budget[Date]&lt;=$D$7),(Budget[Amount])))</f>
        <v>307320</v>
      </c>
      <c r="E72" s="245">
        <f t="array" ref="E72">((SUM(IF((CkDJ[Account Code]=(TRIM($B72)))*(CkDJ[Date]&lt;=$E$7),CkDJ[Debit])))+(SUM(IF((CsDJ[Account Code]=(TRIM($B72)))*(CsDJ[Date]&lt;=$E$7),CsDJ[Debit])))+(SUM(IF((CRDJ[Account Code]=(TRIM($B72)))*(CRDJ[Date]&lt;=$E$7),CRDJ[Debit])))+(SUM(IF((GJ[Account Code]=(TRIM($B72)))*(GJ[Date]&lt;=$E$7),GJ[Debit]))))-((SUM(IF((CkDJ[Account Code]=(TRIM($B72)))*(CkDJ[Date]&lt;=$E$7),CkDJ[Credit])))+(SUM(IF((CsDJ[Account Code]=(TRIM($B72)))*(CsDJ[Date]&lt;=$E$7),CsDJ[Credit])))+(SUM(IF((CRDJ[Account Code]=(TRIM($B72)))*(CRDJ[Date]&lt;=$E$7),CRDJ[Credit])))+(SUM(IF((GJ[Account Code]=(TRIM($B72)))*(GJ[Date]&lt;=$E$7),GJ[Credit]))))</f>
        <v>0</v>
      </c>
      <c r="F72" s="245">
        <f t="array" ref="F72">((SUM(IF((CkDJ[Date]=$A$3)*(CkDJ[Account Code]=(TRIM($B72))),CkDJ[Debit])))+(SUM(IF((CsDJ[Date]=$A$3)*(CsDJ[Account Code]=(TRIM($B72))),CsDJ[Debit])))+(SUM(IF((CRDJ[Date]=$A$3)*(CRDJ[Account Code]=(TRIM($B72))),CRDJ[Debit])))+(SUM(IF((GJ[Date]=$A$3)*(GJ[Account Code]=(TRIM($B72))),GJ[Debit]))))-((SUM(IF((CkDJ[Date]=$A$3)*(CkDJ[Account Code]=(TRIM($B72))),CkDJ[Credit])))+(SUM(IF((CsDJ[Date]=$A$3)*(CsDJ[Account Code]=(TRIM($B72))),CsDJ[Credit])))+(SUM(IF((CRDJ[Date]=$A$3)*(CRDJ[Account Code]=(TRIM($B72))),CRDJ[Credit])))+(SUM(IF((GJ[Date]=$A$3)*(GJ[Account Code]=(TRIM($B72))),GJ[Credit]))))</f>
        <v>0</v>
      </c>
      <c r="G72" s="343">
        <f t="shared" si="8"/>
        <v>0</v>
      </c>
      <c r="H72" s="246">
        <f t="shared" si="6"/>
        <v>-307320</v>
      </c>
      <c r="I72" s="246">
        <f t="shared" si="7"/>
        <v>0</v>
      </c>
    </row>
    <row r="73" spans="1:9" hidden="1" x14ac:dyDescent="0.2">
      <c r="A73" s="247" t="s">
        <v>1016</v>
      </c>
      <c r="B73" s="339" t="s">
        <v>985</v>
      </c>
      <c r="C73" s="245">
        <f t="array" ref="C73">SUM(IF((Budget[Account Code]=B73),(Budget[Amount])))</f>
        <v>0</v>
      </c>
      <c r="D73" s="245">
        <f t="array" ref="D73">SUM(IF((Budget[Account Code]=B73)*(Budget[Date]&lt;=$D$7),(Budget[Amount])))</f>
        <v>0</v>
      </c>
      <c r="E73" s="245">
        <f t="array" ref="E73">((SUM(IF((CkDJ[Account Code]=(TRIM($B73)))*(CkDJ[Date]&lt;=$E$7),CkDJ[Debit])))+(SUM(IF((CsDJ[Account Code]=(TRIM($B73)))*(CsDJ[Date]&lt;=$E$7),CsDJ[Debit])))+(SUM(IF((CRDJ[Account Code]=(TRIM($B73)))*(CRDJ[Date]&lt;=$E$7),CRDJ[Debit])))+(SUM(IF((GJ[Account Code]=(TRIM($B73)))*(GJ[Date]&lt;=$E$7),GJ[Debit]))))-((SUM(IF((CkDJ[Account Code]=(TRIM($B73)))*(CkDJ[Date]&lt;=$E$7),CkDJ[Credit])))+(SUM(IF((CsDJ[Account Code]=(TRIM($B73)))*(CsDJ[Date]&lt;=$E$7),CsDJ[Credit])))+(SUM(IF((CRDJ[Account Code]=(TRIM($B73)))*(CRDJ[Date]&lt;=$E$7),CRDJ[Credit])))+(SUM(IF((GJ[Account Code]=(TRIM($B73)))*(GJ[Date]&lt;=$E$7),GJ[Credit]))))</f>
        <v>0</v>
      </c>
      <c r="F73" s="245">
        <f t="array" ref="F73">((SUM(IF((CkDJ[Date]=$A$3)*(CkDJ[Account Code]=(TRIM($B73))),CkDJ[Debit])))+(SUM(IF((CsDJ[Date]=$A$3)*(CsDJ[Account Code]=(TRIM($B73))),CsDJ[Debit])))+(SUM(IF((CRDJ[Date]=$A$3)*(CRDJ[Account Code]=(TRIM($B73))),CRDJ[Debit])))+(SUM(IF((GJ[Date]=$A$3)*(GJ[Account Code]=(TRIM($B73))),GJ[Debit]))))-((SUM(IF((CkDJ[Date]=$A$3)*(CkDJ[Account Code]=(TRIM($B73))),CkDJ[Credit])))+(SUM(IF((CsDJ[Date]=$A$3)*(CsDJ[Account Code]=(TRIM($B73))),CsDJ[Credit])))+(SUM(IF((CRDJ[Date]=$A$3)*(CRDJ[Account Code]=(TRIM($B73))),CRDJ[Credit])))+(SUM(IF((GJ[Date]=$A$3)*(GJ[Account Code]=(TRIM($B73))),GJ[Credit]))))</f>
        <v>0</v>
      </c>
      <c r="G73" s="343">
        <f>E73+F73</f>
        <v>0</v>
      </c>
      <c r="H73" s="246">
        <f>G73-D73</f>
        <v>0</v>
      </c>
      <c r="I73" s="246">
        <f>IF((D73=0),0,G73/D73)</f>
        <v>0</v>
      </c>
    </row>
    <row r="74" spans="1:9" hidden="1" x14ac:dyDescent="0.2">
      <c r="A74" s="247" t="s">
        <v>1173</v>
      </c>
      <c r="B74" s="339" t="s">
        <v>213</v>
      </c>
      <c r="C74" s="245">
        <f t="array" ref="C74">SUM(IF((Budget[Account Code]=B74),(Budget[Amount])))</f>
        <v>0</v>
      </c>
      <c r="D74" s="245">
        <f t="array" ref="D74">SUM(IF((Budget[Account Code]=B74)*(Budget[Date]&lt;=$D$7),(Budget[Amount])))</f>
        <v>0</v>
      </c>
      <c r="E74" s="245">
        <f t="array" ref="E74">((SUM(IF((CkDJ[Account Code]=(TRIM($B74)))*(CkDJ[Date]&lt;=$E$7),CkDJ[Debit])))+(SUM(IF((CsDJ[Account Code]=(TRIM($B74)))*(CsDJ[Date]&lt;=$E$7),CsDJ[Debit])))+(SUM(IF((CRDJ[Account Code]=(TRIM($B74)))*(CRDJ[Date]&lt;=$E$7),CRDJ[Debit])))+(SUM(IF((GJ[Account Code]=(TRIM($B74)))*(GJ[Date]&lt;=$E$7),GJ[Debit]))))-((SUM(IF((CkDJ[Account Code]=(TRIM($B74)))*(CkDJ[Date]&lt;=$E$7),CkDJ[Credit])))+(SUM(IF((CsDJ[Account Code]=(TRIM($B74)))*(CsDJ[Date]&lt;=$E$7),CsDJ[Credit])))+(SUM(IF((CRDJ[Account Code]=(TRIM($B74)))*(CRDJ[Date]&lt;=$E$7),CRDJ[Credit])))+(SUM(IF((GJ[Account Code]=(TRIM($B74)))*(GJ[Date]&lt;=$E$7),GJ[Credit]))))</f>
        <v>0</v>
      </c>
      <c r="F74" s="245">
        <f t="array" ref="F74">((SUM(IF((CkDJ[Date]=$A$3)*(CkDJ[Account Code]=(TRIM($B74))),CkDJ[Debit])))+(SUM(IF((CsDJ[Date]=$A$3)*(CsDJ[Account Code]=(TRIM($B74))),CsDJ[Debit])))+(SUM(IF((CRDJ[Date]=$A$3)*(CRDJ[Account Code]=(TRIM($B74))),CRDJ[Debit])))+(SUM(IF((GJ[Date]=$A$3)*(GJ[Account Code]=(TRIM($B74))),GJ[Debit]))))-((SUM(IF((CkDJ[Date]=$A$3)*(CkDJ[Account Code]=(TRIM($B74))),CkDJ[Credit])))+(SUM(IF((CsDJ[Date]=$A$3)*(CsDJ[Account Code]=(TRIM($B74))),CsDJ[Credit])))+(SUM(IF((CRDJ[Date]=$A$3)*(CRDJ[Account Code]=(TRIM($B74))),CRDJ[Credit])))+(SUM(IF((GJ[Date]=$A$3)*(GJ[Account Code]=(TRIM($B74))),GJ[Credit]))))</f>
        <v>0</v>
      </c>
      <c r="G74" s="343">
        <f t="shared" si="8"/>
        <v>0</v>
      </c>
      <c r="H74" s="246">
        <f t="shared" si="6"/>
        <v>0</v>
      </c>
      <c r="I74" s="246">
        <f t="shared" si="7"/>
        <v>0</v>
      </c>
    </row>
    <row r="75" spans="1:9" x14ac:dyDescent="0.2">
      <c r="A75" s="243" t="s">
        <v>805</v>
      </c>
      <c r="B75" s="337"/>
      <c r="C75" s="245"/>
      <c r="D75" s="245"/>
      <c r="E75" s="246"/>
      <c r="F75" s="245"/>
      <c r="G75" s="246"/>
      <c r="H75" s="246"/>
      <c r="I75" s="246"/>
    </row>
    <row r="76" spans="1:9" x14ac:dyDescent="0.2">
      <c r="A76" s="239" t="s">
        <v>810</v>
      </c>
      <c r="B76" s="337"/>
      <c r="C76" s="252">
        <f>C77+C139</f>
        <v>50376822.520000003</v>
      </c>
      <c r="D76" s="252">
        <f>D77+D139</f>
        <v>50376822.520000003</v>
      </c>
      <c r="E76" s="252">
        <f>E77+E139</f>
        <v>0</v>
      </c>
      <c r="F76" s="252">
        <f>F77+F139</f>
        <v>0</v>
      </c>
      <c r="G76" s="252">
        <f>G77+G139</f>
        <v>0</v>
      </c>
      <c r="H76" s="242">
        <f t="shared" si="6"/>
        <v>-50376822.520000003</v>
      </c>
      <c r="I76" s="242">
        <f t="shared" si="7"/>
        <v>0</v>
      </c>
    </row>
    <row r="77" spans="1:9" x14ac:dyDescent="0.2">
      <c r="A77" s="253" t="s">
        <v>809</v>
      </c>
      <c r="B77" s="337"/>
      <c r="C77" s="254">
        <f>C78+C138</f>
        <v>34301384.009999998</v>
      </c>
      <c r="D77" s="254">
        <f>D78+D138</f>
        <v>34301384.009999998</v>
      </c>
      <c r="E77" s="254">
        <f>E78+E138</f>
        <v>0</v>
      </c>
      <c r="F77" s="254">
        <f>F78+F138</f>
        <v>0</v>
      </c>
      <c r="G77" s="254">
        <f>G78+G138</f>
        <v>0</v>
      </c>
      <c r="H77" s="246">
        <f t="shared" si="6"/>
        <v>-34301384.009999998</v>
      </c>
      <c r="I77" s="246">
        <f t="shared" si="7"/>
        <v>0</v>
      </c>
    </row>
    <row r="78" spans="1:9" x14ac:dyDescent="0.2">
      <c r="A78" s="255" t="s">
        <v>806</v>
      </c>
      <c r="B78" s="337"/>
      <c r="C78" s="246">
        <f>SUM(C79:C137)</f>
        <v>34301384.009999998</v>
      </c>
      <c r="D78" s="246">
        <f>SUM(D79:D137)</f>
        <v>34301384.009999998</v>
      </c>
      <c r="E78" s="246">
        <f>SUM(E79:E137)</f>
        <v>0</v>
      </c>
      <c r="F78" s="246">
        <f>SUM(F79:F137)</f>
        <v>0</v>
      </c>
      <c r="G78" s="246">
        <f>SUM(G79:G137)</f>
        <v>0</v>
      </c>
      <c r="H78" s="246">
        <f t="shared" si="6"/>
        <v>-34301384.009999998</v>
      </c>
      <c r="I78" s="246">
        <f t="shared" si="7"/>
        <v>0</v>
      </c>
    </row>
    <row r="79" spans="1:9" hidden="1" x14ac:dyDescent="0.2">
      <c r="A79" s="256" t="s">
        <v>284</v>
      </c>
      <c r="B79" s="339" t="s">
        <v>223</v>
      </c>
      <c r="C79" s="245">
        <f t="array" ref="C79">SUM(IF((Budget[Account Code]=B79),(Budget[Amount])))</f>
        <v>516160</v>
      </c>
      <c r="D79" s="245">
        <f t="array" ref="D79">SUM(IF((Budget[Account Code]=B79)*(Budget[Date]&lt;=$D$7),(Budget[Amount])))</f>
        <v>516160</v>
      </c>
      <c r="E79" s="245">
        <f t="array" ref="E79">((SUM(IF((CkDJ[Account Code]=(TRIM($B79)))*(CkDJ[Date]&lt;=$E$7),CkDJ[Debit])))+(SUM(IF((CsDJ[Account Code]=(TRIM($B79)))*(CsDJ[Date]&lt;=$E$7),CsDJ[Debit])))+(SUM(IF((CRDJ[Account Code]=(TRIM($B79)))*(CRDJ[Date]&lt;=$E$7),CRDJ[Debit])))+(SUM(IF((GJ[Account Code]=(TRIM($B79)))*(GJ[Date]&lt;=$E$7),GJ[Debit]))))-((SUM(IF((CkDJ[Account Code]=(TRIM($B79)))*(CkDJ[Date]&lt;=$E$7),CkDJ[Credit])))+(SUM(IF((CsDJ[Account Code]=(TRIM($B79)))*(CsDJ[Date]&lt;=$E$7),CsDJ[Credit])))+(SUM(IF((CRDJ[Account Code]=(TRIM($B79)))*(CRDJ[Date]&lt;=$E$7),CRDJ[Credit])))+(SUM(IF((GJ[Account Code]=(TRIM($B79)))*(GJ[Date]&lt;=$E$7),GJ[Credit]))))</f>
        <v>0</v>
      </c>
      <c r="F79" s="245">
        <f t="array" ref="F79">((SUM(IF((CkDJ[Date]=$A$3)*(CkDJ[Account Code]=(TRIM($B79))),CkDJ[Debit])))+(SUM(IF((CsDJ[Date]=$A$3)*(CsDJ[Account Code]=(TRIM($B79))),CsDJ[Debit])))+(SUM(IF((CRDJ[Date]=$A$3)*(CRDJ[Account Code]=(TRIM($B79))),CRDJ[Debit])))+(SUM(IF((GJ[Date]=$A$3)*(GJ[Account Code]=(TRIM($B79))),GJ[Debit]))))-((SUM(IF((CkDJ[Date]=$A$3)*(CkDJ[Account Code]=(TRIM($B79))),CkDJ[Credit])))+(SUM(IF((CsDJ[Date]=$A$3)*(CsDJ[Account Code]=(TRIM($B79))),CsDJ[Credit])))+(SUM(IF((CRDJ[Date]=$A$3)*(CRDJ[Account Code]=(TRIM($B79))),CRDJ[Credit])))+(SUM(IF((GJ[Date]=$A$3)*(GJ[Account Code]=(TRIM($B79))),GJ[Credit]))))</f>
        <v>0</v>
      </c>
      <c r="G79" s="343">
        <f t="shared" ref="G79:G137" si="9">E79+F79</f>
        <v>0</v>
      </c>
      <c r="H79" s="246">
        <f t="shared" si="6"/>
        <v>-516160</v>
      </c>
      <c r="I79" s="246">
        <f t="shared" si="7"/>
        <v>0</v>
      </c>
    </row>
    <row r="80" spans="1:9" hidden="1" x14ac:dyDescent="0.2">
      <c r="A80" s="256" t="s">
        <v>1477</v>
      </c>
      <c r="B80" s="339" t="s">
        <v>1233</v>
      </c>
      <c r="C80" s="245">
        <f t="array" ref="C80">SUM(IF((Budget[Account Code]=B80),(Budget[Amount])))</f>
        <v>0</v>
      </c>
      <c r="D80" s="245">
        <f t="array" ref="D80">SUM(IF((Budget[Account Code]=B80)*(Budget[Date]&lt;=$D$7),(Budget[Amount])))</f>
        <v>0</v>
      </c>
      <c r="E80" s="245">
        <f t="array" ref="E80">((SUM(IF((CkDJ[Account Code]=(TRIM($B80)))*(CkDJ[Date]&lt;=$E$7),CkDJ[Debit])))+(SUM(IF((CsDJ[Account Code]=(TRIM($B80)))*(CsDJ[Date]&lt;=$E$7),CsDJ[Debit])))+(SUM(IF((CRDJ[Account Code]=(TRIM($B80)))*(CRDJ[Date]&lt;=$E$7),CRDJ[Debit])))+(SUM(IF((GJ[Account Code]=(TRIM($B80)))*(GJ[Date]&lt;=$E$7),GJ[Debit]))))-((SUM(IF((CkDJ[Account Code]=(TRIM($B80)))*(CkDJ[Date]&lt;=$E$7),CkDJ[Credit])))+(SUM(IF((CsDJ[Account Code]=(TRIM($B80)))*(CsDJ[Date]&lt;=$E$7),CsDJ[Credit])))+(SUM(IF((CRDJ[Account Code]=(TRIM($B80)))*(CRDJ[Date]&lt;=$E$7),CRDJ[Credit])))+(SUM(IF((GJ[Account Code]=(TRIM($B80)))*(GJ[Date]&lt;=$E$7),GJ[Credit]))))</f>
        <v>0</v>
      </c>
      <c r="F80" s="245">
        <f t="array" ref="F80">((SUM(IF((CkDJ[Date]=$A$3)*(CkDJ[Account Code]=(TRIM($B80))),CkDJ[Debit])))+(SUM(IF((CsDJ[Date]=$A$3)*(CsDJ[Account Code]=(TRIM($B80))),CsDJ[Debit])))+(SUM(IF((CRDJ[Date]=$A$3)*(CRDJ[Account Code]=(TRIM($B80))),CRDJ[Debit])))+(SUM(IF((GJ[Date]=$A$3)*(GJ[Account Code]=(TRIM($B80))),GJ[Debit]))))-((SUM(IF((CkDJ[Date]=$A$3)*(CkDJ[Account Code]=(TRIM($B80))),CkDJ[Credit])))+(SUM(IF((CsDJ[Date]=$A$3)*(CsDJ[Account Code]=(TRIM($B80))),CsDJ[Credit])))+(SUM(IF((CRDJ[Date]=$A$3)*(CRDJ[Account Code]=(TRIM($B80))),CRDJ[Credit])))+(SUM(IF((GJ[Date]=$A$3)*(GJ[Account Code]=(TRIM($B80))),GJ[Credit]))))</f>
        <v>0</v>
      </c>
      <c r="G80" s="343">
        <f>E80+F80</f>
        <v>0</v>
      </c>
      <c r="H80" s="246">
        <f>G80-D80</f>
        <v>0</v>
      </c>
      <c r="I80" s="246">
        <f>IF((D80=0),0,G80/D80)</f>
        <v>0</v>
      </c>
    </row>
    <row r="81" spans="1:9" hidden="1" x14ac:dyDescent="0.2">
      <c r="A81" s="256" t="s">
        <v>285</v>
      </c>
      <c r="B81" s="339" t="s">
        <v>224</v>
      </c>
      <c r="C81" s="245">
        <f t="array" ref="C81">SUM(IF((Budget[Account Code]=B81),(Budget[Amount])))</f>
        <v>428820</v>
      </c>
      <c r="D81" s="245">
        <f t="array" ref="D81">SUM(IF((Budget[Account Code]=B81)*(Budget[Date]&lt;=$D$7),(Budget[Amount])))</f>
        <v>428820</v>
      </c>
      <c r="E81" s="245">
        <f t="array" ref="E81">((SUM(IF((CkDJ[Account Code]=(TRIM($B81)))*(CkDJ[Date]&lt;=$E$7),CkDJ[Debit])))+(SUM(IF((CsDJ[Account Code]=(TRIM($B81)))*(CsDJ[Date]&lt;=$E$7),CsDJ[Debit])))+(SUM(IF((CRDJ[Account Code]=(TRIM($B81)))*(CRDJ[Date]&lt;=$E$7),CRDJ[Debit])))+(SUM(IF((GJ[Account Code]=(TRIM($B81)))*(GJ[Date]&lt;=$E$7),GJ[Debit]))))-((SUM(IF((CkDJ[Account Code]=(TRIM($B81)))*(CkDJ[Date]&lt;=$E$7),CkDJ[Credit])))+(SUM(IF((CsDJ[Account Code]=(TRIM($B81)))*(CsDJ[Date]&lt;=$E$7),CsDJ[Credit])))+(SUM(IF((CRDJ[Account Code]=(TRIM($B81)))*(CRDJ[Date]&lt;=$E$7),CRDJ[Credit])))+(SUM(IF((GJ[Account Code]=(TRIM($B81)))*(GJ[Date]&lt;=$E$7),GJ[Credit]))))</f>
        <v>0</v>
      </c>
      <c r="F81" s="245">
        <f t="array" ref="F81">((SUM(IF((CkDJ[Date]=$A$3)*(CkDJ[Account Code]=(TRIM($B81))),CkDJ[Debit])))+(SUM(IF((CsDJ[Date]=$A$3)*(CsDJ[Account Code]=(TRIM($B81))),CsDJ[Debit])))+(SUM(IF((CRDJ[Date]=$A$3)*(CRDJ[Account Code]=(TRIM($B81))),CRDJ[Debit])))+(SUM(IF((GJ[Date]=$A$3)*(GJ[Account Code]=(TRIM($B81))),GJ[Debit]))))-((SUM(IF((CkDJ[Date]=$A$3)*(CkDJ[Account Code]=(TRIM($B81))),CkDJ[Credit])))+(SUM(IF((CsDJ[Date]=$A$3)*(CsDJ[Account Code]=(TRIM($B81))),CsDJ[Credit])))+(SUM(IF((CRDJ[Date]=$A$3)*(CRDJ[Account Code]=(TRIM($B81))),CRDJ[Credit])))+(SUM(IF((GJ[Date]=$A$3)*(GJ[Account Code]=(TRIM($B81))),GJ[Credit]))))</f>
        <v>0</v>
      </c>
      <c r="G81" s="343">
        <f t="shared" si="9"/>
        <v>0</v>
      </c>
      <c r="H81" s="246">
        <f t="shared" si="6"/>
        <v>-428820</v>
      </c>
      <c r="I81" s="246">
        <f t="shared" si="7"/>
        <v>0</v>
      </c>
    </row>
    <row r="82" spans="1:9" hidden="1" x14ac:dyDescent="0.2">
      <c r="A82" s="256" t="s">
        <v>286</v>
      </c>
      <c r="B82" s="339" t="s">
        <v>225</v>
      </c>
      <c r="C82" s="245">
        <f t="array" ref="C82">SUM(IF((Budget[Account Code]=B82),(Budget[Amount])))</f>
        <v>1177903</v>
      </c>
      <c r="D82" s="245">
        <f t="array" ref="D82">SUM(IF((Budget[Account Code]=B82)*(Budget[Date]&lt;=$D$7),(Budget[Amount])))</f>
        <v>1177903</v>
      </c>
      <c r="E82" s="245">
        <f t="array" ref="E82">((SUM(IF((CkDJ[Account Code]=(TRIM($B82)))*(CkDJ[Date]&lt;=$E$7),CkDJ[Debit])))+(SUM(IF((CsDJ[Account Code]=(TRIM($B82)))*(CsDJ[Date]&lt;=$E$7),CsDJ[Debit])))+(SUM(IF((CRDJ[Account Code]=(TRIM($B82)))*(CRDJ[Date]&lt;=$E$7),CRDJ[Debit])))+(SUM(IF((GJ[Account Code]=(TRIM($B82)))*(GJ[Date]&lt;=$E$7),GJ[Debit]))))-((SUM(IF((CkDJ[Account Code]=(TRIM($B82)))*(CkDJ[Date]&lt;=$E$7),CkDJ[Credit])))+(SUM(IF((CsDJ[Account Code]=(TRIM($B82)))*(CsDJ[Date]&lt;=$E$7),CsDJ[Credit])))+(SUM(IF((CRDJ[Account Code]=(TRIM($B82)))*(CRDJ[Date]&lt;=$E$7),CRDJ[Credit])))+(SUM(IF((GJ[Account Code]=(TRIM($B82)))*(GJ[Date]&lt;=$E$7),GJ[Credit]))))</f>
        <v>0</v>
      </c>
      <c r="F82" s="245">
        <f t="array" ref="F82">((SUM(IF((CkDJ[Date]=$A$3)*(CkDJ[Account Code]=(TRIM($B82))),CkDJ[Debit])))+(SUM(IF((CsDJ[Date]=$A$3)*(CsDJ[Account Code]=(TRIM($B82))),CsDJ[Debit])))+(SUM(IF((CRDJ[Date]=$A$3)*(CRDJ[Account Code]=(TRIM($B82))),CRDJ[Debit])))+(SUM(IF((GJ[Date]=$A$3)*(GJ[Account Code]=(TRIM($B82))),GJ[Debit]))))-((SUM(IF((CkDJ[Date]=$A$3)*(CkDJ[Account Code]=(TRIM($B82))),CkDJ[Credit])))+(SUM(IF((CsDJ[Date]=$A$3)*(CsDJ[Account Code]=(TRIM($B82))),CsDJ[Credit])))+(SUM(IF((CRDJ[Date]=$A$3)*(CRDJ[Account Code]=(TRIM($B82))),CRDJ[Credit])))+(SUM(IF((GJ[Date]=$A$3)*(GJ[Account Code]=(TRIM($B82))),GJ[Credit]))))</f>
        <v>0</v>
      </c>
      <c r="G82" s="343">
        <f t="shared" si="9"/>
        <v>0</v>
      </c>
      <c r="H82" s="246">
        <f t="shared" si="6"/>
        <v>-1177903</v>
      </c>
      <c r="I82" s="246">
        <f t="shared" si="7"/>
        <v>0</v>
      </c>
    </row>
    <row r="83" spans="1:9" hidden="1" x14ac:dyDescent="0.2">
      <c r="A83" s="256" t="s">
        <v>287</v>
      </c>
      <c r="B83" s="339" t="s">
        <v>226</v>
      </c>
      <c r="C83" s="245">
        <f t="array" ref="C83">SUM(IF((Budget[Account Code]=B83),(Budget[Amount])))</f>
        <v>195600</v>
      </c>
      <c r="D83" s="245">
        <f t="array" ref="D83">SUM(IF((Budget[Account Code]=B83)*(Budget[Date]&lt;=$D$7),(Budget[Amount])))</f>
        <v>195600</v>
      </c>
      <c r="E83" s="245">
        <f t="array" ref="E83">((SUM(IF((CkDJ[Account Code]=(TRIM($B83)))*(CkDJ[Date]&lt;=$E$7),CkDJ[Debit])))+(SUM(IF((CsDJ[Account Code]=(TRIM($B83)))*(CsDJ[Date]&lt;=$E$7),CsDJ[Debit])))+(SUM(IF((CRDJ[Account Code]=(TRIM($B83)))*(CRDJ[Date]&lt;=$E$7),CRDJ[Debit])))+(SUM(IF((GJ[Account Code]=(TRIM($B83)))*(GJ[Date]&lt;=$E$7),GJ[Debit]))))-((SUM(IF((CkDJ[Account Code]=(TRIM($B83)))*(CkDJ[Date]&lt;=$E$7),CkDJ[Credit])))+(SUM(IF((CsDJ[Account Code]=(TRIM($B83)))*(CsDJ[Date]&lt;=$E$7),CsDJ[Credit])))+(SUM(IF((CRDJ[Account Code]=(TRIM($B83)))*(CRDJ[Date]&lt;=$E$7),CRDJ[Credit])))+(SUM(IF((GJ[Account Code]=(TRIM($B83)))*(GJ[Date]&lt;=$E$7),GJ[Credit]))))</f>
        <v>0</v>
      </c>
      <c r="F83" s="245">
        <f t="array" ref="F83">((SUM(IF((CkDJ[Date]=$A$3)*(CkDJ[Account Code]=(TRIM($B83))),CkDJ[Debit])))+(SUM(IF((CsDJ[Date]=$A$3)*(CsDJ[Account Code]=(TRIM($B83))),CsDJ[Debit])))+(SUM(IF((CRDJ[Date]=$A$3)*(CRDJ[Account Code]=(TRIM($B83))),CRDJ[Debit])))+(SUM(IF((GJ[Date]=$A$3)*(GJ[Account Code]=(TRIM($B83))),GJ[Debit]))))-((SUM(IF((CkDJ[Date]=$A$3)*(CkDJ[Account Code]=(TRIM($B83))),CkDJ[Credit])))+(SUM(IF((CsDJ[Date]=$A$3)*(CsDJ[Account Code]=(TRIM($B83))),CsDJ[Credit])))+(SUM(IF((CRDJ[Date]=$A$3)*(CRDJ[Account Code]=(TRIM($B83))),CRDJ[Credit])))+(SUM(IF((GJ[Date]=$A$3)*(GJ[Account Code]=(TRIM($B83))),GJ[Credit]))))</f>
        <v>0</v>
      </c>
      <c r="G83" s="343">
        <f t="shared" si="9"/>
        <v>0</v>
      </c>
      <c r="H83" s="246">
        <f t="shared" si="6"/>
        <v>-195600</v>
      </c>
      <c r="I83" s="246">
        <f t="shared" si="7"/>
        <v>0</v>
      </c>
    </row>
    <row r="84" spans="1:9" hidden="1" x14ac:dyDescent="0.2">
      <c r="A84" s="256" t="s">
        <v>1017</v>
      </c>
      <c r="B84" s="339" t="s">
        <v>227</v>
      </c>
      <c r="C84" s="245">
        <f t="array" ref="C84">SUM(IF((Budget[Account Code]=B84),(Budget[Amount])))</f>
        <v>11000.04</v>
      </c>
      <c r="D84" s="245">
        <f t="array" ref="D84">SUM(IF((Budget[Account Code]=B84)*(Budget[Date]&lt;=$D$7),(Budget[Amount])))</f>
        <v>11000.04</v>
      </c>
      <c r="E84" s="245">
        <f t="array" ref="E84">((SUM(IF((CkDJ[Account Code]=(TRIM($B84)))*(CkDJ[Date]&lt;=$E$7),CkDJ[Debit])))+(SUM(IF((CsDJ[Account Code]=(TRIM($B84)))*(CsDJ[Date]&lt;=$E$7),CsDJ[Debit])))+(SUM(IF((CRDJ[Account Code]=(TRIM($B84)))*(CRDJ[Date]&lt;=$E$7),CRDJ[Debit])))+(SUM(IF((GJ[Account Code]=(TRIM($B84)))*(GJ[Date]&lt;=$E$7),GJ[Debit]))))-((SUM(IF((CkDJ[Account Code]=(TRIM($B84)))*(CkDJ[Date]&lt;=$E$7),CkDJ[Credit])))+(SUM(IF((CsDJ[Account Code]=(TRIM($B84)))*(CsDJ[Date]&lt;=$E$7),CsDJ[Credit])))+(SUM(IF((CRDJ[Account Code]=(TRIM($B84)))*(CRDJ[Date]&lt;=$E$7),CRDJ[Credit])))+(SUM(IF((GJ[Account Code]=(TRIM($B84)))*(GJ[Date]&lt;=$E$7),GJ[Credit]))))</f>
        <v>0</v>
      </c>
      <c r="F84" s="245">
        <f t="array" ref="F84">((SUM(IF((CkDJ[Date]=$A$3)*(CkDJ[Account Code]=(TRIM($B84))),CkDJ[Debit])))+(SUM(IF((CsDJ[Date]=$A$3)*(CsDJ[Account Code]=(TRIM($B84))),CsDJ[Debit])))+(SUM(IF((CRDJ[Date]=$A$3)*(CRDJ[Account Code]=(TRIM($B84))),CRDJ[Debit])))+(SUM(IF((GJ[Date]=$A$3)*(GJ[Account Code]=(TRIM($B84))),GJ[Debit]))))-((SUM(IF((CkDJ[Date]=$A$3)*(CkDJ[Account Code]=(TRIM($B84))),CkDJ[Credit])))+(SUM(IF((CsDJ[Date]=$A$3)*(CsDJ[Account Code]=(TRIM($B84))),CsDJ[Credit])))+(SUM(IF((CRDJ[Date]=$A$3)*(CRDJ[Account Code]=(TRIM($B84))),CRDJ[Credit])))+(SUM(IF((GJ[Date]=$A$3)*(GJ[Account Code]=(TRIM($B84))),GJ[Credit]))))</f>
        <v>0</v>
      </c>
      <c r="G84" s="343">
        <f t="shared" si="9"/>
        <v>0</v>
      </c>
      <c r="H84" s="246">
        <f t="shared" si="6"/>
        <v>-11000.04</v>
      </c>
      <c r="I84" s="246">
        <f t="shared" si="7"/>
        <v>0</v>
      </c>
    </row>
    <row r="85" spans="1:9" hidden="1" x14ac:dyDescent="0.2">
      <c r="A85" s="256" t="s">
        <v>1018</v>
      </c>
      <c r="B85" s="339" t="s">
        <v>228</v>
      </c>
      <c r="C85" s="245">
        <f t="array" ref="C85">SUM(IF((Budget[Account Code]=B85),(Budget[Amount])))</f>
        <v>16499.88</v>
      </c>
      <c r="D85" s="245">
        <f t="array" ref="D85">SUM(IF((Budget[Account Code]=B85)*(Budget[Date]&lt;=$D$7),(Budget[Amount])))</f>
        <v>16499.88</v>
      </c>
      <c r="E85" s="245">
        <f t="array" ref="E85">((SUM(IF((CkDJ[Account Code]=(TRIM($B85)))*(CkDJ[Date]&lt;=$E$7),CkDJ[Debit])))+(SUM(IF((CsDJ[Account Code]=(TRIM($B85)))*(CsDJ[Date]&lt;=$E$7),CsDJ[Debit])))+(SUM(IF((CRDJ[Account Code]=(TRIM($B85)))*(CRDJ[Date]&lt;=$E$7),CRDJ[Debit])))+(SUM(IF((GJ[Account Code]=(TRIM($B85)))*(GJ[Date]&lt;=$E$7),GJ[Debit]))))-((SUM(IF((CkDJ[Account Code]=(TRIM($B85)))*(CkDJ[Date]&lt;=$E$7),CkDJ[Credit])))+(SUM(IF((CsDJ[Account Code]=(TRIM($B85)))*(CsDJ[Date]&lt;=$E$7),CsDJ[Credit])))+(SUM(IF((CRDJ[Account Code]=(TRIM($B85)))*(CRDJ[Date]&lt;=$E$7),CRDJ[Credit])))+(SUM(IF((GJ[Account Code]=(TRIM($B85)))*(GJ[Date]&lt;=$E$7),GJ[Credit]))))</f>
        <v>0</v>
      </c>
      <c r="F85" s="245">
        <f t="array" ref="F85">((SUM(IF((CkDJ[Date]=$A$3)*(CkDJ[Account Code]=(TRIM($B85))),CkDJ[Debit])))+(SUM(IF((CsDJ[Date]=$A$3)*(CsDJ[Account Code]=(TRIM($B85))),CsDJ[Debit])))+(SUM(IF((CRDJ[Date]=$A$3)*(CRDJ[Account Code]=(TRIM($B85))),CRDJ[Debit])))+(SUM(IF((GJ[Date]=$A$3)*(GJ[Account Code]=(TRIM($B85))),GJ[Debit]))))-((SUM(IF((CkDJ[Date]=$A$3)*(CkDJ[Account Code]=(TRIM($B85))),CkDJ[Credit])))+(SUM(IF((CsDJ[Date]=$A$3)*(CsDJ[Account Code]=(TRIM($B85))),CsDJ[Credit])))+(SUM(IF((CRDJ[Date]=$A$3)*(CRDJ[Account Code]=(TRIM($B85))),CRDJ[Credit])))+(SUM(IF((GJ[Date]=$A$3)*(GJ[Account Code]=(TRIM($B85))),GJ[Credit]))))</f>
        <v>0</v>
      </c>
      <c r="G85" s="343">
        <f t="shared" si="9"/>
        <v>0</v>
      </c>
      <c r="H85" s="246">
        <f t="shared" si="6"/>
        <v>-16499.88</v>
      </c>
      <c r="I85" s="246">
        <f t="shared" si="7"/>
        <v>0</v>
      </c>
    </row>
    <row r="86" spans="1:9" hidden="1" x14ac:dyDescent="0.2">
      <c r="A86" s="256" t="s">
        <v>289</v>
      </c>
      <c r="B86" s="339" t="s">
        <v>229</v>
      </c>
      <c r="C86" s="245">
        <f t="array" ref="C86">SUM(IF((Budget[Account Code]=B86),(Budget[Amount])))</f>
        <v>9937643.6799999997</v>
      </c>
      <c r="D86" s="245">
        <f t="array" ref="D86">SUM(IF((Budget[Account Code]=B86)*(Budget[Date]&lt;=$D$7),(Budget[Amount])))</f>
        <v>9937643.6799999997</v>
      </c>
      <c r="E86" s="245">
        <f t="array" ref="E86">((SUM(IF((CkDJ[Account Code]=(TRIM($B86)))*(CkDJ[Date]&lt;=$E$7),CkDJ[Debit])))+(SUM(IF((CsDJ[Account Code]=(TRIM($B86)))*(CsDJ[Date]&lt;=$E$7),CsDJ[Debit])))+(SUM(IF((CRDJ[Account Code]=(TRIM($B86)))*(CRDJ[Date]&lt;=$E$7),CRDJ[Debit])))+(SUM(IF((GJ[Account Code]=(TRIM($B86)))*(GJ[Date]&lt;=$E$7),GJ[Debit]))))-((SUM(IF((CkDJ[Account Code]=(TRIM($B86)))*(CkDJ[Date]&lt;=$E$7),CkDJ[Credit])))+(SUM(IF((CsDJ[Account Code]=(TRIM($B86)))*(CsDJ[Date]&lt;=$E$7),CsDJ[Credit])))+(SUM(IF((CRDJ[Account Code]=(TRIM($B86)))*(CRDJ[Date]&lt;=$E$7),CRDJ[Credit])))+(SUM(IF((GJ[Account Code]=(TRIM($B86)))*(GJ[Date]&lt;=$E$7),GJ[Credit]))))</f>
        <v>0</v>
      </c>
      <c r="F86" s="245">
        <f t="array" ref="F86">((SUM(IF((CkDJ[Date]=$A$3)*(CkDJ[Account Code]=(TRIM($B86))),CkDJ[Debit])))+(SUM(IF((CsDJ[Date]=$A$3)*(CsDJ[Account Code]=(TRIM($B86))),CsDJ[Debit])))+(SUM(IF((CRDJ[Date]=$A$3)*(CRDJ[Account Code]=(TRIM($B86))),CRDJ[Debit])))+(SUM(IF((GJ[Date]=$A$3)*(GJ[Account Code]=(TRIM($B86))),GJ[Debit]))))-((SUM(IF((CkDJ[Date]=$A$3)*(CkDJ[Account Code]=(TRIM($B86))),CkDJ[Credit])))+(SUM(IF((CsDJ[Date]=$A$3)*(CsDJ[Account Code]=(TRIM($B86))),CsDJ[Credit])))+(SUM(IF((CRDJ[Date]=$A$3)*(CRDJ[Account Code]=(TRIM($B86))),CRDJ[Credit])))+(SUM(IF((GJ[Date]=$A$3)*(GJ[Account Code]=(TRIM($B86))),GJ[Credit]))))</f>
        <v>0</v>
      </c>
      <c r="G86" s="343">
        <f t="shared" si="9"/>
        <v>0</v>
      </c>
      <c r="H86" s="246">
        <f t="shared" si="6"/>
        <v>-9937643.6799999997</v>
      </c>
      <c r="I86" s="246">
        <f t="shared" si="7"/>
        <v>0</v>
      </c>
    </row>
    <row r="87" spans="1:9" hidden="1" x14ac:dyDescent="0.2">
      <c r="A87" s="256" t="s">
        <v>290</v>
      </c>
      <c r="B87" s="339" t="s">
        <v>230</v>
      </c>
      <c r="C87" s="245">
        <f t="array" ref="C87">SUM(IF((Budget[Account Code]=B87),(Budget[Amount])))</f>
        <v>0</v>
      </c>
      <c r="D87" s="245">
        <f t="array" ref="D87">SUM(IF((Budget[Account Code]=B87)*(Budget[Date]&lt;=$D$7),(Budget[Amount])))</f>
        <v>0</v>
      </c>
      <c r="E87" s="245">
        <f t="array" ref="E87">((SUM(IF((CkDJ[Account Code]=(TRIM($B87)))*(CkDJ[Date]&lt;=$E$7),CkDJ[Debit])))+(SUM(IF((CsDJ[Account Code]=(TRIM($B87)))*(CsDJ[Date]&lt;=$E$7),CsDJ[Debit])))+(SUM(IF((CRDJ[Account Code]=(TRIM($B87)))*(CRDJ[Date]&lt;=$E$7),CRDJ[Debit])))+(SUM(IF((GJ[Account Code]=(TRIM($B87)))*(GJ[Date]&lt;=$E$7),GJ[Debit]))))-((SUM(IF((CkDJ[Account Code]=(TRIM($B87)))*(CkDJ[Date]&lt;=$E$7),CkDJ[Credit])))+(SUM(IF((CsDJ[Account Code]=(TRIM($B87)))*(CsDJ[Date]&lt;=$E$7),CsDJ[Credit])))+(SUM(IF((CRDJ[Account Code]=(TRIM($B87)))*(CRDJ[Date]&lt;=$E$7),CRDJ[Credit])))+(SUM(IF((GJ[Account Code]=(TRIM($B87)))*(GJ[Date]&lt;=$E$7),GJ[Credit]))))</f>
        <v>0</v>
      </c>
      <c r="F87" s="245">
        <f t="array" ref="F87">((SUM(IF((CkDJ[Date]=$A$3)*(CkDJ[Account Code]=(TRIM($B87))),CkDJ[Debit])))+(SUM(IF((CsDJ[Date]=$A$3)*(CsDJ[Account Code]=(TRIM($B87))),CsDJ[Debit])))+(SUM(IF((CRDJ[Date]=$A$3)*(CRDJ[Account Code]=(TRIM($B87))),CRDJ[Debit])))+(SUM(IF((GJ[Date]=$A$3)*(GJ[Account Code]=(TRIM($B87))),GJ[Debit]))))-((SUM(IF((CkDJ[Date]=$A$3)*(CkDJ[Account Code]=(TRIM($B87))),CkDJ[Credit])))+(SUM(IF((CsDJ[Date]=$A$3)*(CsDJ[Account Code]=(TRIM($B87))),CsDJ[Credit])))+(SUM(IF((CRDJ[Date]=$A$3)*(CRDJ[Account Code]=(TRIM($B87))),CRDJ[Credit])))+(SUM(IF((GJ[Date]=$A$3)*(GJ[Account Code]=(TRIM($B87))),GJ[Credit]))))</f>
        <v>0</v>
      </c>
      <c r="G87" s="343">
        <f t="shared" si="9"/>
        <v>0</v>
      </c>
      <c r="H87" s="246">
        <f t="shared" si="6"/>
        <v>0</v>
      </c>
      <c r="I87" s="246">
        <f t="shared" si="7"/>
        <v>0</v>
      </c>
    </row>
    <row r="88" spans="1:9" hidden="1" x14ac:dyDescent="0.2">
      <c r="A88" s="256" t="s">
        <v>291</v>
      </c>
      <c r="B88" s="339" t="s">
        <v>231</v>
      </c>
      <c r="C88" s="245">
        <f t="array" ref="C88">SUM(IF((Budget[Account Code]=B88),(Budget[Amount])))</f>
        <v>551725.12</v>
      </c>
      <c r="D88" s="245">
        <f t="array" ref="D88">SUM(IF((Budget[Account Code]=B88)*(Budget[Date]&lt;=$D$7),(Budget[Amount])))</f>
        <v>551725.12</v>
      </c>
      <c r="E88" s="245">
        <f t="array" ref="E88">((SUM(IF((CkDJ[Account Code]=(TRIM($B88)))*(CkDJ[Date]&lt;=$E$7),CkDJ[Debit])))+(SUM(IF((CsDJ[Account Code]=(TRIM($B88)))*(CsDJ[Date]&lt;=$E$7),CsDJ[Debit])))+(SUM(IF((CRDJ[Account Code]=(TRIM($B88)))*(CRDJ[Date]&lt;=$E$7),CRDJ[Debit])))+(SUM(IF((GJ[Account Code]=(TRIM($B88)))*(GJ[Date]&lt;=$E$7),GJ[Debit]))))-((SUM(IF((CkDJ[Account Code]=(TRIM($B88)))*(CkDJ[Date]&lt;=$E$7),CkDJ[Credit])))+(SUM(IF((CsDJ[Account Code]=(TRIM($B88)))*(CsDJ[Date]&lt;=$E$7),CsDJ[Credit])))+(SUM(IF((CRDJ[Account Code]=(TRIM($B88)))*(CRDJ[Date]&lt;=$E$7),CRDJ[Credit])))+(SUM(IF((GJ[Account Code]=(TRIM($B88)))*(GJ[Date]&lt;=$E$7),GJ[Credit]))))</f>
        <v>0</v>
      </c>
      <c r="F88" s="245">
        <f t="array" ref="F88">((SUM(IF((CkDJ[Date]=$A$3)*(CkDJ[Account Code]=(TRIM($B88))),CkDJ[Debit])))+(SUM(IF((CsDJ[Date]=$A$3)*(CsDJ[Account Code]=(TRIM($B88))),CsDJ[Debit])))+(SUM(IF((CRDJ[Date]=$A$3)*(CRDJ[Account Code]=(TRIM($B88))),CRDJ[Debit])))+(SUM(IF((GJ[Date]=$A$3)*(GJ[Account Code]=(TRIM($B88))),GJ[Debit]))))-((SUM(IF((CkDJ[Date]=$A$3)*(CkDJ[Account Code]=(TRIM($B88))),CkDJ[Credit])))+(SUM(IF((CsDJ[Date]=$A$3)*(CsDJ[Account Code]=(TRIM($B88))),CsDJ[Credit])))+(SUM(IF((CRDJ[Date]=$A$3)*(CRDJ[Account Code]=(TRIM($B88))),CRDJ[Credit])))+(SUM(IF((GJ[Date]=$A$3)*(GJ[Account Code]=(TRIM($B88))),GJ[Credit]))))</f>
        <v>0</v>
      </c>
      <c r="G88" s="343">
        <f t="shared" si="9"/>
        <v>0</v>
      </c>
      <c r="H88" s="246">
        <f t="shared" si="6"/>
        <v>-551725.12</v>
      </c>
      <c r="I88" s="246">
        <f t="shared" si="7"/>
        <v>0</v>
      </c>
    </row>
    <row r="89" spans="1:9" hidden="1" x14ac:dyDescent="0.2">
      <c r="A89" s="256" t="s">
        <v>292</v>
      </c>
      <c r="B89" s="339" t="s">
        <v>232</v>
      </c>
      <c r="C89" s="245">
        <f t="array" ref="C89">SUM(IF((Budget[Account Code]=B89),(Budget[Amount])))</f>
        <v>340164.12</v>
      </c>
      <c r="D89" s="245">
        <f t="array" ref="D89">SUM(IF((Budget[Account Code]=B89)*(Budget[Date]&lt;=$D$7),(Budget[Amount])))</f>
        <v>340164.12</v>
      </c>
      <c r="E89" s="245">
        <f t="array" ref="E89">((SUM(IF((CkDJ[Account Code]=(TRIM($B89)))*(CkDJ[Date]&lt;=$E$7),CkDJ[Debit])))+(SUM(IF((CsDJ[Account Code]=(TRIM($B89)))*(CsDJ[Date]&lt;=$E$7),CsDJ[Debit])))+(SUM(IF((CRDJ[Account Code]=(TRIM($B89)))*(CRDJ[Date]&lt;=$E$7),CRDJ[Debit])))+(SUM(IF((GJ[Account Code]=(TRIM($B89)))*(GJ[Date]&lt;=$E$7),GJ[Debit]))))-((SUM(IF((CkDJ[Account Code]=(TRIM($B89)))*(CkDJ[Date]&lt;=$E$7),CkDJ[Credit])))+(SUM(IF((CsDJ[Account Code]=(TRIM($B89)))*(CsDJ[Date]&lt;=$E$7),CsDJ[Credit])))+(SUM(IF((CRDJ[Account Code]=(TRIM($B89)))*(CRDJ[Date]&lt;=$E$7),CRDJ[Credit])))+(SUM(IF((GJ[Account Code]=(TRIM($B89)))*(GJ[Date]&lt;=$E$7),GJ[Credit]))))</f>
        <v>0</v>
      </c>
      <c r="F89" s="245">
        <f t="array" ref="F89">((SUM(IF((CkDJ[Date]=$A$3)*(CkDJ[Account Code]=(TRIM($B89))),CkDJ[Debit])))+(SUM(IF((CsDJ[Date]=$A$3)*(CsDJ[Account Code]=(TRIM($B89))),CsDJ[Debit])))+(SUM(IF((CRDJ[Date]=$A$3)*(CRDJ[Account Code]=(TRIM($B89))),CRDJ[Debit])))+(SUM(IF((GJ[Date]=$A$3)*(GJ[Account Code]=(TRIM($B89))),GJ[Debit]))))-((SUM(IF((CkDJ[Date]=$A$3)*(CkDJ[Account Code]=(TRIM($B89))),CkDJ[Credit])))+(SUM(IF((CsDJ[Date]=$A$3)*(CsDJ[Account Code]=(TRIM($B89))),CsDJ[Credit])))+(SUM(IF((CRDJ[Date]=$A$3)*(CRDJ[Account Code]=(TRIM($B89))),CRDJ[Credit])))+(SUM(IF((GJ[Date]=$A$3)*(GJ[Account Code]=(TRIM($B89))),GJ[Credit]))))</f>
        <v>0</v>
      </c>
      <c r="G89" s="343">
        <f t="shared" si="9"/>
        <v>0</v>
      </c>
      <c r="H89" s="246">
        <f t="shared" si="6"/>
        <v>-340164.12</v>
      </c>
      <c r="I89" s="246">
        <f t="shared" si="7"/>
        <v>0</v>
      </c>
    </row>
    <row r="90" spans="1:9" hidden="1" x14ac:dyDescent="0.2">
      <c r="A90" s="256" t="s">
        <v>293</v>
      </c>
      <c r="B90" s="339" t="s">
        <v>233</v>
      </c>
      <c r="C90" s="245">
        <f t="array" ref="C90">SUM(IF((Budget[Account Code]=B90),(Budget[Amount])))</f>
        <v>5800116</v>
      </c>
      <c r="D90" s="245">
        <f t="array" ref="D90">SUM(IF((Budget[Account Code]=B90)*(Budget[Date]&lt;=$D$7),(Budget[Amount])))</f>
        <v>5800116</v>
      </c>
      <c r="E90" s="245">
        <f t="array" ref="E90">((SUM(IF((CkDJ[Account Code]=(TRIM($B90)))*(CkDJ[Date]&lt;=$E$7),CkDJ[Debit])))+(SUM(IF((CsDJ[Account Code]=(TRIM($B90)))*(CsDJ[Date]&lt;=$E$7),CsDJ[Debit])))+(SUM(IF((CRDJ[Account Code]=(TRIM($B90)))*(CRDJ[Date]&lt;=$E$7),CRDJ[Debit])))+(SUM(IF((GJ[Account Code]=(TRIM($B90)))*(GJ[Date]&lt;=$E$7),GJ[Debit]))))-((SUM(IF((CkDJ[Account Code]=(TRIM($B90)))*(CkDJ[Date]&lt;=$E$7),CkDJ[Credit])))+(SUM(IF((CsDJ[Account Code]=(TRIM($B90)))*(CsDJ[Date]&lt;=$E$7),CsDJ[Credit])))+(SUM(IF((CRDJ[Account Code]=(TRIM($B90)))*(CRDJ[Date]&lt;=$E$7),CRDJ[Credit])))+(SUM(IF((GJ[Account Code]=(TRIM($B90)))*(GJ[Date]&lt;=$E$7),GJ[Credit]))))</f>
        <v>0</v>
      </c>
      <c r="F90" s="245">
        <f t="array" ref="F90">((SUM(IF((CkDJ[Date]=$A$3)*(CkDJ[Account Code]=(TRIM($B90))),CkDJ[Debit])))+(SUM(IF((CsDJ[Date]=$A$3)*(CsDJ[Account Code]=(TRIM($B90))),CsDJ[Debit])))+(SUM(IF((CRDJ[Date]=$A$3)*(CRDJ[Account Code]=(TRIM($B90))),CRDJ[Debit])))+(SUM(IF((GJ[Date]=$A$3)*(GJ[Account Code]=(TRIM($B90))),GJ[Debit]))))-((SUM(IF((CkDJ[Date]=$A$3)*(CkDJ[Account Code]=(TRIM($B90))),CkDJ[Credit])))+(SUM(IF((CsDJ[Date]=$A$3)*(CsDJ[Account Code]=(TRIM($B90))),CsDJ[Credit])))+(SUM(IF((CRDJ[Date]=$A$3)*(CRDJ[Account Code]=(TRIM($B90))),CRDJ[Credit])))+(SUM(IF((GJ[Date]=$A$3)*(GJ[Account Code]=(TRIM($B90))),GJ[Credit]))))</f>
        <v>0</v>
      </c>
      <c r="G90" s="343">
        <f t="shared" si="9"/>
        <v>0</v>
      </c>
      <c r="H90" s="246">
        <f t="shared" si="6"/>
        <v>-5800116</v>
      </c>
      <c r="I90" s="246">
        <f t="shared" si="7"/>
        <v>0</v>
      </c>
    </row>
    <row r="91" spans="1:9" hidden="1" x14ac:dyDescent="0.2">
      <c r="A91" s="256" t="s">
        <v>1475</v>
      </c>
      <c r="B91" s="339" t="s">
        <v>1265</v>
      </c>
      <c r="C91" s="245">
        <f t="array" ref="C91">SUM(IF((Budget[Account Code]=B91),(Budget[Amount])))</f>
        <v>0</v>
      </c>
      <c r="D91" s="245">
        <f t="array" ref="D91">SUM(IF((Budget[Account Code]=B91)*(Budget[Date]&lt;=$D$7),(Budget[Amount])))</f>
        <v>0</v>
      </c>
      <c r="E91" s="245">
        <f t="array" ref="E91">((SUM(IF((CkDJ[Account Code]=(TRIM($B91)))*(CkDJ[Date]&lt;=$E$7),CkDJ[Debit])))+(SUM(IF((CsDJ[Account Code]=(TRIM($B91)))*(CsDJ[Date]&lt;=$E$7),CsDJ[Debit])))+(SUM(IF((CRDJ[Account Code]=(TRIM($B91)))*(CRDJ[Date]&lt;=$E$7),CRDJ[Debit])))+(SUM(IF((GJ[Account Code]=(TRIM($B91)))*(GJ[Date]&lt;=$E$7),GJ[Debit]))))-((SUM(IF((CkDJ[Account Code]=(TRIM($B91)))*(CkDJ[Date]&lt;=$E$7),CkDJ[Credit])))+(SUM(IF((CsDJ[Account Code]=(TRIM($B91)))*(CsDJ[Date]&lt;=$E$7),CsDJ[Credit])))+(SUM(IF((CRDJ[Account Code]=(TRIM($B91)))*(CRDJ[Date]&lt;=$E$7),CRDJ[Credit])))+(SUM(IF((GJ[Account Code]=(TRIM($B91)))*(GJ[Date]&lt;=$E$7),GJ[Credit]))))</f>
        <v>0</v>
      </c>
      <c r="F91" s="245">
        <f t="array" ref="F91">((SUM(IF((CkDJ[Date]=$A$3)*(CkDJ[Account Code]=(TRIM($B91))),CkDJ[Debit])))+(SUM(IF((CsDJ[Date]=$A$3)*(CsDJ[Account Code]=(TRIM($B91))),CsDJ[Debit])))+(SUM(IF((CRDJ[Date]=$A$3)*(CRDJ[Account Code]=(TRIM($B91))),CRDJ[Debit])))+(SUM(IF((GJ[Date]=$A$3)*(GJ[Account Code]=(TRIM($B91))),GJ[Debit]))))-((SUM(IF((CkDJ[Date]=$A$3)*(CkDJ[Account Code]=(TRIM($B91))),CkDJ[Credit])))+(SUM(IF((CsDJ[Date]=$A$3)*(CsDJ[Account Code]=(TRIM($B91))),CsDJ[Credit])))+(SUM(IF((CRDJ[Date]=$A$3)*(CRDJ[Account Code]=(TRIM($B91))),CRDJ[Credit])))+(SUM(IF((GJ[Date]=$A$3)*(GJ[Account Code]=(TRIM($B91))),GJ[Credit]))))</f>
        <v>0</v>
      </c>
      <c r="G91" s="343">
        <f>E91+F91</f>
        <v>0</v>
      </c>
      <c r="H91" s="246">
        <f>G91-D91</f>
        <v>0</v>
      </c>
      <c r="I91" s="246">
        <f>IF((D91=0),0,G91/D91)</f>
        <v>0</v>
      </c>
    </row>
    <row r="92" spans="1:9" hidden="1" x14ac:dyDescent="0.2">
      <c r="A92" s="256" t="s">
        <v>1475</v>
      </c>
      <c r="B92" s="339" t="s">
        <v>1266</v>
      </c>
      <c r="C92" s="245">
        <f t="array" ref="C92">SUM(IF((Budget[Account Code]=B92),(Budget[Amount])))</f>
        <v>0</v>
      </c>
      <c r="D92" s="245">
        <f t="array" ref="D92">SUM(IF((Budget[Account Code]=B92)*(Budget[Date]&lt;=$D$7),(Budget[Amount])))</f>
        <v>0</v>
      </c>
      <c r="E92" s="245">
        <f t="array" ref="E92">((SUM(IF((CkDJ[Account Code]=(TRIM($B92)))*(CkDJ[Date]&lt;=$E$7),CkDJ[Debit])))+(SUM(IF((CsDJ[Account Code]=(TRIM($B92)))*(CsDJ[Date]&lt;=$E$7),CsDJ[Debit])))+(SUM(IF((CRDJ[Account Code]=(TRIM($B92)))*(CRDJ[Date]&lt;=$E$7),CRDJ[Debit])))+(SUM(IF((GJ[Account Code]=(TRIM($B92)))*(GJ[Date]&lt;=$E$7),GJ[Debit]))))-((SUM(IF((CkDJ[Account Code]=(TRIM($B92)))*(CkDJ[Date]&lt;=$E$7),CkDJ[Credit])))+(SUM(IF((CsDJ[Account Code]=(TRIM($B92)))*(CsDJ[Date]&lt;=$E$7),CsDJ[Credit])))+(SUM(IF((CRDJ[Account Code]=(TRIM($B92)))*(CRDJ[Date]&lt;=$E$7),CRDJ[Credit])))+(SUM(IF((GJ[Account Code]=(TRIM($B92)))*(GJ[Date]&lt;=$E$7),GJ[Credit]))))</f>
        <v>0</v>
      </c>
      <c r="F92" s="245">
        <f t="array" ref="F92">((SUM(IF((CkDJ[Date]=$A$3)*(CkDJ[Account Code]=(TRIM($B92))),CkDJ[Debit])))+(SUM(IF((CsDJ[Date]=$A$3)*(CsDJ[Account Code]=(TRIM($B92))),CsDJ[Debit])))+(SUM(IF((CRDJ[Date]=$A$3)*(CRDJ[Account Code]=(TRIM($B92))),CRDJ[Debit])))+(SUM(IF((GJ[Date]=$A$3)*(GJ[Account Code]=(TRIM($B92))),GJ[Debit]))))-((SUM(IF((CkDJ[Date]=$A$3)*(CkDJ[Account Code]=(TRIM($B92))),CkDJ[Credit])))+(SUM(IF((CsDJ[Date]=$A$3)*(CsDJ[Account Code]=(TRIM($B92))),CsDJ[Credit])))+(SUM(IF((CRDJ[Date]=$A$3)*(CRDJ[Account Code]=(TRIM($B92))),CRDJ[Credit])))+(SUM(IF((GJ[Date]=$A$3)*(GJ[Account Code]=(TRIM($B92))),GJ[Credit]))))</f>
        <v>0</v>
      </c>
      <c r="G92" s="343">
        <f>E92+F92</f>
        <v>0</v>
      </c>
      <c r="H92" s="246">
        <f>G92-D92</f>
        <v>0</v>
      </c>
      <c r="I92" s="246">
        <f>IF((D92=0),0,G92/D92)</f>
        <v>0</v>
      </c>
    </row>
    <row r="93" spans="1:9" hidden="1" x14ac:dyDescent="0.2">
      <c r="A93" s="256" t="s">
        <v>294</v>
      </c>
      <c r="B93" s="339" t="s">
        <v>234</v>
      </c>
      <c r="C93" s="245">
        <f t="array" ref="C93">SUM(IF((Budget[Account Code]=B93),(Budget[Amount])))</f>
        <v>9999.9599999999991</v>
      </c>
      <c r="D93" s="245">
        <f t="array" ref="D93">SUM(IF((Budget[Account Code]=B93)*(Budget[Date]&lt;=$D$7),(Budget[Amount])))</f>
        <v>9999.9599999999991</v>
      </c>
      <c r="E93" s="245">
        <f t="array" ref="E93">((SUM(IF((CkDJ[Account Code]=(TRIM($B93)))*(CkDJ[Date]&lt;=$E$7),CkDJ[Debit])))+(SUM(IF((CsDJ[Account Code]=(TRIM($B93)))*(CsDJ[Date]&lt;=$E$7),CsDJ[Debit])))+(SUM(IF((CRDJ[Account Code]=(TRIM($B93)))*(CRDJ[Date]&lt;=$E$7),CRDJ[Debit])))+(SUM(IF((GJ[Account Code]=(TRIM($B93)))*(GJ[Date]&lt;=$E$7),GJ[Debit]))))-((SUM(IF((CkDJ[Account Code]=(TRIM($B93)))*(CkDJ[Date]&lt;=$E$7),CkDJ[Credit])))+(SUM(IF((CsDJ[Account Code]=(TRIM($B93)))*(CsDJ[Date]&lt;=$E$7),CsDJ[Credit])))+(SUM(IF((CRDJ[Account Code]=(TRIM($B93)))*(CRDJ[Date]&lt;=$E$7),CRDJ[Credit])))+(SUM(IF((GJ[Account Code]=(TRIM($B93)))*(GJ[Date]&lt;=$E$7),GJ[Credit]))))</f>
        <v>0</v>
      </c>
      <c r="F93" s="245">
        <f t="array" ref="F93">((SUM(IF((CkDJ[Date]=$A$3)*(CkDJ[Account Code]=(TRIM($B93))),CkDJ[Debit])))+(SUM(IF((CsDJ[Date]=$A$3)*(CsDJ[Account Code]=(TRIM($B93))),CsDJ[Debit])))+(SUM(IF((CRDJ[Date]=$A$3)*(CRDJ[Account Code]=(TRIM($B93))),CRDJ[Debit])))+(SUM(IF((GJ[Date]=$A$3)*(GJ[Account Code]=(TRIM($B93))),GJ[Debit]))))-((SUM(IF((CkDJ[Date]=$A$3)*(CkDJ[Account Code]=(TRIM($B93))),CkDJ[Credit])))+(SUM(IF((CsDJ[Date]=$A$3)*(CsDJ[Account Code]=(TRIM($B93))),CsDJ[Credit])))+(SUM(IF((CRDJ[Date]=$A$3)*(CRDJ[Account Code]=(TRIM($B93))),CRDJ[Credit])))+(SUM(IF((GJ[Date]=$A$3)*(GJ[Account Code]=(TRIM($B93))),GJ[Credit]))))</f>
        <v>0</v>
      </c>
      <c r="G93" s="343">
        <f t="shared" si="9"/>
        <v>0</v>
      </c>
      <c r="H93" s="246">
        <f t="shared" si="6"/>
        <v>-9999.9599999999991</v>
      </c>
      <c r="I93" s="246">
        <f t="shared" si="7"/>
        <v>0</v>
      </c>
    </row>
    <row r="94" spans="1:9" hidden="1" x14ac:dyDescent="0.2">
      <c r="A94" s="256" t="s">
        <v>295</v>
      </c>
      <c r="B94" s="339" t="s">
        <v>235</v>
      </c>
      <c r="C94" s="245">
        <f t="array" ref="C94">SUM(IF((Budget[Account Code]=B94),(Budget[Amount])))</f>
        <v>717810</v>
      </c>
      <c r="D94" s="245">
        <f t="array" ref="D94">SUM(IF((Budget[Account Code]=B94)*(Budget[Date]&lt;=$D$7),(Budget[Amount])))</f>
        <v>717810</v>
      </c>
      <c r="E94" s="245">
        <f t="array" ref="E94">((SUM(IF((CkDJ[Account Code]=(TRIM($B94)))*(CkDJ[Date]&lt;=$E$7),CkDJ[Debit])))+(SUM(IF((CsDJ[Account Code]=(TRIM($B94)))*(CsDJ[Date]&lt;=$E$7),CsDJ[Debit])))+(SUM(IF((CRDJ[Account Code]=(TRIM($B94)))*(CRDJ[Date]&lt;=$E$7),CRDJ[Debit])))+(SUM(IF((GJ[Account Code]=(TRIM($B94)))*(GJ[Date]&lt;=$E$7),GJ[Debit]))))-((SUM(IF((CkDJ[Account Code]=(TRIM($B94)))*(CkDJ[Date]&lt;=$E$7),CkDJ[Credit])))+(SUM(IF((CsDJ[Account Code]=(TRIM($B94)))*(CsDJ[Date]&lt;=$E$7),CsDJ[Credit])))+(SUM(IF((CRDJ[Account Code]=(TRIM($B94)))*(CRDJ[Date]&lt;=$E$7),CRDJ[Credit])))+(SUM(IF((GJ[Account Code]=(TRIM($B94)))*(GJ[Date]&lt;=$E$7),GJ[Credit]))))</f>
        <v>0</v>
      </c>
      <c r="F94" s="245">
        <f t="array" ref="F94">((SUM(IF((CkDJ[Date]=$A$3)*(CkDJ[Account Code]=(TRIM($B94))),CkDJ[Debit])))+(SUM(IF((CsDJ[Date]=$A$3)*(CsDJ[Account Code]=(TRIM($B94))),CsDJ[Debit])))+(SUM(IF((CRDJ[Date]=$A$3)*(CRDJ[Account Code]=(TRIM($B94))),CRDJ[Debit])))+(SUM(IF((GJ[Date]=$A$3)*(GJ[Account Code]=(TRIM($B94))),GJ[Debit]))))-((SUM(IF((CkDJ[Date]=$A$3)*(CkDJ[Account Code]=(TRIM($B94))),CkDJ[Credit])))+(SUM(IF((CsDJ[Date]=$A$3)*(CsDJ[Account Code]=(TRIM($B94))),CsDJ[Credit])))+(SUM(IF((CRDJ[Date]=$A$3)*(CRDJ[Account Code]=(TRIM($B94))),CRDJ[Credit])))+(SUM(IF((GJ[Date]=$A$3)*(GJ[Account Code]=(TRIM($B94))),GJ[Credit]))))</f>
        <v>0</v>
      </c>
      <c r="G94" s="343">
        <f t="shared" si="9"/>
        <v>0</v>
      </c>
      <c r="H94" s="246">
        <f t="shared" si="6"/>
        <v>-717810</v>
      </c>
      <c r="I94" s="246">
        <f t="shared" si="7"/>
        <v>0</v>
      </c>
    </row>
    <row r="95" spans="1:9" hidden="1" x14ac:dyDescent="0.2">
      <c r="A95" s="256" t="s">
        <v>296</v>
      </c>
      <c r="B95" s="339" t="s">
        <v>236</v>
      </c>
      <c r="C95" s="245">
        <f t="array" ref="C95">SUM(IF((Budget[Account Code]=B95),(Budget[Amount])))</f>
        <v>91560</v>
      </c>
      <c r="D95" s="245">
        <f t="array" ref="D95">SUM(IF((Budget[Account Code]=B95)*(Budget[Date]&lt;=$D$7),(Budget[Amount])))</f>
        <v>91560</v>
      </c>
      <c r="E95" s="245">
        <f t="array" ref="E95">((SUM(IF((CkDJ[Account Code]=(TRIM($B95)))*(CkDJ[Date]&lt;=$E$7),CkDJ[Debit])))+(SUM(IF((CsDJ[Account Code]=(TRIM($B95)))*(CsDJ[Date]&lt;=$E$7),CsDJ[Debit])))+(SUM(IF((CRDJ[Account Code]=(TRIM($B95)))*(CRDJ[Date]&lt;=$E$7),CRDJ[Debit])))+(SUM(IF((GJ[Account Code]=(TRIM($B95)))*(GJ[Date]&lt;=$E$7),GJ[Debit]))))-((SUM(IF((CkDJ[Account Code]=(TRIM($B95)))*(CkDJ[Date]&lt;=$E$7),CkDJ[Credit])))+(SUM(IF((CsDJ[Account Code]=(TRIM($B95)))*(CsDJ[Date]&lt;=$E$7),CsDJ[Credit])))+(SUM(IF((CRDJ[Account Code]=(TRIM($B95)))*(CRDJ[Date]&lt;=$E$7),CRDJ[Credit])))+(SUM(IF((GJ[Account Code]=(TRIM($B95)))*(GJ[Date]&lt;=$E$7),GJ[Credit]))))</f>
        <v>0</v>
      </c>
      <c r="F95" s="245">
        <f t="array" ref="F95">((SUM(IF((CkDJ[Date]=$A$3)*(CkDJ[Account Code]=(TRIM($B95))),CkDJ[Debit])))+(SUM(IF((CsDJ[Date]=$A$3)*(CsDJ[Account Code]=(TRIM($B95))),CsDJ[Debit])))+(SUM(IF((CRDJ[Date]=$A$3)*(CRDJ[Account Code]=(TRIM($B95))),CRDJ[Debit])))+(SUM(IF((GJ[Date]=$A$3)*(GJ[Account Code]=(TRIM($B95))),GJ[Debit]))))-((SUM(IF((CkDJ[Date]=$A$3)*(CkDJ[Account Code]=(TRIM($B95))),CkDJ[Credit])))+(SUM(IF((CsDJ[Date]=$A$3)*(CsDJ[Account Code]=(TRIM($B95))),CsDJ[Credit])))+(SUM(IF((CRDJ[Date]=$A$3)*(CRDJ[Account Code]=(TRIM($B95))),CRDJ[Credit])))+(SUM(IF((GJ[Date]=$A$3)*(GJ[Account Code]=(TRIM($B95))),GJ[Credit]))))</f>
        <v>0</v>
      </c>
      <c r="G95" s="343">
        <f t="shared" si="9"/>
        <v>0</v>
      </c>
      <c r="H95" s="246">
        <f t="shared" si="6"/>
        <v>-91560</v>
      </c>
      <c r="I95" s="246">
        <f t="shared" si="7"/>
        <v>0</v>
      </c>
    </row>
    <row r="96" spans="1:9" hidden="1" x14ac:dyDescent="0.2">
      <c r="A96" s="256" t="s">
        <v>297</v>
      </c>
      <c r="B96" s="339" t="s">
        <v>237</v>
      </c>
      <c r="C96" s="245">
        <f t="array" ref="C96">SUM(IF((Budget[Account Code]=B96),(Budget[Amount])))</f>
        <v>224716.08</v>
      </c>
      <c r="D96" s="245">
        <f t="array" ref="D96">SUM(IF((Budget[Account Code]=B96)*(Budget[Date]&lt;=$D$7),(Budget[Amount])))</f>
        <v>224716.08</v>
      </c>
      <c r="E96" s="245">
        <f t="array" ref="E96">((SUM(IF((CkDJ[Account Code]=(TRIM($B96)))*(CkDJ[Date]&lt;=$E$7),CkDJ[Debit])))+(SUM(IF((CsDJ[Account Code]=(TRIM($B96)))*(CsDJ[Date]&lt;=$E$7),CsDJ[Debit])))+(SUM(IF((CRDJ[Account Code]=(TRIM($B96)))*(CRDJ[Date]&lt;=$E$7),CRDJ[Debit])))+(SUM(IF((GJ[Account Code]=(TRIM($B96)))*(GJ[Date]&lt;=$E$7),GJ[Debit]))))-((SUM(IF((CkDJ[Account Code]=(TRIM($B96)))*(CkDJ[Date]&lt;=$E$7),CkDJ[Credit])))+(SUM(IF((CsDJ[Account Code]=(TRIM($B96)))*(CsDJ[Date]&lt;=$E$7),CsDJ[Credit])))+(SUM(IF((CRDJ[Account Code]=(TRIM($B96)))*(CRDJ[Date]&lt;=$E$7),CRDJ[Credit])))+(SUM(IF((GJ[Account Code]=(TRIM($B96)))*(GJ[Date]&lt;=$E$7),GJ[Credit]))))</f>
        <v>0</v>
      </c>
      <c r="F96" s="245">
        <f t="array" ref="F96">((SUM(IF((CkDJ[Date]=$A$3)*(CkDJ[Account Code]=(TRIM($B96))),CkDJ[Debit])))+(SUM(IF((CsDJ[Date]=$A$3)*(CsDJ[Account Code]=(TRIM($B96))),CsDJ[Debit])))+(SUM(IF((CRDJ[Date]=$A$3)*(CRDJ[Account Code]=(TRIM($B96))),CRDJ[Debit])))+(SUM(IF((GJ[Date]=$A$3)*(GJ[Account Code]=(TRIM($B96))),GJ[Debit]))))-((SUM(IF((CkDJ[Date]=$A$3)*(CkDJ[Account Code]=(TRIM($B96))),CkDJ[Credit])))+(SUM(IF((CsDJ[Date]=$A$3)*(CsDJ[Account Code]=(TRIM($B96))),CsDJ[Credit])))+(SUM(IF((CRDJ[Date]=$A$3)*(CRDJ[Account Code]=(TRIM($B96))),CRDJ[Credit])))+(SUM(IF((GJ[Date]=$A$3)*(GJ[Account Code]=(TRIM($B96))),GJ[Credit]))))</f>
        <v>0</v>
      </c>
      <c r="G96" s="343">
        <f t="shared" si="9"/>
        <v>0</v>
      </c>
      <c r="H96" s="246">
        <f t="shared" si="6"/>
        <v>-224716.08</v>
      </c>
      <c r="I96" s="246">
        <f t="shared" si="7"/>
        <v>0</v>
      </c>
    </row>
    <row r="97" spans="1:9" hidden="1" x14ac:dyDescent="0.2">
      <c r="A97" s="256" t="s">
        <v>298</v>
      </c>
      <c r="B97" s="339" t="s">
        <v>238</v>
      </c>
      <c r="C97" s="245">
        <f t="array" ref="C97">SUM(IF((Budget[Account Code]=B97),(Budget[Amount])))</f>
        <v>0</v>
      </c>
      <c r="D97" s="245">
        <f t="array" ref="D97">SUM(IF((Budget[Account Code]=B97)*(Budget[Date]&lt;=$D$7),(Budget[Amount])))</f>
        <v>0</v>
      </c>
      <c r="E97" s="245">
        <f t="array" ref="E97">((SUM(IF((CkDJ[Account Code]=(TRIM($B97)))*(CkDJ[Date]&lt;=$E$7),CkDJ[Debit])))+(SUM(IF((CsDJ[Account Code]=(TRIM($B97)))*(CsDJ[Date]&lt;=$E$7),CsDJ[Debit])))+(SUM(IF((CRDJ[Account Code]=(TRIM($B97)))*(CRDJ[Date]&lt;=$E$7),CRDJ[Debit])))+(SUM(IF((GJ[Account Code]=(TRIM($B97)))*(GJ[Date]&lt;=$E$7),GJ[Debit]))))-((SUM(IF((CkDJ[Account Code]=(TRIM($B97)))*(CkDJ[Date]&lt;=$E$7),CkDJ[Credit])))+(SUM(IF((CsDJ[Account Code]=(TRIM($B97)))*(CsDJ[Date]&lt;=$E$7),CsDJ[Credit])))+(SUM(IF((CRDJ[Account Code]=(TRIM($B97)))*(CRDJ[Date]&lt;=$E$7),CRDJ[Credit])))+(SUM(IF((GJ[Account Code]=(TRIM($B97)))*(GJ[Date]&lt;=$E$7),GJ[Credit]))))</f>
        <v>0</v>
      </c>
      <c r="F97" s="245">
        <f t="array" ref="F97">((SUM(IF((CkDJ[Date]=$A$3)*(CkDJ[Account Code]=(TRIM($B97))),CkDJ[Debit])))+(SUM(IF((CsDJ[Date]=$A$3)*(CsDJ[Account Code]=(TRIM($B97))),CsDJ[Debit])))+(SUM(IF((CRDJ[Date]=$A$3)*(CRDJ[Account Code]=(TRIM($B97))),CRDJ[Debit])))+(SUM(IF((GJ[Date]=$A$3)*(GJ[Account Code]=(TRIM($B97))),GJ[Debit]))))-((SUM(IF((CkDJ[Date]=$A$3)*(CkDJ[Account Code]=(TRIM($B97))),CkDJ[Credit])))+(SUM(IF((CsDJ[Date]=$A$3)*(CsDJ[Account Code]=(TRIM($B97))),CsDJ[Credit])))+(SUM(IF((CRDJ[Date]=$A$3)*(CRDJ[Account Code]=(TRIM($B97))),CRDJ[Credit])))+(SUM(IF((GJ[Date]=$A$3)*(GJ[Account Code]=(TRIM($B97))),GJ[Credit]))))</f>
        <v>0</v>
      </c>
      <c r="G97" s="343">
        <f t="shared" si="9"/>
        <v>0</v>
      </c>
      <c r="H97" s="246">
        <f t="shared" si="6"/>
        <v>0</v>
      </c>
      <c r="I97" s="246">
        <f t="shared" si="7"/>
        <v>0</v>
      </c>
    </row>
    <row r="98" spans="1:9" hidden="1" x14ac:dyDescent="0.2">
      <c r="A98" s="256" t="s">
        <v>1019</v>
      </c>
      <c r="B98" s="339" t="s">
        <v>239</v>
      </c>
      <c r="C98" s="245">
        <f t="array" ref="C98">SUM(IF((Budget[Account Code]=B98),(Budget[Amount])))</f>
        <v>40800</v>
      </c>
      <c r="D98" s="245">
        <f t="array" ref="D98">SUM(IF((Budget[Account Code]=B98)*(Budget[Date]&lt;=$D$7),(Budget[Amount])))</f>
        <v>40800</v>
      </c>
      <c r="E98" s="245">
        <f t="array" ref="E98">((SUM(IF((CkDJ[Account Code]=(TRIM($B98)))*(CkDJ[Date]&lt;=$E$7),CkDJ[Debit])))+(SUM(IF((CsDJ[Account Code]=(TRIM($B98)))*(CsDJ[Date]&lt;=$E$7),CsDJ[Debit])))+(SUM(IF((CRDJ[Account Code]=(TRIM($B98)))*(CRDJ[Date]&lt;=$E$7),CRDJ[Debit])))+(SUM(IF((GJ[Account Code]=(TRIM($B98)))*(GJ[Date]&lt;=$E$7),GJ[Debit]))))-((SUM(IF((CkDJ[Account Code]=(TRIM($B98)))*(CkDJ[Date]&lt;=$E$7),CkDJ[Credit])))+(SUM(IF((CsDJ[Account Code]=(TRIM($B98)))*(CsDJ[Date]&lt;=$E$7),CsDJ[Credit])))+(SUM(IF((CRDJ[Account Code]=(TRIM($B98)))*(CRDJ[Date]&lt;=$E$7),CRDJ[Credit])))+(SUM(IF((GJ[Account Code]=(TRIM($B98)))*(GJ[Date]&lt;=$E$7),GJ[Credit]))))</f>
        <v>0</v>
      </c>
      <c r="F98" s="245">
        <f t="array" ref="F98">((SUM(IF((CkDJ[Date]=$A$3)*(CkDJ[Account Code]=(TRIM($B98))),CkDJ[Debit])))+(SUM(IF((CsDJ[Date]=$A$3)*(CsDJ[Account Code]=(TRIM($B98))),CsDJ[Debit])))+(SUM(IF((CRDJ[Date]=$A$3)*(CRDJ[Account Code]=(TRIM($B98))),CRDJ[Debit])))+(SUM(IF((GJ[Date]=$A$3)*(GJ[Account Code]=(TRIM($B98))),GJ[Debit]))))-((SUM(IF((CkDJ[Date]=$A$3)*(CkDJ[Account Code]=(TRIM($B98))),CkDJ[Credit])))+(SUM(IF((CsDJ[Date]=$A$3)*(CsDJ[Account Code]=(TRIM($B98))),CsDJ[Credit])))+(SUM(IF((CRDJ[Date]=$A$3)*(CRDJ[Account Code]=(TRIM($B98))),CRDJ[Credit])))+(SUM(IF((GJ[Date]=$A$3)*(GJ[Account Code]=(TRIM($B98))),GJ[Credit]))))</f>
        <v>0</v>
      </c>
      <c r="G98" s="343">
        <f t="shared" si="9"/>
        <v>0</v>
      </c>
      <c r="H98" s="246">
        <f t="shared" si="6"/>
        <v>-40800</v>
      </c>
      <c r="I98" s="246">
        <f t="shared" si="7"/>
        <v>0</v>
      </c>
    </row>
    <row r="99" spans="1:9" hidden="1" x14ac:dyDescent="0.2">
      <c r="A99" s="256" t="s">
        <v>1020</v>
      </c>
      <c r="B99" s="339" t="s">
        <v>240</v>
      </c>
      <c r="C99" s="245">
        <f t="array" ref="C99">SUM(IF((Budget[Account Code]=B99),(Budget[Amount])))</f>
        <v>68343.960000000006</v>
      </c>
      <c r="D99" s="245">
        <f t="array" ref="D99">SUM(IF((Budget[Account Code]=B99)*(Budget[Date]&lt;=$D$7),(Budget[Amount])))</f>
        <v>68343.960000000006</v>
      </c>
      <c r="E99" s="245">
        <f t="array" ref="E99">((SUM(IF((CkDJ[Account Code]=(TRIM($B99)))*(CkDJ[Date]&lt;=$E$7),CkDJ[Debit])))+(SUM(IF((CsDJ[Account Code]=(TRIM($B99)))*(CsDJ[Date]&lt;=$E$7),CsDJ[Debit])))+(SUM(IF((CRDJ[Account Code]=(TRIM($B99)))*(CRDJ[Date]&lt;=$E$7),CRDJ[Debit])))+(SUM(IF((GJ[Account Code]=(TRIM($B99)))*(GJ[Date]&lt;=$E$7),GJ[Debit]))))-((SUM(IF((CkDJ[Account Code]=(TRIM($B99)))*(CkDJ[Date]&lt;=$E$7),CkDJ[Credit])))+(SUM(IF((CsDJ[Account Code]=(TRIM($B99)))*(CsDJ[Date]&lt;=$E$7),CsDJ[Credit])))+(SUM(IF((CRDJ[Account Code]=(TRIM($B99)))*(CRDJ[Date]&lt;=$E$7),CRDJ[Credit])))+(SUM(IF((GJ[Account Code]=(TRIM($B99)))*(GJ[Date]&lt;=$E$7),GJ[Credit]))))</f>
        <v>0</v>
      </c>
      <c r="F99" s="245">
        <f t="array" ref="F99">((SUM(IF((CkDJ[Date]=$A$3)*(CkDJ[Account Code]=(TRIM($B99))),CkDJ[Debit])))+(SUM(IF((CsDJ[Date]=$A$3)*(CsDJ[Account Code]=(TRIM($B99))),CsDJ[Debit])))+(SUM(IF((CRDJ[Date]=$A$3)*(CRDJ[Account Code]=(TRIM($B99))),CRDJ[Debit])))+(SUM(IF((GJ[Date]=$A$3)*(GJ[Account Code]=(TRIM($B99))),GJ[Debit]))))-((SUM(IF((CkDJ[Date]=$A$3)*(CkDJ[Account Code]=(TRIM($B99))),CkDJ[Credit])))+(SUM(IF((CsDJ[Date]=$A$3)*(CsDJ[Account Code]=(TRIM($B99))),CsDJ[Credit])))+(SUM(IF((CRDJ[Date]=$A$3)*(CRDJ[Account Code]=(TRIM($B99))),CRDJ[Credit])))+(SUM(IF((GJ[Date]=$A$3)*(GJ[Account Code]=(TRIM($B99))),GJ[Credit]))))</f>
        <v>0</v>
      </c>
      <c r="G99" s="343">
        <f t="shared" si="9"/>
        <v>0</v>
      </c>
      <c r="H99" s="246">
        <f t="shared" si="6"/>
        <v>-68343.960000000006</v>
      </c>
      <c r="I99" s="246">
        <f t="shared" si="7"/>
        <v>0</v>
      </c>
    </row>
    <row r="100" spans="1:9" hidden="1" x14ac:dyDescent="0.2">
      <c r="A100" s="256" t="s">
        <v>299</v>
      </c>
      <c r="B100" s="339" t="s">
        <v>241</v>
      </c>
      <c r="C100" s="245">
        <f t="array" ref="C100">SUM(IF((Budget[Account Code]=B100),(Budget[Amount])))</f>
        <v>5141</v>
      </c>
      <c r="D100" s="245">
        <f t="array" ref="D100">SUM(IF((Budget[Account Code]=B100)*(Budget[Date]&lt;=$D$7),(Budget[Amount])))</f>
        <v>5141</v>
      </c>
      <c r="E100" s="245">
        <f t="array" ref="E100">((SUM(IF((CkDJ[Account Code]=(TRIM($B100)))*(CkDJ[Date]&lt;=$E$7),CkDJ[Debit])))+(SUM(IF((CsDJ[Account Code]=(TRIM($B100)))*(CsDJ[Date]&lt;=$E$7),CsDJ[Debit])))+(SUM(IF((CRDJ[Account Code]=(TRIM($B100)))*(CRDJ[Date]&lt;=$E$7),CRDJ[Debit])))+(SUM(IF((GJ[Account Code]=(TRIM($B100)))*(GJ[Date]&lt;=$E$7),GJ[Debit]))))-((SUM(IF((CkDJ[Account Code]=(TRIM($B100)))*(CkDJ[Date]&lt;=$E$7),CkDJ[Credit])))+(SUM(IF((CsDJ[Account Code]=(TRIM($B100)))*(CsDJ[Date]&lt;=$E$7),CsDJ[Credit])))+(SUM(IF((CRDJ[Account Code]=(TRIM($B100)))*(CRDJ[Date]&lt;=$E$7),CRDJ[Credit])))+(SUM(IF((GJ[Account Code]=(TRIM($B100)))*(GJ[Date]&lt;=$E$7),GJ[Credit]))))</f>
        <v>0</v>
      </c>
      <c r="F100" s="245">
        <f t="array" ref="F100">((SUM(IF((CkDJ[Date]=$A$3)*(CkDJ[Account Code]=(TRIM($B100))),CkDJ[Debit])))+(SUM(IF((CsDJ[Date]=$A$3)*(CsDJ[Account Code]=(TRIM($B100))),CsDJ[Debit])))+(SUM(IF((CRDJ[Date]=$A$3)*(CRDJ[Account Code]=(TRIM($B100))),CRDJ[Debit])))+(SUM(IF((GJ[Date]=$A$3)*(GJ[Account Code]=(TRIM($B100))),GJ[Debit]))))-((SUM(IF((CkDJ[Date]=$A$3)*(CkDJ[Account Code]=(TRIM($B100))),CkDJ[Credit])))+(SUM(IF((CsDJ[Date]=$A$3)*(CsDJ[Account Code]=(TRIM($B100))),CsDJ[Credit])))+(SUM(IF((CRDJ[Date]=$A$3)*(CRDJ[Account Code]=(TRIM($B100))),CRDJ[Credit])))+(SUM(IF((GJ[Date]=$A$3)*(GJ[Account Code]=(TRIM($B100))),GJ[Credit]))))</f>
        <v>0</v>
      </c>
      <c r="G100" s="343">
        <f t="shared" si="9"/>
        <v>0</v>
      </c>
      <c r="H100" s="246">
        <f t="shared" si="6"/>
        <v>-5141</v>
      </c>
      <c r="I100" s="246">
        <f t="shared" si="7"/>
        <v>0</v>
      </c>
    </row>
    <row r="101" spans="1:9" hidden="1" x14ac:dyDescent="0.2">
      <c r="A101" s="256" t="s">
        <v>300</v>
      </c>
      <c r="B101" s="339" t="s">
        <v>242</v>
      </c>
      <c r="C101" s="245">
        <f t="array" ref="C101">SUM(IF((Budget[Account Code]=B101),(Budget[Amount])))</f>
        <v>0</v>
      </c>
      <c r="D101" s="245">
        <f t="array" ref="D101">SUM(IF((Budget[Account Code]=B101)*(Budget[Date]&lt;=$D$7),(Budget[Amount])))</f>
        <v>0</v>
      </c>
      <c r="E101" s="245">
        <f t="array" ref="E101">((SUM(IF((CkDJ[Account Code]=(TRIM($B101)))*(CkDJ[Date]&lt;=$E$7),CkDJ[Debit])))+(SUM(IF((CsDJ[Account Code]=(TRIM($B101)))*(CsDJ[Date]&lt;=$E$7),CsDJ[Debit])))+(SUM(IF((CRDJ[Account Code]=(TRIM($B101)))*(CRDJ[Date]&lt;=$E$7),CRDJ[Debit])))+(SUM(IF((GJ[Account Code]=(TRIM($B101)))*(GJ[Date]&lt;=$E$7),GJ[Debit]))))-((SUM(IF((CkDJ[Account Code]=(TRIM($B101)))*(CkDJ[Date]&lt;=$E$7),CkDJ[Credit])))+(SUM(IF((CsDJ[Account Code]=(TRIM($B101)))*(CsDJ[Date]&lt;=$E$7),CsDJ[Credit])))+(SUM(IF((CRDJ[Account Code]=(TRIM($B101)))*(CRDJ[Date]&lt;=$E$7),CRDJ[Credit])))+(SUM(IF((GJ[Account Code]=(TRIM($B101)))*(GJ[Date]&lt;=$E$7),GJ[Credit]))))</f>
        <v>0</v>
      </c>
      <c r="F101" s="245">
        <f t="array" ref="F101">((SUM(IF((CkDJ[Date]=$A$3)*(CkDJ[Account Code]=(TRIM($B101))),CkDJ[Debit])))+(SUM(IF((CsDJ[Date]=$A$3)*(CsDJ[Account Code]=(TRIM($B101))),CsDJ[Debit])))+(SUM(IF((CRDJ[Date]=$A$3)*(CRDJ[Account Code]=(TRIM($B101))),CRDJ[Debit])))+(SUM(IF((GJ[Date]=$A$3)*(GJ[Account Code]=(TRIM($B101))),GJ[Debit]))))-((SUM(IF((CkDJ[Date]=$A$3)*(CkDJ[Account Code]=(TRIM($B101))),CkDJ[Credit])))+(SUM(IF((CsDJ[Date]=$A$3)*(CsDJ[Account Code]=(TRIM($B101))),CsDJ[Credit])))+(SUM(IF((CRDJ[Date]=$A$3)*(CRDJ[Account Code]=(TRIM($B101))),CRDJ[Credit])))+(SUM(IF((GJ[Date]=$A$3)*(GJ[Account Code]=(TRIM($B101))),GJ[Credit]))))</f>
        <v>0</v>
      </c>
      <c r="G101" s="343">
        <f t="shared" si="9"/>
        <v>0</v>
      </c>
      <c r="H101" s="246">
        <f t="shared" si="6"/>
        <v>0</v>
      </c>
      <c r="I101" s="246">
        <f t="shared" si="7"/>
        <v>0</v>
      </c>
    </row>
    <row r="102" spans="1:9" hidden="1" x14ac:dyDescent="0.2">
      <c r="A102" s="256" t="s">
        <v>301</v>
      </c>
      <c r="B102" s="339" t="s">
        <v>243</v>
      </c>
      <c r="C102" s="245">
        <f t="array" ref="C102">SUM(IF((Budget[Account Code]=B102),(Budget[Amount])))</f>
        <v>61200</v>
      </c>
      <c r="D102" s="245">
        <f t="array" ref="D102">SUM(IF((Budget[Account Code]=B102)*(Budget[Date]&lt;=$D$7),(Budget[Amount])))</f>
        <v>61200</v>
      </c>
      <c r="E102" s="245">
        <f t="array" ref="E102">((SUM(IF((CkDJ[Account Code]=(TRIM($B102)))*(CkDJ[Date]&lt;=$E$7),CkDJ[Debit])))+(SUM(IF((CsDJ[Account Code]=(TRIM($B102)))*(CsDJ[Date]&lt;=$E$7),CsDJ[Debit])))+(SUM(IF((CRDJ[Account Code]=(TRIM($B102)))*(CRDJ[Date]&lt;=$E$7),CRDJ[Debit])))+(SUM(IF((GJ[Account Code]=(TRIM($B102)))*(GJ[Date]&lt;=$E$7),GJ[Debit]))))-((SUM(IF((CkDJ[Account Code]=(TRIM($B102)))*(CkDJ[Date]&lt;=$E$7),CkDJ[Credit])))+(SUM(IF((CsDJ[Account Code]=(TRIM($B102)))*(CsDJ[Date]&lt;=$E$7),CsDJ[Credit])))+(SUM(IF((CRDJ[Account Code]=(TRIM($B102)))*(CRDJ[Date]&lt;=$E$7),CRDJ[Credit])))+(SUM(IF((GJ[Account Code]=(TRIM($B102)))*(GJ[Date]&lt;=$E$7),GJ[Credit]))))</f>
        <v>0</v>
      </c>
      <c r="F102" s="245">
        <f t="array" ref="F102">((SUM(IF((CkDJ[Date]=$A$3)*(CkDJ[Account Code]=(TRIM($B102))),CkDJ[Debit])))+(SUM(IF((CsDJ[Date]=$A$3)*(CsDJ[Account Code]=(TRIM($B102))),CsDJ[Debit])))+(SUM(IF((CRDJ[Date]=$A$3)*(CRDJ[Account Code]=(TRIM($B102))),CRDJ[Debit])))+(SUM(IF((GJ[Date]=$A$3)*(GJ[Account Code]=(TRIM($B102))),GJ[Debit]))))-((SUM(IF((CkDJ[Date]=$A$3)*(CkDJ[Account Code]=(TRIM($B102))),CkDJ[Credit])))+(SUM(IF((CsDJ[Date]=$A$3)*(CsDJ[Account Code]=(TRIM($B102))),CsDJ[Credit])))+(SUM(IF((CRDJ[Date]=$A$3)*(CRDJ[Account Code]=(TRIM($B102))),CRDJ[Credit])))+(SUM(IF((GJ[Date]=$A$3)*(GJ[Account Code]=(TRIM($B102))),GJ[Credit]))))</f>
        <v>0</v>
      </c>
      <c r="G102" s="343">
        <f t="shared" si="9"/>
        <v>0</v>
      </c>
      <c r="H102" s="246">
        <f t="shared" si="6"/>
        <v>-61200</v>
      </c>
      <c r="I102" s="246">
        <f t="shared" si="7"/>
        <v>0</v>
      </c>
    </row>
    <row r="103" spans="1:9" hidden="1" x14ac:dyDescent="0.2">
      <c r="A103" s="256" t="s">
        <v>302</v>
      </c>
      <c r="B103" s="339" t="s">
        <v>244</v>
      </c>
      <c r="C103" s="245">
        <f t="array" ref="C103">SUM(IF((Budget[Account Code]=B103),(Budget[Amount])))</f>
        <v>24480</v>
      </c>
      <c r="D103" s="245">
        <f t="array" ref="D103">SUM(IF((Budget[Account Code]=B103)*(Budget[Date]&lt;=$D$7),(Budget[Amount])))</f>
        <v>24480</v>
      </c>
      <c r="E103" s="245">
        <f t="array" ref="E103">((SUM(IF((CkDJ[Account Code]=(TRIM($B103)))*(CkDJ[Date]&lt;=$E$7),CkDJ[Debit])))+(SUM(IF((CsDJ[Account Code]=(TRIM($B103)))*(CsDJ[Date]&lt;=$E$7),CsDJ[Debit])))+(SUM(IF((CRDJ[Account Code]=(TRIM($B103)))*(CRDJ[Date]&lt;=$E$7),CRDJ[Debit])))+(SUM(IF((GJ[Account Code]=(TRIM($B103)))*(GJ[Date]&lt;=$E$7),GJ[Debit]))))-((SUM(IF((CkDJ[Account Code]=(TRIM($B103)))*(CkDJ[Date]&lt;=$E$7),CkDJ[Credit])))+(SUM(IF((CsDJ[Account Code]=(TRIM($B103)))*(CsDJ[Date]&lt;=$E$7),CsDJ[Credit])))+(SUM(IF((CRDJ[Account Code]=(TRIM($B103)))*(CRDJ[Date]&lt;=$E$7),CRDJ[Credit])))+(SUM(IF((GJ[Account Code]=(TRIM($B103)))*(GJ[Date]&lt;=$E$7),GJ[Credit]))))</f>
        <v>0</v>
      </c>
      <c r="F103" s="245">
        <f t="array" ref="F103">((SUM(IF((CkDJ[Date]=$A$3)*(CkDJ[Account Code]=(TRIM($B103))),CkDJ[Debit])))+(SUM(IF((CsDJ[Date]=$A$3)*(CsDJ[Account Code]=(TRIM($B103))),CsDJ[Debit])))+(SUM(IF((CRDJ[Date]=$A$3)*(CRDJ[Account Code]=(TRIM($B103))),CRDJ[Debit])))+(SUM(IF((GJ[Date]=$A$3)*(GJ[Account Code]=(TRIM($B103))),GJ[Debit]))))-((SUM(IF((CkDJ[Date]=$A$3)*(CkDJ[Account Code]=(TRIM($B103))),CkDJ[Credit])))+(SUM(IF((CsDJ[Date]=$A$3)*(CsDJ[Account Code]=(TRIM($B103))),CsDJ[Credit])))+(SUM(IF((CRDJ[Date]=$A$3)*(CRDJ[Account Code]=(TRIM($B103))),CRDJ[Credit])))+(SUM(IF((GJ[Date]=$A$3)*(GJ[Account Code]=(TRIM($B103))),GJ[Credit]))))</f>
        <v>0</v>
      </c>
      <c r="G103" s="343">
        <f t="shared" si="9"/>
        <v>0</v>
      </c>
      <c r="H103" s="246">
        <f t="shared" si="6"/>
        <v>-24480</v>
      </c>
      <c r="I103" s="246">
        <f t="shared" si="7"/>
        <v>0</v>
      </c>
    </row>
    <row r="104" spans="1:9" hidden="1" x14ac:dyDescent="0.2">
      <c r="A104" s="256" t="s">
        <v>347</v>
      </c>
      <c r="B104" s="339" t="s">
        <v>338</v>
      </c>
      <c r="C104" s="245">
        <f t="array" ref="C104">SUM(IF((Budget[Account Code]=B104),(Budget[Amount])))</f>
        <v>0</v>
      </c>
      <c r="D104" s="245">
        <f t="array" ref="D104">SUM(IF((Budget[Account Code]=B104)*(Budget[Date]&lt;=$D$7),(Budget[Amount])))</f>
        <v>0</v>
      </c>
      <c r="E104" s="245">
        <f t="array" ref="E104">((SUM(IF((CkDJ[Account Code]=(TRIM($B104)))*(CkDJ[Date]&lt;=$E$7),CkDJ[Debit])))+(SUM(IF((CsDJ[Account Code]=(TRIM($B104)))*(CsDJ[Date]&lt;=$E$7),CsDJ[Debit])))+(SUM(IF((CRDJ[Account Code]=(TRIM($B104)))*(CRDJ[Date]&lt;=$E$7),CRDJ[Debit])))+(SUM(IF((GJ[Account Code]=(TRIM($B104)))*(GJ[Date]&lt;=$E$7),GJ[Debit]))))-((SUM(IF((CkDJ[Account Code]=(TRIM($B104)))*(CkDJ[Date]&lt;=$E$7),CkDJ[Credit])))+(SUM(IF((CsDJ[Account Code]=(TRIM($B104)))*(CsDJ[Date]&lt;=$E$7),CsDJ[Credit])))+(SUM(IF((CRDJ[Account Code]=(TRIM($B104)))*(CRDJ[Date]&lt;=$E$7),CRDJ[Credit])))+(SUM(IF((GJ[Account Code]=(TRIM($B104)))*(GJ[Date]&lt;=$E$7),GJ[Credit]))))</f>
        <v>0</v>
      </c>
      <c r="F104" s="245">
        <f t="array" ref="F104">((SUM(IF((CkDJ[Date]=$A$3)*(CkDJ[Account Code]=(TRIM($B104))),CkDJ[Debit])))+(SUM(IF((CsDJ[Date]=$A$3)*(CsDJ[Account Code]=(TRIM($B104))),CsDJ[Debit])))+(SUM(IF((CRDJ[Date]=$A$3)*(CRDJ[Account Code]=(TRIM($B104))),CRDJ[Debit])))+(SUM(IF((GJ[Date]=$A$3)*(GJ[Account Code]=(TRIM($B104))),GJ[Debit]))))-((SUM(IF((CkDJ[Date]=$A$3)*(CkDJ[Account Code]=(TRIM($B104))),CkDJ[Credit])))+(SUM(IF((CsDJ[Date]=$A$3)*(CsDJ[Account Code]=(TRIM($B104))),CsDJ[Credit])))+(SUM(IF((CRDJ[Date]=$A$3)*(CRDJ[Account Code]=(TRIM($B104))),CRDJ[Credit])))+(SUM(IF((GJ[Date]=$A$3)*(GJ[Account Code]=(TRIM($B104))),GJ[Credit]))))</f>
        <v>0</v>
      </c>
      <c r="G104" s="343">
        <f t="shared" si="9"/>
        <v>0</v>
      </c>
      <c r="H104" s="246">
        <f t="shared" si="6"/>
        <v>0</v>
      </c>
      <c r="I104" s="246">
        <f t="shared" si="7"/>
        <v>0</v>
      </c>
    </row>
    <row r="105" spans="1:9" hidden="1" x14ac:dyDescent="0.2">
      <c r="A105" s="256" t="s">
        <v>348</v>
      </c>
      <c r="B105" s="339" t="s">
        <v>339</v>
      </c>
      <c r="C105" s="245">
        <f t="array" ref="C105">SUM(IF((Budget[Account Code]=B105),(Budget[Amount])))</f>
        <v>0</v>
      </c>
      <c r="D105" s="245">
        <f t="array" ref="D105">SUM(IF((Budget[Account Code]=B105)*(Budget[Date]&lt;=$D$7),(Budget[Amount])))</f>
        <v>0</v>
      </c>
      <c r="E105" s="245">
        <f t="array" ref="E105">((SUM(IF((CkDJ[Account Code]=(TRIM($B105)))*(CkDJ[Date]&lt;=$E$7),CkDJ[Debit])))+(SUM(IF((CsDJ[Account Code]=(TRIM($B105)))*(CsDJ[Date]&lt;=$E$7),CsDJ[Debit])))+(SUM(IF((CRDJ[Account Code]=(TRIM($B105)))*(CRDJ[Date]&lt;=$E$7),CRDJ[Debit])))+(SUM(IF((GJ[Account Code]=(TRIM($B105)))*(GJ[Date]&lt;=$E$7),GJ[Debit]))))-((SUM(IF((CkDJ[Account Code]=(TRIM($B105)))*(CkDJ[Date]&lt;=$E$7),CkDJ[Credit])))+(SUM(IF((CsDJ[Account Code]=(TRIM($B105)))*(CsDJ[Date]&lt;=$E$7),CsDJ[Credit])))+(SUM(IF((CRDJ[Account Code]=(TRIM($B105)))*(CRDJ[Date]&lt;=$E$7),CRDJ[Credit])))+(SUM(IF((GJ[Account Code]=(TRIM($B105)))*(GJ[Date]&lt;=$E$7),GJ[Credit]))))</f>
        <v>0</v>
      </c>
      <c r="F105" s="245">
        <f t="array" ref="F105">((SUM(IF((CkDJ[Date]=$A$3)*(CkDJ[Account Code]=(TRIM($B105))),CkDJ[Debit])))+(SUM(IF((CsDJ[Date]=$A$3)*(CsDJ[Account Code]=(TRIM($B105))),CsDJ[Debit])))+(SUM(IF((CRDJ[Date]=$A$3)*(CRDJ[Account Code]=(TRIM($B105))),CRDJ[Debit])))+(SUM(IF((GJ[Date]=$A$3)*(GJ[Account Code]=(TRIM($B105))),GJ[Debit]))))-((SUM(IF((CkDJ[Date]=$A$3)*(CkDJ[Account Code]=(TRIM($B105))),CkDJ[Credit])))+(SUM(IF((CsDJ[Date]=$A$3)*(CsDJ[Account Code]=(TRIM($B105))),CsDJ[Credit])))+(SUM(IF((CRDJ[Date]=$A$3)*(CRDJ[Account Code]=(TRIM($B105))),CRDJ[Credit])))+(SUM(IF((GJ[Date]=$A$3)*(GJ[Account Code]=(TRIM($B105))),GJ[Credit]))))</f>
        <v>0</v>
      </c>
      <c r="G105" s="343">
        <f t="shared" si="9"/>
        <v>0</v>
      </c>
      <c r="H105" s="246">
        <f t="shared" si="6"/>
        <v>0</v>
      </c>
      <c r="I105" s="246">
        <f t="shared" si="7"/>
        <v>0</v>
      </c>
    </row>
    <row r="106" spans="1:9" hidden="1" x14ac:dyDescent="0.2">
      <c r="A106" s="256" t="s">
        <v>1021</v>
      </c>
      <c r="B106" s="339" t="s">
        <v>245</v>
      </c>
      <c r="C106" s="245">
        <f t="array" ref="C106">SUM(IF((Budget[Account Code]=B106),(Budget[Amount])))</f>
        <v>0</v>
      </c>
      <c r="D106" s="245">
        <f t="array" ref="D106">SUM(IF((Budget[Account Code]=B106)*(Budget[Date]&lt;=$D$7),(Budget[Amount])))</f>
        <v>0</v>
      </c>
      <c r="E106" s="245">
        <f t="array" ref="E106">((SUM(IF((CkDJ[Account Code]=(TRIM($B106)))*(CkDJ[Date]&lt;=$E$7),CkDJ[Debit])))+(SUM(IF((CsDJ[Account Code]=(TRIM($B106)))*(CsDJ[Date]&lt;=$E$7),CsDJ[Debit])))+(SUM(IF((CRDJ[Account Code]=(TRIM($B106)))*(CRDJ[Date]&lt;=$E$7),CRDJ[Debit])))+(SUM(IF((GJ[Account Code]=(TRIM($B106)))*(GJ[Date]&lt;=$E$7),GJ[Debit]))))-((SUM(IF((CkDJ[Account Code]=(TRIM($B106)))*(CkDJ[Date]&lt;=$E$7),CkDJ[Credit])))+(SUM(IF((CsDJ[Account Code]=(TRIM($B106)))*(CsDJ[Date]&lt;=$E$7),CsDJ[Credit])))+(SUM(IF((CRDJ[Account Code]=(TRIM($B106)))*(CRDJ[Date]&lt;=$E$7),CRDJ[Credit])))+(SUM(IF((GJ[Account Code]=(TRIM($B106)))*(GJ[Date]&lt;=$E$7),GJ[Credit]))))</f>
        <v>0</v>
      </c>
      <c r="F106" s="245">
        <f t="array" ref="F106">((SUM(IF((CkDJ[Date]=$A$3)*(CkDJ[Account Code]=(TRIM($B106))),CkDJ[Debit])))+(SUM(IF((CsDJ[Date]=$A$3)*(CsDJ[Account Code]=(TRIM($B106))),CsDJ[Debit])))+(SUM(IF((CRDJ[Date]=$A$3)*(CRDJ[Account Code]=(TRIM($B106))),CRDJ[Debit])))+(SUM(IF((GJ[Date]=$A$3)*(GJ[Account Code]=(TRIM($B106))),GJ[Debit]))))-((SUM(IF((CkDJ[Date]=$A$3)*(CkDJ[Account Code]=(TRIM($B106))),CkDJ[Credit])))+(SUM(IF((CsDJ[Date]=$A$3)*(CsDJ[Account Code]=(TRIM($B106))),CsDJ[Credit])))+(SUM(IF((CRDJ[Date]=$A$3)*(CRDJ[Account Code]=(TRIM($B106))),CRDJ[Credit])))+(SUM(IF((GJ[Date]=$A$3)*(GJ[Account Code]=(TRIM($B106))),GJ[Credit]))))</f>
        <v>0</v>
      </c>
      <c r="G106" s="343">
        <f t="shared" si="9"/>
        <v>0</v>
      </c>
      <c r="H106" s="246">
        <f t="shared" si="6"/>
        <v>0</v>
      </c>
      <c r="I106" s="246">
        <f t="shared" si="7"/>
        <v>0</v>
      </c>
    </row>
    <row r="107" spans="1:9" hidden="1" x14ac:dyDescent="0.2">
      <c r="A107" s="256" t="s">
        <v>1022</v>
      </c>
      <c r="B107" s="339" t="s">
        <v>246</v>
      </c>
      <c r="C107" s="245">
        <f t="array" ref="C107">SUM(IF((Budget[Account Code]=B107),(Budget[Amount])))</f>
        <v>0</v>
      </c>
      <c r="D107" s="245">
        <f t="array" ref="D107">SUM(IF((Budget[Account Code]=B107)*(Budget[Date]&lt;=$D$7),(Budget[Amount])))</f>
        <v>0</v>
      </c>
      <c r="E107" s="245">
        <f t="array" ref="E107">((SUM(IF((CkDJ[Account Code]=(TRIM($B107)))*(CkDJ[Date]&lt;=$E$7),CkDJ[Debit])))+(SUM(IF((CsDJ[Account Code]=(TRIM($B107)))*(CsDJ[Date]&lt;=$E$7),CsDJ[Debit])))+(SUM(IF((CRDJ[Account Code]=(TRIM($B107)))*(CRDJ[Date]&lt;=$E$7),CRDJ[Debit])))+(SUM(IF((GJ[Account Code]=(TRIM($B107)))*(GJ[Date]&lt;=$E$7),GJ[Debit]))))-((SUM(IF((CkDJ[Account Code]=(TRIM($B107)))*(CkDJ[Date]&lt;=$E$7),CkDJ[Credit])))+(SUM(IF((CsDJ[Account Code]=(TRIM($B107)))*(CsDJ[Date]&lt;=$E$7),CsDJ[Credit])))+(SUM(IF((CRDJ[Account Code]=(TRIM($B107)))*(CRDJ[Date]&lt;=$E$7),CRDJ[Credit])))+(SUM(IF((GJ[Account Code]=(TRIM($B107)))*(GJ[Date]&lt;=$E$7),GJ[Credit]))))</f>
        <v>0</v>
      </c>
      <c r="F107" s="245">
        <f t="array" ref="F107">((SUM(IF((CkDJ[Date]=$A$3)*(CkDJ[Account Code]=(TRIM($B107))),CkDJ[Debit])))+(SUM(IF((CsDJ[Date]=$A$3)*(CsDJ[Account Code]=(TRIM($B107))),CsDJ[Debit])))+(SUM(IF((CRDJ[Date]=$A$3)*(CRDJ[Account Code]=(TRIM($B107))),CRDJ[Debit])))+(SUM(IF((GJ[Date]=$A$3)*(GJ[Account Code]=(TRIM($B107))),GJ[Debit]))))-((SUM(IF((CkDJ[Date]=$A$3)*(CkDJ[Account Code]=(TRIM($B107))),CkDJ[Credit])))+(SUM(IF((CsDJ[Date]=$A$3)*(CsDJ[Account Code]=(TRIM($B107))),CsDJ[Credit])))+(SUM(IF((CRDJ[Date]=$A$3)*(CRDJ[Account Code]=(TRIM($B107))),CRDJ[Credit])))+(SUM(IF((GJ[Date]=$A$3)*(GJ[Account Code]=(TRIM($B107))),GJ[Credit]))))</f>
        <v>0</v>
      </c>
      <c r="G107" s="343">
        <f t="shared" si="9"/>
        <v>0</v>
      </c>
      <c r="H107" s="246">
        <f t="shared" si="6"/>
        <v>0</v>
      </c>
      <c r="I107" s="246">
        <f t="shared" si="7"/>
        <v>0</v>
      </c>
    </row>
    <row r="108" spans="1:9" hidden="1" x14ac:dyDescent="0.2">
      <c r="A108" s="256" t="s">
        <v>1023</v>
      </c>
      <c r="B108" s="339" t="s">
        <v>247</v>
      </c>
      <c r="C108" s="245">
        <f t="array" ref="C108">SUM(IF((Budget[Account Code]=B108),(Budget[Amount])))</f>
        <v>0</v>
      </c>
      <c r="D108" s="245">
        <f t="array" ref="D108">SUM(IF((Budget[Account Code]=B108)*(Budget[Date]&lt;=$D$7),(Budget[Amount])))</f>
        <v>0</v>
      </c>
      <c r="E108" s="245">
        <f t="array" ref="E108">((SUM(IF((CkDJ[Account Code]=(TRIM($B108)))*(CkDJ[Date]&lt;=$E$7),CkDJ[Debit])))+(SUM(IF((CsDJ[Account Code]=(TRIM($B108)))*(CsDJ[Date]&lt;=$E$7),CsDJ[Debit])))+(SUM(IF((CRDJ[Account Code]=(TRIM($B108)))*(CRDJ[Date]&lt;=$E$7),CRDJ[Debit])))+(SUM(IF((GJ[Account Code]=(TRIM($B108)))*(GJ[Date]&lt;=$E$7),GJ[Debit]))))-((SUM(IF((CkDJ[Account Code]=(TRIM($B108)))*(CkDJ[Date]&lt;=$E$7),CkDJ[Credit])))+(SUM(IF((CsDJ[Account Code]=(TRIM($B108)))*(CsDJ[Date]&lt;=$E$7),CsDJ[Credit])))+(SUM(IF((CRDJ[Account Code]=(TRIM($B108)))*(CRDJ[Date]&lt;=$E$7),CRDJ[Credit])))+(SUM(IF((GJ[Account Code]=(TRIM($B108)))*(GJ[Date]&lt;=$E$7),GJ[Credit]))))</f>
        <v>0</v>
      </c>
      <c r="F108" s="245">
        <f t="array" ref="F108">((SUM(IF((CkDJ[Date]=$A$3)*(CkDJ[Account Code]=(TRIM($B108))),CkDJ[Debit])))+(SUM(IF((CsDJ[Date]=$A$3)*(CsDJ[Account Code]=(TRIM($B108))),CsDJ[Debit])))+(SUM(IF((CRDJ[Date]=$A$3)*(CRDJ[Account Code]=(TRIM($B108))),CRDJ[Debit])))+(SUM(IF((GJ[Date]=$A$3)*(GJ[Account Code]=(TRIM($B108))),GJ[Debit]))))-((SUM(IF((CkDJ[Date]=$A$3)*(CkDJ[Account Code]=(TRIM($B108))),CkDJ[Credit])))+(SUM(IF((CsDJ[Date]=$A$3)*(CsDJ[Account Code]=(TRIM($B108))),CsDJ[Credit])))+(SUM(IF((CRDJ[Date]=$A$3)*(CRDJ[Account Code]=(TRIM($B108))),CRDJ[Credit])))+(SUM(IF((GJ[Date]=$A$3)*(GJ[Account Code]=(TRIM($B108))),GJ[Credit]))))</f>
        <v>0</v>
      </c>
      <c r="G108" s="343">
        <f t="shared" si="9"/>
        <v>0</v>
      </c>
      <c r="H108" s="246">
        <f t="shared" si="6"/>
        <v>0</v>
      </c>
      <c r="I108" s="246">
        <f t="shared" si="7"/>
        <v>0</v>
      </c>
    </row>
    <row r="109" spans="1:9" hidden="1" x14ac:dyDescent="0.2">
      <c r="A109" s="256" t="s">
        <v>1024</v>
      </c>
      <c r="B109" s="339" t="s">
        <v>248</v>
      </c>
      <c r="C109" s="245">
        <f t="array" ref="C109">SUM(IF((Budget[Account Code]=B109),(Budget[Amount])))</f>
        <v>10200</v>
      </c>
      <c r="D109" s="245">
        <f t="array" ref="D109">SUM(IF((Budget[Account Code]=B109)*(Budget[Date]&lt;=$D$7),(Budget[Amount])))</f>
        <v>10200</v>
      </c>
      <c r="E109" s="245">
        <f t="array" ref="E109">((SUM(IF((CkDJ[Account Code]=(TRIM($B109)))*(CkDJ[Date]&lt;=$E$7),CkDJ[Debit])))+(SUM(IF((CsDJ[Account Code]=(TRIM($B109)))*(CsDJ[Date]&lt;=$E$7),CsDJ[Debit])))+(SUM(IF((CRDJ[Account Code]=(TRIM($B109)))*(CRDJ[Date]&lt;=$E$7),CRDJ[Debit])))+(SUM(IF((GJ[Account Code]=(TRIM($B109)))*(GJ[Date]&lt;=$E$7),GJ[Debit]))))-((SUM(IF((CkDJ[Account Code]=(TRIM($B109)))*(CkDJ[Date]&lt;=$E$7),CkDJ[Credit])))+(SUM(IF((CsDJ[Account Code]=(TRIM($B109)))*(CsDJ[Date]&lt;=$E$7),CsDJ[Credit])))+(SUM(IF((CRDJ[Account Code]=(TRIM($B109)))*(CRDJ[Date]&lt;=$E$7),CRDJ[Credit])))+(SUM(IF((GJ[Account Code]=(TRIM($B109)))*(GJ[Date]&lt;=$E$7),GJ[Credit]))))</f>
        <v>0</v>
      </c>
      <c r="F109" s="245">
        <f t="array" ref="F109">((SUM(IF((CkDJ[Date]=$A$3)*(CkDJ[Account Code]=(TRIM($B109))),CkDJ[Debit])))+(SUM(IF((CsDJ[Date]=$A$3)*(CsDJ[Account Code]=(TRIM($B109))),CsDJ[Debit])))+(SUM(IF((CRDJ[Date]=$A$3)*(CRDJ[Account Code]=(TRIM($B109))),CRDJ[Debit])))+(SUM(IF((GJ[Date]=$A$3)*(GJ[Account Code]=(TRIM($B109))),GJ[Debit]))))-((SUM(IF((CkDJ[Date]=$A$3)*(CkDJ[Account Code]=(TRIM($B109))),CkDJ[Credit])))+(SUM(IF((CsDJ[Date]=$A$3)*(CsDJ[Account Code]=(TRIM($B109))),CsDJ[Credit])))+(SUM(IF((CRDJ[Date]=$A$3)*(CRDJ[Account Code]=(TRIM($B109))),CRDJ[Credit])))+(SUM(IF((GJ[Date]=$A$3)*(GJ[Account Code]=(TRIM($B109))),GJ[Credit]))))</f>
        <v>0</v>
      </c>
      <c r="G109" s="343">
        <f t="shared" si="9"/>
        <v>0</v>
      </c>
      <c r="H109" s="246">
        <f t="shared" si="6"/>
        <v>-10200</v>
      </c>
      <c r="I109" s="246">
        <f t="shared" si="7"/>
        <v>0</v>
      </c>
    </row>
    <row r="110" spans="1:9" hidden="1" x14ac:dyDescent="0.2">
      <c r="A110" s="256" t="s">
        <v>1025</v>
      </c>
      <c r="B110" s="339" t="s">
        <v>249</v>
      </c>
      <c r="C110" s="245">
        <f t="array" ref="C110">SUM(IF((Budget[Account Code]=B110),(Budget[Amount])))</f>
        <v>0</v>
      </c>
      <c r="D110" s="245">
        <f t="array" ref="D110">SUM(IF((Budget[Account Code]=B110)*(Budget[Date]&lt;=$D$7),(Budget[Amount])))</f>
        <v>0</v>
      </c>
      <c r="E110" s="245">
        <f t="array" ref="E110">((SUM(IF((CkDJ[Account Code]=(TRIM($B110)))*(CkDJ[Date]&lt;=$E$7),CkDJ[Debit])))+(SUM(IF((CsDJ[Account Code]=(TRIM($B110)))*(CsDJ[Date]&lt;=$E$7),CsDJ[Debit])))+(SUM(IF((CRDJ[Account Code]=(TRIM($B110)))*(CRDJ[Date]&lt;=$E$7),CRDJ[Debit])))+(SUM(IF((GJ[Account Code]=(TRIM($B110)))*(GJ[Date]&lt;=$E$7),GJ[Debit]))))-((SUM(IF((CkDJ[Account Code]=(TRIM($B110)))*(CkDJ[Date]&lt;=$E$7),CkDJ[Credit])))+(SUM(IF((CsDJ[Account Code]=(TRIM($B110)))*(CsDJ[Date]&lt;=$E$7),CsDJ[Credit])))+(SUM(IF((CRDJ[Account Code]=(TRIM($B110)))*(CRDJ[Date]&lt;=$E$7),CRDJ[Credit])))+(SUM(IF((GJ[Account Code]=(TRIM($B110)))*(GJ[Date]&lt;=$E$7),GJ[Credit]))))</f>
        <v>0</v>
      </c>
      <c r="F110" s="245">
        <f t="array" ref="F110">((SUM(IF((CkDJ[Date]=$A$3)*(CkDJ[Account Code]=(TRIM($B110))),CkDJ[Debit])))+(SUM(IF((CsDJ[Date]=$A$3)*(CsDJ[Account Code]=(TRIM($B110))),CsDJ[Debit])))+(SUM(IF((CRDJ[Date]=$A$3)*(CRDJ[Account Code]=(TRIM($B110))),CRDJ[Debit])))+(SUM(IF((GJ[Date]=$A$3)*(GJ[Account Code]=(TRIM($B110))),GJ[Debit]))))-((SUM(IF((CkDJ[Date]=$A$3)*(CkDJ[Account Code]=(TRIM($B110))),CkDJ[Credit])))+(SUM(IF((CsDJ[Date]=$A$3)*(CsDJ[Account Code]=(TRIM($B110))),CsDJ[Credit])))+(SUM(IF((CRDJ[Date]=$A$3)*(CRDJ[Account Code]=(TRIM($B110))),CRDJ[Credit])))+(SUM(IF((GJ[Date]=$A$3)*(GJ[Account Code]=(TRIM($B110))),GJ[Credit]))))</f>
        <v>0</v>
      </c>
      <c r="G110" s="343">
        <f t="shared" si="9"/>
        <v>0</v>
      </c>
      <c r="H110" s="246">
        <f t="shared" si="6"/>
        <v>0</v>
      </c>
      <c r="I110" s="246">
        <f t="shared" si="7"/>
        <v>0</v>
      </c>
    </row>
    <row r="111" spans="1:9" hidden="1" x14ac:dyDescent="0.2">
      <c r="A111" s="256" t="s">
        <v>302</v>
      </c>
      <c r="B111" s="339" t="s">
        <v>250</v>
      </c>
      <c r="C111" s="245">
        <f t="array" ref="C111">SUM(IF((Budget[Account Code]=B111),(Budget[Amount])))</f>
        <v>250200</v>
      </c>
      <c r="D111" s="245">
        <f t="array" ref="D111">SUM(IF((Budget[Account Code]=B111)*(Budget[Date]&lt;=$D$7),(Budget[Amount])))</f>
        <v>250200</v>
      </c>
      <c r="E111" s="245">
        <f t="array" ref="E111">((SUM(IF((CkDJ[Account Code]=(TRIM($B111)))*(CkDJ[Date]&lt;=$E$7),CkDJ[Debit])))+(SUM(IF((CsDJ[Account Code]=(TRIM($B111)))*(CsDJ[Date]&lt;=$E$7),CsDJ[Debit])))+(SUM(IF((CRDJ[Account Code]=(TRIM($B111)))*(CRDJ[Date]&lt;=$E$7),CRDJ[Debit])))+(SUM(IF((GJ[Account Code]=(TRIM($B111)))*(GJ[Date]&lt;=$E$7),GJ[Debit]))))-((SUM(IF((CkDJ[Account Code]=(TRIM($B111)))*(CkDJ[Date]&lt;=$E$7),CkDJ[Credit])))+(SUM(IF((CsDJ[Account Code]=(TRIM($B111)))*(CsDJ[Date]&lt;=$E$7),CsDJ[Credit])))+(SUM(IF((CRDJ[Account Code]=(TRIM($B111)))*(CRDJ[Date]&lt;=$E$7),CRDJ[Credit])))+(SUM(IF((GJ[Account Code]=(TRIM($B111)))*(GJ[Date]&lt;=$E$7),GJ[Credit]))))</f>
        <v>0</v>
      </c>
      <c r="F111" s="245">
        <f t="array" ref="F111">((SUM(IF((CkDJ[Date]=$A$3)*(CkDJ[Account Code]=(TRIM($B111))),CkDJ[Debit])))+(SUM(IF((CsDJ[Date]=$A$3)*(CsDJ[Account Code]=(TRIM($B111))),CsDJ[Debit])))+(SUM(IF((CRDJ[Date]=$A$3)*(CRDJ[Account Code]=(TRIM($B111))),CRDJ[Debit])))+(SUM(IF((GJ[Date]=$A$3)*(GJ[Account Code]=(TRIM($B111))),GJ[Debit]))))-((SUM(IF((CkDJ[Date]=$A$3)*(CkDJ[Account Code]=(TRIM($B111))),CkDJ[Credit])))+(SUM(IF((CsDJ[Date]=$A$3)*(CsDJ[Account Code]=(TRIM($B111))),CsDJ[Credit])))+(SUM(IF((CRDJ[Date]=$A$3)*(CRDJ[Account Code]=(TRIM($B111))),CRDJ[Credit])))+(SUM(IF((GJ[Date]=$A$3)*(GJ[Account Code]=(TRIM($B111))),GJ[Credit]))))</f>
        <v>0</v>
      </c>
      <c r="G111" s="343">
        <f t="shared" si="9"/>
        <v>0</v>
      </c>
      <c r="H111" s="246">
        <f t="shared" si="6"/>
        <v>-250200</v>
      </c>
      <c r="I111" s="246">
        <f t="shared" si="7"/>
        <v>0</v>
      </c>
    </row>
    <row r="112" spans="1:9" hidden="1" x14ac:dyDescent="0.2">
      <c r="A112" s="256" t="s">
        <v>841</v>
      </c>
      <c r="B112" s="339" t="s">
        <v>251</v>
      </c>
      <c r="C112" s="245">
        <f t="array" ref="C112">SUM(IF((Budget[Account Code]=B112),(Budget[Amount])))</f>
        <v>5150000.12</v>
      </c>
      <c r="D112" s="245">
        <f t="array" ref="D112">SUM(IF((Budget[Account Code]=B112)*(Budget[Date]&lt;=$D$7),(Budget[Amount])))</f>
        <v>5150000.12</v>
      </c>
      <c r="E112" s="245">
        <f t="array" ref="E112">((SUM(IF((CkDJ[Account Code]=(TRIM($B112)))*(CkDJ[Date]&lt;=$E$7),CkDJ[Debit])))+(SUM(IF((CsDJ[Account Code]=(TRIM($B112)))*(CsDJ[Date]&lt;=$E$7),CsDJ[Debit])))+(SUM(IF((CRDJ[Account Code]=(TRIM($B112)))*(CRDJ[Date]&lt;=$E$7),CRDJ[Debit])))+(SUM(IF((GJ[Account Code]=(TRIM($B112)))*(GJ[Date]&lt;=$E$7),GJ[Debit]))))-((SUM(IF((CkDJ[Account Code]=(TRIM($B112)))*(CkDJ[Date]&lt;=$E$7),CkDJ[Credit])))+(SUM(IF((CsDJ[Account Code]=(TRIM($B112)))*(CsDJ[Date]&lt;=$E$7),CsDJ[Credit])))+(SUM(IF((CRDJ[Account Code]=(TRIM($B112)))*(CRDJ[Date]&lt;=$E$7),CRDJ[Credit])))+(SUM(IF((GJ[Account Code]=(TRIM($B112)))*(GJ[Date]&lt;=$E$7),GJ[Credit]))))</f>
        <v>0</v>
      </c>
      <c r="F112" s="245">
        <f t="array" ref="F112">((SUM(IF((CkDJ[Date]=$A$3)*(CkDJ[Account Code]=(TRIM($B112))),CkDJ[Debit])))+(SUM(IF((CsDJ[Date]=$A$3)*(CsDJ[Account Code]=(TRIM($B112))),CsDJ[Debit])))+(SUM(IF((CRDJ[Date]=$A$3)*(CRDJ[Account Code]=(TRIM($B112))),CRDJ[Debit])))+(SUM(IF((GJ[Date]=$A$3)*(GJ[Account Code]=(TRIM($B112))),GJ[Debit]))))-((SUM(IF((CkDJ[Date]=$A$3)*(CkDJ[Account Code]=(TRIM($B112))),CkDJ[Credit])))+(SUM(IF((CsDJ[Date]=$A$3)*(CsDJ[Account Code]=(TRIM($B112))),CsDJ[Credit])))+(SUM(IF((CRDJ[Date]=$A$3)*(CRDJ[Account Code]=(TRIM($B112))),CRDJ[Credit])))+(SUM(IF((GJ[Date]=$A$3)*(GJ[Account Code]=(TRIM($B112))),GJ[Credit]))))</f>
        <v>0</v>
      </c>
      <c r="G112" s="343">
        <f t="shared" si="9"/>
        <v>0</v>
      </c>
      <c r="H112" s="246">
        <f t="shared" si="6"/>
        <v>-5150000.12</v>
      </c>
      <c r="I112" s="246">
        <f t="shared" si="7"/>
        <v>0</v>
      </c>
    </row>
    <row r="113" spans="1:9" hidden="1" x14ac:dyDescent="0.2">
      <c r="A113" s="256" t="s">
        <v>1026</v>
      </c>
      <c r="B113" s="339" t="s">
        <v>252</v>
      </c>
      <c r="C113" s="245">
        <f t="array" ref="C113">SUM(IF((Budget[Account Code]=B113),(Budget[Amount])))</f>
        <v>5000000</v>
      </c>
      <c r="D113" s="245">
        <f t="array" ref="D113">SUM(IF((Budget[Account Code]=B113)*(Budget[Date]&lt;=$D$7),(Budget[Amount])))</f>
        <v>5000000</v>
      </c>
      <c r="E113" s="245">
        <f t="array" ref="E113">((SUM(IF((CkDJ[Account Code]=(TRIM($B113)))*(CkDJ[Date]&lt;=$E$7),CkDJ[Debit])))+(SUM(IF((CsDJ[Account Code]=(TRIM($B113)))*(CsDJ[Date]&lt;=$E$7),CsDJ[Debit])))+(SUM(IF((CRDJ[Account Code]=(TRIM($B113)))*(CRDJ[Date]&lt;=$E$7),CRDJ[Debit])))+(SUM(IF((GJ[Account Code]=(TRIM($B113)))*(GJ[Date]&lt;=$E$7),GJ[Debit]))))-((SUM(IF((CkDJ[Account Code]=(TRIM($B113)))*(CkDJ[Date]&lt;=$E$7),CkDJ[Credit])))+(SUM(IF((CsDJ[Account Code]=(TRIM($B113)))*(CsDJ[Date]&lt;=$E$7),CsDJ[Credit])))+(SUM(IF((CRDJ[Account Code]=(TRIM($B113)))*(CRDJ[Date]&lt;=$E$7),CRDJ[Credit])))+(SUM(IF((GJ[Account Code]=(TRIM($B113)))*(GJ[Date]&lt;=$E$7),GJ[Credit]))))</f>
        <v>0</v>
      </c>
      <c r="F113" s="245">
        <f t="array" ref="F113">((SUM(IF((CkDJ[Date]=$A$3)*(CkDJ[Account Code]=(TRIM($B113))),CkDJ[Debit])))+(SUM(IF((CsDJ[Date]=$A$3)*(CsDJ[Account Code]=(TRIM($B113))),CsDJ[Debit])))+(SUM(IF((CRDJ[Date]=$A$3)*(CRDJ[Account Code]=(TRIM($B113))),CRDJ[Debit])))+(SUM(IF((GJ[Date]=$A$3)*(GJ[Account Code]=(TRIM($B113))),GJ[Debit]))))-((SUM(IF((CkDJ[Date]=$A$3)*(CkDJ[Account Code]=(TRIM($B113))),CkDJ[Credit])))+(SUM(IF((CsDJ[Date]=$A$3)*(CsDJ[Account Code]=(TRIM($B113))),CsDJ[Credit])))+(SUM(IF((CRDJ[Date]=$A$3)*(CRDJ[Account Code]=(TRIM($B113))),CRDJ[Credit])))+(SUM(IF((GJ[Date]=$A$3)*(GJ[Account Code]=(TRIM($B113))),GJ[Credit]))))</f>
        <v>0</v>
      </c>
      <c r="G113" s="343">
        <f t="shared" si="9"/>
        <v>0</v>
      </c>
      <c r="H113" s="246">
        <f t="shared" si="6"/>
        <v>-5000000</v>
      </c>
      <c r="I113" s="246">
        <f t="shared" si="7"/>
        <v>0</v>
      </c>
    </row>
    <row r="114" spans="1:9" hidden="1" x14ac:dyDescent="0.2">
      <c r="A114" s="256" t="s">
        <v>307</v>
      </c>
      <c r="B114" s="339" t="s">
        <v>253</v>
      </c>
      <c r="C114" s="245">
        <f t="array" ref="C114">SUM(IF((Budget[Account Code]=B114),(Budget[Amount])))</f>
        <v>100000</v>
      </c>
      <c r="D114" s="245">
        <f t="array" ref="D114">SUM(IF((Budget[Account Code]=B114)*(Budget[Date]&lt;=$D$7),(Budget[Amount])))</f>
        <v>100000</v>
      </c>
      <c r="E114" s="245">
        <f t="array" ref="E114">((SUM(IF((CkDJ[Account Code]=(TRIM($B114)))*(CkDJ[Date]&lt;=$E$7),CkDJ[Debit])))+(SUM(IF((CsDJ[Account Code]=(TRIM($B114)))*(CsDJ[Date]&lt;=$E$7),CsDJ[Debit])))+(SUM(IF((CRDJ[Account Code]=(TRIM($B114)))*(CRDJ[Date]&lt;=$E$7),CRDJ[Debit])))+(SUM(IF((GJ[Account Code]=(TRIM($B114)))*(GJ[Date]&lt;=$E$7),GJ[Debit]))))-((SUM(IF((CkDJ[Account Code]=(TRIM($B114)))*(CkDJ[Date]&lt;=$E$7),CkDJ[Credit])))+(SUM(IF((CsDJ[Account Code]=(TRIM($B114)))*(CsDJ[Date]&lt;=$E$7),CsDJ[Credit])))+(SUM(IF((CRDJ[Account Code]=(TRIM($B114)))*(CRDJ[Date]&lt;=$E$7),CRDJ[Credit])))+(SUM(IF((GJ[Account Code]=(TRIM($B114)))*(GJ[Date]&lt;=$E$7),GJ[Credit]))))</f>
        <v>0</v>
      </c>
      <c r="F114" s="245">
        <f t="array" ref="F114">((SUM(IF((CkDJ[Date]=$A$3)*(CkDJ[Account Code]=(TRIM($B114))),CkDJ[Debit])))+(SUM(IF((CsDJ[Date]=$A$3)*(CsDJ[Account Code]=(TRIM($B114))),CsDJ[Debit])))+(SUM(IF((CRDJ[Date]=$A$3)*(CRDJ[Account Code]=(TRIM($B114))),CRDJ[Debit])))+(SUM(IF((GJ[Date]=$A$3)*(GJ[Account Code]=(TRIM($B114))),GJ[Debit]))))-((SUM(IF((CkDJ[Date]=$A$3)*(CkDJ[Account Code]=(TRIM($B114))),CkDJ[Credit])))+(SUM(IF((CsDJ[Date]=$A$3)*(CsDJ[Account Code]=(TRIM($B114))),CsDJ[Credit])))+(SUM(IF((CRDJ[Date]=$A$3)*(CRDJ[Account Code]=(TRIM($B114))),CRDJ[Credit])))+(SUM(IF((GJ[Date]=$A$3)*(GJ[Account Code]=(TRIM($B114))),GJ[Credit]))))</f>
        <v>0</v>
      </c>
      <c r="G114" s="343">
        <f t="shared" si="9"/>
        <v>0</v>
      </c>
      <c r="H114" s="246">
        <f t="shared" si="6"/>
        <v>-100000</v>
      </c>
      <c r="I114" s="246">
        <f t="shared" si="7"/>
        <v>0</v>
      </c>
    </row>
    <row r="115" spans="1:9" hidden="1" x14ac:dyDescent="0.2">
      <c r="A115" s="256" t="s">
        <v>308</v>
      </c>
      <c r="B115" s="339" t="s">
        <v>256</v>
      </c>
      <c r="C115" s="245">
        <f t="array" ref="C115">SUM(IF((Budget[Account Code]=B115),(Budget[Amount])))</f>
        <v>0</v>
      </c>
      <c r="D115" s="245">
        <f t="array" ref="D115">SUM(IF((Budget[Account Code]=B115)*(Budget[Date]&lt;=$D$7),(Budget[Amount])))</f>
        <v>0</v>
      </c>
      <c r="E115" s="245">
        <f t="array" ref="E115">((SUM(IF((CkDJ[Account Code]=(TRIM($B115)))*(CkDJ[Date]&lt;=$E$7),CkDJ[Debit])))+(SUM(IF((CsDJ[Account Code]=(TRIM($B115)))*(CsDJ[Date]&lt;=$E$7),CsDJ[Debit])))+(SUM(IF((CRDJ[Account Code]=(TRIM($B115)))*(CRDJ[Date]&lt;=$E$7),CRDJ[Debit])))+(SUM(IF((GJ[Account Code]=(TRIM($B115)))*(GJ[Date]&lt;=$E$7),GJ[Debit]))))-((SUM(IF((CkDJ[Account Code]=(TRIM($B115)))*(CkDJ[Date]&lt;=$E$7),CkDJ[Credit])))+(SUM(IF((CsDJ[Account Code]=(TRIM($B115)))*(CsDJ[Date]&lt;=$E$7),CsDJ[Credit])))+(SUM(IF((CRDJ[Account Code]=(TRIM($B115)))*(CRDJ[Date]&lt;=$E$7),CRDJ[Credit])))+(SUM(IF((GJ[Account Code]=(TRIM($B115)))*(GJ[Date]&lt;=$E$7),GJ[Credit]))))</f>
        <v>0</v>
      </c>
      <c r="F115" s="245">
        <f t="array" ref="F115">((SUM(IF((CkDJ[Date]=$A$3)*(CkDJ[Account Code]=(TRIM($B115))),CkDJ[Debit])))+(SUM(IF((CsDJ[Date]=$A$3)*(CsDJ[Account Code]=(TRIM($B115))),CsDJ[Debit])))+(SUM(IF((CRDJ[Date]=$A$3)*(CRDJ[Account Code]=(TRIM($B115))),CRDJ[Debit])))+(SUM(IF((GJ[Date]=$A$3)*(GJ[Account Code]=(TRIM($B115))),GJ[Debit]))))-((SUM(IF((CkDJ[Date]=$A$3)*(CkDJ[Account Code]=(TRIM($B115))),CkDJ[Credit])))+(SUM(IF((CsDJ[Date]=$A$3)*(CsDJ[Account Code]=(TRIM($B115))),CsDJ[Credit])))+(SUM(IF((CRDJ[Date]=$A$3)*(CRDJ[Account Code]=(TRIM($B115))),CRDJ[Credit])))+(SUM(IF((GJ[Date]=$A$3)*(GJ[Account Code]=(TRIM($B115))),GJ[Credit]))))</f>
        <v>0</v>
      </c>
      <c r="G115" s="343">
        <f t="shared" si="9"/>
        <v>0</v>
      </c>
      <c r="H115" s="246">
        <f t="shared" si="6"/>
        <v>0</v>
      </c>
      <c r="I115" s="246">
        <f t="shared" si="7"/>
        <v>0</v>
      </c>
    </row>
    <row r="116" spans="1:9" hidden="1" x14ac:dyDescent="0.2">
      <c r="A116" s="256" t="s">
        <v>309</v>
      </c>
      <c r="B116" s="339" t="s">
        <v>258</v>
      </c>
      <c r="C116" s="245">
        <f t="array" ref="C116">SUM(IF((Budget[Account Code]=B116),(Budget[Amount])))</f>
        <v>0</v>
      </c>
      <c r="D116" s="245">
        <f t="array" ref="D116">SUM(IF((Budget[Account Code]=B116)*(Budget[Date]&lt;=$D$7),(Budget[Amount])))</f>
        <v>0</v>
      </c>
      <c r="E116" s="245">
        <f t="array" ref="E116">((SUM(IF((CkDJ[Account Code]=(TRIM($B116)))*(CkDJ[Date]&lt;=$E$7),CkDJ[Debit])))+(SUM(IF((CsDJ[Account Code]=(TRIM($B116)))*(CsDJ[Date]&lt;=$E$7),CsDJ[Debit])))+(SUM(IF((CRDJ[Account Code]=(TRIM($B116)))*(CRDJ[Date]&lt;=$E$7),CRDJ[Debit])))+(SUM(IF((GJ[Account Code]=(TRIM($B116)))*(GJ[Date]&lt;=$E$7),GJ[Debit]))))-((SUM(IF((CkDJ[Account Code]=(TRIM($B116)))*(CkDJ[Date]&lt;=$E$7),CkDJ[Credit])))+(SUM(IF((CsDJ[Account Code]=(TRIM($B116)))*(CsDJ[Date]&lt;=$E$7),CsDJ[Credit])))+(SUM(IF((CRDJ[Account Code]=(TRIM($B116)))*(CRDJ[Date]&lt;=$E$7),CRDJ[Credit])))+(SUM(IF((GJ[Account Code]=(TRIM($B116)))*(GJ[Date]&lt;=$E$7),GJ[Credit]))))</f>
        <v>0</v>
      </c>
      <c r="F116" s="245">
        <f t="array" ref="F116">((SUM(IF((CkDJ[Date]=$A$3)*(CkDJ[Account Code]=(TRIM($B116))),CkDJ[Debit])))+(SUM(IF((CsDJ[Date]=$A$3)*(CsDJ[Account Code]=(TRIM($B116))),CsDJ[Debit])))+(SUM(IF((CRDJ[Date]=$A$3)*(CRDJ[Account Code]=(TRIM($B116))),CRDJ[Debit])))+(SUM(IF((GJ[Date]=$A$3)*(GJ[Account Code]=(TRIM($B116))),GJ[Debit]))))-((SUM(IF((CkDJ[Date]=$A$3)*(CkDJ[Account Code]=(TRIM($B116))),CkDJ[Credit])))+(SUM(IF((CsDJ[Date]=$A$3)*(CsDJ[Account Code]=(TRIM($B116))),CsDJ[Credit])))+(SUM(IF((CRDJ[Date]=$A$3)*(CRDJ[Account Code]=(TRIM($B116))),CRDJ[Credit])))+(SUM(IF((GJ[Date]=$A$3)*(GJ[Account Code]=(TRIM($B116))),GJ[Credit]))))</f>
        <v>0</v>
      </c>
      <c r="G116" s="343">
        <f t="shared" si="9"/>
        <v>0</v>
      </c>
      <c r="H116" s="246">
        <f t="shared" si="6"/>
        <v>0</v>
      </c>
      <c r="I116" s="246">
        <f t="shared" si="7"/>
        <v>0</v>
      </c>
    </row>
    <row r="117" spans="1:9" hidden="1" x14ac:dyDescent="0.2">
      <c r="A117" s="256" t="s">
        <v>310</v>
      </c>
      <c r="B117" s="339" t="s">
        <v>261</v>
      </c>
      <c r="C117" s="245">
        <f t="array" ref="C117">SUM(IF((Budget[Account Code]=B117),(Budget[Amount])))</f>
        <v>0</v>
      </c>
      <c r="D117" s="245">
        <f t="array" ref="D117">SUM(IF((Budget[Account Code]=B117)*(Budget[Date]&lt;=$D$7),(Budget[Amount])))</f>
        <v>0</v>
      </c>
      <c r="E117" s="245">
        <f t="array" ref="E117">((SUM(IF((CkDJ[Account Code]=(TRIM($B117)))*(CkDJ[Date]&lt;=$E$7),CkDJ[Debit])))+(SUM(IF((CsDJ[Account Code]=(TRIM($B117)))*(CsDJ[Date]&lt;=$E$7),CsDJ[Debit])))+(SUM(IF((CRDJ[Account Code]=(TRIM($B117)))*(CRDJ[Date]&lt;=$E$7),CRDJ[Debit])))+(SUM(IF((GJ[Account Code]=(TRIM($B117)))*(GJ[Date]&lt;=$E$7),GJ[Debit]))))-((SUM(IF((CkDJ[Account Code]=(TRIM($B117)))*(CkDJ[Date]&lt;=$E$7),CkDJ[Credit])))+(SUM(IF((CsDJ[Account Code]=(TRIM($B117)))*(CsDJ[Date]&lt;=$E$7),CsDJ[Credit])))+(SUM(IF((CRDJ[Account Code]=(TRIM($B117)))*(CRDJ[Date]&lt;=$E$7),CRDJ[Credit])))+(SUM(IF((GJ[Account Code]=(TRIM($B117)))*(GJ[Date]&lt;=$E$7),GJ[Credit]))))</f>
        <v>0</v>
      </c>
      <c r="F117" s="245">
        <f t="array" ref="F117">((SUM(IF((CkDJ[Date]=$A$3)*(CkDJ[Account Code]=(TRIM($B117))),CkDJ[Debit])))+(SUM(IF((CsDJ[Date]=$A$3)*(CsDJ[Account Code]=(TRIM($B117))),CsDJ[Debit])))+(SUM(IF((CRDJ[Date]=$A$3)*(CRDJ[Account Code]=(TRIM($B117))),CRDJ[Debit])))+(SUM(IF((GJ[Date]=$A$3)*(GJ[Account Code]=(TRIM($B117))),GJ[Debit]))))-((SUM(IF((CkDJ[Date]=$A$3)*(CkDJ[Account Code]=(TRIM($B117))),CkDJ[Credit])))+(SUM(IF((CsDJ[Date]=$A$3)*(CsDJ[Account Code]=(TRIM($B117))),CsDJ[Credit])))+(SUM(IF((CRDJ[Date]=$A$3)*(CRDJ[Account Code]=(TRIM($B117))),CRDJ[Credit])))+(SUM(IF((GJ[Date]=$A$3)*(GJ[Account Code]=(TRIM($B117))),GJ[Credit]))))</f>
        <v>0</v>
      </c>
      <c r="G117" s="343">
        <f t="shared" si="9"/>
        <v>0</v>
      </c>
      <c r="H117" s="246">
        <f t="shared" si="6"/>
        <v>0</v>
      </c>
      <c r="I117" s="246">
        <f t="shared" si="7"/>
        <v>0</v>
      </c>
    </row>
    <row r="118" spans="1:9" hidden="1" x14ac:dyDescent="0.2">
      <c r="A118" s="256" t="s">
        <v>311</v>
      </c>
      <c r="B118" s="339" t="s">
        <v>262</v>
      </c>
      <c r="C118" s="245">
        <f t="array" ref="C118">SUM(IF((Budget[Account Code]=B118),(Budget[Amount])))</f>
        <v>1975175.64</v>
      </c>
      <c r="D118" s="245">
        <f t="array" ref="D118">SUM(IF((Budget[Account Code]=B118)*(Budget[Date]&lt;=$D$7),(Budget[Amount])))</f>
        <v>1975175.64</v>
      </c>
      <c r="E118" s="245">
        <f t="array" ref="E118">((SUM(IF((CkDJ[Account Code]=(TRIM($B118)))*(CkDJ[Date]&lt;=$E$7),CkDJ[Debit])))+(SUM(IF((CsDJ[Account Code]=(TRIM($B118)))*(CsDJ[Date]&lt;=$E$7),CsDJ[Debit])))+(SUM(IF((CRDJ[Account Code]=(TRIM($B118)))*(CRDJ[Date]&lt;=$E$7),CRDJ[Debit])))+(SUM(IF((GJ[Account Code]=(TRIM($B118)))*(GJ[Date]&lt;=$E$7),GJ[Debit]))))-((SUM(IF((CkDJ[Account Code]=(TRIM($B118)))*(CkDJ[Date]&lt;=$E$7),CkDJ[Credit])))+(SUM(IF((CsDJ[Account Code]=(TRIM($B118)))*(CsDJ[Date]&lt;=$E$7),CsDJ[Credit])))+(SUM(IF((CRDJ[Account Code]=(TRIM($B118)))*(CRDJ[Date]&lt;=$E$7),CRDJ[Credit])))+(SUM(IF((GJ[Account Code]=(TRIM($B118)))*(GJ[Date]&lt;=$E$7),GJ[Credit]))))</f>
        <v>0</v>
      </c>
      <c r="F118" s="245">
        <f t="array" ref="F118">((SUM(IF((CkDJ[Date]=$A$3)*(CkDJ[Account Code]=(TRIM($B118))),CkDJ[Debit])))+(SUM(IF((CsDJ[Date]=$A$3)*(CsDJ[Account Code]=(TRIM($B118))),CsDJ[Debit])))+(SUM(IF((CRDJ[Date]=$A$3)*(CRDJ[Account Code]=(TRIM($B118))),CRDJ[Debit])))+(SUM(IF((GJ[Date]=$A$3)*(GJ[Account Code]=(TRIM($B118))),GJ[Debit]))))-((SUM(IF((CkDJ[Date]=$A$3)*(CkDJ[Account Code]=(TRIM($B118))),CkDJ[Credit])))+(SUM(IF((CsDJ[Date]=$A$3)*(CsDJ[Account Code]=(TRIM($B118))),CsDJ[Credit])))+(SUM(IF((CRDJ[Date]=$A$3)*(CRDJ[Account Code]=(TRIM($B118))),CRDJ[Credit])))+(SUM(IF((GJ[Date]=$A$3)*(GJ[Account Code]=(TRIM($B118))),GJ[Credit]))))</f>
        <v>0</v>
      </c>
      <c r="G118" s="343">
        <f t="shared" si="9"/>
        <v>0</v>
      </c>
      <c r="H118" s="246">
        <f t="shared" si="6"/>
        <v>-1975175.64</v>
      </c>
      <c r="I118" s="246">
        <f t="shared" si="7"/>
        <v>0</v>
      </c>
    </row>
    <row r="119" spans="1:9" hidden="1" x14ac:dyDescent="0.2">
      <c r="A119" s="256" t="s">
        <v>312</v>
      </c>
      <c r="B119" s="339" t="s">
        <v>264</v>
      </c>
      <c r="C119" s="245">
        <f t="array" ref="C119">SUM(IF((Budget[Account Code]=B119),(Budget[Amount])))</f>
        <v>0</v>
      </c>
      <c r="D119" s="245">
        <f t="array" ref="D119">SUM(IF((Budget[Account Code]=B119)*(Budget[Date]&lt;=$D$7),(Budget[Amount])))</f>
        <v>0</v>
      </c>
      <c r="E119" s="245">
        <f t="array" ref="E119">((SUM(IF((CkDJ[Account Code]=(TRIM($B119)))*(CkDJ[Date]&lt;=$E$7),CkDJ[Debit])))+(SUM(IF((CsDJ[Account Code]=(TRIM($B119)))*(CsDJ[Date]&lt;=$E$7),CsDJ[Debit])))+(SUM(IF((CRDJ[Account Code]=(TRIM($B119)))*(CRDJ[Date]&lt;=$E$7),CRDJ[Debit])))+(SUM(IF((GJ[Account Code]=(TRIM($B119)))*(GJ[Date]&lt;=$E$7),GJ[Debit]))))-((SUM(IF((CkDJ[Account Code]=(TRIM($B119)))*(CkDJ[Date]&lt;=$E$7),CkDJ[Credit])))+(SUM(IF((CsDJ[Account Code]=(TRIM($B119)))*(CsDJ[Date]&lt;=$E$7),CsDJ[Credit])))+(SUM(IF((CRDJ[Account Code]=(TRIM($B119)))*(CRDJ[Date]&lt;=$E$7),CRDJ[Credit])))+(SUM(IF((GJ[Account Code]=(TRIM($B119)))*(GJ[Date]&lt;=$E$7),GJ[Credit]))))</f>
        <v>0</v>
      </c>
      <c r="F119" s="245">
        <f t="array" ref="F119">((SUM(IF((CkDJ[Date]=$A$3)*(CkDJ[Account Code]=(TRIM($B119))),CkDJ[Debit])))+(SUM(IF((CsDJ[Date]=$A$3)*(CsDJ[Account Code]=(TRIM($B119))),CsDJ[Debit])))+(SUM(IF((CRDJ[Date]=$A$3)*(CRDJ[Account Code]=(TRIM($B119))),CRDJ[Debit])))+(SUM(IF((GJ[Date]=$A$3)*(GJ[Account Code]=(TRIM($B119))),GJ[Debit]))))-((SUM(IF((CkDJ[Date]=$A$3)*(CkDJ[Account Code]=(TRIM($B119))),CkDJ[Credit])))+(SUM(IF((CsDJ[Date]=$A$3)*(CsDJ[Account Code]=(TRIM($B119))),CsDJ[Credit])))+(SUM(IF((CRDJ[Date]=$A$3)*(CRDJ[Account Code]=(TRIM($B119))),CRDJ[Credit])))+(SUM(IF((GJ[Date]=$A$3)*(GJ[Account Code]=(TRIM($B119))),GJ[Credit]))))</f>
        <v>0</v>
      </c>
      <c r="G119" s="343">
        <f t="shared" si="9"/>
        <v>0</v>
      </c>
      <c r="H119" s="246">
        <f t="shared" si="6"/>
        <v>0</v>
      </c>
      <c r="I119" s="246">
        <f t="shared" si="7"/>
        <v>0</v>
      </c>
    </row>
    <row r="120" spans="1:9" hidden="1" x14ac:dyDescent="0.2">
      <c r="A120" s="256" t="s">
        <v>313</v>
      </c>
      <c r="B120" s="339" t="s">
        <v>265</v>
      </c>
      <c r="C120" s="245">
        <f t="array" ref="C120">SUM(IF((Budget[Account Code]=B120),(Budget[Amount])))</f>
        <v>100000</v>
      </c>
      <c r="D120" s="245">
        <f t="array" ref="D120">SUM(IF((Budget[Account Code]=B120)*(Budget[Date]&lt;=$D$7),(Budget[Amount])))</f>
        <v>100000</v>
      </c>
      <c r="E120" s="245">
        <f t="array" ref="E120">((SUM(IF((CkDJ[Account Code]=(TRIM($B120)))*(CkDJ[Date]&lt;=$E$7),CkDJ[Debit])))+(SUM(IF((CsDJ[Account Code]=(TRIM($B120)))*(CsDJ[Date]&lt;=$E$7),CsDJ[Debit])))+(SUM(IF((CRDJ[Account Code]=(TRIM($B120)))*(CRDJ[Date]&lt;=$E$7),CRDJ[Debit])))+(SUM(IF((GJ[Account Code]=(TRIM($B120)))*(GJ[Date]&lt;=$E$7),GJ[Debit]))))-((SUM(IF((CkDJ[Account Code]=(TRIM($B120)))*(CkDJ[Date]&lt;=$E$7),CkDJ[Credit])))+(SUM(IF((CsDJ[Account Code]=(TRIM($B120)))*(CsDJ[Date]&lt;=$E$7),CsDJ[Credit])))+(SUM(IF((CRDJ[Account Code]=(TRIM($B120)))*(CRDJ[Date]&lt;=$E$7),CRDJ[Credit])))+(SUM(IF((GJ[Account Code]=(TRIM($B120)))*(GJ[Date]&lt;=$E$7),GJ[Credit]))))</f>
        <v>0</v>
      </c>
      <c r="F120" s="245">
        <f t="array" ref="F120">((SUM(IF((CkDJ[Date]=$A$3)*(CkDJ[Account Code]=(TRIM($B120))),CkDJ[Debit])))+(SUM(IF((CsDJ[Date]=$A$3)*(CsDJ[Account Code]=(TRIM($B120))),CsDJ[Debit])))+(SUM(IF((CRDJ[Date]=$A$3)*(CRDJ[Account Code]=(TRIM($B120))),CRDJ[Debit])))+(SUM(IF((GJ[Date]=$A$3)*(GJ[Account Code]=(TRIM($B120))),GJ[Debit]))))-((SUM(IF((CkDJ[Date]=$A$3)*(CkDJ[Account Code]=(TRIM($B120))),CkDJ[Credit])))+(SUM(IF((CsDJ[Date]=$A$3)*(CsDJ[Account Code]=(TRIM($B120))),CsDJ[Credit])))+(SUM(IF((CRDJ[Date]=$A$3)*(CRDJ[Account Code]=(TRIM($B120))),CRDJ[Credit])))+(SUM(IF((GJ[Date]=$A$3)*(GJ[Account Code]=(TRIM($B120))),GJ[Credit]))))</f>
        <v>0</v>
      </c>
      <c r="G120" s="343">
        <f t="shared" si="9"/>
        <v>0</v>
      </c>
      <c r="H120" s="246">
        <f t="shared" ref="H120:H145" si="10">G120-D120</f>
        <v>-100000</v>
      </c>
      <c r="I120" s="246">
        <f t="shared" ref="I120:I145" si="11">IF((D120=0),0,G120/D120)</f>
        <v>0</v>
      </c>
    </row>
    <row r="121" spans="1:9" hidden="1" x14ac:dyDescent="0.2">
      <c r="A121" s="256" t="s">
        <v>1027</v>
      </c>
      <c r="B121" s="339" t="s">
        <v>269</v>
      </c>
      <c r="C121" s="245">
        <f t="array" ref="C121">SUM(IF((Budget[Account Code]=B121),(Budget[Amount])))</f>
        <v>0</v>
      </c>
      <c r="D121" s="245">
        <f t="array" ref="D121">SUM(IF((Budget[Account Code]=B121)*(Budget[Date]&lt;=$D$7),(Budget[Amount])))</f>
        <v>0</v>
      </c>
      <c r="E121" s="245">
        <f t="array" ref="E121">((SUM(IF((CkDJ[Account Code]=(TRIM($B121)))*(CkDJ[Date]&lt;=$E$7),CkDJ[Debit])))+(SUM(IF((CsDJ[Account Code]=(TRIM($B121)))*(CsDJ[Date]&lt;=$E$7),CsDJ[Debit])))+(SUM(IF((CRDJ[Account Code]=(TRIM($B121)))*(CRDJ[Date]&lt;=$E$7),CRDJ[Debit])))+(SUM(IF((GJ[Account Code]=(TRIM($B121)))*(GJ[Date]&lt;=$E$7),GJ[Debit]))))-((SUM(IF((CkDJ[Account Code]=(TRIM($B121)))*(CkDJ[Date]&lt;=$E$7),CkDJ[Credit])))+(SUM(IF((CsDJ[Account Code]=(TRIM($B121)))*(CsDJ[Date]&lt;=$E$7),CsDJ[Credit])))+(SUM(IF((CRDJ[Account Code]=(TRIM($B121)))*(CRDJ[Date]&lt;=$E$7),CRDJ[Credit])))+(SUM(IF((GJ[Account Code]=(TRIM($B121)))*(GJ[Date]&lt;=$E$7),GJ[Credit]))))</f>
        <v>0</v>
      </c>
      <c r="F121" s="245">
        <f t="array" ref="F121">((SUM(IF((CkDJ[Date]=$A$3)*(CkDJ[Account Code]=(TRIM($B121))),CkDJ[Debit])))+(SUM(IF((CsDJ[Date]=$A$3)*(CsDJ[Account Code]=(TRIM($B121))),CsDJ[Debit])))+(SUM(IF((CRDJ[Date]=$A$3)*(CRDJ[Account Code]=(TRIM($B121))),CRDJ[Debit])))+(SUM(IF((GJ[Date]=$A$3)*(GJ[Account Code]=(TRIM($B121))),GJ[Debit]))))-((SUM(IF((CkDJ[Date]=$A$3)*(CkDJ[Account Code]=(TRIM($B121))),CkDJ[Credit])))+(SUM(IF((CsDJ[Date]=$A$3)*(CsDJ[Account Code]=(TRIM($B121))),CsDJ[Credit])))+(SUM(IF((CRDJ[Date]=$A$3)*(CRDJ[Account Code]=(TRIM($B121))),CRDJ[Credit])))+(SUM(IF((GJ[Date]=$A$3)*(GJ[Account Code]=(TRIM($B121))),GJ[Credit]))))</f>
        <v>0</v>
      </c>
      <c r="G121" s="343">
        <f t="shared" si="9"/>
        <v>0</v>
      </c>
      <c r="H121" s="246">
        <f t="shared" si="10"/>
        <v>0</v>
      </c>
      <c r="I121" s="246">
        <f t="shared" si="11"/>
        <v>0</v>
      </c>
    </row>
    <row r="122" spans="1:9" x14ac:dyDescent="0.2">
      <c r="A122" s="256" t="s">
        <v>409</v>
      </c>
      <c r="B122" s="339" t="s">
        <v>408</v>
      </c>
      <c r="C122" s="245">
        <f t="array" ref="C122">SUM(IF((Budget[Account Code]=B122),(Budget[Amount])))</f>
        <v>0</v>
      </c>
      <c r="D122" s="245">
        <f t="array" ref="D122">SUM(IF((Budget[Account Code]=B122)*(Budget[Date]&lt;=$D$7),(Budget[Amount])))</f>
        <v>0</v>
      </c>
      <c r="E122" s="245">
        <f t="array" ref="E122">((SUM(IF((CkDJ[Account Code]=(TRIM($B122)))*(CkDJ[Date]&lt;=$E$7),CkDJ[Debit])))+(SUM(IF((CsDJ[Account Code]=(TRIM($B122)))*(CsDJ[Date]&lt;=$E$7),CsDJ[Debit])))+(SUM(IF((CRDJ[Account Code]=(TRIM($B122)))*(CRDJ[Date]&lt;=$E$7),CRDJ[Debit])))+(SUM(IF((GJ[Account Code]=(TRIM($B122)))*(GJ[Date]&lt;=$E$7),GJ[Debit]))))-((SUM(IF((CkDJ[Account Code]=(TRIM($B122)))*(CkDJ[Date]&lt;=$E$7),CkDJ[Credit])))+(SUM(IF((CsDJ[Account Code]=(TRIM($B122)))*(CsDJ[Date]&lt;=$E$7),CsDJ[Credit])))+(SUM(IF((CRDJ[Account Code]=(TRIM($B122)))*(CRDJ[Date]&lt;=$E$7),CRDJ[Credit])))+(SUM(IF((GJ[Account Code]=(TRIM($B122)))*(GJ[Date]&lt;=$E$7),GJ[Credit]))))</f>
        <v>0</v>
      </c>
      <c r="F122" s="245">
        <f t="array" ref="F122">((SUM(IF((CkDJ[Date]=$A$3)*(CkDJ[Account Code]=(TRIM($B122))),CkDJ[Debit])))+(SUM(IF((CsDJ[Date]=$A$3)*(CsDJ[Account Code]=(TRIM($B122))),CsDJ[Debit])))+(SUM(IF((CRDJ[Date]=$A$3)*(CRDJ[Account Code]=(TRIM($B122))),CRDJ[Debit])))+(SUM(IF((GJ[Date]=$A$3)*(GJ[Account Code]=(TRIM($B122))),GJ[Debit]))))-((SUM(IF((CkDJ[Date]=$A$3)*(CkDJ[Account Code]=(TRIM($B122))),CkDJ[Credit])))+(SUM(IF((CsDJ[Date]=$A$3)*(CsDJ[Account Code]=(TRIM($B122))),CsDJ[Credit])))+(SUM(IF((CRDJ[Date]=$A$3)*(CRDJ[Account Code]=(TRIM($B122))),CRDJ[Credit])))+(SUM(IF((GJ[Date]=$A$3)*(GJ[Account Code]=(TRIM($B122))),GJ[Credit]))))</f>
        <v>0</v>
      </c>
      <c r="G122" s="343">
        <f t="shared" si="9"/>
        <v>0</v>
      </c>
      <c r="H122" s="246">
        <f t="shared" si="10"/>
        <v>0</v>
      </c>
      <c r="I122" s="246">
        <f t="shared" si="11"/>
        <v>0</v>
      </c>
    </row>
    <row r="123" spans="1:9" x14ac:dyDescent="0.2">
      <c r="A123" s="256" t="s">
        <v>315</v>
      </c>
      <c r="B123" s="339" t="s">
        <v>270</v>
      </c>
      <c r="C123" s="245">
        <f t="array" ref="C123">SUM(IF((Budget[Account Code]=B123),(Budget[Amount])))</f>
        <v>0</v>
      </c>
      <c r="D123" s="245">
        <f t="array" ref="D123">SUM(IF((Budget[Account Code]=B123)*(Budget[Date]&lt;=$D$7),(Budget[Amount])))</f>
        <v>0</v>
      </c>
      <c r="E123" s="245">
        <f t="array" ref="E123">((SUM(IF((CkDJ[Account Code]=(TRIM($B123)))*(CkDJ[Date]&lt;=$E$7),CkDJ[Debit])))+(SUM(IF((CsDJ[Account Code]=(TRIM($B123)))*(CsDJ[Date]&lt;=$E$7),CsDJ[Debit])))+(SUM(IF((CRDJ[Account Code]=(TRIM($B123)))*(CRDJ[Date]&lt;=$E$7),CRDJ[Debit])))+(SUM(IF((GJ[Account Code]=(TRIM($B123)))*(GJ[Date]&lt;=$E$7),GJ[Debit]))))-((SUM(IF((CkDJ[Account Code]=(TRIM($B123)))*(CkDJ[Date]&lt;=$E$7),CkDJ[Credit])))+(SUM(IF((CsDJ[Account Code]=(TRIM($B123)))*(CsDJ[Date]&lt;=$E$7),CsDJ[Credit])))+(SUM(IF((CRDJ[Account Code]=(TRIM($B123)))*(CRDJ[Date]&lt;=$E$7),CRDJ[Credit])))+(SUM(IF((GJ[Account Code]=(TRIM($B123)))*(GJ[Date]&lt;=$E$7),GJ[Credit]))))</f>
        <v>0</v>
      </c>
      <c r="F123" s="245">
        <f t="array" ref="F123">((SUM(IF((CkDJ[Date]=$A$3)*(CkDJ[Account Code]=(TRIM($B123))),CkDJ[Debit])))+(SUM(IF((CsDJ[Date]=$A$3)*(CsDJ[Account Code]=(TRIM($B123))),CsDJ[Debit])))+(SUM(IF((CRDJ[Date]=$A$3)*(CRDJ[Account Code]=(TRIM($B123))),CRDJ[Debit])))+(SUM(IF((GJ[Date]=$A$3)*(GJ[Account Code]=(TRIM($B123))),GJ[Debit]))))-((SUM(IF((CkDJ[Date]=$A$3)*(CkDJ[Account Code]=(TRIM($B123))),CkDJ[Credit])))+(SUM(IF((CsDJ[Date]=$A$3)*(CsDJ[Account Code]=(TRIM($B123))),CsDJ[Credit])))+(SUM(IF((CRDJ[Date]=$A$3)*(CRDJ[Account Code]=(TRIM($B123))),CRDJ[Credit])))+(SUM(IF((GJ[Date]=$A$3)*(GJ[Account Code]=(TRIM($B123))),GJ[Credit]))))</f>
        <v>0</v>
      </c>
      <c r="G123" s="343">
        <f>E123+F123</f>
        <v>0</v>
      </c>
      <c r="H123" s="246">
        <f>G123-D123</f>
        <v>0</v>
      </c>
      <c r="I123" s="246">
        <f>IF((D123=0),0,G123/D123)</f>
        <v>0</v>
      </c>
    </row>
    <row r="124" spans="1:9" hidden="1" x14ac:dyDescent="0.2">
      <c r="A124" s="256" t="s">
        <v>368</v>
      </c>
      <c r="B124" s="339" t="s">
        <v>271</v>
      </c>
      <c r="C124" s="245">
        <f t="array" ref="C124">SUM(IF((Budget[Account Code]=B124),(Budget[Amount])))</f>
        <v>941795</v>
      </c>
      <c r="D124" s="245">
        <f t="array" ref="D124">SUM(IF((Budget[Account Code]=B124)*(Budget[Date]&lt;=$D$7),(Budget[Amount])))</f>
        <v>941795</v>
      </c>
      <c r="E124" s="245">
        <f t="array" ref="E124">((SUM(IF((CkDJ[Account Code]=(TRIM($B124)))*(CkDJ[Date]&lt;=$E$7),CkDJ[Debit])))+(SUM(IF((CsDJ[Account Code]=(TRIM($B124)))*(CsDJ[Date]&lt;=$E$7),CsDJ[Debit])))+(SUM(IF((CRDJ[Account Code]=(TRIM($B124)))*(CRDJ[Date]&lt;=$E$7),CRDJ[Debit])))+(SUM(IF((GJ[Account Code]=(TRIM($B124)))*(GJ[Date]&lt;=$E$7),GJ[Debit]))))-((SUM(IF((CkDJ[Account Code]=(TRIM($B124)))*(CkDJ[Date]&lt;=$E$7),CkDJ[Credit])))+(SUM(IF((CsDJ[Account Code]=(TRIM($B124)))*(CsDJ[Date]&lt;=$E$7),CsDJ[Credit])))+(SUM(IF((CRDJ[Account Code]=(TRIM($B124)))*(CRDJ[Date]&lt;=$E$7),CRDJ[Credit])))+(SUM(IF((GJ[Account Code]=(TRIM($B124)))*(GJ[Date]&lt;=$E$7),GJ[Credit]))))</f>
        <v>0</v>
      </c>
      <c r="F124" s="245">
        <f t="array" ref="F124">((SUM(IF((CkDJ[Date]=$A$3)*(CkDJ[Account Code]=(TRIM($B124))),CkDJ[Debit])))+(SUM(IF((CsDJ[Date]=$A$3)*(CsDJ[Account Code]=(TRIM($B124))),CsDJ[Debit])))+(SUM(IF((CRDJ[Date]=$A$3)*(CRDJ[Account Code]=(TRIM($B124))),CRDJ[Debit])))+(SUM(IF((GJ[Date]=$A$3)*(GJ[Account Code]=(TRIM($B124))),GJ[Debit]))))-((SUM(IF((CkDJ[Date]=$A$3)*(CkDJ[Account Code]=(TRIM($B124))),CkDJ[Credit])))+(SUM(IF((CsDJ[Date]=$A$3)*(CsDJ[Account Code]=(TRIM($B124))),CsDJ[Credit])))+(SUM(IF((CRDJ[Date]=$A$3)*(CRDJ[Account Code]=(TRIM($B124))),CRDJ[Credit])))+(SUM(IF((GJ[Date]=$A$3)*(GJ[Account Code]=(TRIM($B124))),GJ[Credit]))))</f>
        <v>0</v>
      </c>
      <c r="G124" s="343">
        <f t="shared" si="9"/>
        <v>0</v>
      </c>
      <c r="H124" s="246">
        <f t="shared" si="10"/>
        <v>-941795</v>
      </c>
      <c r="I124" s="246">
        <f t="shared" si="11"/>
        <v>0</v>
      </c>
    </row>
    <row r="125" spans="1:9" hidden="1" x14ac:dyDescent="0.2">
      <c r="A125" s="256" t="s">
        <v>316</v>
      </c>
      <c r="B125" s="339" t="s">
        <v>272</v>
      </c>
      <c r="C125" s="245">
        <f t="array" ref="C125">SUM(IF((Budget[Account Code]=B125),(Budget[Amount])))</f>
        <v>554330.41</v>
      </c>
      <c r="D125" s="245">
        <f t="array" ref="D125">SUM(IF((Budget[Account Code]=B125)*(Budget[Date]&lt;=$D$7),(Budget[Amount])))</f>
        <v>554330.41</v>
      </c>
      <c r="E125" s="245">
        <f t="array" ref="E125">((SUM(IF((CkDJ[Account Code]=(TRIM($B125)))*(CkDJ[Date]&lt;=$E$7),CkDJ[Debit])))+(SUM(IF((CsDJ[Account Code]=(TRIM($B125)))*(CsDJ[Date]&lt;=$E$7),CsDJ[Debit])))+(SUM(IF((CRDJ[Account Code]=(TRIM($B125)))*(CRDJ[Date]&lt;=$E$7),CRDJ[Debit])))+(SUM(IF((GJ[Account Code]=(TRIM($B125)))*(GJ[Date]&lt;=$E$7),GJ[Debit]))))-((SUM(IF((CkDJ[Account Code]=(TRIM($B125)))*(CkDJ[Date]&lt;=$E$7),CkDJ[Credit])))+(SUM(IF((CsDJ[Account Code]=(TRIM($B125)))*(CsDJ[Date]&lt;=$E$7),CsDJ[Credit])))+(SUM(IF((CRDJ[Account Code]=(TRIM($B125)))*(CRDJ[Date]&lt;=$E$7),CRDJ[Credit])))+(SUM(IF((GJ[Account Code]=(TRIM($B125)))*(GJ[Date]&lt;=$E$7),GJ[Credit]))))</f>
        <v>0</v>
      </c>
      <c r="F125" s="245">
        <f t="array" ref="F125">((SUM(IF((CkDJ[Date]=$A$3)*(CkDJ[Account Code]=(TRIM($B125))),CkDJ[Debit])))+(SUM(IF((CsDJ[Date]=$A$3)*(CsDJ[Account Code]=(TRIM($B125))),CsDJ[Debit])))+(SUM(IF((CRDJ[Date]=$A$3)*(CRDJ[Account Code]=(TRIM($B125))),CRDJ[Debit])))+(SUM(IF((GJ[Date]=$A$3)*(GJ[Account Code]=(TRIM($B125))),GJ[Debit]))))-((SUM(IF((CkDJ[Date]=$A$3)*(CkDJ[Account Code]=(TRIM($B125))),CkDJ[Credit])))+(SUM(IF((CsDJ[Date]=$A$3)*(CsDJ[Account Code]=(TRIM($B125))),CsDJ[Credit])))+(SUM(IF((CRDJ[Date]=$A$3)*(CRDJ[Account Code]=(TRIM($B125))),CRDJ[Credit])))+(SUM(IF((GJ[Date]=$A$3)*(GJ[Account Code]=(TRIM($B125))),GJ[Credit]))))</f>
        <v>0</v>
      </c>
      <c r="G125" s="343">
        <f t="shared" si="9"/>
        <v>0</v>
      </c>
      <c r="H125" s="246">
        <f t="shared" si="10"/>
        <v>-554330.41</v>
      </c>
      <c r="I125" s="246">
        <f t="shared" si="11"/>
        <v>0</v>
      </c>
    </row>
    <row r="126" spans="1:9" hidden="1" x14ac:dyDescent="0.2">
      <c r="A126" s="256" t="s">
        <v>317</v>
      </c>
      <c r="B126" s="339" t="s">
        <v>273</v>
      </c>
      <c r="C126" s="245">
        <f t="array" ref="C126">SUM(IF((Budget[Account Code]=B126),(Budget[Amount])))</f>
        <v>0</v>
      </c>
      <c r="D126" s="245">
        <f t="array" ref="D126">SUM(IF((Budget[Account Code]=B126)*(Budget[Date]&lt;=$D$7),(Budget[Amount])))</f>
        <v>0</v>
      </c>
      <c r="E126" s="245">
        <f t="array" ref="E126">((SUM(IF((CkDJ[Account Code]=(TRIM($B126)))*(CkDJ[Date]&lt;=$E$7),CkDJ[Debit])))+(SUM(IF((CsDJ[Account Code]=(TRIM($B126)))*(CsDJ[Date]&lt;=$E$7),CsDJ[Debit])))+(SUM(IF((CRDJ[Account Code]=(TRIM($B126)))*(CRDJ[Date]&lt;=$E$7),CRDJ[Debit])))+(SUM(IF((GJ[Account Code]=(TRIM($B126)))*(GJ[Date]&lt;=$E$7),GJ[Debit]))))-((SUM(IF((CkDJ[Account Code]=(TRIM($B126)))*(CkDJ[Date]&lt;=$E$7),CkDJ[Credit])))+(SUM(IF((CsDJ[Account Code]=(TRIM($B126)))*(CsDJ[Date]&lt;=$E$7),CsDJ[Credit])))+(SUM(IF((CRDJ[Account Code]=(TRIM($B126)))*(CRDJ[Date]&lt;=$E$7),CRDJ[Credit])))+(SUM(IF((GJ[Account Code]=(TRIM($B126)))*(GJ[Date]&lt;=$E$7),GJ[Credit]))))</f>
        <v>0</v>
      </c>
      <c r="F126" s="245">
        <f t="array" ref="F126">((SUM(IF((CkDJ[Date]=$A$3)*(CkDJ[Account Code]=(TRIM($B126))),CkDJ[Debit])))+(SUM(IF((CsDJ[Date]=$A$3)*(CsDJ[Account Code]=(TRIM($B126))),CsDJ[Debit])))+(SUM(IF((CRDJ[Date]=$A$3)*(CRDJ[Account Code]=(TRIM($B126))),CRDJ[Debit])))+(SUM(IF((GJ[Date]=$A$3)*(GJ[Account Code]=(TRIM($B126))),GJ[Debit]))))-((SUM(IF((CkDJ[Date]=$A$3)*(CkDJ[Account Code]=(TRIM($B126))),CkDJ[Credit])))+(SUM(IF((CsDJ[Date]=$A$3)*(CsDJ[Account Code]=(TRIM($B126))),CsDJ[Credit])))+(SUM(IF((CRDJ[Date]=$A$3)*(CRDJ[Account Code]=(TRIM($B126))),CRDJ[Credit])))+(SUM(IF((GJ[Date]=$A$3)*(GJ[Account Code]=(TRIM($B126))),GJ[Credit]))))</f>
        <v>0</v>
      </c>
      <c r="G126" s="343">
        <f t="shared" si="9"/>
        <v>0</v>
      </c>
      <c r="H126" s="246">
        <f t="shared" si="10"/>
        <v>0</v>
      </c>
      <c r="I126" s="246">
        <f t="shared" si="11"/>
        <v>0</v>
      </c>
    </row>
    <row r="127" spans="1:9" hidden="1" x14ac:dyDescent="0.2">
      <c r="A127" s="256" t="s">
        <v>318</v>
      </c>
      <c r="B127" s="339" t="s">
        <v>274</v>
      </c>
      <c r="C127" s="245">
        <f t="array" ref="C127">SUM(IF((Budget[Account Code]=B127),(Budget[Amount])))</f>
        <v>0</v>
      </c>
      <c r="D127" s="245">
        <f t="array" ref="D127">SUM(IF((Budget[Account Code]=B127)*(Budget[Date]&lt;=$D$7),(Budget[Amount])))</f>
        <v>0</v>
      </c>
      <c r="E127" s="245">
        <f t="array" ref="E127">((SUM(IF((CkDJ[Account Code]=(TRIM($B127)))*(CkDJ[Date]&lt;=$E$7),CkDJ[Debit])))+(SUM(IF((CsDJ[Account Code]=(TRIM($B127)))*(CsDJ[Date]&lt;=$E$7),CsDJ[Debit])))+(SUM(IF((CRDJ[Account Code]=(TRIM($B127)))*(CRDJ[Date]&lt;=$E$7),CRDJ[Debit])))+(SUM(IF((GJ[Account Code]=(TRIM($B127)))*(GJ[Date]&lt;=$E$7),GJ[Debit]))))-((SUM(IF((CkDJ[Account Code]=(TRIM($B127)))*(CkDJ[Date]&lt;=$E$7),CkDJ[Credit])))+(SUM(IF((CsDJ[Account Code]=(TRIM($B127)))*(CsDJ[Date]&lt;=$E$7),CsDJ[Credit])))+(SUM(IF((CRDJ[Account Code]=(TRIM($B127)))*(CRDJ[Date]&lt;=$E$7),CRDJ[Credit])))+(SUM(IF((GJ[Account Code]=(TRIM($B127)))*(GJ[Date]&lt;=$E$7),GJ[Credit]))))</f>
        <v>0</v>
      </c>
      <c r="F127" s="245">
        <f t="array" ref="F127">((SUM(IF((CkDJ[Date]=$A$3)*(CkDJ[Account Code]=(TRIM($B127))),CkDJ[Debit])))+(SUM(IF((CsDJ[Date]=$A$3)*(CsDJ[Account Code]=(TRIM($B127))),CsDJ[Debit])))+(SUM(IF((CRDJ[Date]=$A$3)*(CRDJ[Account Code]=(TRIM($B127))),CRDJ[Debit])))+(SUM(IF((GJ[Date]=$A$3)*(GJ[Account Code]=(TRIM($B127))),GJ[Debit]))))-((SUM(IF((CkDJ[Date]=$A$3)*(CkDJ[Account Code]=(TRIM($B127))),CkDJ[Credit])))+(SUM(IF((CsDJ[Date]=$A$3)*(CsDJ[Account Code]=(TRIM($B127))),CsDJ[Credit])))+(SUM(IF((CRDJ[Date]=$A$3)*(CRDJ[Account Code]=(TRIM($B127))),CRDJ[Credit])))+(SUM(IF((GJ[Date]=$A$3)*(GJ[Account Code]=(TRIM($B127))),GJ[Credit]))))</f>
        <v>0</v>
      </c>
      <c r="G127" s="343">
        <f t="shared" si="9"/>
        <v>0</v>
      </c>
      <c r="H127" s="246">
        <f t="shared" si="10"/>
        <v>0</v>
      </c>
      <c r="I127" s="246">
        <f t="shared" si="11"/>
        <v>0</v>
      </c>
    </row>
    <row r="128" spans="1:9" hidden="1" x14ac:dyDescent="0.2">
      <c r="A128" s="256" t="s">
        <v>1028</v>
      </c>
      <c r="B128" s="339" t="s">
        <v>332</v>
      </c>
      <c r="C128" s="245">
        <f t="array" ref="C128">SUM(IF((Budget[Account Code]=B128),(Budget[Amount])))</f>
        <v>0</v>
      </c>
      <c r="D128" s="245">
        <f t="array" ref="D128">SUM(IF((Budget[Account Code]=B128)*(Budget[Date]&lt;=$D$7),(Budget[Amount])))</f>
        <v>0</v>
      </c>
      <c r="E128" s="245">
        <f t="array" ref="E128">((SUM(IF((CkDJ[Account Code]=(TRIM($B128)))*(CkDJ[Date]&lt;=$E$7),CkDJ[Debit])))+(SUM(IF((CsDJ[Account Code]=(TRIM($B128)))*(CsDJ[Date]&lt;=$E$7),CsDJ[Debit])))+(SUM(IF((CRDJ[Account Code]=(TRIM($B128)))*(CRDJ[Date]&lt;=$E$7),CRDJ[Debit])))+(SUM(IF((GJ[Account Code]=(TRIM($B128)))*(GJ[Date]&lt;=$E$7),GJ[Debit]))))-((SUM(IF((CkDJ[Account Code]=(TRIM($B128)))*(CkDJ[Date]&lt;=$E$7),CkDJ[Credit])))+(SUM(IF((CsDJ[Account Code]=(TRIM($B128)))*(CsDJ[Date]&lt;=$E$7),CsDJ[Credit])))+(SUM(IF((CRDJ[Account Code]=(TRIM($B128)))*(CRDJ[Date]&lt;=$E$7),CRDJ[Credit])))+(SUM(IF((GJ[Account Code]=(TRIM($B128)))*(GJ[Date]&lt;=$E$7),GJ[Credit]))))</f>
        <v>0</v>
      </c>
      <c r="F128" s="245">
        <f t="array" ref="F128">((SUM(IF((CkDJ[Date]=$A$3)*(CkDJ[Account Code]=(TRIM($B128))),CkDJ[Debit])))+(SUM(IF((CsDJ[Date]=$A$3)*(CsDJ[Account Code]=(TRIM($B128))),CsDJ[Debit])))+(SUM(IF((CRDJ[Date]=$A$3)*(CRDJ[Account Code]=(TRIM($B128))),CRDJ[Debit])))+(SUM(IF((GJ[Date]=$A$3)*(GJ[Account Code]=(TRIM($B128))),GJ[Debit]))))-((SUM(IF((CkDJ[Date]=$A$3)*(CkDJ[Account Code]=(TRIM($B128))),CkDJ[Credit])))+(SUM(IF((CsDJ[Date]=$A$3)*(CsDJ[Account Code]=(TRIM($B128))),CsDJ[Credit])))+(SUM(IF((CRDJ[Date]=$A$3)*(CRDJ[Account Code]=(TRIM($B128))),CRDJ[Credit])))+(SUM(IF((GJ[Date]=$A$3)*(GJ[Account Code]=(TRIM($B128))),GJ[Credit]))))</f>
        <v>0</v>
      </c>
      <c r="G128" s="343">
        <f t="shared" si="9"/>
        <v>0</v>
      </c>
      <c r="H128" s="246">
        <f t="shared" si="10"/>
        <v>0</v>
      </c>
      <c r="I128" s="246">
        <f t="shared" si="11"/>
        <v>0</v>
      </c>
    </row>
    <row r="129" spans="1:9" hidden="1" x14ac:dyDescent="0.2">
      <c r="A129" s="256" t="s">
        <v>343</v>
      </c>
      <c r="B129" s="339" t="s">
        <v>334</v>
      </c>
      <c r="C129" s="245">
        <f t="array" ref="C129">SUM(IF((Budget[Account Code]=B129),(Budget[Amount])))</f>
        <v>0</v>
      </c>
      <c r="D129" s="245">
        <f t="array" ref="D129">SUM(IF((Budget[Account Code]=B129)*(Budget[Date]&lt;=$D$7),(Budget[Amount])))</f>
        <v>0</v>
      </c>
      <c r="E129" s="245">
        <f t="array" ref="E129">((SUM(IF((CkDJ[Account Code]=(TRIM($B129)))*(CkDJ[Date]&lt;=$E$7),CkDJ[Debit])))+(SUM(IF((CsDJ[Account Code]=(TRIM($B129)))*(CsDJ[Date]&lt;=$E$7),CsDJ[Debit])))+(SUM(IF((CRDJ[Account Code]=(TRIM($B129)))*(CRDJ[Date]&lt;=$E$7),CRDJ[Debit])))+(SUM(IF((GJ[Account Code]=(TRIM($B129)))*(GJ[Date]&lt;=$E$7),GJ[Debit]))))-((SUM(IF((CkDJ[Account Code]=(TRIM($B129)))*(CkDJ[Date]&lt;=$E$7),CkDJ[Credit])))+(SUM(IF((CsDJ[Account Code]=(TRIM($B129)))*(CsDJ[Date]&lt;=$E$7),CsDJ[Credit])))+(SUM(IF((CRDJ[Account Code]=(TRIM($B129)))*(CRDJ[Date]&lt;=$E$7),CRDJ[Credit])))+(SUM(IF((GJ[Account Code]=(TRIM($B129)))*(GJ[Date]&lt;=$E$7),GJ[Credit]))))</f>
        <v>0</v>
      </c>
      <c r="F129" s="245">
        <f t="array" ref="F129">((SUM(IF((CkDJ[Date]=$A$3)*(CkDJ[Account Code]=(TRIM($B129))),CkDJ[Debit])))+(SUM(IF((CsDJ[Date]=$A$3)*(CsDJ[Account Code]=(TRIM($B129))),CsDJ[Debit])))+(SUM(IF((CRDJ[Date]=$A$3)*(CRDJ[Account Code]=(TRIM($B129))),CRDJ[Debit])))+(SUM(IF((GJ[Date]=$A$3)*(GJ[Account Code]=(TRIM($B129))),GJ[Debit]))))-((SUM(IF((CkDJ[Date]=$A$3)*(CkDJ[Account Code]=(TRIM($B129))),CkDJ[Credit])))+(SUM(IF((CsDJ[Date]=$A$3)*(CsDJ[Account Code]=(TRIM($B129))),CsDJ[Credit])))+(SUM(IF((CRDJ[Date]=$A$3)*(CRDJ[Account Code]=(TRIM($B129))),CRDJ[Credit])))+(SUM(IF((GJ[Date]=$A$3)*(GJ[Account Code]=(TRIM($B129))),GJ[Credit]))))</f>
        <v>0</v>
      </c>
      <c r="G129" s="343">
        <f t="shared" si="9"/>
        <v>0</v>
      </c>
      <c r="H129" s="246">
        <f t="shared" si="10"/>
        <v>0</v>
      </c>
      <c r="I129" s="246">
        <f t="shared" si="11"/>
        <v>0</v>
      </c>
    </row>
    <row r="130" spans="1:9" hidden="1" x14ac:dyDescent="0.2">
      <c r="A130" s="256" t="s">
        <v>344</v>
      </c>
      <c r="B130" s="339" t="s">
        <v>335</v>
      </c>
      <c r="C130" s="245">
        <f t="array" ref="C130">SUM(IF((Budget[Account Code]=B130),(Budget[Amount])))</f>
        <v>0</v>
      </c>
      <c r="D130" s="245">
        <f t="array" ref="D130">SUM(IF((Budget[Account Code]=B130)*(Budget[Date]&lt;=$D$7),(Budget[Amount])))</f>
        <v>0</v>
      </c>
      <c r="E130" s="245">
        <f t="array" ref="E130">((SUM(IF((CkDJ[Account Code]=(TRIM($B130)))*(CkDJ[Date]&lt;=$E$7),CkDJ[Debit])))+(SUM(IF((CsDJ[Account Code]=(TRIM($B130)))*(CsDJ[Date]&lt;=$E$7),CsDJ[Debit])))+(SUM(IF((CRDJ[Account Code]=(TRIM($B130)))*(CRDJ[Date]&lt;=$E$7),CRDJ[Debit])))+(SUM(IF((GJ[Account Code]=(TRIM($B130)))*(GJ[Date]&lt;=$E$7),GJ[Debit]))))-((SUM(IF((CkDJ[Account Code]=(TRIM($B130)))*(CkDJ[Date]&lt;=$E$7),CkDJ[Credit])))+(SUM(IF((CsDJ[Account Code]=(TRIM($B130)))*(CsDJ[Date]&lt;=$E$7),CsDJ[Credit])))+(SUM(IF((CRDJ[Account Code]=(TRIM($B130)))*(CRDJ[Date]&lt;=$E$7),CRDJ[Credit])))+(SUM(IF((GJ[Account Code]=(TRIM($B130)))*(GJ[Date]&lt;=$E$7),GJ[Credit]))))</f>
        <v>0</v>
      </c>
      <c r="F130" s="245">
        <f t="array" ref="F130">((SUM(IF((CkDJ[Date]=$A$3)*(CkDJ[Account Code]=(TRIM($B130))),CkDJ[Debit])))+(SUM(IF((CsDJ[Date]=$A$3)*(CsDJ[Account Code]=(TRIM($B130))),CsDJ[Debit])))+(SUM(IF((CRDJ[Date]=$A$3)*(CRDJ[Account Code]=(TRIM($B130))),CRDJ[Debit])))+(SUM(IF((GJ[Date]=$A$3)*(GJ[Account Code]=(TRIM($B130))),GJ[Debit]))))-((SUM(IF((CkDJ[Date]=$A$3)*(CkDJ[Account Code]=(TRIM($B130))),CkDJ[Credit])))+(SUM(IF((CsDJ[Date]=$A$3)*(CsDJ[Account Code]=(TRIM($B130))),CsDJ[Credit])))+(SUM(IF((CRDJ[Date]=$A$3)*(CRDJ[Account Code]=(TRIM($B130))),CRDJ[Credit])))+(SUM(IF((GJ[Date]=$A$3)*(GJ[Account Code]=(TRIM($B130))),GJ[Credit]))))</f>
        <v>0</v>
      </c>
      <c r="G130" s="343">
        <f t="shared" si="9"/>
        <v>0</v>
      </c>
      <c r="H130" s="246">
        <f t="shared" si="10"/>
        <v>0</v>
      </c>
      <c r="I130" s="246">
        <f t="shared" si="11"/>
        <v>0</v>
      </c>
    </row>
    <row r="131" spans="1:9" hidden="1" x14ac:dyDescent="0.2">
      <c r="A131" s="256" t="s">
        <v>368</v>
      </c>
      <c r="B131" s="339" t="s">
        <v>405</v>
      </c>
      <c r="C131" s="245">
        <f t="array" ref="C131">SUM(IF((Budget[Account Code]=B131),(Budget[Amount])))</f>
        <v>0</v>
      </c>
      <c r="D131" s="245">
        <f t="array" ref="D131">SUM(IF((Budget[Account Code]=B131)*(Budget[Date]&lt;=$D$7),(Budget[Amount])))</f>
        <v>0</v>
      </c>
      <c r="E131" s="245">
        <f t="array" ref="E131">((SUM(IF((CkDJ[Account Code]=(TRIM($B131)))*(CkDJ[Date]&lt;=$E$7),CkDJ[Debit])))+(SUM(IF((CsDJ[Account Code]=(TRIM($B131)))*(CsDJ[Date]&lt;=$E$7),CsDJ[Debit])))+(SUM(IF((CRDJ[Account Code]=(TRIM($B131)))*(CRDJ[Date]&lt;=$E$7),CRDJ[Debit])))+(SUM(IF((GJ[Account Code]=(TRIM($B131)))*(GJ[Date]&lt;=$E$7),GJ[Debit]))))-((SUM(IF((CkDJ[Account Code]=(TRIM($B131)))*(CkDJ[Date]&lt;=$E$7),CkDJ[Credit])))+(SUM(IF((CsDJ[Account Code]=(TRIM($B131)))*(CsDJ[Date]&lt;=$E$7),CsDJ[Credit])))+(SUM(IF((CRDJ[Account Code]=(TRIM($B131)))*(CRDJ[Date]&lt;=$E$7),CRDJ[Credit])))+(SUM(IF((GJ[Account Code]=(TRIM($B131)))*(GJ[Date]&lt;=$E$7),GJ[Credit]))))</f>
        <v>0</v>
      </c>
      <c r="F131" s="245">
        <f t="array" ref="F131">((SUM(IF((CkDJ[Date]=$A$3)*(CkDJ[Account Code]=(TRIM($B131))),CkDJ[Debit])))+(SUM(IF((CsDJ[Date]=$A$3)*(CsDJ[Account Code]=(TRIM($B131))),CsDJ[Debit])))+(SUM(IF((CRDJ[Date]=$A$3)*(CRDJ[Account Code]=(TRIM($B131))),CRDJ[Debit])))+(SUM(IF((GJ[Date]=$A$3)*(GJ[Account Code]=(TRIM($B131))),GJ[Debit]))))-((SUM(IF((CkDJ[Date]=$A$3)*(CkDJ[Account Code]=(TRIM($B131))),CkDJ[Credit])))+(SUM(IF((CsDJ[Date]=$A$3)*(CsDJ[Account Code]=(TRIM($B131))),CsDJ[Credit])))+(SUM(IF((CRDJ[Date]=$A$3)*(CRDJ[Account Code]=(TRIM($B131))),CRDJ[Credit])))+(SUM(IF((GJ[Date]=$A$3)*(GJ[Account Code]=(TRIM($B131))),GJ[Credit]))))</f>
        <v>0</v>
      </c>
      <c r="G131" s="343">
        <f t="shared" si="9"/>
        <v>0</v>
      </c>
      <c r="H131" s="246">
        <f t="shared" si="10"/>
        <v>0</v>
      </c>
      <c r="I131" s="246">
        <f t="shared" si="11"/>
        <v>0</v>
      </c>
    </row>
    <row r="132" spans="1:9" hidden="1" x14ac:dyDescent="0.2">
      <c r="A132" s="256" t="s">
        <v>345</v>
      </c>
      <c r="B132" s="339" t="s">
        <v>336</v>
      </c>
      <c r="C132" s="245">
        <f t="array" ref="C132">SUM(IF((Budget[Account Code]=B132),(Budget[Amount])))</f>
        <v>0</v>
      </c>
      <c r="D132" s="245">
        <f t="array" ref="D132">SUM(IF((Budget[Account Code]=B132)*(Budget[Date]&lt;=$D$7),(Budget[Amount])))</f>
        <v>0</v>
      </c>
      <c r="E132" s="245">
        <f t="array" ref="E132">((SUM(IF((CkDJ[Account Code]=(TRIM($B132)))*(CkDJ[Date]&lt;=$E$7),CkDJ[Debit])))+(SUM(IF((CsDJ[Account Code]=(TRIM($B132)))*(CsDJ[Date]&lt;=$E$7),CsDJ[Debit])))+(SUM(IF((CRDJ[Account Code]=(TRIM($B132)))*(CRDJ[Date]&lt;=$E$7),CRDJ[Debit])))+(SUM(IF((GJ[Account Code]=(TRIM($B132)))*(GJ[Date]&lt;=$E$7),GJ[Debit]))))-((SUM(IF((CkDJ[Account Code]=(TRIM($B132)))*(CkDJ[Date]&lt;=$E$7),CkDJ[Credit])))+(SUM(IF((CsDJ[Account Code]=(TRIM($B132)))*(CsDJ[Date]&lt;=$E$7),CsDJ[Credit])))+(SUM(IF((CRDJ[Account Code]=(TRIM($B132)))*(CRDJ[Date]&lt;=$E$7),CRDJ[Credit])))+(SUM(IF((GJ[Account Code]=(TRIM($B132)))*(GJ[Date]&lt;=$E$7),GJ[Credit]))))</f>
        <v>0</v>
      </c>
      <c r="F132" s="245">
        <f t="array" ref="F132">((SUM(IF((CkDJ[Date]=$A$3)*(CkDJ[Account Code]=(TRIM($B132))),CkDJ[Debit])))+(SUM(IF((CsDJ[Date]=$A$3)*(CsDJ[Account Code]=(TRIM($B132))),CsDJ[Debit])))+(SUM(IF((CRDJ[Date]=$A$3)*(CRDJ[Account Code]=(TRIM($B132))),CRDJ[Debit])))+(SUM(IF((GJ[Date]=$A$3)*(GJ[Account Code]=(TRIM($B132))),GJ[Debit]))))-((SUM(IF((CkDJ[Date]=$A$3)*(CkDJ[Account Code]=(TRIM($B132))),CkDJ[Credit])))+(SUM(IF((CsDJ[Date]=$A$3)*(CsDJ[Account Code]=(TRIM($B132))),CsDJ[Credit])))+(SUM(IF((CRDJ[Date]=$A$3)*(CRDJ[Account Code]=(TRIM($B132))),CRDJ[Credit])))+(SUM(IF((GJ[Date]=$A$3)*(GJ[Account Code]=(TRIM($B132))),GJ[Credit]))))</f>
        <v>0</v>
      </c>
      <c r="G132" s="343">
        <f t="shared" si="9"/>
        <v>0</v>
      </c>
      <c r="H132" s="246">
        <f t="shared" si="10"/>
        <v>0</v>
      </c>
      <c r="I132" s="246">
        <f t="shared" si="11"/>
        <v>0</v>
      </c>
    </row>
    <row r="133" spans="1:9" hidden="1" x14ac:dyDescent="0.2">
      <c r="A133" s="256" t="s">
        <v>346</v>
      </c>
      <c r="B133" s="339" t="s">
        <v>337</v>
      </c>
      <c r="C133" s="245">
        <f t="array" ref="C133">SUM(IF((Budget[Account Code]=B133),(Budget[Amount])))</f>
        <v>0</v>
      </c>
      <c r="D133" s="245">
        <f t="array" ref="D133">SUM(IF((Budget[Account Code]=B133)*(Budget[Date]&lt;=$D$7),(Budget[Amount])))</f>
        <v>0</v>
      </c>
      <c r="E133" s="245">
        <f t="array" ref="E133">((SUM(IF((CkDJ[Account Code]=(TRIM($B133)))*(CkDJ[Date]&lt;=$E$7),CkDJ[Debit])))+(SUM(IF((CsDJ[Account Code]=(TRIM($B133)))*(CsDJ[Date]&lt;=$E$7),CsDJ[Debit])))+(SUM(IF((CRDJ[Account Code]=(TRIM($B133)))*(CRDJ[Date]&lt;=$E$7),CRDJ[Debit])))+(SUM(IF((GJ[Account Code]=(TRIM($B133)))*(GJ[Date]&lt;=$E$7),GJ[Debit]))))-((SUM(IF((CkDJ[Account Code]=(TRIM($B133)))*(CkDJ[Date]&lt;=$E$7),CkDJ[Credit])))+(SUM(IF((CsDJ[Account Code]=(TRIM($B133)))*(CsDJ[Date]&lt;=$E$7),CsDJ[Credit])))+(SUM(IF((CRDJ[Account Code]=(TRIM($B133)))*(CRDJ[Date]&lt;=$E$7),CRDJ[Credit])))+(SUM(IF((GJ[Account Code]=(TRIM($B133)))*(GJ[Date]&lt;=$E$7),GJ[Credit]))))</f>
        <v>0</v>
      </c>
      <c r="F133" s="245">
        <f t="array" ref="F133">((SUM(IF((CkDJ[Date]=$A$3)*(CkDJ[Account Code]=(TRIM($B133))),CkDJ[Debit])))+(SUM(IF((CsDJ[Date]=$A$3)*(CsDJ[Account Code]=(TRIM($B133))),CsDJ[Debit])))+(SUM(IF((CRDJ[Date]=$A$3)*(CRDJ[Account Code]=(TRIM($B133))),CRDJ[Debit])))+(SUM(IF((GJ[Date]=$A$3)*(GJ[Account Code]=(TRIM($B133))),GJ[Debit]))))-((SUM(IF((CkDJ[Date]=$A$3)*(CkDJ[Account Code]=(TRIM($B133))),CkDJ[Credit])))+(SUM(IF((CsDJ[Date]=$A$3)*(CsDJ[Account Code]=(TRIM($B133))),CsDJ[Credit])))+(SUM(IF((CRDJ[Date]=$A$3)*(CRDJ[Account Code]=(TRIM($B133))),CRDJ[Credit])))+(SUM(IF((GJ[Date]=$A$3)*(GJ[Account Code]=(TRIM($B133))),GJ[Credit]))))</f>
        <v>0</v>
      </c>
      <c r="G133" s="343">
        <f t="shared" si="9"/>
        <v>0</v>
      </c>
      <c r="H133" s="246">
        <f t="shared" si="10"/>
        <v>0</v>
      </c>
      <c r="I133" s="246">
        <f t="shared" si="11"/>
        <v>0</v>
      </c>
    </row>
    <row r="134" spans="1:9" hidden="1" x14ac:dyDescent="0.2">
      <c r="A134" s="256" t="s">
        <v>1030</v>
      </c>
      <c r="B134" s="339" t="s">
        <v>986</v>
      </c>
      <c r="C134" s="245">
        <f t="array" ref="C134">SUM(IF((Budget[Account Code]=B134),(Budget[Amount])))</f>
        <v>0</v>
      </c>
      <c r="D134" s="245">
        <f t="array" ref="D134">SUM(IF((Budget[Account Code]=B134)*(Budget[Date]&lt;=$D$7),(Budget[Amount])))</f>
        <v>0</v>
      </c>
      <c r="E134" s="245">
        <f t="array" ref="E134">((SUM(IF((CkDJ[Account Code]=(TRIM($B134)))*(CkDJ[Date]&lt;=$E$7),CkDJ[Debit])))+(SUM(IF((CsDJ[Account Code]=(TRIM($B134)))*(CsDJ[Date]&lt;=$E$7),CsDJ[Debit])))+(SUM(IF((CRDJ[Account Code]=(TRIM($B134)))*(CRDJ[Date]&lt;=$E$7),CRDJ[Debit])))+(SUM(IF((GJ[Account Code]=(TRIM($B134)))*(GJ[Date]&lt;=$E$7),GJ[Debit]))))-((SUM(IF((CkDJ[Account Code]=(TRIM($B134)))*(CkDJ[Date]&lt;=$E$7),CkDJ[Credit])))+(SUM(IF((CsDJ[Account Code]=(TRIM($B134)))*(CsDJ[Date]&lt;=$E$7),CsDJ[Credit])))+(SUM(IF((CRDJ[Account Code]=(TRIM($B134)))*(CRDJ[Date]&lt;=$E$7),CRDJ[Credit])))+(SUM(IF((GJ[Account Code]=(TRIM($B134)))*(GJ[Date]&lt;=$E$7),GJ[Credit]))))</f>
        <v>0</v>
      </c>
      <c r="F134" s="245">
        <f t="array" ref="F134">((SUM(IF((CkDJ[Date]=$A$3)*(CkDJ[Account Code]=(TRIM($B134))),CkDJ[Debit])))+(SUM(IF((CsDJ[Date]=$A$3)*(CsDJ[Account Code]=(TRIM($B134))),CsDJ[Debit])))+(SUM(IF((CRDJ[Date]=$A$3)*(CRDJ[Account Code]=(TRIM($B134))),CRDJ[Debit])))+(SUM(IF((GJ[Date]=$A$3)*(GJ[Account Code]=(TRIM($B134))),GJ[Debit]))))-((SUM(IF((CkDJ[Date]=$A$3)*(CkDJ[Account Code]=(TRIM($B134))),CkDJ[Credit])))+(SUM(IF((CsDJ[Date]=$A$3)*(CsDJ[Account Code]=(TRIM($B134))),CsDJ[Credit])))+(SUM(IF((CRDJ[Date]=$A$3)*(CRDJ[Account Code]=(TRIM($B134))),CRDJ[Credit])))+(SUM(IF((GJ[Date]=$A$3)*(GJ[Account Code]=(TRIM($B134))),GJ[Credit]))))</f>
        <v>0</v>
      </c>
      <c r="G134" s="343">
        <f t="shared" si="9"/>
        <v>0</v>
      </c>
      <c r="H134" s="246">
        <f t="shared" si="10"/>
        <v>0</v>
      </c>
      <c r="I134" s="246">
        <f t="shared" si="11"/>
        <v>0</v>
      </c>
    </row>
    <row r="135" spans="1:9" hidden="1" x14ac:dyDescent="0.2">
      <c r="A135" s="256" t="s">
        <v>1029</v>
      </c>
      <c r="B135" s="339" t="s">
        <v>987</v>
      </c>
      <c r="C135" s="245">
        <f t="array" ref="C135">SUM(IF((Budget[Account Code]=B135),(Budget[Amount])))</f>
        <v>0</v>
      </c>
      <c r="D135" s="245">
        <f t="array" ref="D135">SUM(IF((Budget[Account Code]=B135)*(Budget[Date]&lt;=$D$7),(Budget[Amount])))</f>
        <v>0</v>
      </c>
      <c r="E135" s="245">
        <f t="array" ref="E135">((SUM(IF((CkDJ[Account Code]=(TRIM($B135)))*(CkDJ[Date]&lt;=$E$7),CkDJ[Debit])))+(SUM(IF((CsDJ[Account Code]=(TRIM($B135)))*(CsDJ[Date]&lt;=$E$7),CsDJ[Debit])))+(SUM(IF((CRDJ[Account Code]=(TRIM($B135)))*(CRDJ[Date]&lt;=$E$7),CRDJ[Debit])))+(SUM(IF((GJ[Account Code]=(TRIM($B135)))*(GJ[Date]&lt;=$E$7),GJ[Debit]))))-((SUM(IF((CkDJ[Account Code]=(TRIM($B135)))*(CkDJ[Date]&lt;=$E$7),CkDJ[Credit])))+(SUM(IF((CsDJ[Account Code]=(TRIM($B135)))*(CsDJ[Date]&lt;=$E$7),CsDJ[Credit])))+(SUM(IF((CRDJ[Account Code]=(TRIM($B135)))*(CRDJ[Date]&lt;=$E$7),CRDJ[Credit])))+(SUM(IF((GJ[Account Code]=(TRIM($B135)))*(GJ[Date]&lt;=$E$7),GJ[Credit]))))</f>
        <v>0</v>
      </c>
      <c r="F135" s="245">
        <f t="array" ref="F135">((SUM(IF((CkDJ[Date]=$A$3)*(CkDJ[Account Code]=(TRIM($B135))),CkDJ[Debit])))+(SUM(IF((CsDJ[Date]=$A$3)*(CsDJ[Account Code]=(TRIM($B135))),CsDJ[Debit])))+(SUM(IF((CRDJ[Date]=$A$3)*(CRDJ[Account Code]=(TRIM($B135))),CRDJ[Debit])))+(SUM(IF((GJ[Date]=$A$3)*(GJ[Account Code]=(TRIM($B135))),GJ[Debit]))))-((SUM(IF((CkDJ[Date]=$A$3)*(CkDJ[Account Code]=(TRIM($B135))),CkDJ[Credit])))+(SUM(IF((CsDJ[Date]=$A$3)*(CsDJ[Account Code]=(TRIM($B135))),CsDJ[Credit])))+(SUM(IF((CRDJ[Date]=$A$3)*(CRDJ[Account Code]=(TRIM($B135))),CRDJ[Credit])))+(SUM(IF((GJ[Date]=$A$3)*(GJ[Account Code]=(TRIM($B135))),GJ[Credit]))))</f>
        <v>0</v>
      </c>
      <c r="G135" s="343">
        <f t="shared" si="9"/>
        <v>0</v>
      </c>
      <c r="H135" s="246">
        <f t="shared" si="10"/>
        <v>0</v>
      </c>
      <c r="I135" s="246">
        <f t="shared" si="11"/>
        <v>0</v>
      </c>
    </row>
    <row r="136" spans="1:9" hidden="1" x14ac:dyDescent="0.2">
      <c r="A136" s="256" t="s">
        <v>990</v>
      </c>
      <c r="B136" s="339" t="s">
        <v>988</v>
      </c>
      <c r="C136" s="245">
        <f t="array" ref="C136">SUM(IF((Budget[Account Code]=B136),(Budget[Amount])))</f>
        <v>0</v>
      </c>
      <c r="D136" s="245">
        <f t="array" ref="D136">SUM(IF((Budget[Account Code]=B136)*(Budget[Date]&lt;=$D$7),(Budget[Amount])))</f>
        <v>0</v>
      </c>
      <c r="E136" s="245">
        <f t="array" ref="E136">((SUM(IF((CkDJ[Account Code]=(TRIM($B136)))*(CkDJ[Date]&lt;=$E$7),CkDJ[Debit])))+(SUM(IF((CsDJ[Account Code]=(TRIM($B136)))*(CsDJ[Date]&lt;=$E$7),CsDJ[Debit])))+(SUM(IF((CRDJ[Account Code]=(TRIM($B136)))*(CRDJ[Date]&lt;=$E$7),CRDJ[Debit])))+(SUM(IF((GJ[Account Code]=(TRIM($B136)))*(GJ[Date]&lt;=$E$7),GJ[Debit]))))-((SUM(IF((CkDJ[Account Code]=(TRIM($B136)))*(CkDJ[Date]&lt;=$E$7),CkDJ[Credit])))+(SUM(IF((CsDJ[Account Code]=(TRIM($B136)))*(CsDJ[Date]&lt;=$E$7),CsDJ[Credit])))+(SUM(IF((CRDJ[Account Code]=(TRIM($B136)))*(CRDJ[Date]&lt;=$E$7),CRDJ[Credit])))+(SUM(IF((GJ[Account Code]=(TRIM($B136)))*(GJ[Date]&lt;=$E$7),GJ[Credit]))))</f>
        <v>0</v>
      </c>
      <c r="F136" s="245">
        <f t="array" ref="F136">((SUM(IF((CkDJ[Date]=$A$3)*(CkDJ[Account Code]=(TRIM($B136))),CkDJ[Debit])))+(SUM(IF((CsDJ[Date]=$A$3)*(CsDJ[Account Code]=(TRIM($B136))),CsDJ[Debit])))+(SUM(IF((CRDJ[Date]=$A$3)*(CRDJ[Account Code]=(TRIM($B136))),CRDJ[Debit])))+(SUM(IF((GJ[Date]=$A$3)*(GJ[Account Code]=(TRIM($B136))),GJ[Debit]))))-((SUM(IF((CkDJ[Date]=$A$3)*(CkDJ[Account Code]=(TRIM($B136))),CkDJ[Credit])))+(SUM(IF((CsDJ[Date]=$A$3)*(CsDJ[Account Code]=(TRIM($B136))),CsDJ[Credit])))+(SUM(IF((CRDJ[Date]=$A$3)*(CRDJ[Account Code]=(TRIM($B136))),CRDJ[Credit])))+(SUM(IF((GJ[Date]=$A$3)*(GJ[Account Code]=(TRIM($B136))),GJ[Credit]))))</f>
        <v>0</v>
      </c>
      <c r="G136" s="343">
        <f t="shared" si="9"/>
        <v>0</v>
      </c>
      <c r="H136" s="246">
        <f t="shared" si="10"/>
        <v>0</v>
      </c>
      <c r="I136" s="246">
        <f t="shared" si="11"/>
        <v>0</v>
      </c>
    </row>
    <row r="137" spans="1:9" hidden="1" x14ac:dyDescent="0.2">
      <c r="A137" s="256" t="s">
        <v>349</v>
      </c>
      <c r="B137" s="339" t="s">
        <v>340</v>
      </c>
      <c r="C137" s="245">
        <f t="array" ref="C137">SUM(IF((Budget[Account Code]=B137),(Budget[Amount])))</f>
        <v>0</v>
      </c>
      <c r="D137" s="245">
        <f t="array" ref="D137">SUM(IF((Budget[Account Code]=B137)*(Budget[Date]&lt;=$D$7),(Budget[Amount])))</f>
        <v>0</v>
      </c>
      <c r="E137" s="245">
        <f t="array" ref="E137">((SUM(IF((CkDJ[Account Code]=(TRIM($B137)))*(CkDJ[Date]&lt;=$E$7),CkDJ[Debit])))+(SUM(IF((CsDJ[Account Code]=(TRIM($B137)))*(CsDJ[Date]&lt;=$E$7),CsDJ[Debit])))+(SUM(IF((CRDJ[Account Code]=(TRIM($B137)))*(CRDJ[Date]&lt;=$E$7),CRDJ[Debit])))+(SUM(IF((GJ[Account Code]=(TRIM($B137)))*(GJ[Date]&lt;=$E$7),GJ[Debit]))))-((SUM(IF((CkDJ[Account Code]=(TRIM($B137)))*(CkDJ[Date]&lt;=$E$7),CkDJ[Credit])))+(SUM(IF((CsDJ[Account Code]=(TRIM($B137)))*(CsDJ[Date]&lt;=$E$7),CsDJ[Credit])))+(SUM(IF((CRDJ[Account Code]=(TRIM($B137)))*(CRDJ[Date]&lt;=$E$7),CRDJ[Credit])))+(SUM(IF((GJ[Account Code]=(TRIM($B137)))*(GJ[Date]&lt;=$E$7),GJ[Credit]))))</f>
        <v>0</v>
      </c>
      <c r="F137" s="245">
        <f t="array" ref="F137">((SUM(IF((CkDJ[Date]=$A$3)*(CkDJ[Account Code]=(TRIM($B137))),CkDJ[Debit])))+(SUM(IF((CsDJ[Date]=$A$3)*(CsDJ[Account Code]=(TRIM($B137))),CsDJ[Debit])))+(SUM(IF((CRDJ[Date]=$A$3)*(CRDJ[Account Code]=(TRIM($B137))),CRDJ[Debit])))+(SUM(IF((GJ[Date]=$A$3)*(GJ[Account Code]=(TRIM($B137))),GJ[Debit]))))-((SUM(IF((CkDJ[Date]=$A$3)*(CkDJ[Account Code]=(TRIM($B137))),CkDJ[Credit])))+(SUM(IF((CsDJ[Date]=$A$3)*(CsDJ[Account Code]=(TRIM($B137))),CsDJ[Credit])))+(SUM(IF((CRDJ[Date]=$A$3)*(CRDJ[Account Code]=(TRIM($B137))),CRDJ[Credit])))+(SUM(IF((GJ[Date]=$A$3)*(GJ[Account Code]=(TRIM($B137))),GJ[Credit]))))</f>
        <v>0</v>
      </c>
      <c r="G137" s="343">
        <f t="shared" si="9"/>
        <v>0</v>
      </c>
      <c r="H137" s="246">
        <f t="shared" si="10"/>
        <v>0</v>
      </c>
      <c r="I137" s="246">
        <f t="shared" si="11"/>
        <v>0</v>
      </c>
    </row>
    <row r="138" spans="1:9" x14ac:dyDescent="0.2">
      <c r="A138" s="255" t="s">
        <v>805</v>
      </c>
      <c r="B138" s="337"/>
      <c r="C138" s="245"/>
      <c r="D138" s="245"/>
      <c r="E138" s="246"/>
      <c r="F138" s="245"/>
      <c r="G138" s="246"/>
      <c r="H138" s="246">
        <f t="shared" si="10"/>
        <v>0</v>
      </c>
      <c r="I138" s="246">
        <f t="shared" si="11"/>
        <v>0</v>
      </c>
    </row>
    <row r="139" spans="1:9" x14ac:dyDescent="0.2">
      <c r="A139" s="253" t="s">
        <v>808</v>
      </c>
      <c r="B139" s="337"/>
      <c r="C139" s="242">
        <f>SUM(C140:C143)</f>
        <v>16075438.51</v>
      </c>
      <c r="D139" s="242">
        <f>SUM(D140:D143)</f>
        <v>16075438.51</v>
      </c>
      <c r="E139" s="242">
        <f>SUM(E140:E143)</f>
        <v>0</v>
      </c>
      <c r="F139" s="242">
        <f>SUM(F140:F143)</f>
        <v>0</v>
      </c>
      <c r="G139" s="242">
        <f>SUM(G140:G143)</f>
        <v>0</v>
      </c>
      <c r="H139" s="242">
        <f t="shared" si="10"/>
        <v>-16075438.51</v>
      </c>
      <c r="I139" s="242">
        <f t="shared" si="11"/>
        <v>0</v>
      </c>
    </row>
    <row r="140" spans="1:9" hidden="1" x14ac:dyDescent="0.2">
      <c r="A140" s="256" t="s">
        <v>342</v>
      </c>
      <c r="B140" s="339" t="s">
        <v>333</v>
      </c>
      <c r="C140" s="245">
        <f t="array" ref="C140">SUM(IF((Budget[Account Code]=B140),(Budget[Amount])))</f>
        <v>16075438.51</v>
      </c>
      <c r="D140" s="245">
        <f t="array" ref="D140">SUM(IF((Budget[Account Code]=B140)*(Budget[Date]&lt;=$D$7),(Budget[Amount])))</f>
        <v>16075438.51</v>
      </c>
      <c r="E140" s="245">
        <f t="array" ref="E140">((SUM(IF((CkDJ[Account Code]=(TRIM($B140)))*(CkDJ[Date]&lt;=$E$7),CkDJ[Debit])))+(SUM(IF((CsDJ[Account Code]=(TRIM($B140)))*(CsDJ[Date]&lt;=$E$7),CsDJ[Debit])))+(SUM(IF((CRDJ[Account Code]=(TRIM($B140)))*(CRDJ[Date]&lt;=$E$7),CRDJ[Debit])))+(SUM(IF((GJ[Account Code]=(TRIM($B140)))*(GJ[Date]&lt;=$E$7),GJ[Debit]))))-((SUM(IF((CkDJ[Account Code]=(TRIM($B140)))*(CkDJ[Date]&lt;=$E$7),CkDJ[Credit])))+(SUM(IF((CsDJ[Account Code]=(TRIM($B140)))*(CsDJ[Date]&lt;=$E$7),CsDJ[Credit])))+(SUM(IF((CRDJ[Account Code]=(TRIM($B140)))*(CRDJ[Date]&lt;=$E$7),CRDJ[Credit])))+(SUM(IF((GJ[Account Code]=(TRIM($B140)))*(GJ[Date]&lt;=$E$7),GJ[Credit]))))</f>
        <v>0</v>
      </c>
      <c r="F140" s="245">
        <f t="array" ref="F140">((SUM(IF((CkDJ[Date]=$A$3)*(CkDJ[Account Code]=(TRIM($B140))),CkDJ[Debit])))+(SUM(IF((CsDJ[Date]=$A$3)*(CsDJ[Account Code]=(TRIM($B140))),CsDJ[Debit])))+(SUM(IF((CRDJ[Date]=$A$3)*(CRDJ[Account Code]=(TRIM($B140))),CRDJ[Debit])))+(SUM(IF((GJ[Date]=$A$3)*(GJ[Account Code]=(TRIM($B140))),GJ[Debit]))))-((SUM(IF((CkDJ[Date]=$A$3)*(CkDJ[Account Code]=(TRIM($B140))),CkDJ[Credit])))+(SUM(IF((CsDJ[Date]=$A$3)*(CsDJ[Account Code]=(TRIM($B140))),CsDJ[Credit])))+(SUM(IF((CRDJ[Date]=$A$3)*(CRDJ[Account Code]=(TRIM($B140))),CRDJ[Credit])))+(SUM(IF((GJ[Date]=$A$3)*(GJ[Account Code]=(TRIM($B140))),GJ[Credit]))))</f>
        <v>0</v>
      </c>
      <c r="G140" s="343">
        <f>E140+F140</f>
        <v>0</v>
      </c>
      <c r="H140" s="246">
        <f t="shared" si="10"/>
        <v>-16075438.51</v>
      </c>
      <c r="I140" s="246">
        <f t="shared" si="11"/>
        <v>0</v>
      </c>
    </row>
    <row r="141" spans="1:9" hidden="1" x14ac:dyDescent="0.2">
      <c r="A141" s="256" t="s">
        <v>1031</v>
      </c>
      <c r="B141" s="339" t="s">
        <v>992</v>
      </c>
      <c r="C141" s="245">
        <f t="array" ref="C141">SUM(IF((Budget[Account Code]=B141),(Budget[Amount])))</f>
        <v>0</v>
      </c>
      <c r="D141" s="245">
        <f t="array" ref="D141">SUM(IF((Budget[Account Code]=B141)*(Budget[Date]&lt;=$D$7),(Budget[Amount])))</f>
        <v>0</v>
      </c>
      <c r="E141" s="245">
        <f t="array" ref="E141">((SUM(IF((CkDJ[Account Code]=(TRIM($B141)))*(CkDJ[Date]&lt;=$E$7),CkDJ[Debit])))+(SUM(IF((CsDJ[Account Code]=(TRIM($B141)))*(CsDJ[Date]&lt;=$E$7),CsDJ[Debit])))+(SUM(IF((CRDJ[Account Code]=(TRIM($B141)))*(CRDJ[Date]&lt;=$E$7),CRDJ[Debit])))+(SUM(IF((GJ[Account Code]=(TRIM($B141)))*(GJ[Date]&lt;=$E$7),GJ[Debit]))))-((SUM(IF((CkDJ[Account Code]=(TRIM($B141)))*(CkDJ[Date]&lt;=$E$7),CkDJ[Credit])))+(SUM(IF((CsDJ[Account Code]=(TRIM($B141)))*(CsDJ[Date]&lt;=$E$7),CsDJ[Credit])))+(SUM(IF((CRDJ[Account Code]=(TRIM($B141)))*(CRDJ[Date]&lt;=$E$7),CRDJ[Credit])))+(SUM(IF((GJ[Account Code]=(TRIM($B141)))*(GJ[Date]&lt;=$E$7),GJ[Credit]))))</f>
        <v>0</v>
      </c>
      <c r="F141" s="245">
        <f t="array" ref="F141">((SUM(IF((CkDJ[Date]=$A$3)*(CkDJ[Account Code]=(TRIM($B141))),CkDJ[Debit])))+(SUM(IF((CsDJ[Date]=$A$3)*(CsDJ[Account Code]=(TRIM($B141))),CsDJ[Debit])))+(SUM(IF((CRDJ[Date]=$A$3)*(CRDJ[Account Code]=(TRIM($B141))),CRDJ[Debit])))+(SUM(IF((GJ[Date]=$A$3)*(GJ[Account Code]=(TRIM($B141))),GJ[Debit]))))-((SUM(IF((CkDJ[Date]=$A$3)*(CkDJ[Account Code]=(TRIM($B141))),CkDJ[Credit])))+(SUM(IF((CsDJ[Date]=$A$3)*(CsDJ[Account Code]=(TRIM($B141))),CsDJ[Credit])))+(SUM(IF((CRDJ[Date]=$A$3)*(CRDJ[Account Code]=(TRIM($B141))),CRDJ[Credit])))+(SUM(IF((GJ[Date]=$A$3)*(GJ[Account Code]=(TRIM($B141))),GJ[Credit]))))</f>
        <v>0</v>
      </c>
      <c r="G141" s="343">
        <f>E141+F141</f>
        <v>0</v>
      </c>
      <c r="H141" s="246">
        <f t="shared" si="10"/>
        <v>0</v>
      </c>
      <c r="I141" s="246">
        <f t="shared" si="11"/>
        <v>0</v>
      </c>
    </row>
    <row r="142" spans="1:9" hidden="1" x14ac:dyDescent="0.2">
      <c r="A142" s="256" t="s">
        <v>1032</v>
      </c>
      <c r="B142" s="339" t="s">
        <v>993</v>
      </c>
      <c r="C142" s="245">
        <f t="array" ref="C142">SUM(IF((Budget[Account Code]=B142),(Budget[Amount])))</f>
        <v>0</v>
      </c>
      <c r="D142" s="245">
        <f t="array" ref="D142">SUM(IF((Budget[Account Code]=B142)*(Budget[Date]&lt;=$D$7),(Budget[Amount])))</f>
        <v>0</v>
      </c>
      <c r="E142" s="245">
        <f t="array" ref="E142">((SUM(IF((CkDJ[Account Code]=(TRIM($B142)))*(CkDJ[Date]&lt;=$E$7),CkDJ[Debit])))+(SUM(IF((CsDJ[Account Code]=(TRIM($B142)))*(CsDJ[Date]&lt;=$E$7),CsDJ[Debit])))+(SUM(IF((CRDJ[Account Code]=(TRIM($B142)))*(CRDJ[Date]&lt;=$E$7),CRDJ[Debit])))+(SUM(IF((GJ[Account Code]=(TRIM($B142)))*(GJ[Date]&lt;=$E$7),GJ[Debit]))))-((SUM(IF((CkDJ[Account Code]=(TRIM($B142)))*(CkDJ[Date]&lt;=$E$7),CkDJ[Credit])))+(SUM(IF((CsDJ[Account Code]=(TRIM($B142)))*(CsDJ[Date]&lt;=$E$7),CsDJ[Credit])))+(SUM(IF((CRDJ[Account Code]=(TRIM($B142)))*(CRDJ[Date]&lt;=$E$7),CRDJ[Credit])))+(SUM(IF((GJ[Account Code]=(TRIM($B142)))*(GJ[Date]&lt;=$E$7),GJ[Credit]))))</f>
        <v>0</v>
      </c>
      <c r="F142" s="245">
        <f t="array" ref="F142">((SUM(IF((CkDJ[Date]=$A$3)*(CkDJ[Account Code]=(TRIM($B142))),CkDJ[Debit])))+(SUM(IF((CsDJ[Date]=$A$3)*(CsDJ[Account Code]=(TRIM($B142))),CsDJ[Debit])))+(SUM(IF((CRDJ[Date]=$A$3)*(CRDJ[Account Code]=(TRIM($B142))),CRDJ[Debit])))+(SUM(IF((GJ[Date]=$A$3)*(GJ[Account Code]=(TRIM($B142))),GJ[Debit]))))-((SUM(IF((CkDJ[Date]=$A$3)*(CkDJ[Account Code]=(TRIM($B142))),CkDJ[Credit])))+(SUM(IF((CsDJ[Date]=$A$3)*(CsDJ[Account Code]=(TRIM($B142))),CsDJ[Credit])))+(SUM(IF((CRDJ[Date]=$A$3)*(CRDJ[Account Code]=(TRIM($B142))),CRDJ[Credit])))+(SUM(IF((GJ[Date]=$A$3)*(GJ[Account Code]=(TRIM($B142))),GJ[Credit]))))</f>
        <v>0</v>
      </c>
      <c r="G142" s="343">
        <f>E142+F142</f>
        <v>0</v>
      </c>
      <c r="H142" s="246">
        <f t="shared" si="10"/>
        <v>0</v>
      </c>
      <c r="I142" s="246">
        <f t="shared" si="11"/>
        <v>0</v>
      </c>
    </row>
    <row r="143" spans="1:9" hidden="1" x14ac:dyDescent="0.2">
      <c r="A143" s="253"/>
      <c r="B143" s="337" t="s">
        <v>799</v>
      </c>
      <c r="C143" s="245">
        <f t="array" ref="C143">SUM(IF((Budget[Account Code]=B143)*(Budget[Ofc Code]=$G$4),(Budget[Amount])))</f>
        <v>0</v>
      </c>
      <c r="D143" s="245">
        <f t="array" ref="D143">SUM(IF((Budget[Account Code]=B143)*(Budget[Ofc Code]=$G$4)*(Budget[Date]&lt;=$D$7),(Budget[Amount])))</f>
        <v>0</v>
      </c>
      <c r="E143" s="246">
        <f>G143-F143</f>
        <v>0</v>
      </c>
      <c r="F143" s="245">
        <f t="array" ref="F143">(SUM(IF((CkDJ[Date]=$A$3)*(CkDJ[Ofc Code]=(TRIM(G$4)))*(CkDJ[Account Code]=(TRIM($B143))),CkDJ[Debit])))+(SUM(IF((CsDJ[Date]=$A$3)*(CsDJ[Ofc Code]=(TRIM(G$4)))*(CsDJ[Account Code]=(TRIM($B143))),CsDJ[Debit])))+(SUM(IF((CRDJ[Date]=$A$3)*(CRDJ[Ofc Code]=(TRIM(G$4)))*(CRDJ[Account Code]=(TRIM($B143))),CRDJ[Debit])))+(SUM(IF((GJ[Date]=$A$3)*(GJ[Ofc Code]=(TRIM(G$4)))*(GJ[Account Code]=(TRIM($B143))),GJ[Debit])))-(SUM(IF((CkDJ[Date]=$A$3)*(CkDJ[Ofc Code]=(TRIM(G$4)))*(CkDJ[Account Code]=(TRIM($B143))),CkDJ[Credit])))+(SUM(IF((CsDJ[Date]=$A$3)*(CsDJ[Ofc Code]=(TRIM(G$4)))*(CsDJ[Account Code]=(TRIM($B143))),CsDJ[Credit])))+(SUM(IF((CRDJ[Date]=$A$3)*(CRDJ[Ofc Code]=(TRIM(G$4)))*(CRDJ[Account Code]=(TRIM($B143))),CRDJ[Credit])))+(SUM(IF((GJ[Date]=$A$3)*(GJ[Ofc Code]=(TRIM(G$4)))*(GJ[Account Code]=(TRIM($B143))),GJ[Credit])))</f>
        <v>0</v>
      </c>
      <c r="G143" s="246">
        <f t="array" ref="G143">((SUM(IF((CkDJ[Ofc Code]=(TRIM(G$4)))*(CkDJ[Account Code]=(TRIM($B143))),CkDJ[Debit])))+(SUM(IF((CsDJ[Ofc Code]=(TRIM(G$4)))*(CsDJ[Account Code]=(TRIM($B143))),CsDJ[Debit])))+(SUM(IF((CRDJ[Ofc Code]=(TRIM(G$4)))*(CRDJ[Account Code]=(TRIM($B143))),CRDJ[Debit])))+(SUM(IF((GJ[Ofc Code]=(TRIM(G$4)))*(GJ[Account Code]=(TRIM($B143))),GJ[Debit]))))-((SUM(IF((CkDJ[Ofc Code]=(TRIM(G$4)))*(CkDJ[Account Code]=(TRIM($B143))),CkDJ[Credit])))+(SUM(IF((CsDJ[Ofc Code]=(TRIM(G$4)))*(CsDJ[Account Code]=(TRIM($B143))),CsDJ[Credit])))+(SUM(IF((CRDJ[Ofc Code]=(TRIM(G$4)))*(CRDJ[Account Code]=(TRIM($B143))),CRDJ[Credit])))+(SUM(IF((GJ[Ofc Code]=(TRIM(G$4)))*(GJ[Account Code]=(TRIM($B143))),GJ[Credit]))))</f>
        <v>0</v>
      </c>
      <c r="H143" s="246">
        <f t="shared" si="10"/>
        <v>0</v>
      </c>
      <c r="I143" s="246">
        <f t="shared" si="11"/>
        <v>0</v>
      </c>
    </row>
    <row r="144" spans="1:9" x14ac:dyDescent="0.2">
      <c r="A144" s="239" t="s">
        <v>807</v>
      </c>
      <c r="B144" s="337"/>
      <c r="C144" s="252">
        <f>C145+C146</f>
        <v>15000000</v>
      </c>
      <c r="D144" s="252">
        <f>D145+D146</f>
        <v>15000000</v>
      </c>
      <c r="E144" s="252">
        <f>E145+E146</f>
        <v>0</v>
      </c>
      <c r="F144" s="252">
        <f>F145+F146</f>
        <v>0</v>
      </c>
      <c r="G144" s="252">
        <f>G145+G146</f>
        <v>0</v>
      </c>
      <c r="H144" s="242">
        <f t="shared" si="10"/>
        <v>-15000000</v>
      </c>
      <c r="I144" s="242">
        <f t="shared" si="11"/>
        <v>0</v>
      </c>
    </row>
    <row r="145" spans="1:9" x14ac:dyDescent="0.2">
      <c r="A145" s="243" t="s">
        <v>806</v>
      </c>
      <c r="B145" s="339" t="s">
        <v>991</v>
      </c>
      <c r="C145" s="245">
        <f t="array" ref="C145">SUM(IF((Budget[Account Code]=B145),(Budget[Amount])))</f>
        <v>15000000</v>
      </c>
      <c r="D145" s="245">
        <f t="array" ref="D145">SUM(IF((Budget[Account Code]=B145)*(Budget[Date]&lt;=$D$7),(Budget[Amount])))</f>
        <v>15000000</v>
      </c>
      <c r="E145" s="245">
        <f t="array" ref="E145">((SUM(IF((CkDJ[Account Code]=(TRIM($B145)))*(CkDJ[Date]&lt;=$E$7),CkDJ[Debit])))+(SUM(IF((CsDJ[Account Code]=(TRIM($B145)))*(CsDJ[Date]&lt;=$E$7),CsDJ[Debit])))+(SUM(IF((CRDJ[Account Code]=(TRIM($B145)))*(CRDJ[Date]&lt;=$E$7),CRDJ[Debit])))+(SUM(IF((GJ[Account Code]=(TRIM($B145)))*(GJ[Date]&lt;=$E$7),GJ[Debit]))))-((SUM(IF((CkDJ[Account Code]=(TRIM($B145)))*(CkDJ[Date]&lt;=$E$7),CkDJ[Credit])))+(SUM(IF((CsDJ[Account Code]=(TRIM($B145)))*(CsDJ[Date]&lt;=$E$7),CsDJ[Credit])))+(SUM(IF((CRDJ[Account Code]=(TRIM($B145)))*(CRDJ[Date]&lt;=$E$7),CRDJ[Credit])))+(SUM(IF((GJ[Account Code]=(TRIM($B145)))*(GJ[Date]&lt;=$E$7),GJ[Credit]))))</f>
        <v>0</v>
      </c>
      <c r="F145" s="245">
        <f t="array" ref="F145">((SUM(IF((CkDJ[Date]=$A$3)*(CkDJ[Account Code]=(TRIM($B145))),CkDJ[Debit])))+(SUM(IF((CsDJ[Date]=$A$3)*(CsDJ[Account Code]=(TRIM($B145))),CsDJ[Debit])))+(SUM(IF((CRDJ[Date]=$A$3)*(CRDJ[Account Code]=(TRIM($B145))),CRDJ[Debit])))+(SUM(IF((GJ[Date]=$A$3)*(GJ[Account Code]=(TRIM($B145))),GJ[Debit]))))-((SUM(IF((CkDJ[Date]=$A$3)*(CkDJ[Account Code]=(TRIM($B145))),CkDJ[Credit])))+(SUM(IF((CsDJ[Date]=$A$3)*(CsDJ[Account Code]=(TRIM($B145))),CsDJ[Credit])))+(SUM(IF((CRDJ[Date]=$A$3)*(CRDJ[Account Code]=(TRIM($B145))),CRDJ[Credit])))+(SUM(IF((GJ[Date]=$A$3)*(GJ[Account Code]=(TRIM($B145))),GJ[Credit]))))</f>
        <v>0</v>
      </c>
      <c r="G145" s="343">
        <f>E145+F145</f>
        <v>0</v>
      </c>
      <c r="H145" s="246">
        <f t="shared" si="10"/>
        <v>-15000000</v>
      </c>
      <c r="I145" s="246">
        <f t="shared" si="11"/>
        <v>0</v>
      </c>
    </row>
    <row r="146" spans="1:9" x14ac:dyDescent="0.2">
      <c r="A146" s="243" t="s">
        <v>805</v>
      </c>
      <c r="B146" s="337"/>
      <c r="C146" s="245"/>
      <c r="D146" s="245"/>
      <c r="E146" s="246"/>
      <c r="F146" s="245"/>
      <c r="G146" s="246"/>
      <c r="H146" s="246"/>
      <c r="I146" s="246"/>
    </row>
    <row r="147" spans="1:9" x14ac:dyDescent="0.2">
      <c r="A147" s="251" t="s">
        <v>804</v>
      </c>
      <c r="B147" s="338"/>
      <c r="C147" s="250">
        <f>C50+C76+C144</f>
        <v>174738084.91999999</v>
      </c>
      <c r="D147" s="250">
        <f>D50+D76+D144</f>
        <v>174738084.91999999</v>
      </c>
      <c r="E147" s="250">
        <f>E50+E76+E144</f>
        <v>0</v>
      </c>
      <c r="F147" s="250">
        <f>F50+F76+F144</f>
        <v>0</v>
      </c>
      <c r="G147" s="250">
        <f>G50+G76+G144</f>
        <v>0</v>
      </c>
      <c r="H147" s="250">
        <f t="shared" ref="H147:H153" si="12">G147-D147</f>
        <v>-174738084.91999999</v>
      </c>
      <c r="I147" s="250">
        <f t="shared" ref="I147:I153" si="13">IF((D147=0),0,G147/D147)</f>
        <v>0</v>
      </c>
    </row>
    <row r="148" spans="1:9" x14ac:dyDescent="0.2">
      <c r="A148" s="251" t="s">
        <v>785</v>
      </c>
      <c r="B148" s="338"/>
      <c r="C148" s="250">
        <f>C48-C147</f>
        <v>-133672006.86</v>
      </c>
      <c r="D148" s="250">
        <f>D48-D147</f>
        <v>-133672006.86</v>
      </c>
      <c r="E148" s="250">
        <f>E48-E147</f>
        <v>0</v>
      </c>
      <c r="F148" s="250">
        <f>F48-F147</f>
        <v>0</v>
      </c>
      <c r="G148" s="250">
        <f>G48-G147</f>
        <v>0</v>
      </c>
      <c r="H148" s="250">
        <f t="shared" si="12"/>
        <v>133672006.86</v>
      </c>
      <c r="I148" s="250">
        <f t="shared" si="13"/>
        <v>0</v>
      </c>
    </row>
    <row r="149" spans="1:9" x14ac:dyDescent="0.2">
      <c r="A149" s="251" t="s">
        <v>749</v>
      </c>
      <c r="B149" s="338"/>
      <c r="C149" s="250">
        <f>C48/C147</f>
        <v>0.24</v>
      </c>
      <c r="D149" s="250">
        <f>D48/D147</f>
        <v>0.24</v>
      </c>
      <c r="E149" s="250" t="e">
        <f>E48/E147</f>
        <v>#DIV/0!</v>
      </c>
      <c r="F149" s="250" t="e">
        <f>F48/F147</f>
        <v>#DIV/0!</v>
      </c>
      <c r="G149" s="250" t="e">
        <f>G48/G147</f>
        <v>#DIV/0!</v>
      </c>
      <c r="H149" s="250" t="e">
        <f t="shared" si="12"/>
        <v>#DIV/0!</v>
      </c>
      <c r="I149" s="250" t="e">
        <f t="shared" si="13"/>
        <v>#DIV/0!</v>
      </c>
    </row>
    <row r="150" spans="1:9" hidden="1" x14ac:dyDescent="0.2">
      <c r="A150" s="251" t="s">
        <v>803</v>
      </c>
      <c r="B150" s="338"/>
      <c r="C150" s="250"/>
      <c r="D150" s="250"/>
      <c r="E150" s="250"/>
      <c r="F150" s="250"/>
      <c r="G150" s="250"/>
      <c r="H150" s="250">
        <f t="shared" si="12"/>
        <v>0</v>
      </c>
      <c r="I150" s="250">
        <f t="shared" si="13"/>
        <v>0</v>
      </c>
    </row>
    <row r="151" spans="1:9" hidden="1" x14ac:dyDescent="0.2">
      <c r="A151" s="251" t="s">
        <v>802</v>
      </c>
      <c r="B151" s="338"/>
      <c r="C151" s="250"/>
      <c r="D151" s="250"/>
      <c r="E151" s="250"/>
      <c r="F151" s="250"/>
      <c r="G151" s="250"/>
      <c r="H151" s="250">
        <f t="shared" si="12"/>
        <v>0</v>
      </c>
      <c r="I151" s="250">
        <f t="shared" si="13"/>
        <v>0</v>
      </c>
    </row>
    <row r="152" spans="1:9" ht="15.75" customHeight="1" x14ac:dyDescent="0.2">
      <c r="A152" s="251" t="s">
        <v>785</v>
      </c>
      <c r="B152" s="338"/>
      <c r="C152" s="250">
        <f>C148+C150+C151</f>
        <v>-133672006.86</v>
      </c>
      <c r="D152" s="250">
        <f>D148+D150+D151</f>
        <v>-133672006.86</v>
      </c>
      <c r="E152" s="250">
        <f>E148+E150+E151</f>
        <v>0</v>
      </c>
      <c r="F152" s="250">
        <f>F148+F150+F151</f>
        <v>0</v>
      </c>
      <c r="G152" s="250">
        <f>G148+G150+G151</f>
        <v>0</v>
      </c>
      <c r="H152" s="250">
        <f t="shared" si="12"/>
        <v>133672006.86</v>
      </c>
      <c r="I152" s="250">
        <f t="shared" si="13"/>
        <v>0</v>
      </c>
    </row>
    <row r="153" spans="1:9" x14ac:dyDescent="0.2">
      <c r="A153" s="251" t="s">
        <v>749</v>
      </c>
      <c r="B153" s="338"/>
      <c r="C153" s="250">
        <f>C48/(C147-C150-C151)</f>
        <v>0.24</v>
      </c>
      <c r="D153" s="250">
        <f>D48/(D147-D150-D151)</f>
        <v>0.24</v>
      </c>
      <c r="E153" s="250" t="e">
        <f>E48/(E147-E150-E151)</f>
        <v>#DIV/0!</v>
      </c>
      <c r="F153" s="250" t="e">
        <f>F48/(F147-F150-F151)</f>
        <v>#DIV/0!</v>
      </c>
      <c r="G153" s="250" t="e">
        <f>G48/(G147-G150-G151)</f>
        <v>#DIV/0!</v>
      </c>
      <c r="H153" s="250" t="e">
        <f t="shared" si="12"/>
        <v>#DIV/0!</v>
      </c>
      <c r="I153" s="250" t="e">
        <f t="shared" si="13"/>
        <v>#DIV/0!</v>
      </c>
    </row>
    <row r="154" spans="1:9" x14ac:dyDescent="0.2">
      <c r="A154" s="257" t="s">
        <v>801</v>
      </c>
      <c r="B154" s="340"/>
      <c r="C154" s="271"/>
      <c r="D154" s="271"/>
      <c r="E154" s="271"/>
      <c r="F154" s="271"/>
      <c r="G154" s="263"/>
      <c r="H154" s="263"/>
      <c r="I154" s="263"/>
    </row>
    <row r="155" spans="1:9" x14ac:dyDescent="0.2">
      <c r="A155" s="253" t="s">
        <v>800</v>
      </c>
      <c r="B155" s="337" t="s">
        <v>799</v>
      </c>
      <c r="C155" s="245">
        <f t="array" ref="C155">SUM(IF((Budget[Account Code]=B155),(Budget[Amount])))</f>
        <v>0</v>
      </c>
      <c r="D155" s="245">
        <f t="array" ref="D155">SUM(IF((Budget[Account Code]=B155)*(Budget[Date]&lt;=$D$7),(Budget[Amount])))</f>
        <v>0</v>
      </c>
      <c r="E155" s="245">
        <f t="array" ref="E155">((SUM(IF((CkDJ[Account Code]=(TRIM($B155)))*(CkDJ[Date]&lt;=$E$7),CkDJ[Debit])))+(SUM(IF((CsDJ[Account Code]=(TRIM($B155)))*(CsDJ[Date]&lt;=$E$7),CsDJ[Debit])))+(SUM(IF((CRDJ[Account Code]=(TRIM($B155)))*(CRDJ[Date]&lt;=$E$7),CRDJ[Debit])))+(SUM(IF((GJ[Account Code]=(TRIM($B155)))*(GJ[Date]&lt;=$E$7),GJ[Debit]))))-((SUM(IF((CkDJ[Account Code]=(TRIM($B155)))*(CkDJ[Date]&lt;=$E$7),CkDJ[Credit])))+(SUM(IF((CsDJ[Account Code]=(TRIM($B155)))*(CsDJ[Date]&lt;=$E$7),CsDJ[Credit])))+(SUM(IF((CRDJ[Account Code]=(TRIM($B155)))*(CRDJ[Date]&lt;=$E$7),CRDJ[Credit])))+(SUM(IF((GJ[Account Code]=(TRIM($B155)))*(GJ[Date]&lt;=$E$7),GJ[Credit]))))</f>
        <v>0</v>
      </c>
      <c r="F155" s="245">
        <f t="array" ref="F155">((SUM(IF((CkDJ[Date]=$A$3)*(CkDJ[Account Code]=(TRIM($B155))),CkDJ[Debit])))+(SUM(IF((CsDJ[Date]=$A$3)*(CsDJ[Account Code]=(TRIM($B155))),CsDJ[Debit])))+(SUM(IF((CRDJ[Date]=$A$3)*(CRDJ[Account Code]=(TRIM($B155))),CRDJ[Debit])))+(SUM(IF((GJ[Date]=$A$3)*(GJ[Account Code]=(TRIM($B155))),GJ[Debit]))))-((SUM(IF((CkDJ[Date]=$A$3)*(CkDJ[Account Code]=(TRIM($B155))),CkDJ[Credit])))+(SUM(IF((CsDJ[Date]=$A$3)*(CsDJ[Account Code]=(TRIM($B155))),CsDJ[Credit])))+(SUM(IF((CRDJ[Date]=$A$3)*(CRDJ[Account Code]=(TRIM($B155))),CRDJ[Credit])))+(SUM(IF((GJ[Date]=$A$3)*(GJ[Account Code]=(TRIM($B155))),GJ[Credit]))))</f>
        <v>0</v>
      </c>
      <c r="G155" s="343">
        <f t="shared" ref="G155:G163" si="14">E155+F155</f>
        <v>0</v>
      </c>
      <c r="H155" s="246">
        <f t="shared" ref="H155:H171" si="15">G155-D155</f>
        <v>0</v>
      </c>
      <c r="I155" s="246">
        <f t="shared" ref="I155:I171" si="16">IF((D155=0),0,G155/D155)</f>
        <v>0</v>
      </c>
    </row>
    <row r="156" spans="1:9" x14ac:dyDescent="0.2">
      <c r="A156" s="253" t="s">
        <v>798</v>
      </c>
      <c r="B156" s="339" t="s">
        <v>170</v>
      </c>
      <c r="C156" s="245">
        <f t="array" ref="C156">SUM(IF((Budget[Account Code]=B156),(Budget[Amount])))</f>
        <v>2533347</v>
      </c>
      <c r="D156" s="245">
        <f t="array" ref="D156">SUM(IF((Budget[Account Code]=B156)*(Budget[Date]&lt;=$D$7),(Budget[Amount])))</f>
        <v>2533347</v>
      </c>
      <c r="E156" s="245">
        <f t="array" ref="E156">((SUM(IF((CkDJ[Account Code]=(TRIM($B156)))*(CkDJ[Date]&lt;=$E$7),CkDJ[Debit])))+(SUM(IF((CsDJ[Account Code]=(TRIM($B156)))*(CsDJ[Date]&lt;=$E$7),CsDJ[Debit])))+(SUM(IF((CRDJ[Account Code]=(TRIM($B156)))*(CRDJ[Date]&lt;=$E$7),CRDJ[Debit])))+(SUM(IF((GJ[Account Code]=(TRIM($B156)))*(GJ[Date]&lt;=$E$7),GJ[Debit]))))-((SUM(IF((CkDJ[Account Code]=(TRIM($B156)))*(CkDJ[Date]&lt;=$E$7),CkDJ[Credit])))+(SUM(IF((CsDJ[Account Code]=(TRIM($B156)))*(CsDJ[Date]&lt;=$E$7),CsDJ[Credit])))+(SUM(IF((CRDJ[Account Code]=(TRIM($B156)))*(CRDJ[Date]&lt;=$E$7),CRDJ[Credit])))+(SUM(IF((GJ[Account Code]=(TRIM($B156)))*(GJ[Date]&lt;=$E$7),GJ[Credit]))))</f>
        <v>0</v>
      </c>
      <c r="F156" s="245">
        <f t="array" ref="F156">((SUM(IF((CkDJ[Date]=$A$3)*(CkDJ[Account Code]=(TRIM($B156))),CkDJ[Debit])))+(SUM(IF((CsDJ[Date]=$A$3)*(CsDJ[Account Code]=(TRIM($B156))),CsDJ[Debit])))+(SUM(IF((CRDJ[Date]=$A$3)*(CRDJ[Account Code]=(TRIM($B156))),CRDJ[Debit])))+(SUM(IF((GJ[Date]=$A$3)*(GJ[Account Code]=(TRIM($B156))),GJ[Debit]))))-((SUM(IF((CkDJ[Date]=$A$3)*(CkDJ[Account Code]=(TRIM($B156))),CkDJ[Credit])))+(SUM(IF((CsDJ[Date]=$A$3)*(CsDJ[Account Code]=(TRIM($B156))),CsDJ[Credit])))+(SUM(IF((CRDJ[Date]=$A$3)*(CRDJ[Account Code]=(TRIM($B156))),CRDJ[Credit])))+(SUM(IF((GJ[Date]=$A$3)*(GJ[Account Code]=(TRIM($B156))),GJ[Credit]))))</f>
        <v>0</v>
      </c>
      <c r="G156" s="343">
        <f t="shared" si="14"/>
        <v>0</v>
      </c>
      <c r="H156" s="246">
        <f t="shared" si="15"/>
        <v>-2533347</v>
      </c>
      <c r="I156" s="246">
        <f t="shared" si="16"/>
        <v>0</v>
      </c>
    </row>
    <row r="157" spans="1:9" x14ac:dyDescent="0.2">
      <c r="A157" s="253" t="s">
        <v>797</v>
      </c>
      <c r="B157" s="339" t="s">
        <v>168</v>
      </c>
      <c r="C157" s="245">
        <f t="array" ref="C157">SUM(IF((Budget[Account Code]=B157),(Budget[Amount])))</f>
        <v>3000000</v>
      </c>
      <c r="D157" s="245">
        <f t="array" ref="D157">SUM(IF((Budget[Account Code]=B157)*(Budget[Date]&lt;=$D$7),(Budget[Amount])))</f>
        <v>3000000</v>
      </c>
      <c r="E157" s="245">
        <f t="array" ref="E157">((SUM(IF((CkDJ[Account Code]=(TRIM($B157)))*(CkDJ[Date]&lt;=$E$7),CkDJ[Debit])))+(SUM(IF((CsDJ[Account Code]=(TRIM($B157)))*(CsDJ[Date]&lt;=$E$7),CsDJ[Debit])))+(SUM(IF((CRDJ[Account Code]=(TRIM($B157)))*(CRDJ[Date]&lt;=$E$7),CRDJ[Debit])))+(SUM(IF((GJ[Account Code]=(TRIM($B157)))*(GJ[Date]&lt;=$E$7),GJ[Debit]))))-((SUM(IF((CkDJ[Account Code]=(TRIM($B157)))*(CkDJ[Date]&lt;=$E$7),CkDJ[Credit])))+(SUM(IF((CsDJ[Account Code]=(TRIM($B157)))*(CsDJ[Date]&lt;=$E$7),CsDJ[Credit])))+(SUM(IF((CRDJ[Account Code]=(TRIM($B157)))*(CRDJ[Date]&lt;=$E$7),CRDJ[Credit])))+(SUM(IF((GJ[Account Code]=(TRIM($B157)))*(GJ[Date]&lt;=$E$7),GJ[Credit]))))</f>
        <v>0</v>
      </c>
      <c r="F157" s="245">
        <f t="array" ref="F157">((SUM(IF((CkDJ[Date]=$A$3)*(CkDJ[Account Code]=(TRIM($B157))),CkDJ[Debit])))+(SUM(IF((CsDJ[Date]=$A$3)*(CsDJ[Account Code]=(TRIM($B157))),CsDJ[Debit])))+(SUM(IF((CRDJ[Date]=$A$3)*(CRDJ[Account Code]=(TRIM($B157))),CRDJ[Debit])))+(SUM(IF((GJ[Date]=$A$3)*(GJ[Account Code]=(TRIM($B157))),GJ[Debit]))))-((SUM(IF((CkDJ[Date]=$A$3)*(CkDJ[Account Code]=(TRIM($B157))),CkDJ[Credit])))+(SUM(IF((CsDJ[Date]=$A$3)*(CsDJ[Account Code]=(TRIM($B157))),CsDJ[Credit])))+(SUM(IF((CRDJ[Date]=$A$3)*(CRDJ[Account Code]=(TRIM($B157))),CRDJ[Credit])))+(SUM(IF((GJ[Date]=$A$3)*(GJ[Account Code]=(TRIM($B157))),GJ[Credit]))))</f>
        <v>0</v>
      </c>
      <c r="G157" s="343">
        <f t="shared" si="14"/>
        <v>0</v>
      </c>
      <c r="H157" s="246">
        <f t="shared" si="15"/>
        <v>-3000000</v>
      </c>
      <c r="I157" s="246">
        <f t="shared" si="16"/>
        <v>0</v>
      </c>
    </row>
    <row r="158" spans="1:9" x14ac:dyDescent="0.2">
      <c r="A158" s="253" t="s">
        <v>354</v>
      </c>
      <c r="B158" s="339" t="s">
        <v>216</v>
      </c>
      <c r="C158" s="245">
        <f t="array" ref="C158">SUM(IF((Budget[Account Code]=B158),(Budget[Amount])))</f>
        <v>165000</v>
      </c>
      <c r="D158" s="245">
        <f t="array" ref="D158">SUM(IF((Budget[Account Code]=B158)*(Budget[Date]&lt;=$D$7),(Budget[Amount])))</f>
        <v>165000</v>
      </c>
      <c r="E158" s="245">
        <f t="array" ref="E158">((SUM(IF((CkDJ[Account Code]=(TRIM($B158)))*(CkDJ[Date]&lt;=$E$7),CkDJ[Debit])))+(SUM(IF((CsDJ[Account Code]=(TRIM($B158)))*(CsDJ[Date]&lt;=$E$7),CsDJ[Debit])))+(SUM(IF((CRDJ[Account Code]=(TRIM($B158)))*(CRDJ[Date]&lt;=$E$7),CRDJ[Debit])))+(SUM(IF((GJ[Account Code]=(TRIM($B158)))*(GJ[Date]&lt;=$E$7),GJ[Debit]))))-((SUM(IF((CkDJ[Account Code]=(TRIM($B158)))*(CkDJ[Date]&lt;=$E$7),CkDJ[Credit])))+(SUM(IF((CsDJ[Account Code]=(TRIM($B158)))*(CsDJ[Date]&lt;=$E$7),CsDJ[Credit])))+(SUM(IF((CRDJ[Account Code]=(TRIM($B158)))*(CRDJ[Date]&lt;=$E$7),CRDJ[Credit])))+(SUM(IF((GJ[Account Code]=(TRIM($B158)))*(GJ[Date]&lt;=$E$7),GJ[Credit]))))</f>
        <v>0</v>
      </c>
      <c r="F158" s="245">
        <f t="array" ref="F158">((SUM(IF((CkDJ[Date]=$A$3)*(CkDJ[Account Code]=(TRIM($B158))),CkDJ[Debit])))+(SUM(IF((CsDJ[Date]=$A$3)*(CsDJ[Account Code]=(TRIM($B158))),CsDJ[Debit])))+(SUM(IF((CRDJ[Date]=$A$3)*(CRDJ[Account Code]=(TRIM($B158))),CRDJ[Debit])))+(SUM(IF((GJ[Date]=$A$3)*(GJ[Account Code]=(TRIM($B158))),GJ[Debit]))))-((SUM(IF((CkDJ[Date]=$A$3)*(CkDJ[Account Code]=(TRIM($B158))),CkDJ[Credit])))+(SUM(IF((CsDJ[Date]=$A$3)*(CsDJ[Account Code]=(TRIM($B158))),CsDJ[Credit])))+(SUM(IF((CRDJ[Date]=$A$3)*(CRDJ[Account Code]=(TRIM($B158))),CRDJ[Credit])))+(SUM(IF((GJ[Date]=$A$3)*(GJ[Account Code]=(TRIM($B158))),GJ[Credit]))))</f>
        <v>0</v>
      </c>
      <c r="G158" s="343">
        <f t="shared" si="14"/>
        <v>0</v>
      </c>
      <c r="H158" s="246">
        <f t="shared" si="15"/>
        <v>-165000</v>
      </c>
      <c r="I158" s="246">
        <f t="shared" si="16"/>
        <v>0</v>
      </c>
    </row>
    <row r="159" spans="1:9" x14ac:dyDescent="0.2">
      <c r="A159" s="253" t="s">
        <v>796</v>
      </c>
      <c r="B159" s="337" t="s">
        <v>331</v>
      </c>
      <c r="C159" s="245">
        <f t="array" ref="C159">SUM(IF((Budget[Account Code]=B159),(Budget[Amount])))</f>
        <v>0</v>
      </c>
      <c r="D159" s="245">
        <f t="array" ref="D159">SUM(IF((Budget[Account Code]=B159)*(Budget[Date]&lt;=$D$7),(Budget[Amount])))</f>
        <v>0</v>
      </c>
      <c r="E159" s="245">
        <f t="array" ref="E159">((SUM(IF((CkDJ[Account Code]=(TRIM($B159)))*(CkDJ[Date]&lt;=$E$7),CkDJ[Debit])))+(SUM(IF((CsDJ[Account Code]=(TRIM($B159)))*(CsDJ[Date]&lt;=$E$7),CsDJ[Debit])))+(SUM(IF((CRDJ[Account Code]=(TRIM($B159)))*(CRDJ[Date]&lt;=$E$7),CRDJ[Debit])))+(SUM(IF((GJ[Account Code]=(TRIM($B159)))*(GJ[Date]&lt;=$E$7),GJ[Debit]))))-((SUM(IF((CkDJ[Account Code]=(TRIM($B159)))*(CkDJ[Date]&lt;=$E$7),CkDJ[Credit])))+(SUM(IF((CsDJ[Account Code]=(TRIM($B159)))*(CsDJ[Date]&lt;=$E$7),CsDJ[Credit])))+(SUM(IF((CRDJ[Account Code]=(TRIM($B159)))*(CRDJ[Date]&lt;=$E$7),CRDJ[Credit])))+(SUM(IF((GJ[Account Code]=(TRIM($B159)))*(GJ[Date]&lt;=$E$7),GJ[Credit]))))</f>
        <v>0</v>
      </c>
      <c r="F159" s="245">
        <f t="array" ref="F159">((SUM(IF((CkDJ[Date]=$A$3)*(CkDJ[Account Code]=(TRIM($B159))),CkDJ[Debit])))+(SUM(IF((CsDJ[Date]=$A$3)*(CsDJ[Account Code]=(TRIM($B159))),CsDJ[Debit])))+(SUM(IF((CRDJ[Date]=$A$3)*(CRDJ[Account Code]=(TRIM($B159))),CRDJ[Debit])))+(SUM(IF((GJ[Date]=$A$3)*(GJ[Account Code]=(TRIM($B159))),GJ[Debit]))))-((SUM(IF((CkDJ[Date]=$A$3)*(CkDJ[Account Code]=(TRIM($B159))),CkDJ[Credit])))+(SUM(IF((CsDJ[Date]=$A$3)*(CsDJ[Account Code]=(TRIM($B159))),CsDJ[Credit])))+(SUM(IF((CRDJ[Date]=$A$3)*(CRDJ[Account Code]=(TRIM($B159))),CRDJ[Credit])))+(SUM(IF((GJ[Date]=$A$3)*(GJ[Account Code]=(TRIM($B159))),GJ[Credit]))))</f>
        <v>0</v>
      </c>
      <c r="G159" s="343">
        <f t="shared" si="14"/>
        <v>0</v>
      </c>
      <c r="H159" s="246">
        <f t="shared" si="15"/>
        <v>0</v>
      </c>
      <c r="I159" s="246">
        <f t="shared" si="16"/>
        <v>0</v>
      </c>
    </row>
    <row r="160" spans="1:9" x14ac:dyDescent="0.2">
      <c r="A160" s="253" t="s">
        <v>304</v>
      </c>
      <c r="B160" s="339" t="s">
        <v>222</v>
      </c>
      <c r="C160" s="245">
        <f t="array" ref="C160">SUM(IF((Budget[Account Code]=B160),(Budget[Amount])))</f>
        <v>316600.03999999998</v>
      </c>
      <c r="D160" s="245">
        <f t="array" ref="D160">SUM(IF((Budget[Account Code]=B160)*(Budget[Date]&lt;=$D$7),(Budget[Amount])))</f>
        <v>316600.03999999998</v>
      </c>
      <c r="E160" s="245">
        <f t="array" ref="E160">((SUM(IF((CkDJ[Account Code]=(TRIM($B160)))*(CkDJ[Date]&lt;=$E$7),CkDJ[Debit])))+(SUM(IF((CsDJ[Account Code]=(TRIM($B160)))*(CsDJ[Date]&lt;=$E$7),CsDJ[Debit])))+(SUM(IF((CRDJ[Account Code]=(TRIM($B160)))*(CRDJ[Date]&lt;=$E$7),CRDJ[Debit])))+(SUM(IF((GJ[Account Code]=(TRIM($B160)))*(GJ[Date]&lt;=$E$7),GJ[Debit]))))-((SUM(IF((CkDJ[Account Code]=(TRIM($B160)))*(CkDJ[Date]&lt;=$E$7),CkDJ[Credit])))+(SUM(IF((CsDJ[Account Code]=(TRIM($B160)))*(CsDJ[Date]&lt;=$E$7),CsDJ[Credit])))+(SUM(IF((CRDJ[Account Code]=(TRIM($B160)))*(CRDJ[Date]&lt;=$E$7),CRDJ[Credit])))+(SUM(IF((GJ[Account Code]=(TRIM($B160)))*(GJ[Date]&lt;=$E$7),GJ[Credit]))))</f>
        <v>0</v>
      </c>
      <c r="F160" s="245">
        <f t="array" ref="F160">((SUM(IF((CkDJ[Date]=$A$3)*(CkDJ[Account Code]=(TRIM($B160))),CkDJ[Debit])))+(SUM(IF((CsDJ[Date]=$A$3)*(CsDJ[Account Code]=(TRIM($B160))),CsDJ[Debit])))+(SUM(IF((CRDJ[Date]=$A$3)*(CRDJ[Account Code]=(TRIM($B160))),CRDJ[Debit])))+(SUM(IF((GJ[Date]=$A$3)*(GJ[Account Code]=(TRIM($B160))),GJ[Debit]))))-((SUM(IF((CkDJ[Date]=$A$3)*(CkDJ[Account Code]=(TRIM($B160))),CkDJ[Credit])))+(SUM(IF((CsDJ[Date]=$A$3)*(CsDJ[Account Code]=(TRIM($B160))),CsDJ[Credit])))+(SUM(IF((CRDJ[Date]=$A$3)*(CRDJ[Account Code]=(TRIM($B160))),CRDJ[Credit])))+(SUM(IF((GJ[Date]=$A$3)*(GJ[Account Code]=(TRIM($B160))),GJ[Credit]))))</f>
        <v>0</v>
      </c>
      <c r="G160" s="343">
        <f t="shared" si="14"/>
        <v>0</v>
      </c>
      <c r="H160" s="246">
        <f t="shared" si="15"/>
        <v>-316600.03999999998</v>
      </c>
      <c r="I160" s="246">
        <f t="shared" si="16"/>
        <v>0</v>
      </c>
    </row>
    <row r="161" spans="1:9" x14ac:dyDescent="0.2">
      <c r="A161" s="253" t="s">
        <v>795</v>
      </c>
      <c r="B161" s="337"/>
      <c r="C161" s="245">
        <f t="array" ref="C161">SUM(IF((Budget[Account Code]=B161),(Budget[Amount])))</f>
        <v>0</v>
      </c>
      <c r="D161" s="245">
        <f t="array" ref="D161">SUM(IF((Budget[Account Code]=B161)*(Budget[Date]&lt;=$D$7),(Budget[Amount])))</f>
        <v>0</v>
      </c>
      <c r="E161" s="245">
        <f t="array" ref="E161">((SUM(IF((CkDJ[Account Code]=(TRIM($B161)))*(CkDJ[Date]&lt;=$E$7),CkDJ[Debit])))+(SUM(IF((CsDJ[Account Code]=(TRIM($B161)))*(CsDJ[Date]&lt;=$E$7),CsDJ[Debit])))+(SUM(IF((CRDJ[Account Code]=(TRIM($B161)))*(CRDJ[Date]&lt;=$E$7),CRDJ[Debit])))+(SUM(IF((GJ[Account Code]=(TRIM($B161)))*(GJ[Date]&lt;=$E$7),GJ[Debit]))))-((SUM(IF((CkDJ[Account Code]=(TRIM($B161)))*(CkDJ[Date]&lt;=$E$7),CkDJ[Credit])))+(SUM(IF((CsDJ[Account Code]=(TRIM($B161)))*(CsDJ[Date]&lt;=$E$7),CsDJ[Credit])))+(SUM(IF((CRDJ[Account Code]=(TRIM($B161)))*(CRDJ[Date]&lt;=$E$7),CRDJ[Credit])))+(SUM(IF((GJ[Account Code]=(TRIM($B161)))*(GJ[Date]&lt;=$E$7),GJ[Credit]))))</f>
        <v>0</v>
      </c>
      <c r="F161" s="245">
        <f t="array" ref="F161">((SUM(IF((CkDJ[Date]=$A$3)*(CkDJ[Account Code]=(TRIM($B161))),CkDJ[Debit])))+(SUM(IF((CsDJ[Date]=$A$3)*(CsDJ[Account Code]=(TRIM($B161))),CsDJ[Debit])))+(SUM(IF((CRDJ[Date]=$A$3)*(CRDJ[Account Code]=(TRIM($B161))),CRDJ[Debit])))+(SUM(IF((GJ[Date]=$A$3)*(GJ[Account Code]=(TRIM($B161))),GJ[Debit]))))-((SUM(IF((CkDJ[Date]=$A$3)*(CkDJ[Account Code]=(TRIM($B161))),CkDJ[Credit])))+(SUM(IF((CsDJ[Date]=$A$3)*(CsDJ[Account Code]=(TRIM($B161))),CsDJ[Credit])))+(SUM(IF((CRDJ[Date]=$A$3)*(CRDJ[Account Code]=(TRIM($B161))),CRDJ[Credit])))+(SUM(IF((GJ[Date]=$A$3)*(GJ[Account Code]=(TRIM($B161))),GJ[Credit]))))</f>
        <v>0</v>
      </c>
      <c r="G161" s="343">
        <f t="shared" si="14"/>
        <v>0</v>
      </c>
      <c r="H161" s="246">
        <f t="shared" si="15"/>
        <v>0</v>
      </c>
      <c r="I161" s="246">
        <f t="shared" si="16"/>
        <v>0</v>
      </c>
    </row>
    <row r="162" spans="1:9" x14ac:dyDescent="0.2">
      <c r="A162" s="253" t="s">
        <v>794</v>
      </c>
      <c r="B162" s="339" t="s">
        <v>212</v>
      </c>
      <c r="C162" s="245">
        <f t="array" ref="C162">SUM(IF((Budget[Account Code]=B162),(Budget[Amount])))</f>
        <v>5794980.1399999997</v>
      </c>
      <c r="D162" s="245">
        <f t="array" ref="D162">SUM(IF((Budget[Account Code]=B162)*(Budget[Date]&lt;=$D$7),(Budget[Amount])))</f>
        <v>5794980.1399999997</v>
      </c>
      <c r="E162" s="245">
        <f t="array" ref="E162">((SUM(IF((CkDJ[Account Code]=(TRIM($B162)))*(CkDJ[Date]&lt;=$E$7),CkDJ[Debit])))+(SUM(IF((CsDJ[Account Code]=(TRIM($B162)))*(CsDJ[Date]&lt;=$E$7),CsDJ[Debit])))+(SUM(IF((CRDJ[Account Code]=(TRIM($B162)))*(CRDJ[Date]&lt;=$E$7),CRDJ[Debit])))+(SUM(IF((GJ[Account Code]=(TRIM($B162)))*(GJ[Date]&lt;=$E$7),GJ[Debit]))))-((SUM(IF((CkDJ[Account Code]=(TRIM($B162)))*(CkDJ[Date]&lt;=$E$7),CkDJ[Credit])))+(SUM(IF((CsDJ[Account Code]=(TRIM($B162)))*(CsDJ[Date]&lt;=$E$7),CsDJ[Credit])))+(SUM(IF((CRDJ[Account Code]=(TRIM($B162)))*(CRDJ[Date]&lt;=$E$7),CRDJ[Credit])))+(SUM(IF((GJ[Account Code]=(TRIM($B162)))*(GJ[Date]&lt;=$E$7),GJ[Credit]))))</f>
        <v>0</v>
      </c>
      <c r="F162" s="245">
        <f t="array" ref="F162">((SUM(IF((CkDJ[Date]=$A$3)*(CkDJ[Account Code]=(TRIM($B162))),CkDJ[Debit])))+(SUM(IF((CsDJ[Date]=$A$3)*(CsDJ[Account Code]=(TRIM($B162))),CsDJ[Debit])))+(SUM(IF((CRDJ[Date]=$A$3)*(CRDJ[Account Code]=(TRIM($B162))),CRDJ[Debit])))+(SUM(IF((GJ[Date]=$A$3)*(GJ[Account Code]=(TRIM($B162))),GJ[Debit]))))-((SUM(IF((CkDJ[Date]=$A$3)*(CkDJ[Account Code]=(TRIM($B162))),CkDJ[Credit])))+(SUM(IF((CsDJ[Date]=$A$3)*(CsDJ[Account Code]=(TRIM($B162))),CsDJ[Credit])))+(SUM(IF((CRDJ[Date]=$A$3)*(CRDJ[Account Code]=(TRIM($B162))),CRDJ[Credit])))+(SUM(IF((GJ[Date]=$A$3)*(GJ[Account Code]=(TRIM($B162))),GJ[Credit]))))</f>
        <v>0</v>
      </c>
      <c r="G162" s="343">
        <f t="shared" si="14"/>
        <v>0</v>
      </c>
      <c r="H162" s="246">
        <f t="shared" si="15"/>
        <v>-5794980.1399999997</v>
      </c>
      <c r="I162" s="246">
        <f t="shared" si="16"/>
        <v>0</v>
      </c>
    </row>
    <row r="163" spans="1:9" x14ac:dyDescent="0.2">
      <c r="A163" s="253" t="s">
        <v>793</v>
      </c>
      <c r="B163" s="337"/>
      <c r="C163" s="245">
        <f t="array" ref="C163">SUM(IF((Budget[Account Code]=B163),(Budget[Amount])))</f>
        <v>0</v>
      </c>
      <c r="D163" s="245">
        <f t="array" ref="D163">SUM(IF((Budget[Account Code]=B163)*(Budget[Date]&lt;=$D$7),(Budget[Amount])))</f>
        <v>0</v>
      </c>
      <c r="E163" s="245">
        <f t="array" ref="E163">((SUM(IF((CkDJ[Account Code]=(TRIM($B163)))*(CkDJ[Date]&lt;=$E$7),CkDJ[Debit])))+(SUM(IF((CsDJ[Account Code]=(TRIM($B163)))*(CsDJ[Date]&lt;=$E$7),CsDJ[Debit])))+(SUM(IF((CRDJ[Account Code]=(TRIM($B163)))*(CRDJ[Date]&lt;=$E$7),CRDJ[Debit])))+(SUM(IF((GJ[Account Code]=(TRIM($B163)))*(GJ[Date]&lt;=$E$7),GJ[Debit]))))-((SUM(IF((CkDJ[Account Code]=(TRIM($B163)))*(CkDJ[Date]&lt;=$E$7),CkDJ[Credit])))+(SUM(IF((CsDJ[Account Code]=(TRIM($B163)))*(CsDJ[Date]&lt;=$E$7),CsDJ[Credit])))+(SUM(IF((CRDJ[Account Code]=(TRIM($B163)))*(CRDJ[Date]&lt;=$E$7),CRDJ[Credit])))+(SUM(IF((GJ[Account Code]=(TRIM($B163)))*(GJ[Date]&lt;=$E$7),GJ[Credit]))))</f>
        <v>0</v>
      </c>
      <c r="F163" s="245">
        <f t="array" ref="F163">((SUM(IF((CkDJ[Date]=$A$3)*(CkDJ[Account Code]=(TRIM($B163))),CkDJ[Debit])))+(SUM(IF((CsDJ[Date]=$A$3)*(CsDJ[Account Code]=(TRIM($B163))),CsDJ[Debit])))+(SUM(IF((CRDJ[Date]=$A$3)*(CRDJ[Account Code]=(TRIM($B163))),CRDJ[Debit])))+(SUM(IF((GJ[Date]=$A$3)*(GJ[Account Code]=(TRIM($B163))),GJ[Debit]))))-((SUM(IF((CkDJ[Date]=$A$3)*(CkDJ[Account Code]=(TRIM($B163))),CkDJ[Credit])))+(SUM(IF((CsDJ[Date]=$A$3)*(CsDJ[Account Code]=(TRIM($B163))),CsDJ[Credit])))+(SUM(IF((CRDJ[Date]=$A$3)*(CRDJ[Account Code]=(TRIM($B163))),CRDJ[Credit])))+(SUM(IF((GJ[Date]=$A$3)*(GJ[Account Code]=(TRIM($B163))),GJ[Credit]))))</f>
        <v>0</v>
      </c>
      <c r="G163" s="343">
        <f t="shared" si="14"/>
        <v>0</v>
      </c>
      <c r="H163" s="246">
        <f t="shared" si="15"/>
        <v>0</v>
      </c>
      <c r="I163" s="246">
        <f t="shared" si="16"/>
        <v>0</v>
      </c>
    </row>
    <row r="164" spans="1:9" x14ac:dyDescent="0.2">
      <c r="A164" s="251" t="s">
        <v>789</v>
      </c>
      <c r="B164" s="338"/>
      <c r="C164" s="250">
        <f>SUM(C155:C163)</f>
        <v>11809927.18</v>
      </c>
      <c r="D164" s="250">
        <f>SUM(D155:D163)</f>
        <v>11809927.18</v>
      </c>
      <c r="E164" s="250">
        <f>SUM(E155:E163)</f>
        <v>0</v>
      </c>
      <c r="F164" s="250">
        <f>SUM(F155:F163)</f>
        <v>0</v>
      </c>
      <c r="G164" s="250">
        <f>SUM(G155:G163)</f>
        <v>0</v>
      </c>
      <c r="H164" s="250">
        <f t="shared" si="15"/>
        <v>-11809927.18</v>
      </c>
      <c r="I164" s="250">
        <f t="shared" si="16"/>
        <v>0</v>
      </c>
    </row>
    <row r="165" spans="1:9" x14ac:dyDescent="0.2">
      <c r="A165" s="251" t="s">
        <v>788</v>
      </c>
      <c r="B165" s="338"/>
      <c r="C165" s="250">
        <f>C147+C164</f>
        <v>186548012.09999999</v>
      </c>
      <c r="D165" s="250">
        <f>D147+D164</f>
        <v>186548012.09999999</v>
      </c>
      <c r="E165" s="250">
        <f>E147+E164</f>
        <v>0</v>
      </c>
      <c r="F165" s="250">
        <f>F147+F164</f>
        <v>0</v>
      </c>
      <c r="G165" s="250">
        <f>G147+G164</f>
        <v>0</v>
      </c>
      <c r="H165" s="250">
        <f t="shared" si="15"/>
        <v>-186548012.09999999</v>
      </c>
      <c r="I165" s="250">
        <f t="shared" si="16"/>
        <v>0</v>
      </c>
    </row>
    <row r="166" spans="1:9" x14ac:dyDescent="0.2">
      <c r="A166" s="251" t="s">
        <v>785</v>
      </c>
      <c r="B166" s="338"/>
      <c r="C166" s="250">
        <f>C48-C165</f>
        <v>-145481934.03999999</v>
      </c>
      <c r="D166" s="250">
        <f>D48-D165</f>
        <v>-145481934.03999999</v>
      </c>
      <c r="E166" s="250">
        <f>E48-E165</f>
        <v>0</v>
      </c>
      <c r="F166" s="250">
        <f>F48-F165</f>
        <v>0</v>
      </c>
      <c r="G166" s="250">
        <f>G48-G165</f>
        <v>0</v>
      </c>
      <c r="H166" s="250">
        <f t="shared" si="15"/>
        <v>145481934.03999999</v>
      </c>
      <c r="I166" s="250">
        <f t="shared" si="16"/>
        <v>0</v>
      </c>
    </row>
    <row r="167" spans="1:9" x14ac:dyDescent="0.2">
      <c r="A167" s="251" t="s">
        <v>749</v>
      </c>
      <c r="B167" s="338"/>
      <c r="C167" s="250">
        <f>C48/C165</f>
        <v>0.22</v>
      </c>
      <c r="D167" s="250">
        <f>D48/D165</f>
        <v>0.22</v>
      </c>
      <c r="E167" s="250" t="e">
        <f>E48/E165</f>
        <v>#DIV/0!</v>
      </c>
      <c r="F167" s="250" t="e">
        <f>F48/F165</f>
        <v>#DIV/0!</v>
      </c>
      <c r="G167" s="250" t="e">
        <f>G48/G165</f>
        <v>#DIV/0!</v>
      </c>
      <c r="H167" s="250" t="e">
        <f t="shared" si="15"/>
        <v>#DIV/0!</v>
      </c>
      <c r="I167" s="250" t="e">
        <f t="shared" si="16"/>
        <v>#DIV/0!</v>
      </c>
    </row>
    <row r="168" spans="1:9" hidden="1" x14ac:dyDescent="0.2">
      <c r="A168" s="251" t="s">
        <v>787</v>
      </c>
      <c r="B168" s="338"/>
      <c r="C168" s="250"/>
      <c r="D168" s="250"/>
      <c r="E168" s="250"/>
      <c r="F168" s="250"/>
      <c r="G168" s="250"/>
      <c r="H168" s="250">
        <f t="shared" si="15"/>
        <v>0</v>
      </c>
      <c r="I168" s="250">
        <f t="shared" si="16"/>
        <v>0</v>
      </c>
    </row>
    <row r="169" spans="1:9" hidden="1" x14ac:dyDescent="0.2">
      <c r="A169" s="251" t="s">
        <v>786</v>
      </c>
      <c r="B169" s="338"/>
      <c r="C169" s="250"/>
      <c r="D169" s="250"/>
      <c r="E169" s="250"/>
      <c r="F169" s="250"/>
      <c r="G169" s="250"/>
      <c r="H169" s="250">
        <f t="shared" si="15"/>
        <v>0</v>
      </c>
      <c r="I169" s="250">
        <f t="shared" si="16"/>
        <v>0</v>
      </c>
    </row>
    <row r="170" spans="1:9" x14ac:dyDescent="0.2">
      <c r="A170" s="251" t="s">
        <v>785</v>
      </c>
      <c r="B170" s="338"/>
      <c r="C170" s="250">
        <f>C166+C168+C169</f>
        <v>-145481934.03999999</v>
      </c>
      <c r="D170" s="250">
        <f>D166+D168+D169</f>
        <v>-145481934.03999999</v>
      </c>
      <c r="E170" s="250">
        <f>E166+E168+E169</f>
        <v>0</v>
      </c>
      <c r="F170" s="250">
        <f>F166+F168+F169</f>
        <v>0</v>
      </c>
      <c r="G170" s="250">
        <f>G166+G168+G169</f>
        <v>0</v>
      </c>
      <c r="H170" s="250">
        <f t="shared" si="15"/>
        <v>145481934.03999999</v>
      </c>
      <c r="I170" s="250">
        <f t="shared" si="16"/>
        <v>0</v>
      </c>
    </row>
    <row r="171" spans="1:9" x14ac:dyDescent="0.2">
      <c r="A171" s="251" t="s">
        <v>792</v>
      </c>
      <c r="B171" s="338"/>
      <c r="C171" s="250">
        <f>C48/(C165-C168-C169)</f>
        <v>0.22</v>
      </c>
      <c r="D171" s="250">
        <f>D48/(D165-D168-D169)</f>
        <v>0.22</v>
      </c>
      <c r="E171" s="250" t="e">
        <f>E48/(E165-E168-E169)</f>
        <v>#DIV/0!</v>
      </c>
      <c r="F171" s="250" t="e">
        <f>F48/(F165-F168-F169)</f>
        <v>#DIV/0!</v>
      </c>
      <c r="G171" s="250" t="e">
        <f>G48/(G165-G168-G169)</f>
        <v>#DIV/0!</v>
      </c>
      <c r="H171" s="250" t="e">
        <f t="shared" si="15"/>
        <v>#DIV/0!</v>
      </c>
      <c r="I171" s="250" t="e">
        <f t="shared" si="16"/>
        <v>#DIV/0!</v>
      </c>
    </row>
    <row r="172" spans="1:9" x14ac:dyDescent="0.2">
      <c r="A172" s="259"/>
      <c r="C172" s="345"/>
      <c r="D172" s="345"/>
      <c r="E172" s="345"/>
      <c r="F172" s="345"/>
      <c r="G172" s="345"/>
      <c r="H172" s="345"/>
      <c r="I172" s="346"/>
    </row>
    <row r="173" spans="1:9" x14ac:dyDescent="0.2">
      <c r="A173" s="333" t="s">
        <v>791</v>
      </c>
      <c r="B173" s="341"/>
      <c r="C173" s="334"/>
      <c r="D173" s="334"/>
      <c r="E173" s="334"/>
      <c r="F173" s="334"/>
      <c r="G173" s="334"/>
      <c r="H173" s="334"/>
      <c r="I173" s="347"/>
    </row>
    <row r="174" spans="1:9" x14ac:dyDescent="0.2">
      <c r="A174" s="261"/>
      <c r="B174" s="340"/>
      <c r="C174" s="348"/>
      <c r="D174" s="348"/>
      <c r="E174" s="348"/>
      <c r="F174" s="348"/>
      <c r="G174" s="263"/>
      <c r="H174" s="263"/>
      <c r="I174" s="263"/>
    </row>
    <row r="175" spans="1:9" x14ac:dyDescent="0.2">
      <c r="A175" s="253" t="s">
        <v>790</v>
      </c>
      <c r="B175" s="339" t="s">
        <v>267</v>
      </c>
      <c r="C175" s="245">
        <f t="array" ref="C175">SUM(IF((Budget[Account Code]=B175),(Budget[Amount])))</f>
        <v>5000000</v>
      </c>
      <c r="D175" s="245">
        <f t="array" ref="D175">SUM(IF((Budget[Account Code]=B175)*(Budget[Date]&lt;=$D$7),(Budget[Amount])))</f>
        <v>5000000</v>
      </c>
      <c r="E175" s="245">
        <f t="array" ref="E175">((SUM(IF((CkDJ[Account Code]=(TRIM($B175)))*(CkDJ[Date]&lt;=$E$7),CkDJ[Debit])))+(SUM(IF((CsDJ[Account Code]=(TRIM($B175)))*(CsDJ[Date]&lt;=$E$7),CsDJ[Debit])))+(SUM(IF((CRDJ[Account Code]=(TRIM($B175)))*(CRDJ[Date]&lt;=$E$7),CRDJ[Debit])))+(SUM(IF((GJ[Account Code]=(TRIM($B175)))*(GJ[Date]&lt;=$E$7),GJ[Debit]))))-((SUM(IF((CkDJ[Account Code]=(TRIM($B175)))*(CkDJ[Date]&lt;=$E$7),CkDJ[Credit])))+(SUM(IF((CsDJ[Account Code]=(TRIM($B175)))*(CsDJ[Date]&lt;=$E$7),CsDJ[Credit])))+(SUM(IF((CRDJ[Account Code]=(TRIM($B175)))*(CRDJ[Date]&lt;=$E$7),CRDJ[Credit])))+(SUM(IF((GJ[Account Code]=(TRIM($B175)))*(GJ[Date]&lt;=$E$7),GJ[Credit]))))</f>
        <v>0</v>
      </c>
      <c r="F175" s="245">
        <f t="array" ref="F175">((SUM(IF((CkDJ[Date]=$A$3)*(CkDJ[Account Code]=(TRIM($B175))),CkDJ[Debit])))+(SUM(IF((CsDJ[Date]=$A$3)*(CsDJ[Account Code]=(TRIM($B175))),CsDJ[Debit])))+(SUM(IF((CRDJ[Date]=$A$3)*(CRDJ[Account Code]=(TRIM($B175))),CRDJ[Debit])))+(SUM(IF((GJ[Date]=$A$3)*(GJ[Account Code]=(TRIM($B175))),GJ[Debit]))))-((SUM(IF((CkDJ[Date]=$A$3)*(CkDJ[Account Code]=(TRIM($B175))),CkDJ[Credit])))+(SUM(IF((CsDJ[Date]=$A$3)*(CsDJ[Account Code]=(TRIM($B175))),CsDJ[Credit])))+(SUM(IF((CRDJ[Date]=$A$3)*(CRDJ[Account Code]=(TRIM($B175))),CRDJ[Credit])))+(SUM(IF((GJ[Date]=$A$3)*(GJ[Account Code]=(TRIM($B175))),GJ[Credit]))))</f>
        <v>0</v>
      </c>
      <c r="G175" s="343">
        <f>E175+F175</f>
        <v>0</v>
      </c>
      <c r="H175" s="246">
        <f>G175-D175</f>
        <v>-5000000</v>
      </c>
      <c r="I175" s="246">
        <f>IF((D175=0),0,G175/D175)</f>
        <v>0</v>
      </c>
    </row>
    <row r="176" spans="1:9" x14ac:dyDescent="0.2">
      <c r="A176" s="253"/>
      <c r="B176" s="337"/>
      <c r="C176" s="245"/>
      <c r="D176" s="245"/>
      <c r="E176" s="245"/>
      <c r="F176" s="245"/>
      <c r="G176" s="246"/>
      <c r="H176" s="246"/>
      <c r="I176" s="246"/>
    </row>
    <row r="177" spans="1:9" x14ac:dyDescent="0.2">
      <c r="A177" s="251" t="s">
        <v>789</v>
      </c>
      <c r="B177" s="338"/>
      <c r="C177" s="250">
        <f>SUM(C174:C176)</f>
        <v>5000000</v>
      </c>
      <c r="D177" s="250">
        <f>SUM(D174:D176)</f>
        <v>5000000</v>
      </c>
      <c r="E177" s="250">
        <f>SUM(E174:E176)</f>
        <v>0</v>
      </c>
      <c r="F177" s="250">
        <f>SUM(F174:F176)</f>
        <v>0</v>
      </c>
      <c r="G177" s="250">
        <f>SUM(G174:G176)</f>
        <v>0</v>
      </c>
      <c r="H177" s="250">
        <f t="shared" ref="H177:H184" si="17">G177-D177</f>
        <v>-5000000</v>
      </c>
      <c r="I177" s="250">
        <f t="shared" ref="I177:I184" si="18">IF((D177=0),0,G177/D177)</f>
        <v>0</v>
      </c>
    </row>
    <row r="178" spans="1:9" x14ac:dyDescent="0.2">
      <c r="A178" s="251" t="s">
        <v>788</v>
      </c>
      <c r="B178" s="338"/>
      <c r="C178" s="250">
        <f>C165+C177</f>
        <v>191548012.09999999</v>
      </c>
      <c r="D178" s="250">
        <f>D165+D177</f>
        <v>191548012.09999999</v>
      </c>
      <c r="E178" s="250">
        <f>E165+E177</f>
        <v>0</v>
      </c>
      <c r="F178" s="250">
        <f>F165+F177</f>
        <v>0</v>
      </c>
      <c r="G178" s="250">
        <f>G165+G177</f>
        <v>0</v>
      </c>
      <c r="H178" s="250">
        <f t="shared" si="17"/>
        <v>-191548012.09999999</v>
      </c>
      <c r="I178" s="250">
        <f t="shared" si="18"/>
        <v>0</v>
      </c>
    </row>
    <row r="179" spans="1:9" x14ac:dyDescent="0.2">
      <c r="A179" s="251" t="s">
        <v>785</v>
      </c>
      <c r="B179" s="338"/>
      <c r="C179" s="250">
        <f>C48-C178</f>
        <v>-150481934.03999999</v>
      </c>
      <c r="D179" s="250">
        <f>D48-D178</f>
        <v>-150481934.03999999</v>
      </c>
      <c r="E179" s="250">
        <f>E48-E178</f>
        <v>0</v>
      </c>
      <c r="F179" s="250">
        <f>F48-F178</f>
        <v>0</v>
      </c>
      <c r="G179" s="250">
        <f>G48-G178</f>
        <v>0</v>
      </c>
      <c r="H179" s="250">
        <f t="shared" si="17"/>
        <v>150481934.03999999</v>
      </c>
      <c r="I179" s="250">
        <f t="shared" si="18"/>
        <v>0</v>
      </c>
    </row>
    <row r="180" spans="1:9" hidden="1" x14ac:dyDescent="0.2">
      <c r="A180" s="251" t="s">
        <v>749</v>
      </c>
      <c r="B180" s="338"/>
      <c r="C180" s="250"/>
      <c r="D180" s="250"/>
      <c r="E180" s="250"/>
      <c r="F180" s="250"/>
      <c r="G180" s="250"/>
      <c r="H180" s="250">
        <f t="shared" si="17"/>
        <v>0</v>
      </c>
      <c r="I180" s="250">
        <f t="shared" si="18"/>
        <v>0</v>
      </c>
    </row>
    <row r="181" spans="1:9" hidden="1" x14ac:dyDescent="0.2">
      <c r="A181" s="251" t="s">
        <v>787</v>
      </c>
      <c r="B181" s="338"/>
      <c r="C181" s="250"/>
      <c r="D181" s="250"/>
      <c r="E181" s="250"/>
      <c r="F181" s="250"/>
      <c r="G181" s="250"/>
      <c r="H181" s="250">
        <f t="shared" si="17"/>
        <v>0</v>
      </c>
      <c r="I181" s="250">
        <f t="shared" si="18"/>
        <v>0</v>
      </c>
    </row>
    <row r="182" spans="1:9" hidden="1" x14ac:dyDescent="0.2">
      <c r="A182" s="251" t="s">
        <v>786</v>
      </c>
      <c r="B182" s="338"/>
      <c r="C182" s="250"/>
      <c r="D182" s="250"/>
      <c r="E182" s="250"/>
      <c r="F182" s="250"/>
      <c r="G182" s="250"/>
      <c r="H182" s="250">
        <f t="shared" si="17"/>
        <v>0</v>
      </c>
      <c r="I182" s="250">
        <f t="shared" si="18"/>
        <v>0</v>
      </c>
    </row>
    <row r="183" spans="1:9" hidden="1" x14ac:dyDescent="0.2">
      <c r="A183" s="251" t="s">
        <v>785</v>
      </c>
      <c r="B183" s="338"/>
      <c r="C183" s="250"/>
      <c r="D183" s="250"/>
      <c r="E183" s="250"/>
      <c r="F183" s="250"/>
      <c r="G183" s="250"/>
      <c r="H183" s="250">
        <f t="shared" si="17"/>
        <v>0</v>
      </c>
      <c r="I183" s="250">
        <f t="shared" si="18"/>
        <v>0</v>
      </c>
    </row>
    <row r="184" spans="1:9" x14ac:dyDescent="0.2">
      <c r="A184" s="264" t="s">
        <v>749</v>
      </c>
      <c r="B184" s="338"/>
      <c r="C184" s="265">
        <f>C48/(C178-C181-C182)</f>
        <v>0.21</v>
      </c>
      <c r="D184" s="265">
        <f>D48/(D178-D181-D182)</f>
        <v>0.21</v>
      </c>
      <c r="E184" s="265" t="e">
        <f>E48/(E178-E181-E182)</f>
        <v>#DIV/0!</v>
      </c>
      <c r="F184" s="265" t="e">
        <f>F48/(F178-F181-F182)</f>
        <v>#DIV/0!</v>
      </c>
      <c r="G184" s="265" t="e">
        <f>G48/(G178-G181-G182)</f>
        <v>#DIV/0!</v>
      </c>
      <c r="H184" s="265" t="e">
        <f t="shared" si="17"/>
        <v>#DIV/0!</v>
      </c>
      <c r="I184" s="265" t="e">
        <f t="shared" si="18"/>
        <v>#DIV/0!</v>
      </c>
    </row>
    <row r="187" spans="1:9" ht="15.75" x14ac:dyDescent="0.25">
      <c r="A187" s="171" t="s">
        <v>482</v>
      </c>
      <c r="B187" s="425"/>
      <c r="C187" s="171" t="s">
        <v>1061</v>
      </c>
      <c r="D187" s="426"/>
      <c r="E187" s="426" t="s">
        <v>353</v>
      </c>
      <c r="F187" s="426"/>
      <c r="G187" s="426" t="s">
        <v>1062</v>
      </c>
      <c r="H187" s="426"/>
    </row>
    <row r="188" spans="1:9" ht="15.75" x14ac:dyDescent="0.25">
      <c r="A188" s="171"/>
      <c r="B188" s="426"/>
      <c r="C188" s="426"/>
      <c r="D188" s="426"/>
      <c r="E188" s="426"/>
      <c r="F188" s="426"/>
      <c r="G188" s="426"/>
      <c r="H188" s="426"/>
    </row>
    <row r="189" spans="1:9" ht="15.75" x14ac:dyDescent="0.25">
      <c r="A189" s="171"/>
      <c r="B189" s="426"/>
      <c r="C189" s="426"/>
      <c r="D189" s="426"/>
      <c r="E189" s="426"/>
      <c r="F189" s="426"/>
      <c r="G189" s="426"/>
      <c r="H189" s="426"/>
    </row>
    <row r="190" spans="1:9" ht="15.75" x14ac:dyDescent="0.25">
      <c r="A190" s="171"/>
      <c r="B190" s="426"/>
      <c r="C190" s="426"/>
      <c r="D190" s="426"/>
      <c r="E190" s="426"/>
      <c r="F190" s="426"/>
      <c r="G190" s="426"/>
      <c r="H190" s="426"/>
    </row>
    <row r="191" spans="1:9" ht="15.75" x14ac:dyDescent="0.25">
      <c r="A191" s="427" t="s">
        <v>483</v>
      </c>
      <c r="B191" s="428"/>
      <c r="C191" s="427" t="s">
        <v>745</v>
      </c>
      <c r="D191" s="428"/>
      <c r="E191" s="428" t="s">
        <v>3</v>
      </c>
      <c r="F191" s="428"/>
      <c r="G191" s="428"/>
      <c r="H191" s="428" t="s">
        <v>744</v>
      </c>
    </row>
    <row r="192" spans="1:9" ht="15" x14ac:dyDescent="0.25">
      <c r="A192" s="227" t="s">
        <v>743</v>
      </c>
      <c r="B192" s="429"/>
      <c r="C192" s="227" t="s">
        <v>742</v>
      </c>
      <c r="D192" s="429"/>
      <c r="E192" s="429" t="s">
        <v>464</v>
      </c>
      <c r="F192" s="429"/>
      <c r="G192" s="429"/>
      <c r="H192" s="429" t="s">
        <v>741</v>
      </c>
    </row>
  </sheetData>
  <mergeCells count="9">
    <mergeCell ref="I5:I7"/>
    <mergeCell ref="F6:F7"/>
    <mergeCell ref="G6:G7"/>
    <mergeCell ref="A5:A7"/>
    <mergeCell ref="B5:B7"/>
    <mergeCell ref="C5:C7"/>
    <mergeCell ref="D5:D6"/>
    <mergeCell ref="E5:G5"/>
    <mergeCell ref="H5:H7"/>
  </mergeCells>
  <printOptions horizontalCentered="1"/>
  <pageMargins left="0.25" right="0.25" top="0.75" bottom="1.5" header="0.3" footer="0.3"/>
  <pageSetup paperSize="5" scale="56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663300"/>
  </sheetPr>
  <dimension ref="A1:V66"/>
  <sheetViews>
    <sheetView workbookViewId="0"/>
  </sheetViews>
  <sheetFormatPr defaultColWidth="9" defaultRowHeight="15.75" x14ac:dyDescent="0.25"/>
  <cols>
    <col min="1" max="1" width="15.5" style="307" customWidth="1"/>
    <col min="2" max="2" width="13.125" style="307" customWidth="1"/>
    <col min="3" max="3" width="14.375" style="307" customWidth="1"/>
    <col min="4" max="4" width="14.125" style="307" hidden="1" customWidth="1"/>
    <col min="5" max="5" width="13.625" style="307" customWidth="1"/>
    <col min="6" max="6" width="1" style="307" hidden="1" customWidth="1"/>
    <col min="7" max="7" width="13.625" style="307" customWidth="1"/>
    <col min="8" max="8" width="13.5" style="307" customWidth="1"/>
    <col min="9" max="9" width="13.625" style="307" bestFit="1" customWidth="1"/>
    <col min="10" max="10" width="7.625" style="307" customWidth="1"/>
    <col min="11" max="12" width="16.375" style="395" hidden="1" customWidth="1"/>
    <col min="13" max="13" width="16.5" style="395" hidden="1" customWidth="1"/>
    <col min="14" max="14" width="19.125" style="395" hidden="1" customWidth="1"/>
    <col min="15" max="15" width="10.375" style="396" hidden="1" customWidth="1"/>
    <col min="16" max="16" width="13.125" style="307" customWidth="1"/>
    <col min="17" max="17" width="12.125" style="307" customWidth="1"/>
    <col min="18" max="18" width="9" style="307" hidden="1" customWidth="1"/>
    <col min="19" max="19" width="17.625" style="307" hidden="1" customWidth="1"/>
    <col min="20" max="20" width="17" style="307" hidden="1" customWidth="1"/>
    <col min="21" max="21" width="17.625" style="307" hidden="1" customWidth="1"/>
    <col min="22" max="22" width="10.375" style="307" hidden="1" customWidth="1"/>
    <col min="23" max="16384" width="9" style="307"/>
  </cols>
  <sheetData>
    <row r="1" spans="1:22" s="1" customFormat="1" x14ac:dyDescent="0.25">
      <c r="A1" s="75" t="s">
        <v>836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S1" s="75"/>
      <c r="T1" s="75"/>
      <c r="U1" s="75"/>
      <c r="V1" s="75"/>
    </row>
    <row r="2" spans="1:22" s="1" customFormat="1" x14ac:dyDescent="0.25">
      <c r="A2" s="75" t="s">
        <v>1060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S2" s="75"/>
      <c r="T2" s="75"/>
      <c r="U2" s="75"/>
      <c r="V2" s="75"/>
    </row>
    <row r="3" spans="1:22" s="1" customFormat="1" x14ac:dyDescent="0.25">
      <c r="A3" s="75" t="s">
        <v>1034</v>
      </c>
      <c r="B3" s="7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S3" s="75"/>
      <c r="T3" s="75"/>
      <c r="U3" s="75"/>
      <c r="V3" s="75"/>
    </row>
    <row r="4" spans="1:22" s="1" customFormat="1" ht="16.5" thickBot="1" x14ac:dyDescent="0.3">
      <c r="A4" s="350">
        <f>Account!G2</f>
        <v>44500</v>
      </c>
      <c r="B4" s="351"/>
      <c r="C4" s="351"/>
      <c r="D4" s="351"/>
      <c r="E4" s="351"/>
      <c r="F4" s="351"/>
      <c r="G4" s="351"/>
      <c r="H4" s="351"/>
      <c r="I4" s="351"/>
      <c r="J4" s="351"/>
      <c r="K4" s="351"/>
      <c r="L4" s="351"/>
      <c r="M4" s="351"/>
      <c r="N4" s="351"/>
      <c r="O4" s="351"/>
      <c r="P4" s="351"/>
      <c r="Q4" s="351"/>
      <c r="S4" s="351"/>
      <c r="T4" s="351"/>
      <c r="U4" s="351"/>
      <c r="V4" s="351"/>
    </row>
    <row r="5" spans="1:22" ht="17.25" customHeight="1" thickTop="1" x14ac:dyDescent="0.25">
      <c r="A5" s="1275" t="s">
        <v>1035</v>
      </c>
      <c r="B5" s="1278" t="s">
        <v>1036</v>
      </c>
      <c r="C5" s="1279"/>
      <c r="D5" s="352" t="s">
        <v>1037</v>
      </c>
      <c r="E5" s="352" t="s">
        <v>1037</v>
      </c>
      <c r="F5" s="353"/>
      <c r="G5" s="1280">
        <f>$A$4</f>
        <v>44500</v>
      </c>
      <c r="H5" s="1281"/>
      <c r="I5" s="1281"/>
      <c r="J5" s="1282"/>
      <c r="K5" s="1262" t="s">
        <v>854</v>
      </c>
      <c r="L5" s="1283" t="s">
        <v>1038</v>
      </c>
      <c r="M5" s="1262" t="s">
        <v>1039</v>
      </c>
      <c r="N5" s="1262" t="s">
        <v>1040</v>
      </c>
      <c r="O5" s="1290" t="s">
        <v>1041</v>
      </c>
      <c r="P5" s="1293" t="s">
        <v>1042</v>
      </c>
      <c r="Q5" s="354">
        <f>B6</f>
        <v>44500</v>
      </c>
      <c r="S5" s="1296">
        <v>42978</v>
      </c>
      <c r="T5" s="1297"/>
      <c r="U5" s="1297"/>
      <c r="V5" s="1298"/>
    </row>
    <row r="6" spans="1:22" ht="17.25" customHeight="1" x14ac:dyDescent="0.25">
      <c r="A6" s="1276"/>
      <c r="B6" s="1265">
        <f>Account!G2</f>
        <v>44500</v>
      </c>
      <c r="C6" s="1266"/>
      <c r="D6" s="355">
        <v>41820</v>
      </c>
      <c r="E6" s="1269">
        <f>S5</f>
        <v>42978</v>
      </c>
      <c r="F6" s="356"/>
      <c r="G6" s="1271" t="s">
        <v>761</v>
      </c>
      <c r="H6" s="1271" t="s">
        <v>1043</v>
      </c>
      <c r="I6" s="1273" t="s">
        <v>1044</v>
      </c>
      <c r="J6" s="357"/>
      <c r="K6" s="1263"/>
      <c r="L6" s="1284"/>
      <c r="M6" s="1263"/>
      <c r="N6" s="1263"/>
      <c r="O6" s="1291"/>
      <c r="P6" s="1294"/>
      <c r="Q6" s="358" t="s">
        <v>1045</v>
      </c>
      <c r="S6" s="1286" t="s">
        <v>761</v>
      </c>
      <c r="T6" s="1286" t="s">
        <v>1043</v>
      </c>
      <c r="U6" s="1288" t="s">
        <v>1044</v>
      </c>
      <c r="V6" s="359"/>
    </row>
    <row r="7" spans="1:22" ht="16.5" thickBot="1" x14ac:dyDescent="0.3">
      <c r="A7" s="1277"/>
      <c r="B7" s="1267"/>
      <c r="C7" s="1268"/>
      <c r="D7" s="360" t="s">
        <v>1046</v>
      </c>
      <c r="E7" s="1270"/>
      <c r="F7" s="361"/>
      <c r="G7" s="1272"/>
      <c r="H7" s="1272"/>
      <c r="I7" s="1274"/>
      <c r="J7" s="362" t="s">
        <v>1041</v>
      </c>
      <c r="K7" s="1264"/>
      <c r="L7" s="1285"/>
      <c r="M7" s="1264"/>
      <c r="N7" s="1264"/>
      <c r="O7" s="1292"/>
      <c r="P7" s="1295"/>
      <c r="Q7" s="363">
        <f>S5</f>
        <v>42978</v>
      </c>
      <c r="S7" s="1287"/>
      <c r="T7" s="1287"/>
      <c r="U7" s="1289"/>
      <c r="V7" s="364" t="s">
        <v>1041</v>
      </c>
    </row>
    <row r="8" spans="1:22" ht="15.75" customHeight="1" x14ac:dyDescent="0.25">
      <c r="A8" s="1236" t="s">
        <v>1047</v>
      </c>
      <c r="B8" s="365" t="s">
        <v>1048</v>
      </c>
      <c r="C8" s="398">
        <f>'REVGEN (2)(2)'!D48</f>
        <v>2162078.1</v>
      </c>
      <c r="D8" s="399">
        <v>303687</v>
      </c>
      <c r="E8" s="399">
        <f>S8</f>
        <v>176030</v>
      </c>
      <c r="F8" s="400"/>
      <c r="G8" s="1239">
        <f>'REVGEN (2)(2)'!G48</f>
        <v>0</v>
      </c>
      <c r="H8" s="1239">
        <f>'REVGEN (2)(2)'!G178</f>
        <v>0</v>
      </c>
      <c r="I8" s="1239">
        <f>G8-H8</f>
        <v>0</v>
      </c>
      <c r="J8" s="1227" t="e">
        <f>G8/H8</f>
        <v>#DIV/0!</v>
      </c>
      <c r="K8" s="1215">
        <f>[1]AU!F31</f>
        <v>196002</v>
      </c>
      <c r="L8" s="1215">
        <f>IF([1]AU!F63&gt;0,([1]AU!F63),([1]AU!F63*-1))</f>
        <v>93553</v>
      </c>
      <c r="M8" s="1215">
        <f>IF([1]AU!F64&gt;0,([1]AU!F64),([1]AU!F64*-1))</f>
        <v>73393</v>
      </c>
      <c r="N8" s="1215">
        <f>I8-L8-M8</f>
        <v>-166946</v>
      </c>
      <c r="O8" s="1218">
        <f>G8/(H8+L8+M8)</f>
        <v>0</v>
      </c>
      <c r="P8" s="366">
        <f>+G8-C8</f>
        <v>-2162078</v>
      </c>
      <c r="Q8" s="367">
        <f>G8-E8</f>
        <v>-176030</v>
      </c>
      <c r="S8" s="1254">
        <v>176030</v>
      </c>
      <c r="T8" s="1254">
        <v>1607622</v>
      </c>
      <c r="U8" s="1224">
        <f>S8-T8</f>
        <v>-1431592</v>
      </c>
      <c r="V8" s="1227">
        <f>S8/T8</f>
        <v>0.11</v>
      </c>
    </row>
    <row r="9" spans="1:22" x14ac:dyDescent="0.25">
      <c r="A9" s="1237"/>
      <c r="B9" s="368" t="s">
        <v>1049</v>
      </c>
      <c r="C9" s="401">
        <f>'REVGEN (2)(2)'!D178</f>
        <v>4036957.9</v>
      </c>
      <c r="D9" s="402">
        <v>476872</v>
      </c>
      <c r="E9" s="402">
        <f>T8</f>
        <v>1607622</v>
      </c>
      <c r="F9" s="403"/>
      <c r="G9" s="1257"/>
      <c r="H9" s="1257"/>
      <c r="I9" s="1257"/>
      <c r="J9" s="1228"/>
      <c r="K9" s="1216"/>
      <c r="L9" s="1216"/>
      <c r="M9" s="1216"/>
      <c r="N9" s="1216"/>
      <c r="O9" s="1219"/>
      <c r="P9" s="369">
        <f>+H8-C9</f>
        <v>-4036958</v>
      </c>
      <c r="Q9" s="370">
        <f>H8-E9</f>
        <v>-1607622</v>
      </c>
      <c r="S9" s="1255"/>
      <c r="T9" s="1255"/>
      <c r="U9" s="1225"/>
      <c r="V9" s="1228"/>
    </row>
    <row r="10" spans="1:22" ht="16.5" thickBot="1" x14ac:dyDescent="0.3">
      <c r="A10" s="1238"/>
      <c r="B10" s="371" t="s">
        <v>1050</v>
      </c>
      <c r="C10" s="404">
        <f>C8-C9</f>
        <v>-1874879.8</v>
      </c>
      <c r="D10" s="405">
        <f>+D8-D9</f>
        <v>-173185</v>
      </c>
      <c r="E10" s="405">
        <f>E8-E9</f>
        <v>-1431592</v>
      </c>
      <c r="F10" s="406"/>
      <c r="G10" s="1258"/>
      <c r="H10" s="1258"/>
      <c r="I10" s="1258"/>
      <c r="J10" s="1229"/>
      <c r="K10" s="1217"/>
      <c r="L10" s="1217"/>
      <c r="M10" s="1217"/>
      <c r="N10" s="1217"/>
      <c r="O10" s="1220"/>
      <c r="P10" s="372">
        <f>+P8-P9</f>
        <v>1874880</v>
      </c>
      <c r="Q10" s="373">
        <f>+Q8-Q9</f>
        <v>1431592</v>
      </c>
      <c r="S10" s="1256"/>
      <c r="T10" s="1256"/>
      <c r="U10" s="1226"/>
      <c r="V10" s="1229"/>
    </row>
    <row r="11" spans="1:22" ht="15.75" customHeight="1" x14ac:dyDescent="0.25">
      <c r="A11" s="1236" t="s">
        <v>1051</v>
      </c>
      <c r="B11" s="365" t="s">
        <v>1048</v>
      </c>
      <c r="C11" s="398">
        <f>'REVGEN (2)(1)'!D48</f>
        <v>31350000</v>
      </c>
      <c r="D11" s="399">
        <v>40790014</v>
      </c>
      <c r="E11" s="399">
        <f>S11</f>
        <v>19623351</v>
      </c>
      <c r="F11" s="400"/>
      <c r="G11" s="1239">
        <f>'REVGEN (2)(1)'!G48</f>
        <v>0</v>
      </c>
      <c r="H11" s="1239">
        <f>'REVGEN (2)(1)'!G178</f>
        <v>0</v>
      </c>
      <c r="I11" s="1239">
        <f>G11-H11</f>
        <v>0</v>
      </c>
      <c r="J11" s="1227" t="e">
        <f>G11/H11</f>
        <v>#DIV/0!</v>
      </c>
      <c r="K11" s="1215">
        <f>[1]BUL!F31</f>
        <v>2132650</v>
      </c>
      <c r="L11" s="1215">
        <f>IF([1]BUL!F63&gt;0,([1]BUL!F63),([1]BUL!F63*-1))</f>
        <v>1017934</v>
      </c>
      <c r="M11" s="1215">
        <f>IF([1]BUL!F64&gt;0,([1]BUL!F64),([1]BUL!F64*-1))</f>
        <v>798573</v>
      </c>
      <c r="N11" s="1215">
        <f>I11-L11-M11</f>
        <v>-1816507</v>
      </c>
      <c r="O11" s="1218">
        <f>G11/(H11+L11+M11)</f>
        <v>0</v>
      </c>
      <c r="P11" s="366">
        <f>+G11-C11</f>
        <v>-31350000</v>
      </c>
      <c r="Q11" s="367">
        <f>G11-E11</f>
        <v>-19623351</v>
      </c>
      <c r="S11" s="1254">
        <v>19623351</v>
      </c>
      <c r="T11" s="1254">
        <v>17667658</v>
      </c>
      <c r="U11" s="1224">
        <f>S11-T11</f>
        <v>1955693</v>
      </c>
      <c r="V11" s="1227">
        <f>S11/T11</f>
        <v>1.1100000000000001</v>
      </c>
    </row>
    <row r="12" spans="1:22" x14ac:dyDescent="0.25">
      <c r="A12" s="1237"/>
      <c r="B12" s="368" t="s">
        <v>1049</v>
      </c>
      <c r="C12" s="401">
        <f>'REVGEN (2)(1)'!D178</f>
        <v>58782243.799999997</v>
      </c>
      <c r="D12" s="402">
        <v>10308764</v>
      </c>
      <c r="E12" s="402">
        <f>T11</f>
        <v>17667658</v>
      </c>
      <c r="F12" s="403"/>
      <c r="G12" s="1240"/>
      <c r="H12" s="1257"/>
      <c r="I12" s="1257"/>
      <c r="J12" s="1228"/>
      <c r="K12" s="1216"/>
      <c r="L12" s="1216"/>
      <c r="M12" s="1216"/>
      <c r="N12" s="1216"/>
      <c r="O12" s="1219"/>
      <c r="P12" s="369">
        <f>+H11-C12</f>
        <v>-58782244</v>
      </c>
      <c r="Q12" s="370">
        <f>H11-E12</f>
        <v>-17667658</v>
      </c>
      <c r="S12" s="1255"/>
      <c r="T12" s="1255"/>
      <c r="U12" s="1225"/>
      <c r="V12" s="1228"/>
    </row>
    <row r="13" spans="1:22" ht="16.5" thickBot="1" x14ac:dyDescent="0.3">
      <c r="A13" s="1238"/>
      <c r="B13" s="371" t="s">
        <v>1050</v>
      </c>
      <c r="C13" s="404">
        <f>C11-C12</f>
        <v>-27432243.800000001</v>
      </c>
      <c r="D13" s="405">
        <f>+D11-D12</f>
        <v>30481250</v>
      </c>
      <c r="E13" s="405">
        <f>E11-E12</f>
        <v>1955693</v>
      </c>
      <c r="F13" s="406"/>
      <c r="G13" s="1241"/>
      <c r="H13" s="1258"/>
      <c r="I13" s="1258"/>
      <c r="J13" s="1229"/>
      <c r="K13" s="1217"/>
      <c r="L13" s="1217"/>
      <c r="M13" s="1217"/>
      <c r="N13" s="1217"/>
      <c r="O13" s="1220"/>
      <c r="P13" s="372">
        <f>+P11-P12</f>
        <v>27432244</v>
      </c>
      <c r="Q13" s="373">
        <f>+Q11-Q12</f>
        <v>-1955693</v>
      </c>
      <c r="S13" s="1256"/>
      <c r="T13" s="1256"/>
      <c r="U13" s="1226"/>
      <c r="V13" s="1229"/>
    </row>
    <row r="14" spans="1:22" ht="15.75" customHeight="1" x14ac:dyDescent="0.25">
      <c r="A14" s="1236" t="s">
        <v>1052</v>
      </c>
      <c r="B14" s="365" t="s">
        <v>1048</v>
      </c>
      <c r="C14" s="398">
        <f>'REVGEN (2)(3)'!D48</f>
        <v>2100000</v>
      </c>
      <c r="D14" s="399">
        <v>415417</v>
      </c>
      <c r="E14" s="399">
        <f>S14</f>
        <v>453072</v>
      </c>
      <c r="F14" s="399"/>
      <c r="G14" s="1239">
        <f>'REVGEN (2)(3)'!G48</f>
        <v>0</v>
      </c>
      <c r="H14" s="1239">
        <f>'REVGEN (2)(3)'!G178</f>
        <v>0</v>
      </c>
      <c r="I14" s="1239">
        <f>G14-H14</f>
        <v>0</v>
      </c>
      <c r="J14" s="1227" t="e">
        <f>G14/H14</f>
        <v>#DIV/0!</v>
      </c>
      <c r="K14" s="1215">
        <f>[1]NE!F31</f>
        <v>67060</v>
      </c>
      <c r="L14" s="1215">
        <f>IF([1]NE!F63&gt;0,([1]NE!F63),([1]NE!F63*-1))</f>
        <v>32008</v>
      </c>
      <c r="M14" s="1215">
        <f>IF([1]NE!F64&gt;0,([1]NE!F64),([1]NE!F64*-1))</f>
        <v>25111</v>
      </c>
      <c r="N14" s="1215">
        <f>I14-L14-M14</f>
        <v>-57119</v>
      </c>
      <c r="O14" s="1218">
        <f>G14/(H14+L14+M14)</f>
        <v>0</v>
      </c>
      <c r="P14" s="366">
        <f>+G14-C14</f>
        <v>-2100000</v>
      </c>
      <c r="Q14" s="367">
        <f>G14-E14</f>
        <v>-453072</v>
      </c>
      <c r="S14" s="1254">
        <v>453072</v>
      </c>
      <c r="T14" s="1254">
        <v>247675</v>
      </c>
      <c r="U14" s="1224">
        <f>S14-T14</f>
        <v>205397</v>
      </c>
      <c r="V14" s="1227">
        <f>S14/T14</f>
        <v>1.83</v>
      </c>
    </row>
    <row r="15" spans="1:22" x14ac:dyDescent="0.25">
      <c r="A15" s="1237"/>
      <c r="B15" s="368" t="s">
        <v>1049</v>
      </c>
      <c r="C15" s="401">
        <f>'REVGEN (2)(3)'!D178</f>
        <v>1765908.9</v>
      </c>
      <c r="D15" s="402">
        <v>0</v>
      </c>
      <c r="E15" s="402">
        <f>T14</f>
        <v>247675</v>
      </c>
      <c r="F15" s="407"/>
      <c r="G15" s="1257"/>
      <c r="H15" s="1257"/>
      <c r="I15" s="1257"/>
      <c r="J15" s="1228"/>
      <c r="K15" s="1216"/>
      <c r="L15" s="1216"/>
      <c r="M15" s="1216"/>
      <c r="N15" s="1216"/>
      <c r="O15" s="1219"/>
      <c r="P15" s="369">
        <f>+H14-C15</f>
        <v>-1765909</v>
      </c>
      <c r="Q15" s="370">
        <f>H14-E15</f>
        <v>-247675</v>
      </c>
      <c r="S15" s="1255"/>
      <c r="T15" s="1255"/>
      <c r="U15" s="1225"/>
      <c r="V15" s="1228"/>
    </row>
    <row r="16" spans="1:22" ht="16.5" thickBot="1" x14ac:dyDescent="0.3">
      <c r="A16" s="1238"/>
      <c r="B16" s="371" t="s">
        <v>1050</v>
      </c>
      <c r="C16" s="404">
        <f>C14-C15</f>
        <v>334091.09999999998</v>
      </c>
      <c r="D16" s="405">
        <f>+D14-D15</f>
        <v>415417</v>
      </c>
      <c r="E16" s="405">
        <f>E14-E15</f>
        <v>205397</v>
      </c>
      <c r="F16" s="406"/>
      <c r="G16" s="1258"/>
      <c r="H16" s="1258"/>
      <c r="I16" s="1258"/>
      <c r="J16" s="1229"/>
      <c r="K16" s="1217"/>
      <c r="L16" s="1217"/>
      <c r="M16" s="1217"/>
      <c r="N16" s="1217"/>
      <c r="O16" s="1220"/>
      <c r="P16" s="372">
        <f>+P14-P15</f>
        <v>-334091</v>
      </c>
      <c r="Q16" s="373">
        <f>+Q14-Q15</f>
        <v>-205397</v>
      </c>
      <c r="S16" s="1256"/>
      <c r="T16" s="1256"/>
      <c r="U16" s="1226"/>
      <c r="V16" s="1229"/>
    </row>
    <row r="17" spans="1:22" x14ac:dyDescent="0.25">
      <c r="A17" s="1236" t="s">
        <v>1053</v>
      </c>
      <c r="B17" s="365" t="s">
        <v>1048</v>
      </c>
      <c r="C17" s="398">
        <f>'REVGEN (2)(4)'!D48</f>
        <v>0</v>
      </c>
      <c r="D17" s="399">
        <v>894146</v>
      </c>
      <c r="E17" s="399">
        <f>S17</f>
        <v>0</v>
      </c>
      <c r="F17" s="400"/>
      <c r="G17" s="1239">
        <f>'REVGEN (2)(4)'!G48</f>
        <v>0</v>
      </c>
      <c r="H17" s="1239">
        <f>'REVGEN (2)(4)'!G178</f>
        <v>0</v>
      </c>
      <c r="I17" s="1239">
        <f>G17-H17</f>
        <v>0</v>
      </c>
      <c r="J17" s="1227" t="e">
        <f>G17/H17</f>
        <v>#DIV/0!</v>
      </c>
      <c r="K17" s="1215">
        <f>[1]BNE!F31</f>
        <v>1011562</v>
      </c>
      <c r="L17" s="1215">
        <v>0</v>
      </c>
      <c r="M17" s="1215">
        <f>IF([1]BNE!F62&gt;0,([1]BNE!F62),([1]BNE!F62*-1))</f>
        <v>0</v>
      </c>
      <c r="N17" s="1215">
        <v>0</v>
      </c>
      <c r="O17" s="1218" t="e">
        <f>G17/(H17+L17+M17)</f>
        <v>#DIV/0!</v>
      </c>
      <c r="P17" s="366">
        <f>+G17-C17</f>
        <v>0</v>
      </c>
      <c r="Q17" s="367">
        <f>G17-E17</f>
        <v>0</v>
      </c>
      <c r="S17" s="1254">
        <v>0</v>
      </c>
      <c r="T17" s="1254">
        <v>32517124</v>
      </c>
      <c r="U17" s="1224">
        <f>S17-T17</f>
        <v>-32517124</v>
      </c>
      <c r="V17" s="1227">
        <f>S17/T17</f>
        <v>0</v>
      </c>
    </row>
    <row r="18" spans="1:22" x14ac:dyDescent="0.25">
      <c r="A18" s="1237"/>
      <c r="B18" s="368" t="s">
        <v>1049</v>
      </c>
      <c r="C18" s="401">
        <f>'REVGEN (2)(4)'!D178</f>
        <v>8541585.5</v>
      </c>
      <c r="D18" s="402">
        <v>7221536</v>
      </c>
      <c r="E18" s="402">
        <f>T17</f>
        <v>32517124</v>
      </c>
      <c r="F18" s="407"/>
      <c r="G18" s="1257"/>
      <c r="H18" s="1257"/>
      <c r="I18" s="1257"/>
      <c r="J18" s="1228"/>
      <c r="K18" s="1216"/>
      <c r="L18" s="1216"/>
      <c r="M18" s="1216"/>
      <c r="N18" s="1216"/>
      <c r="O18" s="1219"/>
      <c r="P18" s="369">
        <f>+H17-C18</f>
        <v>-8541586</v>
      </c>
      <c r="Q18" s="370">
        <f>H17-E18</f>
        <v>-32517124</v>
      </c>
      <c r="S18" s="1255"/>
      <c r="T18" s="1255"/>
      <c r="U18" s="1225"/>
      <c r="V18" s="1228"/>
    </row>
    <row r="19" spans="1:22" ht="16.5" thickBot="1" x14ac:dyDescent="0.3">
      <c r="A19" s="1238"/>
      <c r="B19" s="371" t="s">
        <v>1050</v>
      </c>
      <c r="C19" s="404">
        <f>C17-C18</f>
        <v>-8541585.5</v>
      </c>
      <c r="D19" s="405">
        <f>+D17-D18</f>
        <v>-6327390</v>
      </c>
      <c r="E19" s="405">
        <f>E17-E18</f>
        <v>-32517124</v>
      </c>
      <c r="F19" s="406"/>
      <c r="G19" s="1258"/>
      <c r="H19" s="1258"/>
      <c r="I19" s="1258"/>
      <c r="J19" s="1229"/>
      <c r="K19" s="1217"/>
      <c r="L19" s="1217"/>
      <c r="M19" s="1217"/>
      <c r="N19" s="1217"/>
      <c r="O19" s="1220"/>
      <c r="P19" s="372">
        <f>+P17-P18</f>
        <v>8541586</v>
      </c>
      <c r="Q19" s="373">
        <f>+Q17-Q18</f>
        <v>32517124</v>
      </c>
      <c r="S19" s="1256"/>
      <c r="T19" s="1256"/>
      <c r="U19" s="1226"/>
      <c r="V19" s="1229"/>
    </row>
    <row r="20" spans="1:22" ht="15.75" customHeight="1" x14ac:dyDescent="0.25">
      <c r="A20" s="1248" t="s">
        <v>360</v>
      </c>
      <c r="B20" s="374" t="s">
        <v>1048</v>
      </c>
      <c r="C20" s="408">
        <f t="shared" ref="C20:E21" si="0">C8+C11+C14+C17</f>
        <v>35612078.100000001</v>
      </c>
      <c r="D20" s="409">
        <f t="shared" si="0"/>
        <v>42403264</v>
      </c>
      <c r="E20" s="409">
        <f t="shared" si="0"/>
        <v>20252453</v>
      </c>
      <c r="F20" s="410"/>
      <c r="G20" s="1259">
        <f>SUM(G8:G19)</f>
        <v>0</v>
      </c>
      <c r="H20" s="1259">
        <f>SUM(H8:H19)</f>
        <v>0</v>
      </c>
      <c r="I20" s="1259">
        <f>SUM(I8:I19)</f>
        <v>0</v>
      </c>
      <c r="J20" s="1233" t="e">
        <f>G20/H20</f>
        <v>#DIV/0!</v>
      </c>
      <c r="K20" s="1242">
        <f>SUM(K8:K19)</f>
        <v>3407274</v>
      </c>
      <c r="L20" s="1242">
        <f>SUM(L8:L19)</f>
        <v>1143495</v>
      </c>
      <c r="M20" s="1242">
        <f>SUM(M8:M19)</f>
        <v>897077</v>
      </c>
      <c r="N20" s="1242">
        <f>SUM(N8:N19)</f>
        <v>-2040572</v>
      </c>
      <c r="O20" s="1245">
        <f>G20/(H20+M20)</f>
        <v>0</v>
      </c>
      <c r="P20" s="375">
        <f t="shared" ref="P20:Q22" si="1">P8+P11+P14+P17</f>
        <v>-35612078</v>
      </c>
      <c r="Q20" s="376">
        <f t="shared" si="1"/>
        <v>-20252453</v>
      </c>
      <c r="S20" s="1242">
        <f>SUM(S8:S19)</f>
        <v>20252453</v>
      </c>
      <c r="T20" s="1242">
        <f>SUM(T8:T19)</f>
        <v>52040079</v>
      </c>
      <c r="U20" s="1242">
        <f>SUM(U8:U19)</f>
        <v>-31787626</v>
      </c>
      <c r="V20" s="1233">
        <f>S20/T20</f>
        <v>0.39</v>
      </c>
    </row>
    <row r="21" spans="1:22" x14ac:dyDescent="0.25">
      <c r="A21" s="1249"/>
      <c r="B21" s="377" t="s">
        <v>1049</v>
      </c>
      <c r="C21" s="411">
        <f t="shared" si="0"/>
        <v>73126696.099999994</v>
      </c>
      <c r="D21" s="411">
        <f t="shared" si="0"/>
        <v>18007172</v>
      </c>
      <c r="E21" s="411">
        <f t="shared" si="0"/>
        <v>52040079</v>
      </c>
      <c r="F21" s="412"/>
      <c r="G21" s="1260"/>
      <c r="H21" s="1260"/>
      <c r="I21" s="1260"/>
      <c r="J21" s="1234"/>
      <c r="K21" s="1243"/>
      <c r="L21" s="1243"/>
      <c r="M21" s="1243"/>
      <c r="N21" s="1243"/>
      <c r="O21" s="1246"/>
      <c r="P21" s="378">
        <f t="shared" si="1"/>
        <v>-73126697</v>
      </c>
      <c r="Q21" s="379">
        <f t="shared" si="1"/>
        <v>-52040079</v>
      </c>
      <c r="S21" s="1243"/>
      <c r="T21" s="1243"/>
      <c r="U21" s="1243"/>
      <c r="V21" s="1234"/>
    </row>
    <row r="22" spans="1:22" ht="16.5" thickBot="1" x14ac:dyDescent="0.3">
      <c r="A22" s="1250"/>
      <c r="B22" s="380" t="s">
        <v>1050</v>
      </c>
      <c r="C22" s="413">
        <f>C20-C21</f>
        <v>-37514618</v>
      </c>
      <c r="D22" s="413">
        <f>D20-D21</f>
        <v>24396092</v>
      </c>
      <c r="E22" s="413">
        <f>E20-E21</f>
        <v>-31787626</v>
      </c>
      <c r="F22" s="414"/>
      <c r="G22" s="1261"/>
      <c r="H22" s="1261"/>
      <c r="I22" s="1261"/>
      <c r="J22" s="1235"/>
      <c r="K22" s="1244"/>
      <c r="L22" s="1244"/>
      <c r="M22" s="1244"/>
      <c r="N22" s="1244"/>
      <c r="O22" s="1247"/>
      <c r="P22" s="381">
        <f t="shared" si="1"/>
        <v>37514619</v>
      </c>
      <c r="Q22" s="382">
        <f t="shared" si="1"/>
        <v>31787626</v>
      </c>
      <c r="S22" s="1244"/>
      <c r="T22" s="1244"/>
      <c r="U22" s="1244"/>
      <c r="V22" s="1235"/>
    </row>
    <row r="23" spans="1:22" ht="15.75" customHeight="1" x14ac:dyDescent="0.25">
      <c r="A23" s="1236" t="s">
        <v>1054</v>
      </c>
      <c r="B23" s="365" t="s">
        <v>1048</v>
      </c>
      <c r="C23" s="398">
        <f>'REVGEN (3)(1)'!D48</f>
        <v>500000</v>
      </c>
      <c r="D23" s="399">
        <v>5421096</v>
      </c>
      <c r="E23" s="399">
        <f>S23</f>
        <v>2931038</v>
      </c>
      <c r="F23" s="415"/>
      <c r="G23" s="1239">
        <f>'REVGEN (3)(1)'!G48</f>
        <v>0</v>
      </c>
      <c r="H23" s="1239">
        <f>'REVGEN (3)(1)'!G178</f>
        <v>0</v>
      </c>
      <c r="I23" s="1239">
        <f>G23-H23</f>
        <v>0</v>
      </c>
      <c r="J23" s="1227" t="e">
        <f>G23/H23</f>
        <v>#DIV/0!</v>
      </c>
      <c r="K23" s="1215">
        <f>[1]PAM!F31</f>
        <v>510171</v>
      </c>
      <c r="L23" s="1215">
        <f>IF([1]PAM!F63&gt;0,([1]PAM!F63),([1]PAM!F63*-1))</f>
        <v>66135</v>
      </c>
      <c r="M23" s="1215">
        <f>IF([1]PAM!F64&gt;0,([1]PAM!F64),([1]PAM!F64*-1))</f>
        <v>191034</v>
      </c>
      <c r="N23" s="1215">
        <f>I23-L23-M23</f>
        <v>-257169</v>
      </c>
      <c r="O23" s="1218">
        <f>G23/(H23+L23+M23)</f>
        <v>0</v>
      </c>
      <c r="P23" s="366">
        <f>+G23-C23</f>
        <v>-500000</v>
      </c>
      <c r="Q23" s="383">
        <f>G23-E23</f>
        <v>-2931038</v>
      </c>
      <c r="S23" s="1221">
        <v>2931038</v>
      </c>
      <c r="T23" s="1221">
        <v>4119328</v>
      </c>
      <c r="U23" s="1224">
        <f>S23-T23</f>
        <v>-1188290</v>
      </c>
      <c r="V23" s="1227">
        <f>S23/T23</f>
        <v>0.71</v>
      </c>
    </row>
    <row r="24" spans="1:22" x14ac:dyDescent="0.25">
      <c r="A24" s="1237"/>
      <c r="B24" s="368" t="s">
        <v>1049</v>
      </c>
      <c r="C24" s="401">
        <f>'REVGEN (3)(1)'!D178</f>
        <v>7240744.2000000002</v>
      </c>
      <c r="D24" s="402">
        <v>1987891</v>
      </c>
      <c r="E24" s="402">
        <f>T23</f>
        <v>4119328</v>
      </c>
      <c r="F24" s="407"/>
      <c r="G24" s="1240"/>
      <c r="H24" s="1240"/>
      <c r="I24" s="1257"/>
      <c r="J24" s="1228"/>
      <c r="K24" s="1216"/>
      <c r="L24" s="1216"/>
      <c r="M24" s="1216"/>
      <c r="N24" s="1216"/>
      <c r="O24" s="1219"/>
      <c r="P24" s="369">
        <f>+H23-C24</f>
        <v>-7240744</v>
      </c>
      <c r="Q24" s="370">
        <f>H23-E24</f>
        <v>-4119328</v>
      </c>
      <c r="S24" s="1222"/>
      <c r="T24" s="1222"/>
      <c r="U24" s="1225"/>
      <c r="V24" s="1228"/>
    </row>
    <row r="25" spans="1:22" ht="16.5" thickBot="1" x14ac:dyDescent="0.3">
      <c r="A25" s="1238"/>
      <c r="B25" s="371" t="s">
        <v>1050</v>
      </c>
      <c r="C25" s="404">
        <f>C23-C24</f>
        <v>-6740744.2000000002</v>
      </c>
      <c r="D25" s="416">
        <f>+D23-D24</f>
        <v>3433205</v>
      </c>
      <c r="E25" s="405">
        <f>E23-E24</f>
        <v>-1188290</v>
      </c>
      <c r="F25" s="406"/>
      <c r="G25" s="1241"/>
      <c r="H25" s="1241"/>
      <c r="I25" s="1258"/>
      <c r="J25" s="1229"/>
      <c r="K25" s="1217"/>
      <c r="L25" s="1217"/>
      <c r="M25" s="1217"/>
      <c r="N25" s="1217"/>
      <c r="O25" s="1220"/>
      <c r="P25" s="372">
        <f>+P23-P24</f>
        <v>6740744</v>
      </c>
      <c r="Q25" s="373">
        <f>+Q23-Q24</f>
        <v>1188290</v>
      </c>
      <c r="S25" s="1223"/>
      <c r="T25" s="1223"/>
      <c r="U25" s="1226"/>
      <c r="V25" s="1229"/>
    </row>
    <row r="26" spans="1:22" ht="15.75" customHeight="1" x14ac:dyDescent="0.25">
      <c r="A26" s="1236" t="s">
        <v>1055</v>
      </c>
      <c r="B26" s="365" t="s">
        <v>1048</v>
      </c>
      <c r="C26" s="398">
        <f>'REVGEN (3)(2)'!D48</f>
        <v>0</v>
      </c>
      <c r="D26" s="399">
        <v>2089737</v>
      </c>
      <c r="E26" s="399">
        <f>S26</f>
        <v>1080770</v>
      </c>
      <c r="F26" s="400"/>
      <c r="G26" s="1239">
        <f>'REVGEN (3)(2)'!G48</f>
        <v>0</v>
      </c>
      <c r="H26" s="1239">
        <f>'REVGEN (3)(2)'!G178</f>
        <v>0</v>
      </c>
      <c r="I26" s="1239">
        <f>G26-H26</f>
        <v>0</v>
      </c>
      <c r="J26" s="1227" t="e">
        <f>G26/H26</f>
        <v>#DIV/0!</v>
      </c>
      <c r="K26" s="1215">
        <f>[1]BAT!F31</f>
        <v>127162</v>
      </c>
      <c r="L26" s="1215">
        <f>IF([1]BAT!F63&gt;0,([1]BAT!F63),([1]BAT!F63*-1))</f>
        <v>16484</v>
      </c>
      <c r="M26" s="1215">
        <f>IF([1]BAT!F64&gt;0,([1]BAT!F64),([1]BAT!F64*-1))</f>
        <v>47616</v>
      </c>
      <c r="N26" s="1215">
        <f>I26-L26-M26</f>
        <v>-64100</v>
      </c>
      <c r="O26" s="1218">
        <f>G26/(H26+L26+M26)</f>
        <v>0</v>
      </c>
      <c r="P26" s="366">
        <f>+G26-C26</f>
        <v>0</v>
      </c>
      <c r="Q26" s="367">
        <f>G26-E26</f>
        <v>-1080770</v>
      </c>
      <c r="S26" s="1221">
        <v>1080770</v>
      </c>
      <c r="T26" s="1221">
        <v>959853</v>
      </c>
      <c r="U26" s="1224">
        <f>S26-T26</f>
        <v>120917</v>
      </c>
      <c r="V26" s="1227">
        <f>S26/T26</f>
        <v>1.1299999999999999</v>
      </c>
    </row>
    <row r="27" spans="1:22" x14ac:dyDescent="0.25">
      <c r="A27" s="1237"/>
      <c r="B27" s="368" t="s">
        <v>1049</v>
      </c>
      <c r="C27" s="401">
        <f>'REVGEN (3)(2)'!D178</f>
        <v>1764899.4</v>
      </c>
      <c r="D27" s="402">
        <v>926166</v>
      </c>
      <c r="E27" s="402">
        <f>T26</f>
        <v>959853</v>
      </c>
      <c r="F27" s="403"/>
      <c r="G27" s="1240"/>
      <c r="H27" s="1240"/>
      <c r="I27" s="1257"/>
      <c r="J27" s="1228"/>
      <c r="K27" s="1216"/>
      <c r="L27" s="1216"/>
      <c r="M27" s="1216"/>
      <c r="N27" s="1216"/>
      <c r="O27" s="1219"/>
      <c r="P27" s="369">
        <f>+H26-C27</f>
        <v>-1764899</v>
      </c>
      <c r="Q27" s="370">
        <f>H26-E27</f>
        <v>-959853</v>
      </c>
      <c r="S27" s="1222"/>
      <c r="T27" s="1222"/>
      <c r="U27" s="1225"/>
      <c r="V27" s="1228"/>
    </row>
    <row r="28" spans="1:22" ht="16.5" thickBot="1" x14ac:dyDescent="0.3">
      <c r="A28" s="1238"/>
      <c r="B28" s="371" t="s">
        <v>1050</v>
      </c>
      <c r="C28" s="404">
        <f>C26-C27</f>
        <v>-1764899.4</v>
      </c>
      <c r="D28" s="405">
        <f>+D26-D27</f>
        <v>1163571</v>
      </c>
      <c r="E28" s="405">
        <f>E26-E27</f>
        <v>120917</v>
      </c>
      <c r="F28" s="406"/>
      <c r="G28" s="1241"/>
      <c r="H28" s="1241"/>
      <c r="I28" s="1258"/>
      <c r="J28" s="1229"/>
      <c r="K28" s="1217"/>
      <c r="L28" s="1217"/>
      <c r="M28" s="1217"/>
      <c r="N28" s="1217"/>
      <c r="O28" s="1220"/>
      <c r="P28" s="372">
        <f>+P26-P27</f>
        <v>1764899</v>
      </c>
      <c r="Q28" s="373">
        <f>+Q26-Q27</f>
        <v>-120917</v>
      </c>
      <c r="S28" s="1223"/>
      <c r="T28" s="1223"/>
      <c r="U28" s="1226"/>
      <c r="V28" s="1229"/>
    </row>
    <row r="29" spans="1:22" x14ac:dyDescent="0.25">
      <c r="A29" s="1236" t="s">
        <v>398</v>
      </c>
      <c r="B29" s="365" t="s">
        <v>1048</v>
      </c>
      <c r="C29" s="398">
        <f>'REVGEN (3)(3)'!D48</f>
        <v>1000000</v>
      </c>
      <c r="D29" s="399">
        <v>5749109</v>
      </c>
      <c r="E29" s="399">
        <f>S29</f>
        <v>926350</v>
      </c>
      <c r="F29" s="417"/>
      <c r="G29" s="1239">
        <f>'REVGEN (3)(3)'!G48</f>
        <v>0</v>
      </c>
      <c r="H29" s="1239">
        <f>'REVGEN (3)(3)'!G178</f>
        <v>0</v>
      </c>
      <c r="I29" s="1239">
        <f>G29-H29</f>
        <v>0</v>
      </c>
      <c r="J29" s="1227" t="e">
        <f>G29/H29</f>
        <v>#DIV/0!</v>
      </c>
      <c r="K29" s="1215">
        <f>[1]PDRIS!F31</f>
        <v>836800</v>
      </c>
      <c r="L29" s="1215">
        <f>IF([1]PDRIS!F63&gt;0,([1]PDRIS!F63),([1]PDRIS!F63*-1))</f>
        <v>108477</v>
      </c>
      <c r="M29" s="1215">
        <f>IF([1]PDRIS!F64&gt;0,([1]PDRIS!F64),([1]PDRIS!F64*-1))</f>
        <v>313341</v>
      </c>
      <c r="N29" s="1215">
        <f>I29-L29-M29</f>
        <v>-421818</v>
      </c>
      <c r="O29" s="1218">
        <f>G29/(H29+L29+M29)</f>
        <v>0</v>
      </c>
      <c r="P29" s="366">
        <f>+G29-C29</f>
        <v>-1000000</v>
      </c>
      <c r="Q29" s="367">
        <f>G29-E29</f>
        <v>-926350</v>
      </c>
      <c r="S29" s="1221">
        <v>926350</v>
      </c>
      <c r="T29" s="1221">
        <v>6137638</v>
      </c>
      <c r="U29" s="1224">
        <f>S29-T29</f>
        <v>-5211288</v>
      </c>
      <c r="V29" s="1227">
        <f>S29/T29</f>
        <v>0.15</v>
      </c>
    </row>
    <row r="30" spans="1:22" x14ac:dyDescent="0.25">
      <c r="A30" s="1237"/>
      <c r="B30" s="368" t="s">
        <v>1049</v>
      </c>
      <c r="C30" s="401">
        <f>'REVGEN (3)(3)'!D178</f>
        <v>11849829.5</v>
      </c>
      <c r="D30" s="402">
        <v>4600248</v>
      </c>
      <c r="E30" s="402">
        <f>T29</f>
        <v>6137638</v>
      </c>
      <c r="F30" s="407"/>
      <c r="G30" s="1240"/>
      <c r="H30" s="1240"/>
      <c r="I30" s="1257"/>
      <c r="J30" s="1228"/>
      <c r="K30" s="1216"/>
      <c r="L30" s="1216"/>
      <c r="M30" s="1216"/>
      <c r="N30" s="1216"/>
      <c r="O30" s="1219"/>
      <c r="P30" s="369">
        <f>+H29-C30</f>
        <v>-11849830</v>
      </c>
      <c r="Q30" s="370">
        <f>H29-E30</f>
        <v>-6137638</v>
      </c>
      <c r="S30" s="1222"/>
      <c r="T30" s="1222"/>
      <c r="U30" s="1225"/>
      <c r="V30" s="1228"/>
    </row>
    <row r="31" spans="1:22" ht="16.5" thickBot="1" x14ac:dyDescent="0.3">
      <c r="A31" s="1238"/>
      <c r="B31" s="371" t="s">
        <v>1050</v>
      </c>
      <c r="C31" s="404">
        <f>C29-C30</f>
        <v>-10849829.5</v>
      </c>
      <c r="D31" s="416">
        <f>+D29-D30</f>
        <v>1148861</v>
      </c>
      <c r="E31" s="405">
        <f>E29-E30</f>
        <v>-5211288</v>
      </c>
      <c r="F31" s="406"/>
      <c r="G31" s="1241"/>
      <c r="H31" s="1241"/>
      <c r="I31" s="1258"/>
      <c r="J31" s="1229"/>
      <c r="K31" s="1217"/>
      <c r="L31" s="1217"/>
      <c r="M31" s="1217"/>
      <c r="N31" s="1217"/>
      <c r="O31" s="1220"/>
      <c r="P31" s="372">
        <f>+P29-P30</f>
        <v>10849830</v>
      </c>
      <c r="Q31" s="373">
        <f>+Q29-Q30</f>
        <v>5211288</v>
      </c>
      <c r="S31" s="1223"/>
      <c r="T31" s="1223"/>
      <c r="U31" s="1226"/>
      <c r="V31" s="1229"/>
    </row>
    <row r="32" spans="1:22" x14ac:dyDescent="0.25">
      <c r="A32" s="1236" t="s">
        <v>1053</v>
      </c>
      <c r="B32" s="365" t="s">
        <v>1048</v>
      </c>
      <c r="C32" s="398">
        <f>'REVGEN (3)(4)'!D48</f>
        <v>1628000</v>
      </c>
      <c r="D32" s="399">
        <v>0</v>
      </c>
      <c r="E32" s="399">
        <f>S32</f>
        <v>0</v>
      </c>
      <c r="F32" s="400"/>
      <c r="G32" s="1239">
        <f>'REVGEN (3)(4)'!G48</f>
        <v>0</v>
      </c>
      <c r="H32" s="1239">
        <f>'REVGEN (3)(4)'!G178</f>
        <v>0</v>
      </c>
      <c r="I32" s="1239">
        <f>G32-H32</f>
        <v>0</v>
      </c>
      <c r="J32" s="1227" t="e">
        <f>G32/H32</f>
        <v>#DIV/0!</v>
      </c>
      <c r="K32" s="1215">
        <f>[1]PMBT!F31</f>
        <v>826766</v>
      </c>
      <c r="L32" s="1215">
        <v>0</v>
      </c>
      <c r="M32" s="1215">
        <f>IF([1]PMBT!F62&gt;0,([1]PMBT!F62),([1]PMBT!F62*-1))</f>
        <v>0</v>
      </c>
      <c r="N32" s="1215">
        <v>0</v>
      </c>
      <c r="O32" s="1218" t="e">
        <f>G32/(H32+L32+M32)</f>
        <v>#DIV/0!</v>
      </c>
      <c r="P32" s="366">
        <f>+G32-C32</f>
        <v>-1628000</v>
      </c>
      <c r="Q32" s="367">
        <f>G32-E32</f>
        <v>0</v>
      </c>
      <c r="S32" s="1221">
        <v>0</v>
      </c>
      <c r="T32" s="1221">
        <v>8882641</v>
      </c>
      <c r="U32" s="1224">
        <f>S32-T32</f>
        <v>-8882641</v>
      </c>
      <c r="V32" s="1227">
        <f>S32/T32</f>
        <v>0</v>
      </c>
    </row>
    <row r="33" spans="1:22" x14ac:dyDescent="0.25">
      <c r="A33" s="1237"/>
      <c r="B33" s="368" t="s">
        <v>1049</v>
      </c>
      <c r="C33" s="401">
        <f>'REVGEN (3)(4)'!D178</f>
        <v>16078535.199999999</v>
      </c>
      <c r="D33" s="402">
        <v>5013043</v>
      </c>
      <c r="E33" s="402">
        <f>T32</f>
        <v>8882641</v>
      </c>
      <c r="F33" s="407"/>
      <c r="G33" s="1240"/>
      <c r="H33" s="1240"/>
      <c r="I33" s="1257"/>
      <c r="J33" s="1228"/>
      <c r="K33" s="1216"/>
      <c r="L33" s="1216"/>
      <c r="M33" s="1216"/>
      <c r="N33" s="1216"/>
      <c r="O33" s="1219"/>
      <c r="P33" s="369">
        <f>+H32-C33</f>
        <v>-16078535</v>
      </c>
      <c r="Q33" s="370">
        <f>H32-E33</f>
        <v>-8882641</v>
      </c>
      <c r="S33" s="1222"/>
      <c r="T33" s="1222"/>
      <c r="U33" s="1225"/>
      <c r="V33" s="1228"/>
    </row>
    <row r="34" spans="1:22" ht="16.5" thickBot="1" x14ac:dyDescent="0.3">
      <c r="A34" s="1238"/>
      <c r="B34" s="371" t="s">
        <v>1050</v>
      </c>
      <c r="C34" s="404">
        <f>C32-C33</f>
        <v>-14450535.199999999</v>
      </c>
      <c r="D34" s="405">
        <f>+D32-D33</f>
        <v>-5013043</v>
      </c>
      <c r="E34" s="405">
        <f>E32-E33</f>
        <v>-8882641</v>
      </c>
      <c r="F34" s="406"/>
      <c r="G34" s="1241"/>
      <c r="H34" s="1241"/>
      <c r="I34" s="1258"/>
      <c r="J34" s="1229"/>
      <c r="K34" s="1217"/>
      <c r="L34" s="1217"/>
      <c r="M34" s="1217"/>
      <c r="N34" s="1217"/>
      <c r="O34" s="1220"/>
      <c r="P34" s="372">
        <f>+P32-P33</f>
        <v>14450535</v>
      </c>
      <c r="Q34" s="373">
        <f>+Q32-Q33</f>
        <v>8882641</v>
      </c>
      <c r="S34" s="1223"/>
      <c r="T34" s="1223"/>
      <c r="U34" s="1226"/>
      <c r="V34" s="1229"/>
    </row>
    <row r="35" spans="1:22" ht="15.75" customHeight="1" x14ac:dyDescent="0.25">
      <c r="A35" s="1248" t="s">
        <v>361</v>
      </c>
      <c r="B35" s="374" t="s">
        <v>1048</v>
      </c>
      <c r="C35" s="408">
        <f t="shared" ref="C35:E36" si="2">C23+C26+C29+C32</f>
        <v>3128000</v>
      </c>
      <c r="D35" s="409">
        <f>D23+D26+D29+D32</f>
        <v>13259942</v>
      </c>
      <c r="E35" s="409">
        <f t="shared" si="2"/>
        <v>4938158</v>
      </c>
      <c r="F35" s="410"/>
      <c r="G35" s="1251">
        <f>G23+G26+G29+G32</f>
        <v>0</v>
      </c>
      <c r="H35" s="1251">
        <f>H23+H26+H29+H32</f>
        <v>0</v>
      </c>
      <c r="I35" s="1251">
        <f>I23+I26+I29+I32</f>
        <v>0</v>
      </c>
      <c r="J35" s="1233" t="e">
        <f>G35/H35</f>
        <v>#DIV/0!</v>
      </c>
      <c r="K35" s="1242">
        <f>SUM(K23:K34)</f>
        <v>2300899</v>
      </c>
      <c r="L35" s="1242">
        <f>SUM(L23:L34)</f>
        <v>191096</v>
      </c>
      <c r="M35" s="1242">
        <f>SUM(M23:M34)</f>
        <v>551991</v>
      </c>
      <c r="N35" s="1242">
        <f>SUM(N23:N34)</f>
        <v>-743087</v>
      </c>
      <c r="O35" s="1245">
        <f>G35/(H35+M35)</f>
        <v>0</v>
      </c>
      <c r="P35" s="375">
        <f t="shared" ref="P35:Q37" si="3">P23+P26+P29+P32</f>
        <v>-3128000</v>
      </c>
      <c r="Q35" s="376">
        <f t="shared" si="3"/>
        <v>-4938158</v>
      </c>
      <c r="S35" s="1230">
        <f>S23+S26+S29+S32</f>
        <v>4938158</v>
      </c>
      <c r="T35" s="1230">
        <f>T23+T26+T29+T32</f>
        <v>20099460</v>
      </c>
      <c r="U35" s="1230">
        <f>U23+U26+U29+U32</f>
        <v>-15161302</v>
      </c>
      <c r="V35" s="1233">
        <f>S35/T35</f>
        <v>0.25</v>
      </c>
    </row>
    <row r="36" spans="1:22" x14ac:dyDescent="0.25">
      <c r="A36" s="1249"/>
      <c r="B36" s="377" t="s">
        <v>1049</v>
      </c>
      <c r="C36" s="411">
        <f t="shared" si="2"/>
        <v>36934008.299999997</v>
      </c>
      <c r="D36" s="411">
        <f t="shared" si="2"/>
        <v>12527348</v>
      </c>
      <c r="E36" s="411">
        <f t="shared" si="2"/>
        <v>20099460</v>
      </c>
      <c r="F36" s="412"/>
      <c r="G36" s="1252"/>
      <c r="H36" s="1252"/>
      <c r="I36" s="1252"/>
      <c r="J36" s="1234"/>
      <c r="K36" s="1243"/>
      <c r="L36" s="1243"/>
      <c r="M36" s="1243"/>
      <c r="N36" s="1243"/>
      <c r="O36" s="1246"/>
      <c r="P36" s="378">
        <f t="shared" si="3"/>
        <v>-36934008</v>
      </c>
      <c r="Q36" s="379">
        <f t="shared" si="3"/>
        <v>-20099460</v>
      </c>
      <c r="S36" s="1231"/>
      <c r="T36" s="1231"/>
      <c r="U36" s="1231"/>
      <c r="V36" s="1234"/>
    </row>
    <row r="37" spans="1:22" ht="16.5" thickBot="1" x14ac:dyDescent="0.3">
      <c r="A37" s="1250"/>
      <c r="B37" s="380" t="s">
        <v>1050</v>
      </c>
      <c r="C37" s="413">
        <f>C35-C36</f>
        <v>-33806008.299999997</v>
      </c>
      <c r="D37" s="413">
        <f>D35-D36</f>
        <v>732594</v>
      </c>
      <c r="E37" s="413">
        <f>E35-E36</f>
        <v>-15161302</v>
      </c>
      <c r="F37" s="414"/>
      <c r="G37" s="1253"/>
      <c r="H37" s="1253"/>
      <c r="I37" s="1253"/>
      <c r="J37" s="1235"/>
      <c r="K37" s="1244"/>
      <c r="L37" s="1244"/>
      <c r="M37" s="1244"/>
      <c r="N37" s="1244"/>
      <c r="O37" s="1247"/>
      <c r="P37" s="381">
        <f t="shared" si="3"/>
        <v>33806008</v>
      </c>
      <c r="Q37" s="382">
        <f t="shared" si="3"/>
        <v>15161302</v>
      </c>
      <c r="S37" s="1232"/>
      <c r="T37" s="1232"/>
      <c r="U37" s="1232"/>
      <c r="V37" s="1235"/>
    </row>
    <row r="38" spans="1:22" ht="15.75" customHeight="1" x14ac:dyDescent="0.25">
      <c r="A38" s="1236" t="s">
        <v>1056</v>
      </c>
      <c r="B38" s="365" t="s">
        <v>1048</v>
      </c>
      <c r="C38" s="398">
        <f>'REVGEN (4)(1)'!D48</f>
        <v>200000</v>
      </c>
      <c r="D38" s="399">
        <v>5244524</v>
      </c>
      <c r="E38" s="399">
        <f>S38</f>
        <v>3656252</v>
      </c>
      <c r="F38" s="399"/>
      <c r="G38" s="1239">
        <f>'REVGEN (4)(1)'!G48</f>
        <v>0</v>
      </c>
      <c r="H38" s="1239">
        <f>'REVGEN (4)(1)'!G178</f>
        <v>0</v>
      </c>
      <c r="I38" s="1239">
        <f>G38-H38</f>
        <v>0</v>
      </c>
      <c r="J38" s="1227" t="e">
        <f>G38/H38</f>
        <v>#DIV/0!</v>
      </c>
      <c r="K38" s="1215">
        <f>[1]TAR!F31</f>
        <v>592480</v>
      </c>
      <c r="L38" s="1215">
        <f>IF([1]TAR!F63&gt;0,([1]TAR!F63),([1]TAR!F63*-1))</f>
        <v>427372</v>
      </c>
      <c r="M38" s="1215">
        <f>IF([1]TAR!F64&gt;0,([1]TAR!F64),([1]TAR!F64*-1))</f>
        <v>221855</v>
      </c>
      <c r="N38" s="1215">
        <f>I38-L38-M38</f>
        <v>-649227</v>
      </c>
      <c r="O38" s="1218">
        <f>G38/(H38+L38+M38)</f>
        <v>0</v>
      </c>
      <c r="P38" s="366">
        <f>+G38-C38</f>
        <v>-200000</v>
      </c>
      <c r="Q38" s="367">
        <f>G38-E38</f>
        <v>-3656252</v>
      </c>
      <c r="S38" s="1254">
        <v>3656252</v>
      </c>
      <c r="T38" s="1254">
        <v>4648665</v>
      </c>
      <c r="U38" s="1224">
        <f>S38-T38</f>
        <v>-992413</v>
      </c>
      <c r="V38" s="1227">
        <f>S38/T38</f>
        <v>0.79</v>
      </c>
    </row>
    <row r="39" spans="1:22" x14ac:dyDescent="0.25">
      <c r="A39" s="1237"/>
      <c r="B39" s="368" t="s">
        <v>1049</v>
      </c>
      <c r="C39" s="401">
        <f>'REVGEN (4)(1)'!D178</f>
        <v>10553570.300000001</v>
      </c>
      <c r="D39" s="402">
        <v>2528033</v>
      </c>
      <c r="E39" s="402">
        <f>T38</f>
        <v>4648665</v>
      </c>
      <c r="F39" s="407"/>
      <c r="G39" s="1240"/>
      <c r="H39" s="1240"/>
      <c r="I39" s="1240"/>
      <c r="J39" s="1228"/>
      <c r="K39" s="1216"/>
      <c r="L39" s="1216"/>
      <c r="M39" s="1216"/>
      <c r="N39" s="1216"/>
      <c r="O39" s="1219"/>
      <c r="P39" s="369">
        <f>+H38-C39</f>
        <v>-10553570</v>
      </c>
      <c r="Q39" s="370">
        <f>H38-E39</f>
        <v>-4648665</v>
      </c>
      <c r="S39" s="1255"/>
      <c r="T39" s="1255"/>
      <c r="U39" s="1225"/>
      <c r="V39" s="1228"/>
    </row>
    <row r="40" spans="1:22" ht="16.5" thickBot="1" x14ac:dyDescent="0.3">
      <c r="A40" s="1238"/>
      <c r="B40" s="371" t="s">
        <v>1050</v>
      </c>
      <c r="C40" s="404">
        <f>C38-C39</f>
        <v>-10353570.300000001</v>
      </c>
      <c r="D40" s="405">
        <f>+D38-D39</f>
        <v>2716491</v>
      </c>
      <c r="E40" s="405">
        <f>E38-E39</f>
        <v>-992413</v>
      </c>
      <c r="F40" s="406"/>
      <c r="G40" s="1241"/>
      <c r="H40" s="1241"/>
      <c r="I40" s="1241"/>
      <c r="J40" s="1229"/>
      <c r="K40" s="1217"/>
      <c r="L40" s="1217"/>
      <c r="M40" s="1217"/>
      <c r="N40" s="1217"/>
      <c r="O40" s="1220"/>
      <c r="P40" s="372">
        <f>+P38-P39</f>
        <v>10353570</v>
      </c>
      <c r="Q40" s="373">
        <f>+Q38-Q39</f>
        <v>992413</v>
      </c>
      <c r="S40" s="1256"/>
      <c r="T40" s="1256"/>
      <c r="U40" s="1226"/>
      <c r="V40" s="1229"/>
    </row>
    <row r="41" spans="1:22" ht="15.75" customHeight="1" x14ac:dyDescent="0.25">
      <c r="A41" s="1236" t="s">
        <v>1057</v>
      </c>
      <c r="B41" s="365" t="s">
        <v>1048</v>
      </c>
      <c r="C41" s="398">
        <f>'REVGEN (4)(2)'!D48</f>
        <v>50000</v>
      </c>
      <c r="D41" s="399">
        <v>1444619</v>
      </c>
      <c r="E41" s="399">
        <f>S41</f>
        <v>737303</v>
      </c>
      <c r="F41" s="400"/>
      <c r="G41" s="1239">
        <f>'REVGEN (4)(2)'!G48</f>
        <v>0</v>
      </c>
      <c r="H41" s="1239">
        <f>'REVGEN (4)(2)'!G178</f>
        <v>0</v>
      </c>
      <c r="I41" s="1239">
        <f>G41-H41</f>
        <v>0</v>
      </c>
      <c r="J41" s="1227" t="e">
        <f>G41/H41</f>
        <v>#DIV/0!</v>
      </c>
      <c r="K41" s="1215">
        <f>[1]ZAM!F31</f>
        <v>272433</v>
      </c>
      <c r="L41" s="1215">
        <f>IF([1]ZAM!F63&gt;0,([1]ZAM!F63),([1]ZAM!F63*-1))</f>
        <v>196513</v>
      </c>
      <c r="M41" s="1215">
        <f>IF([1]ZAM!F64&gt;0,([1]ZAM!F64),([1]ZAM!F64*-1))</f>
        <v>102013</v>
      </c>
      <c r="N41" s="1215">
        <f>I41-L41-M41</f>
        <v>-298526</v>
      </c>
      <c r="O41" s="1218">
        <f>G41/(H41+L41+M41)</f>
        <v>0</v>
      </c>
      <c r="P41" s="366">
        <f>+G41-C41</f>
        <v>-50000</v>
      </c>
      <c r="Q41" s="367">
        <f>G41-E41</f>
        <v>-737303</v>
      </c>
      <c r="S41" s="1254">
        <v>737303</v>
      </c>
      <c r="T41" s="1254">
        <v>1871393</v>
      </c>
      <c r="U41" s="1224">
        <f>S41-T41</f>
        <v>-1134090</v>
      </c>
      <c r="V41" s="1227">
        <f>S41/T41</f>
        <v>0.39</v>
      </c>
    </row>
    <row r="42" spans="1:22" x14ac:dyDescent="0.25">
      <c r="A42" s="1237"/>
      <c r="B42" s="368" t="s">
        <v>1049</v>
      </c>
      <c r="C42" s="401">
        <f>'REVGEN (4)(2)'!D178</f>
        <v>4735761.0999999996</v>
      </c>
      <c r="D42" s="402">
        <v>1226906</v>
      </c>
      <c r="E42" s="402">
        <f>T41</f>
        <v>1871393</v>
      </c>
      <c r="F42" s="407"/>
      <c r="G42" s="1240"/>
      <c r="H42" s="1240"/>
      <c r="I42" s="1240"/>
      <c r="J42" s="1228"/>
      <c r="K42" s="1216"/>
      <c r="L42" s="1216"/>
      <c r="M42" s="1216"/>
      <c r="N42" s="1216"/>
      <c r="O42" s="1219"/>
      <c r="P42" s="369">
        <f>+H41-C42</f>
        <v>-4735761</v>
      </c>
      <c r="Q42" s="370">
        <f>H41-E42</f>
        <v>-1871393</v>
      </c>
      <c r="S42" s="1255"/>
      <c r="T42" s="1255"/>
      <c r="U42" s="1225"/>
      <c r="V42" s="1228"/>
    </row>
    <row r="43" spans="1:22" ht="21.75" customHeight="1" thickBot="1" x14ac:dyDescent="0.3">
      <c r="A43" s="1238"/>
      <c r="B43" s="371" t="s">
        <v>1050</v>
      </c>
      <c r="C43" s="404">
        <f>C41-C42</f>
        <v>-4685761.0999999996</v>
      </c>
      <c r="D43" s="405">
        <f>+D41-D42</f>
        <v>217713</v>
      </c>
      <c r="E43" s="405">
        <f>E41-E42</f>
        <v>-1134090</v>
      </c>
      <c r="F43" s="406"/>
      <c r="G43" s="1241"/>
      <c r="H43" s="1241"/>
      <c r="I43" s="1241"/>
      <c r="J43" s="1229"/>
      <c r="K43" s="1217"/>
      <c r="L43" s="1217"/>
      <c r="M43" s="1217"/>
      <c r="N43" s="1217"/>
      <c r="O43" s="1220"/>
      <c r="P43" s="372">
        <f>+P41-P42</f>
        <v>4685761</v>
      </c>
      <c r="Q43" s="373">
        <f>+Q41-Q42</f>
        <v>1134090</v>
      </c>
      <c r="S43" s="1256"/>
      <c r="T43" s="1256"/>
      <c r="U43" s="1226"/>
      <c r="V43" s="1229"/>
    </row>
    <row r="44" spans="1:22" ht="15.75" customHeight="1" x14ac:dyDescent="0.25">
      <c r="A44" s="1236" t="s">
        <v>1058</v>
      </c>
      <c r="B44" s="365" t="s">
        <v>1048</v>
      </c>
      <c r="C44" s="398">
        <f>'REVGEN (4)(3)'!D48</f>
        <v>200000</v>
      </c>
      <c r="D44" s="399">
        <v>3400338</v>
      </c>
      <c r="E44" s="399">
        <f>S44</f>
        <v>1823983</v>
      </c>
      <c r="F44" s="417"/>
      <c r="G44" s="1239">
        <f>'REVGEN (4)(3)'!G48</f>
        <v>0</v>
      </c>
      <c r="H44" s="1239">
        <f>'REVGEN (4)(3)'!G178</f>
        <v>0</v>
      </c>
      <c r="I44" s="1239">
        <f>G44-H44</f>
        <v>0</v>
      </c>
      <c r="J44" s="1227" t="e">
        <f>G44/H44</f>
        <v>#DIV/0!</v>
      </c>
      <c r="K44" s="1215">
        <f>[1]CAMRIS!F31</f>
        <v>736182</v>
      </c>
      <c r="L44" s="1215">
        <f>IF([1]CAMRIS!F63&gt;0,([1]CAMRIS!F63),([1]CAMRIS!F63*-1))</f>
        <v>531027</v>
      </c>
      <c r="M44" s="1215">
        <f>IF([1]CAMRIS!F64&gt;0,([1]CAMRIS!F64),([1]CAMRIS!F64*-1))</f>
        <v>275664</v>
      </c>
      <c r="N44" s="1215">
        <f>I44-L44-M44</f>
        <v>-806691</v>
      </c>
      <c r="O44" s="1218">
        <f>G44/(H44+L44+M44)</f>
        <v>0</v>
      </c>
      <c r="P44" s="366">
        <f>+G44-C44</f>
        <v>-200000</v>
      </c>
      <c r="Q44" s="367">
        <f>G44-E44</f>
        <v>-1823983</v>
      </c>
      <c r="S44" s="1254">
        <v>1823983</v>
      </c>
      <c r="T44" s="1254">
        <v>4946212</v>
      </c>
      <c r="U44" s="1224">
        <f>S44-T44</f>
        <v>-3122229</v>
      </c>
      <c r="V44" s="1227">
        <f>S44/T44</f>
        <v>0.37</v>
      </c>
    </row>
    <row r="45" spans="1:22" x14ac:dyDescent="0.25">
      <c r="A45" s="1237"/>
      <c r="B45" s="368" t="s">
        <v>1049</v>
      </c>
      <c r="C45" s="401">
        <f>'REVGEN (4)(3)'!D178</f>
        <v>10509690.199999999</v>
      </c>
      <c r="D45" s="402">
        <v>2964941</v>
      </c>
      <c r="E45" s="402">
        <f>T44</f>
        <v>4946212</v>
      </c>
      <c r="F45" s="407"/>
      <c r="G45" s="1240"/>
      <c r="H45" s="1240"/>
      <c r="I45" s="1240"/>
      <c r="J45" s="1228"/>
      <c r="K45" s="1216"/>
      <c r="L45" s="1216"/>
      <c r="M45" s="1216"/>
      <c r="N45" s="1216"/>
      <c r="O45" s="1219"/>
      <c r="P45" s="369">
        <f>+H44-C45</f>
        <v>-10509690</v>
      </c>
      <c r="Q45" s="370">
        <f>H44-E45</f>
        <v>-4946212</v>
      </c>
      <c r="S45" s="1255"/>
      <c r="T45" s="1255"/>
      <c r="U45" s="1225"/>
      <c r="V45" s="1228"/>
    </row>
    <row r="46" spans="1:22" ht="16.5" thickBot="1" x14ac:dyDescent="0.3">
      <c r="A46" s="1238"/>
      <c r="B46" s="371" t="s">
        <v>1050</v>
      </c>
      <c r="C46" s="404">
        <f>C44-C45</f>
        <v>-10309690.199999999</v>
      </c>
      <c r="D46" s="416">
        <f>+D44-D45</f>
        <v>435397</v>
      </c>
      <c r="E46" s="405">
        <f>E44-E45</f>
        <v>-3122229</v>
      </c>
      <c r="F46" s="406"/>
      <c r="G46" s="1241"/>
      <c r="H46" s="1241"/>
      <c r="I46" s="1241"/>
      <c r="J46" s="1229"/>
      <c r="K46" s="1217"/>
      <c r="L46" s="1217"/>
      <c r="M46" s="1217"/>
      <c r="N46" s="1217"/>
      <c r="O46" s="1220"/>
      <c r="P46" s="372">
        <f>+P44-P45</f>
        <v>10309690</v>
      </c>
      <c r="Q46" s="373">
        <f>+Q44-Q45</f>
        <v>3122229</v>
      </c>
      <c r="S46" s="1256"/>
      <c r="T46" s="1256"/>
      <c r="U46" s="1226"/>
      <c r="V46" s="1229"/>
    </row>
    <row r="47" spans="1:22" x14ac:dyDescent="0.25">
      <c r="A47" s="1236" t="s">
        <v>399</v>
      </c>
      <c r="B47" s="365" t="s">
        <v>1048</v>
      </c>
      <c r="C47" s="398">
        <f>'REVGEN (4)(4)'!D48</f>
        <v>50000</v>
      </c>
      <c r="D47" s="399">
        <v>2190030</v>
      </c>
      <c r="E47" s="399">
        <f>S47</f>
        <v>249067</v>
      </c>
      <c r="F47" s="400"/>
      <c r="G47" s="1239">
        <f>'REVGEN (4)(4)'!G48</f>
        <v>0</v>
      </c>
      <c r="H47" s="1239">
        <f>'REVGEN (4)(4)'!G178</f>
        <v>0</v>
      </c>
      <c r="I47" s="1239">
        <f>G47-H47</f>
        <v>0</v>
      </c>
      <c r="J47" s="1227" t="e">
        <f>G47/H47</f>
        <v>#DIV/0!</v>
      </c>
      <c r="K47" s="1215">
        <f>[1]Nayom!F31</f>
        <v>300662</v>
      </c>
      <c r="L47" s="1215">
        <f>IF([1]Nayom!F63&gt;0,([1]Nayom!F63),([1]Nayom!F63*-1))</f>
        <v>216875</v>
      </c>
      <c r="M47" s="1215">
        <f>IF([1]Nayom!F64&gt;0,([1]Nayom!F64),([1]Nayom!F64*-1))</f>
        <v>112583</v>
      </c>
      <c r="N47" s="1215">
        <f>I47-L47-M47</f>
        <v>-329458</v>
      </c>
      <c r="O47" s="1218">
        <f>G47/(H47+L47+M47)</f>
        <v>0</v>
      </c>
      <c r="P47" s="366">
        <f>+G47-C47</f>
        <v>-50000</v>
      </c>
      <c r="Q47" s="367">
        <f>G47-E47</f>
        <v>-249067</v>
      </c>
      <c r="S47" s="1254">
        <v>249067</v>
      </c>
      <c r="T47" s="1254">
        <v>1928551</v>
      </c>
      <c r="U47" s="1224">
        <f>S47-T47</f>
        <v>-1679484</v>
      </c>
      <c r="V47" s="1227">
        <f>S47/T47</f>
        <v>0.13</v>
      </c>
    </row>
    <row r="48" spans="1:22" x14ac:dyDescent="0.25">
      <c r="A48" s="1237"/>
      <c r="B48" s="368" t="s">
        <v>1049</v>
      </c>
      <c r="C48" s="401">
        <f>'REVGEN (4)(4)'!D178</f>
        <v>2614433.2999999998</v>
      </c>
      <c r="D48" s="402">
        <v>854732</v>
      </c>
      <c r="E48" s="402">
        <f>T47</f>
        <v>1928551</v>
      </c>
      <c r="F48" s="407"/>
      <c r="G48" s="1240"/>
      <c r="H48" s="1240"/>
      <c r="I48" s="1240"/>
      <c r="J48" s="1228"/>
      <c r="K48" s="1216"/>
      <c r="L48" s="1216"/>
      <c r="M48" s="1216"/>
      <c r="N48" s="1216"/>
      <c r="O48" s="1219"/>
      <c r="P48" s="369">
        <f>+H47-C48</f>
        <v>-2614433</v>
      </c>
      <c r="Q48" s="370">
        <f>H47-E48</f>
        <v>-1928551</v>
      </c>
      <c r="S48" s="1255"/>
      <c r="T48" s="1255"/>
      <c r="U48" s="1225"/>
      <c r="V48" s="1228"/>
    </row>
    <row r="49" spans="1:22" ht="16.5" thickBot="1" x14ac:dyDescent="0.3">
      <c r="A49" s="1238"/>
      <c r="B49" s="371" t="s">
        <v>1050</v>
      </c>
      <c r="C49" s="404">
        <f>C47-C48</f>
        <v>-2564433.2999999998</v>
      </c>
      <c r="D49" s="405">
        <f>+D47-D48</f>
        <v>1335298</v>
      </c>
      <c r="E49" s="405">
        <f>E47-E48</f>
        <v>-1679484</v>
      </c>
      <c r="F49" s="406"/>
      <c r="G49" s="1241"/>
      <c r="H49" s="1241"/>
      <c r="I49" s="1241"/>
      <c r="J49" s="1229"/>
      <c r="K49" s="1217"/>
      <c r="L49" s="1217"/>
      <c r="M49" s="1217"/>
      <c r="N49" s="1217"/>
      <c r="O49" s="1220"/>
      <c r="P49" s="372">
        <f>+P47-P48</f>
        <v>2564433</v>
      </c>
      <c r="Q49" s="373">
        <f>+Q47-Q48</f>
        <v>1679484</v>
      </c>
      <c r="S49" s="1256"/>
      <c r="T49" s="1256"/>
      <c r="U49" s="1226"/>
      <c r="V49" s="1229"/>
    </row>
    <row r="50" spans="1:22" x14ac:dyDescent="0.25">
      <c r="A50" s="1236" t="s">
        <v>1053</v>
      </c>
      <c r="B50" s="365" t="s">
        <v>1048</v>
      </c>
      <c r="C50" s="398">
        <f>'REVGEN (4)(5)'!D48</f>
        <v>826000</v>
      </c>
      <c r="D50" s="399">
        <v>35100</v>
      </c>
      <c r="E50" s="399">
        <f>S50</f>
        <v>1454442</v>
      </c>
      <c r="F50" s="400"/>
      <c r="G50" s="1239">
        <f>'REVGEN (4)(5)'!G48</f>
        <v>0</v>
      </c>
      <c r="H50" s="1239">
        <f>'REVGEN (4)(5)'!G178</f>
        <v>0</v>
      </c>
      <c r="I50" s="1239">
        <f>G50-H50</f>
        <v>0</v>
      </c>
      <c r="J50" s="1227" t="e">
        <f>G50/H50</f>
        <v>#DIV/0!</v>
      </c>
      <c r="K50" s="1215">
        <f>[1]TRZM!F31</f>
        <v>944352</v>
      </c>
      <c r="L50" s="1215">
        <v>0</v>
      </c>
      <c r="M50" s="1215">
        <f>IF([1]TRZM!F62&gt;0,([1]TRZM!F62),([1]TRZM!F62*-1))</f>
        <v>0</v>
      </c>
      <c r="N50" s="1215">
        <v>0</v>
      </c>
      <c r="O50" s="1218" t="e">
        <f>G50/(H50+L50+M50)</f>
        <v>#DIV/0!</v>
      </c>
      <c r="P50" s="366">
        <f>+G50-C50</f>
        <v>-826000</v>
      </c>
      <c r="Q50" s="367">
        <f>G50-E50</f>
        <v>-1454442</v>
      </c>
      <c r="S50" s="1254">
        <v>1454442</v>
      </c>
      <c r="T50" s="1254">
        <v>8557972</v>
      </c>
      <c r="U50" s="1224">
        <f>S50-T50</f>
        <v>-7103530</v>
      </c>
      <c r="V50" s="1227">
        <f>S50/T50</f>
        <v>0.17</v>
      </c>
    </row>
    <row r="51" spans="1:22" x14ac:dyDescent="0.25">
      <c r="A51" s="1237"/>
      <c r="B51" s="368" t="s">
        <v>1049</v>
      </c>
      <c r="C51" s="401">
        <f>'REVGEN (4)(5)'!D178</f>
        <v>9312285.5999999996</v>
      </c>
      <c r="D51" s="402">
        <v>3830115</v>
      </c>
      <c r="E51" s="402">
        <f>T50</f>
        <v>8557972</v>
      </c>
      <c r="F51" s="407"/>
      <c r="G51" s="1240"/>
      <c r="H51" s="1240"/>
      <c r="I51" s="1240"/>
      <c r="J51" s="1228"/>
      <c r="K51" s="1216"/>
      <c r="L51" s="1216"/>
      <c r="M51" s="1216"/>
      <c r="N51" s="1216"/>
      <c r="O51" s="1219"/>
      <c r="P51" s="369">
        <f>+H50-C51</f>
        <v>-9312286</v>
      </c>
      <c r="Q51" s="370">
        <f>H50-E51</f>
        <v>-8557972</v>
      </c>
      <c r="S51" s="1255"/>
      <c r="T51" s="1255"/>
      <c r="U51" s="1225"/>
      <c r="V51" s="1228"/>
    </row>
    <row r="52" spans="1:22" ht="16.5" thickBot="1" x14ac:dyDescent="0.3">
      <c r="A52" s="1238"/>
      <c r="B52" s="371" t="s">
        <v>1050</v>
      </c>
      <c r="C52" s="404">
        <f>C50-C51</f>
        <v>-8486285.5999999996</v>
      </c>
      <c r="D52" s="405">
        <f>+D50-D51</f>
        <v>-3795015</v>
      </c>
      <c r="E52" s="405">
        <f>E50-E51</f>
        <v>-7103530</v>
      </c>
      <c r="F52" s="406"/>
      <c r="G52" s="1241"/>
      <c r="H52" s="1241"/>
      <c r="I52" s="1241"/>
      <c r="J52" s="1229"/>
      <c r="K52" s="1217"/>
      <c r="L52" s="1217"/>
      <c r="M52" s="1217"/>
      <c r="N52" s="1217"/>
      <c r="O52" s="1220"/>
      <c r="P52" s="372">
        <f>+P50-P51</f>
        <v>8486286</v>
      </c>
      <c r="Q52" s="373">
        <f>+Q50-Q51</f>
        <v>7103530</v>
      </c>
      <c r="S52" s="1256"/>
      <c r="T52" s="1256"/>
      <c r="U52" s="1226"/>
      <c r="V52" s="1229"/>
    </row>
    <row r="53" spans="1:22" ht="15.75" customHeight="1" x14ac:dyDescent="0.25">
      <c r="A53" s="1248" t="s">
        <v>362</v>
      </c>
      <c r="B53" s="374" t="s">
        <v>1048</v>
      </c>
      <c r="C53" s="408">
        <f t="shared" ref="C53:E54" si="4">C38+C41+C44+C47+C50</f>
        <v>1326000</v>
      </c>
      <c r="D53" s="408">
        <f>D38+D41+D44+D47+D50</f>
        <v>12314611</v>
      </c>
      <c r="E53" s="408">
        <f t="shared" si="4"/>
        <v>7921047</v>
      </c>
      <c r="F53" s="410"/>
      <c r="G53" s="1251">
        <f>G38+G41+G44+G47+G50</f>
        <v>0</v>
      </c>
      <c r="H53" s="1251">
        <f>H38+H41+H44+H47+H50</f>
        <v>0</v>
      </c>
      <c r="I53" s="1251">
        <f>I38+I41+I44+I47+I50</f>
        <v>0</v>
      </c>
      <c r="J53" s="1233" t="e">
        <f>G53/H53</f>
        <v>#DIV/0!</v>
      </c>
      <c r="K53" s="1242">
        <f>SUM(K38:K52)</f>
        <v>2846109</v>
      </c>
      <c r="L53" s="1242">
        <f>SUM(L38:L52)</f>
        <v>1371787</v>
      </c>
      <c r="M53" s="1242">
        <f>SUM(M38:M52)</f>
        <v>712115</v>
      </c>
      <c r="N53" s="1242">
        <f>SUM(N38:N52)</f>
        <v>-2083902</v>
      </c>
      <c r="O53" s="1245">
        <f>G53/(H53+M53)</f>
        <v>0</v>
      </c>
      <c r="P53" s="375">
        <f t="shared" ref="P53:Q55" si="5">P38+P41+P44+P47+P50</f>
        <v>-1326000</v>
      </c>
      <c r="Q53" s="376">
        <f t="shared" si="5"/>
        <v>-7921047</v>
      </c>
      <c r="S53" s="1230">
        <f>S38+S41+S44+S47+S50</f>
        <v>7921047</v>
      </c>
      <c r="T53" s="1230">
        <f>T38+T41+T44+T47+T50</f>
        <v>21952793</v>
      </c>
      <c r="U53" s="1230">
        <f>U38+U41+U44+U47+U50</f>
        <v>-14031746</v>
      </c>
      <c r="V53" s="1233">
        <f>S53/T53</f>
        <v>0.36</v>
      </c>
    </row>
    <row r="54" spans="1:22" x14ac:dyDescent="0.25">
      <c r="A54" s="1249"/>
      <c r="B54" s="377" t="s">
        <v>1049</v>
      </c>
      <c r="C54" s="411">
        <f t="shared" si="4"/>
        <v>37725740.5</v>
      </c>
      <c r="D54" s="411">
        <f>D39+D42+D45+D48+D51</f>
        <v>11404727</v>
      </c>
      <c r="E54" s="411">
        <f t="shared" si="4"/>
        <v>21952793</v>
      </c>
      <c r="F54" s="412"/>
      <c r="G54" s="1252">
        <v>0</v>
      </c>
      <c r="H54" s="1252">
        <v>0</v>
      </c>
      <c r="I54" s="1252">
        <v>0</v>
      </c>
      <c r="J54" s="1234"/>
      <c r="K54" s="1243"/>
      <c r="L54" s="1243"/>
      <c r="M54" s="1243"/>
      <c r="N54" s="1243"/>
      <c r="O54" s="1246"/>
      <c r="P54" s="378">
        <f t="shared" si="5"/>
        <v>-37725740</v>
      </c>
      <c r="Q54" s="379">
        <f t="shared" si="5"/>
        <v>-21952793</v>
      </c>
      <c r="S54" s="1231">
        <v>0</v>
      </c>
      <c r="T54" s="1231">
        <v>0</v>
      </c>
      <c r="U54" s="1231">
        <v>0</v>
      </c>
      <c r="V54" s="1234"/>
    </row>
    <row r="55" spans="1:22" ht="16.5" thickBot="1" x14ac:dyDescent="0.3">
      <c r="A55" s="1250"/>
      <c r="B55" s="380" t="s">
        <v>1050</v>
      </c>
      <c r="C55" s="413">
        <f>C53-C54</f>
        <v>-36399740.5</v>
      </c>
      <c r="D55" s="413">
        <f>D53-D54</f>
        <v>909884</v>
      </c>
      <c r="E55" s="413">
        <f>E53-E54</f>
        <v>-14031746</v>
      </c>
      <c r="F55" s="414"/>
      <c r="G55" s="1253">
        <v>0</v>
      </c>
      <c r="H55" s="1253">
        <v>0</v>
      </c>
      <c r="I55" s="1253">
        <v>0</v>
      </c>
      <c r="J55" s="1235"/>
      <c r="K55" s="1244"/>
      <c r="L55" s="1244"/>
      <c r="M55" s="1244"/>
      <c r="N55" s="1244"/>
      <c r="O55" s="1247"/>
      <c r="P55" s="381">
        <f t="shared" si="5"/>
        <v>36399740</v>
      </c>
      <c r="Q55" s="382">
        <f t="shared" si="5"/>
        <v>14031746</v>
      </c>
      <c r="S55" s="1232">
        <v>0</v>
      </c>
      <c r="T55" s="1232">
        <v>0</v>
      </c>
      <c r="U55" s="1232">
        <v>0</v>
      </c>
      <c r="V55" s="1235"/>
    </row>
    <row r="56" spans="1:22" ht="15.75" customHeight="1" x14ac:dyDescent="0.25">
      <c r="A56" s="1236" t="s">
        <v>1059</v>
      </c>
      <c r="B56" s="365" t="s">
        <v>1048</v>
      </c>
      <c r="C56" s="398">
        <f>'REVGEN (1)'!D48</f>
        <v>1000000</v>
      </c>
      <c r="D56" s="399">
        <v>1277915</v>
      </c>
      <c r="E56" s="399">
        <f>S56</f>
        <v>5576955</v>
      </c>
      <c r="F56" s="400"/>
      <c r="G56" s="1239">
        <f>'REVGEN (1)'!G48</f>
        <v>0</v>
      </c>
      <c r="H56" s="1239">
        <f>'REVGEN (1)'!G178</f>
        <v>0</v>
      </c>
      <c r="I56" s="1239">
        <f>G56-H56</f>
        <v>0</v>
      </c>
      <c r="J56" s="1227" t="e">
        <f>G56/H56</f>
        <v>#DIV/0!</v>
      </c>
      <c r="K56" s="1215">
        <f>[1]RO!F31</f>
        <v>3451926</v>
      </c>
      <c r="L56" s="1215">
        <v>0</v>
      </c>
      <c r="M56" s="1215">
        <v>0</v>
      </c>
      <c r="N56" s="1215">
        <v>0</v>
      </c>
      <c r="O56" s="1218" t="e">
        <f>G56/(H56+L56+M56)</f>
        <v>#DIV/0!</v>
      </c>
      <c r="P56" s="366">
        <f>+G56-C56</f>
        <v>-1000000</v>
      </c>
      <c r="Q56" s="367">
        <f>G56-E56</f>
        <v>-5576955</v>
      </c>
      <c r="S56" s="1221">
        <v>5576955</v>
      </c>
      <c r="T56" s="1221">
        <v>34685103</v>
      </c>
      <c r="U56" s="1224">
        <f>S56-T56</f>
        <v>-29108148</v>
      </c>
      <c r="V56" s="1227">
        <f>S56/T56</f>
        <v>0.16</v>
      </c>
    </row>
    <row r="57" spans="1:22" x14ac:dyDescent="0.25">
      <c r="A57" s="1237"/>
      <c r="B57" s="368" t="s">
        <v>1049</v>
      </c>
      <c r="C57" s="401">
        <f>'REVGEN (1)'!D178</f>
        <v>43761567.200000003</v>
      </c>
      <c r="D57" s="402">
        <v>1277915</v>
      </c>
      <c r="E57" s="402">
        <f>T56</f>
        <v>34685103</v>
      </c>
      <c r="F57" s="407"/>
      <c r="G57" s="1240"/>
      <c r="H57" s="1240"/>
      <c r="I57" s="1240"/>
      <c r="J57" s="1228"/>
      <c r="K57" s="1216"/>
      <c r="L57" s="1216"/>
      <c r="M57" s="1216"/>
      <c r="N57" s="1216"/>
      <c r="O57" s="1219"/>
      <c r="P57" s="369">
        <f>+H56-C57</f>
        <v>-43761567</v>
      </c>
      <c r="Q57" s="370">
        <f>H56-E57</f>
        <v>-34685103</v>
      </c>
      <c r="S57" s="1222"/>
      <c r="T57" s="1222"/>
      <c r="U57" s="1225"/>
      <c r="V57" s="1228"/>
    </row>
    <row r="58" spans="1:22" ht="16.5" thickBot="1" x14ac:dyDescent="0.3">
      <c r="A58" s="1238"/>
      <c r="B58" s="371" t="s">
        <v>1050</v>
      </c>
      <c r="C58" s="404">
        <f>C56-C57</f>
        <v>-42761567.200000003</v>
      </c>
      <c r="D58" s="405">
        <f>+D56-D57</f>
        <v>0</v>
      </c>
      <c r="E58" s="405">
        <f>E56-E57</f>
        <v>-29108148</v>
      </c>
      <c r="F58" s="406"/>
      <c r="G58" s="1241"/>
      <c r="H58" s="1241"/>
      <c r="I58" s="1241"/>
      <c r="J58" s="1229"/>
      <c r="K58" s="1217"/>
      <c r="L58" s="1217"/>
      <c r="M58" s="1217"/>
      <c r="N58" s="1217"/>
      <c r="O58" s="1220"/>
      <c r="P58" s="372">
        <f>+P56-P57</f>
        <v>42761567</v>
      </c>
      <c r="Q58" s="373">
        <f>+Q56-Q57</f>
        <v>29108148</v>
      </c>
      <c r="S58" s="1223"/>
      <c r="T58" s="1223"/>
      <c r="U58" s="1226"/>
      <c r="V58" s="1229"/>
    </row>
    <row r="59" spans="1:22" x14ac:dyDescent="0.25">
      <c r="A59" s="1211" t="s">
        <v>358</v>
      </c>
      <c r="B59" s="384" t="s">
        <v>1048</v>
      </c>
      <c r="C59" s="418">
        <f t="shared" ref="C59:I59" si="6">C20+C35+C53+C56</f>
        <v>41066078.100000001</v>
      </c>
      <c r="D59" s="419">
        <f t="shared" si="6"/>
        <v>69255732</v>
      </c>
      <c r="E59" s="419">
        <f t="shared" si="6"/>
        <v>38688613</v>
      </c>
      <c r="F59" s="418"/>
      <c r="G59" s="1213">
        <f t="shared" si="6"/>
        <v>0</v>
      </c>
      <c r="H59" s="1213">
        <f>H20+H35+H53+H56</f>
        <v>0</v>
      </c>
      <c r="I59" s="1213">
        <f t="shared" si="6"/>
        <v>0</v>
      </c>
      <c r="J59" s="1206" t="e">
        <f>G59/H59</f>
        <v>#DIV/0!</v>
      </c>
      <c r="K59" s="1204">
        <f>K20+K35+K53+K56</f>
        <v>12006208</v>
      </c>
      <c r="L59" s="1204">
        <f>L20+L35+L53+L56</f>
        <v>2706378</v>
      </c>
      <c r="M59" s="1204">
        <f>M20+M35+M53+M56</f>
        <v>2161183</v>
      </c>
      <c r="N59" s="1204">
        <f>N20+N35+N53+N56</f>
        <v>-4867561</v>
      </c>
      <c r="O59" s="1208" t="e">
        <f>G59/(H59)</f>
        <v>#DIV/0!</v>
      </c>
      <c r="P59" s="385">
        <f>P20+P35+P53+P56</f>
        <v>-41066078</v>
      </c>
      <c r="Q59" s="386">
        <f>Q20+Q35+Q53+Q56</f>
        <v>-38688613</v>
      </c>
      <c r="S59" s="1204">
        <f>S20+S35+S53+S56</f>
        <v>38688613</v>
      </c>
      <c r="T59" s="1204">
        <f>T20+T35+T53+T56</f>
        <v>128777435</v>
      </c>
      <c r="U59" s="1204">
        <f>U20+U35+U53+U56</f>
        <v>-90088822</v>
      </c>
      <c r="V59" s="1206">
        <f>S59/T59</f>
        <v>0.3</v>
      </c>
    </row>
    <row r="60" spans="1:22" x14ac:dyDescent="0.25">
      <c r="A60" s="1211"/>
      <c r="B60" s="387" t="s">
        <v>1049</v>
      </c>
      <c r="C60" s="420">
        <f>C21+C36+C54+C57</f>
        <v>191548012.09999999</v>
      </c>
      <c r="D60" s="421">
        <f>D21+D36+D54+D57</f>
        <v>43217162</v>
      </c>
      <c r="E60" s="421">
        <f>E21+E36+E54+E57</f>
        <v>128777435</v>
      </c>
      <c r="F60" s="420"/>
      <c r="G60" s="1213"/>
      <c r="H60" s="1213"/>
      <c r="I60" s="1213"/>
      <c r="J60" s="1206"/>
      <c r="K60" s="1204"/>
      <c r="L60" s="1204"/>
      <c r="M60" s="1204"/>
      <c r="N60" s="1204"/>
      <c r="O60" s="1209"/>
      <c r="P60" s="388">
        <f>P21+P36+P54+P57</f>
        <v>-191548012</v>
      </c>
      <c r="Q60" s="389">
        <f>Q21+Q36+Q54+Q57</f>
        <v>-128777435</v>
      </c>
      <c r="S60" s="1204"/>
      <c r="T60" s="1204"/>
      <c r="U60" s="1204"/>
      <c r="V60" s="1206"/>
    </row>
    <row r="61" spans="1:22" ht="16.5" thickBot="1" x14ac:dyDescent="0.3">
      <c r="A61" s="1212"/>
      <c r="B61" s="390" t="s">
        <v>1050</v>
      </c>
      <c r="C61" s="422">
        <f>+C59-C60</f>
        <v>-150481934</v>
      </c>
      <c r="D61" s="423">
        <f>+D59-D60</f>
        <v>26038570</v>
      </c>
      <c r="E61" s="423">
        <f>+E59-E60</f>
        <v>-90088822</v>
      </c>
      <c r="F61" s="424"/>
      <c r="G61" s="1214"/>
      <c r="H61" s="1214"/>
      <c r="I61" s="1214"/>
      <c r="J61" s="1207"/>
      <c r="K61" s="1205"/>
      <c r="L61" s="1205"/>
      <c r="M61" s="1205"/>
      <c r="N61" s="1205"/>
      <c r="O61" s="1210"/>
      <c r="P61" s="391">
        <f>+P59-P60</f>
        <v>150481934</v>
      </c>
      <c r="Q61" s="392">
        <f>Q22+Q37+Q55+Q58</f>
        <v>90088822</v>
      </c>
      <c r="S61" s="1205"/>
      <c r="T61" s="1205"/>
      <c r="U61" s="1205"/>
      <c r="V61" s="1207"/>
    </row>
    <row r="62" spans="1:22" ht="16.5" thickTop="1" x14ac:dyDescent="0.25">
      <c r="A62" s="1"/>
      <c r="D62" s="393"/>
      <c r="J62" s="394"/>
      <c r="V62" s="394"/>
    </row>
    <row r="63" spans="1:22" x14ac:dyDescent="0.25">
      <c r="A63" s="397"/>
      <c r="D63" s="393"/>
    </row>
    <row r="66" spans="5:15" x14ac:dyDescent="0.25">
      <c r="E66" s="393"/>
      <c r="K66" s="307"/>
      <c r="L66" s="307"/>
      <c r="M66" s="307"/>
      <c r="N66" s="307"/>
      <c r="O66" s="307"/>
    </row>
  </sheetData>
  <mergeCells count="270">
    <mergeCell ref="O8:O10"/>
    <mergeCell ref="S8:S10"/>
    <mergeCell ref="T8:T10"/>
    <mergeCell ref="U8:U10"/>
    <mergeCell ref="V8:V10"/>
    <mergeCell ref="T6:T7"/>
    <mergeCell ref="U6:U7"/>
    <mergeCell ref="O5:O7"/>
    <mergeCell ref="P5:P7"/>
    <mergeCell ref="S5:V5"/>
    <mergeCell ref="S6:S7"/>
    <mergeCell ref="A8:A10"/>
    <mergeCell ref="G8:G10"/>
    <mergeCell ref="H8:H10"/>
    <mergeCell ref="I8:I10"/>
    <mergeCell ref="J8:J10"/>
    <mergeCell ref="K8:K10"/>
    <mergeCell ref="L8:L10"/>
    <mergeCell ref="M8:M10"/>
    <mergeCell ref="N5:N7"/>
    <mergeCell ref="B6:C7"/>
    <mergeCell ref="E6:E7"/>
    <mergeCell ref="G6:G7"/>
    <mergeCell ref="H6:H7"/>
    <mergeCell ref="I6:I7"/>
    <mergeCell ref="A5:A7"/>
    <mergeCell ref="B5:C5"/>
    <mergeCell ref="G5:J5"/>
    <mergeCell ref="K5:K7"/>
    <mergeCell ref="L5:L7"/>
    <mergeCell ref="M5:M7"/>
    <mergeCell ref="N8:N10"/>
    <mergeCell ref="V14:V16"/>
    <mergeCell ref="U11:U13"/>
    <mergeCell ref="V11:V13"/>
    <mergeCell ref="A14:A16"/>
    <mergeCell ref="G14:G16"/>
    <mergeCell ref="H14:H16"/>
    <mergeCell ref="I14:I16"/>
    <mergeCell ref="J14:J16"/>
    <mergeCell ref="K14:K16"/>
    <mergeCell ref="L14:L16"/>
    <mergeCell ref="M14:M16"/>
    <mergeCell ref="L11:L13"/>
    <mergeCell ref="M11:M13"/>
    <mergeCell ref="N11:N13"/>
    <mergeCell ref="O11:O13"/>
    <mergeCell ref="S11:S13"/>
    <mergeCell ref="T11:T13"/>
    <mergeCell ref="A11:A13"/>
    <mergeCell ref="G11:G13"/>
    <mergeCell ref="H11:H13"/>
    <mergeCell ref="I11:I13"/>
    <mergeCell ref="J11:J13"/>
    <mergeCell ref="K11:K13"/>
    <mergeCell ref="H17:H19"/>
    <mergeCell ref="I17:I19"/>
    <mergeCell ref="J17:J19"/>
    <mergeCell ref="K17:K19"/>
    <mergeCell ref="N14:N16"/>
    <mergeCell ref="O14:O16"/>
    <mergeCell ref="S14:S16"/>
    <mergeCell ref="T14:T16"/>
    <mergeCell ref="U14:U16"/>
    <mergeCell ref="N20:N22"/>
    <mergeCell ref="O20:O22"/>
    <mergeCell ref="S20:S22"/>
    <mergeCell ref="T20:T22"/>
    <mergeCell ref="U20:U22"/>
    <mergeCell ref="V20:V22"/>
    <mergeCell ref="U17:U19"/>
    <mergeCell ref="V17:V19"/>
    <mergeCell ref="A20:A22"/>
    <mergeCell ref="G20:G22"/>
    <mergeCell ref="H20:H22"/>
    <mergeCell ref="I20:I22"/>
    <mergeCell ref="J20:J22"/>
    <mergeCell ref="K20:K22"/>
    <mergeCell ref="L20:L22"/>
    <mergeCell ref="M20:M22"/>
    <mergeCell ref="L17:L19"/>
    <mergeCell ref="M17:M19"/>
    <mergeCell ref="N17:N19"/>
    <mergeCell ref="O17:O19"/>
    <mergeCell ref="S17:S19"/>
    <mergeCell ref="T17:T19"/>
    <mergeCell ref="A17:A19"/>
    <mergeCell ref="G17:G19"/>
    <mergeCell ref="V26:V28"/>
    <mergeCell ref="U23:U25"/>
    <mergeCell ref="V23:V25"/>
    <mergeCell ref="A26:A28"/>
    <mergeCell ref="G26:G28"/>
    <mergeCell ref="H26:H28"/>
    <mergeCell ref="I26:I28"/>
    <mergeCell ref="J26:J28"/>
    <mergeCell ref="K26:K28"/>
    <mergeCell ref="L26:L28"/>
    <mergeCell ref="M26:M28"/>
    <mergeCell ref="L23:L25"/>
    <mergeCell ref="M23:M25"/>
    <mergeCell ref="N23:N25"/>
    <mergeCell ref="O23:O25"/>
    <mergeCell ref="S23:S25"/>
    <mergeCell ref="T23:T25"/>
    <mergeCell ref="A23:A25"/>
    <mergeCell ref="G23:G25"/>
    <mergeCell ref="H23:H25"/>
    <mergeCell ref="I23:I25"/>
    <mergeCell ref="J23:J25"/>
    <mergeCell ref="K23:K25"/>
    <mergeCell ref="N26:N28"/>
    <mergeCell ref="O26:O28"/>
    <mergeCell ref="S26:S28"/>
    <mergeCell ref="T26:T28"/>
    <mergeCell ref="N32:N34"/>
    <mergeCell ref="O32:O34"/>
    <mergeCell ref="S32:S34"/>
    <mergeCell ref="T32:T34"/>
    <mergeCell ref="U26:U28"/>
    <mergeCell ref="U32:U34"/>
    <mergeCell ref="V32:V34"/>
    <mergeCell ref="U29:U31"/>
    <mergeCell ref="V29:V31"/>
    <mergeCell ref="A32:A34"/>
    <mergeCell ref="G32:G34"/>
    <mergeCell ref="H32:H34"/>
    <mergeCell ref="I32:I34"/>
    <mergeCell ref="J32:J34"/>
    <mergeCell ref="K32:K34"/>
    <mergeCell ref="L32:L34"/>
    <mergeCell ref="M32:M34"/>
    <mergeCell ref="L29:L31"/>
    <mergeCell ref="M29:M31"/>
    <mergeCell ref="N29:N31"/>
    <mergeCell ref="O29:O31"/>
    <mergeCell ref="S29:S31"/>
    <mergeCell ref="T29:T31"/>
    <mergeCell ref="A29:A31"/>
    <mergeCell ref="G29:G31"/>
    <mergeCell ref="H29:H31"/>
    <mergeCell ref="I29:I31"/>
    <mergeCell ref="J29:J31"/>
    <mergeCell ref="K29:K31"/>
    <mergeCell ref="V38:V40"/>
    <mergeCell ref="U35:U37"/>
    <mergeCell ref="V35:V37"/>
    <mergeCell ref="A38:A40"/>
    <mergeCell ref="G38:G40"/>
    <mergeCell ref="H38:H40"/>
    <mergeCell ref="I38:I40"/>
    <mergeCell ref="J38:J40"/>
    <mergeCell ref="K38:K40"/>
    <mergeCell ref="L38:L40"/>
    <mergeCell ref="M38:M40"/>
    <mergeCell ref="L35:L37"/>
    <mergeCell ref="M35:M37"/>
    <mergeCell ref="N35:N37"/>
    <mergeCell ref="O35:O37"/>
    <mergeCell ref="S35:S37"/>
    <mergeCell ref="T35:T37"/>
    <mergeCell ref="A35:A37"/>
    <mergeCell ref="G35:G37"/>
    <mergeCell ref="H35:H37"/>
    <mergeCell ref="I35:I37"/>
    <mergeCell ref="J35:J37"/>
    <mergeCell ref="K35:K37"/>
    <mergeCell ref="H41:H43"/>
    <mergeCell ref="I41:I43"/>
    <mergeCell ref="J41:J43"/>
    <mergeCell ref="K41:K43"/>
    <mergeCell ref="N38:N40"/>
    <mergeCell ref="O38:O40"/>
    <mergeCell ref="S38:S40"/>
    <mergeCell ref="T38:T40"/>
    <mergeCell ref="U38:U40"/>
    <mergeCell ref="N44:N46"/>
    <mergeCell ref="O44:O46"/>
    <mergeCell ref="S44:S46"/>
    <mergeCell ref="T44:T46"/>
    <mergeCell ref="U44:U46"/>
    <mergeCell ref="V44:V46"/>
    <mergeCell ref="U41:U43"/>
    <mergeCell ref="V41:V43"/>
    <mergeCell ref="A44:A46"/>
    <mergeCell ref="G44:G46"/>
    <mergeCell ref="H44:H46"/>
    <mergeCell ref="I44:I46"/>
    <mergeCell ref="J44:J46"/>
    <mergeCell ref="K44:K46"/>
    <mergeCell ref="L44:L46"/>
    <mergeCell ref="M44:M46"/>
    <mergeCell ref="L41:L43"/>
    <mergeCell ref="M41:M43"/>
    <mergeCell ref="N41:N43"/>
    <mergeCell ref="O41:O43"/>
    <mergeCell ref="S41:S43"/>
    <mergeCell ref="T41:T43"/>
    <mergeCell ref="A41:A43"/>
    <mergeCell ref="G41:G43"/>
    <mergeCell ref="V50:V52"/>
    <mergeCell ref="U47:U49"/>
    <mergeCell ref="V47:V49"/>
    <mergeCell ref="A50:A52"/>
    <mergeCell ref="G50:G52"/>
    <mergeCell ref="H50:H52"/>
    <mergeCell ref="I50:I52"/>
    <mergeCell ref="J50:J52"/>
    <mergeCell ref="K50:K52"/>
    <mergeCell ref="L50:L52"/>
    <mergeCell ref="M50:M52"/>
    <mergeCell ref="L47:L49"/>
    <mergeCell ref="M47:M49"/>
    <mergeCell ref="N47:N49"/>
    <mergeCell ref="O47:O49"/>
    <mergeCell ref="S47:S49"/>
    <mergeCell ref="T47:T49"/>
    <mergeCell ref="A47:A49"/>
    <mergeCell ref="G47:G49"/>
    <mergeCell ref="H47:H49"/>
    <mergeCell ref="I47:I49"/>
    <mergeCell ref="J47:J49"/>
    <mergeCell ref="K47:K49"/>
    <mergeCell ref="H53:H55"/>
    <mergeCell ref="I53:I55"/>
    <mergeCell ref="J53:J55"/>
    <mergeCell ref="K53:K55"/>
    <mergeCell ref="N50:N52"/>
    <mergeCell ref="O50:O52"/>
    <mergeCell ref="S50:S52"/>
    <mergeCell ref="T50:T52"/>
    <mergeCell ref="U50:U52"/>
    <mergeCell ref="N56:N58"/>
    <mergeCell ref="O56:O58"/>
    <mergeCell ref="S56:S58"/>
    <mergeCell ref="T56:T58"/>
    <mergeCell ref="U56:U58"/>
    <mergeCell ref="V56:V58"/>
    <mergeCell ref="U53:U55"/>
    <mergeCell ref="V53:V55"/>
    <mergeCell ref="A56:A58"/>
    <mergeCell ref="G56:G58"/>
    <mergeCell ref="H56:H58"/>
    <mergeCell ref="I56:I58"/>
    <mergeCell ref="J56:J58"/>
    <mergeCell ref="K56:K58"/>
    <mergeCell ref="L56:L58"/>
    <mergeCell ref="M56:M58"/>
    <mergeCell ref="L53:L55"/>
    <mergeCell ref="M53:M55"/>
    <mergeCell ref="N53:N55"/>
    <mergeCell ref="O53:O55"/>
    <mergeCell ref="S53:S55"/>
    <mergeCell ref="T53:T55"/>
    <mergeCell ref="A53:A55"/>
    <mergeCell ref="G53:G55"/>
    <mergeCell ref="U59:U61"/>
    <mergeCell ref="V59:V61"/>
    <mergeCell ref="L59:L61"/>
    <mergeCell ref="M59:M61"/>
    <mergeCell ref="N59:N61"/>
    <mergeCell ref="O59:O61"/>
    <mergeCell ref="S59:S61"/>
    <mergeCell ref="T59:T61"/>
    <mergeCell ref="A59:A61"/>
    <mergeCell ref="G59:G61"/>
    <mergeCell ref="H59:H61"/>
    <mergeCell ref="I59:I61"/>
    <mergeCell ref="J59:J61"/>
    <mergeCell ref="K59:K61"/>
  </mergeCells>
  <printOptions horizontalCentered="1"/>
  <pageMargins left="0.25" right="0.25" top="0.75" bottom="1.5" header="0.3" footer="0.3"/>
  <pageSetup paperSize="5" scale="66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663300"/>
  </sheetPr>
  <dimension ref="A1:E143"/>
  <sheetViews>
    <sheetView workbookViewId="0"/>
  </sheetViews>
  <sheetFormatPr defaultColWidth="9" defaultRowHeight="14.25" x14ac:dyDescent="0.2"/>
  <cols>
    <col min="1" max="1" width="63.625" style="233" bestFit="1" customWidth="1"/>
    <col min="2" max="2" width="10" style="336" hidden="1" customWidth="1"/>
    <col min="3" max="3" width="17.5" style="236" hidden="1" customWidth="1"/>
    <col min="4" max="4" width="17.125" style="237" hidden="1" customWidth="1"/>
    <col min="5" max="5" width="18" style="236" customWidth="1"/>
    <col min="6" max="16384" width="9" style="233"/>
  </cols>
  <sheetData>
    <row r="1" spans="1:5" x14ac:dyDescent="0.2">
      <c r="A1" s="232" t="s">
        <v>355</v>
      </c>
      <c r="B1" s="335"/>
      <c r="C1" s="232"/>
      <c r="D1" s="232"/>
      <c r="E1" s="232"/>
    </row>
    <row r="2" spans="1:5" x14ac:dyDescent="0.2">
      <c r="A2" s="232" t="s">
        <v>400</v>
      </c>
      <c r="B2" s="335"/>
      <c r="C2" s="232"/>
      <c r="D2" s="232"/>
      <c r="E2" s="232"/>
    </row>
    <row r="3" spans="1:5" x14ac:dyDescent="0.2">
      <c r="A3" s="232" t="s">
        <v>1162</v>
      </c>
      <c r="B3" s="335"/>
      <c r="C3" s="232"/>
      <c r="D3" s="232"/>
      <c r="E3" s="232"/>
    </row>
    <row r="4" spans="1:5" x14ac:dyDescent="0.2">
      <c r="A4" s="234">
        <f>Account!G2</f>
        <v>44500</v>
      </c>
      <c r="B4" s="335"/>
      <c r="C4" s="232"/>
      <c r="D4" s="232"/>
      <c r="E4" s="232"/>
    </row>
    <row r="5" spans="1:5" x14ac:dyDescent="0.2">
      <c r="A5" s="235" t="str">
        <f>IF(E5=0,,VLOOKUP((TRIM(E5)),SortCode,2,))</f>
        <v>Regional Office</v>
      </c>
      <c r="E5" s="331" t="s">
        <v>494</v>
      </c>
    </row>
    <row r="6" spans="1:5" ht="14.25" customHeight="1" x14ac:dyDescent="0.2">
      <c r="A6" s="1299" t="s">
        <v>440</v>
      </c>
      <c r="B6" s="1302" t="s">
        <v>370</v>
      </c>
      <c r="C6" s="1303" t="s">
        <v>832</v>
      </c>
      <c r="D6" s="1305">
        <f>A4</f>
        <v>44500</v>
      </c>
      <c r="E6" s="1303" t="s">
        <v>831</v>
      </c>
    </row>
    <row r="7" spans="1:5" x14ac:dyDescent="0.2">
      <c r="A7" s="1300"/>
      <c r="B7" s="1302"/>
      <c r="C7" s="1304"/>
      <c r="D7" s="1306"/>
      <c r="E7" s="1304"/>
    </row>
    <row r="8" spans="1:5" x14ac:dyDescent="0.2">
      <c r="A8" s="1301"/>
      <c r="B8" s="1302"/>
      <c r="C8" s="465">
        <f>'REVGEN (1)'!E7</f>
        <v>43373</v>
      </c>
      <c r="D8" s="1307"/>
      <c r="E8" s="1308"/>
    </row>
    <row r="9" spans="1:5" x14ac:dyDescent="0.2">
      <c r="A9" s="471" t="s">
        <v>1170</v>
      </c>
      <c r="B9" s="339"/>
      <c r="C9" s="485"/>
      <c r="D9" s="485"/>
      <c r="E9" s="485"/>
    </row>
    <row r="10" spans="1:5" x14ac:dyDescent="0.2">
      <c r="A10" s="473" t="s">
        <v>829</v>
      </c>
      <c r="B10" s="339"/>
      <c r="C10" s="474">
        <f>C11+C12</f>
        <v>0</v>
      </c>
      <c r="D10" s="474">
        <f>D11+D12</f>
        <v>0</v>
      </c>
      <c r="E10" s="474">
        <f>E11+E12</f>
        <v>0</v>
      </c>
    </row>
    <row r="11" spans="1:5" x14ac:dyDescent="0.2">
      <c r="A11" s="475" t="s">
        <v>821</v>
      </c>
      <c r="B11" s="339" t="s">
        <v>125</v>
      </c>
      <c r="C11" s="466">
        <f t="array" ref="C11">((SUM(IF((CkDJ[Sort Code]=(TRIM(E$5)))*(CkDJ[Account Code]=(TRIM($B11)))*(CkDJ[Date]&lt;=$C$8),CkDJ[Credit])))+(SUM(IF((CsDJ[Sort Code]=(TRIM(E$5)))*(CsDJ[Account Code]=(TRIM($B11)))*(CsDJ[Date]&lt;=$C$8),CsDJ[Credit])))+(SUM(IF((CRDJ[Sort Code]=(TRIM(E$5)))*(CRDJ[Account Code]=(TRIM($B11)))*(CRDJ[Date]&lt;=$C$8),CRDJ[Credit])))+(SUM(IF((GJ[Sort Code]=(TRIM(E$5)))*(GJ[Account Code]=(TRIM($B11)))*(GJ[Date]&lt;=$C$8),GJ[Credit]))))-((SUM(IF((CkDJ[Sort Code]=(TRIM(E$5)))*(CkDJ[Account Code]=(TRIM($B11)))*(CkDJ[Date]&lt;=$C$8),CkDJ[Debit])))+(SUM(IF((CsDJ[Sort Code]=(TRIM(E$5)))*(CsDJ[Account Code]=(TRIM($B11)))*(CsDJ[Date]&lt;=$C$8),CsDJ[Debit])))+(SUM(IF((CRDJ[Sort Code]=(TRIM(E$5)))*(CRDJ[Account Code]=(TRIM($B11)))*(CRDJ[Date]&lt;=$C$8),CRDJ[Debit])))+(SUM(IF((GJ[Sort Code]=(TRIM(E$5)))*(GJ[Account Code]=(TRIM($B11)))*(GJ[Date]&lt;=$C$8),GJ[Debit]))))</f>
        <v>0</v>
      </c>
      <c r="D11" s="466">
        <f t="array" ref="D11">((SUM(IF((CkDJ[Date]=$A$4)*(CkDJ[Sort Code]=(TRIM(E$5)))*(CkDJ[Account Code]=(TRIM($B11))),CkDJ[Credit])))+(SUM(IF((CsDJ[Date]=$A$4)*(CsDJ[Sort Code]=(TRIM(E$5)))*(CsDJ[Account Code]=(TRIM($B11))),CsDJ[Credit])))+(SUM(IF((CRDJ[Date]=$A$4)*(CRDJ[Sort Code]=(TRIM(E$5)))*(CRDJ[Account Code]=(TRIM($B11))),CRDJ[Credit])))+(SUM(IF((GJ[Date]=$A$4)*(GJ[Sort Code]=(TRIM(E$5)))*(GJ[Account Code]=(TRIM($B11))),GJ[Credit]))))-((SUM(IF((CkDJ[Date]=$A$4)*(CkDJ[Sort Code]=(TRIM(E$5)))*(CkDJ[Account Code]=(TRIM($B11))),CkDJ[Debit])))+(SUM(IF((CsDJ[Date]=$A$4)*(CsDJ[Sort Code]=(TRIM(E$5)))*(CsDJ[Account Code]=(TRIM($B11))),CsDJ[Debit])))+(SUM(IF((CRDJ[Date]=$A$4)*(CRDJ[Sort Code]=(TRIM(E$5)))*(CRDJ[Account Code]=(TRIM($B11))),CRDJ[Debit])))+(SUM(IF((GJ[Date]=$A$4)*(GJ[Sort Code]=(TRIM(E$5)))*(GJ[Account Code]=(TRIM($B11))),GJ[Debit]))))</f>
        <v>0</v>
      </c>
      <c r="E11" s="467">
        <f>C11+D11</f>
        <v>0</v>
      </c>
    </row>
    <row r="12" spans="1:5" x14ac:dyDescent="0.2">
      <c r="A12" s="475" t="s">
        <v>820</v>
      </c>
      <c r="B12" s="339"/>
      <c r="C12" s="466">
        <f>SUM(C13:C15)</f>
        <v>0</v>
      </c>
      <c r="D12" s="466">
        <f>SUM(D13:D15)</f>
        <v>0</v>
      </c>
      <c r="E12" s="467">
        <f>SUM(E13:E15)</f>
        <v>0</v>
      </c>
    </row>
    <row r="13" spans="1:5" x14ac:dyDescent="0.2">
      <c r="A13" s="476" t="s">
        <v>809</v>
      </c>
      <c r="B13" s="339" t="s">
        <v>126</v>
      </c>
      <c r="C13" s="466">
        <f t="array" ref="C13">((SUM(IF((CkDJ[Sort Code]=(TRIM(E$5)))*(CkDJ[Account Code]=(TRIM($B13)))*(CkDJ[Date]&lt;=$C$8),CkDJ[Credit])))+(SUM(IF((CsDJ[Sort Code]=(TRIM(E$5)))*(CsDJ[Account Code]=(TRIM($B13)))*(CsDJ[Date]&lt;=$C$8),CsDJ[Credit])))+(SUM(IF((CRDJ[Sort Code]=(TRIM(E$5)))*(CRDJ[Account Code]=(TRIM($B13)))*(CRDJ[Date]&lt;=$C$8),CRDJ[Credit])))+(SUM(IF((GJ[Sort Code]=(TRIM(E$5)))*(GJ[Account Code]=(TRIM($B13)))*(GJ[Date]&lt;=$C$8),GJ[Credit]))))-((SUM(IF((CkDJ[Sort Code]=(TRIM(E$5)))*(CkDJ[Account Code]=(TRIM($B13)))*(CkDJ[Date]&lt;=$C$8),CkDJ[Debit])))+(SUM(IF((CsDJ[Sort Code]=(TRIM(E$5)))*(CsDJ[Account Code]=(TRIM($B13)))*(CsDJ[Date]&lt;=$C$8),CsDJ[Debit])))+(SUM(IF((CRDJ[Sort Code]=(TRIM(E$5)))*(CRDJ[Account Code]=(TRIM($B13)))*(CRDJ[Date]&lt;=$C$8),CRDJ[Debit])))+(SUM(IF((GJ[Sort Code]=(TRIM(E$5)))*(GJ[Account Code]=(TRIM($B13)))*(GJ[Date]&lt;=$C$8),GJ[Debit]))))</f>
        <v>0</v>
      </c>
      <c r="D13" s="466">
        <f t="array" ref="D13">((SUM(IF((CkDJ[Date]=$A$4)*(CkDJ[Sort Code]=(TRIM(E$5)))*(CkDJ[Account Code]=(TRIM($B13))),CkDJ[Credit])))+(SUM(IF((CsDJ[Date]=$A$4)*(CsDJ[Sort Code]=(TRIM(E$5)))*(CsDJ[Account Code]=(TRIM($B13))),CsDJ[Credit])))+(SUM(IF((CRDJ[Date]=$A$4)*(CRDJ[Sort Code]=(TRIM(E$5)))*(CRDJ[Account Code]=(TRIM($B13))),CRDJ[Credit])))+(SUM(IF((GJ[Date]=$A$4)*(GJ[Sort Code]=(TRIM(E$5)))*(GJ[Account Code]=(TRIM($B13))),GJ[Credit]))))-((SUM(IF((CkDJ[Date]=$A$4)*(CkDJ[Sort Code]=(TRIM(E$5)))*(CkDJ[Account Code]=(TRIM($B13))),CkDJ[Debit])))+(SUM(IF((CsDJ[Date]=$A$4)*(CsDJ[Sort Code]=(TRIM(E$5)))*(CsDJ[Account Code]=(TRIM($B13))),CsDJ[Debit])))+(SUM(IF((CRDJ[Date]=$A$4)*(CRDJ[Sort Code]=(TRIM(E$5)))*(CRDJ[Account Code]=(TRIM($B13))),CRDJ[Debit])))+(SUM(IF((GJ[Date]=$A$4)*(GJ[Sort Code]=(TRIM(E$5)))*(GJ[Account Code]=(TRIM($B13))),GJ[Debit]))))</f>
        <v>0</v>
      </c>
      <c r="E13" s="467">
        <f>C13+D13</f>
        <v>0</v>
      </c>
    </row>
    <row r="14" spans="1:5" x14ac:dyDescent="0.2">
      <c r="A14" s="476" t="s">
        <v>828</v>
      </c>
      <c r="B14" s="339" t="s">
        <v>721</v>
      </c>
      <c r="C14" s="466">
        <f t="array" ref="C14">((SUM(IF((CkDJ[Sort Code]=(TRIM(E$5)))*(CkDJ[Account Code]=(TRIM($B14)))*(CkDJ[Date]&lt;=$C$8),CkDJ[Credit])))+(SUM(IF((CsDJ[Sort Code]=(TRIM(E$5)))*(CsDJ[Account Code]=(TRIM($B14)))*(CsDJ[Date]&lt;=$C$8),CsDJ[Credit])))+(SUM(IF((CRDJ[Sort Code]=(TRIM(E$5)))*(CRDJ[Account Code]=(TRIM($B14)))*(CRDJ[Date]&lt;=$C$8),CRDJ[Credit])))+(SUM(IF((GJ[Sort Code]=(TRIM(E$5)))*(GJ[Account Code]=(TRIM($B14)))*(GJ[Date]&lt;=$C$8),GJ[Credit]))))-((SUM(IF((CkDJ[Sort Code]=(TRIM(E$5)))*(CkDJ[Account Code]=(TRIM($B14)))*(CkDJ[Date]&lt;=$C$8),CkDJ[Debit])))+(SUM(IF((CsDJ[Sort Code]=(TRIM(E$5)))*(CsDJ[Account Code]=(TRIM($B14)))*(CsDJ[Date]&lt;=$C$8),CsDJ[Debit])))+(SUM(IF((CRDJ[Sort Code]=(TRIM(E$5)))*(CRDJ[Account Code]=(TRIM($B14)))*(CRDJ[Date]&lt;=$C$8),CRDJ[Debit])))+(SUM(IF((GJ[Sort Code]=(TRIM(E$5)))*(GJ[Account Code]=(TRIM($B14)))*(GJ[Date]&lt;=$C$8),GJ[Debit]))))</f>
        <v>0</v>
      </c>
      <c r="D14" s="466">
        <f t="array" ref="D14">((SUM(IF((CkDJ[Date]=$A$4)*(CkDJ[Sort Code]=(TRIM(E$5)))*(CkDJ[Account Code]=(TRIM($B14))),CkDJ[Credit])))+(SUM(IF((CsDJ[Date]=$A$4)*(CsDJ[Sort Code]=(TRIM(E$5)))*(CsDJ[Account Code]=(TRIM($B14))),CsDJ[Credit])))+(SUM(IF((CRDJ[Date]=$A$4)*(CRDJ[Sort Code]=(TRIM(E$5)))*(CRDJ[Account Code]=(TRIM($B14))),CRDJ[Credit])))+(SUM(IF((GJ[Date]=$A$4)*(GJ[Sort Code]=(TRIM(E$5)))*(GJ[Account Code]=(TRIM($B14))),GJ[Credit]))))-((SUM(IF((CkDJ[Date]=$A$4)*(CkDJ[Sort Code]=(TRIM(E$5)))*(CkDJ[Account Code]=(TRIM($B14))),CkDJ[Debit])))+(SUM(IF((CsDJ[Date]=$A$4)*(CsDJ[Sort Code]=(TRIM(E$5)))*(CsDJ[Account Code]=(TRIM($B14))),CsDJ[Debit])))+(SUM(IF((CRDJ[Date]=$A$4)*(CRDJ[Sort Code]=(TRIM(E$5)))*(CRDJ[Account Code]=(TRIM($B14))),CRDJ[Debit])))+(SUM(IF((GJ[Date]=$A$4)*(GJ[Sort Code]=(TRIM(E$5)))*(GJ[Account Code]=(TRIM($B14))),GJ[Debit]))))</f>
        <v>0</v>
      </c>
      <c r="E14" s="467">
        <f>C14+D14</f>
        <v>0</v>
      </c>
    </row>
    <row r="15" spans="1:5" x14ac:dyDescent="0.2">
      <c r="A15" s="476" t="s">
        <v>827</v>
      </c>
      <c r="B15" s="339" t="s">
        <v>143</v>
      </c>
      <c r="C15" s="466">
        <f t="array" ref="C15">((SUM(IF((CkDJ[Sort Code]=(TRIM(E$5)))*(CkDJ[Account Code]=(TRIM($B15)))*(CkDJ[Date]&lt;=$C$8),CkDJ[Credit])))+(SUM(IF((CsDJ[Sort Code]=(TRIM(E$5)))*(CsDJ[Account Code]=(TRIM($B15)))*(CsDJ[Date]&lt;=$C$8),CsDJ[Credit])))+(SUM(IF((CRDJ[Sort Code]=(TRIM(E$5)))*(CRDJ[Account Code]=(TRIM($B15)))*(CRDJ[Date]&lt;=$C$8),CRDJ[Credit])))+(SUM(IF((GJ[Sort Code]=(TRIM(E$5)))*(GJ[Account Code]=(TRIM($B15)))*(GJ[Date]&lt;=$C$8),GJ[Credit]))))-((SUM(IF((CkDJ[Sort Code]=(TRIM(E$5)))*(CkDJ[Account Code]=(TRIM($B15)))*(CkDJ[Date]&lt;=$C$8),CkDJ[Debit])))+(SUM(IF((CsDJ[Sort Code]=(TRIM(E$5)))*(CsDJ[Account Code]=(TRIM($B15)))*(CsDJ[Date]&lt;=$C$8),CsDJ[Debit])))+(SUM(IF((CRDJ[Sort Code]=(TRIM(E$5)))*(CRDJ[Account Code]=(TRIM($B15)))*(CRDJ[Date]&lt;=$C$8),CRDJ[Debit])))+(SUM(IF((GJ[Sort Code]=(TRIM(E$5)))*(GJ[Account Code]=(TRIM($B15)))*(GJ[Date]&lt;=$C$8),GJ[Debit]))))</f>
        <v>0</v>
      </c>
      <c r="D15" s="466">
        <f t="array" ref="D15">((SUM(IF((CkDJ[Date]=$A$4)*(CkDJ[Sort Code]=(TRIM(E$5)))*(CkDJ[Account Code]=(TRIM($B15))),CkDJ[Credit])))+(SUM(IF((CsDJ[Date]=$A$4)*(CsDJ[Sort Code]=(TRIM(E$5)))*(CsDJ[Account Code]=(TRIM($B15))),CsDJ[Credit])))+(SUM(IF((CRDJ[Date]=$A$4)*(CRDJ[Sort Code]=(TRIM(E$5)))*(CRDJ[Account Code]=(TRIM($B15))),CRDJ[Credit])))+(SUM(IF((GJ[Date]=$A$4)*(GJ[Sort Code]=(TRIM(E$5)))*(GJ[Account Code]=(TRIM($B15))),GJ[Credit]))))-((SUM(IF((CkDJ[Date]=$A$4)*(CkDJ[Sort Code]=(TRIM(E$5)))*(CkDJ[Account Code]=(TRIM($B15))),CkDJ[Debit])))+(SUM(IF((CsDJ[Date]=$A$4)*(CsDJ[Sort Code]=(TRIM(E$5)))*(CsDJ[Account Code]=(TRIM($B15))),CsDJ[Debit])))+(SUM(IF((CRDJ[Date]=$A$4)*(CRDJ[Sort Code]=(TRIM(E$5)))*(CRDJ[Account Code]=(TRIM($B15))),CRDJ[Debit])))+(SUM(IF((GJ[Date]=$A$4)*(GJ[Sort Code]=(TRIM(E$5)))*(GJ[Account Code]=(TRIM($B15))),GJ[Debit]))))</f>
        <v>0</v>
      </c>
      <c r="E15" s="467">
        <f>C15+D15</f>
        <v>0</v>
      </c>
    </row>
    <row r="16" spans="1:5" x14ac:dyDescent="0.2">
      <c r="A16" s="473" t="s">
        <v>826</v>
      </c>
      <c r="B16" s="339"/>
      <c r="C16" s="477">
        <f>SUM(C17:C19)</f>
        <v>0</v>
      </c>
      <c r="D16" s="477">
        <f>SUM(D17:D19)</f>
        <v>0</v>
      </c>
      <c r="E16" s="477">
        <f>SUM(E17:E19)</f>
        <v>0</v>
      </c>
    </row>
    <row r="17" spans="1:5" x14ac:dyDescent="0.2">
      <c r="A17" s="475" t="s">
        <v>182</v>
      </c>
      <c r="B17" s="339" t="s">
        <v>146</v>
      </c>
      <c r="C17" s="466">
        <f t="array" ref="C17">((SUM(IF((CkDJ[Sort Code]=(TRIM(E$5)))*(CkDJ[Account Code]=(TRIM($B17)))*(CkDJ[Date]&lt;=$C$8),CkDJ[Credit])))+(SUM(IF((CsDJ[Sort Code]=(TRIM(E$5)))*(CsDJ[Account Code]=(TRIM($B17)))*(CsDJ[Date]&lt;=$C$8),CsDJ[Credit])))+(SUM(IF((CRDJ[Sort Code]=(TRIM(E$5)))*(CRDJ[Account Code]=(TRIM($B17)))*(CRDJ[Date]&lt;=$C$8),CRDJ[Credit])))+(SUM(IF((GJ[Sort Code]=(TRIM(E$5)))*(GJ[Account Code]=(TRIM($B17)))*(GJ[Date]&lt;=$C$8),GJ[Credit]))))-((SUM(IF((CkDJ[Sort Code]=(TRIM(E$5)))*(CkDJ[Account Code]=(TRIM($B17)))*(CkDJ[Date]&lt;=$C$8),CkDJ[Debit])))+(SUM(IF((CsDJ[Sort Code]=(TRIM(E$5)))*(CsDJ[Account Code]=(TRIM($B17)))*(CsDJ[Date]&lt;=$C$8),CsDJ[Debit])))+(SUM(IF((CRDJ[Sort Code]=(TRIM(E$5)))*(CRDJ[Account Code]=(TRIM($B17)))*(CRDJ[Date]&lt;=$C$8),CRDJ[Debit])))+(SUM(IF((GJ[Sort Code]=(TRIM(E$5)))*(GJ[Account Code]=(TRIM($B17)))*(GJ[Date]&lt;=$C$8),GJ[Debit]))))</f>
        <v>0</v>
      </c>
      <c r="D17" s="466">
        <f t="array" ref="D17">((SUM(IF((CkDJ[Date]=$A$4)*(CkDJ[Sort Code]=(TRIM(E$5)))*(CkDJ[Account Code]=(TRIM($B17))),CkDJ[Credit])))+(SUM(IF((CsDJ[Date]=$A$4)*(CsDJ[Sort Code]=(TRIM(E$5)))*(CsDJ[Account Code]=(TRIM($B17))),CsDJ[Credit])))+(SUM(IF((CRDJ[Date]=$A$4)*(CRDJ[Sort Code]=(TRIM(E$5)))*(CRDJ[Account Code]=(TRIM($B17))),CRDJ[Credit])))+(SUM(IF((GJ[Date]=$A$4)*(GJ[Sort Code]=(TRIM(E$5)))*(GJ[Account Code]=(TRIM($B17))),GJ[Credit]))))-((SUM(IF((CkDJ[Date]=$A$4)*(CkDJ[Sort Code]=(TRIM(E$5)))*(CkDJ[Account Code]=(TRIM($B17))),CkDJ[Debit])))+(SUM(IF((CsDJ[Date]=$A$4)*(CsDJ[Sort Code]=(TRIM(E$5)))*(CsDJ[Account Code]=(TRIM($B17))),CsDJ[Debit])))+(SUM(IF((CRDJ[Date]=$A$4)*(CRDJ[Sort Code]=(TRIM(E$5)))*(CRDJ[Account Code]=(TRIM($B17))),CRDJ[Debit])))+(SUM(IF((GJ[Date]=$A$4)*(GJ[Sort Code]=(TRIM(E$5)))*(GJ[Account Code]=(TRIM($B17))),GJ[Debit]))))</f>
        <v>0</v>
      </c>
      <c r="E17" s="467">
        <f>C17+D17</f>
        <v>0</v>
      </c>
    </row>
    <row r="18" spans="1:5" x14ac:dyDescent="0.2">
      <c r="A18" s="475" t="s">
        <v>183</v>
      </c>
      <c r="B18" s="339" t="s">
        <v>147</v>
      </c>
      <c r="C18" s="466">
        <f t="array" ref="C18">((SUM(IF((CkDJ[Sort Code]=(TRIM(E$5)))*(CkDJ[Account Code]=(TRIM($B18)))*(CkDJ[Date]&lt;=$C$8),CkDJ[Credit])))+(SUM(IF((CsDJ[Sort Code]=(TRIM(E$5)))*(CsDJ[Account Code]=(TRIM($B18)))*(CsDJ[Date]&lt;=$C$8),CsDJ[Credit])))+(SUM(IF((CRDJ[Sort Code]=(TRIM(E$5)))*(CRDJ[Account Code]=(TRIM($B18)))*(CRDJ[Date]&lt;=$C$8),CRDJ[Credit])))+(SUM(IF((GJ[Sort Code]=(TRIM(E$5)))*(GJ[Account Code]=(TRIM($B18)))*(GJ[Date]&lt;=$C$8),GJ[Credit]))))-((SUM(IF((CkDJ[Sort Code]=(TRIM(E$5)))*(CkDJ[Account Code]=(TRIM($B18)))*(CkDJ[Date]&lt;=$C$8),CkDJ[Debit])))+(SUM(IF((CsDJ[Sort Code]=(TRIM(E$5)))*(CsDJ[Account Code]=(TRIM($B18)))*(CsDJ[Date]&lt;=$C$8),CsDJ[Debit])))+(SUM(IF((CRDJ[Sort Code]=(TRIM(E$5)))*(CRDJ[Account Code]=(TRIM($B18)))*(CRDJ[Date]&lt;=$C$8),CRDJ[Debit])))+(SUM(IF((GJ[Sort Code]=(TRIM(E$5)))*(GJ[Account Code]=(TRIM($B18)))*(GJ[Date]&lt;=$C$8),GJ[Debit]))))</f>
        <v>0</v>
      </c>
      <c r="D18" s="466">
        <f t="array" ref="D18">((SUM(IF((CkDJ[Date]=$A$4)*(CkDJ[Sort Code]=(TRIM(E$5)))*(CkDJ[Account Code]=(TRIM($B18))),CkDJ[Credit])))+(SUM(IF((CsDJ[Date]=$A$4)*(CsDJ[Sort Code]=(TRIM(E$5)))*(CsDJ[Account Code]=(TRIM($B18))),CsDJ[Credit])))+(SUM(IF((CRDJ[Date]=$A$4)*(CRDJ[Sort Code]=(TRIM(E$5)))*(CRDJ[Account Code]=(TRIM($B18))),CRDJ[Credit])))+(SUM(IF((GJ[Date]=$A$4)*(GJ[Sort Code]=(TRIM(E$5)))*(GJ[Account Code]=(TRIM($B18))),GJ[Credit]))))-((SUM(IF((CkDJ[Date]=$A$4)*(CkDJ[Sort Code]=(TRIM(E$5)))*(CkDJ[Account Code]=(TRIM($B18))),CkDJ[Debit])))+(SUM(IF((CsDJ[Date]=$A$4)*(CsDJ[Sort Code]=(TRIM(E$5)))*(CsDJ[Account Code]=(TRIM($B18))),CsDJ[Debit])))+(SUM(IF((CRDJ[Date]=$A$4)*(CRDJ[Sort Code]=(TRIM(E$5)))*(CRDJ[Account Code]=(TRIM($B18))),CRDJ[Debit])))+(SUM(IF((GJ[Date]=$A$4)*(GJ[Sort Code]=(TRIM(E$5)))*(GJ[Account Code]=(TRIM($B18))),GJ[Debit]))))</f>
        <v>0</v>
      </c>
      <c r="E18" s="467">
        <f>C18+D18</f>
        <v>0</v>
      </c>
    </row>
    <row r="19" spans="1:5" hidden="1" x14ac:dyDescent="0.2">
      <c r="A19" s="475" t="s">
        <v>184</v>
      </c>
      <c r="B19" s="339" t="s">
        <v>148</v>
      </c>
      <c r="C19" s="466">
        <f t="array" ref="C19">((SUM(IF((CkDJ[Sort Code]=(TRIM(E$5)))*(CkDJ[Account Code]=(TRIM($B19)))*(CkDJ[Date]&lt;=$C$8),CkDJ[Credit])))+(SUM(IF((CsDJ[Sort Code]=(TRIM(E$5)))*(CsDJ[Account Code]=(TRIM($B19)))*(CsDJ[Date]&lt;=$C$8),CsDJ[Credit])))+(SUM(IF((CRDJ[Sort Code]=(TRIM(E$5)))*(CRDJ[Account Code]=(TRIM($B19)))*(CRDJ[Date]&lt;=$C$8),CRDJ[Credit])))+(SUM(IF((GJ[Sort Code]=(TRIM(E$5)))*(GJ[Account Code]=(TRIM($B19)))*(GJ[Date]&lt;=$C$8),GJ[Credit]))))-((SUM(IF((CkDJ[Sort Code]=(TRIM(E$5)))*(CkDJ[Account Code]=(TRIM($B19)))*(CkDJ[Date]&lt;=$C$8),CkDJ[Debit])))+(SUM(IF((CsDJ[Sort Code]=(TRIM(E$5)))*(CsDJ[Account Code]=(TRIM($B19)))*(CsDJ[Date]&lt;=$C$8),CsDJ[Debit])))+(SUM(IF((CRDJ[Sort Code]=(TRIM(E$5)))*(CRDJ[Account Code]=(TRIM($B19)))*(CRDJ[Date]&lt;=$C$8),CRDJ[Debit])))+(SUM(IF((GJ[Sort Code]=(TRIM(E$5)))*(GJ[Account Code]=(TRIM($B19)))*(GJ[Date]&lt;=$C$8),GJ[Debit]))))</f>
        <v>0</v>
      </c>
      <c r="D19" s="466">
        <f t="array" ref="D19">((SUM(IF((CkDJ[Date]=$A$4)*(CkDJ[Sort Code]=(TRIM(E$5)))*(CkDJ[Account Code]=(TRIM($B19))),CkDJ[Credit])))+(SUM(IF((CsDJ[Date]=$A$4)*(CsDJ[Sort Code]=(TRIM(E$5)))*(CsDJ[Account Code]=(TRIM($B19))),CsDJ[Credit])))+(SUM(IF((CRDJ[Date]=$A$4)*(CRDJ[Sort Code]=(TRIM(E$5)))*(CRDJ[Account Code]=(TRIM($B19))),CRDJ[Credit])))+(SUM(IF((GJ[Date]=$A$4)*(GJ[Sort Code]=(TRIM(E$5)))*(GJ[Account Code]=(TRIM($B19))),GJ[Credit]))))-((SUM(IF((CkDJ[Date]=$A$4)*(CkDJ[Sort Code]=(TRIM(E$5)))*(CkDJ[Account Code]=(TRIM($B19))),CkDJ[Debit])))+(SUM(IF((CsDJ[Date]=$A$4)*(CsDJ[Sort Code]=(TRIM(E$5)))*(CsDJ[Account Code]=(TRIM($B19))),CsDJ[Debit])))+(SUM(IF((CRDJ[Date]=$A$4)*(CRDJ[Sort Code]=(TRIM(E$5)))*(CRDJ[Account Code]=(TRIM($B19))),CRDJ[Debit])))+(SUM(IF((GJ[Date]=$A$4)*(GJ[Sort Code]=(TRIM(E$5)))*(GJ[Account Code]=(TRIM($B19))),GJ[Debit]))))</f>
        <v>0</v>
      </c>
      <c r="E19" s="467">
        <f>C19+D19</f>
        <v>0</v>
      </c>
    </row>
    <row r="20" spans="1:5" x14ac:dyDescent="0.2">
      <c r="A20" s="473" t="s">
        <v>825</v>
      </c>
      <c r="B20" s="339"/>
      <c r="C20" s="477">
        <f>SUM(C21:C22)</f>
        <v>0</v>
      </c>
      <c r="D20" s="477">
        <f>SUM(D21:D22)</f>
        <v>0</v>
      </c>
      <c r="E20" s="477">
        <f>SUM(E21:E22)</f>
        <v>0</v>
      </c>
    </row>
    <row r="21" spans="1:5" hidden="1" x14ac:dyDescent="0.2">
      <c r="A21" s="475" t="s">
        <v>821</v>
      </c>
      <c r="B21" s="339" t="s">
        <v>131</v>
      </c>
      <c r="C21" s="466">
        <f t="array" ref="C21">((SUM(IF((CkDJ[Sort Code]=(TRIM(E$5)))*(CkDJ[Account Code]=(TRIM($B21)))*(CkDJ[Date]&lt;=$C$8),CkDJ[Credit])))+(SUM(IF((CsDJ[Sort Code]=(TRIM(E$5)))*(CsDJ[Account Code]=(TRIM($B21)))*(CsDJ[Date]&lt;=$C$8),CsDJ[Credit])))+(SUM(IF((CRDJ[Sort Code]=(TRIM(E$5)))*(CRDJ[Account Code]=(TRIM($B21)))*(CRDJ[Date]&lt;=$C$8),CRDJ[Credit])))+(SUM(IF((GJ[Sort Code]=(TRIM(E$5)))*(GJ[Account Code]=(TRIM($B21)))*(GJ[Date]&lt;=$C$8),GJ[Credit]))))-((SUM(IF((CkDJ[Sort Code]=(TRIM(E$5)))*(CkDJ[Account Code]=(TRIM($B21)))*(CkDJ[Date]&lt;=$C$8),CkDJ[Debit])))+(SUM(IF((CsDJ[Sort Code]=(TRIM(E$5)))*(CsDJ[Account Code]=(TRIM($B21)))*(CsDJ[Date]&lt;=$C$8),CsDJ[Debit])))+(SUM(IF((CRDJ[Sort Code]=(TRIM(E$5)))*(CRDJ[Account Code]=(TRIM($B21)))*(CRDJ[Date]&lt;=$C$8),CRDJ[Debit])))+(SUM(IF((GJ[Sort Code]=(TRIM(E$5)))*(GJ[Account Code]=(TRIM($B21)))*(GJ[Date]&lt;=$C$8),GJ[Debit]))))</f>
        <v>0</v>
      </c>
      <c r="D21" s="466">
        <f t="array" ref="D21">((SUM(IF((CkDJ[Date]=$A$4)*(CkDJ[Sort Code]=(TRIM(E$5)))*(CkDJ[Account Code]=(TRIM($B21))),CkDJ[Credit])))+(SUM(IF((CsDJ[Date]=$A$4)*(CsDJ[Sort Code]=(TRIM(E$5)))*(CsDJ[Account Code]=(TRIM($B21))),CsDJ[Credit])))+(SUM(IF((CRDJ[Date]=$A$4)*(CRDJ[Sort Code]=(TRIM(E$5)))*(CRDJ[Account Code]=(TRIM($B21))),CRDJ[Credit])))+(SUM(IF((GJ[Date]=$A$4)*(GJ[Sort Code]=(TRIM(E$5)))*(GJ[Account Code]=(TRIM($B21))),GJ[Credit]))))-((SUM(IF((CkDJ[Date]=$A$4)*(CkDJ[Sort Code]=(TRIM(E$5)))*(CkDJ[Account Code]=(TRIM($B21))),CkDJ[Debit])))+(SUM(IF((CsDJ[Date]=$A$4)*(CsDJ[Sort Code]=(TRIM(E$5)))*(CsDJ[Account Code]=(TRIM($B21))),CsDJ[Debit])))+(SUM(IF((CRDJ[Date]=$A$4)*(CRDJ[Sort Code]=(TRIM(E$5)))*(CRDJ[Account Code]=(TRIM($B21))),CRDJ[Debit])))+(SUM(IF((GJ[Date]=$A$4)*(GJ[Sort Code]=(TRIM(E$5)))*(GJ[Account Code]=(TRIM($B21))),GJ[Debit]))))</f>
        <v>0</v>
      </c>
      <c r="E21" s="467">
        <f>C21+D21</f>
        <v>0</v>
      </c>
    </row>
    <row r="22" spans="1:5" hidden="1" x14ac:dyDescent="0.2">
      <c r="A22" s="475" t="s">
        <v>820</v>
      </c>
      <c r="B22" s="339"/>
      <c r="C22" s="466">
        <f>SUM(C23:C24)</f>
        <v>0</v>
      </c>
      <c r="D22" s="466">
        <f>SUM(D23:D24)</f>
        <v>0</v>
      </c>
      <c r="E22" s="466">
        <f>SUM(E23:E24)</f>
        <v>0</v>
      </c>
    </row>
    <row r="23" spans="1:5" hidden="1" x14ac:dyDescent="0.2">
      <c r="A23" s="476" t="s">
        <v>819</v>
      </c>
      <c r="B23" s="339" t="s">
        <v>140</v>
      </c>
      <c r="C23" s="466">
        <f t="array" ref="C23">((SUM(IF((CkDJ[Sort Code]=(TRIM(E$5)))*(CkDJ[Account Code]=(TRIM($B23)))*(CkDJ[Date]&lt;=$C$8),CkDJ[Credit])))+(SUM(IF((CsDJ[Sort Code]=(TRIM(E$5)))*(CsDJ[Account Code]=(TRIM($B23)))*(CsDJ[Date]&lt;=$C$8),CsDJ[Credit])))+(SUM(IF((CRDJ[Sort Code]=(TRIM(E$5)))*(CRDJ[Account Code]=(TRIM($B23)))*(CRDJ[Date]&lt;=$C$8),CRDJ[Credit])))+(SUM(IF((GJ[Sort Code]=(TRIM(E$5)))*(GJ[Account Code]=(TRIM($B23)))*(GJ[Date]&lt;=$C$8),GJ[Credit]))))-((SUM(IF((CkDJ[Sort Code]=(TRIM(E$5)))*(CkDJ[Account Code]=(TRIM($B23)))*(CkDJ[Date]&lt;=$C$8),CkDJ[Debit])))+(SUM(IF((CsDJ[Sort Code]=(TRIM(E$5)))*(CsDJ[Account Code]=(TRIM($B23)))*(CsDJ[Date]&lt;=$C$8),CsDJ[Debit])))+(SUM(IF((CRDJ[Sort Code]=(TRIM(E$5)))*(CRDJ[Account Code]=(TRIM($B23)))*(CRDJ[Date]&lt;=$C$8),CRDJ[Debit])))+(SUM(IF((GJ[Sort Code]=(TRIM(E$5)))*(GJ[Account Code]=(TRIM($B23)))*(GJ[Date]&lt;=$C$8),GJ[Debit]))))</f>
        <v>0</v>
      </c>
      <c r="D23" s="466">
        <f t="array" ref="D23">((SUM(IF((CkDJ[Date]=$A$4)*(CkDJ[Sort Code]=(TRIM(E$5)))*(CkDJ[Account Code]=(TRIM($B23))),CkDJ[Credit])))+(SUM(IF((CsDJ[Date]=$A$4)*(CsDJ[Sort Code]=(TRIM(E$5)))*(CsDJ[Account Code]=(TRIM($B23))),CsDJ[Credit])))+(SUM(IF((CRDJ[Date]=$A$4)*(CRDJ[Sort Code]=(TRIM(E$5)))*(CRDJ[Account Code]=(TRIM($B23))),CRDJ[Credit])))+(SUM(IF((GJ[Date]=$A$4)*(GJ[Sort Code]=(TRIM(E$5)))*(GJ[Account Code]=(TRIM($B23))),GJ[Credit]))))-((SUM(IF((CkDJ[Date]=$A$4)*(CkDJ[Sort Code]=(TRIM(E$5)))*(CkDJ[Account Code]=(TRIM($B23))),CkDJ[Debit])))+(SUM(IF((CsDJ[Date]=$A$4)*(CsDJ[Sort Code]=(TRIM(E$5)))*(CsDJ[Account Code]=(TRIM($B23))),CsDJ[Debit])))+(SUM(IF((CRDJ[Date]=$A$4)*(CRDJ[Sort Code]=(TRIM(E$5)))*(CRDJ[Account Code]=(TRIM($B23))),CRDJ[Debit])))+(SUM(IF((GJ[Date]=$A$4)*(GJ[Sort Code]=(TRIM(E$5)))*(GJ[Account Code]=(TRIM($B23))),GJ[Debit]))))</f>
        <v>0</v>
      </c>
      <c r="E23" s="467">
        <f>C23+D23</f>
        <v>0</v>
      </c>
    </row>
    <row r="24" spans="1:5" hidden="1" x14ac:dyDescent="0.2">
      <c r="A24" s="476" t="s">
        <v>818</v>
      </c>
      <c r="B24" s="339" t="s">
        <v>144</v>
      </c>
      <c r="C24" s="466">
        <f t="array" ref="C24">((SUM(IF((CkDJ[Sort Code]=(TRIM(E$5)))*(CkDJ[Account Code]=(TRIM($B24)))*(CkDJ[Date]&lt;=$C$8),CkDJ[Credit])))+(SUM(IF((CsDJ[Sort Code]=(TRIM(E$5)))*(CsDJ[Account Code]=(TRIM($B24)))*(CsDJ[Date]&lt;=$C$8),CsDJ[Credit])))+(SUM(IF((CRDJ[Sort Code]=(TRIM(E$5)))*(CRDJ[Account Code]=(TRIM($B24)))*(CRDJ[Date]&lt;=$C$8),CRDJ[Credit])))+(SUM(IF((GJ[Sort Code]=(TRIM(E$5)))*(GJ[Account Code]=(TRIM($B24)))*(GJ[Date]&lt;=$C$8),GJ[Credit]))))-((SUM(IF((CkDJ[Sort Code]=(TRIM(E$5)))*(CkDJ[Account Code]=(TRIM($B24)))*(CkDJ[Date]&lt;=$C$8),CkDJ[Debit])))+(SUM(IF((CsDJ[Sort Code]=(TRIM(E$5)))*(CsDJ[Account Code]=(TRIM($B24)))*(CsDJ[Date]&lt;=$C$8),CsDJ[Debit])))+(SUM(IF((CRDJ[Sort Code]=(TRIM(E$5)))*(CRDJ[Account Code]=(TRIM($B24)))*(CRDJ[Date]&lt;=$C$8),CRDJ[Debit])))+(SUM(IF((GJ[Sort Code]=(TRIM(E$5)))*(GJ[Account Code]=(TRIM($B24)))*(GJ[Date]&lt;=$C$8),GJ[Debit]))))</f>
        <v>0</v>
      </c>
      <c r="D24" s="466">
        <f t="array" ref="D24">((SUM(IF((CkDJ[Date]=$A$4)*(CkDJ[Sort Code]=(TRIM(E$5)))*(CkDJ[Account Code]=(TRIM($B24))),CkDJ[Credit])))+(SUM(IF((CsDJ[Date]=$A$4)*(CsDJ[Sort Code]=(TRIM(E$5)))*(CsDJ[Account Code]=(TRIM($B24))),CsDJ[Credit])))+(SUM(IF((CRDJ[Date]=$A$4)*(CRDJ[Sort Code]=(TRIM(E$5)))*(CRDJ[Account Code]=(TRIM($B24))),CRDJ[Credit])))+(SUM(IF((GJ[Date]=$A$4)*(GJ[Sort Code]=(TRIM(E$5)))*(GJ[Account Code]=(TRIM($B24))),GJ[Credit]))))-((SUM(IF((CkDJ[Date]=$A$4)*(CkDJ[Sort Code]=(TRIM(E$5)))*(CkDJ[Account Code]=(TRIM($B24))),CkDJ[Debit])))+(SUM(IF((CsDJ[Date]=$A$4)*(CsDJ[Sort Code]=(TRIM(E$5)))*(CsDJ[Account Code]=(TRIM($B24))),CsDJ[Debit])))+(SUM(IF((CRDJ[Date]=$A$4)*(CRDJ[Sort Code]=(TRIM(E$5)))*(CRDJ[Account Code]=(TRIM($B24))),CRDJ[Debit])))+(SUM(IF((GJ[Date]=$A$4)*(GJ[Sort Code]=(TRIM(E$5)))*(GJ[Account Code]=(TRIM($B24))),GJ[Debit]))))</f>
        <v>0</v>
      </c>
      <c r="E24" s="467">
        <f>C24+D24</f>
        <v>0</v>
      </c>
    </row>
    <row r="25" spans="1:5" x14ac:dyDescent="0.2">
      <c r="A25" s="473" t="s">
        <v>1163</v>
      </c>
      <c r="B25" s="339" t="s">
        <v>352</v>
      </c>
      <c r="C25" s="466">
        <f t="array" ref="C25">((SUM(IF((CkDJ[Sort Code]=(TRIM(E$5)))*(CkDJ[Account Code]=(TRIM($B25)))*(CkDJ[Date]&lt;=$C$8),CkDJ[Credit])))+(SUM(IF((CsDJ[Sort Code]=(TRIM(E$5)))*(CsDJ[Account Code]=(TRIM($B25)))*(CsDJ[Date]&lt;=$C$8),CsDJ[Credit])))+(SUM(IF((CRDJ[Sort Code]=(TRIM(E$5)))*(CRDJ[Account Code]=(TRIM($B25)))*(CRDJ[Date]&lt;=$C$8),CRDJ[Credit])))+(SUM(IF((GJ[Sort Code]=(TRIM(E$5)))*(GJ[Account Code]=(TRIM($B25)))*(GJ[Date]&lt;=$C$8),GJ[Credit]))))-((SUM(IF((CkDJ[Sort Code]=(TRIM(E$5)))*(CkDJ[Account Code]=(TRIM($B25)))*(CkDJ[Date]&lt;=$C$8),CkDJ[Debit])))+(SUM(IF((CsDJ[Sort Code]=(TRIM(E$5)))*(CsDJ[Account Code]=(TRIM($B25)))*(CsDJ[Date]&lt;=$C$8),CsDJ[Debit])))+(SUM(IF((CRDJ[Sort Code]=(TRIM(E$5)))*(CRDJ[Account Code]=(TRIM($B25)))*(CRDJ[Date]&lt;=$C$8),CRDJ[Debit])))+(SUM(IF((GJ[Sort Code]=(TRIM(E$5)))*(GJ[Account Code]=(TRIM($B25)))*(GJ[Date]&lt;=$C$8),GJ[Debit]))))</f>
        <v>0</v>
      </c>
      <c r="D25" s="466">
        <f t="array" ref="D25">((SUM(IF((CkDJ[Date]=$A$4)*(CkDJ[Sort Code]=(TRIM(E$5)))*(CkDJ[Account Code]=(TRIM($B25))),CkDJ[Credit])))+(SUM(IF((CsDJ[Date]=$A$4)*(CsDJ[Sort Code]=(TRIM(E$5)))*(CsDJ[Account Code]=(TRIM($B25))),CsDJ[Credit])))+(SUM(IF((CRDJ[Date]=$A$4)*(CRDJ[Sort Code]=(TRIM(E$5)))*(CRDJ[Account Code]=(TRIM($B25))),CRDJ[Credit])))+(SUM(IF((GJ[Date]=$A$4)*(GJ[Sort Code]=(TRIM(E$5)))*(GJ[Account Code]=(TRIM($B25))),GJ[Credit]))))-((SUM(IF((CkDJ[Date]=$A$4)*(CkDJ[Sort Code]=(TRIM(E$5)))*(CkDJ[Account Code]=(TRIM($B25))),CkDJ[Debit])))+(SUM(IF((CsDJ[Date]=$A$4)*(CsDJ[Sort Code]=(TRIM(E$5)))*(CsDJ[Account Code]=(TRIM($B25))),CsDJ[Debit])))+(SUM(IF((CRDJ[Date]=$A$4)*(CRDJ[Sort Code]=(TRIM(E$5)))*(CRDJ[Account Code]=(TRIM($B25))),CRDJ[Debit])))+(SUM(IF((GJ[Date]=$A$4)*(GJ[Sort Code]=(TRIM(E$5)))*(GJ[Account Code]=(TRIM($B25))),GJ[Debit]))))</f>
        <v>0</v>
      </c>
      <c r="E25" s="467">
        <f>C25+D25</f>
        <v>0</v>
      </c>
    </row>
    <row r="26" spans="1:5" x14ac:dyDescent="0.2">
      <c r="A26" s="473" t="s">
        <v>1164</v>
      </c>
      <c r="B26" s="339"/>
      <c r="C26" s="477">
        <f>SUM(C27:C28)</f>
        <v>0</v>
      </c>
      <c r="D26" s="477">
        <f>SUM(D27:D28)</f>
        <v>0</v>
      </c>
      <c r="E26" s="477">
        <f>SUM(E27:E28)</f>
        <v>0</v>
      </c>
    </row>
    <row r="27" spans="1:5" x14ac:dyDescent="0.2">
      <c r="A27" s="475" t="s">
        <v>821</v>
      </c>
      <c r="B27" s="339" t="s">
        <v>128</v>
      </c>
      <c r="C27" s="466">
        <f t="array" ref="C27">((SUM(IF((CkDJ[Sort Code]=(TRIM(E$5)))*(CkDJ[Account Code]=(TRIM($B27)))*(CkDJ[Date]&lt;=$C$8),CkDJ[Credit])))+(SUM(IF((CsDJ[Sort Code]=(TRIM(E$5)))*(CsDJ[Account Code]=(TRIM($B27)))*(CsDJ[Date]&lt;=$C$8),CsDJ[Credit])))+(SUM(IF((CRDJ[Sort Code]=(TRIM(E$5)))*(CRDJ[Account Code]=(TRIM($B27)))*(CRDJ[Date]&lt;=$C$8),CRDJ[Credit])))+(SUM(IF((GJ[Sort Code]=(TRIM(E$5)))*(GJ[Account Code]=(TRIM($B27)))*(GJ[Date]&lt;=$C$8),GJ[Credit]))))-((SUM(IF((CkDJ[Sort Code]=(TRIM(E$5)))*(CkDJ[Account Code]=(TRIM($B27)))*(CkDJ[Date]&lt;=$C$8),CkDJ[Debit])))+(SUM(IF((CsDJ[Sort Code]=(TRIM(E$5)))*(CsDJ[Account Code]=(TRIM($B27)))*(CsDJ[Date]&lt;=$C$8),CsDJ[Debit])))+(SUM(IF((CRDJ[Sort Code]=(TRIM(E$5)))*(CRDJ[Account Code]=(TRIM($B27)))*(CRDJ[Date]&lt;=$C$8),CRDJ[Debit])))+(SUM(IF((GJ[Sort Code]=(TRIM(E$5)))*(GJ[Account Code]=(TRIM($B27)))*(GJ[Date]&lt;=$C$8),GJ[Debit]))))</f>
        <v>0</v>
      </c>
      <c r="D27" s="466">
        <f t="array" ref="D27">((SUM(IF((CkDJ[Date]=$A$4)*(CkDJ[Sort Code]=(TRIM(E$5)))*(CkDJ[Account Code]=(TRIM($B27))),CkDJ[Credit])))+(SUM(IF((CsDJ[Date]=$A$4)*(CsDJ[Sort Code]=(TRIM(E$5)))*(CsDJ[Account Code]=(TRIM($B27))),CsDJ[Credit])))+(SUM(IF((CRDJ[Date]=$A$4)*(CRDJ[Sort Code]=(TRIM(E$5)))*(CRDJ[Account Code]=(TRIM($B27))),CRDJ[Credit])))+(SUM(IF((GJ[Date]=$A$4)*(GJ[Sort Code]=(TRIM(E$5)))*(GJ[Account Code]=(TRIM($B27))),GJ[Credit]))))-((SUM(IF((CkDJ[Date]=$A$4)*(CkDJ[Sort Code]=(TRIM(E$5)))*(CkDJ[Account Code]=(TRIM($B27))),CkDJ[Debit])))+(SUM(IF((CsDJ[Date]=$A$4)*(CsDJ[Sort Code]=(TRIM(E$5)))*(CsDJ[Account Code]=(TRIM($B27))),CsDJ[Debit])))+(SUM(IF((CRDJ[Date]=$A$4)*(CRDJ[Sort Code]=(TRIM(E$5)))*(CRDJ[Account Code]=(TRIM($B27))),CRDJ[Debit])))+(SUM(IF((GJ[Date]=$A$4)*(GJ[Sort Code]=(TRIM(E$5)))*(GJ[Account Code]=(TRIM($B27))),GJ[Debit]))))</f>
        <v>0</v>
      </c>
      <c r="E27" s="467">
        <f>C27+D27</f>
        <v>0</v>
      </c>
    </row>
    <row r="28" spans="1:5" x14ac:dyDescent="0.2">
      <c r="A28" s="475" t="s">
        <v>820</v>
      </c>
      <c r="B28" s="339"/>
      <c r="C28" s="466">
        <f>SUM(C29:C30)</f>
        <v>0</v>
      </c>
      <c r="D28" s="466">
        <f>SUM(D29:D30)</f>
        <v>0</v>
      </c>
      <c r="E28" s="466">
        <f>SUM(E29:E30)</f>
        <v>0</v>
      </c>
    </row>
    <row r="29" spans="1:5" hidden="1" x14ac:dyDescent="0.2">
      <c r="A29" s="476" t="s">
        <v>819</v>
      </c>
      <c r="B29" s="339" t="s">
        <v>129</v>
      </c>
      <c r="C29" s="466">
        <f t="array" ref="C29">((SUM(IF((CkDJ[Sort Code]=(TRIM(E$5)))*(CkDJ[Account Code]=(TRIM($B29)))*(CkDJ[Date]&lt;=$C$8),CkDJ[Credit])))+(SUM(IF((CsDJ[Sort Code]=(TRIM(E$5)))*(CsDJ[Account Code]=(TRIM($B29)))*(CsDJ[Date]&lt;=$C$8),CsDJ[Credit])))+(SUM(IF((CRDJ[Sort Code]=(TRIM(E$5)))*(CRDJ[Account Code]=(TRIM($B29)))*(CRDJ[Date]&lt;=$C$8),CRDJ[Credit])))+(SUM(IF((GJ[Sort Code]=(TRIM(E$5)))*(GJ[Account Code]=(TRIM($B29)))*(GJ[Date]&lt;=$C$8),GJ[Credit]))))-((SUM(IF((CkDJ[Sort Code]=(TRIM(E$5)))*(CkDJ[Account Code]=(TRIM($B29)))*(CkDJ[Date]&lt;=$C$8),CkDJ[Debit])))+(SUM(IF((CsDJ[Sort Code]=(TRIM(E$5)))*(CsDJ[Account Code]=(TRIM($B29)))*(CsDJ[Date]&lt;=$C$8),CsDJ[Debit])))+(SUM(IF((CRDJ[Sort Code]=(TRIM(E$5)))*(CRDJ[Account Code]=(TRIM($B29)))*(CRDJ[Date]&lt;=$C$8),CRDJ[Debit])))+(SUM(IF((GJ[Sort Code]=(TRIM(E$5)))*(GJ[Account Code]=(TRIM($B29)))*(GJ[Date]&lt;=$C$8),GJ[Debit]))))</f>
        <v>0</v>
      </c>
      <c r="D29" s="466">
        <f t="array" ref="D29">((SUM(IF((CkDJ[Date]=$A$4)*(CkDJ[Sort Code]=(TRIM(E$5)))*(CkDJ[Account Code]=(TRIM($B29))),CkDJ[Credit])))+(SUM(IF((CsDJ[Date]=$A$4)*(CsDJ[Sort Code]=(TRIM(E$5)))*(CsDJ[Account Code]=(TRIM($B29))),CsDJ[Credit])))+(SUM(IF((CRDJ[Date]=$A$4)*(CRDJ[Sort Code]=(TRIM(E$5)))*(CRDJ[Account Code]=(TRIM($B29))),CRDJ[Credit])))+(SUM(IF((GJ[Date]=$A$4)*(GJ[Sort Code]=(TRIM(E$5)))*(GJ[Account Code]=(TRIM($B29))),GJ[Credit]))))-((SUM(IF((CkDJ[Date]=$A$4)*(CkDJ[Sort Code]=(TRIM(E$5)))*(CkDJ[Account Code]=(TRIM($B29))),CkDJ[Debit])))+(SUM(IF((CsDJ[Date]=$A$4)*(CsDJ[Sort Code]=(TRIM(E$5)))*(CsDJ[Account Code]=(TRIM($B29))),CsDJ[Debit])))+(SUM(IF((CRDJ[Date]=$A$4)*(CRDJ[Sort Code]=(TRIM(E$5)))*(CRDJ[Account Code]=(TRIM($B29))),CRDJ[Debit])))+(SUM(IF((GJ[Date]=$A$4)*(GJ[Sort Code]=(TRIM(E$5)))*(GJ[Account Code]=(TRIM($B29))),GJ[Debit]))))</f>
        <v>0</v>
      </c>
      <c r="E29" s="467">
        <f>C29+D29</f>
        <v>0</v>
      </c>
    </row>
    <row r="30" spans="1:5" hidden="1" x14ac:dyDescent="0.2">
      <c r="A30" s="476" t="s">
        <v>818</v>
      </c>
      <c r="B30" s="339" t="s">
        <v>145</v>
      </c>
      <c r="C30" s="466">
        <f t="array" ref="C30">((SUM(IF((CkDJ[Sort Code]=(TRIM(E$5)))*(CkDJ[Account Code]=(TRIM($B30)))*(CkDJ[Date]&lt;=$C$8),CkDJ[Credit])))+(SUM(IF((CsDJ[Sort Code]=(TRIM(E$5)))*(CsDJ[Account Code]=(TRIM($B30)))*(CsDJ[Date]&lt;=$C$8),CsDJ[Credit])))+(SUM(IF((CRDJ[Sort Code]=(TRIM(E$5)))*(CRDJ[Account Code]=(TRIM($B30)))*(CRDJ[Date]&lt;=$C$8),CRDJ[Credit])))+(SUM(IF((GJ[Sort Code]=(TRIM(E$5)))*(GJ[Account Code]=(TRIM($B30)))*(GJ[Date]&lt;=$C$8),GJ[Credit]))))-((SUM(IF((CkDJ[Sort Code]=(TRIM(E$5)))*(CkDJ[Account Code]=(TRIM($B30)))*(CkDJ[Date]&lt;=$C$8),CkDJ[Debit])))+(SUM(IF((CsDJ[Sort Code]=(TRIM(E$5)))*(CsDJ[Account Code]=(TRIM($B30)))*(CsDJ[Date]&lt;=$C$8),CsDJ[Debit])))+(SUM(IF((CRDJ[Sort Code]=(TRIM(E$5)))*(CRDJ[Account Code]=(TRIM($B30)))*(CRDJ[Date]&lt;=$C$8),CRDJ[Debit])))+(SUM(IF((GJ[Sort Code]=(TRIM(E$5)))*(GJ[Account Code]=(TRIM($B30)))*(GJ[Date]&lt;=$C$8),GJ[Debit]))))</f>
        <v>0</v>
      </c>
      <c r="D30" s="466">
        <f t="array" ref="D30">((SUM(IF((CkDJ[Date]=$A$4)*(CkDJ[Sort Code]=(TRIM(E$5)))*(CkDJ[Account Code]=(TRIM($B30))),CkDJ[Credit])))+(SUM(IF((CsDJ[Date]=$A$4)*(CsDJ[Sort Code]=(TRIM(E$5)))*(CsDJ[Account Code]=(TRIM($B30))),CsDJ[Credit])))+(SUM(IF((CRDJ[Date]=$A$4)*(CRDJ[Sort Code]=(TRIM(E$5)))*(CRDJ[Account Code]=(TRIM($B30))),CRDJ[Credit])))+(SUM(IF((GJ[Date]=$A$4)*(GJ[Sort Code]=(TRIM(E$5)))*(GJ[Account Code]=(TRIM($B30))),GJ[Credit]))))-((SUM(IF((CkDJ[Date]=$A$4)*(CkDJ[Sort Code]=(TRIM(E$5)))*(CkDJ[Account Code]=(TRIM($B30))),CkDJ[Debit])))+(SUM(IF((CsDJ[Date]=$A$4)*(CsDJ[Sort Code]=(TRIM(E$5)))*(CsDJ[Account Code]=(TRIM($B30))),CsDJ[Debit])))+(SUM(IF((CRDJ[Date]=$A$4)*(CRDJ[Sort Code]=(TRIM(E$5)))*(CRDJ[Account Code]=(TRIM($B30))),CRDJ[Debit])))+(SUM(IF((GJ[Date]=$A$4)*(GJ[Sort Code]=(TRIM(E$5)))*(GJ[Account Code]=(TRIM($B30))),GJ[Debit]))))</f>
        <v>0</v>
      </c>
      <c r="E30" s="467">
        <f>C30+D30</f>
        <v>0</v>
      </c>
    </row>
    <row r="31" spans="1:5" x14ac:dyDescent="0.2">
      <c r="A31" s="473" t="s">
        <v>1165</v>
      </c>
      <c r="B31" s="339"/>
      <c r="C31" s="477">
        <f>SUM(C32:C34)</f>
        <v>0</v>
      </c>
      <c r="D31" s="477">
        <f>SUM(D32:D34)</f>
        <v>0</v>
      </c>
      <c r="E31" s="477">
        <f>SUM(E32:E34)</f>
        <v>0</v>
      </c>
    </row>
    <row r="32" spans="1:5" x14ac:dyDescent="0.2">
      <c r="A32" s="475" t="s">
        <v>139</v>
      </c>
      <c r="B32" s="339" t="s">
        <v>130</v>
      </c>
      <c r="C32" s="466">
        <f t="array" ref="C32">((SUM(IF((CkDJ[Sort Code]=(TRIM(E$5)))*(CkDJ[Account Code]=(TRIM($B32)))*(CkDJ[Date]&lt;=$C$8),CkDJ[Credit])))+(SUM(IF((CsDJ[Sort Code]=(TRIM(E$5)))*(CsDJ[Account Code]=(TRIM($B32)))*(CsDJ[Date]&lt;=$C$8),CsDJ[Credit])))+(SUM(IF((CRDJ[Sort Code]=(TRIM(E$5)))*(CRDJ[Account Code]=(TRIM($B32)))*(CRDJ[Date]&lt;=$C$8),CRDJ[Credit])))+(SUM(IF((GJ[Sort Code]=(TRIM(E$5)))*(GJ[Account Code]=(TRIM($B32)))*(GJ[Date]&lt;=$C$8),GJ[Credit]))))-((SUM(IF((CkDJ[Sort Code]=(TRIM(E$5)))*(CkDJ[Account Code]=(TRIM($B32)))*(CkDJ[Date]&lt;=$C$8),CkDJ[Debit])))+(SUM(IF((CsDJ[Sort Code]=(TRIM(E$5)))*(CsDJ[Account Code]=(TRIM($B32)))*(CsDJ[Date]&lt;=$C$8),CsDJ[Debit])))+(SUM(IF((CRDJ[Sort Code]=(TRIM(E$5)))*(CRDJ[Account Code]=(TRIM($B32)))*(CRDJ[Date]&lt;=$C$8),CRDJ[Debit])))+(SUM(IF((GJ[Sort Code]=(TRIM(E$5)))*(GJ[Account Code]=(TRIM($B32)))*(GJ[Date]&lt;=$C$8),GJ[Debit]))))</f>
        <v>0</v>
      </c>
      <c r="D32" s="466">
        <f t="array" ref="D32">((SUM(IF((CkDJ[Date]=$A$4)*(CkDJ[Sort Code]=(TRIM(E$5)))*(CkDJ[Account Code]=(TRIM($B32))),CkDJ[Credit])))+(SUM(IF((CsDJ[Date]=$A$4)*(CsDJ[Sort Code]=(TRIM(E$5)))*(CsDJ[Account Code]=(TRIM($B32))),CsDJ[Credit])))+(SUM(IF((CRDJ[Date]=$A$4)*(CRDJ[Sort Code]=(TRIM(E$5)))*(CRDJ[Account Code]=(TRIM($B32))),CRDJ[Credit])))+(SUM(IF((GJ[Date]=$A$4)*(GJ[Sort Code]=(TRIM(E$5)))*(GJ[Account Code]=(TRIM($B32))),GJ[Credit]))))-((SUM(IF((CkDJ[Date]=$A$4)*(CkDJ[Sort Code]=(TRIM(E$5)))*(CkDJ[Account Code]=(TRIM($B32))),CkDJ[Debit])))+(SUM(IF((CsDJ[Date]=$A$4)*(CsDJ[Sort Code]=(TRIM(E$5)))*(CsDJ[Account Code]=(TRIM($B32))),CsDJ[Debit])))+(SUM(IF((CRDJ[Date]=$A$4)*(CRDJ[Sort Code]=(TRIM(E$5)))*(CRDJ[Account Code]=(TRIM($B32))),CRDJ[Debit])))+(SUM(IF((GJ[Date]=$A$4)*(GJ[Sort Code]=(TRIM(E$5)))*(GJ[Account Code]=(TRIM($B32))),GJ[Debit]))))</f>
        <v>0</v>
      </c>
      <c r="E32" s="467">
        <f>C32+D32</f>
        <v>0</v>
      </c>
    </row>
    <row r="33" spans="1:5" x14ac:dyDescent="0.2">
      <c r="A33" s="475" t="s">
        <v>180</v>
      </c>
      <c r="B33" s="339" t="s">
        <v>141</v>
      </c>
      <c r="C33" s="466">
        <f t="array" ref="C33">((SUM(IF((CkDJ[Sort Code]=(TRIM(E$5)))*(CkDJ[Account Code]=(TRIM($B33)))*(CkDJ[Date]&lt;=$C$8),CkDJ[Credit])))+(SUM(IF((CsDJ[Sort Code]=(TRIM(E$5)))*(CsDJ[Account Code]=(TRIM($B33)))*(CsDJ[Date]&lt;=$C$8),CsDJ[Credit])))+(SUM(IF((CRDJ[Sort Code]=(TRIM(E$5)))*(CRDJ[Account Code]=(TRIM($B33)))*(CRDJ[Date]&lt;=$C$8),CRDJ[Credit])))+(SUM(IF((GJ[Sort Code]=(TRIM(E$5)))*(GJ[Account Code]=(TRIM($B33)))*(GJ[Date]&lt;=$C$8),GJ[Credit]))))-((SUM(IF((CkDJ[Sort Code]=(TRIM(E$5)))*(CkDJ[Account Code]=(TRIM($B33)))*(CkDJ[Date]&lt;=$C$8),CkDJ[Debit])))+(SUM(IF((CsDJ[Sort Code]=(TRIM(E$5)))*(CsDJ[Account Code]=(TRIM($B33)))*(CsDJ[Date]&lt;=$C$8),CsDJ[Debit])))+(SUM(IF((CRDJ[Sort Code]=(TRIM(E$5)))*(CRDJ[Account Code]=(TRIM($B33)))*(CRDJ[Date]&lt;=$C$8),CRDJ[Debit])))+(SUM(IF((GJ[Sort Code]=(TRIM(E$5)))*(GJ[Account Code]=(TRIM($B33)))*(GJ[Date]&lt;=$C$8),GJ[Debit]))))</f>
        <v>0</v>
      </c>
      <c r="D33" s="466">
        <f t="array" ref="D33">((SUM(IF((CkDJ[Date]=$A$4)*(CkDJ[Sort Code]=(TRIM(E$5)))*(CkDJ[Account Code]=(TRIM($B33))),CkDJ[Credit])))+(SUM(IF((CsDJ[Date]=$A$4)*(CsDJ[Sort Code]=(TRIM(E$5)))*(CsDJ[Account Code]=(TRIM($B33))),CsDJ[Credit])))+(SUM(IF((CRDJ[Date]=$A$4)*(CRDJ[Sort Code]=(TRIM(E$5)))*(CRDJ[Account Code]=(TRIM($B33))),CRDJ[Credit])))+(SUM(IF((GJ[Date]=$A$4)*(GJ[Sort Code]=(TRIM(E$5)))*(GJ[Account Code]=(TRIM($B33))),GJ[Credit]))))-((SUM(IF((CkDJ[Date]=$A$4)*(CkDJ[Sort Code]=(TRIM(E$5)))*(CkDJ[Account Code]=(TRIM($B33))),CkDJ[Debit])))+(SUM(IF((CsDJ[Date]=$A$4)*(CsDJ[Sort Code]=(TRIM(E$5)))*(CsDJ[Account Code]=(TRIM($B33))),CsDJ[Debit])))+(SUM(IF((CRDJ[Date]=$A$4)*(CRDJ[Sort Code]=(TRIM(E$5)))*(CRDJ[Account Code]=(TRIM($B33))),CRDJ[Debit])))+(SUM(IF((GJ[Date]=$A$4)*(GJ[Sort Code]=(TRIM(E$5)))*(GJ[Account Code]=(TRIM($B33))),GJ[Debit]))))</f>
        <v>0</v>
      </c>
      <c r="E33" s="467">
        <f>C33+D33</f>
        <v>0</v>
      </c>
    </row>
    <row r="34" spans="1:5" x14ac:dyDescent="0.2">
      <c r="A34" s="475" t="s">
        <v>181</v>
      </c>
      <c r="B34" s="339" t="s">
        <v>142</v>
      </c>
      <c r="C34" s="466">
        <f t="array" ref="C34">((SUM(IF((CkDJ[Sort Code]=(TRIM(E$5)))*(CkDJ[Account Code]=(TRIM($B34)))*(CkDJ[Date]&lt;=$C$8),CkDJ[Credit])))+(SUM(IF((CsDJ[Sort Code]=(TRIM(E$5)))*(CsDJ[Account Code]=(TRIM($B34)))*(CsDJ[Date]&lt;=$C$8),CsDJ[Credit])))+(SUM(IF((CRDJ[Sort Code]=(TRIM(E$5)))*(CRDJ[Account Code]=(TRIM($B34)))*(CRDJ[Date]&lt;=$C$8),CRDJ[Credit])))+(SUM(IF((GJ[Sort Code]=(TRIM(E$5)))*(GJ[Account Code]=(TRIM($B34)))*(GJ[Date]&lt;=$C$8),GJ[Credit]))))-((SUM(IF((CkDJ[Sort Code]=(TRIM(E$5)))*(CkDJ[Account Code]=(TRIM($B34)))*(CkDJ[Date]&lt;=$C$8),CkDJ[Debit])))+(SUM(IF((CsDJ[Sort Code]=(TRIM(E$5)))*(CsDJ[Account Code]=(TRIM($B34)))*(CsDJ[Date]&lt;=$C$8),CsDJ[Debit])))+(SUM(IF((CRDJ[Sort Code]=(TRIM(E$5)))*(CRDJ[Account Code]=(TRIM($B34)))*(CRDJ[Date]&lt;=$C$8),CRDJ[Debit])))+(SUM(IF((GJ[Sort Code]=(TRIM(E$5)))*(GJ[Account Code]=(TRIM($B34)))*(GJ[Date]&lt;=$C$8),GJ[Debit]))))</f>
        <v>0</v>
      </c>
      <c r="D34" s="466">
        <f t="array" ref="D34">((SUM(IF((CkDJ[Date]=$A$4)*(CkDJ[Sort Code]=(TRIM(E$5)))*(CkDJ[Account Code]=(TRIM($B34))),CkDJ[Credit])))+(SUM(IF((CsDJ[Date]=$A$4)*(CsDJ[Sort Code]=(TRIM(E$5)))*(CsDJ[Account Code]=(TRIM($B34))),CsDJ[Credit])))+(SUM(IF((CRDJ[Date]=$A$4)*(CRDJ[Sort Code]=(TRIM(E$5)))*(CRDJ[Account Code]=(TRIM($B34))),CRDJ[Credit])))+(SUM(IF((GJ[Date]=$A$4)*(GJ[Sort Code]=(TRIM(E$5)))*(GJ[Account Code]=(TRIM($B34))),GJ[Credit]))))-((SUM(IF((CkDJ[Date]=$A$4)*(CkDJ[Sort Code]=(TRIM(E$5)))*(CkDJ[Account Code]=(TRIM($B34))),CkDJ[Debit])))+(SUM(IF((CsDJ[Date]=$A$4)*(CsDJ[Sort Code]=(TRIM(E$5)))*(CsDJ[Account Code]=(TRIM($B34))),CsDJ[Debit])))+(SUM(IF((CRDJ[Date]=$A$4)*(CRDJ[Sort Code]=(TRIM(E$5)))*(CRDJ[Account Code]=(TRIM($B34))),CRDJ[Debit])))+(SUM(IF((GJ[Date]=$A$4)*(GJ[Sort Code]=(TRIM(E$5)))*(GJ[Account Code]=(TRIM($B34))),GJ[Debit]))))</f>
        <v>0</v>
      </c>
      <c r="E34" s="467">
        <f>C34+D34</f>
        <v>0</v>
      </c>
    </row>
    <row r="35" spans="1:5" x14ac:dyDescent="0.2">
      <c r="A35" s="473" t="s">
        <v>1166</v>
      </c>
      <c r="B35" s="339"/>
      <c r="C35" s="477">
        <f>SUM(C36:C44)</f>
        <v>0</v>
      </c>
      <c r="D35" s="477">
        <f>SUM(D36:D44)</f>
        <v>0</v>
      </c>
      <c r="E35" s="477">
        <f>SUM(E36:E44)</f>
        <v>0</v>
      </c>
    </row>
    <row r="36" spans="1:5" x14ac:dyDescent="0.2">
      <c r="A36" s="475" t="s">
        <v>186</v>
      </c>
      <c r="B36" s="339" t="s">
        <v>150</v>
      </c>
      <c r="C36" s="466">
        <f t="array" ref="C36">((SUM(IF((CkDJ[Sort Code]=(TRIM(E$5)))*(CkDJ[Account Code]=(TRIM($B36)))*(CkDJ[Date]&lt;=$C$8),CkDJ[Credit])))+(SUM(IF((CsDJ[Sort Code]=(TRIM(E$5)))*(CsDJ[Account Code]=(TRIM($B36)))*(CsDJ[Date]&lt;=$C$8),CsDJ[Credit])))+(SUM(IF((CRDJ[Sort Code]=(TRIM(E$5)))*(CRDJ[Account Code]=(TRIM($B36)))*(CRDJ[Date]&lt;=$C$8),CRDJ[Credit])))+(SUM(IF((GJ[Sort Code]=(TRIM(E$5)))*(GJ[Account Code]=(TRIM($B36)))*(GJ[Date]&lt;=$C$8),GJ[Credit]))))-((SUM(IF((CkDJ[Sort Code]=(TRIM(E$5)))*(CkDJ[Account Code]=(TRIM($B36)))*(CkDJ[Date]&lt;=$C$8),CkDJ[Debit])))+(SUM(IF((CsDJ[Sort Code]=(TRIM(E$5)))*(CsDJ[Account Code]=(TRIM($B36)))*(CsDJ[Date]&lt;=$C$8),CsDJ[Debit])))+(SUM(IF((CRDJ[Sort Code]=(TRIM(E$5)))*(CRDJ[Account Code]=(TRIM($B36)))*(CRDJ[Date]&lt;=$C$8),CRDJ[Debit])))+(SUM(IF((GJ[Sort Code]=(TRIM(E$5)))*(GJ[Account Code]=(TRIM($B36)))*(GJ[Date]&lt;=$C$8),GJ[Debit]))))</f>
        <v>0</v>
      </c>
      <c r="D36" s="466">
        <f t="array" ref="D36">((SUM(IF((CkDJ[Date]=$A$4)*(CkDJ[Sort Code]=(TRIM(E$5)))*(CkDJ[Account Code]=(TRIM($B36))),CkDJ[Credit])))+(SUM(IF((CsDJ[Date]=$A$4)*(CsDJ[Sort Code]=(TRIM(E$5)))*(CsDJ[Account Code]=(TRIM($B36))),CsDJ[Credit])))+(SUM(IF((CRDJ[Date]=$A$4)*(CRDJ[Sort Code]=(TRIM(E$5)))*(CRDJ[Account Code]=(TRIM($B36))),CRDJ[Credit])))+(SUM(IF((GJ[Date]=$A$4)*(GJ[Sort Code]=(TRIM(E$5)))*(GJ[Account Code]=(TRIM($B36))),GJ[Credit]))))-((SUM(IF((CkDJ[Date]=$A$4)*(CkDJ[Sort Code]=(TRIM(E$5)))*(CkDJ[Account Code]=(TRIM($B36))),CkDJ[Debit])))+(SUM(IF((CsDJ[Date]=$A$4)*(CsDJ[Sort Code]=(TRIM(E$5)))*(CsDJ[Account Code]=(TRIM($B36))),CsDJ[Debit])))+(SUM(IF((CRDJ[Date]=$A$4)*(CRDJ[Sort Code]=(TRIM(E$5)))*(CRDJ[Account Code]=(TRIM($B36))),CRDJ[Debit])))+(SUM(IF((GJ[Date]=$A$4)*(GJ[Sort Code]=(TRIM(E$5)))*(GJ[Account Code]=(TRIM($B36))),GJ[Debit]))))</f>
        <v>0</v>
      </c>
      <c r="E36" s="467">
        <f t="shared" ref="E36:E44" si="0">C36+D36</f>
        <v>0</v>
      </c>
    </row>
    <row r="37" spans="1:5" x14ac:dyDescent="0.2">
      <c r="A37" s="475" t="s">
        <v>187</v>
      </c>
      <c r="B37" s="339" t="s">
        <v>153</v>
      </c>
      <c r="C37" s="466">
        <f t="array" ref="C37">((SUM(IF((CkDJ[Sort Code]=(TRIM(E$5)))*(CkDJ[Account Code]=(TRIM($B37)))*(CkDJ[Date]&lt;=$C$8),CkDJ[Credit])))+(SUM(IF((CsDJ[Sort Code]=(TRIM(E$5)))*(CsDJ[Account Code]=(TRIM($B37)))*(CsDJ[Date]&lt;=$C$8),CsDJ[Credit])))+(SUM(IF((CRDJ[Sort Code]=(TRIM(E$5)))*(CRDJ[Account Code]=(TRIM($B37)))*(CRDJ[Date]&lt;=$C$8),CRDJ[Credit])))+(SUM(IF((GJ[Sort Code]=(TRIM(E$5)))*(GJ[Account Code]=(TRIM($B37)))*(GJ[Date]&lt;=$C$8),GJ[Credit]))))-((SUM(IF((CkDJ[Sort Code]=(TRIM(E$5)))*(CkDJ[Account Code]=(TRIM($B37)))*(CkDJ[Date]&lt;=$C$8),CkDJ[Debit])))+(SUM(IF((CsDJ[Sort Code]=(TRIM(E$5)))*(CsDJ[Account Code]=(TRIM($B37)))*(CsDJ[Date]&lt;=$C$8),CsDJ[Debit])))+(SUM(IF((CRDJ[Sort Code]=(TRIM(E$5)))*(CRDJ[Account Code]=(TRIM($B37)))*(CRDJ[Date]&lt;=$C$8),CRDJ[Debit])))+(SUM(IF((GJ[Sort Code]=(TRIM(E$5)))*(GJ[Account Code]=(TRIM($B37)))*(GJ[Date]&lt;=$C$8),GJ[Debit]))))</f>
        <v>0</v>
      </c>
      <c r="D37" s="466">
        <f t="array" ref="D37">((SUM(IF((CkDJ[Date]=$A$4)*(CkDJ[Sort Code]=(TRIM(E$5)))*(CkDJ[Account Code]=(TRIM($B37))),CkDJ[Credit])))+(SUM(IF((CsDJ[Date]=$A$4)*(CsDJ[Sort Code]=(TRIM(E$5)))*(CsDJ[Account Code]=(TRIM($B37))),CsDJ[Credit])))+(SUM(IF((CRDJ[Date]=$A$4)*(CRDJ[Sort Code]=(TRIM(E$5)))*(CRDJ[Account Code]=(TRIM($B37))),CRDJ[Credit])))+(SUM(IF((GJ[Date]=$A$4)*(GJ[Sort Code]=(TRIM(E$5)))*(GJ[Account Code]=(TRIM($B37))),GJ[Credit]))))-((SUM(IF((CkDJ[Date]=$A$4)*(CkDJ[Sort Code]=(TRIM(E$5)))*(CkDJ[Account Code]=(TRIM($B37))),CkDJ[Debit])))+(SUM(IF((CsDJ[Date]=$A$4)*(CsDJ[Sort Code]=(TRIM(E$5)))*(CsDJ[Account Code]=(TRIM($B37))),CsDJ[Debit])))+(SUM(IF((CRDJ[Date]=$A$4)*(CRDJ[Sort Code]=(TRIM(E$5)))*(CRDJ[Account Code]=(TRIM($B37))),CRDJ[Debit])))+(SUM(IF((GJ[Date]=$A$4)*(GJ[Sort Code]=(TRIM(E$5)))*(GJ[Account Code]=(TRIM($B37))),GJ[Debit]))))</f>
        <v>0</v>
      </c>
      <c r="E37" s="467">
        <f t="shared" si="0"/>
        <v>0</v>
      </c>
    </row>
    <row r="38" spans="1:5" x14ac:dyDescent="0.2">
      <c r="A38" s="475" t="s">
        <v>188</v>
      </c>
      <c r="B38" s="339" t="s">
        <v>154</v>
      </c>
      <c r="C38" s="466">
        <f t="array" ref="C38">((SUM(IF((CkDJ[Sort Code]=(TRIM(E$5)))*(CkDJ[Account Code]=(TRIM($B38)))*(CkDJ[Date]&lt;=$C$8),CkDJ[Credit])))+(SUM(IF((CsDJ[Sort Code]=(TRIM(E$5)))*(CsDJ[Account Code]=(TRIM($B38)))*(CsDJ[Date]&lt;=$C$8),CsDJ[Credit])))+(SUM(IF((CRDJ[Sort Code]=(TRIM(E$5)))*(CRDJ[Account Code]=(TRIM($B38)))*(CRDJ[Date]&lt;=$C$8),CRDJ[Credit])))+(SUM(IF((GJ[Sort Code]=(TRIM(E$5)))*(GJ[Account Code]=(TRIM($B38)))*(GJ[Date]&lt;=$C$8),GJ[Credit]))))-((SUM(IF((CkDJ[Sort Code]=(TRIM(E$5)))*(CkDJ[Account Code]=(TRIM($B38)))*(CkDJ[Date]&lt;=$C$8),CkDJ[Debit])))+(SUM(IF((CsDJ[Sort Code]=(TRIM(E$5)))*(CsDJ[Account Code]=(TRIM($B38)))*(CsDJ[Date]&lt;=$C$8),CsDJ[Debit])))+(SUM(IF((CRDJ[Sort Code]=(TRIM(E$5)))*(CRDJ[Account Code]=(TRIM($B38)))*(CRDJ[Date]&lt;=$C$8),CRDJ[Debit])))+(SUM(IF((GJ[Sort Code]=(TRIM(E$5)))*(GJ[Account Code]=(TRIM($B38)))*(GJ[Date]&lt;=$C$8),GJ[Debit]))))</f>
        <v>0</v>
      </c>
      <c r="D38" s="466">
        <f t="array" ref="D38">((SUM(IF((CkDJ[Date]=$A$4)*(CkDJ[Sort Code]=(TRIM(E$5)))*(CkDJ[Account Code]=(TRIM($B38))),CkDJ[Credit])))+(SUM(IF((CsDJ[Date]=$A$4)*(CsDJ[Sort Code]=(TRIM(E$5)))*(CsDJ[Account Code]=(TRIM($B38))),CsDJ[Credit])))+(SUM(IF((CRDJ[Date]=$A$4)*(CRDJ[Sort Code]=(TRIM(E$5)))*(CRDJ[Account Code]=(TRIM($B38))),CRDJ[Credit])))+(SUM(IF((GJ[Date]=$A$4)*(GJ[Sort Code]=(TRIM(E$5)))*(GJ[Account Code]=(TRIM($B38))),GJ[Credit]))))-((SUM(IF((CkDJ[Date]=$A$4)*(CkDJ[Sort Code]=(TRIM(E$5)))*(CkDJ[Account Code]=(TRIM($B38))),CkDJ[Debit])))+(SUM(IF((CsDJ[Date]=$A$4)*(CsDJ[Sort Code]=(TRIM(E$5)))*(CsDJ[Account Code]=(TRIM($B38))),CsDJ[Debit])))+(SUM(IF((CRDJ[Date]=$A$4)*(CRDJ[Sort Code]=(TRIM(E$5)))*(CRDJ[Account Code]=(TRIM($B38))),CRDJ[Debit])))+(SUM(IF((GJ[Date]=$A$4)*(GJ[Sort Code]=(TRIM(E$5)))*(GJ[Account Code]=(TRIM($B38))),GJ[Debit]))))</f>
        <v>0</v>
      </c>
      <c r="E38" s="467">
        <f t="shared" si="0"/>
        <v>0</v>
      </c>
    </row>
    <row r="39" spans="1:5" x14ac:dyDescent="0.2">
      <c r="A39" s="475" t="s">
        <v>189</v>
      </c>
      <c r="B39" s="339" t="s">
        <v>155</v>
      </c>
      <c r="C39" s="466">
        <f t="array" ref="C39">((SUM(IF((CkDJ[Sort Code]=(TRIM(E$5)))*(CkDJ[Account Code]=(TRIM($B39)))*(CkDJ[Date]&lt;=$C$8),CkDJ[Credit])))+(SUM(IF((CsDJ[Sort Code]=(TRIM(E$5)))*(CsDJ[Account Code]=(TRIM($B39)))*(CsDJ[Date]&lt;=$C$8),CsDJ[Credit])))+(SUM(IF((CRDJ[Sort Code]=(TRIM(E$5)))*(CRDJ[Account Code]=(TRIM($B39)))*(CRDJ[Date]&lt;=$C$8),CRDJ[Credit])))+(SUM(IF((GJ[Sort Code]=(TRIM(E$5)))*(GJ[Account Code]=(TRIM($B39)))*(GJ[Date]&lt;=$C$8),GJ[Credit]))))-((SUM(IF((CkDJ[Sort Code]=(TRIM(E$5)))*(CkDJ[Account Code]=(TRIM($B39)))*(CkDJ[Date]&lt;=$C$8),CkDJ[Debit])))+(SUM(IF((CsDJ[Sort Code]=(TRIM(E$5)))*(CsDJ[Account Code]=(TRIM($B39)))*(CsDJ[Date]&lt;=$C$8),CsDJ[Debit])))+(SUM(IF((CRDJ[Sort Code]=(TRIM(E$5)))*(CRDJ[Account Code]=(TRIM($B39)))*(CRDJ[Date]&lt;=$C$8),CRDJ[Debit])))+(SUM(IF((GJ[Sort Code]=(TRIM(E$5)))*(GJ[Account Code]=(TRIM($B39)))*(GJ[Date]&lt;=$C$8),GJ[Debit]))))</f>
        <v>0</v>
      </c>
      <c r="D39" s="466">
        <f t="array" ref="D39">((SUM(IF((CkDJ[Date]=$A$4)*(CkDJ[Sort Code]=(TRIM(E$5)))*(CkDJ[Account Code]=(TRIM($B39))),CkDJ[Credit])))+(SUM(IF((CsDJ[Date]=$A$4)*(CsDJ[Sort Code]=(TRIM(E$5)))*(CsDJ[Account Code]=(TRIM($B39))),CsDJ[Credit])))+(SUM(IF((CRDJ[Date]=$A$4)*(CRDJ[Sort Code]=(TRIM(E$5)))*(CRDJ[Account Code]=(TRIM($B39))),CRDJ[Credit])))+(SUM(IF((GJ[Date]=$A$4)*(GJ[Sort Code]=(TRIM(E$5)))*(GJ[Account Code]=(TRIM($B39))),GJ[Credit]))))-((SUM(IF((CkDJ[Date]=$A$4)*(CkDJ[Sort Code]=(TRIM(E$5)))*(CkDJ[Account Code]=(TRIM($B39))),CkDJ[Debit])))+(SUM(IF((CsDJ[Date]=$A$4)*(CsDJ[Sort Code]=(TRIM(E$5)))*(CsDJ[Account Code]=(TRIM($B39))),CsDJ[Debit])))+(SUM(IF((CRDJ[Date]=$A$4)*(CRDJ[Sort Code]=(TRIM(E$5)))*(CRDJ[Account Code]=(TRIM($B39))),CRDJ[Debit])))+(SUM(IF((GJ[Date]=$A$4)*(GJ[Sort Code]=(TRIM(E$5)))*(GJ[Account Code]=(TRIM($B39))),GJ[Debit]))))</f>
        <v>0</v>
      </c>
      <c r="E39" s="467">
        <f t="shared" si="0"/>
        <v>0</v>
      </c>
    </row>
    <row r="40" spans="1:5" x14ac:dyDescent="0.2">
      <c r="A40" s="475" t="s">
        <v>1271</v>
      </c>
      <c r="B40" s="339" t="s">
        <v>156</v>
      </c>
      <c r="C40" s="466">
        <f t="array" ref="C40">((SUM(IF((CkDJ[Sort Code]=(TRIM(E$5)))*(CkDJ[Account Code]=(TRIM($B40)))*(CkDJ[Date]&lt;=$C$8),CkDJ[Credit])))+(SUM(IF((CsDJ[Sort Code]=(TRIM(E$5)))*(CsDJ[Account Code]=(TRIM($B40)))*(CsDJ[Date]&lt;=$C$8),CsDJ[Credit])))+(SUM(IF((CRDJ[Sort Code]=(TRIM(E$5)))*(CRDJ[Account Code]=(TRIM($B40)))*(CRDJ[Date]&lt;=$C$8),CRDJ[Credit])))+(SUM(IF((GJ[Sort Code]=(TRIM(E$5)))*(GJ[Account Code]=(TRIM($B40)))*(GJ[Date]&lt;=$C$8),GJ[Credit]))))-((SUM(IF((CkDJ[Sort Code]=(TRIM(E$5)))*(CkDJ[Account Code]=(TRIM($B40)))*(CkDJ[Date]&lt;=$C$8),CkDJ[Debit])))+(SUM(IF((CsDJ[Sort Code]=(TRIM(E$5)))*(CsDJ[Account Code]=(TRIM($B40)))*(CsDJ[Date]&lt;=$C$8),CsDJ[Debit])))+(SUM(IF((CRDJ[Sort Code]=(TRIM(E$5)))*(CRDJ[Account Code]=(TRIM($B40)))*(CRDJ[Date]&lt;=$C$8),CRDJ[Debit])))+(SUM(IF((GJ[Sort Code]=(TRIM(E$5)))*(GJ[Account Code]=(TRIM($B40)))*(GJ[Date]&lt;=$C$8),GJ[Debit]))))</f>
        <v>0</v>
      </c>
      <c r="D40" s="466">
        <f t="array" ref="D40">((SUM(IF((CkDJ[Date]=$A$4)*(CkDJ[Sort Code]=(TRIM(E$5)))*(CkDJ[Account Code]=(TRIM($B40))),CkDJ[Credit])))+(SUM(IF((CsDJ[Date]=$A$4)*(CsDJ[Sort Code]=(TRIM(E$5)))*(CsDJ[Account Code]=(TRIM($B40))),CsDJ[Credit])))+(SUM(IF((CRDJ[Date]=$A$4)*(CRDJ[Sort Code]=(TRIM(E$5)))*(CRDJ[Account Code]=(TRIM($B40))),CRDJ[Credit])))+(SUM(IF((GJ[Date]=$A$4)*(GJ[Sort Code]=(TRIM(E$5)))*(GJ[Account Code]=(TRIM($B40))),GJ[Credit]))))-((SUM(IF((CkDJ[Date]=$A$4)*(CkDJ[Sort Code]=(TRIM(E$5)))*(CkDJ[Account Code]=(TRIM($B40))),CkDJ[Debit])))+(SUM(IF((CsDJ[Date]=$A$4)*(CsDJ[Sort Code]=(TRIM(E$5)))*(CsDJ[Account Code]=(TRIM($B40))),CsDJ[Debit])))+(SUM(IF((CRDJ[Date]=$A$4)*(CRDJ[Sort Code]=(TRIM(E$5)))*(CRDJ[Account Code]=(TRIM($B40))),CRDJ[Debit])))+(SUM(IF((GJ[Date]=$A$4)*(GJ[Sort Code]=(TRIM(E$5)))*(GJ[Account Code]=(TRIM($B40))),GJ[Debit]))))</f>
        <v>0</v>
      </c>
      <c r="E40" s="467">
        <f>C40+D40</f>
        <v>0</v>
      </c>
    </row>
    <row r="41" spans="1:5" x14ac:dyDescent="0.2">
      <c r="A41" s="475" t="s">
        <v>190</v>
      </c>
      <c r="B41" s="339" t="s">
        <v>157</v>
      </c>
      <c r="C41" s="466">
        <f t="array" ref="C41">((SUM(IF((CkDJ[Sort Code]=(TRIM(E$5)))*(CkDJ[Account Code]=(TRIM($B41)))*(CkDJ[Date]&lt;=$C$8),CkDJ[Credit])))+(SUM(IF((CsDJ[Sort Code]=(TRIM(E$5)))*(CsDJ[Account Code]=(TRIM($B41)))*(CsDJ[Date]&lt;=$C$8),CsDJ[Credit])))+(SUM(IF((CRDJ[Sort Code]=(TRIM(E$5)))*(CRDJ[Account Code]=(TRIM($B41)))*(CRDJ[Date]&lt;=$C$8),CRDJ[Credit])))+(SUM(IF((GJ[Sort Code]=(TRIM(E$5)))*(GJ[Account Code]=(TRIM($B41)))*(GJ[Date]&lt;=$C$8),GJ[Credit]))))-((SUM(IF((CkDJ[Sort Code]=(TRIM(E$5)))*(CkDJ[Account Code]=(TRIM($B41)))*(CkDJ[Date]&lt;=$C$8),CkDJ[Debit])))+(SUM(IF((CsDJ[Sort Code]=(TRIM(E$5)))*(CsDJ[Account Code]=(TRIM($B41)))*(CsDJ[Date]&lt;=$C$8),CsDJ[Debit])))+(SUM(IF((CRDJ[Sort Code]=(TRIM(E$5)))*(CRDJ[Account Code]=(TRIM($B41)))*(CRDJ[Date]&lt;=$C$8),CRDJ[Debit])))+(SUM(IF((GJ[Sort Code]=(TRIM(E$5)))*(GJ[Account Code]=(TRIM($B41)))*(GJ[Date]&lt;=$C$8),GJ[Debit]))))</f>
        <v>0</v>
      </c>
      <c r="D41" s="466">
        <f t="array" ref="D41">((SUM(IF((CkDJ[Date]=$A$4)*(CkDJ[Sort Code]=(TRIM(E$5)))*(CkDJ[Account Code]=(TRIM($B41))),CkDJ[Credit])))+(SUM(IF((CsDJ[Date]=$A$4)*(CsDJ[Sort Code]=(TRIM(E$5)))*(CsDJ[Account Code]=(TRIM($B41))),CsDJ[Credit])))+(SUM(IF((CRDJ[Date]=$A$4)*(CRDJ[Sort Code]=(TRIM(E$5)))*(CRDJ[Account Code]=(TRIM($B41))),CRDJ[Credit])))+(SUM(IF((GJ[Date]=$A$4)*(GJ[Sort Code]=(TRIM(E$5)))*(GJ[Account Code]=(TRIM($B41))),GJ[Credit]))))-((SUM(IF((CkDJ[Date]=$A$4)*(CkDJ[Sort Code]=(TRIM(E$5)))*(CkDJ[Account Code]=(TRIM($B41))),CkDJ[Debit])))+(SUM(IF((CsDJ[Date]=$A$4)*(CsDJ[Sort Code]=(TRIM(E$5)))*(CsDJ[Account Code]=(TRIM($B41))),CsDJ[Debit])))+(SUM(IF((CRDJ[Date]=$A$4)*(CRDJ[Sort Code]=(TRIM(E$5)))*(CRDJ[Account Code]=(TRIM($B41))),CRDJ[Debit])))+(SUM(IF((GJ[Date]=$A$4)*(GJ[Sort Code]=(TRIM(E$5)))*(GJ[Account Code]=(TRIM($B41))),GJ[Debit]))))</f>
        <v>0</v>
      </c>
      <c r="E41" s="467">
        <f t="shared" si="0"/>
        <v>0</v>
      </c>
    </row>
    <row r="42" spans="1:5" x14ac:dyDescent="0.2">
      <c r="A42" s="475" t="s">
        <v>192</v>
      </c>
      <c r="B42" s="339" t="s">
        <v>159</v>
      </c>
      <c r="C42" s="466">
        <f t="array" ref="C42">((SUM(IF((CkDJ[Sort Code]=(TRIM(E$5)))*(CkDJ[Account Code]=(TRIM($B42)))*(CkDJ[Date]&lt;=$C$8),CkDJ[Credit])))+(SUM(IF((CsDJ[Sort Code]=(TRIM(E$5)))*(CsDJ[Account Code]=(TRIM($B42)))*(CsDJ[Date]&lt;=$C$8),CsDJ[Credit])))+(SUM(IF((CRDJ[Sort Code]=(TRIM(E$5)))*(CRDJ[Account Code]=(TRIM($B42)))*(CRDJ[Date]&lt;=$C$8),CRDJ[Credit])))+(SUM(IF((GJ[Sort Code]=(TRIM(E$5)))*(GJ[Account Code]=(TRIM($B42)))*(GJ[Date]&lt;=$C$8),GJ[Credit]))))-((SUM(IF((CkDJ[Sort Code]=(TRIM(E$5)))*(CkDJ[Account Code]=(TRIM($B42)))*(CkDJ[Date]&lt;=$C$8),CkDJ[Debit])))+(SUM(IF((CsDJ[Sort Code]=(TRIM(E$5)))*(CsDJ[Account Code]=(TRIM($B42)))*(CsDJ[Date]&lt;=$C$8),CsDJ[Debit])))+(SUM(IF((CRDJ[Sort Code]=(TRIM(E$5)))*(CRDJ[Account Code]=(TRIM($B42)))*(CRDJ[Date]&lt;=$C$8),CRDJ[Debit])))+(SUM(IF((GJ[Sort Code]=(TRIM(E$5)))*(GJ[Account Code]=(TRIM($B42)))*(GJ[Date]&lt;=$C$8),GJ[Debit]))))</f>
        <v>0</v>
      </c>
      <c r="D42" s="466">
        <f t="array" ref="D42">((SUM(IF((CkDJ[Date]=$A$4)*(CkDJ[Sort Code]=(TRIM(E$5)))*(CkDJ[Account Code]=(TRIM($B42))),CkDJ[Credit])))+(SUM(IF((CsDJ[Date]=$A$4)*(CsDJ[Sort Code]=(TRIM(E$5)))*(CsDJ[Account Code]=(TRIM($B42))),CsDJ[Credit])))+(SUM(IF((CRDJ[Date]=$A$4)*(CRDJ[Sort Code]=(TRIM(E$5)))*(CRDJ[Account Code]=(TRIM($B42))),CRDJ[Credit])))+(SUM(IF((GJ[Date]=$A$4)*(GJ[Sort Code]=(TRIM(E$5)))*(GJ[Account Code]=(TRIM($B42))),GJ[Credit]))))-((SUM(IF((CkDJ[Date]=$A$4)*(CkDJ[Sort Code]=(TRIM(E$5)))*(CkDJ[Account Code]=(TRIM($B42))),CkDJ[Debit])))+(SUM(IF((CsDJ[Date]=$A$4)*(CsDJ[Sort Code]=(TRIM(E$5)))*(CsDJ[Account Code]=(TRIM($B42))),CsDJ[Debit])))+(SUM(IF((CRDJ[Date]=$A$4)*(CRDJ[Sort Code]=(TRIM(E$5)))*(CRDJ[Account Code]=(TRIM($B42))),CRDJ[Debit])))+(SUM(IF((GJ[Date]=$A$4)*(GJ[Sort Code]=(TRIM(E$5)))*(GJ[Account Code]=(TRIM($B42))),GJ[Debit]))))</f>
        <v>0</v>
      </c>
      <c r="E42" s="467">
        <f t="shared" si="0"/>
        <v>0</v>
      </c>
    </row>
    <row r="43" spans="1:5" x14ac:dyDescent="0.2">
      <c r="A43" s="475" t="s">
        <v>193</v>
      </c>
      <c r="B43" s="339" t="s">
        <v>160</v>
      </c>
      <c r="C43" s="466">
        <f t="array" ref="C43">((SUM(IF((CkDJ[Sort Code]=(TRIM(E$5)))*(CkDJ[Account Code]=(TRIM($B43)))*(CkDJ[Date]&lt;=$C$8),CkDJ[Credit])))+(SUM(IF((CsDJ[Sort Code]=(TRIM(E$5)))*(CsDJ[Account Code]=(TRIM($B43)))*(CsDJ[Date]&lt;=$C$8),CsDJ[Credit])))+(SUM(IF((CRDJ[Sort Code]=(TRIM(E$5)))*(CRDJ[Account Code]=(TRIM($B43)))*(CRDJ[Date]&lt;=$C$8),CRDJ[Credit])))+(SUM(IF((GJ[Sort Code]=(TRIM(E$5)))*(GJ[Account Code]=(TRIM($B43)))*(GJ[Date]&lt;=$C$8),GJ[Credit]))))-((SUM(IF((CkDJ[Sort Code]=(TRIM(E$5)))*(CkDJ[Account Code]=(TRIM($B43)))*(CkDJ[Date]&lt;=$C$8),CkDJ[Debit])))+(SUM(IF((CsDJ[Sort Code]=(TRIM(E$5)))*(CsDJ[Account Code]=(TRIM($B43)))*(CsDJ[Date]&lt;=$C$8),CsDJ[Debit])))+(SUM(IF((CRDJ[Sort Code]=(TRIM(E$5)))*(CRDJ[Account Code]=(TRIM($B43)))*(CRDJ[Date]&lt;=$C$8),CRDJ[Debit])))+(SUM(IF((GJ[Sort Code]=(TRIM(E$5)))*(GJ[Account Code]=(TRIM($B43)))*(GJ[Date]&lt;=$C$8),GJ[Debit]))))</f>
        <v>0</v>
      </c>
      <c r="D43" s="466">
        <f t="array" ref="D43">((SUM(IF((CkDJ[Date]=$A$4)*(CkDJ[Sort Code]=(TRIM(E$5)))*(CkDJ[Account Code]=(TRIM($B43))),CkDJ[Credit])))+(SUM(IF((CsDJ[Date]=$A$4)*(CsDJ[Sort Code]=(TRIM(E$5)))*(CsDJ[Account Code]=(TRIM($B43))),CsDJ[Credit])))+(SUM(IF((CRDJ[Date]=$A$4)*(CRDJ[Sort Code]=(TRIM(E$5)))*(CRDJ[Account Code]=(TRIM($B43))),CRDJ[Credit])))+(SUM(IF((GJ[Date]=$A$4)*(GJ[Sort Code]=(TRIM(E$5)))*(GJ[Account Code]=(TRIM($B43))),GJ[Credit]))))-((SUM(IF((CkDJ[Date]=$A$4)*(CkDJ[Sort Code]=(TRIM(E$5)))*(CkDJ[Account Code]=(TRIM($B43))),CkDJ[Debit])))+(SUM(IF((CsDJ[Date]=$A$4)*(CsDJ[Sort Code]=(TRIM(E$5)))*(CsDJ[Account Code]=(TRIM($B43))),CsDJ[Debit])))+(SUM(IF((CRDJ[Date]=$A$4)*(CRDJ[Sort Code]=(TRIM(E$5)))*(CRDJ[Account Code]=(TRIM($B43))),CRDJ[Debit])))+(SUM(IF((GJ[Date]=$A$4)*(GJ[Sort Code]=(TRIM(E$5)))*(GJ[Account Code]=(TRIM($B43))),GJ[Debit]))))</f>
        <v>0</v>
      </c>
      <c r="E43" s="467">
        <f t="shared" si="0"/>
        <v>0</v>
      </c>
    </row>
    <row r="44" spans="1:5" x14ac:dyDescent="0.2">
      <c r="A44" s="475" t="s">
        <v>191</v>
      </c>
      <c r="B44" s="339" t="s">
        <v>161</v>
      </c>
      <c r="C44" s="466">
        <f t="array" ref="C44">((SUM(IF((CkDJ[Sort Code]=(TRIM(E$5)))*(CkDJ[Account Code]=(TRIM($B44)))*(CkDJ[Date]&lt;=$C$8),CkDJ[Credit])))+(SUM(IF((CsDJ[Sort Code]=(TRIM(E$5)))*(CsDJ[Account Code]=(TRIM($B44)))*(CsDJ[Date]&lt;=$C$8),CsDJ[Credit])))+(SUM(IF((CRDJ[Sort Code]=(TRIM(E$5)))*(CRDJ[Account Code]=(TRIM($B44)))*(CRDJ[Date]&lt;=$C$8),CRDJ[Credit])))+(SUM(IF((GJ[Sort Code]=(TRIM(E$5)))*(GJ[Account Code]=(TRIM($B44)))*(GJ[Date]&lt;=$C$8),GJ[Credit]))))-((SUM(IF((CkDJ[Sort Code]=(TRIM(E$5)))*(CkDJ[Account Code]=(TRIM($B44)))*(CkDJ[Date]&lt;=$C$8),CkDJ[Debit])))+(SUM(IF((CsDJ[Sort Code]=(TRIM(E$5)))*(CsDJ[Account Code]=(TRIM($B44)))*(CsDJ[Date]&lt;=$C$8),CsDJ[Debit])))+(SUM(IF((CRDJ[Sort Code]=(TRIM(E$5)))*(CRDJ[Account Code]=(TRIM($B44)))*(CRDJ[Date]&lt;=$C$8),CRDJ[Debit])))+(SUM(IF((GJ[Sort Code]=(TRIM(E$5)))*(GJ[Account Code]=(TRIM($B44)))*(GJ[Date]&lt;=$C$8),GJ[Debit]))))</f>
        <v>0</v>
      </c>
      <c r="D44" s="466">
        <f t="array" ref="D44">((SUM(IF((CkDJ[Date]=$A$4)*(CkDJ[Sort Code]=(TRIM(E$5)))*(CkDJ[Account Code]=(TRIM($B44))),CkDJ[Credit])))+(SUM(IF((CsDJ[Date]=$A$4)*(CsDJ[Sort Code]=(TRIM(E$5)))*(CsDJ[Account Code]=(TRIM($B44))),CsDJ[Credit])))+(SUM(IF((CRDJ[Date]=$A$4)*(CRDJ[Sort Code]=(TRIM(E$5)))*(CRDJ[Account Code]=(TRIM($B44))),CRDJ[Credit])))+(SUM(IF((GJ[Date]=$A$4)*(GJ[Sort Code]=(TRIM(E$5)))*(GJ[Account Code]=(TRIM($B44))),GJ[Credit]))))-((SUM(IF((CkDJ[Date]=$A$4)*(CkDJ[Sort Code]=(TRIM(E$5)))*(CkDJ[Account Code]=(TRIM($B44))),CkDJ[Debit])))+(SUM(IF((CsDJ[Date]=$A$4)*(CsDJ[Sort Code]=(TRIM(E$5)))*(CsDJ[Account Code]=(TRIM($B44))),CsDJ[Debit])))+(SUM(IF((CRDJ[Date]=$A$4)*(CRDJ[Sort Code]=(TRIM(E$5)))*(CRDJ[Account Code]=(TRIM($B44))),CRDJ[Debit])))+(SUM(IF((GJ[Date]=$A$4)*(GJ[Sort Code]=(TRIM(E$5)))*(GJ[Account Code]=(TRIM($B44))),GJ[Debit]))))</f>
        <v>0</v>
      </c>
      <c r="E44" s="467">
        <f t="shared" si="0"/>
        <v>0</v>
      </c>
    </row>
    <row r="45" spans="1:5" x14ac:dyDescent="0.2">
      <c r="A45" s="468" t="s">
        <v>1171</v>
      </c>
      <c r="B45" s="469"/>
      <c r="C45" s="470">
        <f>C10+C16+C20+C25+C26+C31+C35</f>
        <v>0</v>
      </c>
      <c r="D45" s="470">
        <f>D10+D16+D20+D25+D26+D31+D35</f>
        <v>0</v>
      </c>
      <c r="E45" s="470">
        <f>E10+E16+E20+E25+E26+E31+E35</f>
        <v>0</v>
      </c>
    </row>
    <row r="46" spans="1:5" x14ac:dyDescent="0.2">
      <c r="A46" s="471" t="s">
        <v>812</v>
      </c>
      <c r="B46" s="339"/>
      <c r="C46" s="472"/>
      <c r="D46" s="472"/>
      <c r="E46" s="479"/>
    </row>
    <row r="47" spans="1:5" x14ac:dyDescent="0.2">
      <c r="A47" s="471" t="s">
        <v>811</v>
      </c>
      <c r="B47" s="339"/>
      <c r="C47" s="474">
        <f>SUM(C48:C72)</f>
        <v>0</v>
      </c>
      <c r="D47" s="474">
        <f>SUM(D48:D72)</f>
        <v>0</v>
      </c>
      <c r="E47" s="474">
        <f>SUM(E48:E72)</f>
        <v>0</v>
      </c>
    </row>
    <row r="48" spans="1:5" x14ac:dyDescent="0.2">
      <c r="A48" s="476" t="s">
        <v>194</v>
      </c>
      <c r="B48" s="339" t="s">
        <v>162</v>
      </c>
      <c r="C48" s="466">
        <f t="array" ref="C48">((SUM(IF((CkDJ[Sort Code]=(TRIM(E$5)))*(CkDJ[Account Code]=(TRIM($B48)))*(CkDJ[Date]&lt;=$C$8),CkDJ[Debit])))+(SUM(IF((CsDJ[Sort Code]=(TRIM(E$5)))*(CsDJ[Account Code]=(TRIM($B48)))*(CsDJ[Date]&lt;=$C$8),CsDJ[Debit])))+(SUM(IF((CRDJ[Sort Code]=(TRIM(E$5)))*(CRDJ[Account Code]=(TRIM($B48)))*(CRDJ[Date]&lt;=$C$8),CRDJ[Debit])))+(SUM(IF((GJ[Sort Code]=(TRIM(E$5)))*(GJ[Account Code]=(TRIM($B48)))*(GJ[Date]&lt;=$C$8),GJ[Debit]))))-((SUM(IF((CkDJ[Sort Code]=(TRIM(E$5)))*(CkDJ[Account Code]=(TRIM($B48)))*(CkDJ[Date]&lt;=$C$8),CkDJ[Credit])))+(SUM(IF((CsDJ[Sort Code]=(TRIM(E$5)))*(CsDJ[Account Code]=(TRIM($B48)))*(CsDJ[Date]&lt;=$C$8),CsDJ[Credit])))+(SUM(IF((CRDJ[Sort Code]=(TRIM(E$5)))*(CRDJ[Account Code]=(TRIM($B48)))*(CRDJ[Date]&lt;=$C$8),CRDJ[Credit])))+(SUM(IF((GJ[Sort Code]=(TRIM(E$5)))*(GJ[Account Code]=(TRIM($B48)))*(GJ[Date]&lt;=$C$8),GJ[Credit]))))</f>
        <v>0</v>
      </c>
      <c r="D48" s="466">
        <f t="array" ref="D48">((SUM(IF((CkDJ[Date]=$A$4)*(CkDJ[Sort Code]=(TRIM(E$5)))*(CkDJ[Account Code]=(TRIM($B48))),CkDJ[Debit])))+(SUM(IF((CsDJ[Date]=$A$4)*(CsDJ[Sort Code]=(TRIM(E$5)))*(CsDJ[Account Code]=(TRIM($B48))),CsDJ[Debit])))+(SUM(IF((CRDJ[Date]=$A$4)*(CRDJ[Sort Code]=(TRIM(E$5)))*(CRDJ[Account Code]=(TRIM($B48))),CRDJ[Debit])))+(SUM(IF((GJ[Date]=$A$4)*(GJ[Sort Code]=(TRIM(E$5)))*(GJ[Account Code]=(TRIM($B48))),GJ[Debit]))))-((SUM(IF((CkDJ[Date]=$A$4)*(CkDJ[Sort Code]=(TRIM(E$5)))*(CkDJ[Account Code]=(TRIM($B48))),CkDJ[Credit])))+(SUM(IF((CsDJ[Date]=$A$4)*(CsDJ[Sort Code]=(TRIM(E$5)))*(CsDJ[Account Code]=(TRIM($B48))),CsDJ[Credit])))+(SUM(IF((CRDJ[Date]=$A$4)*(CRDJ[Sort Code]=(TRIM(E$5)))*(CRDJ[Account Code]=(TRIM($B48))),CRDJ[Credit])))+(SUM(IF((GJ[Date]=$A$4)*(GJ[Sort Code]=(TRIM(E$5)))*(GJ[Account Code]=(TRIM($B48))),GJ[Credit]))))</f>
        <v>0</v>
      </c>
      <c r="E48" s="467">
        <f t="shared" ref="E48:E53" si="1">C48+D48</f>
        <v>0</v>
      </c>
    </row>
    <row r="49" spans="1:5" x14ac:dyDescent="0.2">
      <c r="A49" s="476" t="s">
        <v>195</v>
      </c>
      <c r="B49" s="339" t="s">
        <v>163</v>
      </c>
      <c r="C49" s="466">
        <f t="array" ref="C49">((SUM(IF((CkDJ[Sort Code]=(TRIM(E$5)))*(CkDJ[Account Code]=(TRIM($B49)))*(CkDJ[Date]&lt;=$C$8),CkDJ[Debit])))+(SUM(IF((CsDJ[Sort Code]=(TRIM(E$5)))*(CsDJ[Account Code]=(TRIM($B49)))*(CsDJ[Date]&lt;=$C$8),CsDJ[Debit])))+(SUM(IF((CRDJ[Sort Code]=(TRIM(E$5)))*(CRDJ[Account Code]=(TRIM($B49)))*(CRDJ[Date]&lt;=$C$8),CRDJ[Debit])))+(SUM(IF((GJ[Sort Code]=(TRIM(E$5)))*(GJ[Account Code]=(TRIM($B49)))*(GJ[Date]&lt;=$C$8),GJ[Debit]))))-((SUM(IF((CkDJ[Sort Code]=(TRIM(E$5)))*(CkDJ[Account Code]=(TRIM($B49)))*(CkDJ[Date]&lt;=$C$8),CkDJ[Credit])))+(SUM(IF((CsDJ[Sort Code]=(TRIM(E$5)))*(CsDJ[Account Code]=(TRIM($B49)))*(CsDJ[Date]&lt;=$C$8),CsDJ[Credit])))+(SUM(IF((CRDJ[Sort Code]=(TRIM(E$5)))*(CRDJ[Account Code]=(TRIM($B49)))*(CRDJ[Date]&lt;=$C$8),CRDJ[Credit])))+(SUM(IF((GJ[Sort Code]=(TRIM(E$5)))*(GJ[Account Code]=(TRIM($B49)))*(GJ[Date]&lt;=$C$8),GJ[Credit]))))</f>
        <v>0</v>
      </c>
      <c r="D49" s="466">
        <f t="array" ref="D49">((SUM(IF((CkDJ[Date]=$A$4)*(CkDJ[Sort Code]=(TRIM(E$5)))*(CkDJ[Account Code]=(TRIM($B49))),CkDJ[Debit])))+(SUM(IF((CsDJ[Date]=$A$4)*(CsDJ[Sort Code]=(TRIM(E$5)))*(CsDJ[Account Code]=(TRIM($B49))),CsDJ[Debit])))+(SUM(IF((CRDJ[Date]=$A$4)*(CRDJ[Sort Code]=(TRIM(E$5)))*(CRDJ[Account Code]=(TRIM($B49))),CRDJ[Debit])))+(SUM(IF((GJ[Date]=$A$4)*(GJ[Sort Code]=(TRIM(E$5)))*(GJ[Account Code]=(TRIM($B49))),GJ[Debit]))))-((SUM(IF((CkDJ[Date]=$A$4)*(CkDJ[Sort Code]=(TRIM(E$5)))*(CkDJ[Account Code]=(TRIM($B49))),CkDJ[Credit])))+(SUM(IF((CsDJ[Date]=$A$4)*(CsDJ[Sort Code]=(TRIM(E$5)))*(CsDJ[Account Code]=(TRIM($B49))),CsDJ[Credit])))+(SUM(IF((CRDJ[Date]=$A$4)*(CRDJ[Sort Code]=(TRIM(E$5)))*(CRDJ[Account Code]=(TRIM($B49))),CRDJ[Credit])))+(SUM(IF((GJ[Date]=$A$4)*(GJ[Sort Code]=(TRIM(E$5)))*(GJ[Account Code]=(TRIM($B49))),GJ[Credit]))))</f>
        <v>0</v>
      </c>
      <c r="E49" s="467">
        <f t="shared" si="1"/>
        <v>0</v>
      </c>
    </row>
    <row r="50" spans="1:5" x14ac:dyDescent="0.2">
      <c r="A50" s="476" t="s">
        <v>196</v>
      </c>
      <c r="B50" s="339" t="s">
        <v>1013</v>
      </c>
      <c r="C50" s="466">
        <f t="array" ref="C50">((SUM(IF((CkDJ[Sort Code]=(TRIM(E$5)))*(CkDJ[Account Code]=(TRIM($B50)))*(CkDJ[Date]&lt;=$C$8),CkDJ[Debit])))+(SUM(IF((CsDJ[Sort Code]=(TRIM(E$5)))*(CsDJ[Account Code]=(TRIM($B50)))*(CsDJ[Date]&lt;=$C$8),CsDJ[Debit])))+(SUM(IF((CRDJ[Sort Code]=(TRIM(E$5)))*(CRDJ[Account Code]=(TRIM($B50)))*(CRDJ[Date]&lt;=$C$8),CRDJ[Debit])))+(SUM(IF((GJ[Sort Code]=(TRIM(E$5)))*(GJ[Account Code]=(TRIM($B50)))*(GJ[Date]&lt;=$C$8),GJ[Debit]))))-((SUM(IF((CkDJ[Sort Code]=(TRIM(E$5)))*(CkDJ[Account Code]=(TRIM($B50)))*(CkDJ[Date]&lt;=$C$8),CkDJ[Credit])))+(SUM(IF((CsDJ[Sort Code]=(TRIM(E$5)))*(CsDJ[Account Code]=(TRIM($B50)))*(CsDJ[Date]&lt;=$C$8),CsDJ[Credit])))+(SUM(IF((CRDJ[Sort Code]=(TRIM(E$5)))*(CRDJ[Account Code]=(TRIM($B50)))*(CRDJ[Date]&lt;=$C$8),CRDJ[Credit])))+(SUM(IF((GJ[Sort Code]=(TRIM(E$5)))*(GJ[Account Code]=(TRIM($B50)))*(GJ[Date]&lt;=$C$8),GJ[Credit]))))</f>
        <v>0</v>
      </c>
      <c r="D50" s="466">
        <f t="array" ref="D50">((SUM(IF((CkDJ[Date]=$A$4)*(CkDJ[Sort Code]=(TRIM(E$5)))*(CkDJ[Account Code]=(TRIM($B50))),CkDJ[Debit])))+(SUM(IF((CsDJ[Date]=$A$4)*(CsDJ[Sort Code]=(TRIM(E$5)))*(CsDJ[Account Code]=(TRIM($B50))),CsDJ[Debit])))+(SUM(IF((CRDJ[Date]=$A$4)*(CRDJ[Sort Code]=(TRIM(E$5)))*(CRDJ[Account Code]=(TRIM($B50))),CRDJ[Debit])))+(SUM(IF((GJ[Date]=$A$4)*(GJ[Sort Code]=(TRIM(E$5)))*(GJ[Account Code]=(TRIM($B50))),GJ[Debit]))))-((SUM(IF((CkDJ[Date]=$A$4)*(CkDJ[Sort Code]=(TRIM(E$5)))*(CkDJ[Account Code]=(TRIM($B50))),CkDJ[Credit])))+(SUM(IF((CsDJ[Date]=$A$4)*(CsDJ[Sort Code]=(TRIM(E$5)))*(CsDJ[Account Code]=(TRIM($B50))),CsDJ[Credit])))+(SUM(IF((CRDJ[Date]=$A$4)*(CRDJ[Sort Code]=(TRIM(E$5)))*(CRDJ[Account Code]=(TRIM($B50))),CRDJ[Credit])))+(SUM(IF((GJ[Date]=$A$4)*(GJ[Sort Code]=(TRIM(E$5)))*(GJ[Account Code]=(TRIM($B50))),GJ[Credit]))))</f>
        <v>0</v>
      </c>
      <c r="E50" s="467">
        <f t="shared" si="1"/>
        <v>0</v>
      </c>
    </row>
    <row r="51" spans="1:5" x14ac:dyDescent="0.2">
      <c r="A51" s="476" t="s">
        <v>197</v>
      </c>
      <c r="B51" s="339" t="s">
        <v>164</v>
      </c>
      <c r="C51" s="466">
        <f t="array" ref="C51">((SUM(IF((CkDJ[Sort Code]=(TRIM(E$5)))*(CkDJ[Account Code]=(TRIM($B51)))*(CkDJ[Date]&lt;=$C$8),CkDJ[Debit])))+(SUM(IF((CsDJ[Sort Code]=(TRIM(E$5)))*(CsDJ[Account Code]=(TRIM($B51)))*(CsDJ[Date]&lt;=$C$8),CsDJ[Debit])))+(SUM(IF((CRDJ[Sort Code]=(TRIM(E$5)))*(CRDJ[Account Code]=(TRIM($B51)))*(CRDJ[Date]&lt;=$C$8),CRDJ[Debit])))+(SUM(IF((GJ[Sort Code]=(TRIM(E$5)))*(GJ[Account Code]=(TRIM($B51)))*(GJ[Date]&lt;=$C$8),GJ[Debit]))))-((SUM(IF((CkDJ[Sort Code]=(TRIM(E$5)))*(CkDJ[Account Code]=(TRIM($B51)))*(CkDJ[Date]&lt;=$C$8),CkDJ[Credit])))+(SUM(IF((CsDJ[Sort Code]=(TRIM(E$5)))*(CsDJ[Account Code]=(TRIM($B51)))*(CsDJ[Date]&lt;=$C$8),CsDJ[Credit])))+(SUM(IF((CRDJ[Sort Code]=(TRIM(E$5)))*(CRDJ[Account Code]=(TRIM($B51)))*(CRDJ[Date]&lt;=$C$8),CRDJ[Credit])))+(SUM(IF((GJ[Sort Code]=(TRIM(E$5)))*(GJ[Account Code]=(TRIM($B51)))*(GJ[Date]&lt;=$C$8),GJ[Credit]))))</f>
        <v>0</v>
      </c>
      <c r="D51" s="466">
        <f t="array" ref="D51">((SUM(IF((CkDJ[Date]=$A$4)*(CkDJ[Sort Code]=(TRIM(E$5)))*(CkDJ[Account Code]=(TRIM($B51))),CkDJ[Debit])))+(SUM(IF((CsDJ[Date]=$A$4)*(CsDJ[Sort Code]=(TRIM(E$5)))*(CsDJ[Account Code]=(TRIM($B51))),CsDJ[Debit])))+(SUM(IF((CRDJ[Date]=$A$4)*(CRDJ[Sort Code]=(TRIM(E$5)))*(CRDJ[Account Code]=(TRIM($B51))),CRDJ[Debit])))+(SUM(IF((GJ[Date]=$A$4)*(GJ[Sort Code]=(TRIM(E$5)))*(GJ[Account Code]=(TRIM($B51))),GJ[Debit]))))-((SUM(IF((CkDJ[Date]=$A$4)*(CkDJ[Sort Code]=(TRIM(E$5)))*(CkDJ[Account Code]=(TRIM($B51))),CkDJ[Credit])))+(SUM(IF((CsDJ[Date]=$A$4)*(CsDJ[Sort Code]=(TRIM(E$5)))*(CsDJ[Account Code]=(TRIM($B51))),CsDJ[Credit])))+(SUM(IF((CRDJ[Date]=$A$4)*(CRDJ[Sort Code]=(TRIM(E$5)))*(CRDJ[Account Code]=(TRIM($B51))),CRDJ[Credit])))+(SUM(IF((GJ[Date]=$A$4)*(GJ[Sort Code]=(TRIM(E$5)))*(GJ[Account Code]=(TRIM($B51))),GJ[Credit]))))</f>
        <v>0</v>
      </c>
      <c r="E51" s="467">
        <f t="shared" si="1"/>
        <v>0</v>
      </c>
    </row>
    <row r="52" spans="1:5" x14ac:dyDescent="0.2">
      <c r="A52" s="476" t="s">
        <v>198</v>
      </c>
      <c r="B52" s="339" t="s">
        <v>165</v>
      </c>
      <c r="C52" s="466">
        <f t="array" ref="C52">((SUM(IF((CkDJ[Sort Code]=(TRIM(E$5)))*(CkDJ[Account Code]=(TRIM($B52)))*(CkDJ[Date]&lt;=$C$8),CkDJ[Debit])))+(SUM(IF((CsDJ[Sort Code]=(TRIM(E$5)))*(CsDJ[Account Code]=(TRIM($B52)))*(CsDJ[Date]&lt;=$C$8),CsDJ[Debit])))+(SUM(IF((CRDJ[Sort Code]=(TRIM(E$5)))*(CRDJ[Account Code]=(TRIM($B52)))*(CRDJ[Date]&lt;=$C$8),CRDJ[Debit])))+(SUM(IF((GJ[Sort Code]=(TRIM(E$5)))*(GJ[Account Code]=(TRIM($B52)))*(GJ[Date]&lt;=$C$8),GJ[Debit]))))-((SUM(IF((CkDJ[Sort Code]=(TRIM(E$5)))*(CkDJ[Account Code]=(TRIM($B52)))*(CkDJ[Date]&lt;=$C$8),CkDJ[Credit])))+(SUM(IF((CsDJ[Sort Code]=(TRIM(E$5)))*(CsDJ[Account Code]=(TRIM($B52)))*(CsDJ[Date]&lt;=$C$8),CsDJ[Credit])))+(SUM(IF((CRDJ[Sort Code]=(TRIM(E$5)))*(CRDJ[Account Code]=(TRIM($B52)))*(CRDJ[Date]&lt;=$C$8),CRDJ[Credit])))+(SUM(IF((GJ[Sort Code]=(TRIM(E$5)))*(GJ[Account Code]=(TRIM($B52)))*(GJ[Date]&lt;=$C$8),GJ[Credit]))))</f>
        <v>0</v>
      </c>
      <c r="D52" s="466">
        <f t="array" ref="D52">((SUM(IF((CkDJ[Date]=$A$4)*(CkDJ[Sort Code]=(TRIM(E$5)))*(CkDJ[Account Code]=(TRIM($B52))),CkDJ[Debit])))+(SUM(IF((CsDJ[Date]=$A$4)*(CsDJ[Sort Code]=(TRIM(E$5)))*(CsDJ[Account Code]=(TRIM($B52))),CsDJ[Debit])))+(SUM(IF((CRDJ[Date]=$A$4)*(CRDJ[Sort Code]=(TRIM(E$5)))*(CRDJ[Account Code]=(TRIM($B52))),CRDJ[Debit])))+(SUM(IF((GJ[Date]=$A$4)*(GJ[Sort Code]=(TRIM(E$5)))*(GJ[Account Code]=(TRIM($B52))),GJ[Debit]))))-((SUM(IF((CkDJ[Date]=$A$4)*(CkDJ[Sort Code]=(TRIM(E$5)))*(CkDJ[Account Code]=(TRIM($B52))),CkDJ[Credit])))+(SUM(IF((CsDJ[Date]=$A$4)*(CsDJ[Sort Code]=(TRIM(E$5)))*(CsDJ[Account Code]=(TRIM($B52))),CsDJ[Credit])))+(SUM(IF((CRDJ[Date]=$A$4)*(CRDJ[Sort Code]=(TRIM(E$5)))*(CRDJ[Account Code]=(TRIM($B52))),CRDJ[Credit])))+(SUM(IF((GJ[Date]=$A$4)*(GJ[Sort Code]=(TRIM(E$5)))*(GJ[Account Code]=(TRIM($B52))),GJ[Credit]))))</f>
        <v>0</v>
      </c>
      <c r="E52" s="467">
        <f t="shared" si="1"/>
        <v>0</v>
      </c>
    </row>
    <row r="53" spans="1:5" x14ac:dyDescent="0.2">
      <c r="A53" s="476" t="s">
        <v>199</v>
      </c>
      <c r="B53" s="339" t="s">
        <v>166</v>
      </c>
      <c r="C53" s="466">
        <f t="array" ref="C53">((SUM(IF((CkDJ[Sort Code]=(TRIM(E$5)))*(CkDJ[Account Code]=(TRIM($B53)))*(CkDJ[Date]&lt;=$C$8),CkDJ[Debit])))+(SUM(IF((CsDJ[Sort Code]=(TRIM(E$5)))*(CsDJ[Account Code]=(TRIM($B53)))*(CsDJ[Date]&lt;=$C$8),CsDJ[Debit])))+(SUM(IF((CRDJ[Sort Code]=(TRIM(E$5)))*(CRDJ[Account Code]=(TRIM($B53)))*(CRDJ[Date]&lt;=$C$8),CRDJ[Debit])))+(SUM(IF((GJ[Sort Code]=(TRIM(E$5)))*(GJ[Account Code]=(TRIM($B53)))*(GJ[Date]&lt;=$C$8),GJ[Debit]))))-((SUM(IF((CkDJ[Sort Code]=(TRIM(E$5)))*(CkDJ[Account Code]=(TRIM($B53)))*(CkDJ[Date]&lt;=$C$8),CkDJ[Credit])))+(SUM(IF((CsDJ[Sort Code]=(TRIM(E$5)))*(CsDJ[Account Code]=(TRIM($B53)))*(CsDJ[Date]&lt;=$C$8),CsDJ[Credit])))+(SUM(IF((CRDJ[Sort Code]=(TRIM(E$5)))*(CRDJ[Account Code]=(TRIM($B53)))*(CRDJ[Date]&lt;=$C$8),CRDJ[Credit])))+(SUM(IF((GJ[Sort Code]=(TRIM(E$5)))*(GJ[Account Code]=(TRIM($B53)))*(GJ[Date]&lt;=$C$8),GJ[Credit]))))</f>
        <v>0</v>
      </c>
      <c r="D53" s="466">
        <f t="array" ref="D53">((SUM(IF((CkDJ[Date]=$A$4)*(CkDJ[Sort Code]=(TRIM(E$5)))*(CkDJ[Account Code]=(TRIM($B53))),CkDJ[Debit])))+(SUM(IF((CsDJ[Date]=$A$4)*(CsDJ[Sort Code]=(TRIM(E$5)))*(CsDJ[Account Code]=(TRIM($B53))),CsDJ[Debit])))+(SUM(IF((CRDJ[Date]=$A$4)*(CRDJ[Sort Code]=(TRIM(E$5)))*(CRDJ[Account Code]=(TRIM($B53))),CRDJ[Debit])))+(SUM(IF((GJ[Date]=$A$4)*(GJ[Sort Code]=(TRIM(E$5)))*(GJ[Account Code]=(TRIM($B53))),GJ[Debit]))))-((SUM(IF((CkDJ[Date]=$A$4)*(CkDJ[Sort Code]=(TRIM(E$5)))*(CkDJ[Account Code]=(TRIM($B53))),CkDJ[Credit])))+(SUM(IF((CsDJ[Date]=$A$4)*(CsDJ[Sort Code]=(TRIM(E$5)))*(CsDJ[Account Code]=(TRIM($B53))),CsDJ[Credit])))+(SUM(IF((CRDJ[Date]=$A$4)*(CRDJ[Sort Code]=(TRIM(E$5)))*(CRDJ[Account Code]=(TRIM($B53))),CRDJ[Credit])))+(SUM(IF((GJ[Date]=$A$4)*(GJ[Sort Code]=(TRIM(E$5)))*(GJ[Account Code]=(TRIM($B53))),GJ[Credit]))))</f>
        <v>0</v>
      </c>
      <c r="E53" s="467">
        <f t="shared" si="1"/>
        <v>0</v>
      </c>
    </row>
    <row r="54" spans="1:5" x14ac:dyDescent="0.2">
      <c r="A54" s="476" t="s">
        <v>200</v>
      </c>
      <c r="B54" s="339" t="s">
        <v>167</v>
      </c>
      <c r="C54" s="466">
        <f t="array" ref="C54">((SUM(IF((CkDJ[Sort Code]=(TRIM(E$5)))*(CkDJ[Account Code]=(TRIM($B54)))*(CkDJ[Date]&lt;=$C$8),CkDJ[Debit])))+(SUM(IF((CsDJ[Sort Code]=(TRIM(E$5)))*(CsDJ[Account Code]=(TRIM($B54)))*(CsDJ[Date]&lt;=$C$8),CsDJ[Debit])))+(SUM(IF((CRDJ[Sort Code]=(TRIM(E$5)))*(CRDJ[Account Code]=(TRIM($B54)))*(CRDJ[Date]&lt;=$C$8),CRDJ[Debit])))+(SUM(IF((GJ[Sort Code]=(TRIM(E$5)))*(GJ[Account Code]=(TRIM($B54)))*(GJ[Date]&lt;=$C$8),GJ[Debit]))))-((SUM(IF((CkDJ[Sort Code]=(TRIM(E$5)))*(CkDJ[Account Code]=(TRIM($B54)))*(CkDJ[Date]&lt;=$C$8),CkDJ[Credit])))+(SUM(IF((CsDJ[Sort Code]=(TRIM(E$5)))*(CsDJ[Account Code]=(TRIM($B54)))*(CsDJ[Date]&lt;=$C$8),CsDJ[Credit])))+(SUM(IF((CRDJ[Sort Code]=(TRIM(E$5)))*(CRDJ[Account Code]=(TRIM($B54)))*(CRDJ[Date]&lt;=$C$8),CRDJ[Credit])))+(SUM(IF((GJ[Sort Code]=(TRIM(E$5)))*(GJ[Account Code]=(TRIM($B54)))*(GJ[Date]&lt;=$C$8),GJ[Credit]))))</f>
        <v>0</v>
      </c>
      <c r="D54" s="466">
        <f t="array" ref="D54">((SUM(IF((CkDJ[Date]=$A$4)*(CkDJ[Sort Code]=(TRIM(E$5)))*(CkDJ[Account Code]=(TRIM($B54))),CkDJ[Debit])))+(SUM(IF((CsDJ[Date]=$A$4)*(CsDJ[Sort Code]=(TRIM(E$5)))*(CsDJ[Account Code]=(TRIM($B54))),CsDJ[Debit])))+(SUM(IF((CRDJ[Date]=$A$4)*(CRDJ[Sort Code]=(TRIM(E$5)))*(CRDJ[Account Code]=(TRIM($B54))),CRDJ[Debit])))+(SUM(IF((GJ[Date]=$A$4)*(GJ[Sort Code]=(TRIM(E$5)))*(GJ[Account Code]=(TRIM($B54))),GJ[Debit]))))-((SUM(IF((CkDJ[Date]=$A$4)*(CkDJ[Sort Code]=(TRIM(E$5)))*(CkDJ[Account Code]=(TRIM($B54))),CkDJ[Credit])))+(SUM(IF((CsDJ[Date]=$A$4)*(CsDJ[Sort Code]=(TRIM(E$5)))*(CsDJ[Account Code]=(TRIM($B54))),CsDJ[Credit])))+(SUM(IF((CRDJ[Date]=$A$4)*(CRDJ[Sort Code]=(TRIM(E$5)))*(CRDJ[Account Code]=(TRIM($B54))),CRDJ[Credit])))+(SUM(IF((GJ[Date]=$A$4)*(GJ[Sort Code]=(TRIM(E$5)))*(GJ[Account Code]=(TRIM($B54))),GJ[Credit]))))</f>
        <v>0</v>
      </c>
      <c r="E54" s="467">
        <f>C54+D54</f>
        <v>0</v>
      </c>
    </row>
    <row r="55" spans="1:5" x14ac:dyDescent="0.2">
      <c r="A55" s="476" t="s">
        <v>1204</v>
      </c>
      <c r="B55" s="339" t="s">
        <v>1262</v>
      </c>
      <c r="C55" s="466">
        <f t="array" ref="C55">((SUM(IF((CkDJ[Sort Code]=(TRIM(E$5)))*(CkDJ[Account Code]=(TRIM($B55)))*(CkDJ[Date]&lt;=$C$8),CkDJ[Debit])))+(SUM(IF((CsDJ[Sort Code]=(TRIM(E$5)))*(CsDJ[Account Code]=(TRIM($B55)))*(CsDJ[Date]&lt;=$C$8),CsDJ[Debit])))+(SUM(IF((CRDJ[Sort Code]=(TRIM(E$5)))*(CRDJ[Account Code]=(TRIM($B55)))*(CRDJ[Date]&lt;=$C$8),CRDJ[Debit])))+(SUM(IF((GJ[Sort Code]=(TRIM(E$5)))*(GJ[Account Code]=(TRIM($B55)))*(GJ[Date]&lt;=$C$8),GJ[Debit]))))-((SUM(IF((CkDJ[Sort Code]=(TRIM(E$5)))*(CkDJ[Account Code]=(TRIM($B55)))*(CkDJ[Date]&lt;=$C$8),CkDJ[Credit])))+(SUM(IF((CsDJ[Sort Code]=(TRIM(E$5)))*(CsDJ[Account Code]=(TRIM($B55)))*(CsDJ[Date]&lt;=$C$8),CsDJ[Credit])))+(SUM(IF((CRDJ[Sort Code]=(TRIM(E$5)))*(CRDJ[Account Code]=(TRIM($B55)))*(CRDJ[Date]&lt;=$C$8),CRDJ[Credit])))+(SUM(IF((GJ[Sort Code]=(TRIM(E$5)))*(GJ[Account Code]=(TRIM($B55)))*(GJ[Date]&lt;=$C$8),GJ[Credit]))))</f>
        <v>0</v>
      </c>
      <c r="D55" s="466">
        <f t="array" ref="D55">((SUM(IF((CkDJ[Date]=$A$4)*(CkDJ[Sort Code]=(TRIM(E$5)))*(CkDJ[Account Code]=(TRIM($B55))),CkDJ[Debit])))+(SUM(IF((CsDJ[Date]=$A$4)*(CsDJ[Sort Code]=(TRIM(E$5)))*(CsDJ[Account Code]=(TRIM($B55))),CsDJ[Debit])))+(SUM(IF((CRDJ[Date]=$A$4)*(CRDJ[Sort Code]=(TRIM(E$5)))*(CRDJ[Account Code]=(TRIM($B55))),CRDJ[Debit])))+(SUM(IF((GJ[Date]=$A$4)*(GJ[Sort Code]=(TRIM(E$5)))*(GJ[Account Code]=(TRIM($B55))),GJ[Debit]))))-((SUM(IF((CkDJ[Date]=$A$4)*(CkDJ[Sort Code]=(TRIM(E$5)))*(CkDJ[Account Code]=(TRIM($B55))),CkDJ[Credit])))+(SUM(IF((CsDJ[Date]=$A$4)*(CsDJ[Sort Code]=(TRIM(E$5)))*(CsDJ[Account Code]=(TRIM($B55))),CsDJ[Credit])))+(SUM(IF((CRDJ[Date]=$A$4)*(CRDJ[Sort Code]=(TRIM(E$5)))*(CRDJ[Account Code]=(TRIM($B55))),CRDJ[Credit])))+(SUM(IF((GJ[Date]=$A$4)*(GJ[Sort Code]=(TRIM(E$5)))*(GJ[Account Code]=(TRIM($B55))),GJ[Credit]))))</f>
        <v>0</v>
      </c>
      <c r="E55" s="467">
        <f>C55+D55</f>
        <v>0</v>
      </c>
    </row>
    <row r="56" spans="1:5" x14ac:dyDescent="0.2">
      <c r="A56" s="476" t="s">
        <v>204</v>
      </c>
      <c r="B56" s="339" t="s">
        <v>171</v>
      </c>
      <c r="C56" s="466">
        <f t="array" ref="C56">((SUM(IF((CkDJ[Sort Code]=(TRIM(E$5)))*(CkDJ[Account Code]=(TRIM($B56)))*(CkDJ[Date]&lt;=$C$8),CkDJ[Debit])))+(SUM(IF((CsDJ[Sort Code]=(TRIM(E$5)))*(CsDJ[Account Code]=(TRIM($B56)))*(CsDJ[Date]&lt;=$C$8),CsDJ[Debit])))+(SUM(IF((CRDJ[Sort Code]=(TRIM(E$5)))*(CRDJ[Account Code]=(TRIM($B56)))*(CRDJ[Date]&lt;=$C$8),CRDJ[Debit])))+(SUM(IF((GJ[Sort Code]=(TRIM(E$5)))*(GJ[Account Code]=(TRIM($B56)))*(GJ[Date]&lt;=$C$8),GJ[Debit]))))-((SUM(IF((CkDJ[Sort Code]=(TRIM(E$5)))*(CkDJ[Account Code]=(TRIM($B56)))*(CkDJ[Date]&lt;=$C$8),CkDJ[Credit])))+(SUM(IF((CsDJ[Sort Code]=(TRIM(E$5)))*(CsDJ[Account Code]=(TRIM($B56)))*(CsDJ[Date]&lt;=$C$8),CsDJ[Credit])))+(SUM(IF((CRDJ[Sort Code]=(TRIM(E$5)))*(CRDJ[Account Code]=(TRIM($B56)))*(CRDJ[Date]&lt;=$C$8),CRDJ[Credit])))+(SUM(IF((GJ[Sort Code]=(TRIM(E$5)))*(GJ[Account Code]=(TRIM($B56)))*(GJ[Date]&lt;=$C$8),GJ[Credit]))))</f>
        <v>0</v>
      </c>
      <c r="D56" s="466">
        <f t="array" ref="D56">((SUM(IF((CkDJ[Date]=$A$4)*(CkDJ[Sort Code]=(TRIM(E$5)))*(CkDJ[Account Code]=(TRIM($B56))),CkDJ[Debit])))+(SUM(IF((CsDJ[Date]=$A$4)*(CsDJ[Sort Code]=(TRIM(E$5)))*(CsDJ[Account Code]=(TRIM($B56))),CsDJ[Debit])))+(SUM(IF((CRDJ[Date]=$A$4)*(CRDJ[Sort Code]=(TRIM(E$5)))*(CRDJ[Account Code]=(TRIM($B56))),CRDJ[Debit])))+(SUM(IF((GJ[Date]=$A$4)*(GJ[Sort Code]=(TRIM(E$5)))*(GJ[Account Code]=(TRIM($B56))),GJ[Debit]))))-((SUM(IF((CkDJ[Date]=$A$4)*(CkDJ[Sort Code]=(TRIM(E$5)))*(CkDJ[Account Code]=(TRIM($B56))),CkDJ[Credit])))+(SUM(IF((CsDJ[Date]=$A$4)*(CsDJ[Sort Code]=(TRIM(E$5)))*(CsDJ[Account Code]=(TRIM($B56))),CsDJ[Credit])))+(SUM(IF((CRDJ[Date]=$A$4)*(CRDJ[Sort Code]=(TRIM(E$5)))*(CRDJ[Account Code]=(TRIM($B56))),CRDJ[Credit])))+(SUM(IF((GJ[Date]=$A$4)*(GJ[Sort Code]=(TRIM(E$5)))*(GJ[Account Code]=(TRIM($B56))),GJ[Credit]))))</f>
        <v>0</v>
      </c>
      <c r="E56" s="467">
        <f t="shared" ref="E56:E72" si="2">C56+D56</f>
        <v>0</v>
      </c>
    </row>
    <row r="57" spans="1:5" x14ac:dyDescent="0.2">
      <c r="A57" s="476" t="s">
        <v>201</v>
      </c>
      <c r="B57" s="339" t="s">
        <v>5</v>
      </c>
      <c r="C57" s="466">
        <f t="array" ref="C57">((SUM(IF((CkDJ[Sort Code]=(TRIM(E$5)))*(CkDJ[Account Code]=(TRIM($B57)))*(CkDJ[Date]&lt;=$C$8),CkDJ[Debit])))+(SUM(IF((CsDJ[Sort Code]=(TRIM(E$5)))*(CsDJ[Account Code]=(TRIM($B57)))*(CsDJ[Date]&lt;=$C$8),CsDJ[Debit])))+(SUM(IF((CRDJ[Sort Code]=(TRIM(E$5)))*(CRDJ[Account Code]=(TRIM($B57)))*(CRDJ[Date]&lt;=$C$8),CRDJ[Debit])))+(SUM(IF((GJ[Sort Code]=(TRIM(E$5)))*(GJ[Account Code]=(TRIM($B57)))*(GJ[Date]&lt;=$C$8),GJ[Debit]))))-((SUM(IF((CkDJ[Sort Code]=(TRIM(E$5)))*(CkDJ[Account Code]=(TRIM($B57)))*(CkDJ[Date]&lt;=$C$8),CkDJ[Credit])))+(SUM(IF((CsDJ[Sort Code]=(TRIM(E$5)))*(CsDJ[Account Code]=(TRIM($B57)))*(CsDJ[Date]&lt;=$C$8),CsDJ[Credit])))+(SUM(IF((CRDJ[Sort Code]=(TRIM(E$5)))*(CRDJ[Account Code]=(TRIM($B57)))*(CRDJ[Date]&lt;=$C$8),CRDJ[Credit])))+(SUM(IF((GJ[Sort Code]=(TRIM(E$5)))*(GJ[Account Code]=(TRIM($B57)))*(GJ[Date]&lt;=$C$8),GJ[Credit]))))</f>
        <v>0</v>
      </c>
      <c r="D57" s="466">
        <f t="array" ref="D57">((SUM(IF((CkDJ[Date]=$A$4)*(CkDJ[Sort Code]=(TRIM(E$5)))*(CkDJ[Account Code]=(TRIM($B57))),CkDJ[Debit])))+(SUM(IF((CsDJ[Date]=$A$4)*(CsDJ[Sort Code]=(TRIM(E$5)))*(CsDJ[Account Code]=(TRIM($B57))),CsDJ[Debit])))+(SUM(IF((CRDJ[Date]=$A$4)*(CRDJ[Sort Code]=(TRIM(E$5)))*(CRDJ[Account Code]=(TRIM($B57))),CRDJ[Debit])))+(SUM(IF((GJ[Date]=$A$4)*(GJ[Sort Code]=(TRIM(E$5)))*(GJ[Account Code]=(TRIM($B57))),GJ[Debit]))))-((SUM(IF((CkDJ[Date]=$A$4)*(CkDJ[Sort Code]=(TRIM(E$5)))*(CkDJ[Account Code]=(TRIM($B57))),CkDJ[Credit])))+(SUM(IF((CsDJ[Date]=$A$4)*(CsDJ[Sort Code]=(TRIM(E$5)))*(CsDJ[Account Code]=(TRIM($B57))),CsDJ[Credit])))+(SUM(IF((CRDJ[Date]=$A$4)*(CRDJ[Sort Code]=(TRIM(E$5)))*(CRDJ[Account Code]=(TRIM($B57))),CRDJ[Credit])))+(SUM(IF((GJ[Date]=$A$4)*(GJ[Sort Code]=(TRIM(E$5)))*(GJ[Account Code]=(TRIM($B57))),GJ[Credit]))))</f>
        <v>0</v>
      </c>
      <c r="E57" s="467">
        <f t="shared" si="2"/>
        <v>0</v>
      </c>
    </row>
    <row r="58" spans="1:5" x14ac:dyDescent="0.2">
      <c r="A58" s="476" t="s">
        <v>202</v>
      </c>
      <c r="B58" s="339" t="s">
        <v>6</v>
      </c>
      <c r="C58" s="466">
        <f t="array" ref="C58">((SUM(IF((CkDJ[Sort Code]=(TRIM(E$5)))*(CkDJ[Account Code]=(TRIM($B58)))*(CkDJ[Date]&lt;=$C$8),CkDJ[Debit])))+(SUM(IF((CsDJ[Sort Code]=(TRIM(E$5)))*(CsDJ[Account Code]=(TRIM($B58)))*(CsDJ[Date]&lt;=$C$8),CsDJ[Debit])))+(SUM(IF((CRDJ[Sort Code]=(TRIM(E$5)))*(CRDJ[Account Code]=(TRIM($B58)))*(CRDJ[Date]&lt;=$C$8),CRDJ[Debit])))+(SUM(IF((GJ[Sort Code]=(TRIM(E$5)))*(GJ[Account Code]=(TRIM($B58)))*(GJ[Date]&lt;=$C$8),GJ[Debit]))))-((SUM(IF((CkDJ[Sort Code]=(TRIM(E$5)))*(CkDJ[Account Code]=(TRIM($B58)))*(CkDJ[Date]&lt;=$C$8),CkDJ[Credit])))+(SUM(IF((CsDJ[Sort Code]=(TRIM(E$5)))*(CsDJ[Account Code]=(TRIM($B58)))*(CsDJ[Date]&lt;=$C$8),CsDJ[Credit])))+(SUM(IF((CRDJ[Sort Code]=(TRIM(E$5)))*(CRDJ[Account Code]=(TRIM($B58)))*(CRDJ[Date]&lt;=$C$8),CRDJ[Credit])))+(SUM(IF((GJ[Sort Code]=(TRIM(E$5)))*(GJ[Account Code]=(TRIM($B58)))*(GJ[Date]&lt;=$C$8),GJ[Credit]))))</f>
        <v>0</v>
      </c>
      <c r="D58" s="466">
        <f t="array" ref="D58">((SUM(IF((CkDJ[Date]=$A$4)*(CkDJ[Sort Code]=(TRIM(E$5)))*(CkDJ[Account Code]=(TRIM($B58))),CkDJ[Debit])))+(SUM(IF((CsDJ[Date]=$A$4)*(CsDJ[Sort Code]=(TRIM(E$5)))*(CsDJ[Account Code]=(TRIM($B58))),CsDJ[Debit])))+(SUM(IF((CRDJ[Date]=$A$4)*(CRDJ[Sort Code]=(TRIM(E$5)))*(CRDJ[Account Code]=(TRIM($B58))),CRDJ[Debit])))+(SUM(IF((GJ[Date]=$A$4)*(GJ[Sort Code]=(TRIM(E$5)))*(GJ[Account Code]=(TRIM($B58))),GJ[Debit]))))-((SUM(IF((CkDJ[Date]=$A$4)*(CkDJ[Sort Code]=(TRIM(E$5)))*(CkDJ[Account Code]=(TRIM($B58))),CkDJ[Credit])))+(SUM(IF((CsDJ[Date]=$A$4)*(CsDJ[Sort Code]=(TRIM(E$5)))*(CsDJ[Account Code]=(TRIM($B58))),CsDJ[Credit])))+(SUM(IF((CRDJ[Date]=$A$4)*(CRDJ[Sort Code]=(TRIM(E$5)))*(CRDJ[Account Code]=(TRIM($B58))),CRDJ[Credit])))+(SUM(IF((GJ[Date]=$A$4)*(GJ[Sort Code]=(TRIM(E$5)))*(GJ[Account Code]=(TRIM($B58))),GJ[Credit]))))</f>
        <v>0</v>
      </c>
      <c r="E58" s="467">
        <f t="shared" si="2"/>
        <v>0</v>
      </c>
    </row>
    <row r="59" spans="1:5" x14ac:dyDescent="0.2">
      <c r="A59" s="476" t="s">
        <v>203</v>
      </c>
      <c r="B59" s="339" t="s">
        <v>7</v>
      </c>
      <c r="C59" s="466">
        <f t="array" ref="C59">((SUM(IF((CkDJ[Sort Code]=(TRIM(E$5)))*(CkDJ[Account Code]=(TRIM($B59)))*(CkDJ[Date]&lt;=$C$8),CkDJ[Debit])))+(SUM(IF((CsDJ[Sort Code]=(TRIM(E$5)))*(CsDJ[Account Code]=(TRIM($B59)))*(CsDJ[Date]&lt;=$C$8),CsDJ[Debit])))+(SUM(IF((CRDJ[Sort Code]=(TRIM(E$5)))*(CRDJ[Account Code]=(TRIM($B59)))*(CRDJ[Date]&lt;=$C$8),CRDJ[Debit])))+(SUM(IF((GJ[Sort Code]=(TRIM(E$5)))*(GJ[Account Code]=(TRIM($B59)))*(GJ[Date]&lt;=$C$8),GJ[Debit]))))-((SUM(IF((CkDJ[Sort Code]=(TRIM(E$5)))*(CkDJ[Account Code]=(TRIM($B59)))*(CkDJ[Date]&lt;=$C$8),CkDJ[Credit])))+(SUM(IF((CsDJ[Sort Code]=(TRIM(E$5)))*(CsDJ[Account Code]=(TRIM($B59)))*(CsDJ[Date]&lt;=$C$8),CsDJ[Credit])))+(SUM(IF((CRDJ[Sort Code]=(TRIM(E$5)))*(CRDJ[Account Code]=(TRIM($B59)))*(CRDJ[Date]&lt;=$C$8),CRDJ[Credit])))+(SUM(IF((GJ[Sort Code]=(TRIM(E$5)))*(GJ[Account Code]=(TRIM($B59)))*(GJ[Date]&lt;=$C$8),GJ[Credit]))))</f>
        <v>0</v>
      </c>
      <c r="D59" s="466">
        <f t="array" ref="D59">((SUM(IF((CkDJ[Date]=$A$4)*(CkDJ[Sort Code]=(TRIM(E$5)))*(CkDJ[Account Code]=(TRIM($B59))),CkDJ[Debit])))+(SUM(IF((CsDJ[Date]=$A$4)*(CsDJ[Sort Code]=(TRIM(E$5)))*(CsDJ[Account Code]=(TRIM($B59))),CsDJ[Debit])))+(SUM(IF((CRDJ[Date]=$A$4)*(CRDJ[Sort Code]=(TRIM(E$5)))*(CRDJ[Account Code]=(TRIM($B59))),CRDJ[Debit])))+(SUM(IF((GJ[Date]=$A$4)*(GJ[Sort Code]=(TRIM(E$5)))*(GJ[Account Code]=(TRIM($B59))),GJ[Debit]))))-((SUM(IF((CkDJ[Date]=$A$4)*(CkDJ[Sort Code]=(TRIM(E$5)))*(CkDJ[Account Code]=(TRIM($B59))),CkDJ[Credit])))+(SUM(IF((CsDJ[Date]=$A$4)*(CsDJ[Sort Code]=(TRIM(E$5)))*(CsDJ[Account Code]=(TRIM($B59))),CsDJ[Credit])))+(SUM(IF((CRDJ[Date]=$A$4)*(CRDJ[Sort Code]=(TRIM(E$5)))*(CRDJ[Account Code]=(TRIM($B59))),CRDJ[Credit])))+(SUM(IF((GJ[Date]=$A$4)*(GJ[Sort Code]=(TRIM(E$5)))*(GJ[Account Code]=(TRIM($B59))),GJ[Credit]))))</f>
        <v>0</v>
      </c>
      <c r="E59" s="467">
        <f t="shared" si="2"/>
        <v>0</v>
      </c>
    </row>
    <row r="60" spans="1:5" x14ac:dyDescent="0.2">
      <c r="A60" s="476" t="s">
        <v>1378</v>
      </c>
      <c r="B60" s="339" t="s">
        <v>169</v>
      </c>
      <c r="C60" s="466">
        <f t="array" ref="C60">((SUM(IF((CkDJ[Sort Code]=(TRIM(E$5)))*(CkDJ[Account Code]=(TRIM($B60)))*(CkDJ[Date]&lt;=$C$8),CkDJ[Debit])))+(SUM(IF((CsDJ[Sort Code]=(TRIM(E$5)))*(CsDJ[Account Code]=(TRIM($B60)))*(CsDJ[Date]&lt;=$C$8),CsDJ[Debit])))+(SUM(IF((CRDJ[Sort Code]=(TRIM(E$5)))*(CRDJ[Account Code]=(TRIM($B60)))*(CRDJ[Date]&lt;=$C$8),CRDJ[Debit])))+(SUM(IF((GJ[Sort Code]=(TRIM(E$5)))*(GJ[Account Code]=(TRIM($B60)))*(GJ[Date]&lt;=$C$8),GJ[Debit]))))-((SUM(IF((CkDJ[Sort Code]=(TRIM(E$5)))*(CkDJ[Account Code]=(TRIM($B60)))*(CkDJ[Date]&lt;=$C$8),CkDJ[Credit])))+(SUM(IF((CsDJ[Sort Code]=(TRIM(E$5)))*(CsDJ[Account Code]=(TRIM($B60)))*(CsDJ[Date]&lt;=$C$8),CsDJ[Credit])))+(SUM(IF((CRDJ[Sort Code]=(TRIM(E$5)))*(CRDJ[Account Code]=(TRIM($B60)))*(CRDJ[Date]&lt;=$C$8),CRDJ[Credit])))+(SUM(IF((GJ[Sort Code]=(TRIM(E$5)))*(GJ[Account Code]=(TRIM($B60)))*(GJ[Date]&lt;=$C$8),GJ[Credit]))))</f>
        <v>0</v>
      </c>
      <c r="D60" s="466">
        <f t="array" ref="D60">((SUM(IF((CkDJ[Date]=$A$4)*(CkDJ[Sort Code]=(TRIM(E$5)))*(CkDJ[Account Code]=(TRIM($B60))),CkDJ[Debit])))+(SUM(IF((CsDJ[Date]=$A$4)*(CsDJ[Sort Code]=(TRIM(E$5)))*(CsDJ[Account Code]=(TRIM($B60))),CsDJ[Debit])))+(SUM(IF((CRDJ[Date]=$A$4)*(CRDJ[Sort Code]=(TRIM(E$5)))*(CRDJ[Account Code]=(TRIM($B60))),CRDJ[Debit])))+(SUM(IF((GJ[Date]=$A$4)*(GJ[Sort Code]=(TRIM(E$5)))*(GJ[Account Code]=(TRIM($B60))),GJ[Debit]))))-((SUM(IF((CkDJ[Date]=$A$4)*(CkDJ[Sort Code]=(TRIM(E$5)))*(CkDJ[Account Code]=(TRIM($B60))),CkDJ[Credit])))+(SUM(IF((CsDJ[Date]=$A$4)*(CsDJ[Sort Code]=(TRIM(E$5)))*(CsDJ[Account Code]=(TRIM($B60))),CsDJ[Credit])))+(SUM(IF((CRDJ[Date]=$A$4)*(CRDJ[Sort Code]=(TRIM(E$5)))*(CRDJ[Account Code]=(TRIM($B60))),CRDJ[Credit])))+(SUM(IF((GJ[Date]=$A$4)*(GJ[Sort Code]=(TRIM(E$5)))*(GJ[Account Code]=(TRIM($B60))),GJ[Credit]))))</f>
        <v>0</v>
      </c>
      <c r="E60" s="467">
        <f>C60+D60</f>
        <v>0</v>
      </c>
    </row>
    <row r="61" spans="1:5" x14ac:dyDescent="0.2">
      <c r="A61" s="476" t="s">
        <v>1474</v>
      </c>
      <c r="B61" s="339" t="s">
        <v>170</v>
      </c>
      <c r="C61" s="466">
        <f t="array" ref="C61">((SUM(IF((CkDJ[Sort Code]=(TRIM(E$5)))*(CkDJ[Account Code]=(TRIM($B61)))*(CkDJ[Date]&lt;=$C$8),CkDJ[Debit])))+(SUM(IF((CsDJ[Sort Code]=(TRIM(E$5)))*(CsDJ[Account Code]=(TRIM($B61)))*(CsDJ[Date]&lt;=$C$8),CsDJ[Debit])))+(SUM(IF((CRDJ[Sort Code]=(TRIM(E$5)))*(CRDJ[Account Code]=(TRIM($B61)))*(CRDJ[Date]&lt;=$C$8),CRDJ[Debit])))+(SUM(IF((GJ[Sort Code]=(TRIM(E$5)))*(GJ[Account Code]=(TRIM($B61)))*(GJ[Date]&lt;=$C$8),GJ[Debit]))))-((SUM(IF((CkDJ[Sort Code]=(TRIM(E$5)))*(CkDJ[Account Code]=(TRIM($B61)))*(CkDJ[Date]&lt;=$C$8),CkDJ[Credit])))+(SUM(IF((CsDJ[Sort Code]=(TRIM(E$5)))*(CsDJ[Account Code]=(TRIM($B61)))*(CsDJ[Date]&lt;=$C$8),CsDJ[Credit])))+(SUM(IF((CRDJ[Sort Code]=(TRIM(E$5)))*(CRDJ[Account Code]=(TRIM($B61)))*(CRDJ[Date]&lt;=$C$8),CRDJ[Credit])))+(SUM(IF((GJ[Sort Code]=(TRIM(E$5)))*(GJ[Account Code]=(TRIM($B61)))*(GJ[Date]&lt;=$C$8),GJ[Credit]))))</f>
        <v>0</v>
      </c>
      <c r="D61" s="466">
        <f t="array" ref="D61">((SUM(IF((CkDJ[Date]=$A$4)*(CkDJ[Sort Code]=(TRIM(E$5)))*(CkDJ[Account Code]=(TRIM($B61))),CkDJ[Debit])))+(SUM(IF((CsDJ[Date]=$A$4)*(CsDJ[Sort Code]=(TRIM(E$5)))*(CsDJ[Account Code]=(TRIM($B61))),CsDJ[Debit])))+(SUM(IF((CRDJ[Date]=$A$4)*(CRDJ[Sort Code]=(TRIM(E$5)))*(CRDJ[Account Code]=(TRIM($B61))),CRDJ[Debit])))+(SUM(IF((GJ[Date]=$A$4)*(GJ[Sort Code]=(TRIM(E$5)))*(GJ[Account Code]=(TRIM($B61))),GJ[Debit]))))-((SUM(IF((CkDJ[Date]=$A$4)*(CkDJ[Sort Code]=(TRIM(E$5)))*(CkDJ[Account Code]=(TRIM($B61))),CkDJ[Credit])))+(SUM(IF((CsDJ[Date]=$A$4)*(CsDJ[Sort Code]=(TRIM(E$5)))*(CsDJ[Account Code]=(TRIM($B61))),CsDJ[Credit])))+(SUM(IF((CRDJ[Date]=$A$4)*(CRDJ[Sort Code]=(TRIM(E$5)))*(CRDJ[Account Code]=(TRIM($B61))),CRDJ[Credit])))+(SUM(IF((GJ[Date]=$A$4)*(GJ[Sort Code]=(TRIM(E$5)))*(GJ[Account Code]=(TRIM($B61))),GJ[Credit]))))</f>
        <v>0</v>
      </c>
      <c r="E61" s="467">
        <f>C61+D61</f>
        <v>0</v>
      </c>
    </row>
    <row r="62" spans="1:5" x14ac:dyDescent="0.2">
      <c r="A62" s="476" t="s">
        <v>206</v>
      </c>
      <c r="B62" s="339" t="s">
        <v>173</v>
      </c>
      <c r="C62" s="466">
        <f t="array" ref="C62">((SUM(IF((CkDJ[Sort Code]=(TRIM(E$5)))*(CkDJ[Account Code]=(TRIM($B62)))*(CkDJ[Date]&lt;=$C$8),CkDJ[Debit])))+(SUM(IF((CsDJ[Sort Code]=(TRIM(E$5)))*(CsDJ[Account Code]=(TRIM($B62)))*(CsDJ[Date]&lt;=$C$8),CsDJ[Debit])))+(SUM(IF((CRDJ[Sort Code]=(TRIM(E$5)))*(CRDJ[Account Code]=(TRIM($B62)))*(CRDJ[Date]&lt;=$C$8),CRDJ[Debit])))+(SUM(IF((GJ[Sort Code]=(TRIM(E$5)))*(GJ[Account Code]=(TRIM($B62)))*(GJ[Date]&lt;=$C$8),GJ[Debit]))))-((SUM(IF((CkDJ[Sort Code]=(TRIM(E$5)))*(CkDJ[Account Code]=(TRIM($B62)))*(CkDJ[Date]&lt;=$C$8),CkDJ[Credit])))+(SUM(IF((CsDJ[Sort Code]=(TRIM(E$5)))*(CsDJ[Account Code]=(TRIM($B62)))*(CsDJ[Date]&lt;=$C$8),CsDJ[Credit])))+(SUM(IF((CRDJ[Sort Code]=(TRIM(E$5)))*(CRDJ[Account Code]=(TRIM($B62)))*(CRDJ[Date]&lt;=$C$8),CRDJ[Credit])))+(SUM(IF((GJ[Sort Code]=(TRIM(E$5)))*(GJ[Account Code]=(TRIM($B62)))*(GJ[Date]&lt;=$C$8),GJ[Credit]))))</f>
        <v>0</v>
      </c>
      <c r="D62" s="466">
        <f t="array" ref="D62">((SUM(IF((CkDJ[Date]=$A$4)*(CkDJ[Sort Code]=(TRIM(E$5)))*(CkDJ[Account Code]=(TRIM($B62))),CkDJ[Debit])))+(SUM(IF((CsDJ[Date]=$A$4)*(CsDJ[Sort Code]=(TRIM(E$5)))*(CsDJ[Account Code]=(TRIM($B62))),CsDJ[Debit])))+(SUM(IF((CRDJ[Date]=$A$4)*(CRDJ[Sort Code]=(TRIM(E$5)))*(CRDJ[Account Code]=(TRIM($B62))),CRDJ[Debit])))+(SUM(IF((GJ[Date]=$A$4)*(GJ[Sort Code]=(TRIM(E$5)))*(GJ[Account Code]=(TRIM($B62))),GJ[Debit]))))-((SUM(IF((CkDJ[Date]=$A$4)*(CkDJ[Sort Code]=(TRIM(E$5)))*(CkDJ[Account Code]=(TRIM($B62))),CkDJ[Credit])))+(SUM(IF((CsDJ[Date]=$A$4)*(CsDJ[Sort Code]=(TRIM(E$5)))*(CsDJ[Account Code]=(TRIM($B62))),CsDJ[Credit])))+(SUM(IF((CRDJ[Date]=$A$4)*(CRDJ[Sort Code]=(TRIM(E$5)))*(CRDJ[Account Code]=(TRIM($B62))),CRDJ[Credit])))+(SUM(IF((GJ[Date]=$A$4)*(GJ[Sort Code]=(TRIM(E$5)))*(GJ[Account Code]=(TRIM($B62))),GJ[Credit]))))</f>
        <v>0</v>
      </c>
      <c r="E62" s="467">
        <f t="shared" si="2"/>
        <v>0</v>
      </c>
    </row>
    <row r="63" spans="1:5" x14ac:dyDescent="0.2">
      <c r="A63" s="476" t="s">
        <v>354</v>
      </c>
      <c r="B63" s="339" t="s">
        <v>216</v>
      </c>
      <c r="C63" s="466">
        <f t="array" ref="C63">((SUM(IF((CkDJ[Sort Code]=(TRIM(E$5)))*(CkDJ[Account Code]=(TRIM($B63)))*(CkDJ[Date]&lt;=$C$8),CkDJ[Debit])))+(SUM(IF((CsDJ[Sort Code]=(TRIM(E$5)))*(CsDJ[Account Code]=(TRIM($B63)))*(CsDJ[Date]&lt;=$C$8),CsDJ[Debit])))+(SUM(IF((CRDJ[Sort Code]=(TRIM(E$5)))*(CRDJ[Account Code]=(TRIM($B63)))*(CRDJ[Date]&lt;=$C$8),CRDJ[Debit])))+(SUM(IF((GJ[Sort Code]=(TRIM(E$5)))*(GJ[Account Code]=(TRIM($B63)))*(GJ[Date]&lt;=$C$8),GJ[Debit]))))-((SUM(IF((CkDJ[Sort Code]=(TRIM(E$5)))*(CkDJ[Account Code]=(TRIM($B63)))*(CkDJ[Date]&lt;=$C$8),CkDJ[Credit])))+(SUM(IF((CsDJ[Sort Code]=(TRIM(E$5)))*(CsDJ[Account Code]=(TRIM($B63)))*(CsDJ[Date]&lt;=$C$8),CsDJ[Credit])))+(SUM(IF((CRDJ[Sort Code]=(TRIM(E$5)))*(CRDJ[Account Code]=(TRIM($B63)))*(CRDJ[Date]&lt;=$C$8),CRDJ[Credit])))+(SUM(IF((GJ[Sort Code]=(TRIM(E$5)))*(GJ[Account Code]=(TRIM($B63)))*(GJ[Date]&lt;=$C$8),GJ[Credit]))))</f>
        <v>0</v>
      </c>
      <c r="D63" s="466">
        <f t="array" ref="D63">((SUM(IF((CkDJ[Date]=$A$4)*(CkDJ[Sort Code]=(TRIM(E$5)))*(CkDJ[Account Code]=(TRIM($B63))),CkDJ[Debit])))+(SUM(IF((CsDJ[Date]=$A$4)*(CsDJ[Sort Code]=(TRIM(E$5)))*(CsDJ[Account Code]=(TRIM($B63))),CsDJ[Debit])))+(SUM(IF((CRDJ[Date]=$A$4)*(CRDJ[Sort Code]=(TRIM(E$5)))*(CRDJ[Account Code]=(TRIM($B63))),CRDJ[Debit])))+(SUM(IF((GJ[Date]=$A$4)*(GJ[Sort Code]=(TRIM(E$5)))*(GJ[Account Code]=(TRIM($B63))),GJ[Debit]))))-((SUM(IF((CkDJ[Date]=$A$4)*(CkDJ[Sort Code]=(TRIM(E$5)))*(CkDJ[Account Code]=(TRIM($B63))),CkDJ[Credit])))+(SUM(IF((CsDJ[Date]=$A$4)*(CsDJ[Sort Code]=(TRIM(E$5)))*(CsDJ[Account Code]=(TRIM($B63))),CsDJ[Credit])))+(SUM(IF((CRDJ[Date]=$A$4)*(CRDJ[Sort Code]=(TRIM(E$5)))*(CRDJ[Account Code]=(TRIM($B63))),CRDJ[Credit])))+(SUM(IF((GJ[Date]=$A$4)*(GJ[Sort Code]=(TRIM(E$5)))*(GJ[Account Code]=(TRIM($B63))),GJ[Credit]))))</f>
        <v>0</v>
      </c>
      <c r="E63" s="467">
        <f t="shared" si="2"/>
        <v>0</v>
      </c>
    </row>
    <row r="64" spans="1:5" x14ac:dyDescent="0.2">
      <c r="A64" s="476" t="s">
        <v>219</v>
      </c>
      <c r="B64" s="339" t="s">
        <v>214</v>
      </c>
      <c r="C64" s="466">
        <f t="array" ref="C64">((SUM(IF((CkDJ[Sort Code]=(TRIM(E$5)))*(CkDJ[Account Code]=(TRIM($B64)))*(CkDJ[Date]&lt;=$C$8),CkDJ[Debit])))+(SUM(IF((CsDJ[Sort Code]=(TRIM(E$5)))*(CsDJ[Account Code]=(TRIM($B64)))*(CsDJ[Date]&lt;=$C$8),CsDJ[Debit])))+(SUM(IF((CRDJ[Sort Code]=(TRIM(E$5)))*(CRDJ[Account Code]=(TRIM($B64)))*(CRDJ[Date]&lt;=$C$8),CRDJ[Debit])))+(SUM(IF((GJ[Sort Code]=(TRIM(E$5)))*(GJ[Account Code]=(TRIM($B64)))*(GJ[Date]&lt;=$C$8),GJ[Debit]))))-((SUM(IF((CkDJ[Sort Code]=(TRIM(E$5)))*(CkDJ[Account Code]=(TRIM($B64)))*(CkDJ[Date]&lt;=$C$8),CkDJ[Credit])))+(SUM(IF((CsDJ[Sort Code]=(TRIM(E$5)))*(CsDJ[Account Code]=(TRIM($B64)))*(CsDJ[Date]&lt;=$C$8),CsDJ[Credit])))+(SUM(IF((CRDJ[Sort Code]=(TRIM(E$5)))*(CRDJ[Account Code]=(TRIM($B64)))*(CRDJ[Date]&lt;=$C$8),CRDJ[Credit])))+(SUM(IF((GJ[Sort Code]=(TRIM(E$5)))*(GJ[Account Code]=(TRIM($B64)))*(GJ[Date]&lt;=$C$8),GJ[Credit]))))</f>
        <v>0</v>
      </c>
      <c r="D64" s="466">
        <f t="array" ref="D64">((SUM(IF((CkDJ[Date]=$A$4)*(CkDJ[Sort Code]=(TRIM(E$5)))*(CkDJ[Account Code]=(TRIM($B64))),CkDJ[Debit])))+(SUM(IF((CsDJ[Date]=$A$4)*(CsDJ[Sort Code]=(TRIM(E$5)))*(CsDJ[Account Code]=(TRIM($B64))),CsDJ[Debit])))+(SUM(IF((CRDJ[Date]=$A$4)*(CRDJ[Sort Code]=(TRIM(E$5)))*(CRDJ[Account Code]=(TRIM($B64))),CRDJ[Debit])))+(SUM(IF((GJ[Date]=$A$4)*(GJ[Sort Code]=(TRIM(E$5)))*(GJ[Account Code]=(TRIM($B64))),GJ[Debit]))))-((SUM(IF((CkDJ[Date]=$A$4)*(CkDJ[Sort Code]=(TRIM(E$5)))*(CkDJ[Account Code]=(TRIM($B64))),CkDJ[Credit])))+(SUM(IF((CsDJ[Date]=$A$4)*(CsDJ[Sort Code]=(TRIM(E$5)))*(CsDJ[Account Code]=(TRIM($B64))),CsDJ[Credit])))+(SUM(IF((CRDJ[Date]=$A$4)*(CRDJ[Sort Code]=(TRIM(E$5)))*(CRDJ[Account Code]=(TRIM($B64))),CRDJ[Credit])))+(SUM(IF((GJ[Date]=$A$4)*(GJ[Sort Code]=(TRIM(E$5)))*(GJ[Account Code]=(TRIM($B64))),GJ[Credit]))))</f>
        <v>0</v>
      </c>
      <c r="E64" s="467">
        <f t="shared" si="2"/>
        <v>0</v>
      </c>
    </row>
    <row r="65" spans="1:5" x14ac:dyDescent="0.2">
      <c r="A65" s="476" t="s">
        <v>205</v>
      </c>
      <c r="B65" s="339" t="s">
        <v>172</v>
      </c>
      <c r="C65" s="466">
        <f t="array" ref="C65">((SUM(IF((CkDJ[Sort Code]=(TRIM(E$5)))*(CkDJ[Account Code]=(TRIM($B65)))*(CkDJ[Date]&lt;=$C$8),CkDJ[Debit])))+(SUM(IF((CsDJ[Sort Code]=(TRIM(E$5)))*(CsDJ[Account Code]=(TRIM($B65)))*(CsDJ[Date]&lt;=$C$8),CsDJ[Debit])))+(SUM(IF((CRDJ[Sort Code]=(TRIM(E$5)))*(CRDJ[Account Code]=(TRIM($B65)))*(CRDJ[Date]&lt;=$C$8),CRDJ[Debit])))+(SUM(IF((GJ[Sort Code]=(TRIM(E$5)))*(GJ[Account Code]=(TRIM($B65)))*(GJ[Date]&lt;=$C$8),GJ[Debit]))))-((SUM(IF((CkDJ[Sort Code]=(TRIM(E$5)))*(CkDJ[Account Code]=(TRIM($B65)))*(CkDJ[Date]&lt;=$C$8),CkDJ[Credit])))+(SUM(IF((CsDJ[Sort Code]=(TRIM(E$5)))*(CsDJ[Account Code]=(TRIM($B65)))*(CsDJ[Date]&lt;=$C$8),CsDJ[Credit])))+(SUM(IF((CRDJ[Sort Code]=(TRIM(E$5)))*(CRDJ[Account Code]=(TRIM($B65)))*(CRDJ[Date]&lt;=$C$8),CRDJ[Credit])))+(SUM(IF((GJ[Sort Code]=(TRIM(E$5)))*(GJ[Account Code]=(TRIM($B65)))*(GJ[Date]&lt;=$C$8),GJ[Credit]))))</f>
        <v>0</v>
      </c>
      <c r="D65" s="466">
        <f t="array" ref="D65">((SUM(IF((CkDJ[Date]=$A$4)*(CkDJ[Sort Code]=(TRIM(E$5)))*(CkDJ[Account Code]=(TRIM($B65))),CkDJ[Debit])))+(SUM(IF((CsDJ[Date]=$A$4)*(CsDJ[Sort Code]=(TRIM(E$5)))*(CsDJ[Account Code]=(TRIM($B65))),CsDJ[Debit])))+(SUM(IF((CRDJ[Date]=$A$4)*(CRDJ[Sort Code]=(TRIM(E$5)))*(CRDJ[Account Code]=(TRIM($B65))),CRDJ[Debit])))+(SUM(IF((GJ[Date]=$A$4)*(GJ[Sort Code]=(TRIM(E$5)))*(GJ[Account Code]=(TRIM($B65))),GJ[Debit]))))-((SUM(IF((CkDJ[Date]=$A$4)*(CkDJ[Sort Code]=(TRIM(E$5)))*(CkDJ[Account Code]=(TRIM($B65))),CkDJ[Credit])))+(SUM(IF((CsDJ[Date]=$A$4)*(CsDJ[Sort Code]=(TRIM(E$5)))*(CsDJ[Account Code]=(TRIM($B65))),CsDJ[Credit])))+(SUM(IF((CRDJ[Date]=$A$4)*(CRDJ[Sort Code]=(TRIM(E$5)))*(CRDJ[Account Code]=(TRIM($B65))),CRDJ[Credit])))+(SUM(IF((GJ[Date]=$A$4)*(GJ[Sort Code]=(TRIM(E$5)))*(GJ[Account Code]=(TRIM($B65))),GJ[Credit]))))</f>
        <v>0</v>
      </c>
      <c r="E65" s="467">
        <f t="shared" si="2"/>
        <v>0</v>
      </c>
    </row>
    <row r="66" spans="1:5" x14ac:dyDescent="0.2">
      <c r="A66" s="476" t="s">
        <v>207</v>
      </c>
      <c r="B66" s="339" t="s">
        <v>174</v>
      </c>
      <c r="C66" s="466">
        <f t="array" ref="C66">((SUM(IF((CkDJ[Sort Code]=(TRIM(E$5)))*(CkDJ[Account Code]=(TRIM($B66)))*(CkDJ[Date]&lt;=$C$8),CkDJ[Debit])))+(SUM(IF((CsDJ[Sort Code]=(TRIM(E$5)))*(CsDJ[Account Code]=(TRIM($B66)))*(CsDJ[Date]&lt;=$C$8),CsDJ[Debit])))+(SUM(IF((CRDJ[Sort Code]=(TRIM(E$5)))*(CRDJ[Account Code]=(TRIM($B66)))*(CRDJ[Date]&lt;=$C$8),CRDJ[Debit])))+(SUM(IF((GJ[Sort Code]=(TRIM(E$5)))*(GJ[Account Code]=(TRIM($B66)))*(GJ[Date]&lt;=$C$8),GJ[Debit]))))-((SUM(IF((CkDJ[Sort Code]=(TRIM(E$5)))*(CkDJ[Account Code]=(TRIM($B66)))*(CkDJ[Date]&lt;=$C$8),CkDJ[Credit])))+(SUM(IF((CsDJ[Sort Code]=(TRIM(E$5)))*(CsDJ[Account Code]=(TRIM($B66)))*(CsDJ[Date]&lt;=$C$8),CsDJ[Credit])))+(SUM(IF((CRDJ[Sort Code]=(TRIM(E$5)))*(CRDJ[Account Code]=(TRIM($B66)))*(CRDJ[Date]&lt;=$C$8),CRDJ[Credit])))+(SUM(IF((GJ[Sort Code]=(TRIM(E$5)))*(GJ[Account Code]=(TRIM($B66)))*(GJ[Date]&lt;=$C$8),GJ[Credit]))))</f>
        <v>0</v>
      </c>
      <c r="D66" s="466">
        <f t="array" ref="D66">((SUM(IF((CkDJ[Date]=$A$4)*(CkDJ[Sort Code]=(TRIM(E$5)))*(CkDJ[Account Code]=(TRIM($B66))),CkDJ[Debit])))+(SUM(IF((CsDJ[Date]=$A$4)*(CsDJ[Sort Code]=(TRIM(E$5)))*(CsDJ[Account Code]=(TRIM($B66))),CsDJ[Debit])))+(SUM(IF((CRDJ[Date]=$A$4)*(CRDJ[Sort Code]=(TRIM(E$5)))*(CRDJ[Account Code]=(TRIM($B66))),CRDJ[Debit])))+(SUM(IF((GJ[Date]=$A$4)*(GJ[Sort Code]=(TRIM(E$5)))*(GJ[Account Code]=(TRIM($B66))),GJ[Debit]))))-((SUM(IF((CkDJ[Date]=$A$4)*(CkDJ[Sort Code]=(TRIM(E$5)))*(CkDJ[Account Code]=(TRIM($B66))),CkDJ[Credit])))+(SUM(IF((CsDJ[Date]=$A$4)*(CsDJ[Sort Code]=(TRIM(E$5)))*(CsDJ[Account Code]=(TRIM($B66))),CsDJ[Credit])))+(SUM(IF((CRDJ[Date]=$A$4)*(CRDJ[Sort Code]=(TRIM(E$5)))*(CRDJ[Account Code]=(TRIM($B66))),CRDJ[Credit])))+(SUM(IF((GJ[Date]=$A$4)*(GJ[Sort Code]=(TRIM(E$5)))*(GJ[Account Code]=(TRIM($B66))),GJ[Credit]))))</f>
        <v>0</v>
      </c>
      <c r="E66" s="467">
        <f t="shared" si="2"/>
        <v>0</v>
      </c>
    </row>
    <row r="67" spans="1:5" x14ac:dyDescent="0.2">
      <c r="A67" s="476" t="s">
        <v>208</v>
      </c>
      <c r="B67" s="339" t="s">
        <v>175</v>
      </c>
      <c r="C67" s="466">
        <f t="array" ref="C67">((SUM(IF((CkDJ[Sort Code]=(TRIM(E$5)))*(CkDJ[Account Code]=(TRIM($B67)))*(CkDJ[Date]&lt;=$C$8),CkDJ[Debit])))+(SUM(IF((CsDJ[Sort Code]=(TRIM(E$5)))*(CsDJ[Account Code]=(TRIM($B67)))*(CsDJ[Date]&lt;=$C$8),CsDJ[Debit])))+(SUM(IF((CRDJ[Sort Code]=(TRIM(E$5)))*(CRDJ[Account Code]=(TRIM($B67)))*(CRDJ[Date]&lt;=$C$8),CRDJ[Debit])))+(SUM(IF((GJ[Sort Code]=(TRIM(E$5)))*(GJ[Account Code]=(TRIM($B67)))*(GJ[Date]&lt;=$C$8),GJ[Debit]))))-((SUM(IF((CkDJ[Sort Code]=(TRIM(E$5)))*(CkDJ[Account Code]=(TRIM($B67)))*(CkDJ[Date]&lt;=$C$8),CkDJ[Credit])))+(SUM(IF((CsDJ[Sort Code]=(TRIM(E$5)))*(CsDJ[Account Code]=(TRIM($B67)))*(CsDJ[Date]&lt;=$C$8),CsDJ[Credit])))+(SUM(IF((CRDJ[Sort Code]=(TRIM(E$5)))*(CRDJ[Account Code]=(TRIM($B67)))*(CRDJ[Date]&lt;=$C$8),CRDJ[Credit])))+(SUM(IF((GJ[Sort Code]=(TRIM(E$5)))*(GJ[Account Code]=(TRIM($B67)))*(GJ[Date]&lt;=$C$8),GJ[Credit]))))</f>
        <v>0</v>
      </c>
      <c r="D67" s="466">
        <f t="array" ref="D67">((SUM(IF((CkDJ[Date]=$A$4)*(CkDJ[Sort Code]=(TRIM(E$5)))*(CkDJ[Account Code]=(TRIM($B67))),CkDJ[Debit])))+(SUM(IF((CsDJ[Date]=$A$4)*(CsDJ[Sort Code]=(TRIM(E$5)))*(CsDJ[Account Code]=(TRIM($B67))),CsDJ[Debit])))+(SUM(IF((CRDJ[Date]=$A$4)*(CRDJ[Sort Code]=(TRIM(E$5)))*(CRDJ[Account Code]=(TRIM($B67))),CRDJ[Debit])))+(SUM(IF((GJ[Date]=$A$4)*(GJ[Sort Code]=(TRIM(E$5)))*(GJ[Account Code]=(TRIM($B67))),GJ[Debit]))))-((SUM(IF((CkDJ[Date]=$A$4)*(CkDJ[Sort Code]=(TRIM(E$5)))*(CkDJ[Account Code]=(TRIM($B67))),CkDJ[Credit])))+(SUM(IF((CsDJ[Date]=$A$4)*(CsDJ[Sort Code]=(TRIM(E$5)))*(CsDJ[Account Code]=(TRIM($B67))),CsDJ[Credit])))+(SUM(IF((CRDJ[Date]=$A$4)*(CRDJ[Sort Code]=(TRIM(E$5)))*(CRDJ[Account Code]=(TRIM($B67))),CRDJ[Credit])))+(SUM(IF((GJ[Date]=$A$4)*(GJ[Sort Code]=(TRIM(E$5)))*(GJ[Account Code]=(TRIM($B67))),GJ[Credit]))))</f>
        <v>0</v>
      </c>
      <c r="E67" s="467">
        <f t="shared" si="2"/>
        <v>0</v>
      </c>
    </row>
    <row r="68" spans="1:5" x14ac:dyDescent="0.2">
      <c r="A68" s="476" t="s">
        <v>209</v>
      </c>
      <c r="B68" s="339" t="s">
        <v>176</v>
      </c>
      <c r="C68" s="466">
        <f t="array" ref="C68">((SUM(IF((CkDJ[Sort Code]=(TRIM(E$5)))*(CkDJ[Account Code]=(TRIM($B68)))*(CkDJ[Date]&lt;=$C$8),CkDJ[Debit])))+(SUM(IF((CsDJ[Sort Code]=(TRIM(E$5)))*(CsDJ[Account Code]=(TRIM($B68)))*(CsDJ[Date]&lt;=$C$8),CsDJ[Debit])))+(SUM(IF((CRDJ[Sort Code]=(TRIM(E$5)))*(CRDJ[Account Code]=(TRIM($B68)))*(CRDJ[Date]&lt;=$C$8),CRDJ[Debit])))+(SUM(IF((GJ[Sort Code]=(TRIM(E$5)))*(GJ[Account Code]=(TRIM($B68)))*(GJ[Date]&lt;=$C$8),GJ[Debit]))))-((SUM(IF((CkDJ[Sort Code]=(TRIM(E$5)))*(CkDJ[Account Code]=(TRIM($B68)))*(CkDJ[Date]&lt;=$C$8),CkDJ[Credit])))+(SUM(IF((CsDJ[Sort Code]=(TRIM(E$5)))*(CsDJ[Account Code]=(TRIM($B68)))*(CsDJ[Date]&lt;=$C$8),CsDJ[Credit])))+(SUM(IF((CRDJ[Sort Code]=(TRIM(E$5)))*(CRDJ[Account Code]=(TRIM($B68)))*(CRDJ[Date]&lt;=$C$8),CRDJ[Credit])))+(SUM(IF((GJ[Sort Code]=(TRIM(E$5)))*(GJ[Account Code]=(TRIM($B68)))*(GJ[Date]&lt;=$C$8),GJ[Credit]))))</f>
        <v>0</v>
      </c>
      <c r="D68" s="466">
        <f t="array" ref="D68">((SUM(IF((CkDJ[Date]=$A$4)*(CkDJ[Sort Code]=(TRIM(E$5)))*(CkDJ[Account Code]=(TRIM($B68))),CkDJ[Debit])))+(SUM(IF((CsDJ[Date]=$A$4)*(CsDJ[Sort Code]=(TRIM(E$5)))*(CsDJ[Account Code]=(TRIM($B68))),CsDJ[Debit])))+(SUM(IF((CRDJ[Date]=$A$4)*(CRDJ[Sort Code]=(TRIM(E$5)))*(CRDJ[Account Code]=(TRIM($B68))),CRDJ[Debit])))+(SUM(IF((GJ[Date]=$A$4)*(GJ[Sort Code]=(TRIM(E$5)))*(GJ[Account Code]=(TRIM($B68))),GJ[Debit]))))-((SUM(IF((CkDJ[Date]=$A$4)*(CkDJ[Sort Code]=(TRIM(E$5)))*(CkDJ[Account Code]=(TRIM($B68))),CkDJ[Credit])))+(SUM(IF((CsDJ[Date]=$A$4)*(CsDJ[Sort Code]=(TRIM(E$5)))*(CsDJ[Account Code]=(TRIM($B68))),CsDJ[Credit])))+(SUM(IF((CRDJ[Date]=$A$4)*(CRDJ[Sort Code]=(TRIM(E$5)))*(CRDJ[Account Code]=(TRIM($B68))),CRDJ[Credit])))+(SUM(IF((GJ[Date]=$A$4)*(GJ[Sort Code]=(TRIM(E$5)))*(GJ[Account Code]=(TRIM($B68))),GJ[Credit]))))</f>
        <v>0</v>
      </c>
      <c r="E68" s="467">
        <f t="shared" si="2"/>
        <v>0</v>
      </c>
    </row>
    <row r="69" spans="1:5" x14ac:dyDescent="0.2">
      <c r="A69" s="476" t="s">
        <v>210</v>
      </c>
      <c r="B69" s="339" t="s">
        <v>177</v>
      </c>
      <c r="C69" s="466">
        <f t="array" ref="C69">((SUM(IF((CkDJ[Sort Code]=(TRIM(E$5)))*(CkDJ[Account Code]=(TRIM($B69)))*(CkDJ[Date]&lt;=$C$8),CkDJ[Debit])))+(SUM(IF((CsDJ[Sort Code]=(TRIM(E$5)))*(CsDJ[Account Code]=(TRIM($B69)))*(CsDJ[Date]&lt;=$C$8),CsDJ[Debit])))+(SUM(IF((CRDJ[Sort Code]=(TRIM(E$5)))*(CRDJ[Account Code]=(TRIM($B69)))*(CRDJ[Date]&lt;=$C$8),CRDJ[Debit])))+(SUM(IF((GJ[Sort Code]=(TRIM(E$5)))*(GJ[Account Code]=(TRIM($B69)))*(GJ[Date]&lt;=$C$8),GJ[Debit]))))-((SUM(IF((CkDJ[Sort Code]=(TRIM(E$5)))*(CkDJ[Account Code]=(TRIM($B69)))*(CkDJ[Date]&lt;=$C$8),CkDJ[Credit])))+(SUM(IF((CsDJ[Sort Code]=(TRIM(E$5)))*(CsDJ[Account Code]=(TRIM($B69)))*(CsDJ[Date]&lt;=$C$8),CsDJ[Credit])))+(SUM(IF((CRDJ[Sort Code]=(TRIM(E$5)))*(CRDJ[Account Code]=(TRIM($B69)))*(CRDJ[Date]&lt;=$C$8),CRDJ[Credit])))+(SUM(IF((GJ[Sort Code]=(TRIM(E$5)))*(GJ[Account Code]=(TRIM($B69)))*(GJ[Date]&lt;=$C$8),GJ[Credit]))))</f>
        <v>0</v>
      </c>
      <c r="D69" s="466">
        <f t="array" ref="D69">((SUM(IF((CkDJ[Date]=$A$4)*(CkDJ[Sort Code]=(TRIM(E$5)))*(CkDJ[Account Code]=(TRIM($B69))),CkDJ[Debit])))+(SUM(IF((CsDJ[Date]=$A$4)*(CsDJ[Sort Code]=(TRIM(E$5)))*(CsDJ[Account Code]=(TRIM($B69))),CsDJ[Debit])))+(SUM(IF((CRDJ[Date]=$A$4)*(CRDJ[Sort Code]=(TRIM(E$5)))*(CRDJ[Account Code]=(TRIM($B69))),CRDJ[Debit])))+(SUM(IF((GJ[Date]=$A$4)*(GJ[Sort Code]=(TRIM(E$5)))*(GJ[Account Code]=(TRIM($B69))),GJ[Debit]))))-((SUM(IF((CkDJ[Date]=$A$4)*(CkDJ[Sort Code]=(TRIM(E$5)))*(CkDJ[Account Code]=(TRIM($B69))),CkDJ[Credit])))+(SUM(IF((CsDJ[Date]=$A$4)*(CsDJ[Sort Code]=(TRIM(E$5)))*(CsDJ[Account Code]=(TRIM($B69))),CsDJ[Credit])))+(SUM(IF((CRDJ[Date]=$A$4)*(CRDJ[Sort Code]=(TRIM(E$5)))*(CRDJ[Account Code]=(TRIM($B69))),CRDJ[Credit])))+(SUM(IF((GJ[Date]=$A$4)*(GJ[Sort Code]=(TRIM(E$5)))*(GJ[Account Code]=(TRIM($B69))),GJ[Credit]))))</f>
        <v>0</v>
      </c>
      <c r="E69" s="467">
        <f t="shared" si="2"/>
        <v>0</v>
      </c>
    </row>
    <row r="70" spans="1:5" x14ac:dyDescent="0.2">
      <c r="A70" s="476" t="s">
        <v>211</v>
      </c>
      <c r="B70" s="339" t="s">
        <v>178</v>
      </c>
      <c r="C70" s="466">
        <f t="array" ref="C70">((SUM(IF((CkDJ[Sort Code]=(TRIM(E$5)))*(CkDJ[Account Code]=(TRIM($B70)))*(CkDJ[Date]&lt;=$C$8),CkDJ[Debit])))+(SUM(IF((CsDJ[Sort Code]=(TRIM(E$5)))*(CsDJ[Account Code]=(TRIM($B70)))*(CsDJ[Date]&lt;=$C$8),CsDJ[Debit])))+(SUM(IF((CRDJ[Sort Code]=(TRIM(E$5)))*(CRDJ[Account Code]=(TRIM($B70)))*(CRDJ[Date]&lt;=$C$8),CRDJ[Debit])))+(SUM(IF((GJ[Sort Code]=(TRIM(E$5)))*(GJ[Account Code]=(TRIM($B70)))*(GJ[Date]&lt;=$C$8),GJ[Debit]))))-((SUM(IF((CkDJ[Sort Code]=(TRIM(E$5)))*(CkDJ[Account Code]=(TRIM($B70)))*(CkDJ[Date]&lt;=$C$8),CkDJ[Credit])))+(SUM(IF((CsDJ[Sort Code]=(TRIM(E$5)))*(CsDJ[Account Code]=(TRIM($B70)))*(CsDJ[Date]&lt;=$C$8),CsDJ[Credit])))+(SUM(IF((CRDJ[Sort Code]=(TRIM(E$5)))*(CRDJ[Account Code]=(TRIM($B70)))*(CRDJ[Date]&lt;=$C$8),CRDJ[Credit])))+(SUM(IF((GJ[Sort Code]=(TRIM(E$5)))*(GJ[Account Code]=(TRIM($B70)))*(GJ[Date]&lt;=$C$8),GJ[Credit]))))</f>
        <v>0</v>
      </c>
      <c r="D70" s="466">
        <f t="array" ref="D70">((SUM(IF((CkDJ[Date]=$A$4)*(CkDJ[Sort Code]=(TRIM(E$5)))*(CkDJ[Account Code]=(TRIM($B70))),CkDJ[Debit])))+(SUM(IF((CsDJ[Date]=$A$4)*(CsDJ[Sort Code]=(TRIM(E$5)))*(CsDJ[Account Code]=(TRIM($B70))),CsDJ[Debit])))+(SUM(IF((CRDJ[Date]=$A$4)*(CRDJ[Sort Code]=(TRIM(E$5)))*(CRDJ[Account Code]=(TRIM($B70))),CRDJ[Debit])))+(SUM(IF((GJ[Date]=$A$4)*(GJ[Sort Code]=(TRIM(E$5)))*(GJ[Account Code]=(TRIM($B70))),GJ[Debit]))))-((SUM(IF((CkDJ[Date]=$A$4)*(CkDJ[Sort Code]=(TRIM(E$5)))*(CkDJ[Account Code]=(TRIM($B70))),CkDJ[Credit])))+(SUM(IF((CsDJ[Date]=$A$4)*(CsDJ[Sort Code]=(TRIM(E$5)))*(CsDJ[Account Code]=(TRIM($B70))),CsDJ[Credit])))+(SUM(IF((CRDJ[Date]=$A$4)*(CRDJ[Sort Code]=(TRIM(E$5)))*(CRDJ[Account Code]=(TRIM($B70))),CRDJ[Credit])))+(SUM(IF((GJ[Date]=$A$4)*(GJ[Sort Code]=(TRIM(E$5)))*(GJ[Account Code]=(TRIM($B70))),GJ[Credit]))))</f>
        <v>0</v>
      </c>
      <c r="E70" s="467">
        <f t="shared" si="2"/>
        <v>0</v>
      </c>
    </row>
    <row r="71" spans="1:5" x14ac:dyDescent="0.2">
      <c r="A71" s="476" t="s">
        <v>1167</v>
      </c>
      <c r="B71" s="339" t="s">
        <v>212</v>
      </c>
      <c r="C71" s="466">
        <f t="array" ref="C71">((SUM(IF((CkDJ[Sort Code]=(TRIM(E$5)))*(CkDJ[Account Code]=(TRIM($B71)))*(CkDJ[Date]&lt;=$C$8),CkDJ[Debit])))+(SUM(IF((CsDJ[Sort Code]=(TRIM(E$5)))*(CsDJ[Account Code]=(TRIM($B71)))*(CsDJ[Date]&lt;=$C$8),CsDJ[Debit])))+(SUM(IF((CRDJ[Sort Code]=(TRIM(E$5)))*(CRDJ[Account Code]=(TRIM($B71)))*(CRDJ[Date]&lt;=$C$8),CRDJ[Debit])))+(SUM(IF((GJ[Sort Code]=(TRIM(E$5)))*(GJ[Account Code]=(TRIM($B71)))*(GJ[Date]&lt;=$C$8),GJ[Debit]))))-((SUM(IF((CkDJ[Sort Code]=(TRIM(E$5)))*(CkDJ[Account Code]=(TRIM($B71)))*(CkDJ[Date]&lt;=$C$8),CkDJ[Credit])))+(SUM(IF((CsDJ[Sort Code]=(TRIM(E$5)))*(CsDJ[Account Code]=(TRIM($B71)))*(CsDJ[Date]&lt;=$C$8),CsDJ[Credit])))+(SUM(IF((CRDJ[Sort Code]=(TRIM(E$5)))*(CRDJ[Account Code]=(TRIM($B71)))*(CRDJ[Date]&lt;=$C$8),CRDJ[Credit])))+(SUM(IF((GJ[Sort Code]=(TRIM(E$5)))*(GJ[Account Code]=(TRIM($B71)))*(GJ[Date]&lt;=$C$8),GJ[Credit]))))</f>
        <v>0</v>
      </c>
      <c r="D71" s="466">
        <f t="array" ref="D71">((SUM(IF((CkDJ[Date]=$A$4)*(CkDJ[Sort Code]=(TRIM(E$5)))*(CkDJ[Account Code]=(TRIM($B71))),CkDJ[Debit])))+(SUM(IF((CsDJ[Date]=$A$4)*(CsDJ[Sort Code]=(TRIM(E$5)))*(CsDJ[Account Code]=(TRIM($B71))),CsDJ[Debit])))+(SUM(IF((CRDJ[Date]=$A$4)*(CRDJ[Sort Code]=(TRIM(E$5)))*(CRDJ[Account Code]=(TRIM($B71))),CRDJ[Debit])))+(SUM(IF((GJ[Date]=$A$4)*(GJ[Sort Code]=(TRIM(E$5)))*(GJ[Account Code]=(TRIM($B71))),GJ[Debit]))))-((SUM(IF((CkDJ[Date]=$A$4)*(CkDJ[Sort Code]=(TRIM(E$5)))*(CkDJ[Account Code]=(TRIM($B71))),CkDJ[Credit])))+(SUM(IF((CsDJ[Date]=$A$4)*(CsDJ[Sort Code]=(TRIM(E$5)))*(CsDJ[Account Code]=(TRIM($B71))),CsDJ[Credit])))+(SUM(IF((CRDJ[Date]=$A$4)*(CRDJ[Sort Code]=(TRIM(E$5)))*(CRDJ[Account Code]=(TRIM($B71))),CRDJ[Credit])))+(SUM(IF((GJ[Date]=$A$4)*(GJ[Sort Code]=(TRIM(E$5)))*(GJ[Account Code]=(TRIM($B71))),GJ[Credit]))))</f>
        <v>0</v>
      </c>
      <c r="E71" s="467">
        <f>C71+D71</f>
        <v>0</v>
      </c>
    </row>
    <row r="72" spans="1:5" x14ac:dyDescent="0.2">
      <c r="A72" s="481" t="s">
        <v>218</v>
      </c>
      <c r="B72" s="482" t="s">
        <v>213</v>
      </c>
      <c r="C72" s="483">
        <f t="array" ref="C72">((SUM(IF((CkDJ[Sort Code]=(TRIM(E$5)))*(CkDJ[Account Code]=(TRIM($B72)))*(CkDJ[Date]&lt;=$C$8),CkDJ[Debit])))+(SUM(IF((CsDJ[Sort Code]=(TRIM(E$5)))*(CsDJ[Account Code]=(TRIM($B72)))*(CsDJ[Date]&lt;=$C$8),CsDJ[Debit])))+(SUM(IF((CRDJ[Sort Code]=(TRIM(E$5)))*(CRDJ[Account Code]=(TRIM($B72)))*(CRDJ[Date]&lt;=$C$8),CRDJ[Debit])))+(SUM(IF((GJ[Sort Code]=(TRIM(E$5)))*(GJ[Account Code]=(TRIM($B72)))*(GJ[Date]&lt;=$C$8),GJ[Debit]))))-((SUM(IF((CkDJ[Sort Code]=(TRIM(E$5)))*(CkDJ[Account Code]=(TRIM($B72)))*(CkDJ[Date]&lt;=$C$8),CkDJ[Credit])))+(SUM(IF((CsDJ[Sort Code]=(TRIM(E$5)))*(CsDJ[Account Code]=(TRIM($B72)))*(CsDJ[Date]&lt;=$C$8),CsDJ[Credit])))+(SUM(IF((CRDJ[Sort Code]=(TRIM(E$5)))*(CRDJ[Account Code]=(TRIM($B72)))*(CRDJ[Date]&lt;=$C$8),CRDJ[Credit])))+(SUM(IF((GJ[Sort Code]=(TRIM(E$5)))*(GJ[Account Code]=(TRIM($B72)))*(GJ[Date]&lt;=$C$8),GJ[Credit]))))</f>
        <v>0</v>
      </c>
      <c r="D72" s="483">
        <f t="array" ref="D72">((SUM(IF((CkDJ[Date]=$A$4)*(CkDJ[Sort Code]=(TRIM(E$5)))*(CkDJ[Account Code]=(TRIM($B72))),CkDJ[Debit])))+(SUM(IF((CsDJ[Date]=$A$4)*(CsDJ[Sort Code]=(TRIM(E$5)))*(CsDJ[Account Code]=(TRIM($B72))),CsDJ[Debit])))+(SUM(IF((CRDJ[Date]=$A$4)*(CRDJ[Sort Code]=(TRIM(E$5)))*(CRDJ[Account Code]=(TRIM($B72))),CRDJ[Debit])))+(SUM(IF((GJ[Date]=$A$4)*(GJ[Sort Code]=(TRIM(E$5)))*(GJ[Account Code]=(TRIM($B72))),GJ[Debit]))))-((SUM(IF((CkDJ[Date]=$A$4)*(CkDJ[Sort Code]=(TRIM(E$5)))*(CkDJ[Account Code]=(TRIM($B72))),CkDJ[Credit])))+(SUM(IF((CsDJ[Date]=$A$4)*(CsDJ[Sort Code]=(TRIM(E$5)))*(CsDJ[Account Code]=(TRIM($B72))),CsDJ[Credit])))+(SUM(IF((CRDJ[Date]=$A$4)*(CRDJ[Sort Code]=(TRIM(E$5)))*(CRDJ[Account Code]=(TRIM($B72))),CRDJ[Credit])))+(SUM(IF((GJ[Date]=$A$4)*(GJ[Sort Code]=(TRIM(E$5)))*(GJ[Account Code]=(TRIM($B72))),GJ[Credit]))))</f>
        <v>0</v>
      </c>
      <c r="E72" s="484">
        <f t="shared" si="2"/>
        <v>0</v>
      </c>
    </row>
    <row r="73" spans="1:5" x14ac:dyDescent="0.2">
      <c r="A73" s="476"/>
      <c r="B73" s="339"/>
      <c r="C73" s="466"/>
      <c r="D73" s="466"/>
      <c r="E73" s="467"/>
    </row>
    <row r="74" spans="1:5" x14ac:dyDescent="0.2">
      <c r="A74" s="471" t="s">
        <v>810</v>
      </c>
      <c r="B74" s="339"/>
      <c r="C74" s="480">
        <f>SUM(C75:C137)</f>
        <v>0</v>
      </c>
      <c r="D74" s="480">
        <f>SUM(D75:D137)</f>
        <v>0</v>
      </c>
      <c r="E74" s="480">
        <f>SUM(E75:E137)</f>
        <v>0</v>
      </c>
    </row>
    <row r="75" spans="1:5" x14ac:dyDescent="0.2">
      <c r="A75" s="476" t="s">
        <v>284</v>
      </c>
      <c r="B75" s="339" t="s">
        <v>223</v>
      </c>
      <c r="C75" s="466">
        <f t="array" ref="C75">((SUM(IF((CkDJ[Sort Code]=(TRIM(E$5)))*(CkDJ[Account Code]=(TRIM($B75)))*(CkDJ[Date]&lt;=$C$8),CkDJ[Debit])))+(SUM(IF((CsDJ[Sort Code]=(TRIM(E$5)))*(CsDJ[Account Code]=(TRIM($B75)))*(CsDJ[Date]&lt;=$C$8),CsDJ[Debit])))+(SUM(IF((CRDJ[Sort Code]=(TRIM(E$5)))*(CRDJ[Account Code]=(TRIM($B75)))*(CRDJ[Date]&lt;=$C$8),CRDJ[Debit])))+(SUM(IF((GJ[Sort Code]=(TRIM(E$5)))*(GJ[Account Code]=(TRIM($B75)))*(GJ[Date]&lt;=$C$8),GJ[Debit]))))-((SUM(IF((CkDJ[Sort Code]=(TRIM(E$5)))*(CkDJ[Account Code]=(TRIM($B75)))*(CkDJ[Date]&lt;=$C$8),CkDJ[Credit])))+(SUM(IF((CsDJ[Sort Code]=(TRIM(E$5)))*(CsDJ[Account Code]=(TRIM($B75)))*(CsDJ[Date]&lt;=$C$8),CsDJ[Credit])))+(SUM(IF((CRDJ[Sort Code]=(TRIM(E$5)))*(CRDJ[Account Code]=(TRIM($B75)))*(CRDJ[Date]&lt;=$C$8),CRDJ[Credit])))+(SUM(IF((GJ[Sort Code]=(TRIM(E$5)))*(GJ[Account Code]=(TRIM($B75)))*(GJ[Date]&lt;=$C$8),GJ[Credit]))))</f>
        <v>0</v>
      </c>
      <c r="D75" s="466">
        <f t="array" ref="D75">((SUM(IF((CkDJ[Date]=$A$4)*(CkDJ[Sort Code]=(TRIM(E$5)))*(CkDJ[Account Code]=(TRIM($B75))),CkDJ[Debit])))+(SUM(IF((CsDJ[Date]=$A$4)*(CsDJ[Sort Code]=(TRIM(E$5)))*(CsDJ[Account Code]=(TRIM($B75))),CsDJ[Debit])))+(SUM(IF((CRDJ[Date]=$A$4)*(CRDJ[Sort Code]=(TRIM(E$5)))*(CRDJ[Account Code]=(TRIM($B75))),CRDJ[Debit])))+(SUM(IF((GJ[Date]=$A$4)*(GJ[Sort Code]=(TRIM(E$5)))*(GJ[Account Code]=(TRIM($B75))),GJ[Debit]))))-((SUM(IF((CkDJ[Date]=$A$4)*(CkDJ[Sort Code]=(TRIM(E$5)))*(CkDJ[Account Code]=(TRIM($B75))),CkDJ[Credit])))+(SUM(IF((CsDJ[Date]=$A$4)*(CsDJ[Sort Code]=(TRIM(E$5)))*(CsDJ[Account Code]=(TRIM($B75))),CsDJ[Credit])))+(SUM(IF((CRDJ[Date]=$A$4)*(CRDJ[Sort Code]=(TRIM(E$5)))*(CRDJ[Account Code]=(TRIM($B75))),CRDJ[Credit])))+(SUM(IF((GJ[Date]=$A$4)*(GJ[Sort Code]=(TRIM(E$5)))*(GJ[Account Code]=(TRIM($B75))),GJ[Credit]))))</f>
        <v>0</v>
      </c>
      <c r="E75" s="467">
        <f t="shared" ref="E75:E117" si="3">C75+D75</f>
        <v>0</v>
      </c>
    </row>
    <row r="76" spans="1:5" x14ac:dyDescent="0.2">
      <c r="A76" s="476" t="s">
        <v>1477</v>
      </c>
      <c r="B76" s="339" t="s">
        <v>1233</v>
      </c>
      <c r="C76" s="466">
        <f t="array" ref="C76">((SUM(IF((CkDJ[Sort Code]=(TRIM(E$5)))*(CkDJ[Account Code]=(TRIM($B76)))*(CkDJ[Date]&lt;=$C$8),CkDJ[Debit])))+(SUM(IF((CsDJ[Sort Code]=(TRIM(E$5)))*(CsDJ[Account Code]=(TRIM($B76)))*(CsDJ[Date]&lt;=$C$8),CsDJ[Debit])))+(SUM(IF((CRDJ[Sort Code]=(TRIM(E$5)))*(CRDJ[Account Code]=(TRIM($B76)))*(CRDJ[Date]&lt;=$C$8),CRDJ[Debit])))+(SUM(IF((GJ[Sort Code]=(TRIM(E$5)))*(GJ[Account Code]=(TRIM($B76)))*(GJ[Date]&lt;=$C$8),GJ[Debit]))))-((SUM(IF((CkDJ[Sort Code]=(TRIM(E$5)))*(CkDJ[Account Code]=(TRIM($B76)))*(CkDJ[Date]&lt;=$C$8),CkDJ[Credit])))+(SUM(IF((CsDJ[Sort Code]=(TRIM(E$5)))*(CsDJ[Account Code]=(TRIM($B76)))*(CsDJ[Date]&lt;=$C$8),CsDJ[Credit])))+(SUM(IF((CRDJ[Sort Code]=(TRIM(E$5)))*(CRDJ[Account Code]=(TRIM($B76)))*(CRDJ[Date]&lt;=$C$8),CRDJ[Credit])))+(SUM(IF((GJ[Sort Code]=(TRIM(E$5)))*(GJ[Account Code]=(TRIM($B76)))*(GJ[Date]&lt;=$C$8),GJ[Credit]))))</f>
        <v>0</v>
      </c>
      <c r="D76" s="466">
        <f t="array" ref="D76">((SUM(IF((CkDJ[Date]=$A$4)*(CkDJ[Sort Code]=(TRIM(E$5)))*(CkDJ[Account Code]=(TRIM($B76))),CkDJ[Debit])))+(SUM(IF((CsDJ[Date]=$A$4)*(CsDJ[Sort Code]=(TRIM(E$5)))*(CsDJ[Account Code]=(TRIM($B76))),CsDJ[Debit])))+(SUM(IF((CRDJ[Date]=$A$4)*(CRDJ[Sort Code]=(TRIM(E$5)))*(CRDJ[Account Code]=(TRIM($B76))),CRDJ[Debit])))+(SUM(IF((GJ[Date]=$A$4)*(GJ[Sort Code]=(TRIM(E$5)))*(GJ[Account Code]=(TRIM($B76))),GJ[Debit]))))-((SUM(IF((CkDJ[Date]=$A$4)*(CkDJ[Sort Code]=(TRIM(E$5)))*(CkDJ[Account Code]=(TRIM($B76))),CkDJ[Credit])))+(SUM(IF((CsDJ[Date]=$A$4)*(CsDJ[Sort Code]=(TRIM(E$5)))*(CsDJ[Account Code]=(TRIM($B76))),CsDJ[Credit])))+(SUM(IF((CRDJ[Date]=$A$4)*(CRDJ[Sort Code]=(TRIM(E$5)))*(CRDJ[Account Code]=(TRIM($B76))),CRDJ[Credit])))+(SUM(IF((GJ[Date]=$A$4)*(GJ[Sort Code]=(TRIM(E$5)))*(GJ[Account Code]=(TRIM($B76))),GJ[Credit]))))</f>
        <v>0</v>
      </c>
      <c r="E76" s="467">
        <f>C76+D76</f>
        <v>0</v>
      </c>
    </row>
    <row r="77" spans="1:5" x14ac:dyDescent="0.2">
      <c r="A77" s="476" t="s">
        <v>285</v>
      </c>
      <c r="B77" s="339" t="s">
        <v>224</v>
      </c>
      <c r="C77" s="466">
        <f t="array" ref="C77">((SUM(IF((CkDJ[Sort Code]=(TRIM(E$5)))*(CkDJ[Account Code]=(TRIM($B77)))*(CkDJ[Date]&lt;=$C$8),CkDJ[Debit])))+(SUM(IF((CsDJ[Sort Code]=(TRIM(E$5)))*(CsDJ[Account Code]=(TRIM($B77)))*(CsDJ[Date]&lt;=$C$8),CsDJ[Debit])))+(SUM(IF((CRDJ[Sort Code]=(TRIM(E$5)))*(CRDJ[Account Code]=(TRIM($B77)))*(CRDJ[Date]&lt;=$C$8),CRDJ[Debit])))+(SUM(IF((GJ[Sort Code]=(TRIM(E$5)))*(GJ[Account Code]=(TRIM($B77)))*(GJ[Date]&lt;=$C$8),GJ[Debit]))))-((SUM(IF((CkDJ[Sort Code]=(TRIM(E$5)))*(CkDJ[Account Code]=(TRIM($B77)))*(CkDJ[Date]&lt;=$C$8),CkDJ[Credit])))+(SUM(IF((CsDJ[Sort Code]=(TRIM(E$5)))*(CsDJ[Account Code]=(TRIM($B77)))*(CsDJ[Date]&lt;=$C$8),CsDJ[Credit])))+(SUM(IF((CRDJ[Sort Code]=(TRIM(E$5)))*(CRDJ[Account Code]=(TRIM($B77)))*(CRDJ[Date]&lt;=$C$8),CRDJ[Credit])))+(SUM(IF((GJ[Sort Code]=(TRIM(E$5)))*(GJ[Account Code]=(TRIM($B77)))*(GJ[Date]&lt;=$C$8),GJ[Credit]))))</f>
        <v>0</v>
      </c>
      <c r="D77" s="466">
        <f t="array" ref="D77">((SUM(IF((CkDJ[Date]=$A$4)*(CkDJ[Sort Code]=(TRIM(E$5)))*(CkDJ[Account Code]=(TRIM($B77))),CkDJ[Debit])))+(SUM(IF((CsDJ[Date]=$A$4)*(CsDJ[Sort Code]=(TRIM(E$5)))*(CsDJ[Account Code]=(TRIM($B77))),CsDJ[Debit])))+(SUM(IF((CRDJ[Date]=$A$4)*(CRDJ[Sort Code]=(TRIM(E$5)))*(CRDJ[Account Code]=(TRIM($B77))),CRDJ[Debit])))+(SUM(IF((GJ[Date]=$A$4)*(GJ[Sort Code]=(TRIM(E$5)))*(GJ[Account Code]=(TRIM($B77))),GJ[Debit]))))-((SUM(IF((CkDJ[Date]=$A$4)*(CkDJ[Sort Code]=(TRIM(E$5)))*(CkDJ[Account Code]=(TRIM($B77))),CkDJ[Credit])))+(SUM(IF((CsDJ[Date]=$A$4)*(CsDJ[Sort Code]=(TRIM(E$5)))*(CsDJ[Account Code]=(TRIM($B77))),CsDJ[Credit])))+(SUM(IF((CRDJ[Date]=$A$4)*(CRDJ[Sort Code]=(TRIM(E$5)))*(CRDJ[Account Code]=(TRIM($B77))),CRDJ[Credit])))+(SUM(IF((GJ[Date]=$A$4)*(GJ[Sort Code]=(TRIM(E$5)))*(GJ[Account Code]=(TRIM($B77))),GJ[Credit]))))</f>
        <v>0</v>
      </c>
      <c r="E77" s="467">
        <f t="shared" si="3"/>
        <v>0</v>
      </c>
    </row>
    <row r="78" spans="1:5" x14ac:dyDescent="0.2">
      <c r="A78" s="476" t="s">
        <v>286</v>
      </c>
      <c r="B78" s="339" t="s">
        <v>225</v>
      </c>
      <c r="C78" s="466">
        <f t="array" ref="C78">((SUM(IF((CkDJ[Sort Code]=(TRIM(E$5)))*(CkDJ[Account Code]=(TRIM($B78)))*(CkDJ[Date]&lt;=$C$8),CkDJ[Debit])))+(SUM(IF((CsDJ[Sort Code]=(TRIM(E$5)))*(CsDJ[Account Code]=(TRIM($B78)))*(CsDJ[Date]&lt;=$C$8),CsDJ[Debit])))+(SUM(IF((CRDJ[Sort Code]=(TRIM(E$5)))*(CRDJ[Account Code]=(TRIM($B78)))*(CRDJ[Date]&lt;=$C$8),CRDJ[Debit])))+(SUM(IF((GJ[Sort Code]=(TRIM(E$5)))*(GJ[Account Code]=(TRIM($B78)))*(GJ[Date]&lt;=$C$8),GJ[Debit]))))-((SUM(IF((CkDJ[Sort Code]=(TRIM(E$5)))*(CkDJ[Account Code]=(TRIM($B78)))*(CkDJ[Date]&lt;=$C$8),CkDJ[Credit])))+(SUM(IF((CsDJ[Sort Code]=(TRIM(E$5)))*(CsDJ[Account Code]=(TRIM($B78)))*(CsDJ[Date]&lt;=$C$8),CsDJ[Credit])))+(SUM(IF((CRDJ[Sort Code]=(TRIM(E$5)))*(CRDJ[Account Code]=(TRIM($B78)))*(CRDJ[Date]&lt;=$C$8),CRDJ[Credit])))+(SUM(IF((GJ[Sort Code]=(TRIM(E$5)))*(GJ[Account Code]=(TRIM($B78)))*(GJ[Date]&lt;=$C$8),GJ[Credit]))))</f>
        <v>0</v>
      </c>
      <c r="D78" s="466">
        <f t="array" ref="D78">((SUM(IF((CkDJ[Date]=$A$4)*(CkDJ[Sort Code]=(TRIM(E$5)))*(CkDJ[Account Code]=(TRIM($B78))),CkDJ[Debit])))+(SUM(IF((CsDJ[Date]=$A$4)*(CsDJ[Sort Code]=(TRIM(E$5)))*(CsDJ[Account Code]=(TRIM($B78))),CsDJ[Debit])))+(SUM(IF((CRDJ[Date]=$A$4)*(CRDJ[Sort Code]=(TRIM(E$5)))*(CRDJ[Account Code]=(TRIM($B78))),CRDJ[Debit])))+(SUM(IF((GJ[Date]=$A$4)*(GJ[Sort Code]=(TRIM(E$5)))*(GJ[Account Code]=(TRIM($B78))),GJ[Debit]))))-((SUM(IF((CkDJ[Date]=$A$4)*(CkDJ[Sort Code]=(TRIM(E$5)))*(CkDJ[Account Code]=(TRIM($B78))),CkDJ[Credit])))+(SUM(IF((CsDJ[Date]=$A$4)*(CsDJ[Sort Code]=(TRIM(E$5)))*(CsDJ[Account Code]=(TRIM($B78))),CsDJ[Credit])))+(SUM(IF((CRDJ[Date]=$A$4)*(CRDJ[Sort Code]=(TRIM(E$5)))*(CRDJ[Account Code]=(TRIM($B78))),CRDJ[Credit])))+(SUM(IF((GJ[Date]=$A$4)*(GJ[Sort Code]=(TRIM(E$5)))*(GJ[Account Code]=(TRIM($B78))),GJ[Credit]))))</f>
        <v>0</v>
      </c>
      <c r="E78" s="467">
        <f t="shared" si="3"/>
        <v>0</v>
      </c>
    </row>
    <row r="79" spans="1:5" x14ac:dyDescent="0.2">
      <c r="A79" s="476" t="s">
        <v>287</v>
      </c>
      <c r="B79" s="339" t="s">
        <v>226</v>
      </c>
      <c r="C79" s="466">
        <f t="array" ref="C79">((SUM(IF((CkDJ[Sort Code]=(TRIM(E$5)))*(CkDJ[Account Code]=(TRIM($B79)))*(CkDJ[Date]&lt;=$C$8),CkDJ[Debit])))+(SUM(IF((CsDJ[Sort Code]=(TRIM(E$5)))*(CsDJ[Account Code]=(TRIM($B79)))*(CsDJ[Date]&lt;=$C$8),CsDJ[Debit])))+(SUM(IF((CRDJ[Sort Code]=(TRIM(E$5)))*(CRDJ[Account Code]=(TRIM($B79)))*(CRDJ[Date]&lt;=$C$8),CRDJ[Debit])))+(SUM(IF((GJ[Sort Code]=(TRIM(E$5)))*(GJ[Account Code]=(TRIM($B79)))*(GJ[Date]&lt;=$C$8),GJ[Debit]))))-((SUM(IF((CkDJ[Sort Code]=(TRIM(E$5)))*(CkDJ[Account Code]=(TRIM($B79)))*(CkDJ[Date]&lt;=$C$8),CkDJ[Credit])))+(SUM(IF((CsDJ[Sort Code]=(TRIM(E$5)))*(CsDJ[Account Code]=(TRIM($B79)))*(CsDJ[Date]&lt;=$C$8),CsDJ[Credit])))+(SUM(IF((CRDJ[Sort Code]=(TRIM(E$5)))*(CRDJ[Account Code]=(TRIM($B79)))*(CRDJ[Date]&lt;=$C$8),CRDJ[Credit])))+(SUM(IF((GJ[Sort Code]=(TRIM(E$5)))*(GJ[Account Code]=(TRIM($B79)))*(GJ[Date]&lt;=$C$8),GJ[Credit]))))</f>
        <v>0</v>
      </c>
      <c r="D79" s="466">
        <f t="array" ref="D79">((SUM(IF((CkDJ[Date]=$A$4)*(CkDJ[Sort Code]=(TRIM(E$5)))*(CkDJ[Account Code]=(TRIM($B79))),CkDJ[Debit])))+(SUM(IF((CsDJ[Date]=$A$4)*(CsDJ[Sort Code]=(TRIM(E$5)))*(CsDJ[Account Code]=(TRIM($B79))),CsDJ[Debit])))+(SUM(IF((CRDJ[Date]=$A$4)*(CRDJ[Sort Code]=(TRIM(E$5)))*(CRDJ[Account Code]=(TRIM($B79))),CRDJ[Debit])))+(SUM(IF((GJ[Date]=$A$4)*(GJ[Sort Code]=(TRIM(E$5)))*(GJ[Account Code]=(TRIM($B79))),GJ[Debit]))))-((SUM(IF((CkDJ[Date]=$A$4)*(CkDJ[Sort Code]=(TRIM(E$5)))*(CkDJ[Account Code]=(TRIM($B79))),CkDJ[Credit])))+(SUM(IF((CsDJ[Date]=$A$4)*(CsDJ[Sort Code]=(TRIM(E$5)))*(CsDJ[Account Code]=(TRIM($B79))),CsDJ[Credit])))+(SUM(IF((CRDJ[Date]=$A$4)*(CRDJ[Sort Code]=(TRIM(E$5)))*(CRDJ[Account Code]=(TRIM($B79))),CRDJ[Credit])))+(SUM(IF((GJ[Date]=$A$4)*(GJ[Sort Code]=(TRIM(E$5)))*(GJ[Account Code]=(TRIM($B79))),GJ[Credit]))))</f>
        <v>0</v>
      </c>
      <c r="E79" s="467">
        <f t="shared" si="3"/>
        <v>0</v>
      </c>
    </row>
    <row r="80" spans="1:5" x14ac:dyDescent="0.2">
      <c r="A80" s="476" t="s">
        <v>1017</v>
      </c>
      <c r="B80" s="339" t="s">
        <v>227</v>
      </c>
      <c r="C80" s="466">
        <f t="array" ref="C80">((SUM(IF((CkDJ[Sort Code]=(TRIM(E$5)))*(CkDJ[Account Code]=(TRIM($B80)))*(CkDJ[Date]&lt;=$C$8),CkDJ[Debit])))+(SUM(IF((CsDJ[Sort Code]=(TRIM(E$5)))*(CsDJ[Account Code]=(TRIM($B80)))*(CsDJ[Date]&lt;=$C$8),CsDJ[Debit])))+(SUM(IF((CRDJ[Sort Code]=(TRIM(E$5)))*(CRDJ[Account Code]=(TRIM($B80)))*(CRDJ[Date]&lt;=$C$8),CRDJ[Debit])))+(SUM(IF((GJ[Sort Code]=(TRIM(E$5)))*(GJ[Account Code]=(TRIM($B80)))*(GJ[Date]&lt;=$C$8),GJ[Debit]))))-((SUM(IF((CkDJ[Sort Code]=(TRIM(E$5)))*(CkDJ[Account Code]=(TRIM($B80)))*(CkDJ[Date]&lt;=$C$8),CkDJ[Credit])))+(SUM(IF((CsDJ[Sort Code]=(TRIM(E$5)))*(CsDJ[Account Code]=(TRIM($B80)))*(CsDJ[Date]&lt;=$C$8),CsDJ[Credit])))+(SUM(IF((CRDJ[Sort Code]=(TRIM(E$5)))*(CRDJ[Account Code]=(TRIM($B80)))*(CRDJ[Date]&lt;=$C$8),CRDJ[Credit])))+(SUM(IF((GJ[Sort Code]=(TRIM(E$5)))*(GJ[Account Code]=(TRIM($B80)))*(GJ[Date]&lt;=$C$8),GJ[Credit]))))</f>
        <v>0</v>
      </c>
      <c r="D80" s="466">
        <f t="array" ref="D80">((SUM(IF((CkDJ[Date]=$A$4)*(CkDJ[Sort Code]=(TRIM(E$5)))*(CkDJ[Account Code]=(TRIM($B80))),CkDJ[Debit])))+(SUM(IF((CsDJ[Date]=$A$4)*(CsDJ[Sort Code]=(TRIM(E$5)))*(CsDJ[Account Code]=(TRIM($B80))),CsDJ[Debit])))+(SUM(IF((CRDJ[Date]=$A$4)*(CRDJ[Sort Code]=(TRIM(E$5)))*(CRDJ[Account Code]=(TRIM($B80))),CRDJ[Debit])))+(SUM(IF((GJ[Date]=$A$4)*(GJ[Sort Code]=(TRIM(E$5)))*(GJ[Account Code]=(TRIM($B80))),GJ[Debit]))))-((SUM(IF((CkDJ[Date]=$A$4)*(CkDJ[Sort Code]=(TRIM(E$5)))*(CkDJ[Account Code]=(TRIM($B80))),CkDJ[Credit])))+(SUM(IF((CsDJ[Date]=$A$4)*(CsDJ[Sort Code]=(TRIM(E$5)))*(CsDJ[Account Code]=(TRIM($B80))),CsDJ[Credit])))+(SUM(IF((CRDJ[Date]=$A$4)*(CRDJ[Sort Code]=(TRIM(E$5)))*(CRDJ[Account Code]=(TRIM($B80))),CRDJ[Credit])))+(SUM(IF((GJ[Date]=$A$4)*(GJ[Sort Code]=(TRIM(E$5)))*(GJ[Account Code]=(TRIM($B80))),GJ[Credit]))))</f>
        <v>0</v>
      </c>
      <c r="E80" s="467">
        <f t="shared" si="3"/>
        <v>0</v>
      </c>
    </row>
    <row r="81" spans="1:5" x14ac:dyDescent="0.2">
      <c r="A81" s="476" t="s">
        <v>1018</v>
      </c>
      <c r="B81" s="339" t="s">
        <v>228</v>
      </c>
      <c r="C81" s="466">
        <f t="array" ref="C81">((SUM(IF((CkDJ[Sort Code]=(TRIM(E$5)))*(CkDJ[Account Code]=(TRIM($B81)))*(CkDJ[Date]&lt;=$C$8),CkDJ[Debit])))+(SUM(IF((CsDJ[Sort Code]=(TRIM(E$5)))*(CsDJ[Account Code]=(TRIM($B81)))*(CsDJ[Date]&lt;=$C$8),CsDJ[Debit])))+(SUM(IF((CRDJ[Sort Code]=(TRIM(E$5)))*(CRDJ[Account Code]=(TRIM($B81)))*(CRDJ[Date]&lt;=$C$8),CRDJ[Debit])))+(SUM(IF((GJ[Sort Code]=(TRIM(E$5)))*(GJ[Account Code]=(TRIM($B81)))*(GJ[Date]&lt;=$C$8),GJ[Debit]))))-((SUM(IF((CkDJ[Sort Code]=(TRIM(E$5)))*(CkDJ[Account Code]=(TRIM($B81)))*(CkDJ[Date]&lt;=$C$8),CkDJ[Credit])))+(SUM(IF((CsDJ[Sort Code]=(TRIM(E$5)))*(CsDJ[Account Code]=(TRIM($B81)))*(CsDJ[Date]&lt;=$C$8),CsDJ[Credit])))+(SUM(IF((CRDJ[Sort Code]=(TRIM(E$5)))*(CRDJ[Account Code]=(TRIM($B81)))*(CRDJ[Date]&lt;=$C$8),CRDJ[Credit])))+(SUM(IF((GJ[Sort Code]=(TRIM(E$5)))*(GJ[Account Code]=(TRIM($B81)))*(GJ[Date]&lt;=$C$8),GJ[Credit]))))</f>
        <v>0</v>
      </c>
      <c r="D81" s="466">
        <f t="array" ref="D81">((SUM(IF((CkDJ[Date]=$A$4)*(CkDJ[Sort Code]=(TRIM(E$5)))*(CkDJ[Account Code]=(TRIM($B81))),CkDJ[Debit])))+(SUM(IF((CsDJ[Date]=$A$4)*(CsDJ[Sort Code]=(TRIM(E$5)))*(CsDJ[Account Code]=(TRIM($B81))),CsDJ[Debit])))+(SUM(IF((CRDJ[Date]=$A$4)*(CRDJ[Sort Code]=(TRIM(E$5)))*(CRDJ[Account Code]=(TRIM($B81))),CRDJ[Debit])))+(SUM(IF((GJ[Date]=$A$4)*(GJ[Sort Code]=(TRIM(E$5)))*(GJ[Account Code]=(TRIM($B81))),GJ[Debit]))))-((SUM(IF((CkDJ[Date]=$A$4)*(CkDJ[Sort Code]=(TRIM(E$5)))*(CkDJ[Account Code]=(TRIM($B81))),CkDJ[Credit])))+(SUM(IF((CsDJ[Date]=$A$4)*(CsDJ[Sort Code]=(TRIM(E$5)))*(CsDJ[Account Code]=(TRIM($B81))),CsDJ[Credit])))+(SUM(IF((CRDJ[Date]=$A$4)*(CRDJ[Sort Code]=(TRIM(E$5)))*(CRDJ[Account Code]=(TRIM($B81))),CRDJ[Credit])))+(SUM(IF((GJ[Date]=$A$4)*(GJ[Sort Code]=(TRIM(E$5)))*(GJ[Account Code]=(TRIM($B81))),GJ[Credit]))))</f>
        <v>0</v>
      </c>
      <c r="E81" s="467">
        <f t="shared" si="3"/>
        <v>0</v>
      </c>
    </row>
    <row r="82" spans="1:5" x14ac:dyDescent="0.2">
      <c r="A82" s="476" t="s">
        <v>289</v>
      </c>
      <c r="B82" s="339" t="s">
        <v>229</v>
      </c>
      <c r="C82" s="466">
        <f t="array" ref="C82">((SUM(IF((CkDJ[Sort Code]=(TRIM(E$5)))*(CkDJ[Account Code]=(TRIM($B82)))*(CkDJ[Date]&lt;=$C$8),CkDJ[Debit])))+(SUM(IF((CsDJ[Sort Code]=(TRIM(E$5)))*(CsDJ[Account Code]=(TRIM($B82)))*(CsDJ[Date]&lt;=$C$8),CsDJ[Debit])))+(SUM(IF((CRDJ[Sort Code]=(TRIM(E$5)))*(CRDJ[Account Code]=(TRIM($B82)))*(CRDJ[Date]&lt;=$C$8),CRDJ[Debit])))+(SUM(IF((GJ[Sort Code]=(TRIM(E$5)))*(GJ[Account Code]=(TRIM($B82)))*(GJ[Date]&lt;=$C$8),GJ[Debit]))))-((SUM(IF((CkDJ[Sort Code]=(TRIM(E$5)))*(CkDJ[Account Code]=(TRIM($B82)))*(CkDJ[Date]&lt;=$C$8),CkDJ[Credit])))+(SUM(IF((CsDJ[Sort Code]=(TRIM(E$5)))*(CsDJ[Account Code]=(TRIM($B82)))*(CsDJ[Date]&lt;=$C$8),CsDJ[Credit])))+(SUM(IF((CRDJ[Sort Code]=(TRIM(E$5)))*(CRDJ[Account Code]=(TRIM($B82)))*(CRDJ[Date]&lt;=$C$8),CRDJ[Credit])))+(SUM(IF((GJ[Sort Code]=(TRIM(E$5)))*(GJ[Account Code]=(TRIM($B82)))*(GJ[Date]&lt;=$C$8),GJ[Credit]))))</f>
        <v>0</v>
      </c>
      <c r="D82" s="466">
        <f t="array" ref="D82">((SUM(IF((CkDJ[Date]=$A$4)*(CkDJ[Sort Code]=(TRIM(E$5)))*(CkDJ[Account Code]=(TRIM($B82))),CkDJ[Debit])))+(SUM(IF((CsDJ[Date]=$A$4)*(CsDJ[Sort Code]=(TRIM(E$5)))*(CsDJ[Account Code]=(TRIM($B82))),CsDJ[Debit])))+(SUM(IF((CRDJ[Date]=$A$4)*(CRDJ[Sort Code]=(TRIM(E$5)))*(CRDJ[Account Code]=(TRIM($B82))),CRDJ[Debit])))+(SUM(IF((GJ[Date]=$A$4)*(GJ[Sort Code]=(TRIM(E$5)))*(GJ[Account Code]=(TRIM($B82))),GJ[Debit]))))-((SUM(IF((CkDJ[Date]=$A$4)*(CkDJ[Sort Code]=(TRIM(E$5)))*(CkDJ[Account Code]=(TRIM($B82))),CkDJ[Credit])))+(SUM(IF((CsDJ[Date]=$A$4)*(CsDJ[Sort Code]=(TRIM(E$5)))*(CsDJ[Account Code]=(TRIM($B82))),CsDJ[Credit])))+(SUM(IF((CRDJ[Date]=$A$4)*(CRDJ[Sort Code]=(TRIM(E$5)))*(CRDJ[Account Code]=(TRIM($B82))),CRDJ[Credit])))+(SUM(IF((GJ[Date]=$A$4)*(GJ[Sort Code]=(TRIM(E$5)))*(GJ[Account Code]=(TRIM($B82))),GJ[Credit]))))</f>
        <v>0</v>
      </c>
      <c r="E82" s="467">
        <f t="shared" si="3"/>
        <v>0</v>
      </c>
    </row>
    <row r="83" spans="1:5" x14ac:dyDescent="0.2">
      <c r="A83" s="476" t="s">
        <v>290</v>
      </c>
      <c r="B83" s="339" t="s">
        <v>230</v>
      </c>
      <c r="C83" s="466">
        <f t="array" ref="C83">((SUM(IF((CkDJ[Sort Code]=(TRIM(E$5)))*(CkDJ[Account Code]=(TRIM($B83)))*(CkDJ[Date]&lt;=$C$8),CkDJ[Debit])))+(SUM(IF((CsDJ[Sort Code]=(TRIM(E$5)))*(CsDJ[Account Code]=(TRIM($B83)))*(CsDJ[Date]&lt;=$C$8),CsDJ[Debit])))+(SUM(IF((CRDJ[Sort Code]=(TRIM(E$5)))*(CRDJ[Account Code]=(TRIM($B83)))*(CRDJ[Date]&lt;=$C$8),CRDJ[Debit])))+(SUM(IF((GJ[Sort Code]=(TRIM(E$5)))*(GJ[Account Code]=(TRIM($B83)))*(GJ[Date]&lt;=$C$8),GJ[Debit]))))-((SUM(IF((CkDJ[Sort Code]=(TRIM(E$5)))*(CkDJ[Account Code]=(TRIM($B83)))*(CkDJ[Date]&lt;=$C$8),CkDJ[Credit])))+(SUM(IF((CsDJ[Sort Code]=(TRIM(E$5)))*(CsDJ[Account Code]=(TRIM($B83)))*(CsDJ[Date]&lt;=$C$8),CsDJ[Credit])))+(SUM(IF((CRDJ[Sort Code]=(TRIM(E$5)))*(CRDJ[Account Code]=(TRIM($B83)))*(CRDJ[Date]&lt;=$C$8),CRDJ[Credit])))+(SUM(IF((GJ[Sort Code]=(TRIM(E$5)))*(GJ[Account Code]=(TRIM($B83)))*(GJ[Date]&lt;=$C$8),GJ[Credit]))))</f>
        <v>0</v>
      </c>
      <c r="D83" s="466">
        <f t="array" ref="D83">((SUM(IF((CkDJ[Date]=$A$4)*(CkDJ[Sort Code]=(TRIM(E$5)))*(CkDJ[Account Code]=(TRIM($B83))),CkDJ[Debit])))+(SUM(IF((CsDJ[Date]=$A$4)*(CsDJ[Sort Code]=(TRIM(E$5)))*(CsDJ[Account Code]=(TRIM($B83))),CsDJ[Debit])))+(SUM(IF((CRDJ[Date]=$A$4)*(CRDJ[Sort Code]=(TRIM(E$5)))*(CRDJ[Account Code]=(TRIM($B83))),CRDJ[Debit])))+(SUM(IF((GJ[Date]=$A$4)*(GJ[Sort Code]=(TRIM(E$5)))*(GJ[Account Code]=(TRIM($B83))),GJ[Debit]))))-((SUM(IF((CkDJ[Date]=$A$4)*(CkDJ[Sort Code]=(TRIM(E$5)))*(CkDJ[Account Code]=(TRIM($B83))),CkDJ[Credit])))+(SUM(IF((CsDJ[Date]=$A$4)*(CsDJ[Sort Code]=(TRIM(E$5)))*(CsDJ[Account Code]=(TRIM($B83))),CsDJ[Credit])))+(SUM(IF((CRDJ[Date]=$A$4)*(CRDJ[Sort Code]=(TRIM(E$5)))*(CRDJ[Account Code]=(TRIM($B83))),CRDJ[Credit])))+(SUM(IF((GJ[Date]=$A$4)*(GJ[Sort Code]=(TRIM(E$5)))*(GJ[Account Code]=(TRIM($B83))),GJ[Credit]))))</f>
        <v>0</v>
      </c>
      <c r="E83" s="467">
        <f t="shared" si="3"/>
        <v>0</v>
      </c>
    </row>
    <row r="84" spans="1:5" x14ac:dyDescent="0.2">
      <c r="A84" s="476" t="s">
        <v>291</v>
      </c>
      <c r="B84" s="339" t="s">
        <v>231</v>
      </c>
      <c r="C84" s="466">
        <f t="array" ref="C84">((SUM(IF((CkDJ[Sort Code]=(TRIM(E$5)))*(CkDJ[Account Code]=(TRIM($B84)))*(CkDJ[Date]&lt;=$C$8),CkDJ[Debit])))+(SUM(IF((CsDJ[Sort Code]=(TRIM(E$5)))*(CsDJ[Account Code]=(TRIM($B84)))*(CsDJ[Date]&lt;=$C$8),CsDJ[Debit])))+(SUM(IF((CRDJ[Sort Code]=(TRIM(E$5)))*(CRDJ[Account Code]=(TRIM($B84)))*(CRDJ[Date]&lt;=$C$8),CRDJ[Debit])))+(SUM(IF((GJ[Sort Code]=(TRIM(E$5)))*(GJ[Account Code]=(TRIM($B84)))*(GJ[Date]&lt;=$C$8),GJ[Debit]))))-((SUM(IF((CkDJ[Sort Code]=(TRIM(E$5)))*(CkDJ[Account Code]=(TRIM($B84)))*(CkDJ[Date]&lt;=$C$8),CkDJ[Credit])))+(SUM(IF((CsDJ[Sort Code]=(TRIM(E$5)))*(CsDJ[Account Code]=(TRIM($B84)))*(CsDJ[Date]&lt;=$C$8),CsDJ[Credit])))+(SUM(IF((CRDJ[Sort Code]=(TRIM(E$5)))*(CRDJ[Account Code]=(TRIM($B84)))*(CRDJ[Date]&lt;=$C$8),CRDJ[Credit])))+(SUM(IF((GJ[Sort Code]=(TRIM(E$5)))*(GJ[Account Code]=(TRIM($B84)))*(GJ[Date]&lt;=$C$8),GJ[Credit]))))</f>
        <v>0</v>
      </c>
      <c r="D84" s="466">
        <f t="array" ref="D84">((SUM(IF((CkDJ[Date]=$A$4)*(CkDJ[Sort Code]=(TRIM(E$5)))*(CkDJ[Account Code]=(TRIM($B84))),CkDJ[Debit])))+(SUM(IF((CsDJ[Date]=$A$4)*(CsDJ[Sort Code]=(TRIM(E$5)))*(CsDJ[Account Code]=(TRIM($B84))),CsDJ[Debit])))+(SUM(IF((CRDJ[Date]=$A$4)*(CRDJ[Sort Code]=(TRIM(E$5)))*(CRDJ[Account Code]=(TRIM($B84))),CRDJ[Debit])))+(SUM(IF((GJ[Date]=$A$4)*(GJ[Sort Code]=(TRIM(E$5)))*(GJ[Account Code]=(TRIM($B84))),GJ[Debit]))))-((SUM(IF((CkDJ[Date]=$A$4)*(CkDJ[Sort Code]=(TRIM(E$5)))*(CkDJ[Account Code]=(TRIM($B84))),CkDJ[Credit])))+(SUM(IF((CsDJ[Date]=$A$4)*(CsDJ[Sort Code]=(TRIM(E$5)))*(CsDJ[Account Code]=(TRIM($B84))),CsDJ[Credit])))+(SUM(IF((CRDJ[Date]=$A$4)*(CRDJ[Sort Code]=(TRIM(E$5)))*(CRDJ[Account Code]=(TRIM($B84))),CRDJ[Credit])))+(SUM(IF((GJ[Date]=$A$4)*(GJ[Sort Code]=(TRIM(E$5)))*(GJ[Account Code]=(TRIM($B84))),GJ[Credit]))))</f>
        <v>0</v>
      </c>
      <c r="E84" s="467">
        <f t="shared" si="3"/>
        <v>0</v>
      </c>
    </row>
    <row r="85" spans="1:5" x14ac:dyDescent="0.2">
      <c r="A85" s="476" t="s">
        <v>292</v>
      </c>
      <c r="B85" s="339" t="s">
        <v>232</v>
      </c>
      <c r="C85" s="466">
        <f t="array" ref="C85">((SUM(IF((CkDJ[Sort Code]=(TRIM(E$5)))*(CkDJ[Account Code]=(TRIM($B85)))*(CkDJ[Date]&lt;=$C$8),CkDJ[Debit])))+(SUM(IF((CsDJ[Sort Code]=(TRIM(E$5)))*(CsDJ[Account Code]=(TRIM($B85)))*(CsDJ[Date]&lt;=$C$8),CsDJ[Debit])))+(SUM(IF((CRDJ[Sort Code]=(TRIM(E$5)))*(CRDJ[Account Code]=(TRIM($B85)))*(CRDJ[Date]&lt;=$C$8),CRDJ[Debit])))+(SUM(IF((GJ[Sort Code]=(TRIM(E$5)))*(GJ[Account Code]=(TRIM($B85)))*(GJ[Date]&lt;=$C$8),GJ[Debit]))))-((SUM(IF((CkDJ[Sort Code]=(TRIM(E$5)))*(CkDJ[Account Code]=(TRIM($B85)))*(CkDJ[Date]&lt;=$C$8),CkDJ[Credit])))+(SUM(IF((CsDJ[Sort Code]=(TRIM(E$5)))*(CsDJ[Account Code]=(TRIM($B85)))*(CsDJ[Date]&lt;=$C$8),CsDJ[Credit])))+(SUM(IF((CRDJ[Sort Code]=(TRIM(E$5)))*(CRDJ[Account Code]=(TRIM($B85)))*(CRDJ[Date]&lt;=$C$8),CRDJ[Credit])))+(SUM(IF((GJ[Sort Code]=(TRIM(E$5)))*(GJ[Account Code]=(TRIM($B85)))*(GJ[Date]&lt;=$C$8),GJ[Credit]))))</f>
        <v>0</v>
      </c>
      <c r="D85" s="466">
        <f t="array" ref="D85">((SUM(IF((CkDJ[Date]=$A$4)*(CkDJ[Sort Code]=(TRIM(E$5)))*(CkDJ[Account Code]=(TRIM($B85))),CkDJ[Debit])))+(SUM(IF((CsDJ[Date]=$A$4)*(CsDJ[Sort Code]=(TRIM(E$5)))*(CsDJ[Account Code]=(TRIM($B85))),CsDJ[Debit])))+(SUM(IF((CRDJ[Date]=$A$4)*(CRDJ[Sort Code]=(TRIM(E$5)))*(CRDJ[Account Code]=(TRIM($B85))),CRDJ[Debit])))+(SUM(IF((GJ[Date]=$A$4)*(GJ[Sort Code]=(TRIM(E$5)))*(GJ[Account Code]=(TRIM($B85))),GJ[Debit]))))-((SUM(IF((CkDJ[Date]=$A$4)*(CkDJ[Sort Code]=(TRIM(E$5)))*(CkDJ[Account Code]=(TRIM($B85))),CkDJ[Credit])))+(SUM(IF((CsDJ[Date]=$A$4)*(CsDJ[Sort Code]=(TRIM(E$5)))*(CsDJ[Account Code]=(TRIM($B85))),CsDJ[Credit])))+(SUM(IF((CRDJ[Date]=$A$4)*(CRDJ[Sort Code]=(TRIM(E$5)))*(CRDJ[Account Code]=(TRIM($B85))),CRDJ[Credit])))+(SUM(IF((GJ[Date]=$A$4)*(GJ[Sort Code]=(TRIM(E$5)))*(GJ[Account Code]=(TRIM($B85))),GJ[Credit]))))</f>
        <v>0</v>
      </c>
      <c r="E85" s="467">
        <f t="shared" si="3"/>
        <v>0</v>
      </c>
    </row>
    <row r="86" spans="1:5" x14ac:dyDescent="0.2">
      <c r="A86" s="476" t="s">
        <v>293</v>
      </c>
      <c r="B86" s="339" t="s">
        <v>233</v>
      </c>
      <c r="C86" s="466">
        <f t="array" ref="C86">((SUM(IF((CkDJ[Sort Code]=(TRIM(E$5)))*(CkDJ[Account Code]=(TRIM($B86)))*(CkDJ[Date]&lt;=$C$8),CkDJ[Debit])))+(SUM(IF((CsDJ[Sort Code]=(TRIM(E$5)))*(CsDJ[Account Code]=(TRIM($B86)))*(CsDJ[Date]&lt;=$C$8),CsDJ[Debit])))+(SUM(IF((CRDJ[Sort Code]=(TRIM(E$5)))*(CRDJ[Account Code]=(TRIM($B86)))*(CRDJ[Date]&lt;=$C$8),CRDJ[Debit])))+(SUM(IF((GJ[Sort Code]=(TRIM(E$5)))*(GJ[Account Code]=(TRIM($B86)))*(GJ[Date]&lt;=$C$8),GJ[Debit]))))-((SUM(IF((CkDJ[Sort Code]=(TRIM(E$5)))*(CkDJ[Account Code]=(TRIM($B86)))*(CkDJ[Date]&lt;=$C$8),CkDJ[Credit])))+(SUM(IF((CsDJ[Sort Code]=(TRIM(E$5)))*(CsDJ[Account Code]=(TRIM($B86)))*(CsDJ[Date]&lt;=$C$8),CsDJ[Credit])))+(SUM(IF((CRDJ[Sort Code]=(TRIM(E$5)))*(CRDJ[Account Code]=(TRIM($B86)))*(CRDJ[Date]&lt;=$C$8),CRDJ[Credit])))+(SUM(IF((GJ[Sort Code]=(TRIM(E$5)))*(GJ[Account Code]=(TRIM($B86)))*(GJ[Date]&lt;=$C$8),GJ[Credit]))))</f>
        <v>0</v>
      </c>
      <c r="D86" s="466">
        <f t="array" ref="D86">((SUM(IF((CkDJ[Date]=$A$4)*(CkDJ[Sort Code]=(TRIM(E$5)))*(CkDJ[Account Code]=(TRIM($B86))),CkDJ[Debit])))+(SUM(IF((CsDJ[Date]=$A$4)*(CsDJ[Sort Code]=(TRIM(E$5)))*(CsDJ[Account Code]=(TRIM($B86))),CsDJ[Debit])))+(SUM(IF((CRDJ[Date]=$A$4)*(CRDJ[Sort Code]=(TRIM(E$5)))*(CRDJ[Account Code]=(TRIM($B86))),CRDJ[Debit])))+(SUM(IF((GJ[Date]=$A$4)*(GJ[Sort Code]=(TRIM(E$5)))*(GJ[Account Code]=(TRIM($B86))),GJ[Debit]))))-((SUM(IF((CkDJ[Date]=$A$4)*(CkDJ[Sort Code]=(TRIM(E$5)))*(CkDJ[Account Code]=(TRIM($B86))),CkDJ[Credit])))+(SUM(IF((CsDJ[Date]=$A$4)*(CsDJ[Sort Code]=(TRIM(E$5)))*(CsDJ[Account Code]=(TRIM($B86))),CsDJ[Credit])))+(SUM(IF((CRDJ[Date]=$A$4)*(CRDJ[Sort Code]=(TRIM(E$5)))*(CRDJ[Account Code]=(TRIM($B86))),CRDJ[Credit])))+(SUM(IF((GJ[Date]=$A$4)*(GJ[Sort Code]=(TRIM(E$5)))*(GJ[Account Code]=(TRIM($B86))),GJ[Credit]))))</f>
        <v>0</v>
      </c>
      <c r="E86" s="467">
        <f t="shared" si="3"/>
        <v>0</v>
      </c>
    </row>
    <row r="87" spans="1:5" x14ac:dyDescent="0.2">
      <c r="A87" s="476" t="s">
        <v>1475</v>
      </c>
      <c r="B87" s="339" t="s">
        <v>1265</v>
      </c>
      <c r="C87" s="466">
        <f t="array" ref="C87">((SUM(IF((CkDJ[Sort Code]=(TRIM(E$5)))*(CkDJ[Account Code]=(TRIM($B87)))*(CkDJ[Date]&lt;=$C$8),CkDJ[Debit])))+(SUM(IF((CsDJ[Sort Code]=(TRIM(E$5)))*(CsDJ[Account Code]=(TRIM($B87)))*(CsDJ[Date]&lt;=$C$8),CsDJ[Debit])))+(SUM(IF((CRDJ[Sort Code]=(TRIM(E$5)))*(CRDJ[Account Code]=(TRIM($B87)))*(CRDJ[Date]&lt;=$C$8),CRDJ[Debit])))+(SUM(IF((GJ[Sort Code]=(TRIM(E$5)))*(GJ[Account Code]=(TRIM($B87)))*(GJ[Date]&lt;=$C$8),GJ[Debit]))))-((SUM(IF((CkDJ[Sort Code]=(TRIM(E$5)))*(CkDJ[Account Code]=(TRIM($B87)))*(CkDJ[Date]&lt;=$C$8),CkDJ[Credit])))+(SUM(IF((CsDJ[Sort Code]=(TRIM(E$5)))*(CsDJ[Account Code]=(TRIM($B87)))*(CsDJ[Date]&lt;=$C$8),CsDJ[Credit])))+(SUM(IF((CRDJ[Sort Code]=(TRIM(E$5)))*(CRDJ[Account Code]=(TRIM($B87)))*(CRDJ[Date]&lt;=$C$8),CRDJ[Credit])))+(SUM(IF((GJ[Sort Code]=(TRIM(E$5)))*(GJ[Account Code]=(TRIM($B87)))*(GJ[Date]&lt;=$C$8),GJ[Credit]))))</f>
        <v>0</v>
      </c>
      <c r="D87" s="466">
        <f t="array" ref="D87">((SUM(IF((CkDJ[Date]=$A$4)*(CkDJ[Sort Code]=(TRIM(E$5)))*(CkDJ[Account Code]=(TRIM($B87))),CkDJ[Debit])))+(SUM(IF((CsDJ[Date]=$A$4)*(CsDJ[Sort Code]=(TRIM(E$5)))*(CsDJ[Account Code]=(TRIM($B87))),CsDJ[Debit])))+(SUM(IF((CRDJ[Date]=$A$4)*(CRDJ[Sort Code]=(TRIM(E$5)))*(CRDJ[Account Code]=(TRIM($B87))),CRDJ[Debit])))+(SUM(IF((GJ[Date]=$A$4)*(GJ[Sort Code]=(TRIM(E$5)))*(GJ[Account Code]=(TRIM($B87))),GJ[Debit]))))-((SUM(IF((CkDJ[Date]=$A$4)*(CkDJ[Sort Code]=(TRIM(E$5)))*(CkDJ[Account Code]=(TRIM($B87))),CkDJ[Credit])))+(SUM(IF((CsDJ[Date]=$A$4)*(CsDJ[Sort Code]=(TRIM(E$5)))*(CsDJ[Account Code]=(TRIM($B87))),CsDJ[Credit])))+(SUM(IF((CRDJ[Date]=$A$4)*(CRDJ[Sort Code]=(TRIM(E$5)))*(CRDJ[Account Code]=(TRIM($B87))),CRDJ[Credit])))+(SUM(IF((GJ[Date]=$A$4)*(GJ[Sort Code]=(TRIM(E$5)))*(GJ[Account Code]=(TRIM($B87))),GJ[Credit]))))</f>
        <v>0</v>
      </c>
      <c r="E87" s="467">
        <f>C87+D87</f>
        <v>0</v>
      </c>
    </row>
    <row r="88" spans="1:5" x14ac:dyDescent="0.2">
      <c r="A88" s="476" t="s">
        <v>1475</v>
      </c>
      <c r="B88" s="339" t="s">
        <v>1266</v>
      </c>
      <c r="C88" s="466">
        <f t="array" ref="C88">((SUM(IF((CkDJ[Sort Code]=(TRIM(E$5)))*(CkDJ[Account Code]=(TRIM($B88)))*(CkDJ[Date]&lt;=$C$8),CkDJ[Debit])))+(SUM(IF((CsDJ[Sort Code]=(TRIM(E$5)))*(CsDJ[Account Code]=(TRIM($B88)))*(CsDJ[Date]&lt;=$C$8),CsDJ[Debit])))+(SUM(IF((CRDJ[Sort Code]=(TRIM(E$5)))*(CRDJ[Account Code]=(TRIM($B88)))*(CRDJ[Date]&lt;=$C$8),CRDJ[Debit])))+(SUM(IF((GJ[Sort Code]=(TRIM(E$5)))*(GJ[Account Code]=(TRIM($B88)))*(GJ[Date]&lt;=$C$8),GJ[Debit]))))-((SUM(IF((CkDJ[Sort Code]=(TRIM(E$5)))*(CkDJ[Account Code]=(TRIM($B88)))*(CkDJ[Date]&lt;=$C$8),CkDJ[Credit])))+(SUM(IF((CsDJ[Sort Code]=(TRIM(E$5)))*(CsDJ[Account Code]=(TRIM($B88)))*(CsDJ[Date]&lt;=$C$8),CsDJ[Credit])))+(SUM(IF((CRDJ[Sort Code]=(TRIM(E$5)))*(CRDJ[Account Code]=(TRIM($B88)))*(CRDJ[Date]&lt;=$C$8),CRDJ[Credit])))+(SUM(IF((GJ[Sort Code]=(TRIM(E$5)))*(GJ[Account Code]=(TRIM($B88)))*(GJ[Date]&lt;=$C$8),GJ[Credit]))))</f>
        <v>0</v>
      </c>
      <c r="D88" s="466">
        <f t="array" ref="D88">((SUM(IF((CkDJ[Date]=$A$4)*(CkDJ[Sort Code]=(TRIM(E$5)))*(CkDJ[Account Code]=(TRIM($B88))),CkDJ[Debit])))+(SUM(IF((CsDJ[Date]=$A$4)*(CsDJ[Sort Code]=(TRIM(E$5)))*(CsDJ[Account Code]=(TRIM($B88))),CsDJ[Debit])))+(SUM(IF((CRDJ[Date]=$A$4)*(CRDJ[Sort Code]=(TRIM(E$5)))*(CRDJ[Account Code]=(TRIM($B88))),CRDJ[Debit])))+(SUM(IF((GJ[Date]=$A$4)*(GJ[Sort Code]=(TRIM(E$5)))*(GJ[Account Code]=(TRIM($B88))),GJ[Debit]))))-((SUM(IF((CkDJ[Date]=$A$4)*(CkDJ[Sort Code]=(TRIM(E$5)))*(CkDJ[Account Code]=(TRIM($B88))),CkDJ[Credit])))+(SUM(IF((CsDJ[Date]=$A$4)*(CsDJ[Sort Code]=(TRIM(E$5)))*(CsDJ[Account Code]=(TRIM($B88))),CsDJ[Credit])))+(SUM(IF((CRDJ[Date]=$A$4)*(CRDJ[Sort Code]=(TRIM(E$5)))*(CRDJ[Account Code]=(TRIM($B88))),CRDJ[Credit])))+(SUM(IF((GJ[Date]=$A$4)*(GJ[Sort Code]=(TRIM(E$5)))*(GJ[Account Code]=(TRIM($B88))),GJ[Credit]))))</f>
        <v>0</v>
      </c>
      <c r="E88" s="467">
        <f>C88+D88</f>
        <v>0</v>
      </c>
    </row>
    <row r="89" spans="1:5" x14ac:dyDescent="0.2">
      <c r="A89" s="476" t="s">
        <v>294</v>
      </c>
      <c r="B89" s="339" t="s">
        <v>234</v>
      </c>
      <c r="C89" s="466">
        <f t="array" ref="C89">((SUM(IF((CkDJ[Sort Code]=(TRIM(E$5)))*(CkDJ[Account Code]=(TRIM($B89)))*(CkDJ[Date]&lt;=$C$8),CkDJ[Debit])))+(SUM(IF((CsDJ[Sort Code]=(TRIM(E$5)))*(CsDJ[Account Code]=(TRIM($B89)))*(CsDJ[Date]&lt;=$C$8),CsDJ[Debit])))+(SUM(IF((CRDJ[Sort Code]=(TRIM(E$5)))*(CRDJ[Account Code]=(TRIM($B89)))*(CRDJ[Date]&lt;=$C$8),CRDJ[Debit])))+(SUM(IF((GJ[Sort Code]=(TRIM(E$5)))*(GJ[Account Code]=(TRIM($B89)))*(GJ[Date]&lt;=$C$8),GJ[Debit]))))-((SUM(IF((CkDJ[Sort Code]=(TRIM(E$5)))*(CkDJ[Account Code]=(TRIM($B89)))*(CkDJ[Date]&lt;=$C$8),CkDJ[Credit])))+(SUM(IF((CsDJ[Sort Code]=(TRIM(E$5)))*(CsDJ[Account Code]=(TRIM($B89)))*(CsDJ[Date]&lt;=$C$8),CsDJ[Credit])))+(SUM(IF((CRDJ[Sort Code]=(TRIM(E$5)))*(CRDJ[Account Code]=(TRIM($B89)))*(CRDJ[Date]&lt;=$C$8),CRDJ[Credit])))+(SUM(IF((GJ[Sort Code]=(TRIM(E$5)))*(GJ[Account Code]=(TRIM($B89)))*(GJ[Date]&lt;=$C$8),GJ[Credit]))))</f>
        <v>0</v>
      </c>
      <c r="D89" s="466">
        <f t="array" ref="D89">((SUM(IF((CkDJ[Date]=$A$4)*(CkDJ[Sort Code]=(TRIM(E$5)))*(CkDJ[Account Code]=(TRIM($B89))),CkDJ[Debit])))+(SUM(IF((CsDJ[Date]=$A$4)*(CsDJ[Sort Code]=(TRIM(E$5)))*(CsDJ[Account Code]=(TRIM($B89))),CsDJ[Debit])))+(SUM(IF((CRDJ[Date]=$A$4)*(CRDJ[Sort Code]=(TRIM(E$5)))*(CRDJ[Account Code]=(TRIM($B89))),CRDJ[Debit])))+(SUM(IF((GJ[Date]=$A$4)*(GJ[Sort Code]=(TRIM(E$5)))*(GJ[Account Code]=(TRIM($B89))),GJ[Debit]))))-((SUM(IF((CkDJ[Date]=$A$4)*(CkDJ[Sort Code]=(TRIM(E$5)))*(CkDJ[Account Code]=(TRIM($B89))),CkDJ[Credit])))+(SUM(IF((CsDJ[Date]=$A$4)*(CsDJ[Sort Code]=(TRIM(E$5)))*(CsDJ[Account Code]=(TRIM($B89))),CsDJ[Credit])))+(SUM(IF((CRDJ[Date]=$A$4)*(CRDJ[Sort Code]=(TRIM(E$5)))*(CRDJ[Account Code]=(TRIM($B89))),CRDJ[Credit])))+(SUM(IF((GJ[Date]=$A$4)*(GJ[Sort Code]=(TRIM(E$5)))*(GJ[Account Code]=(TRIM($B89))),GJ[Credit]))))</f>
        <v>0</v>
      </c>
      <c r="E89" s="467">
        <f t="shared" si="3"/>
        <v>0</v>
      </c>
    </row>
    <row r="90" spans="1:5" x14ac:dyDescent="0.2">
      <c r="A90" s="476" t="s">
        <v>295</v>
      </c>
      <c r="B90" s="339" t="s">
        <v>235</v>
      </c>
      <c r="C90" s="466">
        <f t="array" ref="C90">((SUM(IF((CkDJ[Sort Code]=(TRIM(E$5)))*(CkDJ[Account Code]=(TRIM($B90)))*(CkDJ[Date]&lt;=$C$8),CkDJ[Debit])))+(SUM(IF((CsDJ[Sort Code]=(TRIM(E$5)))*(CsDJ[Account Code]=(TRIM($B90)))*(CsDJ[Date]&lt;=$C$8),CsDJ[Debit])))+(SUM(IF((CRDJ[Sort Code]=(TRIM(E$5)))*(CRDJ[Account Code]=(TRIM($B90)))*(CRDJ[Date]&lt;=$C$8),CRDJ[Debit])))+(SUM(IF((GJ[Sort Code]=(TRIM(E$5)))*(GJ[Account Code]=(TRIM($B90)))*(GJ[Date]&lt;=$C$8),GJ[Debit]))))-((SUM(IF((CkDJ[Sort Code]=(TRIM(E$5)))*(CkDJ[Account Code]=(TRIM($B90)))*(CkDJ[Date]&lt;=$C$8),CkDJ[Credit])))+(SUM(IF((CsDJ[Sort Code]=(TRIM(E$5)))*(CsDJ[Account Code]=(TRIM($B90)))*(CsDJ[Date]&lt;=$C$8),CsDJ[Credit])))+(SUM(IF((CRDJ[Sort Code]=(TRIM(E$5)))*(CRDJ[Account Code]=(TRIM($B90)))*(CRDJ[Date]&lt;=$C$8),CRDJ[Credit])))+(SUM(IF((GJ[Sort Code]=(TRIM(E$5)))*(GJ[Account Code]=(TRIM($B90)))*(GJ[Date]&lt;=$C$8),GJ[Credit]))))</f>
        <v>0</v>
      </c>
      <c r="D90" s="466">
        <f t="array" ref="D90">((SUM(IF((CkDJ[Date]=$A$4)*(CkDJ[Sort Code]=(TRIM(E$5)))*(CkDJ[Account Code]=(TRIM($B90))),CkDJ[Debit])))+(SUM(IF((CsDJ[Date]=$A$4)*(CsDJ[Sort Code]=(TRIM(E$5)))*(CsDJ[Account Code]=(TRIM($B90))),CsDJ[Debit])))+(SUM(IF((CRDJ[Date]=$A$4)*(CRDJ[Sort Code]=(TRIM(E$5)))*(CRDJ[Account Code]=(TRIM($B90))),CRDJ[Debit])))+(SUM(IF((GJ[Date]=$A$4)*(GJ[Sort Code]=(TRIM(E$5)))*(GJ[Account Code]=(TRIM($B90))),GJ[Debit]))))-((SUM(IF((CkDJ[Date]=$A$4)*(CkDJ[Sort Code]=(TRIM(E$5)))*(CkDJ[Account Code]=(TRIM($B90))),CkDJ[Credit])))+(SUM(IF((CsDJ[Date]=$A$4)*(CsDJ[Sort Code]=(TRIM(E$5)))*(CsDJ[Account Code]=(TRIM($B90))),CsDJ[Credit])))+(SUM(IF((CRDJ[Date]=$A$4)*(CRDJ[Sort Code]=(TRIM(E$5)))*(CRDJ[Account Code]=(TRIM($B90))),CRDJ[Credit])))+(SUM(IF((GJ[Date]=$A$4)*(GJ[Sort Code]=(TRIM(E$5)))*(GJ[Account Code]=(TRIM($B90))),GJ[Credit]))))</f>
        <v>0</v>
      </c>
      <c r="E90" s="467">
        <f t="shared" si="3"/>
        <v>0</v>
      </c>
    </row>
    <row r="91" spans="1:5" x14ac:dyDescent="0.2">
      <c r="A91" s="476" t="s">
        <v>296</v>
      </c>
      <c r="B91" s="339" t="s">
        <v>236</v>
      </c>
      <c r="C91" s="466">
        <f t="array" ref="C91">((SUM(IF((CkDJ[Sort Code]=(TRIM(E$5)))*(CkDJ[Account Code]=(TRIM($B91)))*(CkDJ[Date]&lt;=$C$8),CkDJ[Debit])))+(SUM(IF((CsDJ[Sort Code]=(TRIM(E$5)))*(CsDJ[Account Code]=(TRIM($B91)))*(CsDJ[Date]&lt;=$C$8),CsDJ[Debit])))+(SUM(IF((CRDJ[Sort Code]=(TRIM(E$5)))*(CRDJ[Account Code]=(TRIM($B91)))*(CRDJ[Date]&lt;=$C$8),CRDJ[Debit])))+(SUM(IF((GJ[Sort Code]=(TRIM(E$5)))*(GJ[Account Code]=(TRIM($B91)))*(GJ[Date]&lt;=$C$8),GJ[Debit]))))-((SUM(IF((CkDJ[Sort Code]=(TRIM(E$5)))*(CkDJ[Account Code]=(TRIM($B91)))*(CkDJ[Date]&lt;=$C$8),CkDJ[Credit])))+(SUM(IF((CsDJ[Sort Code]=(TRIM(E$5)))*(CsDJ[Account Code]=(TRIM($B91)))*(CsDJ[Date]&lt;=$C$8),CsDJ[Credit])))+(SUM(IF((CRDJ[Sort Code]=(TRIM(E$5)))*(CRDJ[Account Code]=(TRIM($B91)))*(CRDJ[Date]&lt;=$C$8),CRDJ[Credit])))+(SUM(IF((GJ[Sort Code]=(TRIM(E$5)))*(GJ[Account Code]=(TRIM($B91)))*(GJ[Date]&lt;=$C$8),GJ[Credit]))))</f>
        <v>0</v>
      </c>
      <c r="D91" s="466">
        <f t="array" ref="D91">((SUM(IF((CkDJ[Date]=$A$4)*(CkDJ[Sort Code]=(TRIM(E$5)))*(CkDJ[Account Code]=(TRIM($B91))),CkDJ[Debit])))+(SUM(IF((CsDJ[Date]=$A$4)*(CsDJ[Sort Code]=(TRIM(E$5)))*(CsDJ[Account Code]=(TRIM($B91))),CsDJ[Debit])))+(SUM(IF((CRDJ[Date]=$A$4)*(CRDJ[Sort Code]=(TRIM(E$5)))*(CRDJ[Account Code]=(TRIM($B91))),CRDJ[Debit])))+(SUM(IF((GJ[Date]=$A$4)*(GJ[Sort Code]=(TRIM(E$5)))*(GJ[Account Code]=(TRIM($B91))),GJ[Debit]))))-((SUM(IF((CkDJ[Date]=$A$4)*(CkDJ[Sort Code]=(TRIM(E$5)))*(CkDJ[Account Code]=(TRIM($B91))),CkDJ[Credit])))+(SUM(IF((CsDJ[Date]=$A$4)*(CsDJ[Sort Code]=(TRIM(E$5)))*(CsDJ[Account Code]=(TRIM($B91))),CsDJ[Credit])))+(SUM(IF((CRDJ[Date]=$A$4)*(CRDJ[Sort Code]=(TRIM(E$5)))*(CRDJ[Account Code]=(TRIM($B91))),CRDJ[Credit])))+(SUM(IF((GJ[Date]=$A$4)*(GJ[Sort Code]=(TRIM(E$5)))*(GJ[Account Code]=(TRIM($B91))),GJ[Credit]))))</f>
        <v>0</v>
      </c>
      <c r="E91" s="467">
        <f t="shared" si="3"/>
        <v>0</v>
      </c>
    </row>
    <row r="92" spans="1:5" x14ac:dyDescent="0.2">
      <c r="A92" s="476" t="s">
        <v>297</v>
      </c>
      <c r="B92" s="339" t="s">
        <v>237</v>
      </c>
      <c r="C92" s="466">
        <f t="array" ref="C92">((SUM(IF((CkDJ[Sort Code]=(TRIM(E$5)))*(CkDJ[Account Code]=(TRIM($B92)))*(CkDJ[Date]&lt;=$C$8),CkDJ[Debit])))+(SUM(IF((CsDJ[Sort Code]=(TRIM(E$5)))*(CsDJ[Account Code]=(TRIM($B92)))*(CsDJ[Date]&lt;=$C$8),CsDJ[Debit])))+(SUM(IF((CRDJ[Sort Code]=(TRIM(E$5)))*(CRDJ[Account Code]=(TRIM($B92)))*(CRDJ[Date]&lt;=$C$8),CRDJ[Debit])))+(SUM(IF((GJ[Sort Code]=(TRIM(E$5)))*(GJ[Account Code]=(TRIM($B92)))*(GJ[Date]&lt;=$C$8),GJ[Debit]))))-((SUM(IF((CkDJ[Sort Code]=(TRIM(E$5)))*(CkDJ[Account Code]=(TRIM($B92)))*(CkDJ[Date]&lt;=$C$8),CkDJ[Credit])))+(SUM(IF((CsDJ[Sort Code]=(TRIM(E$5)))*(CsDJ[Account Code]=(TRIM($B92)))*(CsDJ[Date]&lt;=$C$8),CsDJ[Credit])))+(SUM(IF((CRDJ[Sort Code]=(TRIM(E$5)))*(CRDJ[Account Code]=(TRIM($B92)))*(CRDJ[Date]&lt;=$C$8),CRDJ[Credit])))+(SUM(IF((GJ[Sort Code]=(TRIM(E$5)))*(GJ[Account Code]=(TRIM($B92)))*(GJ[Date]&lt;=$C$8),GJ[Credit]))))</f>
        <v>0</v>
      </c>
      <c r="D92" s="466">
        <f t="array" ref="D92">((SUM(IF((CkDJ[Date]=$A$4)*(CkDJ[Sort Code]=(TRIM(E$5)))*(CkDJ[Account Code]=(TRIM($B92))),CkDJ[Debit])))+(SUM(IF((CsDJ[Date]=$A$4)*(CsDJ[Sort Code]=(TRIM(E$5)))*(CsDJ[Account Code]=(TRIM($B92))),CsDJ[Debit])))+(SUM(IF((CRDJ[Date]=$A$4)*(CRDJ[Sort Code]=(TRIM(E$5)))*(CRDJ[Account Code]=(TRIM($B92))),CRDJ[Debit])))+(SUM(IF((GJ[Date]=$A$4)*(GJ[Sort Code]=(TRIM(E$5)))*(GJ[Account Code]=(TRIM($B92))),GJ[Debit]))))-((SUM(IF((CkDJ[Date]=$A$4)*(CkDJ[Sort Code]=(TRIM(E$5)))*(CkDJ[Account Code]=(TRIM($B92))),CkDJ[Credit])))+(SUM(IF((CsDJ[Date]=$A$4)*(CsDJ[Sort Code]=(TRIM(E$5)))*(CsDJ[Account Code]=(TRIM($B92))),CsDJ[Credit])))+(SUM(IF((CRDJ[Date]=$A$4)*(CRDJ[Sort Code]=(TRIM(E$5)))*(CRDJ[Account Code]=(TRIM($B92))),CRDJ[Credit])))+(SUM(IF((GJ[Date]=$A$4)*(GJ[Sort Code]=(TRIM(E$5)))*(GJ[Account Code]=(TRIM($B92))),GJ[Credit]))))</f>
        <v>0</v>
      </c>
      <c r="E92" s="467">
        <f t="shared" si="3"/>
        <v>0</v>
      </c>
    </row>
    <row r="93" spans="1:5" x14ac:dyDescent="0.2">
      <c r="A93" s="476" t="s">
        <v>298</v>
      </c>
      <c r="B93" s="339" t="s">
        <v>238</v>
      </c>
      <c r="C93" s="466">
        <f t="array" ref="C93">((SUM(IF((CkDJ[Sort Code]=(TRIM(E$5)))*(CkDJ[Account Code]=(TRIM($B93)))*(CkDJ[Date]&lt;=$C$8),CkDJ[Debit])))+(SUM(IF((CsDJ[Sort Code]=(TRIM(E$5)))*(CsDJ[Account Code]=(TRIM($B93)))*(CsDJ[Date]&lt;=$C$8),CsDJ[Debit])))+(SUM(IF((CRDJ[Sort Code]=(TRIM(E$5)))*(CRDJ[Account Code]=(TRIM($B93)))*(CRDJ[Date]&lt;=$C$8),CRDJ[Debit])))+(SUM(IF((GJ[Sort Code]=(TRIM(E$5)))*(GJ[Account Code]=(TRIM($B93)))*(GJ[Date]&lt;=$C$8),GJ[Debit]))))-((SUM(IF((CkDJ[Sort Code]=(TRIM(E$5)))*(CkDJ[Account Code]=(TRIM($B93)))*(CkDJ[Date]&lt;=$C$8),CkDJ[Credit])))+(SUM(IF((CsDJ[Sort Code]=(TRIM(E$5)))*(CsDJ[Account Code]=(TRIM($B93)))*(CsDJ[Date]&lt;=$C$8),CsDJ[Credit])))+(SUM(IF((CRDJ[Sort Code]=(TRIM(E$5)))*(CRDJ[Account Code]=(TRIM($B93)))*(CRDJ[Date]&lt;=$C$8),CRDJ[Credit])))+(SUM(IF((GJ[Sort Code]=(TRIM(E$5)))*(GJ[Account Code]=(TRIM($B93)))*(GJ[Date]&lt;=$C$8),GJ[Credit]))))</f>
        <v>0</v>
      </c>
      <c r="D93" s="466">
        <f t="array" ref="D93">((SUM(IF((CkDJ[Date]=$A$4)*(CkDJ[Sort Code]=(TRIM(E$5)))*(CkDJ[Account Code]=(TRIM($B93))),CkDJ[Debit])))+(SUM(IF((CsDJ[Date]=$A$4)*(CsDJ[Sort Code]=(TRIM(E$5)))*(CsDJ[Account Code]=(TRIM($B93))),CsDJ[Debit])))+(SUM(IF((CRDJ[Date]=$A$4)*(CRDJ[Sort Code]=(TRIM(E$5)))*(CRDJ[Account Code]=(TRIM($B93))),CRDJ[Debit])))+(SUM(IF((GJ[Date]=$A$4)*(GJ[Sort Code]=(TRIM(E$5)))*(GJ[Account Code]=(TRIM($B93))),GJ[Debit]))))-((SUM(IF((CkDJ[Date]=$A$4)*(CkDJ[Sort Code]=(TRIM(E$5)))*(CkDJ[Account Code]=(TRIM($B93))),CkDJ[Credit])))+(SUM(IF((CsDJ[Date]=$A$4)*(CsDJ[Sort Code]=(TRIM(E$5)))*(CsDJ[Account Code]=(TRIM($B93))),CsDJ[Credit])))+(SUM(IF((CRDJ[Date]=$A$4)*(CRDJ[Sort Code]=(TRIM(E$5)))*(CRDJ[Account Code]=(TRIM($B93))),CRDJ[Credit])))+(SUM(IF((GJ[Date]=$A$4)*(GJ[Sort Code]=(TRIM(E$5)))*(GJ[Account Code]=(TRIM($B93))),GJ[Credit]))))</f>
        <v>0</v>
      </c>
      <c r="E93" s="467">
        <f t="shared" si="3"/>
        <v>0</v>
      </c>
    </row>
    <row r="94" spans="1:5" x14ac:dyDescent="0.2">
      <c r="A94" s="476" t="s">
        <v>1019</v>
      </c>
      <c r="B94" s="339" t="s">
        <v>239</v>
      </c>
      <c r="C94" s="466">
        <f t="array" ref="C94">((SUM(IF((CkDJ[Sort Code]=(TRIM(E$5)))*(CkDJ[Account Code]=(TRIM($B94)))*(CkDJ[Date]&lt;=$C$8),CkDJ[Debit])))+(SUM(IF((CsDJ[Sort Code]=(TRIM(E$5)))*(CsDJ[Account Code]=(TRIM($B94)))*(CsDJ[Date]&lt;=$C$8),CsDJ[Debit])))+(SUM(IF((CRDJ[Sort Code]=(TRIM(E$5)))*(CRDJ[Account Code]=(TRIM($B94)))*(CRDJ[Date]&lt;=$C$8),CRDJ[Debit])))+(SUM(IF((GJ[Sort Code]=(TRIM(E$5)))*(GJ[Account Code]=(TRIM($B94)))*(GJ[Date]&lt;=$C$8),GJ[Debit]))))-((SUM(IF((CkDJ[Sort Code]=(TRIM(E$5)))*(CkDJ[Account Code]=(TRIM($B94)))*(CkDJ[Date]&lt;=$C$8),CkDJ[Credit])))+(SUM(IF((CsDJ[Sort Code]=(TRIM(E$5)))*(CsDJ[Account Code]=(TRIM($B94)))*(CsDJ[Date]&lt;=$C$8),CsDJ[Credit])))+(SUM(IF((CRDJ[Sort Code]=(TRIM(E$5)))*(CRDJ[Account Code]=(TRIM($B94)))*(CRDJ[Date]&lt;=$C$8),CRDJ[Credit])))+(SUM(IF((GJ[Sort Code]=(TRIM(E$5)))*(GJ[Account Code]=(TRIM($B94)))*(GJ[Date]&lt;=$C$8),GJ[Credit]))))</f>
        <v>0</v>
      </c>
      <c r="D94" s="466">
        <f t="array" ref="D94">((SUM(IF((CkDJ[Date]=$A$4)*(CkDJ[Sort Code]=(TRIM(E$5)))*(CkDJ[Account Code]=(TRIM($B94))),CkDJ[Debit])))+(SUM(IF((CsDJ[Date]=$A$4)*(CsDJ[Sort Code]=(TRIM(E$5)))*(CsDJ[Account Code]=(TRIM($B94))),CsDJ[Debit])))+(SUM(IF((CRDJ[Date]=$A$4)*(CRDJ[Sort Code]=(TRIM(E$5)))*(CRDJ[Account Code]=(TRIM($B94))),CRDJ[Debit])))+(SUM(IF((GJ[Date]=$A$4)*(GJ[Sort Code]=(TRIM(E$5)))*(GJ[Account Code]=(TRIM($B94))),GJ[Debit]))))-((SUM(IF((CkDJ[Date]=$A$4)*(CkDJ[Sort Code]=(TRIM(E$5)))*(CkDJ[Account Code]=(TRIM($B94))),CkDJ[Credit])))+(SUM(IF((CsDJ[Date]=$A$4)*(CsDJ[Sort Code]=(TRIM(E$5)))*(CsDJ[Account Code]=(TRIM($B94))),CsDJ[Credit])))+(SUM(IF((CRDJ[Date]=$A$4)*(CRDJ[Sort Code]=(TRIM(E$5)))*(CRDJ[Account Code]=(TRIM($B94))),CRDJ[Credit])))+(SUM(IF((GJ[Date]=$A$4)*(GJ[Sort Code]=(TRIM(E$5)))*(GJ[Account Code]=(TRIM($B94))),GJ[Credit]))))</f>
        <v>0</v>
      </c>
      <c r="E94" s="467">
        <f t="shared" si="3"/>
        <v>0</v>
      </c>
    </row>
    <row r="95" spans="1:5" x14ac:dyDescent="0.2">
      <c r="A95" s="476" t="s">
        <v>1020</v>
      </c>
      <c r="B95" s="339" t="s">
        <v>240</v>
      </c>
      <c r="C95" s="466">
        <f t="array" ref="C95">((SUM(IF((CkDJ[Sort Code]=(TRIM(E$5)))*(CkDJ[Account Code]=(TRIM($B95)))*(CkDJ[Date]&lt;=$C$8),CkDJ[Debit])))+(SUM(IF((CsDJ[Sort Code]=(TRIM(E$5)))*(CsDJ[Account Code]=(TRIM($B95)))*(CsDJ[Date]&lt;=$C$8),CsDJ[Debit])))+(SUM(IF((CRDJ[Sort Code]=(TRIM(E$5)))*(CRDJ[Account Code]=(TRIM($B95)))*(CRDJ[Date]&lt;=$C$8),CRDJ[Debit])))+(SUM(IF((GJ[Sort Code]=(TRIM(E$5)))*(GJ[Account Code]=(TRIM($B95)))*(GJ[Date]&lt;=$C$8),GJ[Debit]))))-((SUM(IF((CkDJ[Sort Code]=(TRIM(E$5)))*(CkDJ[Account Code]=(TRIM($B95)))*(CkDJ[Date]&lt;=$C$8),CkDJ[Credit])))+(SUM(IF((CsDJ[Sort Code]=(TRIM(E$5)))*(CsDJ[Account Code]=(TRIM($B95)))*(CsDJ[Date]&lt;=$C$8),CsDJ[Credit])))+(SUM(IF((CRDJ[Sort Code]=(TRIM(E$5)))*(CRDJ[Account Code]=(TRIM($B95)))*(CRDJ[Date]&lt;=$C$8),CRDJ[Credit])))+(SUM(IF((GJ[Sort Code]=(TRIM(E$5)))*(GJ[Account Code]=(TRIM($B95)))*(GJ[Date]&lt;=$C$8),GJ[Credit]))))</f>
        <v>0</v>
      </c>
      <c r="D95" s="466">
        <f t="array" ref="D95">((SUM(IF((CkDJ[Date]=$A$4)*(CkDJ[Sort Code]=(TRIM(E$5)))*(CkDJ[Account Code]=(TRIM($B95))),CkDJ[Debit])))+(SUM(IF((CsDJ[Date]=$A$4)*(CsDJ[Sort Code]=(TRIM(E$5)))*(CsDJ[Account Code]=(TRIM($B95))),CsDJ[Debit])))+(SUM(IF((CRDJ[Date]=$A$4)*(CRDJ[Sort Code]=(TRIM(E$5)))*(CRDJ[Account Code]=(TRIM($B95))),CRDJ[Debit])))+(SUM(IF((GJ[Date]=$A$4)*(GJ[Sort Code]=(TRIM(E$5)))*(GJ[Account Code]=(TRIM($B95))),GJ[Debit]))))-((SUM(IF((CkDJ[Date]=$A$4)*(CkDJ[Sort Code]=(TRIM(E$5)))*(CkDJ[Account Code]=(TRIM($B95))),CkDJ[Credit])))+(SUM(IF((CsDJ[Date]=$A$4)*(CsDJ[Sort Code]=(TRIM(E$5)))*(CsDJ[Account Code]=(TRIM($B95))),CsDJ[Credit])))+(SUM(IF((CRDJ[Date]=$A$4)*(CRDJ[Sort Code]=(TRIM(E$5)))*(CRDJ[Account Code]=(TRIM($B95))),CRDJ[Credit])))+(SUM(IF((GJ[Date]=$A$4)*(GJ[Sort Code]=(TRIM(E$5)))*(GJ[Account Code]=(TRIM($B95))),GJ[Credit]))))</f>
        <v>0</v>
      </c>
      <c r="E95" s="467">
        <f t="shared" si="3"/>
        <v>0</v>
      </c>
    </row>
    <row r="96" spans="1:5" x14ac:dyDescent="0.2">
      <c r="A96" s="476" t="s">
        <v>299</v>
      </c>
      <c r="B96" s="339" t="s">
        <v>241</v>
      </c>
      <c r="C96" s="466">
        <f t="array" ref="C96">((SUM(IF((CkDJ[Sort Code]=(TRIM(E$5)))*(CkDJ[Account Code]=(TRIM($B96)))*(CkDJ[Date]&lt;=$C$8),CkDJ[Debit])))+(SUM(IF((CsDJ[Sort Code]=(TRIM(E$5)))*(CsDJ[Account Code]=(TRIM($B96)))*(CsDJ[Date]&lt;=$C$8),CsDJ[Debit])))+(SUM(IF((CRDJ[Sort Code]=(TRIM(E$5)))*(CRDJ[Account Code]=(TRIM($B96)))*(CRDJ[Date]&lt;=$C$8),CRDJ[Debit])))+(SUM(IF((GJ[Sort Code]=(TRIM(E$5)))*(GJ[Account Code]=(TRIM($B96)))*(GJ[Date]&lt;=$C$8),GJ[Debit]))))-((SUM(IF((CkDJ[Sort Code]=(TRIM(E$5)))*(CkDJ[Account Code]=(TRIM($B96)))*(CkDJ[Date]&lt;=$C$8),CkDJ[Credit])))+(SUM(IF((CsDJ[Sort Code]=(TRIM(E$5)))*(CsDJ[Account Code]=(TRIM($B96)))*(CsDJ[Date]&lt;=$C$8),CsDJ[Credit])))+(SUM(IF((CRDJ[Sort Code]=(TRIM(E$5)))*(CRDJ[Account Code]=(TRIM($B96)))*(CRDJ[Date]&lt;=$C$8),CRDJ[Credit])))+(SUM(IF((GJ[Sort Code]=(TRIM(E$5)))*(GJ[Account Code]=(TRIM($B96)))*(GJ[Date]&lt;=$C$8),GJ[Credit]))))</f>
        <v>0</v>
      </c>
      <c r="D96" s="466">
        <f t="array" ref="D96">((SUM(IF((CkDJ[Date]=$A$4)*(CkDJ[Sort Code]=(TRIM(E$5)))*(CkDJ[Account Code]=(TRIM($B96))),CkDJ[Debit])))+(SUM(IF((CsDJ[Date]=$A$4)*(CsDJ[Sort Code]=(TRIM(E$5)))*(CsDJ[Account Code]=(TRIM($B96))),CsDJ[Debit])))+(SUM(IF((CRDJ[Date]=$A$4)*(CRDJ[Sort Code]=(TRIM(E$5)))*(CRDJ[Account Code]=(TRIM($B96))),CRDJ[Debit])))+(SUM(IF((GJ[Date]=$A$4)*(GJ[Sort Code]=(TRIM(E$5)))*(GJ[Account Code]=(TRIM($B96))),GJ[Debit]))))-((SUM(IF((CkDJ[Date]=$A$4)*(CkDJ[Sort Code]=(TRIM(E$5)))*(CkDJ[Account Code]=(TRIM($B96))),CkDJ[Credit])))+(SUM(IF((CsDJ[Date]=$A$4)*(CsDJ[Sort Code]=(TRIM(E$5)))*(CsDJ[Account Code]=(TRIM($B96))),CsDJ[Credit])))+(SUM(IF((CRDJ[Date]=$A$4)*(CRDJ[Sort Code]=(TRIM(E$5)))*(CRDJ[Account Code]=(TRIM($B96))),CRDJ[Credit])))+(SUM(IF((GJ[Date]=$A$4)*(GJ[Sort Code]=(TRIM(E$5)))*(GJ[Account Code]=(TRIM($B96))),GJ[Credit]))))</f>
        <v>0</v>
      </c>
      <c r="E96" s="467">
        <f t="shared" si="3"/>
        <v>0</v>
      </c>
    </row>
    <row r="97" spans="1:5" x14ac:dyDescent="0.2">
      <c r="A97" s="476" t="s">
        <v>300</v>
      </c>
      <c r="B97" s="339" t="s">
        <v>242</v>
      </c>
      <c r="C97" s="466">
        <f t="array" ref="C97">((SUM(IF((CkDJ[Sort Code]=(TRIM(E$5)))*(CkDJ[Account Code]=(TRIM($B97)))*(CkDJ[Date]&lt;=$C$8),CkDJ[Debit])))+(SUM(IF((CsDJ[Sort Code]=(TRIM(E$5)))*(CsDJ[Account Code]=(TRIM($B97)))*(CsDJ[Date]&lt;=$C$8),CsDJ[Debit])))+(SUM(IF((CRDJ[Sort Code]=(TRIM(E$5)))*(CRDJ[Account Code]=(TRIM($B97)))*(CRDJ[Date]&lt;=$C$8),CRDJ[Debit])))+(SUM(IF((GJ[Sort Code]=(TRIM(E$5)))*(GJ[Account Code]=(TRIM($B97)))*(GJ[Date]&lt;=$C$8),GJ[Debit]))))-((SUM(IF((CkDJ[Sort Code]=(TRIM(E$5)))*(CkDJ[Account Code]=(TRIM($B97)))*(CkDJ[Date]&lt;=$C$8),CkDJ[Credit])))+(SUM(IF((CsDJ[Sort Code]=(TRIM(E$5)))*(CsDJ[Account Code]=(TRIM($B97)))*(CsDJ[Date]&lt;=$C$8),CsDJ[Credit])))+(SUM(IF((CRDJ[Sort Code]=(TRIM(E$5)))*(CRDJ[Account Code]=(TRIM($B97)))*(CRDJ[Date]&lt;=$C$8),CRDJ[Credit])))+(SUM(IF((GJ[Sort Code]=(TRIM(E$5)))*(GJ[Account Code]=(TRIM($B97)))*(GJ[Date]&lt;=$C$8),GJ[Credit]))))</f>
        <v>0</v>
      </c>
      <c r="D97" s="466">
        <f t="array" ref="D97">((SUM(IF((CkDJ[Date]=$A$4)*(CkDJ[Sort Code]=(TRIM(E$5)))*(CkDJ[Account Code]=(TRIM($B97))),CkDJ[Debit])))+(SUM(IF((CsDJ[Date]=$A$4)*(CsDJ[Sort Code]=(TRIM(E$5)))*(CsDJ[Account Code]=(TRIM($B97))),CsDJ[Debit])))+(SUM(IF((CRDJ[Date]=$A$4)*(CRDJ[Sort Code]=(TRIM(E$5)))*(CRDJ[Account Code]=(TRIM($B97))),CRDJ[Debit])))+(SUM(IF((GJ[Date]=$A$4)*(GJ[Sort Code]=(TRIM(E$5)))*(GJ[Account Code]=(TRIM($B97))),GJ[Debit]))))-((SUM(IF((CkDJ[Date]=$A$4)*(CkDJ[Sort Code]=(TRIM(E$5)))*(CkDJ[Account Code]=(TRIM($B97))),CkDJ[Credit])))+(SUM(IF((CsDJ[Date]=$A$4)*(CsDJ[Sort Code]=(TRIM(E$5)))*(CsDJ[Account Code]=(TRIM($B97))),CsDJ[Credit])))+(SUM(IF((CRDJ[Date]=$A$4)*(CRDJ[Sort Code]=(TRIM(E$5)))*(CRDJ[Account Code]=(TRIM($B97))),CRDJ[Credit])))+(SUM(IF((GJ[Date]=$A$4)*(GJ[Sort Code]=(TRIM(E$5)))*(GJ[Account Code]=(TRIM($B97))),GJ[Credit]))))</f>
        <v>0</v>
      </c>
      <c r="E97" s="467">
        <f t="shared" si="3"/>
        <v>0</v>
      </c>
    </row>
    <row r="98" spans="1:5" x14ac:dyDescent="0.2">
      <c r="A98" s="476" t="s">
        <v>301</v>
      </c>
      <c r="B98" s="339" t="s">
        <v>243</v>
      </c>
      <c r="C98" s="466">
        <f t="array" ref="C98">((SUM(IF((CkDJ[Sort Code]=(TRIM(E$5)))*(CkDJ[Account Code]=(TRIM($B98)))*(CkDJ[Date]&lt;=$C$8),CkDJ[Debit])))+(SUM(IF((CsDJ[Sort Code]=(TRIM(E$5)))*(CsDJ[Account Code]=(TRIM($B98)))*(CsDJ[Date]&lt;=$C$8),CsDJ[Debit])))+(SUM(IF((CRDJ[Sort Code]=(TRIM(E$5)))*(CRDJ[Account Code]=(TRIM($B98)))*(CRDJ[Date]&lt;=$C$8),CRDJ[Debit])))+(SUM(IF((GJ[Sort Code]=(TRIM(E$5)))*(GJ[Account Code]=(TRIM($B98)))*(GJ[Date]&lt;=$C$8),GJ[Debit]))))-((SUM(IF((CkDJ[Sort Code]=(TRIM(E$5)))*(CkDJ[Account Code]=(TRIM($B98)))*(CkDJ[Date]&lt;=$C$8),CkDJ[Credit])))+(SUM(IF((CsDJ[Sort Code]=(TRIM(E$5)))*(CsDJ[Account Code]=(TRIM($B98)))*(CsDJ[Date]&lt;=$C$8),CsDJ[Credit])))+(SUM(IF((CRDJ[Sort Code]=(TRIM(E$5)))*(CRDJ[Account Code]=(TRIM($B98)))*(CRDJ[Date]&lt;=$C$8),CRDJ[Credit])))+(SUM(IF((GJ[Sort Code]=(TRIM(E$5)))*(GJ[Account Code]=(TRIM($B98)))*(GJ[Date]&lt;=$C$8),GJ[Credit]))))</f>
        <v>0</v>
      </c>
      <c r="D98" s="466">
        <f t="array" ref="D98">((SUM(IF((CkDJ[Date]=$A$4)*(CkDJ[Sort Code]=(TRIM(E$5)))*(CkDJ[Account Code]=(TRIM($B98))),CkDJ[Debit])))+(SUM(IF((CsDJ[Date]=$A$4)*(CsDJ[Sort Code]=(TRIM(E$5)))*(CsDJ[Account Code]=(TRIM($B98))),CsDJ[Debit])))+(SUM(IF((CRDJ[Date]=$A$4)*(CRDJ[Sort Code]=(TRIM(E$5)))*(CRDJ[Account Code]=(TRIM($B98))),CRDJ[Debit])))+(SUM(IF((GJ[Date]=$A$4)*(GJ[Sort Code]=(TRIM(E$5)))*(GJ[Account Code]=(TRIM($B98))),GJ[Debit]))))-((SUM(IF((CkDJ[Date]=$A$4)*(CkDJ[Sort Code]=(TRIM(E$5)))*(CkDJ[Account Code]=(TRIM($B98))),CkDJ[Credit])))+(SUM(IF((CsDJ[Date]=$A$4)*(CsDJ[Sort Code]=(TRIM(E$5)))*(CsDJ[Account Code]=(TRIM($B98))),CsDJ[Credit])))+(SUM(IF((CRDJ[Date]=$A$4)*(CRDJ[Sort Code]=(TRIM(E$5)))*(CRDJ[Account Code]=(TRIM($B98))),CRDJ[Credit])))+(SUM(IF((GJ[Date]=$A$4)*(GJ[Sort Code]=(TRIM(E$5)))*(GJ[Account Code]=(TRIM($B98))),GJ[Credit]))))</f>
        <v>0</v>
      </c>
      <c r="E98" s="467">
        <f t="shared" si="3"/>
        <v>0</v>
      </c>
    </row>
    <row r="99" spans="1:5" x14ac:dyDescent="0.2">
      <c r="A99" s="476" t="s">
        <v>302</v>
      </c>
      <c r="B99" s="339" t="s">
        <v>244</v>
      </c>
      <c r="C99" s="466">
        <f t="array" ref="C99">((SUM(IF((CkDJ[Sort Code]=(TRIM(E$5)))*(CkDJ[Account Code]=(TRIM($B99)))*(CkDJ[Date]&lt;=$C$8),CkDJ[Debit])))+(SUM(IF((CsDJ[Sort Code]=(TRIM(E$5)))*(CsDJ[Account Code]=(TRIM($B99)))*(CsDJ[Date]&lt;=$C$8),CsDJ[Debit])))+(SUM(IF((CRDJ[Sort Code]=(TRIM(E$5)))*(CRDJ[Account Code]=(TRIM($B99)))*(CRDJ[Date]&lt;=$C$8),CRDJ[Debit])))+(SUM(IF((GJ[Sort Code]=(TRIM(E$5)))*(GJ[Account Code]=(TRIM($B99)))*(GJ[Date]&lt;=$C$8),GJ[Debit]))))-((SUM(IF((CkDJ[Sort Code]=(TRIM(E$5)))*(CkDJ[Account Code]=(TRIM($B99)))*(CkDJ[Date]&lt;=$C$8),CkDJ[Credit])))+(SUM(IF((CsDJ[Sort Code]=(TRIM(E$5)))*(CsDJ[Account Code]=(TRIM($B99)))*(CsDJ[Date]&lt;=$C$8),CsDJ[Credit])))+(SUM(IF((CRDJ[Sort Code]=(TRIM(E$5)))*(CRDJ[Account Code]=(TRIM($B99)))*(CRDJ[Date]&lt;=$C$8),CRDJ[Credit])))+(SUM(IF((GJ[Sort Code]=(TRIM(E$5)))*(GJ[Account Code]=(TRIM($B99)))*(GJ[Date]&lt;=$C$8),GJ[Credit]))))</f>
        <v>0</v>
      </c>
      <c r="D99" s="466">
        <f t="array" ref="D99">((SUM(IF((CkDJ[Date]=$A$4)*(CkDJ[Sort Code]=(TRIM(E$5)))*(CkDJ[Account Code]=(TRIM($B99))),CkDJ[Debit])))+(SUM(IF((CsDJ[Date]=$A$4)*(CsDJ[Sort Code]=(TRIM(E$5)))*(CsDJ[Account Code]=(TRIM($B99))),CsDJ[Debit])))+(SUM(IF((CRDJ[Date]=$A$4)*(CRDJ[Sort Code]=(TRIM(E$5)))*(CRDJ[Account Code]=(TRIM($B99))),CRDJ[Debit])))+(SUM(IF((GJ[Date]=$A$4)*(GJ[Sort Code]=(TRIM(E$5)))*(GJ[Account Code]=(TRIM($B99))),GJ[Debit]))))-((SUM(IF((CkDJ[Date]=$A$4)*(CkDJ[Sort Code]=(TRIM(E$5)))*(CkDJ[Account Code]=(TRIM($B99))),CkDJ[Credit])))+(SUM(IF((CsDJ[Date]=$A$4)*(CsDJ[Sort Code]=(TRIM(E$5)))*(CsDJ[Account Code]=(TRIM($B99))),CsDJ[Credit])))+(SUM(IF((CRDJ[Date]=$A$4)*(CRDJ[Sort Code]=(TRIM(E$5)))*(CRDJ[Account Code]=(TRIM($B99))),CRDJ[Credit])))+(SUM(IF((GJ[Date]=$A$4)*(GJ[Sort Code]=(TRIM(E$5)))*(GJ[Account Code]=(TRIM($B99))),GJ[Credit]))))</f>
        <v>0</v>
      </c>
      <c r="E99" s="467">
        <f t="shared" si="3"/>
        <v>0</v>
      </c>
    </row>
    <row r="100" spans="1:5" x14ac:dyDescent="0.2">
      <c r="A100" s="476" t="s">
        <v>347</v>
      </c>
      <c r="B100" s="339" t="s">
        <v>338</v>
      </c>
      <c r="C100" s="466">
        <f t="array" ref="C100">((SUM(IF((CkDJ[Sort Code]=(TRIM(E$5)))*(CkDJ[Account Code]=(TRIM($B100)))*(CkDJ[Date]&lt;=$C$8),CkDJ[Debit])))+(SUM(IF((CsDJ[Sort Code]=(TRIM(E$5)))*(CsDJ[Account Code]=(TRIM($B100)))*(CsDJ[Date]&lt;=$C$8),CsDJ[Debit])))+(SUM(IF((CRDJ[Sort Code]=(TRIM(E$5)))*(CRDJ[Account Code]=(TRIM($B100)))*(CRDJ[Date]&lt;=$C$8),CRDJ[Debit])))+(SUM(IF((GJ[Sort Code]=(TRIM(E$5)))*(GJ[Account Code]=(TRIM($B100)))*(GJ[Date]&lt;=$C$8),GJ[Debit]))))-((SUM(IF((CkDJ[Sort Code]=(TRIM(E$5)))*(CkDJ[Account Code]=(TRIM($B100)))*(CkDJ[Date]&lt;=$C$8),CkDJ[Credit])))+(SUM(IF((CsDJ[Sort Code]=(TRIM(E$5)))*(CsDJ[Account Code]=(TRIM($B100)))*(CsDJ[Date]&lt;=$C$8),CsDJ[Credit])))+(SUM(IF((CRDJ[Sort Code]=(TRIM(E$5)))*(CRDJ[Account Code]=(TRIM($B100)))*(CRDJ[Date]&lt;=$C$8),CRDJ[Credit])))+(SUM(IF((GJ[Sort Code]=(TRIM(E$5)))*(GJ[Account Code]=(TRIM($B100)))*(GJ[Date]&lt;=$C$8),GJ[Credit]))))</f>
        <v>0</v>
      </c>
      <c r="D100" s="466">
        <f t="array" ref="D100">((SUM(IF((CkDJ[Date]=$A$4)*(CkDJ[Sort Code]=(TRIM(E$5)))*(CkDJ[Account Code]=(TRIM($B100))),CkDJ[Debit])))+(SUM(IF((CsDJ[Date]=$A$4)*(CsDJ[Sort Code]=(TRIM(E$5)))*(CsDJ[Account Code]=(TRIM($B100))),CsDJ[Debit])))+(SUM(IF((CRDJ[Date]=$A$4)*(CRDJ[Sort Code]=(TRIM(E$5)))*(CRDJ[Account Code]=(TRIM($B100))),CRDJ[Debit])))+(SUM(IF((GJ[Date]=$A$4)*(GJ[Sort Code]=(TRIM(E$5)))*(GJ[Account Code]=(TRIM($B100))),GJ[Debit]))))-((SUM(IF((CkDJ[Date]=$A$4)*(CkDJ[Sort Code]=(TRIM(E$5)))*(CkDJ[Account Code]=(TRIM($B100))),CkDJ[Credit])))+(SUM(IF((CsDJ[Date]=$A$4)*(CsDJ[Sort Code]=(TRIM(E$5)))*(CsDJ[Account Code]=(TRIM($B100))),CsDJ[Credit])))+(SUM(IF((CRDJ[Date]=$A$4)*(CRDJ[Sort Code]=(TRIM(E$5)))*(CRDJ[Account Code]=(TRIM($B100))),CRDJ[Credit])))+(SUM(IF((GJ[Date]=$A$4)*(GJ[Sort Code]=(TRIM(E$5)))*(GJ[Account Code]=(TRIM($B100))),GJ[Credit]))))</f>
        <v>0</v>
      </c>
      <c r="E100" s="467">
        <f t="shared" si="3"/>
        <v>0</v>
      </c>
    </row>
    <row r="101" spans="1:5" x14ac:dyDescent="0.2">
      <c r="A101" s="476" t="s">
        <v>348</v>
      </c>
      <c r="B101" s="339" t="s">
        <v>339</v>
      </c>
      <c r="C101" s="466">
        <f t="array" ref="C101">((SUM(IF((CkDJ[Sort Code]=(TRIM(E$5)))*(CkDJ[Account Code]=(TRIM($B101)))*(CkDJ[Date]&lt;=$C$8),CkDJ[Debit])))+(SUM(IF((CsDJ[Sort Code]=(TRIM(E$5)))*(CsDJ[Account Code]=(TRIM($B101)))*(CsDJ[Date]&lt;=$C$8),CsDJ[Debit])))+(SUM(IF((CRDJ[Sort Code]=(TRIM(E$5)))*(CRDJ[Account Code]=(TRIM($B101)))*(CRDJ[Date]&lt;=$C$8),CRDJ[Debit])))+(SUM(IF((GJ[Sort Code]=(TRIM(E$5)))*(GJ[Account Code]=(TRIM($B101)))*(GJ[Date]&lt;=$C$8),GJ[Debit]))))-((SUM(IF((CkDJ[Sort Code]=(TRIM(E$5)))*(CkDJ[Account Code]=(TRIM($B101)))*(CkDJ[Date]&lt;=$C$8),CkDJ[Credit])))+(SUM(IF((CsDJ[Sort Code]=(TRIM(E$5)))*(CsDJ[Account Code]=(TRIM($B101)))*(CsDJ[Date]&lt;=$C$8),CsDJ[Credit])))+(SUM(IF((CRDJ[Sort Code]=(TRIM(E$5)))*(CRDJ[Account Code]=(TRIM($B101)))*(CRDJ[Date]&lt;=$C$8),CRDJ[Credit])))+(SUM(IF((GJ[Sort Code]=(TRIM(E$5)))*(GJ[Account Code]=(TRIM($B101)))*(GJ[Date]&lt;=$C$8),GJ[Credit]))))</f>
        <v>0</v>
      </c>
      <c r="D101" s="466">
        <f t="array" ref="D101">((SUM(IF((CkDJ[Date]=$A$4)*(CkDJ[Sort Code]=(TRIM(E$5)))*(CkDJ[Account Code]=(TRIM($B101))),CkDJ[Debit])))+(SUM(IF((CsDJ[Date]=$A$4)*(CsDJ[Sort Code]=(TRIM(E$5)))*(CsDJ[Account Code]=(TRIM($B101))),CsDJ[Debit])))+(SUM(IF((CRDJ[Date]=$A$4)*(CRDJ[Sort Code]=(TRIM(E$5)))*(CRDJ[Account Code]=(TRIM($B101))),CRDJ[Debit])))+(SUM(IF((GJ[Date]=$A$4)*(GJ[Sort Code]=(TRIM(E$5)))*(GJ[Account Code]=(TRIM($B101))),GJ[Debit]))))-((SUM(IF((CkDJ[Date]=$A$4)*(CkDJ[Sort Code]=(TRIM(E$5)))*(CkDJ[Account Code]=(TRIM($B101))),CkDJ[Credit])))+(SUM(IF((CsDJ[Date]=$A$4)*(CsDJ[Sort Code]=(TRIM(E$5)))*(CsDJ[Account Code]=(TRIM($B101))),CsDJ[Credit])))+(SUM(IF((CRDJ[Date]=$A$4)*(CRDJ[Sort Code]=(TRIM(E$5)))*(CRDJ[Account Code]=(TRIM($B101))),CRDJ[Credit])))+(SUM(IF((GJ[Date]=$A$4)*(GJ[Sort Code]=(TRIM(E$5)))*(GJ[Account Code]=(TRIM($B101))),GJ[Credit]))))</f>
        <v>0</v>
      </c>
      <c r="E101" s="467">
        <f t="shared" si="3"/>
        <v>0</v>
      </c>
    </row>
    <row r="102" spans="1:5" x14ac:dyDescent="0.2">
      <c r="A102" s="476" t="s">
        <v>1021</v>
      </c>
      <c r="B102" s="339" t="s">
        <v>245</v>
      </c>
      <c r="C102" s="466">
        <f t="array" ref="C102">((SUM(IF((CkDJ[Sort Code]=(TRIM(E$5)))*(CkDJ[Account Code]=(TRIM($B102)))*(CkDJ[Date]&lt;=$C$8),CkDJ[Debit])))+(SUM(IF((CsDJ[Sort Code]=(TRIM(E$5)))*(CsDJ[Account Code]=(TRIM($B102)))*(CsDJ[Date]&lt;=$C$8),CsDJ[Debit])))+(SUM(IF((CRDJ[Sort Code]=(TRIM(E$5)))*(CRDJ[Account Code]=(TRIM($B102)))*(CRDJ[Date]&lt;=$C$8),CRDJ[Debit])))+(SUM(IF((GJ[Sort Code]=(TRIM(E$5)))*(GJ[Account Code]=(TRIM($B102)))*(GJ[Date]&lt;=$C$8),GJ[Debit]))))-((SUM(IF((CkDJ[Sort Code]=(TRIM(E$5)))*(CkDJ[Account Code]=(TRIM($B102)))*(CkDJ[Date]&lt;=$C$8),CkDJ[Credit])))+(SUM(IF((CsDJ[Sort Code]=(TRIM(E$5)))*(CsDJ[Account Code]=(TRIM($B102)))*(CsDJ[Date]&lt;=$C$8),CsDJ[Credit])))+(SUM(IF((CRDJ[Sort Code]=(TRIM(E$5)))*(CRDJ[Account Code]=(TRIM($B102)))*(CRDJ[Date]&lt;=$C$8),CRDJ[Credit])))+(SUM(IF((GJ[Sort Code]=(TRIM(E$5)))*(GJ[Account Code]=(TRIM($B102)))*(GJ[Date]&lt;=$C$8),GJ[Credit]))))</f>
        <v>0</v>
      </c>
      <c r="D102" s="466">
        <f t="array" ref="D102">((SUM(IF((CkDJ[Date]=$A$4)*(CkDJ[Sort Code]=(TRIM(E$5)))*(CkDJ[Account Code]=(TRIM($B102))),CkDJ[Debit])))+(SUM(IF((CsDJ[Date]=$A$4)*(CsDJ[Sort Code]=(TRIM(E$5)))*(CsDJ[Account Code]=(TRIM($B102))),CsDJ[Debit])))+(SUM(IF((CRDJ[Date]=$A$4)*(CRDJ[Sort Code]=(TRIM(E$5)))*(CRDJ[Account Code]=(TRIM($B102))),CRDJ[Debit])))+(SUM(IF((GJ[Date]=$A$4)*(GJ[Sort Code]=(TRIM(E$5)))*(GJ[Account Code]=(TRIM($B102))),GJ[Debit]))))-((SUM(IF((CkDJ[Date]=$A$4)*(CkDJ[Sort Code]=(TRIM(E$5)))*(CkDJ[Account Code]=(TRIM($B102))),CkDJ[Credit])))+(SUM(IF((CsDJ[Date]=$A$4)*(CsDJ[Sort Code]=(TRIM(E$5)))*(CsDJ[Account Code]=(TRIM($B102))),CsDJ[Credit])))+(SUM(IF((CRDJ[Date]=$A$4)*(CRDJ[Sort Code]=(TRIM(E$5)))*(CRDJ[Account Code]=(TRIM($B102))),CRDJ[Credit])))+(SUM(IF((GJ[Date]=$A$4)*(GJ[Sort Code]=(TRIM(E$5)))*(GJ[Account Code]=(TRIM($B102))),GJ[Credit]))))</f>
        <v>0</v>
      </c>
      <c r="E102" s="467">
        <f t="shared" si="3"/>
        <v>0</v>
      </c>
    </row>
    <row r="103" spans="1:5" x14ac:dyDescent="0.2">
      <c r="A103" s="476" t="s">
        <v>1022</v>
      </c>
      <c r="B103" s="339" t="s">
        <v>246</v>
      </c>
      <c r="C103" s="466">
        <f t="array" ref="C103">((SUM(IF((CkDJ[Sort Code]=(TRIM(E$5)))*(CkDJ[Account Code]=(TRIM($B103)))*(CkDJ[Date]&lt;=$C$8),CkDJ[Debit])))+(SUM(IF((CsDJ[Sort Code]=(TRIM(E$5)))*(CsDJ[Account Code]=(TRIM($B103)))*(CsDJ[Date]&lt;=$C$8),CsDJ[Debit])))+(SUM(IF((CRDJ[Sort Code]=(TRIM(E$5)))*(CRDJ[Account Code]=(TRIM($B103)))*(CRDJ[Date]&lt;=$C$8),CRDJ[Debit])))+(SUM(IF((GJ[Sort Code]=(TRIM(E$5)))*(GJ[Account Code]=(TRIM($B103)))*(GJ[Date]&lt;=$C$8),GJ[Debit]))))-((SUM(IF((CkDJ[Sort Code]=(TRIM(E$5)))*(CkDJ[Account Code]=(TRIM($B103)))*(CkDJ[Date]&lt;=$C$8),CkDJ[Credit])))+(SUM(IF((CsDJ[Sort Code]=(TRIM(E$5)))*(CsDJ[Account Code]=(TRIM($B103)))*(CsDJ[Date]&lt;=$C$8),CsDJ[Credit])))+(SUM(IF((CRDJ[Sort Code]=(TRIM(E$5)))*(CRDJ[Account Code]=(TRIM($B103)))*(CRDJ[Date]&lt;=$C$8),CRDJ[Credit])))+(SUM(IF((GJ[Sort Code]=(TRIM(E$5)))*(GJ[Account Code]=(TRIM($B103)))*(GJ[Date]&lt;=$C$8),GJ[Credit]))))</f>
        <v>0</v>
      </c>
      <c r="D103" s="466">
        <f t="array" ref="D103">((SUM(IF((CkDJ[Date]=$A$4)*(CkDJ[Sort Code]=(TRIM(E$5)))*(CkDJ[Account Code]=(TRIM($B103))),CkDJ[Debit])))+(SUM(IF((CsDJ[Date]=$A$4)*(CsDJ[Sort Code]=(TRIM(E$5)))*(CsDJ[Account Code]=(TRIM($B103))),CsDJ[Debit])))+(SUM(IF((CRDJ[Date]=$A$4)*(CRDJ[Sort Code]=(TRIM(E$5)))*(CRDJ[Account Code]=(TRIM($B103))),CRDJ[Debit])))+(SUM(IF((GJ[Date]=$A$4)*(GJ[Sort Code]=(TRIM(E$5)))*(GJ[Account Code]=(TRIM($B103))),GJ[Debit]))))-((SUM(IF((CkDJ[Date]=$A$4)*(CkDJ[Sort Code]=(TRIM(E$5)))*(CkDJ[Account Code]=(TRIM($B103))),CkDJ[Credit])))+(SUM(IF((CsDJ[Date]=$A$4)*(CsDJ[Sort Code]=(TRIM(E$5)))*(CsDJ[Account Code]=(TRIM($B103))),CsDJ[Credit])))+(SUM(IF((CRDJ[Date]=$A$4)*(CRDJ[Sort Code]=(TRIM(E$5)))*(CRDJ[Account Code]=(TRIM($B103))),CRDJ[Credit])))+(SUM(IF((GJ[Date]=$A$4)*(GJ[Sort Code]=(TRIM(E$5)))*(GJ[Account Code]=(TRIM($B103))),GJ[Credit]))))</f>
        <v>0</v>
      </c>
      <c r="E103" s="467">
        <f t="shared" si="3"/>
        <v>0</v>
      </c>
    </row>
    <row r="104" spans="1:5" x14ac:dyDescent="0.2">
      <c r="A104" s="476" t="s">
        <v>304</v>
      </c>
      <c r="B104" s="339" t="s">
        <v>222</v>
      </c>
      <c r="C104" s="466">
        <f t="array" ref="C104">((SUM(IF((CkDJ[Sort Code]=(TRIM(E$5)))*(CkDJ[Account Code]=(TRIM($B104)))*(CkDJ[Date]&lt;=$C$8),CkDJ[Debit])))+(SUM(IF((CsDJ[Sort Code]=(TRIM(E$5)))*(CsDJ[Account Code]=(TRIM($B104)))*(CsDJ[Date]&lt;=$C$8),CsDJ[Debit])))+(SUM(IF((CRDJ[Sort Code]=(TRIM(E$5)))*(CRDJ[Account Code]=(TRIM($B104)))*(CRDJ[Date]&lt;=$C$8),CRDJ[Debit])))+(SUM(IF((GJ[Sort Code]=(TRIM(E$5)))*(GJ[Account Code]=(TRIM($B104)))*(GJ[Date]&lt;=$C$8),GJ[Debit]))))-((SUM(IF((CkDJ[Sort Code]=(TRIM(E$5)))*(CkDJ[Account Code]=(TRIM($B104)))*(CkDJ[Date]&lt;=$C$8),CkDJ[Credit])))+(SUM(IF((CsDJ[Sort Code]=(TRIM(E$5)))*(CsDJ[Account Code]=(TRIM($B104)))*(CsDJ[Date]&lt;=$C$8),CsDJ[Credit])))+(SUM(IF((CRDJ[Sort Code]=(TRIM(E$5)))*(CRDJ[Account Code]=(TRIM($B104)))*(CRDJ[Date]&lt;=$C$8),CRDJ[Credit])))+(SUM(IF((GJ[Sort Code]=(TRIM(E$5)))*(GJ[Account Code]=(TRIM($B104)))*(GJ[Date]&lt;=$C$8),GJ[Credit]))))</f>
        <v>0</v>
      </c>
      <c r="D104" s="466">
        <f t="array" ref="D104">((SUM(IF((CkDJ[Date]=$A$4)*(CkDJ[Sort Code]=(TRIM(E$5)))*(CkDJ[Account Code]=(TRIM($B104))),CkDJ[Debit])))+(SUM(IF((CsDJ[Date]=$A$4)*(CsDJ[Sort Code]=(TRIM(E$5)))*(CsDJ[Account Code]=(TRIM($B104))),CsDJ[Debit])))+(SUM(IF((CRDJ[Date]=$A$4)*(CRDJ[Sort Code]=(TRIM(E$5)))*(CRDJ[Account Code]=(TRIM($B104))),CRDJ[Debit])))+(SUM(IF((GJ[Date]=$A$4)*(GJ[Sort Code]=(TRIM(E$5)))*(GJ[Account Code]=(TRIM($B104))),GJ[Debit]))))-((SUM(IF((CkDJ[Date]=$A$4)*(CkDJ[Sort Code]=(TRIM(E$5)))*(CkDJ[Account Code]=(TRIM($B104))),CkDJ[Credit])))+(SUM(IF((CsDJ[Date]=$A$4)*(CsDJ[Sort Code]=(TRIM(E$5)))*(CsDJ[Account Code]=(TRIM($B104))),CsDJ[Credit])))+(SUM(IF((CRDJ[Date]=$A$4)*(CRDJ[Sort Code]=(TRIM(E$5)))*(CRDJ[Account Code]=(TRIM($B104))),CRDJ[Credit])))+(SUM(IF((GJ[Date]=$A$4)*(GJ[Sort Code]=(TRIM(E$5)))*(GJ[Account Code]=(TRIM($B104))),GJ[Credit]))))</f>
        <v>0</v>
      </c>
      <c r="E104" s="467">
        <f t="shared" si="3"/>
        <v>0</v>
      </c>
    </row>
    <row r="105" spans="1:5" x14ac:dyDescent="0.2">
      <c r="A105" s="476" t="s">
        <v>1023</v>
      </c>
      <c r="B105" s="339" t="s">
        <v>247</v>
      </c>
      <c r="C105" s="466">
        <f t="array" ref="C105">((SUM(IF((CkDJ[Sort Code]=(TRIM(E$5)))*(CkDJ[Account Code]=(TRIM($B105)))*(CkDJ[Date]&lt;=$C$8),CkDJ[Debit])))+(SUM(IF((CsDJ[Sort Code]=(TRIM(E$5)))*(CsDJ[Account Code]=(TRIM($B105)))*(CsDJ[Date]&lt;=$C$8),CsDJ[Debit])))+(SUM(IF((CRDJ[Sort Code]=(TRIM(E$5)))*(CRDJ[Account Code]=(TRIM($B105)))*(CRDJ[Date]&lt;=$C$8),CRDJ[Debit])))+(SUM(IF((GJ[Sort Code]=(TRIM(E$5)))*(GJ[Account Code]=(TRIM($B105)))*(GJ[Date]&lt;=$C$8),GJ[Debit]))))-((SUM(IF((CkDJ[Sort Code]=(TRIM(E$5)))*(CkDJ[Account Code]=(TRIM($B105)))*(CkDJ[Date]&lt;=$C$8),CkDJ[Credit])))+(SUM(IF((CsDJ[Sort Code]=(TRIM(E$5)))*(CsDJ[Account Code]=(TRIM($B105)))*(CsDJ[Date]&lt;=$C$8),CsDJ[Credit])))+(SUM(IF((CRDJ[Sort Code]=(TRIM(E$5)))*(CRDJ[Account Code]=(TRIM($B105)))*(CRDJ[Date]&lt;=$C$8),CRDJ[Credit])))+(SUM(IF((GJ[Sort Code]=(TRIM(E$5)))*(GJ[Account Code]=(TRIM($B105)))*(GJ[Date]&lt;=$C$8),GJ[Credit]))))</f>
        <v>0</v>
      </c>
      <c r="D105" s="466">
        <f t="array" ref="D105">((SUM(IF((CkDJ[Date]=$A$4)*(CkDJ[Sort Code]=(TRIM(E$5)))*(CkDJ[Account Code]=(TRIM($B105))),CkDJ[Debit])))+(SUM(IF((CsDJ[Date]=$A$4)*(CsDJ[Sort Code]=(TRIM(E$5)))*(CsDJ[Account Code]=(TRIM($B105))),CsDJ[Debit])))+(SUM(IF((CRDJ[Date]=$A$4)*(CRDJ[Sort Code]=(TRIM(E$5)))*(CRDJ[Account Code]=(TRIM($B105))),CRDJ[Debit])))+(SUM(IF((GJ[Date]=$A$4)*(GJ[Sort Code]=(TRIM(E$5)))*(GJ[Account Code]=(TRIM($B105))),GJ[Debit]))))-((SUM(IF((CkDJ[Date]=$A$4)*(CkDJ[Sort Code]=(TRIM(E$5)))*(CkDJ[Account Code]=(TRIM($B105))),CkDJ[Credit])))+(SUM(IF((CsDJ[Date]=$A$4)*(CsDJ[Sort Code]=(TRIM(E$5)))*(CsDJ[Account Code]=(TRIM($B105))),CsDJ[Credit])))+(SUM(IF((CRDJ[Date]=$A$4)*(CRDJ[Sort Code]=(TRIM(E$5)))*(CRDJ[Account Code]=(TRIM($B105))),CRDJ[Credit])))+(SUM(IF((GJ[Date]=$A$4)*(GJ[Sort Code]=(TRIM(E$5)))*(GJ[Account Code]=(TRIM($B105))),GJ[Credit]))))</f>
        <v>0</v>
      </c>
      <c r="E105" s="467">
        <f t="shared" si="3"/>
        <v>0</v>
      </c>
    </row>
    <row r="106" spans="1:5" x14ac:dyDescent="0.2">
      <c r="A106" s="476" t="s">
        <v>1024</v>
      </c>
      <c r="B106" s="339" t="s">
        <v>248</v>
      </c>
      <c r="C106" s="466">
        <f t="array" ref="C106">((SUM(IF((CkDJ[Sort Code]=(TRIM(E$5)))*(CkDJ[Account Code]=(TRIM($B106)))*(CkDJ[Date]&lt;=$C$8),CkDJ[Debit])))+(SUM(IF((CsDJ[Sort Code]=(TRIM(E$5)))*(CsDJ[Account Code]=(TRIM($B106)))*(CsDJ[Date]&lt;=$C$8),CsDJ[Debit])))+(SUM(IF((CRDJ[Sort Code]=(TRIM(E$5)))*(CRDJ[Account Code]=(TRIM($B106)))*(CRDJ[Date]&lt;=$C$8),CRDJ[Debit])))+(SUM(IF((GJ[Sort Code]=(TRIM(E$5)))*(GJ[Account Code]=(TRIM($B106)))*(GJ[Date]&lt;=$C$8),GJ[Debit]))))-((SUM(IF((CkDJ[Sort Code]=(TRIM(E$5)))*(CkDJ[Account Code]=(TRIM($B106)))*(CkDJ[Date]&lt;=$C$8),CkDJ[Credit])))+(SUM(IF((CsDJ[Sort Code]=(TRIM(E$5)))*(CsDJ[Account Code]=(TRIM($B106)))*(CsDJ[Date]&lt;=$C$8),CsDJ[Credit])))+(SUM(IF((CRDJ[Sort Code]=(TRIM(E$5)))*(CRDJ[Account Code]=(TRIM($B106)))*(CRDJ[Date]&lt;=$C$8),CRDJ[Credit])))+(SUM(IF((GJ[Sort Code]=(TRIM(E$5)))*(GJ[Account Code]=(TRIM($B106)))*(GJ[Date]&lt;=$C$8),GJ[Credit]))))</f>
        <v>0</v>
      </c>
      <c r="D106" s="466">
        <f t="array" ref="D106">((SUM(IF((CkDJ[Date]=$A$4)*(CkDJ[Sort Code]=(TRIM(E$5)))*(CkDJ[Account Code]=(TRIM($B106))),CkDJ[Debit])))+(SUM(IF((CsDJ[Date]=$A$4)*(CsDJ[Sort Code]=(TRIM(E$5)))*(CsDJ[Account Code]=(TRIM($B106))),CsDJ[Debit])))+(SUM(IF((CRDJ[Date]=$A$4)*(CRDJ[Sort Code]=(TRIM(E$5)))*(CRDJ[Account Code]=(TRIM($B106))),CRDJ[Debit])))+(SUM(IF((GJ[Date]=$A$4)*(GJ[Sort Code]=(TRIM(E$5)))*(GJ[Account Code]=(TRIM($B106))),GJ[Debit]))))-((SUM(IF((CkDJ[Date]=$A$4)*(CkDJ[Sort Code]=(TRIM(E$5)))*(CkDJ[Account Code]=(TRIM($B106))),CkDJ[Credit])))+(SUM(IF((CsDJ[Date]=$A$4)*(CsDJ[Sort Code]=(TRIM(E$5)))*(CsDJ[Account Code]=(TRIM($B106))),CsDJ[Credit])))+(SUM(IF((CRDJ[Date]=$A$4)*(CRDJ[Sort Code]=(TRIM(E$5)))*(CRDJ[Account Code]=(TRIM($B106))),CRDJ[Credit])))+(SUM(IF((GJ[Date]=$A$4)*(GJ[Sort Code]=(TRIM(E$5)))*(GJ[Account Code]=(TRIM($B106))),GJ[Credit]))))</f>
        <v>0</v>
      </c>
      <c r="E106" s="467">
        <f t="shared" si="3"/>
        <v>0</v>
      </c>
    </row>
    <row r="107" spans="1:5" x14ac:dyDescent="0.2">
      <c r="A107" s="476" t="s">
        <v>1025</v>
      </c>
      <c r="B107" s="339" t="s">
        <v>249</v>
      </c>
      <c r="C107" s="466">
        <f t="array" ref="C107">((SUM(IF((CkDJ[Sort Code]=(TRIM(E$5)))*(CkDJ[Account Code]=(TRIM($B107)))*(CkDJ[Date]&lt;=$C$8),CkDJ[Debit])))+(SUM(IF((CsDJ[Sort Code]=(TRIM(E$5)))*(CsDJ[Account Code]=(TRIM($B107)))*(CsDJ[Date]&lt;=$C$8),CsDJ[Debit])))+(SUM(IF((CRDJ[Sort Code]=(TRIM(E$5)))*(CRDJ[Account Code]=(TRIM($B107)))*(CRDJ[Date]&lt;=$C$8),CRDJ[Debit])))+(SUM(IF((GJ[Sort Code]=(TRIM(E$5)))*(GJ[Account Code]=(TRIM($B107)))*(GJ[Date]&lt;=$C$8),GJ[Debit]))))-((SUM(IF((CkDJ[Sort Code]=(TRIM(E$5)))*(CkDJ[Account Code]=(TRIM($B107)))*(CkDJ[Date]&lt;=$C$8),CkDJ[Credit])))+(SUM(IF((CsDJ[Sort Code]=(TRIM(E$5)))*(CsDJ[Account Code]=(TRIM($B107)))*(CsDJ[Date]&lt;=$C$8),CsDJ[Credit])))+(SUM(IF((CRDJ[Sort Code]=(TRIM(E$5)))*(CRDJ[Account Code]=(TRIM($B107)))*(CRDJ[Date]&lt;=$C$8),CRDJ[Credit])))+(SUM(IF((GJ[Sort Code]=(TRIM(E$5)))*(GJ[Account Code]=(TRIM($B107)))*(GJ[Date]&lt;=$C$8),GJ[Credit]))))</f>
        <v>0</v>
      </c>
      <c r="D107" s="466">
        <f t="array" ref="D107">((SUM(IF((CkDJ[Date]=$A$4)*(CkDJ[Sort Code]=(TRIM(E$5)))*(CkDJ[Account Code]=(TRIM($B107))),CkDJ[Debit])))+(SUM(IF((CsDJ[Date]=$A$4)*(CsDJ[Sort Code]=(TRIM(E$5)))*(CsDJ[Account Code]=(TRIM($B107))),CsDJ[Debit])))+(SUM(IF((CRDJ[Date]=$A$4)*(CRDJ[Sort Code]=(TRIM(E$5)))*(CRDJ[Account Code]=(TRIM($B107))),CRDJ[Debit])))+(SUM(IF((GJ[Date]=$A$4)*(GJ[Sort Code]=(TRIM(E$5)))*(GJ[Account Code]=(TRIM($B107))),GJ[Debit]))))-((SUM(IF((CkDJ[Date]=$A$4)*(CkDJ[Sort Code]=(TRIM(E$5)))*(CkDJ[Account Code]=(TRIM($B107))),CkDJ[Credit])))+(SUM(IF((CsDJ[Date]=$A$4)*(CsDJ[Sort Code]=(TRIM(E$5)))*(CsDJ[Account Code]=(TRIM($B107))),CsDJ[Credit])))+(SUM(IF((CRDJ[Date]=$A$4)*(CRDJ[Sort Code]=(TRIM(E$5)))*(CRDJ[Account Code]=(TRIM($B107))),CRDJ[Credit])))+(SUM(IF((GJ[Date]=$A$4)*(GJ[Sort Code]=(TRIM(E$5)))*(GJ[Account Code]=(TRIM($B107))),GJ[Credit]))))</f>
        <v>0</v>
      </c>
      <c r="E107" s="467">
        <f t="shared" si="3"/>
        <v>0</v>
      </c>
    </row>
    <row r="108" spans="1:5" x14ac:dyDescent="0.2">
      <c r="A108" s="476" t="s">
        <v>302</v>
      </c>
      <c r="B108" s="339" t="s">
        <v>250</v>
      </c>
      <c r="C108" s="466">
        <f t="array" ref="C108">((SUM(IF((CkDJ[Sort Code]=(TRIM(E$5)))*(CkDJ[Account Code]=(TRIM($B108)))*(CkDJ[Date]&lt;=$C$8),CkDJ[Debit])))+(SUM(IF((CsDJ[Sort Code]=(TRIM(E$5)))*(CsDJ[Account Code]=(TRIM($B108)))*(CsDJ[Date]&lt;=$C$8),CsDJ[Debit])))+(SUM(IF((CRDJ[Sort Code]=(TRIM(E$5)))*(CRDJ[Account Code]=(TRIM($B108)))*(CRDJ[Date]&lt;=$C$8),CRDJ[Debit])))+(SUM(IF((GJ[Sort Code]=(TRIM(E$5)))*(GJ[Account Code]=(TRIM($B108)))*(GJ[Date]&lt;=$C$8),GJ[Debit]))))-((SUM(IF((CkDJ[Sort Code]=(TRIM(E$5)))*(CkDJ[Account Code]=(TRIM($B108)))*(CkDJ[Date]&lt;=$C$8),CkDJ[Credit])))+(SUM(IF((CsDJ[Sort Code]=(TRIM(E$5)))*(CsDJ[Account Code]=(TRIM($B108)))*(CsDJ[Date]&lt;=$C$8),CsDJ[Credit])))+(SUM(IF((CRDJ[Sort Code]=(TRIM(E$5)))*(CRDJ[Account Code]=(TRIM($B108)))*(CRDJ[Date]&lt;=$C$8),CRDJ[Credit])))+(SUM(IF((GJ[Sort Code]=(TRIM(E$5)))*(GJ[Account Code]=(TRIM($B108)))*(GJ[Date]&lt;=$C$8),GJ[Credit]))))</f>
        <v>0</v>
      </c>
      <c r="D108" s="466">
        <f t="array" ref="D108">((SUM(IF((CkDJ[Date]=$A$4)*(CkDJ[Sort Code]=(TRIM(E$5)))*(CkDJ[Account Code]=(TRIM($B108))),CkDJ[Debit])))+(SUM(IF((CsDJ[Date]=$A$4)*(CsDJ[Sort Code]=(TRIM(E$5)))*(CsDJ[Account Code]=(TRIM($B108))),CsDJ[Debit])))+(SUM(IF((CRDJ[Date]=$A$4)*(CRDJ[Sort Code]=(TRIM(E$5)))*(CRDJ[Account Code]=(TRIM($B108))),CRDJ[Debit])))+(SUM(IF((GJ[Date]=$A$4)*(GJ[Sort Code]=(TRIM(E$5)))*(GJ[Account Code]=(TRIM($B108))),GJ[Debit]))))-((SUM(IF((CkDJ[Date]=$A$4)*(CkDJ[Sort Code]=(TRIM(E$5)))*(CkDJ[Account Code]=(TRIM($B108))),CkDJ[Credit])))+(SUM(IF((CsDJ[Date]=$A$4)*(CsDJ[Sort Code]=(TRIM(E$5)))*(CsDJ[Account Code]=(TRIM($B108))),CsDJ[Credit])))+(SUM(IF((CRDJ[Date]=$A$4)*(CRDJ[Sort Code]=(TRIM(E$5)))*(CRDJ[Account Code]=(TRIM($B108))),CRDJ[Credit])))+(SUM(IF((GJ[Date]=$A$4)*(GJ[Sort Code]=(TRIM(E$5)))*(GJ[Account Code]=(TRIM($B108))),GJ[Credit]))))</f>
        <v>0</v>
      </c>
      <c r="E108" s="467">
        <f t="shared" si="3"/>
        <v>0</v>
      </c>
    </row>
    <row r="109" spans="1:5" x14ac:dyDescent="0.2">
      <c r="A109" s="476" t="s">
        <v>841</v>
      </c>
      <c r="B109" s="339" t="s">
        <v>251</v>
      </c>
      <c r="C109" s="466">
        <f t="array" ref="C109">((SUM(IF((CkDJ[Sort Code]=(TRIM(E$5)))*(CkDJ[Account Code]=(TRIM($B109)))*(CkDJ[Date]&lt;=$C$8),CkDJ[Debit])))+(SUM(IF((CsDJ[Sort Code]=(TRIM(E$5)))*(CsDJ[Account Code]=(TRIM($B109)))*(CsDJ[Date]&lt;=$C$8),CsDJ[Debit])))+(SUM(IF((CRDJ[Sort Code]=(TRIM(E$5)))*(CRDJ[Account Code]=(TRIM($B109)))*(CRDJ[Date]&lt;=$C$8),CRDJ[Debit])))+(SUM(IF((GJ[Sort Code]=(TRIM(E$5)))*(GJ[Account Code]=(TRIM($B109)))*(GJ[Date]&lt;=$C$8),GJ[Debit]))))-((SUM(IF((CkDJ[Sort Code]=(TRIM(E$5)))*(CkDJ[Account Code]=(TRIM($B109)))*(CkDJ[Date]&lt;=$C$8),CkDJ[Credit])))+(SUM(IF((CsDJ[Sort Code]=(TRIM(E$5)))*(CsDJ[Account Code]=(TRIM($B109)))*(CsDJ[Date]&lt;=$C$8),CsDJ[Credit])))+(SUM(IF((CRDJ[Sort Code]=(TRIM(E$5)))*(CRDJ[Account Code]=(TRIM($B109)))*(CRDJ[Date]&lt;=$C$8),CRDJ[Credit])))+(SUM(IF((GJ[Sort Code]=(TRIM(E$5)))*(GJ[Account Code]=(TRIM($B109)))*(GJ[Date]&lt;=$C$8),GJ[Credit]))))</f>
        <v>0</v>
      </c>
      <c r="D109" s="466">
        <f t="array" ref="D109">((SUM(IF((CkDJ[Date]=$A$4)*(CkDJ[Sort Code]=(TRIM(E$5)))*(CkDJ[Account Code]=(TRIM($B109))),CkDJ[Debit])))+(SUM(IF((CsDJ[Date]=$A$4)*(CsDJ[Sort Code]=(TRIM(E$5)))*(CsDJ[Account Code]=(TRIM($B109))),CsDJ[Debit])))+(SUM(IF((CRDJ[Date]=$A$4)*(CRDJ[Sort Code]=(TRIM(E$5)))*(CRDJ[Account Code]=(TRIM($B109))),CRDJ[Debit])))+(SUM(IF((GJ[Date]=$A$4)*(GJ[Sort Code]=(TRIM(E$5)))*(GJ[Account Code]=(TRIM($B109))),GJ[Debit]))))-((SUM(IF((CkDJ[Date]=$A$4)*(CkDJ[Sort Code]=(TRIM(E$5)))*(CkDJ[Account Code]=(TRIM($B109))),CkDJ[Credit])))+(SUM(IF((CsDJ[Date]=$A$4)*(CsDJ[Sort Code]=(TRIM(E$5)))*(CsDJ[Account Code]=(TRIM($B109))),CsDJ[Credit])))+(SUM(IF((CRDJ[Date]=$A$4)*(CRDJ[Sort Code]=(TRIM(E$5)))*(CRDJ[Account Code]=(TRIM($B109))),CRDJ[Credit])))+(SUM(IF((GJ[Date]=$A$4)*(GJ[Sort Code]=(TRIM(E$5)))*(GJ[Account Code]=(TRIM($B109))),GJ[Credit]))))</f>
        <v>0</v>
      </c>
      <c r="E109" s="467">
        <f t="shared" si="3"/>
        <v>0</v>
      </c>
    </row>
    <row r="110" spans="1:5" x14ac:dyDescent="0.2">
      <c r="A110" s="476" t="s">
        <v>1026</v>
      </c>
      <c r="B110" s="339" t="s">
        <v>252</v>
      </c>
      <c r="C110" s="466">
        <f t="array" ref="C110">((SUM(IF((CkDJ[Sort Code]=(TRIM(E$5)))*(CkDJ[Account Code]=(TRIM($B110)))*(CkDJ[Date]&lt;=$C$8),CkDJ[Debit])))+(SUM(IF((CsDJ[Sort Code]=(TRIM(E$5)))*(CsDJ[Account Code]=(TRIM($B110)))*(CsDJ[Date]&lt;=$C$8),CsDJ[Debit])))+(SUM(IF((CRDJ[Sort Code]=(TRIM(E$5)))*(CRDJ[Account Code]=(TRIM($B110)))*(CRDJ[Date]&lt;=$C$8),CRDJ[Debit])))+(SUM(IF((GJ[Sort Code]=(TRIM(E$5)))*(GJ[Account Code]=(TRIM($B110)))*(GJ[Date]&lt;=$C$8),GJ[Debit]))))-((SUM(IF((CkDJ[Sort Code]=(TRIM(E$5)))*(CkDJ[Account Code]=(TRIM($B110)))*(CkDJ[Date]&lt;=$C$8),CkDJ[Credit])))+(SUM(IF((CsDJ[Sort Code]=(TRIM(E$5)))*(CsDJ[Account Code]=(TRIM($B110)))*(CsDJ[Date]&lt;=$C$8),CsDJ[Credit])))+(SUM(IF((CRDJ[Sort Code]=(TRIM(E$5)))*(CRDJ[Account Code]=(TRIM($B110)))*(CRDJ[Date]&lt;=$C$8),CRDJ[Credit])))+(SUM(IF((GJ[Sort Code]=(TRIM(E$5)))*(GJ[Account Code]=(TRIM($B110)))*(GJ[Date]&lt;=$C$8),GJ[Credit]))))</f>
        <v>0</v>
      </c>
      <c r="D110" s="466">
        <f t="array" ref="D110">((SUM(IF((CkDJ[Date]=$A$4)*(CkDJ[Sort Code]=(TRIM(E$5)))*(CkDJ[Account Code]=(TRIM($B110))),CkDJ[Debit])))+(SUM(IF((CsDJ[Date]=$A$4)*(CsDJ[Sort Code]=(TRIM(E$5)))*(CsDJ[Account Code]=(TRIM($B110))),CsDJ[Debit])))+(SUM(IF((CRDJ[Date]=$A$4)*(CRDJ[Sort Code]=(TRIM(E$5)))*(CRDJ[Account Code]=(TRIM($B110))),CRDJ[Debit])))+(SUM(IF((GJ[Date]=$A$4)*(GJ[Sort Code]=(TRIM(E$5)))*(GJ[Account Code]=(TRIM($B110))),GJ[Debit]))))-((SUM(IF((CkDJ[Date]=$A$4)*(CkDJ[Sort Code]=(TRIM(E$5)))*(CkDJ[Account Code]=(TRIM($B110))),CkDJ[Credit])))+(SUM(IF((CsDJ[Date]=$A$4)*(CsDJ[Sort Code]=(TRIM(E$5)))*(CsDJ[Account Code]=(TRIM($B110))),CsDJ[Credit])))+(SUM(IF((CRDJ[Date]=$A$4)*(CRDJ[Sort Code]=(TRIM(E$5)))*(CRDJ[Account Code]=(TRIM($B110))),CRDJ[Credit])))+(SUM(IF((GJ[Date]=$A$4)*(GJ[Sort Code]=(TRIM(E$5)))*(GJ[Account Code]=(TRIM($B110))),GJ[Credit]))))</f>
        <v>0</v>
      </c>
      <c r="E110" s="467">
        <f t="shared" si="3"/>
        <v>0</v>
      </c>
    </row>
    <row r="111" spans="1:5" x14ac:dyDescent="0.2">
      <c r="A111" s="476" t="s">
        <v>307</v>
      </c>
      <c r="B111" s="339" t="s">
        <v>253</v>
      </c>
      <c r="C111" s="466">
        <f t="array" ref="C111">((SUM(IF((CkDJ[Sort Code]=(TRIM(E$5)))*(CkDJ[Account Code]=(TRIM($B111)))*(CkDJ[Date]&lt;=$C$8),CkDJ[Debit])))+(SUM(IF((CsDJ[Sort Code]=(TRIM(E$5)))*(CsDJ[Account Code]=(TRIM($B111)))*(CsDJ[Date]&lt;=$C$8),CsDJ[Debit])))+(SUM(IF((CRDJ[Sort Code]=(TRIM(E$5)))*(CRDJ[Account Code]=(TRIM($B111)))*(CRDJ[Date]&lt;=$C$8),CRDJ[Debit])))+(SUM(IF((GJ[Sort Code]=(TRIM(E$5)))*(GJ[Account Code]=(TRIM($B111)))*(GJ[Date]&lt;=$C$8),GJ[Debit]))))-((SUM(IF((CkDJ[Sort Code]=(TRIM(E$5)))*(CkDJ[Account Code]=(TRIM($B111)))*(CkDJ[Date]&lt;=$C$8),CkDJ[Credit])))+(SUM(IF((CsDJ[Sort Code]=(TRIM(E$5)))*(CsDJ[Account Code]=(TRIM($B111)))*(CsDJ[Date]&lt;=$C$8),CsDJ[Credit])))+(SUM(IF((CRDJ[Sort Code]=(TRIM(E$5)))*(CRDJ[Account Code]=(TRIM($B111)))*(CRDJ[Date]&lt;=$C$8),CRDJ[Credit])))+(SUM(IF((GJ[Sort Code]=(TRIM(E$5)))*(GJ[Account Code]=(TRIM($B111)))*(GJ[Date]&lt;=$C$8),GJ[Credit]))))</f>
        <v>0</v>
      </c>
      <c r="D111" s="466">
        <f t="array" ref="D111">((SUM(IF((CkDJ[Date]=$A$4)*(CkDJ[Sort Code]=(TRIM(E$5)))*(CkDJ[Account Code]=(TRIM($B111))),CkDJ[Debit])))+(SUM(IF((CsDJ[Date]=$A$4)*(CsDJ[Sort Code]=(TRIM(E$5)))*(CsDJ[Account Code]=(TRIM($B111))),CsDJ[Debit])))+(SUM(IF((CRDJ[Date]=$A$4)*(CRDJ[Sort Code]=(TRIM(E$5)))*(CRDJ[Account Code]=(TRIM($B111))),CRDJ[Debit])))+(SUM(IF((GJ[Date]=$A$4)*(GJ[Sort Code]=(TRIM(E$5)))*(GJ[Account Code]=(TRIM($B111))),GJ[Debit]))))-((SUM(IF((CkDJ[Date]=$A$4)*(CkDJ[Sort Code]=(TRIM(E$5)))*(CkDJ[Account Code]=(TRIM($B111))),CkDJ[Credit])))+(SUM(IF((CsDJ[Date]=$A$4)*(CsDJ[Sort Code]=(TRIM(E$5)))*(CsDJ[Account Code]=(TRIM($B111))),CsDJ[Credit])))+(SUM(IF((CRDJ[Date]=$A$4)*(CRDJ[Sort Code]=(TRIM(E$5)))*(CRDJ[Account Code]=(TRIM($B111))),CRDJ[Credit])))+(SUM(IF((GJ[Date]=$A$4)*(GJ[Sort Code]=(TRIM(E$5)))*(GJ[Account Code]=(TRIM($B111))),GJ[Credit]))))</f>
        <v>0</v>
      </c>
      <c r="E111" s="467">
        <f t="shared" si="3"/>
        <v>0</v>
      </c>
    </row>
    <row r="112" spans="1:5" x14ac:dyDescent="0.2">
      <c r="A112" s="476" t="s">
        <v>308</v>
      </c>
      <c r="B112" s="339" t="s">
        <v>256</v>
      </c>
      <c r="C112" s="466">
        <f t="array" ref="C112">((SUM(IF((CkDJ[Sort Code]=(TRIM(E$5)))*(CkDJ[Account Code]=(TRIM($B112)))*(CkDJ[Date]&lt;=$C$8),CkDJ[Debit])))+(SUM(IF((CsDJ[Sort Code]=(TRIM(E$5)))*(CsDJ[Account Code]=(TRIM($B112)))*(CsDJ[Date]&lt;=$C$8),CsDJ[Debit])))+(SUM(IF((CRDJ[Sort Code]=(TRIM(E$5)))*(CRDJ[Account Code]=(TRIM($B112)))*(CRDJ[Date]&lt;=$C$8),CRDJ[Debit])))+(SUM(IF((GJ[Sort Code]=(TRIM(E$5)))*(GJ[Account Code]=(TRIM($B112)))*(GJ[Date]&lt;=$C$8),GJ[Debit]))))-((SUM(IF((CkDJ[Sort Code]=(TRIM(E$5)))*(CkDJ[Account Code]=(TRIM($B112)))*(CkDJ[Date]&lt;=$C$8),CkDJ[Credit])))+(SUM(IF((CsDJ[Sort Code]=(TRIM(E$5)))*(CsDJ[Account Code]=(TRIM($B112)))*(CsDJ[Date]&lt;=$C$8),CsDJ[Credit])))+(SUM(IF((CRDJ[Sort Code]=(TRIM(E$5)))*(CRDJ[Account Code]=(TRIM($B112)))*(CRDJ[Date]&lt;=$C$8),CRDJ[Credit])))+(SUM(IF((GJ[Sort Code]=(TRIM(E$5)))*(GJ[Account Code]=(TRIM($B112)))*(GJ[Date]&lt;=$C$8),GJ[Credit]))))</f>
        <v>0</v>
      </c>
      <c r="D112" s="466">
        <f t="array" ref="D112">((SUM(IF((CkDJ[Date]=$A$4)*(CkDJ[Sort Code]=(TRIM(E$5)))*(CkDJ[Account Code]=(TRIM($B112))),CkDJ[Debit])))+(SUM(IF((CsDJ[Date]=$A$4)*(CsDJ[Sort Code]=(TRIM(E$5)))*(CsDJ[Account Code]=(TRIM($B112))),CsDJ[Debit])))+(SUM(IF((CRDJ[Date]=$A$4)*(CRDJ[Sort Code]=(TRIM(E$5)))*(CRDJ[Account Code]=(TRIM($B112))),CRDJ[Debit])))+(SUM(IF((GJ[Date]=$A$4)*(GJ[Sort Code]=(TRIM(E$5)))*(GJ[Account Code]=(TRIM($B112))),GJ[Debit]))))-((SUM(IF((CkDJ[Date]=$A$4)*(CkDJ[Sort Code]=(TRIM(E$5)))*(CkDJ[Account Code]=(TRIM($B112))),CkDJ[Credit])))+(SUM(IF((CsDJ[Date]=$A$4)*(CsDJ[Sort Code]=(TRIM(E$5)))*(CsDJ[Account Code]=(TRIM($B112))),CsDJ[Credit])))+(SUM(IF((CRDJ[Date]=$A$4)*(CRDJ[Sort Code]=(TRIM(E$5)))*(CRDJ[Account Code]=(TRIM($B112))),CRDJ[Credit])))+(SUM(IF((GJ[Date]=$A$4)*(GJ[Sort Code]=(TRIM(E$5)))*(GJ[Account Code]=(TRIM($B112))),GJ[Credit]))))</f>
        <v>0</v>
      </c>
      <c r="E112" s="467">
        <f t="shared" si="3"/>
        <v>0</v>
      </c>
    </row>
    <row r="113" spans="1:5" x14ac:dyDescent="0.2">
      <c r="A113" s="476" t="s">
        <v>309</v>
      </c>
      <c r="B113" s="339" t="s">
        <v>258</v>
      </c>
      <c r="C113" s="466">
        <f t="array" ref="C113">((SUM(IF((CkDJ[Sort Code]=(TRIM(E$5)))*(CkDJ[Account Code]=(TRIM($B113)))*(CkDJ[Date]&lt;=$C$8),CkDJ[Debit])))+(SUM(IF((CsDJ[Sort Code]=(TRIM(E$5)))*(CsDJ[Account Code]=(TRIM($B113)))*(CsDJ[Date]&lt;=$C$8),CsDJ[Debit])))+(SUM(IF((CRDJ[Sort Code]=(TRIM(E$5)))*(CRDJ[Account Code]=(TRIM($B113)))*(CRDJ[Date]&lt;=$C$8),CRDJ[Debit])))+(SUM(IF((GJ[Sort Code]=(TRIM(E$5)))*(GJ[Account Code]=(TRIM($B113)))*(GJ[Date]&lt;=$C$8),GJ[Debit]))))-((SUM(IF((CkDJ[Sort Code]=(TRIM(E$5)))*(CkDJ[Account Code]=(TRIM($B113)))*(CkDJ[Date]&lt;=$C$8),CkDJ[Credit])))+(SUM(IF((CsDJ[Sort Code]=(TRIM(E$5)))*(CsDJ[Account Code]=(TRIM($B113)))*(CsDJ[Date]&lt;=$C$8),CsDJ[Credit])))+(SUM(IF((CRDJ[Sort Code]=(TRIM(E$5)))*(CRDJ[Account Code]=(TRIM($B113)))*(CRDJ[Date]&lt;=$C$8),CRDJ[Credit])))+(SUM(IF((GJ[Sort Code]=(TRIM(E$5)))*(GJ[Account Code]=(TRIM($B113)))*(GJ[Date]&lt;=$C$8),GJ[Credit]))))</f>
        <v>0</v>
      </c>
      <c r="D113" s="466">
        <f t="array" ref="D113">((SUM(IF((CkDJ[Date]=$A$4)*(CkDJ[Sort Code]=(TRIM(E$5)))*(CkDJ[Account Code]=(TRIM($B113))),CkDJ[Debit])))+(SUM(IF((CsDJ[Date]=$A$4)*(CsDJ[Sort Code]=(TRIM(E$5)))*(CsDJ[Account Code]=(TRIM($B113))),CsDJ[Debit])))+(SUM(IF((CRDJ[Date]=$A$4)*(CRDJ[Sort Code]=(TRIM(E$5)))*(CRDJ[Account Code]=(TRIM($B113))),CRDJ[Debit])))+(SUM(IF((GJ[Date]=$A$4)*(GJ[Sort Code]=(TRIM(E$5)))*(GJ[Account Code]=(TRIM($B113))),GJ[Debit]))))-((SUM(IF((CkDJ[Date]=$A$4)*(CkDJ[Sort Code]=(TRIM(E$5)))*(CkDJ[Account Code]=(TRIM($B113))),CkDJ[Credit])))+(SUM(IF((CsDJ[Date]=$A$4)*(CsDJ[Sort Code]=(TRIM(E$5)))*(CsDJ[Account Code]=(TRIM($B113))),CsDJ[Credit])))+(SUM(IF((CRDJ[Date]=$A$4)*(CRDJ[Sort Code]=(TRIM(E$5)))*(CRDJ[Account Code]=(TRIM($B113))),CRDJ[Credit])))+(SUM(IF((GJ[Date]=$A$4)*(GJ[Sort Code]=(TRIM(E$5)))*(GJ[Account Code]=(TRIM($B113))),GJ[Credit]))))</f>
        <v>0</v>
      </c>
      <c r="E113" s="467">
        <f t="shared" si="3"/>
        <v>0</v>
      </c>
    </row>
    <row r="114" spans="1:5" x14ac:dyDescent="0.2">
      <c r="A114" s="476" t="s">
        <v>310</v>
      </c>
      <c r="B114" s="339" t="s">
        <v>261</v>
      </c>
      <c r="C114" s="466">
        <f t="array" ref="C114">((SUM(IF((CkDJ[Sort Code]=(TRIM(E$5)))*(CkDJ[Account Code]=(TRIM($B114)))*(CkDJ[Date]&lt;=$C$8),CkDJ[Debit])))+(SUM(IF((CsDJ[Sort Code]=(TRIM(E$5)))*(CsDJ[Account Code]=(TRIM($B114)))*(CsDJ[Date]&lt;=$C$8),CsDJ[Debit])))+(SUM(IF((CRDJ[Sort Code]=(TRIM(E$5)))*(CRDJ[Account Code]=(TRIM($B114)))*(CRDJ[Date]&lt;=$C$8),CRDJ[Debit])))+(SUM(IF((GJ[Sort Code]=(TRIM(E$5)))*(GJ[Account Code]=(TRIM($B114)))*(GJ[Date]&lt;=$C$8),GJ[Debit]))))-((SUM(IF((CkDJ[Sort Code]=(TRIM(E$5)))*(CkDJ[Account Code]=(TRIM($B114)))*(CkDJ[Date]&lt;=$C$8),CkDJ[Credit])))+(SUM(IF((CsDJ[Sort Code]=(TRIM(E$5)))*(CsDJ[Account Code]=(TRIM($B114)))*(CsDJ[Date]&lt;=$C$8),CsDJ[Credit])))+(SUM(IF((CRDJ[Sort Code]=(TRIM(E$5)))*(CRDJ[Account Code]=(TRIM($B114)))*(CRDJ[Date]&lt;=$C$8),CRDJ[Credit])))+(SUM(IF((GJ[Sort Code]=(TRIM(E$5)))*(GJ[Account Code]=(TRIM($B114)))*(GJ[Date]&lt;=$C$8),GJ[Credit]))))</f>
        <v>0</v>
      </c>
      <c r="D114" s="466">
        <f t="array" ref="D114">((SUM(IF((CkDJ[Date]=$A$4)*(CkDJ[Sort Code]=(TRIM(E$5)))*(CkDJ[Account Code]=(TRIM($B114))),CkDJ[Debit])))+(SUM(IF((CsDJ[Date]=$A$4)*(CsDJ[Sort Code]=(TRIM(E$5)))*(CsDJ[Account Code]=(TRIM($B114))),CsDJ[Debit])))+(SUM(IF((CRDJ[Date]=$A$4)*(CRDJ[Sort Code]=(TRIM(E$5)))*(CRDJ[Account Code]=(TRIM($B114))),CRDJ[Debit])))+(SUM(IF((GJ[Date]=$A$4)*(GJ[Sort Code]=(TRIM(E$5)))*(GJ[Account Code]=(TRIM($B114))),GJ[Debit]))))-((SUM(IF((CkDJ[Date]=$A$4)*(CkDJ[Sort Code]=(TRIM(E$5)))*(CkDJ[Account Code]=(TRIM($B114))),CkDJ[Credit])))+(SUM(IF((CsDJ[Date]=$A$4)*(CsDJ[Sort Code]=(TRIM(E$5)))*(CsDJ[Account Code]=(TRIM($B114))),CsDJ[Credit])))+(SUM(IF((CRDJ[Date]=$A$4)*(CRDJ[Sort Code]=(TRIM(E$5)))*(CRDJ[Account Code]=(TRIM($B114))),CRDJ[Credit])))+(SUM(IF((GJ[Date]=$A$4)*(GJ[Sort Code]=(TRIM(E$5)))*(GJ[Account Code]=(TRIM($B114))),GJ[Credit]))))</f>
        <v>0</v>
      </c>
      <c r="E114" s="467">
        <f t="shared" si="3"/>
        <v>0</v>
      </c>
    </row>
    <row r="115" spans="1:5" x14ac:dyDescent="0.2">
      <c r="A115" s="476" t="s">
        <v>311</v>
      </c>
      <c r="B115" s="339" t="s">
        <v>262</v>
      </c>
      <c r="C115" s="466">
        <f t="array" ref="C115">((SUM(IF((CkDJ[Sort Code]=(TRIM(E$5)))*(CkDJ[Account Code]=(TRIM($B115)))*(CkDJ[Date]&lt;=$C$8),CkDJ[Debit])))+(SUM(IF((CsDJ[Sort Code]=(TRIM(E$5)))*(CsDJ[Account Code]=(TRIM($B115)))*(CsDJ[Date]&lt;=$C$8),CsDJ[Debit])))+(SUM(IF((CRDJ[Sort Code]=(TRIM(E$5)))*(CRDJ[Account Code]=(TRIM($B115)))*(CRDJ[Date]&lt;=$C$8),CRDJ[Debit])))+(SUM(IF((GJ[Sort Code]=(TRIM(E$5)))*(GJ[Account Code]=(TRIM($B115)))*(GJ[Date]&lt;=$C$8),GJ[Debit]))))-((SUM(IF((CkDJ[Sort Code]=(TRIM(E$5)))*(CkDJ[Account Code]=(TRIM($B115)))*(CkDJ[Date]&lt;=$C$8),CkDJ[Credit])))+(SUM(IF((CsDJ[Sort Code]=(TRIM(E$5)))*(CsDJ[Account Code]=(TRIM($B115)))*(CsDJ[Date]&lt;=$C$8),CsDJ[Credit])))+(SUM(IF((CRDJ[Sort Code]=(TRIM(E$5)))*(CRDJ[Account Code]=(TRIM($B115)))*(CRDJ[Date]&lt;=$C$8),CRDJ[Credit])))+(SUM(IF((GJ[Sort Code]=(TRIM(E$5)))*(GJ[Account Code]=(TRIM($B115)))*(GJ[Date]&lt;=$C$8),GJ[Credit]))))</f>
        <v>0</v>
      </c>
      <c r="D115" s="466">
        <f t="array" ref="D115">((SUM(IF((CkDJ[Date]=$A$4)*(CkDJ[Sort Code]=(TRIM(E$5)))*(CkDJ[Account Code]=(TRIM($B115))),CkDJ[Debit])))+(SUM(IF((CsDJ[Date]=$A$4)*(CsDJ[Sort Code]=(TRIM(E$5)))*(CsDJ[Account Code]=(TRIM($B115))),CsDJ[Debit])))+(SUM(IF((CRDJ[Date]=$A$4)*(CRDJ[Sort Code]=(TRIM(E$5)))*(CRDJ[Account Code]=(TRIM($B115))),CRDJ[Debit])))+(SUM(IF((GJ[Date]=$A$4)*(GJ[Sort Code]=(TRIM(E$5)))*(GJ[Account Code]=(TRIM($B115))),GJ[Debit]))))-((SUM(IF((CkDJ[Date]=$A$4)*(CkDJ[Sort Code]=(TRIM(E$5)))*(CkDJ[Account Code]=(TRIM($B115))),CkDJ[Credit])))+(SUM(IF((CsDJ[Date]=$A$4)*(CsDJ[Sort Code]=(TRIM(E$5)))*(CsDJ[Account Code]=(TRIM($B115))),CsDJ[Credit])))+(SUM(IF((CRDJ[Date]=$A$4)*(CRDJ[Sort Code]=(TRIM(E$5)))*(CRDJ[Account Code]=(TRIM($B115))),CRDJ[Credit])))+(SUM(IF((GJ[Date]=$A$4)*(GJ[Sort Code]=(TRIM(E$5)))*(GJ[Account Code]=(TRIM($B115))),GJ[Credit]))))</f>
        <v>0</v>
      </c>
      <c r="E115" s="467">
        <f t="shared" si="3"/>
        <v>0</v>
      </c>
    </row>
    <row r="116" spans="1:5" x14ac:dyDescent="0.2">
      <c r="A116" s="476" t="s">
        <v>312</v>
      </c>
      <c r="B116" s="339" t="s">
        <v>264</v>
      </c>
      <c r="C116" s="466">
        <f t="array" ref="C116">((SUM(IF((CkDJ[Sort Code]=(TRIM(E$5)))*(CkDJ[Account Code]=(TRIM($B116)))*(CkDJ[Date]&lt;=$C$8),CkDJ[Debit])))+(SUM(IF((CsDJ[Sort Code]=(TRIM(E$5)))*(CsDJ[Account Code]=(TRIM($B116)))*(CsDJ[Date]&lt;=$C$8),CsDJ[Debit])))+(SUM(IF((CRDJ[Sort Code]=(TRIM(E$5)))*(CRDJ[Account Code]=(TRIM($B116)))*(CRDJ[Date]&lt;=$C$8),CRDJ[Debit])))+(SUM(IF((GJ[Sort Code]=(TRIM(E$5)))*(GJ[Account Code]=(TRIM($B116)))*(GJ[Date]&lt;=$C$8),GJ[Debit]))))-((SUM(IF((CkDJ[Sort Code]=(TRIM(E$5)))*(CkDJ[Account Code]=(TRIM($B116)))*(CkDJ[Date]&lt;=$C$8),CkDJ[Credit])))+(SUM(IF((CsDJ[Sort Code]=(TRIM(E$5)))*(CsDJ[Account Code]=(TRIM($B116)))*(CsDJ[Date]&lt;=$C$8),CsDJ[Credit])))+(SUM(IF((CRDJ[Sort Code]=(TRIM(E$5)))*(CRDJ[Account Code]=(TRIM($B116)))*(CRDJ[Date]&lt;=$C$8),CRDJ[Credit])))+(SUM(IF((GJ[Sort Code]=(TRIM(E$5)))*(GJ[Account Code]=(TRIM($B116)))*(GJ[Date]&lt;=$C$8),GJ[Credit]))))</f>
        <v>0</v>
      </c>
      <c r="D116" s="466">
        <f t="array" ref="D116">((SUM(IF((CkDJ[Date]=$A$4)*(CkDJ[Sort Code]=(TRIM(E$5)))*(CkDJ[Account Code]=(TRIM($B116))),CkDJ[Debit])))+(SUM(IF((CsDJ[Date]=$A$4)*(CsDJ[Sort Code]=(TRIM(E$5)))*(CsDJ[Account Code]=(TRIM($B116))),CsDJ[Debit])))+(SUM(IF((CRDJ[Date]=$A$4)*(CRDJ[Sort Code]=(TRIM(E$5)))*(CRDJ[Account Code]=(TRIM($B116))),CRDJ[Debit])))+(SUM(IF((GJ[Date]=$A$4)*(GJ[Sort Code]=(TRIM(E$5)))*(GJ[Account Code]=(TRIM($B116))),GJ[Debit]))))-((SUM(IF((CkDJ[Date]=$A$4)*(CkDJ[Sort Code]=(TRIM(E$5)))*(CkDJ[Account Code]=(TRIM($B116))),CkDJ[Credit])))+(SUM(IF((CsDJ[Date]=$A$4)*(CsDJ[Sort Code]=(TRIM(E$5)))*(CsDJ[Account Code]=(TRIM($B116))),CsDJ[Credit])))+(SUM(IF((CRDJ[Date]=$A$4)*(CRDJ[Sort Code]=(TRIM(E$5)))*(CRDJ[Account Code]=(TRIM($B116))),CRDJ[Credit])))+(SUM(IF((GJ[Date]=$A$4)*(GJ[Sort Code]=(TRIM(E$5)))*(GJ[Account Code]=(TRIM($B116))),GJ[Credit]))))</f>
        <v>0</v>
      </c>
      <c r="E116" s="467">
        <f t="shared" si="3"/>
        <v>0</v>
      </c>
    </row>
    <row r="117" spans="1:5" x14ac:dyDescent="0.2">
      <c r="A117" s="476" t="s">
        <v>313</v>
      </c>
      <c r="B117" s="339" t="s">
        <v>265</v>
      </c>
      <c r="C117" s="466">
        <f t="array" ref="C117">((SUM(IF((CkDJ[Sort Code]=(TRIM(E$5)))*(CkDJ[Account Code]=(TRIM($B117)))*(CkDJ[Date]&lt;=$C$8),CkDJ[Debit])))+(SUM(IF((CsDJ[Sort Code]=(TRIM(E$5)))*(CsDJ[Account Code]=(TRIM($B117)))*(CsDJ[Date]&lt;=$C$8),CsDJ[Debit])))+(SUM(IF((CRDJ[Sort Code]=(TRIM(E$5)))*(CRDJ[Account Code]=(TRIM($B117)))*(CRDJ[Date]&lt;=$C$8),CRDJ[Debit])))+(SUM(IF((GJ[Sort Code]=(TRIM(E$5)))*(GJ[Account Code]=(TRIM($B117)))*(GJ[Date]&lt;=$C$8),GJ[Debit]))))-((SUM(IF((CkDJ[Sort Code]=(TRIM(E$5)))*(CkDJ[Account Code]=(TRIM($B117)))*(CkDJ[Date]&lt;=$C$8),CkDJ[Credit])))+(SUM(IF((CsDJ[Sort Code]=(TRIM(E$5)))*(CsDJ[Account Code]=(TRIM($B117)))*(CsDJ[Date]&lt;=$C$8),CsDJ[Credit])))+(SUM(IF((CRDJ[Sort Code]=(TRIM(E$5)))*(CRDJ[Account Code]=(TRIM($B117)))*(CRDJ[Date]&lt;=$C$8),CRDJ[Credit])))+(SUM(IF((GJ[Sort Code]=(TRIM(E$5)))*(GJ[Account Code]=(TRIM($B117)))*(GJ[Date]&lt;=$C$8),GJ[Credit]))))</f>
        <v>0</v>
      </c>
      <c r="D117" s="466">
        <f t="array" ref="D117">((SUM(IF((CkDJ[Date]=$A$4)*(CkDJ[Sort Code]=(TRIM(E$5)))*(CkDJ[Account Code]=(TRIM($B117))),CkDJ[Debit])))+(SUM(IF((CsDJ[Date]=$A$4)*(CsDJ[Sort Code]=(TRIM(E$5)))*(CsDJ[Account Code]=(TRIM($B117))),CsDJ[Debit])))+(SUM(IF((CRDJ[Date]=$A$4)*(CRDJ[Sort Code]=(TRIM(E$5)))*(CRDJ[Account Code]=(TRIM($B117))),CRDJ[Debit])))+(SUM(IF((GJ[Date]=$A$4)*(GJ[Sort Code]=(TRIM(E$5)))*(GJ[Account Code]=(TRIM($B117))),GJ[Debit]))))-((SUM(IF((CkDJ[Date]=$A$4)*(CkDJ[Sort Code]=(TRIM(E$5)))*(CkDJ[Account Code]=(TRIM($B117))),CkDJ[Credit])))+(SUM(IF((CsDJ[Date]=$A$4)*(CsDJ[Sort Code]=(TRIM(E$5)))*(CsDJ[Account Code]=(TRIM($B117))),CsDJ[Credit])))+(SUM(IF((CRDJ[Date]=$A$4)*(CRDJ[Sort Code]=(TRIM(E$5)))*(CRDJ[Account Code]=(TRIM($B117))),CRDJ[Credit])))+(SUM(IF((GJ[Date]=$A$4)*(GJ[Sort Code]=(TRIM(E$5)))*(GJ[Account Code]=(TRIM($B117))),GJ[Credit]))))</f>
        <v>0</v>
      </c>
      <c r="E117" s="467">
        <f t="shared" si="3"/>
        <v>0</v>
      </c>
    </row>
    <row r="118" spans="1:5" x14ac:dyDescent="0.2">
      <c r="A118" s="476" t="s">
        <v>790</v>
      </c>
      <c r="B118" s="339" t="s">
        <v>267</v>
      </c>
      <c r="C118" s="466">
        <f t="array" ref="C118">((SUM(IF((CkDJ[Sort Code]=(TRIM(E$5)))*(CkDJ[Account Code]=(TRIM($B118)))*(CkDJ[Date]&lt;=$C$8),CkDJ[Debit])))+(SUM(IF((CsDJ[Sort Code]=(TRIM(E$5)))*(CsDJ[Account Code]=(TRIM($B118)))*(CsDJ[Date]&lt;=$C$8),CsDJ[Debit])))+(SUM(IF((CRDJ[Sort Code]=(TRIM(E$5)))*(CRDJ[Account Code]=(TRIM($B118)))*(CRDJ[Date]&lt;=$C$8),CRDJ[Debit])))+(SUM(IF((GJ[Sort Code]=(TRIM(E$5)))*(GJ[Account Code]=(TRIM($B118)))*(GJ[Date]&lt;=$C$8),GJ[Debit]))))-((SUM(IF((CkDJ[Sort Code]=(TRIM(E$5)))*(CkDJ[Account Code]=(TRIM($B118)))*(CkDJ[Date]&lt;=$C$8),CkDJ[Credit])))+(SUM(IF((CsDJ[Sort Code]=(TRIM(E$5)))*(CsDJ[Account Code]=(TRIM($B118)))*(CsDJ[Date]&lt;=$C$8),CsDJ[Credit])))+(SUM(IF((CRDJ[Sort Code]=(TRIM(E$5)))*(CRDJ[Account Code]=(TRIM($B118)))*(CRDJ[Date]&lt;=$C$8),CRDJ[Credit])))+(SUM(IF((GJ[Sort Code]=(TRIM(E$5)))*(GJ[Account Code]=(TRIM($B118)))*(GJ[Date]&lt;=$C$8),GJ[Credit]))))</f>
        <v>0</v>
      </c>
      <c r="D118" s="466">
        <f t="array" ref="D118">((SUM(IF((CkDJ[Date]=$A$4)*(CkDJ[Sort Code]=(TRIM(E$5)))*(CkDJ[Account Code]=(TRIM($B118))),CkDJ[Debit])))+(SUM(IF((CsDJ[Date]=$A$4)*(CsDJ[Sort Code]=(TRIM(E$5)))*(CsDJ[Account Code]=(TRIM($B118))),CsDJ[Debit])))+(SUM(IF((CRDJ[Date]=$A$4)*(CRDJ[Sort Code]=(TRIM(E$5)))*(CRDJ[Account Code]=(TRIM($B118))),CRDJ[Debit])))+(SUM(IF((GJ[Date]=$A$4)*(GJ[Sort Code]=(TRIM(E$5)))*(GJ[Account Code]=(TRIM($B118))),GJ[Debit]))))-((SUM(IF((CkDJ[Date]=$A$4)*(CkDJ[Sort Code]=(TRIM(E$5)))*(CkDJ[Account Code]=(TRIM($B118))),CkDJ[Credit])))+(SUM(IF((CsDJ[Date]=$A$4)*(CsDJ[Sort Code]=(TRIM(E$5)))*(CsDJ[Account Code]=(TRIM($B118))),CsDJ[Credit])))+(SUM(IF((CRDJ[Date]=$A$4)*(CRDJ[Sort Code]=(TRIM(E$5)))*(CRDJ[Account Code]=(TRIM($B118))),CRDJ[Credit])))+(SUM(IF((GJ[Date]=$A$4)*(GJ[Sort Code]=(TRIM(E$5)))*(GJ[Account Code]=(TRIM($B118))),GJ[Credit]))))</f>
        <v>0</v>
      </c>
      <c r="E118" s="467">
        <f>C118+D118</f>
        <v>0</v>
      </c>
    </row>
    <row r="119" spans="1:5" x14ac:dyDescent="0.2">
      <c r="A119" s="476" t="s">
        <v>1027</v>
      </c>
      <c r="B119" s="339" t="s">
        <v>269</v>
      </c>
      <c r="C119" s="466">
        <f t="array" ref="C119">((SUM(IF((CkDJ[Sort Code]=(TRIM(E$5)))*(CkDJ[Account Code]=(TRIM($B119)))*(CkDJ[Date]&lt;=$C$8),CkDJ[Debit])))+(SUM(IF((CsDJ[Sort Code]=(TRIM(E$5)))*(CsDJ[Account Code]=(TRIM($B119)))*(CsDJ[Date]&lt;=$C$8),CsDJ[Debit])))+(SUM(IF((CRDJ[Sort Code]=(TRIM(E$5)))*(CRDJ[Account Code]=(TRIM($B119)))*(CRDJ[Date]&lt;=$C$8),CRDJ[Debit])))+(SUM(IF((GJ[Sort Code]=(TRIM(E$5)))*(GJ[Account Code]=(TRIM($B119)))*(GJ[Date]&lt;=$C$8),GJ[Debit]))))-((SUM(IF((CkDJ[Sort Code]=(TRIM(E$5)))*(CkDJ[Account Code]=(TRIM($B119)))*(CkDJ[Date]&lt;=$C$8),CkDJ[Credit])))+(SUM(IF((CsDJ[Sort Code]=(TRIM(E$5)))*(CsDJ[Account Code]=(TRIM($B119)))*(CsDJ[Date]&lt;=$C$8),CsDJ[Credit])))+(SUM(IF((CRDJ[Sort Code]=(TRIM(E$5)))*(CRDJ[Account Code]=(TRIM($B119)))*(CRDJ[Date]&lt;=$C$8),CRDJ[Credit])))+(SUM(IF((GJ[Sort Code]=(TRIM(E$5)))*(GJ[Account Code]=(TRIM($B119)))*(GJ[Date]&lt;=$C$8),GJ[Credit]))))</f>
        <v>0</v>
      </c>
      <c r="D119" s="466">
        <f t="array" ref="D119">((SUM(IF((CkDJ[Date]=$A$4)*(CkDJ[Sort Code]=(TRIM(E$5)))*(CkDJ[Account Code]=(TRIM($B119))),CkDJ[Debit])))+(SUM(IF((CsDJ[Date]=$A$4)*(CsDJ[Sort Code]=(TRIM(E$5)))*(CsDJ[Account Code]=(TRIM($B119))),CsDJ[Debit])))+(SUM(IF((CRDJ[Date]=$A$4)*(CRDJ[Sort Code]=(TRIM(E$5)))*(CRDJ[Account Code]=(TRIM($B119))),CRDJ[Debit])))+(SUM(IF((GJ[Date]=$A$4)*(GJ[Sort Code]=(TRIM(E$5)))*(GJ[Account Code]=(TRIM($B119))),GJ[Debit]))))-((SUM(IF((CkDJ[Date]=$A$4)*(CkDJ[Sort Code]=(TRIM(E$5)))*(CkDJ[Account Code]=(TRIM($B119))),CkDJ[Credit])))+(SUM(IF((CsDJ[Date]=$A$4)*(CsDJ[Sort Code]=(TRIM(E$5)))*(CsDJ[Account Code]=(TRIM($B119))),CsDJ[Credit])))+(SUM(IF((CRDJ[Date]=$A$4)*(CRDJ[Sort Code]=(TRIM(E$5)))*(CRDJ[Account Code]=(TRIM($B119))),CRDJ[Credit])))+(SUM(IF((GJ[Date]=$A$4)*(GJ[Sort Code]=(TRIM(E$5)))*(GJ[Account Code]=(TRIM($B119))),GJ[Credit]))))</f>
        <v>0</v>
      </c>
      <c r="E119" s="467">
        <f t="shared" ref="E119:E136" si="4">C119+D119</f>
        <v>0</v>
      </c>
    </row>
    <row r="120" spans="1:5" x14ac:dyDescent="0.2">
      <c r="A120" s="476" t="s">
        <v>409</v>
      </c>
      <c r="B120" s="339" t="s">
        <v>408</v>
      </c>
      <c r="C120" s="466">
        <f t="array" ref="C120">((SUM(IF((CkDJ[Sort Code]=(TRIM(E$5)))*(CkDJ[Account Code]=(TRIM($B120)))*(CkDJ[Date]&lt;=$C$8),CkDJ[Debit])))+(SUM(IF((CsDJ[Sort Code]=(TRIM(E$5)))*(CsDJ[Account Code]=(TRIM($B120)))*(CsDJ[Date]&lt;=$C$8),CsDJ[Debit])))+(SUM(IF((CRDJ[Sort Code]=(TRIM(E$5)))*(CRDJ[Account Code]=(TRIM($B120)))*(CRDJ[Date]&lt;=$C$8),CRDJ[Debit])))+(SUM(IF((GJ[Sort Code]=(TRIM(E$5)))*(GJ[Account Code]=(TRIM($B120)))*(GJ[Date]&lt;=$C$8),GJ[Debit]))))-((SUM(IF((CkDJ[Sort Code]=(TRIM(E$5)))*(CkDJ[Account Code]=(TRIM($B120)))*(CkDJ[Date]&lt;=$C$8),CkDJ[Credit])))+(SUM(IF((CsDJ[Sort Code]=(TRIM(E$5)))*(CsDJ[Account Code]=(TRIM($B120)))*(CsDJ[Date]&lt;=$C$8),CsDJ[Credit])))+(SUM(IF((CRDJ[Sort Code]=(TRIM(E$5)))*(CRDJ[Account Code]=(TRIM($B120)))*(CRDJ[Date]&lt;=$C$8),CRDJ[Credit])))+(SUM(IF((GJ[Sort Code]=(TRIM(E$5)))*(GJ[Account Code]=(TRIM($B120)))*(GJ[Date]&lt;=$C$8),GJ[Credit]))))</f>
        <v>0</v>
      </c>
      <c r="D120" s="466">
        <f t="array" ref="D120">((SUM(IF((CkDJ[Date]=$A$4)*(CkDJ[Sort Code]=(TRIM(E$5)))*(CkDJ[Account Code]=(TRIM($B120))),CkDJ[Debit])))+(SUM(IF((CsDJ[Date]=$A$4)*(CsDJ[Sort Code]=(TRIM(E$5)))*(CsDJ[Account Code]=(TRIM($B120))),CsDJ[Debit])))+(SUM(IF((CRDJ[Date]=$A$4)*(CRDJ[Sort Code]=(TRIM(E$5)))*(CRDJ[Account Code]=(TRIM($B120))),CRDJ[Debit])))+(SUM(IF((GJ[Date]=$A$4)*(GJ[Sort Code]=(TRIM(E$5)))*(GJ[Account Code]=(TRIM($B120))),GJ[Debit]))))-((SUM(IF((CkDJ[Date]=$A$4)*(CkDJ[Sort Code]=(TRIM(E$5)))*(CkDJ[Account Code]=(TRIM($B120))),CkDJ[Credit])))+(SUM(IF((CsDJ[Date]=$A$4)*(CsDJ[Sort Code]=(TRIM(E$5)))*(CsDJ[Account Code]=(TRIM($B120))),CsDJ[Credit])))+(SUM(IF((CRDJ[Date]=$A$4)*(CRDJ[Sort Code]=(TRIM(E$5)))*(CRDJ[Account Code]=(TRIM($B120))),CRDJ[Credit])))+(SUM(IF((GJ[Date]=$A$4)*(GJ[Sort Code]=(TRIM(E$5)))*(GJ[Account Code]=(TRIM($B120))),GJ[Credit]))))</f>
        <v>0</v>
      </c>
      <c r="E120" s="467">
        <f>C120+D120</f>
        <v>0</v>
      </c>
    </row>
    <row r="121" spans="1:5" x14ac:dyDescent="0.2">
      <c r="A121" s="476" t="s">
        <v>315</v>
      </c>
      <c r="B121" s="339" t="s">
        <v>270</v>
      </c>
      <c r="C121" s="466">
        <f t="array" ref="C121">((SUM(IF((CkDJ[Sort Code]=(TRIM(E$5)))*(CkDJ[Account Code]=(TRIM($B121)))*(CkDJ[Date]&lt;=$C$8),CkDJ[Debit])))+(SUM(IF((CsDJ[Sort Code]=(TRIM(E$5)))*(CsDJ[Account Code]=(TRIM($B121)))*(CsDJ[Date]&lt;=$C$8),CsDJ[Debit])))+(SUM(IF((CRDJ[Sort Code]=(TRIM(E$5)))*(CRDJ[Account Code]=(TRIM($B121)))*(CRDJ[Date]&lt;=$C$8),CRDJ[Debit])))+(SUM(IF((GJ[Sort Code]=(TRIM(E$5)))*(GJ[Account Code]=(TRIM($B121)))*(GJ[Date]&lt;=$C$8),GJ[Debit]))))-((SUM(IF((CkDJ[Sort Code]=(TRIM(E$5)))*(CkDJ[Account Code]=(TRIM($B121)))*(CkDJ[Date]&lt;=$C$8),CkDJ[Credit])))+(SUM(IF((CsDJ[Sort Code]=(TRIM(E$5)))*(CsDJ[Account Code]=(TRIM($B121)))*(CsDJ[Date]&lt;=$C$8),CsDJ[Credit])))+(SUM(IF((CRDJ[Sort Code]=(TRIM(E$5)))*(CRDJ[Account Code]=(TRIM($B121)))*(CRDJ[Date]&lt;=$C$8),CRDJ[Credit])))+(SUM(IF((GJ[Sort Code]=(TRIM(E$5)))*(GJ[Account Code]=(TRIM($B121)))*(GJ[Date]&lt;=$C$8),GJ[Credit]))))</f>
        <v>0</v>
      </c>
      <c r="D121" s="466">
        <f t="array" ref="D121">((SUM(IF((CkDJ[Date]=$A$4)*(CkDJ[Sort Code]=(TRIM(E$5)))*(CkDJ[Account Code]=(TRIM($B121))),CkDJ[Debit])))+(SUM(IF((CsDJ[Date]=$A$4)*(CsDJ[Sort Code]=(TRIM(E$5)))*(CsDJ[Account Code]=(TRIM($B121))),CsDJ[Debit])))+(SUM(IF((CRDJ[Date]=$A$4)*(CRDJ[Sort Code]=(TRIM(E$5)))*(CRDJ[Account Code]=(TRIM($B121))),CRDJ[Debit])))+(SUM(IF((GJ[Date]=$A$4)*(GJ[Sort Code]=(TRIM(E$5)))*(GJ[Account Code]=(TRIM($B121))),GJ[Debit]))))-((SUM(IF((CkDJ[Date]=$A$4)*(CkDJ[Sort Code]=(TRIM(E$5)))*(CkDJ[Account Code]=(TRIM($B121))),CkDJ[Credit])))+(SUM(IF((CsDJ[Date]=$A$4)*(CsDJ[Sort Code]=(TRIM(E$5)))*(CsDJ[Account Code]=(TRIM($B121))),CsDJ[Credit])))+(SUM(IF((CRDJ[Date]=$A$4)*(CRDJ[Sort Code]=(TRIM(E$5)))*(CRDJ[Account Code]=(TRIM($B121))),CRDJ[Credit])))+(SUM(IF((GJ[Date]=$A$4)*(GJ[Sort Code]=(TRIM(E$5)))*(GJ[Account Code]=(TRIM($B121))),GJ[Credit]))))</f>
        <v>0</v>
      </c>
      <c r="E121" s="467">
        <f>C121+D121</f>
        <v>0</v>
      </c>
    </row>
    <row r="122" spans="1:5" x14ac:dyDescent="0.2">
      <c r="A122" s="476" t="s">
        <v>368</v>
      </c>
      <c r="B122" s="339" t="s">
        <v>271</v>
      </c>
      <c r="C122" s="466">
        <f t="array" ref="C122">((SUM(IF((CkDJ[Sort Code]=(TRIM(E$5)))*(CkDJ[Account Code]=(TRIM($B122)))*(CkDJ[Date]&lt;=$C$8),CkDJ[Debit])))+(SUM(IF((CsDJ[Sort Code]=(TRIM(E$5)))*(CsDJ[Account Code]=(TRIM($B122)))*(CsDJ[Date]&lt;=$C$8),CsDJ[Debit])))+(SUM(IF((CRDJ[Sort Code]=(TRIM(E$5)))*(CRDJ[Account Code]=(TRIM($B122)))*(CRDJ[Date]&lt;=$C$8),CRDJ[Debit])))+(SUM(IF((GJ[Sort Code]=(TRIM(E$5)))*(GJ[Account Code]=(TRIM($B122)))*(GJ[Date]&lt;=$C$8),GJ[Debit]))))-((SUM(IF((CkDJ[Sort Code]=(TRIM(E$5)))*(CkDJ[Account Code]=(TRIM($B122)))*(CkDJ[Date]&lt;=$C$8),CkDJ[Credit])))+(SUM(IF((CsDJ[Sort Code]=(TRIM(E$5)))*(CsDJ[Account Code]=(TRIM($B122)))*(CsDJ[Date]&lt;=$C$8),CsDJ[Credit])))+(SUM(IF((CRDJ[Sort Code]=(TRIM(E$5)))*(CRDJ[Account Code]=(TRIM($B122)))*(CRDJ[Date]&lt;=$C$8),CRDJ[Credit])))+(SUM(IF((GJ[Sort Code]=(TRIM(E$5)))*(GJ[Account Code]=(TRIM($B122)))*(GJ[Date]&lt;=$C$8),GJ[Credit]))))</f>
        <v>0</v>
      </c>
      <c r="D122" s="466">
        <f t="array" ref="D122">((SUM(IF((CkDJ[Date]=$A$4)*(CkDJ[Sort Code]=(TRIM(E$5)))*(CkDJ[Account Code]=(TRIM($B122))),CkDJ[Debit])))+(SUM(IF((CsDJ[Date]=$A$4)*(CsDJ[Sort Code]=(TRIM(E$5)))*(CsDJ[Account Code]=(TRIM($B122))),CsDJ[Debit])))+(SUM(IF((CRDJ[Date]=$A$4)*(CRDJ[Sort Code]=(TRIM(E$5)))*(CRDJ[Account Code]=(TRIM($B122))),CRDJ[Debit])))+(SUM(IF((GJ[Date]=$A$4)*(GJ[Sort Code]=(TRIM(E$5)))*(GJ[Account Code]=(TRIM($B122))),GJ[Debit]))))-((SUM(IF((CkDJ[Date]=$A$4)*(CkDJ[Sort Code]=(TRIM(E$5)))*(CkDJ[Account Code]=(TRIM($B122))),CkDJ[Credit])))+(SUM(IF((CsDJ[Date]=$A$4)*(CsDJ[Sort Code]=(TRIM(E$5)))*(CsDJ[Account Code]=(TRIM($B122))),CsDJ[Credit])))+(SUM(IF((CRDJ[Date]=$A$4)*(CRDJ[Sort Code]=(TRIM(E$5)))*(CRDJ[Account Code]=(TRIM($B122))),CRDJ[Credit])))+(SUM(IF((GJ[Date]=$A$4)*(GJ[Sort Code]=(TRIM(E$5)))*(GJ[Account Code]=(TRIM($B122))),GJ[Credit]))))</f>
        <v>0</v>
      </c>
      <c r="E122" s="467">
        <f t="shared" si="4"/>
        <v>0</v>
      </c>
    </row>
    <row r="123" spans="1:5" x14ac:dyDescent="0.2">
      <c r="A123" s="476" t="s">
        <v>316</v>
      </c>
      <c r="B123" s="339" t="s">
        <v>272</v>
      </c>
      <c r="C123" s="466">
        <f t="array" ref="C123">((SUM(IF((CkDJ[Sort Code]=(TRIM(E$5)))*(CkDJ[Account Code]=(TRIM($B123)))*(CkDJ[Date]&lt;=$C$8),CkDJ[Debit])))+(SUM(IF((CsDJ[Sort Code]=(TRIM(E$5)))*(CsDJ[Account Code]=(TRIM($B123)))*(CsDJ[Date]&lt;=$C$8),CsDJ[Debit])))+(SUM(IF((CRDJ[Sort Code]=(TRIM(E$5)))*(CRDJ[Account Code]=(TRIM($B123)))*(CRDJ[Date]&lt;=$C$8),CRDJ[Debit])))+(SUM(IF((GJ[Sort Code]=(TRIM(E$5)))*(GJ[Account Code]=(TRIM($B123)))*(GJ[Date]&lt;=$C$8),GJ[Debit]))))-((SUM(IF((CkDJ[Sort Code]=(TRIM(E$5)))*(CkDJ[Account Code]=(TRIM($B123)))*(CkDJ[Date]&lt;=$C$8),CkDJ[Credit])))+(SUM(IF((CsDJ[Sort Code]=(TRIM(E$5)))*(CsDJ[Account Code]=(TRIM($B123)))*(CsDJ[Date]&lt;=$C$8),CsDJ[Credit])))+(SUM(IF((CRDJ[Sort Code]=(TRIM(E$5)))*(CRDJ[Account Code]=(TRIM($B123)))*(CRDJ[Date]&lt;=$C$8),CRDJ[Credit])))+(SUM(IF((GJ[Sort Code]=(TRIM(E$5)))*(GJ[Account Code]=(TRIM($B123)))*(GJ[Date]&lt;=$C$8),GJ[Credit]))))</f>
        <v>0</v>
      </c>
      <c r="D123" s="466">
        <f t="array" ref="D123">((SUM(IF((CkDJ[Date]=$A$4)*(CkDJ[Sort Code]=(TRIM(E$5)))*(CkDJ[Account Code]=(TRIM($B123))),CkDJ[Debit])))+(SUM(IF((CsDJ[Date]=$A$4)*(CsDJ[Sort Code]=(TRIM(E$5)))*(CsDJ[Account Code]=(TRIM($B123))),CsDJ[Debit])))+(SUM(IF((CRDJ[Date]=$A$4)*(CRDJ[Sort Code]=(TRIM(E$5)))*(CRDJ[Account Code]=(TRIM($B123))),CRDJ[Debit])))+(SUM(IF((GJ[Date]=$A$4)*(GJ[Sort Code]=(TRIM(E$5)))*(GJ[Account Code]=(TRIM($B123))),GJ[Debit]))))-((SUM(IF((CkDJ[Date]=$A$4)*(CkDJ[Sort Code]=(TRIM(E$5)))*(CkDJ[Account Code]=(TRIM($B123))),CkDJ[Credit])))+(SUM(IF((CsDJ[Date]=$A$4)*(CsDJ[Sort Code]=(TRIM(E$5)))*(CsDJ[Account Code]=(TRIM($B123))),CsDJ[Credit])))+(SUM(IF((CRDJ[Date]=$A$4)*(CRDJ[Sort Code]=(TRIM(E$5)))*(CRDJ[Account Code]=(TRIM($B123))),CRDJ[Credit])))+(SUM(IF((GJ[Date]=$A$4)*(GJ[Sort Code]=(TRIM(E$5)))*(GJ[Account Code]=(TRIM($B123))),GJ[Credit]))))</f>
        <v>0</v>
      </c>
      <c r="E123" s="467">
        <f t="shared" si="4"/>
        <v>0</v>
      </c>
    </row>
    <row r="124" spans="1:5" x14ac:dyDescent="0.2">
      <c r="A124" s="476" t="s">
        <v>317</v>
      </c>
      <c r="B124" s="339" t="s">
        <v>273</v>
      </c>
      <c r="C124" s="466">
        <f t="array" ref="C124">((SUM(IF((CkDJ[Sort Code]=(TRIM(E$5)))*(CkDJ[Account Code]=(TRIM($B124)))*(CkDJ[Date]&lt;=$C$8),CkDJ[Debit])))+(SUM(IF((CsDJ[Sort Code]=(TRIM(E$5)))*(CsDJ[Account Code]=(TRIM($B124)))*(CsDJ[Date]&lt;=$C$8),CsDJ[Debit])))+(SUM(IF((CRDJ[Sort Code]=(TRIM(E$5)))*(CRDJ[Account Code]=(TRIM($B124)))*(CRDJ[Date]&lt;=$C$8),CRDJ[Debit])))+(SUM(IF((GJ[Sort Code]=(TRIM(E$5)))*(GJ[Account Code]=(TRIM($B124)))*(GJ[Date]&lt;=$C$8),GJ[Debit]))))-((SUM(IF((CkDJ[Sort Code]=(TRIM(E$5)))*(CkDJ[Account Code]=(TRIM($B124)))*(CkDJ[Date]&lt;=$C$8),CkDJ[Credit])))+(SUM(IF((CsDJ[Sort Code]=(TRIM(E$5)))*(CsDJ[Account Code]=(TRIM($B124)))*(CsDJ[Date]&lt;=$C$8),CsDJ[Credit])))+(SUM(IF((CRDJ[Sort Code]=(TRIM(E$5)))*(CRDJ[Account Code]=(TRIM($B124)))*(CRDJ[Date]&lt;=$C$8),CRDJ[Credit])))+(SUM(IF((GJ[Sort Code]=(TRIM(E$5)))*(GJ[Account Code]=(TRIM($B124)))*(GJ[Date]&lt;=$C$8),GJ[Credit]))))</f>
        <v>0</v>
      </c>
      <c r="D124" s="466">
        <f t="array" ref="D124">((SUM(IF((CkDJ[Date]=$A$4)*(CkDJ[Sort Code]=(TRIM(E$5)))*(CkDJ[Account Code]=(TRIM($B124))),CkDJ[Debit])))+(SUM(IF((CsDJ[Date]=$A$4)*(CsDJ[Sort Code]=(TRIM(E$5)))*(CsDJ[Account Code]=(TRIM($B124))),CsDJ[Debit])))+(SUM(IF((CRDJ[Date]=$A$4)*(CRDJ[Sort Code]=(TRIM(E$5)))*(CRDJ[Account Code]=(TRIM($B124))),CRDJ[Debit])))+(SUM(IF((GJ[Date]=$A$4)*(GJ[Sort Code]=(TRIM(E$5)))*(GJ[Account Code]=(TRIM($B124))),GJ[Debit]))))-((SUM(IF((CkDJ[Date]=$A$4)*(CkDJ[Sort Code]=(TRIM(E$5)))*(CkDJ[Account Code]=(TRIM($B124))),CkDJ[Credit])))+(SUM(IF((CsDJ[Date]=$A$4)*(CsDJ[Sort Code]=(TRIM(E$5)))*(CsDJ[Account Code]=(TRIM($B124))),CsDJ[Credit])))+(SUM(IF((CRDJ[Date]=$A$4)*(CRDJ[Sort Code]=(TRIM(E$5)))*(CRDJ[Account Code]=(TRIM($B124))),CRDJ[Credit])))+(SUM(IF((GJ[Date]=$A$4)*(GJ[Sort Code]=(TRIM(E$5)))*(GJ[Account Code]=(TRIM($B124))),GJ[Credit]))))</f>
        <v>0</v>
      </c>
      <c r="E124" s="467">
        <f t="shared" si="4"/>
        <v>0</v>
      </c>
    </row>
    <row r="125" spans="1:5" x14ac:dyDescent="0.2">
      <c r="A125" s="476" t="s">
        <v>318</v>
      </c>
      <c r="B125" s="339" t="s">
        <v>274</v>
      </c>
      <c r="C125" s="466">
        <f t="array" ref="C125">((SUM(IF((CkDJ[Sort Code]=(TRIM(E$5)))*(CkDJ[Account Code]=(TRIM($B125)))*(CkDJ[Date]&lt;=$C$8),CkDJ[Debit])))+(SUM(IF((CsDJ[Sort Code]=(TRIM(E$5)))*(CsDJ[Account Code]=(TRIM($B125)))*(CsDJ[Date]&lt;=$C$8),CsDJ[Debit])))+(SUM(IF((CRDJ[Sort Code]=(TRIM(E$5)))*(CRDJ[Account Code]=(TRIM($B125)))*(CRDJ[Date]&lt;=$C$8),CRDJ[Debit])))+(SUM(IF((GJ[Sort Code]=(TRIM(E$5)))*(GJ[Account Code]=(TRIM($B125)))*(GJ[Date]&lt;=$C$8),GJ[Debit]))))-((SUM(IF((CkDJ[Sort Code]=(TRIM(E$5)))*(CkDJ[Account Code]=(TRIM($B125)))*(CkDJ[Date]&lt;=$C$8),CkDJ[Credit])))+(SUM(IF((CsDJ[Sort Code]=(TRIM(E$5)))*(CsDJ[Account Code]=(TRIM($B125)))*(CsDJ[Date]&lt;=$C$8),CsDJ[Credit])))+(SUM(IF((CRDJ[Sort Code]=(TRIM(E$5)))*(CRDJ[Account Code]=(TRIM($B125)))*(CRDJ[Date]&lt;=$C$8),CRDJ[Credit])))+(SUM(IF((GJ[Sort Code]=(TRIM(E$5)))*(GJ[Account Code]=(TRIM($B125)))*(GJ[Date]&lt;=$C$8),GJ[Credit]))))</f>
        <v>0</v>
      </c>
      <c r="D125" s="466">
        <f t="array" ref="D125">((SUM(IF((CkDJ[Date]=$A$4)*(CkDJ[Sort Code]=(TRIM(E$5)))*(CkDJ[Account Code]=(TRIM($B125))),CkDJ[Debit])))+(SUM(IF((CsDJ[Date]=$A$4)*(CsDJ[Sort Code]=(TRIM(E$5)))*(CsDJ[Account Code]=(TRIM($B125))),CsDJ[Debit])))+(SUM(IF((CRDJ[Date]=$A$4)*(CRDJ[Sort Code]=(TRIM(E$5)))*(CRDJ[Account Code]=(TRIM($B125))),CRDJ[Debit])))+(SUM(IF((GJ[Date]=$A$4)*(GJ[Sort Code]=(TRIM(E$5)))*(GJ[Account Code]=(TRIM($B125))),GJ[Debit]))))-((SUM(IF((CkDJ[Date]=$A$4)*(CkDJ[Sort Code]=(TRIM(E$5)))*(CkDJ[Account Code]=(TRIM($B125))),CkDJ[Credit])))+(SUM(IF((CsDJ[Date]=$A$4)*(CsDJ[Sort Code]=(TRIM(E$5)))*(CsDJ[Account Code]=(TRIM($B125))),CsDJ[Credit])))+(SUM(IF((CRDJ[Date]=$A$4)*(CRDJ[Sort Code]=(TRIM(E$5)))*(CRDJ[Account Code]=(TRIM($B125))),CRDJ[Credit])))+(SUM(IF((GJ[Date]=$A$4)*(GJ[Sort Code]=(TRIM(E$5)))*(GJ[Account Code]=(TRIM($B125))),GJ[Credit]))))</f>
        <v>0</v>
      </c>
      <c r="E125" s="467">
        <f t="shared" si="4"/>
        <v>0</v>
      </c>
    </row>
    <row r="126" spans="1:5" x14ac:dyDescent="0.2">
      <c r="A126" s="476" t="s">
        <v>796</v>
      </c>
      <c r="B126" s="339" t="s">
        <v>331</v>
      </c>
      <c r="C126" s="466">
        <f t="array" ref="C126">((SUM(IF((CkDJ[Sort Code]=(TRIM(E$5)))*(CkDJ[Account Code]=(TRIM($B126)))*(CkDJ[Date]&lt;=$C$8),CkDJ[Debit])))+(SUM(IF((CsDJ[Sort Code]=(TRIM(E$5)))*(CsDJ[Account Code]=(TRIM($B126)))*(CsDJ[Date]&lt;=$C$8),CsDJ[Debit])))+(SUM(IF((CRDJ[Sort Code]=(TRIM(E$5)))*(CRDJ[Account Code]=(TRIM($B126)))*(CRDJ[Date]&lt;=$C$8),CRDJ[Debit])))+(SUM(IF((GJ[Sort Code]=(TRIM(E$5)))*(GJ[Account Code]=(TRIM($B126)))*(GJ[Date]&lt;=$C$8),GJ[Debit]))))-((SUM(IF((CkDJ[Sort Code]=(TRIM(E$5)))*(CkDJ[Account Code]=(TRIM($B126)))*(CkDJ[Date]&lt;=$C$8),CkDJ[Credit])))+(SUM(IF((CsDJ[Sort Code]=(TRIM(E$5)))*(CsDJ[Account Code]=(TRIM($B126)))*(CsDJ[Date]&lt;=$C$8),CsDJ[Credit])))+(SUM(IF((CRDJ[Sort Code]=(TRIM(E$5)))*(CRDJ[Account Code]=(TRIM($B126)))*(CRDJ[Date]&lt;=$C$8),CRDJ[Credit])))+(SUM(IF((GJ[Sort Code]=(TRIM(E$5)))*(GJ[Account Code]=(TRIM($B126)))*(GJ[Date]&lt;=$C$8),GJ[Credit]))))</f>
        <v>0</v>
      </c>
      <c r="D126" s="466">
        <f t="array" ref="D126">((SUM(IF((CkDJ[Date]=$A$4)*(CkDJ[Sort Code]=(TRIM(E$5)))*(CkDJ[Account Code]=(TRIM($B126))),CkDJ[Debit])))+(SUM(IF((CsDJ[Date]=$A$4)*(CsDJ[Sort Code]=(TRIM(E$5)))*(CsDJ[Account Code]=(TRIM($B126))),CsDJ[Debit])))+(SUM(IF((CRDJ[Date]=$A$4)*(CRDJ[Sort Code]=(TRIM(E$5)))*(CRDJ[Account Code]=(TRIM($B126))),CRDJ[Debit])))+(SUM(IF((GJ[Date]=$A$4)*(GJ[Sort Code]=(TRIM(E$5)))*(GJ[Account Code]=(TRIM($B126))),GJ[Debit]))))-((SUM(IF((CkDJ[Date]=$A$4)*(CkDJ[Sort Code]=(TRIM(E$5)))*(CkDJ[Account Code]=(TRIM($B126))),CkDJ[Credit])))+(SUM(IF((CsDJ[Date]=$A$4)*(CsDJ[Sort Code]=(TRIM(E$5)))*(CsDJ[Account Code]=(TRIM($B126))),CsDJ[Credit])))+(SUM(IF((CRDJ[Date]=$A$4)*(CRDJ[Sort Code]=(TRIM(E$5)))*(CRDJ[Account Code]=(TRIM($B126))),CRDJ[Credit])))+(SUM(IF((GJ[Date]=$A$4)*(GJ[Sort Code]=(TRIM(E$5)))*(GJ[Account Code]=(TRIM($B126))),GJ[Credit]))))</f>
        <v>0</v>
      </c>
      <c r="E126" s="467">
        <f t="shared" si="4"/>
        <v>0</v>
      </c>
    </row>
    <row r="127" spans="1:5" x14ac:dyDescent="0.2">
      <c r="A127" s="476" t="s">
        <v>1028</v>
      </c>
      <c r="B127" s="339" t="s">
        <v>332</v>
      </c>
      <c r="C127" s="466">
        <f t="array" ref="C127">((SUM(IF((CkDJ[Sort Code]=(TRIM(E$5)))*(CkDJ[Account Code]=(TRIM($B127)))*(CkDJ[Date]&lt;=$C$8),CkDJ[Debit])))+(SUM(IF((CsDJ[Sort Code]=(TRIM(E$5)))*(CsDJ[Account Code]=(TRIM($B127)))*(CsDJ[Date]&lt;=$C$8),CsDJ[Debit])))+(SUM(IF((CRDJ[Sort Code]=(TRIM(E$5)))*(CRDJ[Account Code]=(TRIM($B127)))*(CRDJ[Date]&lt;=$C$8),CRDJ[Debit])))+(SUM(IF((GJ[Sort Code]=(TRIM(E$5)))*(GJ[Account Code]=(TRIM($B127)))*(GJ[Date]&lt;=$C$8),GJ[Debit]))))-((SUM(IF((CkDJ[Sort Code]=(TRIM(E$5)))*(CkDJ[Account Code]=(TRIM($B127)))*(CkDJ[Date]&lt;=$C$8),CkDJ[Credit])))+(SUM(IF((CsDJ[Sort Code]=(TRIM(E$5)))*(CsDJ[Account Code]=(TRIM($B127)))*(CsDJ[Date]&lt;=$C$8),CsDJ[Credit])))+(SUM(IF((CRDJ[Sort Code]=(TRIM(E$5)))*(CRDJ[Account Code]=(TRIM($B127)))*(CRDJ[Date]&lt;=$C$8),CRDJ[Credit])))+(SUM(IF((GJ[Sort Code]=(TRIM(E$5)))*(GJ[Account Code]=(TRIM($B127)))*(GJ[Date]&lt;=$C$8),GJ[Credit]))))</f>
        <v>0</v>
      </c>
      <c r="D127" s="466">
        <f t="array" ref="D127">((SUM(IF((CkDJ[Date]=$A$4)*(CkDJ[Sort Code]=(TRIM(E$5)))*(CkDJ[Account Code]=(TRIM($B127))),CkDJ[Debit])))+(SUM(IF((CsDJ[Date]=$A$4)*(CsDJ[Sort Code]=(TRIM(E$5)))*(CsDJ[Account Code]=(TRIM($B127))),CsDJ[Debit])))+(SUM(IF((CRDJ[Date]=$A$4)*(CRDJ[Sort Code]=(TRIM(E$5)))*(CRDJ[Account Code]=(TRIM($B127))),CRDJ[Debit])))+(SUM(IF((GJ[Date]=$A$4)*(GJ[Sort Code]=(TRIM(E$5)))*(GJ[Account Code]=(TRIM($B127))),GJ[Debit]))))-((SUM(IF((CkDJ[Date]=$A$4)*(CkDJ[Sort Code]=(TRIM(E$5)))*(CkDJ[Account Code]=(TRIM($B127))),CkDJ[Credit])))+(SUM(IF((CsDJ[Date]=$A$4)*(CsDJ[Sort Code]=(TRIM(E$5)))*(CsDJ[Account Code]=(TRIM($B127))),CsDJ[Credit])))+(SUM(IF((CRDJ[Date]=$A$4)*(CRDJ[Sort Code]=(TRIM(E$5)))*(CRDJ[Account Code]=(TRIM($B127))),CRDJ[Credit])))+(SUM(IF((GJ[Date]=$A$4)*(GJ[Sort Code]=(TRIM(E$5)))*(GJ[Account Code]=(TRIM($B127))),GJ[Credit]))))</f>
        <v>0</v>
      </c>
      <c r="E127" s="467">
        <f t="shared" si="4"/>
        <v>0</v>
      </c>
    </row>
    <row r="128" spans="1:5" x14ac:dyDescent="0.2">
      <c r="A128" s="476" t="s">
        <v>343</v>
      </c>
      <c r="B128" s="339" t="s">
        <v>334</v>
      </c>
      <c r="C128" s="466">
        <f t="array" ref="C128">((SUM(IF((CkDJ[Sort Code]=(TRIM(E$5)))*(CkDJ[Account Code]=(TRIM($B128)))*(CkDJ[Date]&lt;=$C$8),CkDJ[Debit])))+(SUM(IF((CsDJ[Sort Code]=(TRIM(E$5)))*(CsDJ[Account Code]=(TRIM($B128)))*(CsDJ[Date]&lt;=$C$8),CsDJ[Debit])))+(SUM(IF((CRDJ[Sort Code]=(TRIM(E$5)))*(CRDJ[Account Code]=(TRIM($B128)))*(CRDJ[Date]&lt;=$C$8),CRDJ[Debit])))+(SUM(IF((GJ[Sort Code]=(TRIM(E$5)))*(GJ[Account Code]=(TRIM($B128)))*(GJ[Date]&lt;=$C$8),GJ[Debit]))))-((SUM(IF((CkDJ[Sort Code]=(TRIM(E$5)))*(CkDJ[Account Code]=(TRIM($B128)))*(CkDJ[Date]&lt;=$C$8),CkDJ[Credit])))+(SUM(IF((CsDJ[Sort Code]=(TRIM(E$5)))*(CsDJ[Account Code]=(TRIM($B128)))*(CsDJ[Date]&lt;=$C$8),CsDJ[Credit])))+(SUM(IF((CRDJ[Sort Code]=(TRIM(E$5)))*(CRDJ[Account Code]=(TRIM($B128)))*(CRDJ[Date]&lt;=$C$8),CRDJ[Credit])))+(SUM(IF((GJ[Sort Code]=(TRIM(E$5)))*(GJ[Account Code]=(TRIM($B128)))*(GJ[Date]&lt;=$C$8),GJ[Credit]))))</f>
        <v>0</v>
      </c>
      <c r="D128" s="466">
        <f t="array" ref="D128">((SUM(IF((CkDJ[Date]=$A$4)*(CkDJ[Sort Code]=(TRIM(E$5)))*(CkDJ[Account Code]=(TRIM($B128))),CkDJ[Debit])))+(SUM(IF((CsDJ[Date]=$A$4)*(CsDJ[Sort Code]=(TRIM(E$5)))*(CsDJ[Account Code]=(TRIM($B128))),CsDJ[Debit])))+(SUM(IF((CRDJ[Date]=$A$4)*(CRDJ[Sort Code]=(TRIM(E$5)))*(CRDJ[Account Code]=(TRIM($B128))),CRDJ[Debit])))+(SUM(IF((GJ[Date]=$A$4)*(GJ[Sort Code]=(TRIM(E$5)))*(GJ[Account Code]=(TRIM($B128))),GJ[Debit]))))-((SUM(IF((CkDJ[Date]=$A$4)*(CkDJ[Sort Code]=(TRIM(E$5)))*(CkDJ[Account Code]=(TRIM($B128))),CkDJ[Credit])))+(SUM(IF((CsDJ[Date]=$A$4)*(CsDJ[Sort Code]=(TRIM(E$5)))*(CsDJ[Account Code]=(TRIM($B128))),CsDJ[Credit])))+(SUM(IF((CRDJ[Date]=$A$4)*(CRDJ[Sort Code]=(TRIM(E$5)))*(CRDJ[Account Code]=(TRIM($B128))),CRDJ[Credit])))+(SUM(IF((GJ[Date]=$A$4)*(GJ[Sort Code]=(TRIM(E$5)))*(GJ[Account Code]=(TRIM($B128))),GJ[Credit]))))</f>
        <v>0</v>
      </c>
      <c r="E128" s="467">
        <f t="shared" si="4"/>
        <v>0</v>
      </c>
    </row>
    <row r="129" spans="1:5" x14ac:dyDescent="0.2">
      <c r="A129" s="476" t="s">
        <v>344</v>
      </c>
      <c r="B129" s="339" t="s">
        <v>335</v>
      </c>
      <c r="C129" s="466">
        <f t="array" ref="C129">((SUM(IF((CkDJ[Sort Code]=(TRIM(E$5)))*(CkDJ[Account Code]=(TRIM($B129)))*(CkDJ[Date]&lt;=$C$8),CkDJ[Debit])))+(SUM(IF((CsDJ[Sort Code]=(TRIM(E$5)))*(CsDJ[Account Code]=(TRIM($B129)))*(CsDJ[Date]&lt;=$C$8),CsDJ[Debit])))+(SUM(IF((CRDJ[Sort Code]=(TRIM(E$5)))*(CRDJ[Account Code]=(TRIM($B129)))*(CRDJ[Date]&lt;=$C$8),CRDJ[Debit])))+(SUM(IF((GJ[Sort Code]=(TRIM(E$5)))*(GJ[Account Code]=(TRIM($B129)))*(GJ[Date]&lt;=$C$8),GJ[Debit]))))-((SUM(IF((CkDJ[Sort Code]=(TRIM(E$5)))*(CkDJ[Account Code]=(TRIM($B129)))*(CkDJ[Date]&lt;=$C$8),CkDJ[Credit])))+(SUM(IF((CsDJ[Sort Code]=(TRIM(E$5)))*(CsDJ[Account Code]=(TRIM($B129)))*(CsDJ[Date]&lt;=$C$8),CsDJ[Credit])))+(SUM(IF((CRDJ[Sort Code]=(TRIM(E$5)))*(CRDJ[Account Code]=(TRIM($B129)))*(CRDJ[Date]&lt;=$C$8),CRDJ[Credit])))+(SUM(IF((GJ[Sort Code]=(TRIM(E$5)))*(GJ[Account Code]=(TRIM($B129)))*(GJ[Date]&lt;=$C$8),GJ[Credit]))))</f>
        <v>0</v>
      </c>
      <c r="D129" s="466">
        <f t="array" ref="D129">((SUM(IF((CkDJ[Date]=$A$4)*(CkDJ[Sort Code]=(TRIM(E$5)))*(CkDJ[Account Code]=(TRIM($B129))),CkDJ[Debit])))+(SUM(IF((CsDJ[Date]=$A$4)*(CsDJ[Sort Code]=(TRIM(E$5)))*(CsDJ[Account Code]=(TRIM($B129))),CsDJ[Debit])))+(SUM(IF((CRDJ[Date]=$A$4)*(CRDJ[Sort Code]=(TRIM(E$5)))*(CRDJ[Account Code]=(TRIM($B129))),CRDJ[Debit])))+(SUM(IF((GJ[Date]=$A$4)*(GJ[Sort Code]=(TRIM(E$5)))*(GJ[Account Code]=(TRIM($B129))),GJ[Debit]))))-((SUM(IF((CkDJ[Date]=$A$4)*(CkDJ[Sort Code]=(TRIM(E$5)))*(CkDJ[Account Code]=(TRIM($B129))),CkDJ[Credit])))+(SUM(IF((CsDJ[Date]=$A$4)*(CsDJ[Sort Code]=(TRIM(E$5)))*(CsDJ[Account Code]=(TRIM($B129))),CsDJ[Credit])))+(SUM(IF((CRDJ[Date]=$A$4)*(CRDJ[Sort Code]=(TRIM(E$5)))*(CRDJ[Account Code]=(TRIM($B129))),CRDJ[Credit])))+(SUM(IF((GJ[Date]=$A$4)*(GJ[Sort Code]=(TRIM(E$5)))*(GJ[Account Code]=(TRIM($B129))),GJ[Credit]))))</f>
        <v>0</v>
      </c>
      <c r="E129" s="467">
        <f t="shared" si="4"/>
        <v>0</v>
      </c>
    </row>
    <row r="130" spans="1:5" x14ac:dyDescent="0.2">
      <c r="A130" s="476" t="s">
        <v>368</v>
      </c>
      <c r="B130" s="339" t="s">
        <v>405</v>
      </c>
      <c r="C130" s="466">
        <f t="array" ref="C130">((SUM(IF((CkDJ[Sort Code]=(TRIM(E$5)))*(CkDJ[Account Code]=(TRIM($B130)))*(CkDJ[Date]&lt;=$C$8),CkDJ[Debit])))+(SUM(IF((CsDJ[Sort Code]=(TRIM(E$5)))*(CsDJ[Account Code]=(TRIM($B130)))*(CsDJ[Date]&lt;=$C$8),CsDJ[Debit])))+(SUM(IF((CRDJ[Sort Code]=(TRIM(E$5)))*(CRDJ[Account Code]=(TRIM($B130)))*(CRDJ[Date]&lt;=$C$8),CRDJ[Debit])))+(SUM(IF((GJ[Sort Code]=(TRIM(E$5)))*(GJ[Account Code]=(TRIM($B130)))*(GJ[Date]&lt;=$C$8),GJ[Debit]))))-((SUM(IF((CkDJ[Sort Code]=(TRIM(E$5)))*(CkDJ[Account Code]=(TRIM($B130)))*(CkDJ[Date]&lt;=$C$8),CkDJ[Credit])))+(SUM(IF((CsDJ[Sort Code]=(TRIM(E$5)))*(CsDJ[Account Code]=(TRIM($B130)))*(CsDJ[Date]&lt;=$C$8),CsDJ[Credit])))+(SUM(IF((CRDJ[Sort Code]=(TRIM(E$5)))*(CRDJ[Account Code]=(TRIM($B130)))*(CRDJ[Date]&lt;=$C$8),CRDJ[Credit])))+(SUM(IF((GJ[Sort Code]=(TRIM(E$5)))*(GJ[Account Code]=(TRIM($B130)))*(GJ[Date]&lt;=$C$8),GJ[Credit]))))</f>
        <v>0</v>
      </c>
      <c r="D130" s="466">
        <f t="array" ref="D130">((SUM(IF((CkDJ[Date]=$A$4)*(CkDJ[Sort Code]=(TRIM(E$5)))*(CkDJ[Account Code]=(TRIM($B130))),CkDJ[Debit])))+(SUM(IF((CsDJ[Date]=$A$4)*(CsDJ[Sort Code]=(TRIM(E$5)))*(CsDJ[Account Code]=(TRIM($B130))),CsDJ[Debit])))+(SUM(IF((CRDJ[Date]=$A$4)*(CRDJ[Sort Code]=(TRIM(E$5)))*(CRDJ[Account Code]=(TRIM($B130))),CRDJ[Debit])))+(SUM(IF((GJ[Date]=$A$4)*(GJ[Sort Code]=(TRIM(E$5)))*(GJ[Account Code]=(TRIM($B130))),GJ[Debit]))))-((SUM(IF((CkDJ[Date]=$A$4)*(CkDJ[Sort Code]=(TRIM(E$5)))*(CkDJ[Account Code]=(TRIM($B130))),CkDJ[Credit])))+(SUM(IF((CsDJ[Date]=$A$4)*(CsDJ[Sort Code]=(TRIM(E$5)))*(CsDJ[Account Code]=(TRIM($B130))),CsDJ[Credit])))+(SUM(IF((CRDJ[Date]=$A$4)*(CRDJ[Sort Code]=(TRIM(E$5)))*(CRDJ[Account Code]=(TRIM($B130))),CRDJ[Credit])))+(SUM(IF((GJ[Date]=$A$4)*(GJ[Sort Code]=(TRIM(E$5)))*(GJ[Account Code]=(TRIM($B130))),GJ[Credit]))))</f>
        <v>0</v>
      </c>
      <c r="E130" s="467">
        <f t="shared" si="4"/>
        <v>0</v>
      </c>
    </row>
    <row r="131" spans="1:5" x14ac:dyDescent="0.2">
      <c r="A131" s="476" t="s">
        <v>345</v>
      </c>
      <c r="B131" s="339" t="s">
        <v>336</v>
      </c>
      <c r="C131" s="466">
        <f t="array" ref="C131">((SUM(IF((CkDJ[Sort Code]=(TRIM(E$5)))*(CkDJ[Account Code]=(TRIM($B131)))*(CkDJ[Date]&lt;=$C$8),CkDJ[Debit])))+(SUM(IF((CsDJ[Sort Code]=(TRIM(E$5)))*(CsDJ[Account Code]=(TRIM($B131)))*(CsDJ[Date]&lt;=$C$8),CsDJ[Debit])))+(SUM(IF((CRDJ[Sort Code]=(TRIM(E$5)))*(CRDJ[Account Code]=(TRIM($B131)))*(CRDJ[Date]&lt;=$C$8),CRDJ[Debit])))+(SUM(IF((GJ[Sort Code]=(TRIM(E$5)))*(GJ[Account Code]=(TRIM($B131)))*(GJ[Date]&lt;=$C$8),GJ[Debit]))))-((SUM(IF((CkDJ[Sort Code]=(TRIM(E$5)))*(CkDJ[Account Code]=(TRIM($B131)))*(CkDJ[Date]&lt;=$C$8),CkDJ[Credit])))+(SUM(IF((CsDJ[Sort Code]=(TRIM(E$5)))*(CsDJ[Account Code]=(TRIM($B131)))*(CsDJ[Date]&lt;=$C$8),CsDJ[Credit])))+(SUM(IF((CRDJ[Sort Code]=(TRIM(E$5)))*(CRDJ[Account Code]=(TRIM($B131)))*(CRDJ[Date]&lt;=$C$8),CRDJ[Credit])))+(SUM(IF((GJ[Sort Code]=(TRIM(E$5)))*(GJ[Account Code]=(TRIM($B131)))*(GJ[Date]&lt;=$C$8),GJ[Credit]))))</f>
        <v>0</v>
      </c>
      <c r="D131" s="466">
        <f t="array" ref="D131">((SUM(IF((CkDJ[Date]=$A$4)*(CkDJ[Sort Code]=(TRIM(E$5)))*(CkDJ[Account Code]=(TRIM($B131))),CkDJ[Debit])))+(SUM(IF((CsDJ[Date]=$A$4)*(CsDJ[Sort Code]=(TRIM(E$5)))*(CsDJ[Account Code]=(TRIM($B131))),CsDJ[Debit])))+(SUM(IF((CRDJ[Date]=$A$4)*(CRDJ[Sort Code]=(TRIM(E$5)))*(CRDJ[Account Code]=(TRIM($B131))),CRDJ[Debit])))+(SUM(IF((GJ[Date]=$A$4)*(GJ[Sort Code]=(TRIM(E$5)))*(GJ[Account Code]=(TRIM($B131))),GJ[Debit]))))-((SUM(IF((CkDJ[Date]=$A$4)*(CkDJ[Sort Code]=(TRIM(E$5)))*(CkDJ[Account Code]=(TRIM($B131))),CkDJ[Credit])))+(SUM(IF((CsDJ[Date]=$A$4)*(CsDJ[Sort Code]=(TRIM(E$5)))*(CsDJ[Account Code]=(TRIM($B131))),CsDJ[Credit])))+(SUM(IF((CRDJ[Date]=$A$4)*(CRDJ[Sort Code]=(TRIM(E$5)))*(CRDJ[Account Code]=(TRIM($B131))),CRDJ[Credit])))+(SUM(IF((GJ[Date]=$A$4)*(GJ[Sort Code]=(TRIM(E$5)))*(GJ[Account Code]=(TRIM($B131))),GJ[Credit]))))</f>
        <v>0</v>
      </c>
      <c r="E131" s="467">
        <f t="shared" si="4"/>
        <v>0</v>
      </c>
    </row>
    <row r="132" spans="1:5" x14ac:dyDescent="0.2">
      <c r="A132" s="476" t="s">
        <v>346</v>
      </c>
      <c r="B132" s="339" t="s">
        <v>337</v>
      </c>
      <c r="C132" s="466">
        <f t="array" ref="C132">((SUM(IF((CkDJ[Sort Code]=(TRIM(E$5)))*(CkDJ[Account Code]=(TRIM($B132)))*(CkDJ[Date]&lt;=$C$8),CkDJ[Debit])))+(SUM(IF((CsDJ[Sort Code]=(TRIM(E$5)))*(CsDJ[Account Code]=(TRIM($B132)))*(CsDJ[Date]&lt;=$C$8),CsDJ[Debit])))+(SUM(IF((CRDJ[Sort Code]=(TRIM(E$5)))*(CRDJ[Account Code]=(TRIM($B132)))*(CRDJ[Date]&lt;=$C$8),CRDJ[Debit])))+(SUM(IF((GJ[Sort Code]=(TRIM(E$5)))*(GJ[Account Code]=(TRIM($B132)))*(GJ[Date]&lt;=$C$8),GJ[Debit]))))-((SUM(IF((CkDJ[Sort Code]=(TRIM(E$5)))*(CkDJ[Account Code]=(TRIM($B132)))*(CkDJ[Date]&lt;=$C$8),CkDJ[Credit])))+(SUM(IF((CsDJ[Sort Code]=(TRIM(E$5)))*(CsDJ[Account Code]=(TRIM($B132)))*(CsDJ[Date]&lt;=$C$8),CsDJ[Credit])))+(SUM(IF((CRDJ[Sort Code]=(TRIM(E$5)))*(CRDJ[Account Code]=(TRIM($B132)))*(CRDJ[Date]&lt;=$C$8),CRDJ[Credit])))+(SUM(IF((GJ[Sort Code]=(TRIM(E$5)))*(GJ[Account Code]=(TRIM($B132)))*(GJ[Date]&lt;=$C$8),GJ[Credit]))))</f>
        <v>0</v>
      </c>
      <c r="D132" s="466">
        <f t="array" ref="D132">((SUM(IF((CkDJ[Date]=$A$4)*(CkDJ[Sort Code]=(TRIM(E$5)))*(CkDJ[Account Code]=(TRIM($B132))),CkDJ[Debit])))+(SUM(IF((CsDJ[Date]=$A$4)*(CsDJ[Sort Code]=(TRIM(E$5)))*(CsDJ[Account Code]=(TRIM($B132))),CsDJ[Debit])))+(SUM(IF((CRDJ[Date]=$A$4)*(CRDJ[Sort Code]=(TRIM(E$5)))*(CRDJ[Account Code]=(TRIM($B132))),CRDJ[Debit])))+(SUM(IF((GJ[Date]=$A$4)*(GJ[Sort Code]=(TRIM(E$5)))*(GJ[Account Code]=(TRIM($B132))),GJ[Debit]))))-((SUM(IF((CkDJ[Date]=$A$4)*(CkDJ[Sort Code]=(TRIM(E$5)))*(CkDJ[Account Code]=(TRIM($B132))),CkDJ[Credit])))+(SUM(IF((CsDJ[Date]=$A$4)*(CsDJ[Sort Code]=(TRIM(E$5)))*(CsDJ[Account Code]=(TRIM($B132))),CsDJ[Credit])))+(SUM(IF((CRDJ[Date]=$A$4)*(CRDJ[Sort Code]=(TRIM(E$5)))*(CRDJ[Account Code]=(TRIM($B132))),CRDJ[Credit])))+(SUM(IF((GJ[Date]=$A$4)*(GJ[Sort Code]=(TRIM(E$5)))*(GJ[Account Code]=(TRIM($B132))),GJ[Credit]))))</f>
        <v>0</v>
      </c>
      <c r="E132" s="467">
        <f t="shared" si="4"/>
        <v>0</v>
      </c>
    </row>
    <row r="133" spans="1:5" x14ac:dyDescent="0.2">
      <c r="A133" s="476" t="s">
        <v>1030</v>
      </c>
      <c r="B133" s="339" t="s">
        <v>986</v>
      </c>
      <c r="C133" s="466">
        <f t="array" ref="C133">((SUM(IF((CkDJ[Sort Code]=(TRIM(E$5)))*(CkDJ[Account Code]=(TRIM($B133)))*(CkDJ[Date]&lt;=$C$8),CkDJ[Debit])))+(SUM(IF((CsDJ[Sort Code]=(TRIM(E$5)))*(CsDJ[Account Code]=(TRIM($B133)))*(CsDJ[Date]&lt;=$C$8),CsDJ[Debit])))+(SUM(IF((CRDJ[Sort Code]=(TRIM(E$5)))*(CRDJ[Account Code]=(TRIM($B133)))*(CRDJ[Date]&lt;=$C$8),CRDJ[Debit])))+(SUM(IF((GJ[Sort Code]=(TRIM(E$5)))*(GJ[Account Code]=(TRIM($B133)))*(GJ[Date]&lt;=$C$8),GJ[Debit]))))-((SUM(IF((CkDJ[Sort Code]=(TRIM(E$5)))*(CkDJ[Account Code]=(TRIM($B133)))*(CkDJ[Date]&lt;=$C$8),CkDJ[Credit])))+(SUM(IF((CsDJ[Sort Code]=(TRIM(E$5)))*(CsDJ[Account Code]=(TRIM($B133)))*(CsDJ[Date]&lt;=$C$8),CsDJ[Credit])))+(SUM(IF((CRDJ[Sort Code]=(TRIM(E$5)))*(CRDJ[Account Code]=(TRIM($B133)))*(CRDJ[Date]&lt;=$C$8),CRDJ[Credit])))+(SUM(IF((GJ[Sort Code]=(TRIM(E$5)))*(GJ[Account Code]=(TRIM($B133)))*(GJ[Date]&lt;=$C$8),GJ[Credit]))))</f>
        <v>0</v>
      </c>
      <c r="D133" s="466">
        <f t="array" ref="D133">((SUM(IF((CkDJ[Date]=$A$4)*(CkDJ[Sort Code]=(TRIM(E$5)))*(CkDJ[Account Code]=(TRIM($B133))),CkDJ[Debit])))+(SUM(IF((CsDJ[Date]=$A$4)*(CsDJ[Sort Code]=(TRIM(E$5)))*(CsDJ[Account Code]=(TRIM($B133))),CsDJ[Debit])))+(SUM(IF((CRDJ[Date]=$A$4)*(CRDJ[Sort Code]=(TRIM(E$5)))*(CRDJ[Account Code]=(TRIM($B133))),CRDJ[Debit])))+(SUM(IF((GJ[Date]=$A$4)*(GJ[Sort Code]=(TRIM(E$5)))*(GJ[Account Code]=(TRIM($B133))),GJ[Debit]))))-((SUM(IF((CkDJ[Date]=$A$4)*(CkDJ[Sort Code]=(TRIM(E$5)))*(CkDJ[Account Code]=(TRIM($B133))),CkDJ[Credit])))+(SUM(IF((CsDJ[Date]=$A$4)*(CsDJ[Sort Code]=(TRIM(E$5)))*(CsDJ[Account Code]=(TRIM($B133))),CsDJ[Credit])))+(SUM(IF((CRDJ[Date]=$A$4)*(CRDJ[Sort Code]=(TRIM(E$5)))*(CRDJ[Account Code]=(TRIM($B133))),CRDJ[Credit])))+(SUM(IF((GJ[Date]=$A$4)*(GJ[Sort Code]=(TRIM(E$5)))*(GJ[Account Code]=(TRIM($B133))),GJ[Credit]))))</f>
        <v>0</v>
      </c>
      <c r="E133" s="467">
        <f t="shared" si="4"/>
        <v>0</v>
      </c>
    </row>
    <row r="134" spans="1:5" x14ac:dyDescent="0.2">
      <c r="A134" s="476" t="s">
        <v>1029</v>
      </c>
      <c r="B134" s="339" t="s">
        <v>987</v>
      </c>
      <c r="C134" s="466">
        <f t="array" ref="C134">((SUM(IF((CkDJ[Sort Code]=(TRIM(E$5)))*(CkDJ[Account Code]=(TRIM($B134)))*(CkDJ[Date]&lt;=$C$8),CkDJ[Debit])))+(SUM(IF((CsDJ[Sort Code]=(TRIM(E$5)))*(CsDJ[Account Code]=(TRIM($B134)))*(CsDJ[Date]&lt;=$C$8),CsDJ[Debit])))+(SUM(IF((CRDJ[Sort Code]=(TRIM(E$5)))*(CRDJ[Account Code]=(TRIM($B134)))*(CRDJ[Date]&lt;=$C$8),CRDJ[Debit])))+(SUM(IF((GJ[Sort Code]=(TRIM(E$5)))*(GJ[Account Code]=(TRIM($B134)))*(GJ[Date]&lt;=$C$8),GJ[Debit]))))-((SUM(IF((CkDJ[Sort Code]=(TRIM(E$5)))*(CkDJ[Account Code]=(TRIM($B134)))*(CkDJ[Date]&lt;=$C$8),CkDJ[Credit])))+(SUM(IF((CsDJ[Sort Code]=(TRIM(E$5)))*(CsDJ[Account Code]=(TRIM($B134)))*(CsDJ[Date]&lt;=$C$8),CsDJ[Credit])))+(SUM(IF((CRDJ[Sort Code]=(TRIM(E$5)))*(CRDJ[Account Code]=(TRIM($B134)))*(CRDJ[Date]&lt;=$C$8),CRDJ[Credit])))+(SUM(IF((GJ[Sort Code]=(TRIM(E$5)))*(GJ[Account Code]=(TRIM($B134)))*(GJ[Date]&lt;=$C$8),GJ[Credit]))))</f>
        <v>0</v>
      </c>
      <c r="D134" s="466">
        <f t="array" ref="D134">((SUM(IF((CkDJ[Date]=$A$4)*(CkDJ[Sort Code]=(TRIM(E$5)))*(CkDJ[Account Code]=(TRIM($B134))),CkDJ[Debit])))+(SUM(IF((CsDJ[Date]=$A$4)*(CsDJ[Sort Code]=(TRIM(E$5)))*(CsDJ[Account Code]=(TRIM($B134))),CsDJ[Debit])))+(SUM(IF((CRDJ[Date]=$A$4)*(CRDJ[Sort Code]=(TRIM(E$5)))*(CRDJ[Account Code]=(TRIM($B134))),CRDJ[Debit])))+(SUM(IF((GJ[Date]=$A$4)*(GJ[Sort Code]=(TRIM(E$5)))*(GJ[Account Code]=(TRIM($B134))),GJ[Debit]))))-((SUM(IF((CkDJ[Date]=$A$4)*(CkDJ[Sort Code]=(TRIM(E$5)))*(CkDJ[Account Code]=(TRIM($B134))),CkDJ[Credit])))+(SUM(IF((CsDJ[Date]=$A$4)*(CsDJ[Sort Code]=(TRIM(E$5)))*(CsDJ[Account Code]=(TRIM($B134))),CsDJ[Credit])))+(SUM(IF((CRDJ[Date]=$A$4)*(CRDJ[Sort Code]=(TRIM(E$5)))*(CRDJ[Account Code]=(TRIM($B134))),CRDJ[Credit])))+(SUM(IF((GJ[Date]=$A$4)*(GJ[Sort Code]=(TRIM(E$5)))*(GJ[Account Code]=(TRIM($B134))),GJ[Credit]))))</f>
        <v>0</v>
      </c>
      <c r="E134" s="467">
        <f t="shared" si="4"/>
        <v>0</v>
      </c>
    </row>
    <row r="135" spans="1:5" x14ac:dyDescent="0.2">
      <c r="A135" s="476" t="s">
        <v>990</v>
      </c>
      <c r="B135" s="339" t="s">
        <v>988</v>
      </c>
      <c r="C135" s="466">
        <f t="array" ref="C135">((SUM(IF((CkDJ[Sort Code]=(TRIM(E$5)))*(CkDJ[Account Code]=(TRIM($B135)))*(CkDJ[Date]&lt;=$C$8),CkDJ[Debit])))+(SUM(IF((CsDJ[Sort Code]=(TRIM(E$5)))*(CsDJ[Account Code]=(TRIM($B135)))*(CsDJ[Date]&lt;=$C$8),CsDJ[Debit])))+(SUM(IF((CRDJ[Sort Code]=(TRIM(E$5)))*(CRDJ[Account Code]=(TRIM($B135)))*(CRDJ[Date]&lt;=$C$8),CRDJ[Debit])))+(SUM(IF((GJ[Sort Code]=(TRIM(E$5)))*(GJ[Account Code]=(TRIM($B135)))*(GJ[Date]&lt;=$C$8),GJ[Debit]))))-((SUM(IF((CkDJ[Sort Code]=(TRIM(E$5)))*(CkDJ[Account Code]=(TRIM($B135)))*(CkDJ[Date]&lt;=$C$8),CkDJ[Credit])))+(SUM(IF((CsDJ[Sort Code]=(TRIM(E$5)))*(CsDJ[Account Code]=(TRIM($B135)))*(CsDJ[Date]&lt;=$C$8),CsDJ[Credit])))+(SUM(IF((CRDJ[Sort Code]=(TRIM(E$5)))*(CRDJ[Account Code]=(TRIM($B135)))*(CRDJ[Date]&lt;=$C$8),CRDJ[Credit])))+(SUM(IF((GJ[Sort Code]=(TRIM(E$5)))*(GJ[Account Code]=(TRIM($B135)))*(GJ[Date]&lt;=$C$8),GJ[Credit]))))</f>
        <v>0</v>
      </c>
      <c r="D135" s="466">
        <f t="array" ref="D135">((SUM(IF((CkDJ[Date]=$A$4)*(CkDJ[Sort Code]=(TRIM(E$5)))*(CkDJ[Account Code]=(TRIM($B135))),CkDJ[Debit])))+(SUM(IF((CsDJ[Date]=$A$4)*(CsDJ[Sort Code]=(TRIM(E$5)))*(CsDJ[Account Code]=(TRIM($B135))),CsDJ[Debit])))+(SUM(IF((CRDJ[Date]=$A$4)*(CRDJ[Sort Code]=(TRIM(E$5)))*(CRDJ[Account Code]=(TRIM($B135))),CRDJ[Debit])))+(SUM(IF((GJ[Date]=$A$4)*(GJ[Sort Code]=(TRIM(E$5)))*(GJ[Account Code]=(TRIM($B135))),GJ[Debit]))))-((SUM(IF((CkDJ[Date]=$A$4)*(CkDJ[Sort Code]=(TRIM(E$5)))*(CkDJ[Account Code]=(TRIM($B135))),CkDJ[Credit])))+(SUM(IF((CsDJ[Date]=$A$4)*(CsDJ[Sort Code]=(TRIM(E$5)))*(CsDJ[Account Code]=(TRIM($B135))),CsDJ[Credit])))+(SUM(IF((CRDJ[Date]=$A$4)*(CRDJ[Sort Code]=(TRIM(E$5)))*(CRDJ[Account Code]=(TRIM($B135))),CRDJ[Credit])))+(SUM(IF((GJ[Date]=$A$4)*(GJ[Sort Code]=(TRIM(E$5)))*(GJ[Account Code]=(TRIM($B135))),GJ[Credit]))))</f>
        <v>0</v>
      </c>
      <c r="E135" s="467">
        <f t="shared" si="4"/>
        <v>0</v>
      </c>
    </row>
    <row r="136" spans="1:5" x14ac:dyDescent="0.2">
      <c r="A136" s="476" t="s">
        <v>349</v>
      </c>
      <c r="B136" s="339" t="s">
        <v>340</v>
      </c>
      <c r="C136" s="466">
        <f t="array" ref="C136">((SUM(IF((CkDJ[Sort Code]=(TRIM(E$5)))*(CkDJ[Account Code]=(TRIM($B136)))*(CkDJ[Date]&lt;=$C$8),CkDJ[Debit])))+(SUM(IF((CsDJ[Sort Code]=(TRIM(E$5)))*(CsDJ[Account Code]=(TRIM($B136)))*(CsDJ[Date]&lt;=$C$8),CsDJ[Debit])))+(SUM(IF((CRDJ[Sort Code]=(TRIM(E$5)))*(CRDJ[Account Code]=(TRIM($B136)))*(CRDJ[Date]&lt;=$C$8),CRDJ[Debit])))+(SUM(IF((GJ[Sort Code]=(TRIM(E$5)))*(GJ[Account Code]=(TRIM($B136)))*(GJ[Date]&lt;=$C$8),GJ[Debit]))))-((SUM(IF((CkDJ[Sort Code]=(TRIM(E$5)))*(CkDJ[Account Code]=(TRIM($B136)))*(CkDJ[Date]&lt;=$C$8),CkDJ[Credit])))+(SUM(IF((CsDJ[Sort Code]=(TRIM(E$5)))*(CsDJ[Account Code]=(TRIM($B136)))*(CsDJ[Date]&lt;=$C$8),CsDJ[Credit])))+(SUM(IF((CRDJ[Sort Code]=(TRIM(E$5)))*(CRDJ[Account Code]=(TRIM($B136)))*(CRDJ[Date]&lt;=$C$8),CRDJ[Credit])))+(SUM(IF((GJ[Sort Code]=(TRIM(E$5)))*(GJ[Account Code]=(TRIM($B136)))*(GJ[Date]&lt;=$C$8),GJ[Credit]))))</f>
        <v>0</v>
      </c>
      <c r="D136" s="466">
        <f t="array" ref="D136">((SUM(IF((CkDJ[Date]=$A$4)*(CkDJ[Sort Code]=(TRIM(E$5)))*(CkDJ[Account Code]=(TRIM($B136))),CkDJ[Debit])))+(SUM(IF((CsDJ[Date]=$A$4)*(CsDJ[Sort Code]=(TRIM(E$5)))*(CsDJ[Account Code]=(TRIM($B136))),CsDJ[Debit])))+(SUM(IF((CRDJ[Date]=$A$4)*(CRDJ[Sort Code]=(TRIM(E$5)))*(CRDJ[Account Code]=(TRIM($B136))),CRDJ[Debit])))+(SUM(IF((GJ[Date]=$A$4)*(GJ[Sort Code]=(TRIM(E$5)))*(GJ[Account Code]=(TRIM($B136))),GJ[Debit]))))-((SUM(IF((CkDJ[Date]=$A$4)*(CkDJ[Sort Code]=(TRIM(E$5)))*(CkDJ[Account Code]=(TRIM($B136))),CkDJ[Credit])))+(SUM(IF((CsDJ[Date]=$A$4)*(CsDJ[Sort Code]=(TRIM(E$5)))*(CsDJ[Account Code]=(TRIM($B136))),CsDJ[Credit])))+(SUM(IF((CRDJ[Date]=$A$4)*(CRDJ[Sort Code]=(TRIM(E$5)))*(CRDJ[Account Code]=(TRIM($B136))),CRDJ[Credit])))+(SUM(IF((GJ[Date]=$A$4)*(GJ[Sort Code]=(TRIM(E$5)))*(GJ[Account Code]=(TRIM($B136))),GJ[Credit]))))</f>
        <v>0</v>
      </c>
      <c r="E136" s="467">
        <f t="shared" si="4"/>
        <v>0</v>
      </c>
    </row>
    <row r="137" spans="1:5" x14ac:dyDescent="0.2">
      <c r="A137" s="476" t="s">
        <v>342</v>
      </c>
      <c r="B137" s="339" t="s">
        <v>333</v>
      </c>
      <c r="C137" s="466">
        <f t="array" ref="C137">((SUM(IF((CkDJ[Sort Code]=(TRIM(E$5)))*(CkDJ[Account Code]=(TRIM($B137)))*(CkDJ[Date]&lt;=$C$8),CkDJ[Debit])))+(SUM(IF((CsDJ[Sort Code]=(TRIM(E$5)))*(CsDJ[Account Code]=(TRIM($B137)))*(CsDJ[Date]&lt;=$C$8),CsDJ[Debit])))+(SUM(IF((CRDJ[Sort Code]=(TRIM(E$5)))*(CRDJ[Account Code]=(TRIM($B137)))*(CRDJ[Date]&lt;=$C$8),CRDJ[Debit])))+(SUM(IF((GJ[Sort Code]=(TRIM(E$5)))*(GJ[Account Code]=(TRIM($B137)))*(GJ[Date]&lt;=$C$8),GJ[Debit]))))-((SUM(IF((CkDJ[Sort Code]=(TRIM(E$5)))*(CkDJ[Account Code]=(TRIM($B137)))*(CkDJ[Date]&lt;=$C$8),CkDJ[Credit])))+(SUM(IF((CsDJ[Sort Code]=(TRIM(E$5)))*(CsDJ[Account Code]=(TRIM($B137)))*(CsDJ[Date]&lt;=$C$8),CsDJ[Credit])))+(SUM(IF((CRDJ[Sort Code]=(TRIM(E$5)))*(CRDJ[Account Code]=(TRIM($B137)))*(CRDJ[Date]&lt;=$C$8),CRDJ[Credit])))+(SUM(IF((GJ[Sort Code]=(TRIM(E$5)))*(GJ[Account Code]=(TRIM($B137)))*(GJ[Date]&lt;=$C$8),GJ[Credit]))))</f>
        <v>0</v>
      </c>
      <c r="D137" s="466">
        <f t="array" ref="D137">((SUM(IF((CkDJ[Date]=$A$4)*(CkDJ[Sort Code]=(TRIM(E$5)))*(CkDJ[Account Code]=(TRIM($B137))),CkDJ[Debit])))+(SUM(IF((CsDJ[Date]=$A$4)*(CsDJ[Sort Code]=(TRIM(E$5)))*(CsDJ[Account Code]=(TRIM($B137))),CsDJ[Debit])))+(SUM(IF((CRDJ[Date]=$A$4)*(CRDJ[Sort Code]=(TRIM(E$5)))*(CRDJ[Account Code]=(TRIM($B137))),CRDJ[Debit])))+(SUM(IF((GJ[Date]=$A$4)*(GJ[Sort Code]=(TRIM(E$5)))*(GJ[Account Code]=(TRIM($B137))),GJ[Debit]))))-((SUM(IF((CkDJ[Date]=$A$4)*(CkDJ[Sort Code]=(TRIM(E$5)))*(CkDJ[Account Code]=(TRIM($B137))),CkDJ[Credit])))+(SUM(IF((CsDJ[Date]=$A$4)*(CsDJ[Sort Code]=(TRIM(E$5)))*(CsDJ[Account Code]=(TRIM($B137))),CsDJ[Credit])))+(SUM(IF((CRDJ[Date]=$A$4)*(CRDJ[Sort Code]=(TRIM(E$5)))*(CRDJ[Account Code]=(TRIM($B137))),CRDJ[Credit])))+(SUM(IF((GJ[Date]=$A$4)*(GJ[Sort Code]=(TRIM(E$5)))*(GJ[Account Code]=(TRIM($B137))),GJ[Credit]))))</f>
        <v>0</v>
      </c>
      <c r="E137" s="467">
        <f>C137+D137</f>
        <v>0</v>
      </c>
    </row>
    <row r="138" spans="1:5" x14ac:dyDescent="0.2">
      <c r="A138" s="468" t="s">
        <v>804</v>
      </c>
      <c r="B138" s="469"/>
      <c r="C138" s="470">
        <f>C47+C74</f>
        <v>0</v>
      </c>
      <c r="D138" s="470">
        <f>D47+D74</f>
        <v>0</v>
      </c>
      <c r="E138" s="470">
        <f>E47+E74</f>
        <v>0</v>
      </c>
    </row>
    <row r="139" spans="1:5" x14ac:dyDescent="0.2">
      <c r="A139" s="468" t="s">
        <v>785</v>
      </c>
      <c r="B139" s="469"/>
      <c r="C139" s="470">
        <f>C45-C138</f>
        <v>0</v>
      </c>
      <c r="D139" s="470">
        <f>D45-D138</f>
        <v>0</v>
      </c>
      <c r="E139" s="470">
        <f>E45-E138</f>
        <v>0</v>
      </c>
    </row>
    <row r="140" spans="1:5" x14ac:dyDescent="0.2">
      <c r="A140" s="468"/>
      <c r="B140" s="469"/>
      <c r="C140" s="470"/>
      <c r="D140" s="470"/>
      <c r="E140" s="470"/>
    </row>
    <row r="141" spans="1:5" x14ac:dyDescent="0.2">
      <c r="A141" s="468" t="s">
        <v>1168</v>
      </c>
      <c r="B141" s="469"/>
      <c r="C141" s="470">
        <v>0</v>
      </c>
      <c r="D141" s="470">
        <v>0</v>
      </c>
      <c r="E141" s="470">
        <v>0</v>
      </c>
    </row>
    <row r="142" spans="1:5" x14ac:dyDescent="0.2">
      <c r="A142" s="468"/>
      <c r="B142" s="469"/>
      <c r="C142" s="470"/>
      <c r="D142" s="470"/>
      <c r="E142" s="470"/>
    </row>
    <row r="143" spans="1:5" x14ac:dyDescent="0.2">
      <c r="A143" s="468" t="s">
        <v>1169</v>
      </c>
      <c r="B143" s="469"/>
      <c r="C143" s="470">
        <f>C139-C141</f>
        <v>0</v>
      </c>
      <c r="D143" s="470">
        <f>D139-D141</f>
        <v>0</v>
      </c>
      <c r="E143" s="470">
        <f>E139-E141</f>
        <v>0</v>
      </c>
    </row>
  </sheetData>
  <mergeCells count="5">
    <mergeCell ref="A6:A8"/>
    <mergeCell ref="B6:B8"/>
    <mergeCell ref="C6:C7"/>
    <mergeCell ref="D6:D8"/>
    <mergeCell ref="E6:E8"/>
  </mergeCells>
  <printOptions horizontalCentered="1"/>
  <pageMargins left="0.25" right="0.25" top="0.75" bottom="1.5" header="0.3" footer="0.3"/>
  <pageSetup paperSize="5" scale="80" orientation="portrait" r:id="rId1"/>
  <rowBreaks count="1" manualBreakCount="1">
    <brk id="72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663300"/>
  </sheetPr>
  <dimension ref="A1:E143"/>
  <sheetViews>
    <sheetView workbookViewId="0"/>
  </sheetViews>
  <sheetFormatPr defaultColWidth="9" defaultRowHeight="14.25" x14ac:dyDescent="0.2"/>
  <cols>
    <col min="1" max="1" width="63.625" style="233" bestFit="1" customWidth="1"/>
    <col min="2" max="2" width="10" style="336" hidden="1" customWidth="1"/>
    <col min="3" max="3" width="17.5" style="236" hidden="1" customWidth="1"/>
    <col min="4" max="4" width="17.125" style="237" hidden="1" customWidth="1"/>
    <col min="5" max="5" width="18" style="236" customWidth="1"/>
    <col min="6" max="16384" width="9" style="233"/>
  </cols>
  <sheetData>
    <row r="1" spans="1:5" x14ac:dyDescent="0.2">
      <c r="A1" s="232" t="s">
        <v>355</v>
      </c>
      <c r="B1" s="335"/>
      <c r="C1" s="232"/>
      <c r="D1" s="232"/>
      <c r="E1" s="232"/>
    </row>
    <row r="2" spans="1:5" x14ac:dyDescent="0.2">
      <c r="A2" s="232" t="s">
        <v>400</v>
      </c>
      <c r="B2" s="335"/>
      <c r="C2" s="232"/>
      <c r="D2" s="232"/>
      <c r="E2" s="232"/>
    </row>
    <row r="3" spans="1:5" x14ac:dyDescent="0.2">
      <c r="A3" s="232" t="s">
        <v>1162</v>
      </c>
      <c r="B3" s="335"/>
      <c r="C3" s="232"/>
      <c r="D3" s="232"/>
      <c r="E3" s="232"/>
    </row>
    <row r="4" spans="1:5" x14ac:dyDescent="0.2">
      <c r="A4" s="234">
        <f>Account!G2</f>
        <v>44500</v>
      </c>
      <c r="B4" s="335"/>
      <c r="C4" s="232"/>
      <c r="D4" s="232"/>
      <c r="E4" s="232"/>
    </row>
    <row r="5" spans="1:5" x14ac:dyDescent="0.2">
      <c r="A5" s="235" t="str">
        <f>IF(E5=0,,VLOOKUP((TRIM(E5)),SortCode,2,))</f>
        <v>Ilocos Norte IMO</v>
      </c>
      <c r="E5" s="331" t="s">
        <v>484</v>
      </c>
    </row>
    <row r="6" spans="1:5" ht="14.25" customHeight="1" x14ac:dyDescent="0.2">
      <c r="A6" s="1299" t="s">
        <v>440</v>
      </c>
      <c r="B6" s="1302" t="s">
        <v>370</v>
      </c>
      <c r="C6" s="1303" t="s">
        <v>832</v>
      </c>
      <c r="D6" s="1305">
        <f>A4</f>
        <v>44500</v>
      </c>
      <c r="E6" s="1303" t="s">
        <v>831</v>
      </c>
    </row>
    <row r="7" spans="1:5" x14ac:dyDescent="0.2">
      <c r="A7" s="1300"/>
      <c r="B7" s="1302"/>
      <c r="C7" s="1304"/>
      <c r="D7" s="1306"/>
      <c r="E7" s="1304"/>
    </row>
    <row r="8" spans="1:5" x14ac:dyDescent="0.2">
      <c r="A8" s="1301"/>
      <c r="B8" s="1302"/>
      <c r="C8" s="465">
        <f>'REVGEN (1)'!E7</f>
        <v>43373</v>
      </c>
      <c r="D8" s="1307"/>
      <c r="E8" s="1308"/>
    </row>
    <row r="9" spans="1:5" x14ac:dyDescent="0.2">
      <c r="A9" s="471" t="s">
        <v>1170</v>
      </c>
      <c r="B9" s="339"/>
      <c r="C9" s="485"/>
      <c r="D9" s="485"/>
      <c r="E9" s="485"/>
    </row>
    <row r="10" spans="1:5" x14ac:dyDescent="0.2">
      <c r="A10" s="473" t="s">
        <v>829</v>
      </c>
      <c r="B10" s="339"/>
      <c r="C10" s="474">
        <f>C11+C12</f>
        <v>0</v>
      </c>
      <c r="D10" s="474">
        <f>D11+D12</f>
        <v>0</v>
      </c>
      <c r="E10" s="474">
        <f>E11+E12</f>
        <v>0</v>
      </c>
    </row>
    <row r="11" spans="1:5" x14ac:dyDescent="0.2">
      <c r="A11" s="475" t="s">
        <v>821</v>
      </c>
      <c r="B11" s="339" t="s">
        <v>125</v>
      </c>
      <c r="C11" s="466">
        <f t="array" ref="C11">((SUM(IF((CkDJ[Sort Code]=(TRIM(E$5)))*(CkDJ[Account Code]=(TRIM($B11)))*(CkDJ[Date]&lt;=$C$8),CkDJ[Credit])))+(SUM(IF((CsDJ[Sort Code]=(TRIM(E$5)))*(CsDJ[Account Code]=(TRIM($B11)))*(CsDJ[Date]&lt;=$C$8),CsDJ[Credit])))+(SUM(IF((CRDJ[Sort Code]=(TRIM(E$5)))*(CRDJ[Account Code]=(TRIM($B11)))*(CRDJ[Date]&lt;=$C$8),CRDJ[Credit])))+(SUM(IF((GJ[Sort Code]=(TRIM(E$5)))*(GJ[Account Code]=(TRIM($B11)))*(GJ[Date]&lt;=$C$8),GJ[Credit]))))-((SUM(IF((CkDJ[Sort Code]=(TRIM(E$5)))*(CkDJ[Account Code]=(TRIM($B11)))*(CkDJ[Date]&lt;=$C$8),CkDJ[Debit])))+(SUM(IF((CsDJ[Sort Code]=(TRIM(E$5)))*(CsDJ[Account Code]=(TRIM($B11)))*(CsDJ[Date]&lt;=$C$8),CsDJ[Debit])))+(SUM(IF((CRDJ[Sort Code]=(TRIM(E$5)))*(CRDJ[Account Code]=(TRIM($B11)))*(CRDJ[Date]&lt;=$C$8),CRDJ[Debit])))+(SUM(IF((GJ[Sort Code]=(TRIM(E$5)))*(GJ[Account Code]=(TRIM($B11)))*(GJ[Date]&lt;=$C$8),GJ[Debit]))))</f>
        <v>0</v>
      </c>
      <c r="D11" s="466">
        <f t="array" ref="D11">((SUM(IF((CkDJ[Date]=$A$4)*(CkDJ[Sort Code]=(TRIM(E$5)))*(CkDJ[Account Code]=(TRIM($B11))),CkDJ[Credit])))+(SUM(IF((CsDJ[Date]=$A$4)*(CsDJ[Sort Code]=(TRIM(E$5)))*(CsDJ[Account Code]=(TRIM($B11))),CsDJ[Credit])))+(SUM(IF((CRDJ[Date]=$A$4)*(CRDJ[Sort Code]=(TRIM(E$5)))*(CRDJ[Account Code]=(TRIM($B11))),CRDJ[Credit])))+(SUM(IF((GJ[Date]=$A$4)*(GJ[Sort Code]=(TRIM(E$5)))*(GJ[Account Code]=(TRIM($B11))),GJ[Credit]))))-((SUM(IF((CkDJ[Date]=$A$4)*(CkDJ[Sort Code]=(TRIM(E$5)))*(CkDJ[Account Code]=(TRIM($B11))),CkDJ[Debit])))+(SUM(IF((CsDJ[Date]=$A$4)*(CsDJ[Sort Code]=(TRIM(E$5)))*(CsDJ[Account Code]=(TRIM($B11))),CsDJ[Debit])))+(SUM(IF((CRDJ[Date]=$A$4)*(CRDJ[Sort Code]=(TRIM(E$5)))*(CRDJ[Account Code]=(TRIM($B11))),CRDJ[Debit])))+(SUM(IF((GJ[Date]=$A$4)*(GJ[Sort Code]=(TRIM(E$5)))*(GJ[Account Code]=(TRIM($B11))),GJ[Debit]))))</f>
        <v>0</v>
      </c>
      <c r="E11" s="467">
        <f>C11+D11</f>
        <v>0</v>
      </c>
    </row>
    <row r="12" spans="1:5" x14ac:dyDescent="0.2">
      <c r="A12" s="475" t="s">
        <v>820</v>
      </c>
      <c r="B12" s="339"/>
      <c r="C12" s="466">
        <f>SUM(C13:C15)</f>
        <v>0</v>
      </c>
      <c r="D12" s="466">
        <f>SUM(D13:D15)</f>
        <v>0</v>
      </c>
      <c r="E12" s="467">
        <f>SUM(E13:E15)</f>
        <v>0</v>
      </c>
    </row>
    <row r="13" spans="1:5" x14ac:dyDescent="0.2">
      <c r="A13" s="476" t="s">
        <v>809</v>
      </c>
      <c r="B13" s="339" t="s">
        <v>126</v>
      </c>
      <c r="C13" s="466">
        <f t="array" ref="C13">((SUM(IF((CkDJ[Sort Code]=(TRIM(E$5)))*(CkDJ[Account Code]=(TRIM($B13)))*(CkDJ[Date]&lt;=$C$8),CkDJ[Credit])))+(SUM(IF((CsDJ[Sort Code]=(TRIM(E$5)))*(CsDJ[Account Code]=(TRIM($B13)))*(CsDJ[Date]&lt;=$C$8),CsDJ[Credit])))+(SUM(IF((CRDJ[Sort Code]=(TRIM(E$5)))*(CRDJ[Account Code]=(TRIM($B13)))*(CRDJ[Date]&lt;=$C$8),CRDJ[Credit])))+(SUM(IF((GJ[Sort Code]=(TRIM(E$5)))*(GJ[Account Code]=(TRIM($B13)))*(GJ[Date]&lt;=$C$8),GJ[Credit]))))-((SUM(IF((CkDJ[Sort Code]=(TRIM(E$5)))*(CkDJ[Account Code]=(TRIM($B13)))*(CkDJ[Date]&lt;=$C$8),CkDJ[Debit])))+(SUM(IF((CsDJ[Sort Code]=(TRIM(E$5)))*(CsDJ[Account Code]=(TRIM($B13)))*(CsDJ[Date]&lt;=$C$8),CsDJ[Debit])))+(SUM(IF((CRDJ[Sort Code]=(TRIM(E$5)))*(CRDJ[Account Code]=(TRIM($B13)))*(CRDJ[Date]&lt;=$C$8),CRDJ[Debit])))+(SUM(IF((GJ[Sort Code]=(TRIM(E$5)))*(GJ[Account Code]=(TRIM($B13)))*(GJ[Date]&lt;=$C$8),GJ[Debit]))))</f>
        <v>0</v>
      </c>
      <c r="D13" s="466">
        <f t="array" ref="D13">((SUM(IF((CkDJ[Date]=$A$4)*(CkDJ[Sort Code]=(TRIM(E$5)))*(CkDJ[Account Code]=(TRIM($B13))),CkDJ[Credit])))+(SUM(IF((CsDJ[Date]=$A$4)*(CsDJ[Sort Code]=(TRIM(E$5)))*(CsDJ[Account Code]=(TRIM($B13))),CsDJ[Credit])))+(SUM(IF((CRDJ[Date]=$A$4)*(CRDJ[Sort Code]=(TRIM(E$5)))*(CRDJ[Account Code]=(TRIM($B13))),CRDJ[Credit])))+(SUM(IF((GJ[Date]=$A$4)*(GJ[Sort Code]=(TRIM(E$5)))*(GJ[Account Code]=(TRIM($B13))),GJ[Credit]))))-((SUM(IF((CkDJ[Date]=$A$4)*(CkDJ[Sort Code]=(TRIM(E$5)))*(CkDJ[Account Code]=(TRIM($B13))),CkDJ[Debit])))+(SUM(IF((CsDJ[Date]=$A$4)*(CsDJ[Sort Code]=(TRIM(E$5)))*(CsDJ[Account Code]=(TRIM($B13))),CsDJ[Debit])))+(SUM(IF((CRDJ[Date]=$A$4)*(CRDJ[Sort Code]=(TRIM(E$5)))*(CRDJ[Account Code]=(TRIM($B13))),CRDJ[Debit])))+(SUM(IF((GJ[Date]=$A$4)*(GJ[Sort Code]=(TRIM(E$5)))*(GJ[Account Code]=(TRIM($B13))),GJ[Debit]))))</f>
        <v>0</v>
      </c>
      <c r="E13" s="467">
        <f>C13+D13</f>
        <v>0</v>
      </c>
    </row>
    <row r="14" spans="1:5" x14ac:dyDescent="0.2">
      <c r="A14" s="476" t="s">
        <v>828</v>
      </c>
      <c r="B14" s="339" t="s">
        <v>721</v>
      </c>
      <c r="C14" s="466">
        <f t="array" ref="C14">((SUM(IF((CkDJ[Sort Code]=(TRIM(E$5)))*(CkDJ[Account Code]=(TRIM($B14)))*(CkDJ[Date]&lt;=$C$8),CkDJ[Credit])))+(SUM(IF((CsDJ[Sort Code]=(TRIM(E$5)))*(CsDJ[Account Code]=(TRIM($B14)))*(CsDJ[Date]&lt;=$C$8),CsDJ[Credit])))+(SUM(IF((CRDJ[Sort Code]=(TRIM(E$5)))*(CRDJ[Account Code]=(TRIM($B14)))*(CRDJ[Date]&lt;=$C$8),CRDJ[Credit])))+(SUM(IF((GJ[Sort Code]=(TRIM(E$5)))*(GJ[Account Code]=(TRIM($B14)))*(GJ[Date]&lt;=$C$8),GJ[Credit]))))-((SUM(IF((CkDJ[Sort Code]=(TRIM(E$5)))*(CkDJ[Account Code]=(TRIM($B14)))*(CkDJ[Date]&lt;=$C$8),CkDJ[Debit])))+(SUM(IF((CsDJ[Sort Code]=(TRIM(E$5)))*(CsDJ[Account Code]=(TRIM($B14)))*(CsDJ[Date]&lt;=$C$8),CsDJ[Debit])))+(SUM(IF((CRDJ[Sort Code]=(TRIM(E$5)))*(CRDJ[Account Code]=(TRIM($B14)))*(CRDJ[Date]&lt;=$C$8),CRDJ[Debit])))+(SUM(IF((GJ[Sort Code]=(TRIM(E$5)))*(GJ[Account Code]=(TRIM($B14)))*(GJ[Date]&lt;=$C$8),GJ[Debit]))))</f>
        <v>0</v>
      </c>
      <c r="D14" s="466">
        <f t="array" ref="D14">((SUM(IF((CkDJ[Date]=$A$4)*(CkDJ[Sort Code]=(TRIM(E$5)))*(CkDJ[Account Code]=(TRIM($B14))),CkDJ[Credit])))+(SUM(IF((CsDJ[Date]=$A$4)*(CsDJ[Sort Code]=(TRIM(E$5)))*(CsDJ[Account Code]=(TRIM($B14))),CsDJ[Credit])))+(SUM(IF((CRDJ[Date]=$A$4)*(CRDJ[Sort Code]=(TRIM(E$5)))*(CRDJ[Account Code]=(TRIM($B14))),CRDJ[Credit])))+(SUM(IF((GJ[Date]=$A$4)*(GJ[Sort Code]=(TRIM(E$5)))*(GJ[Account Code]=(TRIM($B14))),GJ[Credit]))))-((SUM(IF((CkDJ[Date]=$A$4)*(CkDJ[Sort Code]=(TRIM(E$5)))*(CkDJ[Account Code]=(TRIM($B14))),CkDJ[Debit])))+(SUM(IF((CsDJ[Date]=$A$4)*(CsDJ[Sort Code]=(TRIM(E$5)))*(CsDJ[Account Code]=(TRIM($B14))),CsDJ[Debit])))+(SUM(IF((CRDJ[Date]=$A$4)*(CRDJ[Sort Code]=(TRIM(E$5)))*(CRDJ[Account Code]=(TRIM($B14))),CRDJ[Debit])))+(SUM(IF((GJ[Date]=$A$4)*(GJ[Sort Code]=(TRIM(E$5)))*(GJ[Account Code]=(TRIM($B14))),GJ[Debit]))))</f>
        <v>0</v>
      </c>
      <c r="E14" s="467">
        <f>C14+D14</f>
        <v>0</v>
      </c>
    </row>
    <row r="15" spans="1:5" x14ac:dyDescent="0.2">
      <c r="A15" s="476" t="s">
        <v>827</v>
      </c>
      <c r="B15" s="339" t="s">
        <v>143</v>
      </c>
      <c r="C15" s="466">
        <f t="array" ref="C15">((SUM(IF((CkDJ[Sort Code]=(TRIM(E$5)))*(CkDJ[Account Code]=(TRIM($B15)))*(CkDJ[Date]&lt;=$C$8),CkDJ[Credit])))+(SUM(IF((CsDJ[Sort Code]=(TRIM(E$5)))*(CsDJ[Account Code]=(TRIM($B15)))*(CsDJ[Date]&lt;=$C$8),CsDJ[Credit])))+(SUM(IF((CRDJ[Sort Code]=(TRIM(E$5)))*(CRDJ[Account Code]=(TRIM($B15)))*(CRDJ[Date]&lt;=$C$8),CRDJ[Credit])))+(SUM(IF((GJ[Sort Code]=(TRIM(E$5)))*(GJ[Account Code]=(TRIM($B15)))*(GJ[Date]&lt;=$C$8),GJ[Credit]))))-((SUM(IF((CkDJ[Sort Code]=(TRIM(E$5)))*(CkDJ[Account Code]=(TRIM($B15)))*(CkDJ[Date]&lt;=$C$8),CkDJ[Debit])))+(SUM(IF((CsDJ[Sort Code]=(TRIM(E$5)))*(CsDJ[Account Code]=(TRIM($B15)))*(CsDJ[Date]&lt;=$C$8),CsDJ[Debit])))+(SUM(IF((CRDJ[Sort Code]=(TRIM(E$5)))*(CRDJ[Account Code]=(TRIM($B15)))*(CRDJ[Date]&lt;=$C$8),CRDJ[Debit])))+(SUM(IF((GJ[Sort Code]=(TRIM(E$5)))*(GJ[Account Code]=(TRIM($B15)))*(GJ[Date]&lt;=$C$8),GJ[Debit]))))</f>
        <v>0</v>
      </c>
      <c r="D15" s="466">
        <f t="array" ref="D15">((SUM(IF((CkDJ[Date]=$A$4)*(CkDJ[Sort Code]=(TRIM(E$5)))*(CkDJ[Account Code]=(TRIM($B15))),CkDJ[Credit])))+(SUM(IF((CsDJ[Date]=$A$4)*(CsDJ[Sort Code]=(TRIM(E$5)))*(CsDJ[Account Code]=(TRIM($B15))),CsDJ[Credit])))+(SUM(IF((CRDJ[Date]=$A$4)*(CRDJ[Sort Code]=(TRIM(E$5)))*(CRDJ[Account Code]=(TRIM($B15))),CRDJ[Credit])))+(SUM(IF((GJ[Date]=$A$4)*(GJ[Sort Code]=(TRIM(E$5)))*(GJ[Account Code]=(TRIM($B15))),GJ[Credit]))))-((SUM(IF((CkDJ[Date]=$A$4)*(CkDJ[Sort Code]=(TRIM(E$5)))*(CkDJ[Account Code]=(TRIM($B15))),CkDJ[Debit])))+(SUM(IF((CsDJ[Date]=$A$4)*(CsDJ[Sort Code]=(TRIM(E$5)))*(CsDJ[Account Code]=(TRIM($B15))),CsDJ[Debit])))+(SUM(IF((CRDJ[Date]=$A$4)*(CRDJ[Sort Code]=(TRIM(E$5)))*(CRDJ[Account Code]=(TRIM($B15))),CRDJ[Debit])))+(SUM(IF((GJ[Date]=$A$4)*(GJ[Sort Code]=(TRIM(E$5)))*(GJ[Account Code]=(TRIM($B15))),GJ[Debit]))))</f>
        <v>0</v>
      </c>
      <c r="E15" s="467">
        <f>C15+D15</f>
        <v>0</v>
      </c>
    </row>
    <row r="16" spans="1:5" x14ac:dyDescent="0.2">
      <c r="A16" s="473" t="s">
        <v>826</v>
      </c>
      <c r="B16" s="339"/>
      <c r="C16" s="477">
        <f>SUM(C17:C19)</f>
        <v>0</v>
      </c>
      <c r="D16" s="477">
        <f>SUM(D17:D19)</f>
        <v>0</v>
      </c>
      <c r="E16" s="477">
        <f>SUM(E17:E19)</f>
        <v>0</v>
      </c>
    </row>
    <row r="17" spans="1:5" x14ac:dyDescent="0.2">
      <c r="A17" s="475" t="s">
        <v>182</v>
      </c>
      <c r="B17" s="339" t="s">
        <v>146</v>
      </c>
      <c r="C17" s="466">
        <f t="array" ref="C17">((SUM(IF((CkDJ[Sort Code]=(TRIM(E$5)))*(CkDJ[Account Code]=(TRIM($B17)))*(CkDJ[Date]&lt;=$C$8),CkDJ[Credit])))+(SUM(IF((CsDJ[Sort Code]=(TRIM(E$5)))*(CsDJ[Account Code]=(TRIM($B17)))*(CsDJ[Date]&lt;=$C$8),CsDJ[Credit])))+(SUM(IF((CRDJ[Sort Code]=(TRIM(E$5)))*(CRDJ[Account Code]=(TRIM($B17)))*(CRDJ[Date]&lt;=$C$8),CRDJ[Credit])))+(SUM(IF((GJ[Sort Code]=(TRIM(E$5)))*(GJ[Account Code]=(TRIM($B17)))*(GJ[Date]&lt;=$C$8),GJ[Credit]))))-((SUM(IF((CkDJ[Sort Code]=(TRIM(E$5)))*(CkDJ[Account Code]=(TRIM($B17)))*(CkDJ[Date]&lt;=$C$8),CkDJ[Debit])))+(SUM(IF((CsDJ[Sort Code]=(TRIM(E$5)))*(CsDJ[Account Code]=(TRIM($B17)))*(CsDJ[Date]&lt;=$C$8),CsDJ[Debit])))+(SUM(IF((CRDJ[Sort Code]=(TRIM(E$5)))*(CRDJ[Account Code]=(TRIM($B17)))*(CRDJ[Date]&lt;=$C$8),CRDJ[Debit])))+(SUM(IF((GJ[Sort Code]=(TRIM(E$5)))*(GJ[Account Code]=(TRIM($B17)))*(GJ[Date]&lt;=$C$8),GJ[Debit]))))</f>
        <v>0</v>
      </c>
      <c r="D17" s="466">
        <f t="array" ref="D17">((SUM(IF((CkDJ[Date]=$A$4)*(CkDJ[Sort Code]=(TRIM(E$5)))*(CkDJ[Account Code]=(TRIM($B17))),CkDJ[Credit])))+(SUM(IF((CsDJ[Date]=$A$4)*(CsDJ[Sort Code]=(TRIM(E$5)))*(CsDJ[Account Code]=(TRIM($B17))),CsDJ[Credit])))+(SUM(IF((CRDJ[Date]=$A$4)*(CRDJ[Sort Code]=(TRIM(E$5)))*(CRDJ[Account Code]=(TRIM($B17))),CRDJ[Credit])))+(SUM(IF((GJ[Date]=$A$4)*(GJ[Sort Code]=(TRIM(E$5)))*(GJ[Account Code]=(TRIM($B17))),GJ[Credit]))))-((SUM(IF((CkDJ[Date]=$A$4)*(CkDJ[Sort Code]=(TRIM(E$5)))*(CkDJ[Account Code]=(TRIM($B17))),CkDJ[Debit])))+(SUM(IF((CsDJ[Date]=$A$4)*(CsDJ[Sort Code]=(TRIM(E$5)))*(CsDJ[Account Code]=(TRIM($B17))),CsDJ[Debit])))+(SUM(IF((CRDJ[Date]=$A$4)*(CRDJ[Sort Code]=(TRIM(E$5)))*(CRDJ[Account Code]=(TRIM($B17))),CRDJ[Debit])))+(SUM(IF((GJ[Date]=$A$4)*(GJ[Sort Code]=(TRIM(E$5)))*(GJ[Account Code]=(TRIM($B17))),GJ[Debit]))))</f>
        <v>0</v>
      </c>
      <c r="E17" s="467">
        <f>C17+D17</f>
        <v>0</v>
      </c>
    </row>
    <row r="18" spans="1:5" x14ac:dyDescent="0.2">
      <c r="A18" s="475" t="s">
        <v>183</v>
      </c>
      <c r="B18" s="339" t="s">
        <v>147</v>
      </c>
      <c r="C18" s="466">
        <f t="array" ref="C18">((SUM(IF((CkDJ[Sort Code]=(TRIM(E$5)))*(CkDJ[Account Code]=(TRIM($B18)))*(CkDJ[Date]&lt;=$C$8),CkDJ[Credit])))+(SUM(IF((CsDJ[Sort Code]=(TRIM(E$5)))*(CsDJ[Account Code]=(TRIM($B18)))*(CsDJ[Date]&lt;=$C$8),CsDJ[Credit])))+(SUM(IF((CRDJ[Sort Code]=(TRIM(E$5)))*(CRDJ[Account Code]=(TRIM($B18)))*(CRDJ[Date]&lt;=$C$8),CRDJ[Credit])))+(SUM(IF((GJ[Sort Code]=(TRIM(E$5)))*(GJ[Account Code]=(TRIM($B18)))*(GJ[Date]&lt;=$C$8),GJ[Credit]))))-((SUM(IF((CkDJ[Sort Code]=(TRIM(E$5)))*(CkDJ[Account Code]=(TRIM($B18)))*(CkDJ[Date]&lt;=$C$8),CkDJ[Debit])))+(SUM(IF((CsDJ[Sort Code]=(TRIM(E$5)))*(CsDJ[Account Code]=(TRIM($B18)))*(CsDJ[Date]&lt;=$C$8),CsDJ[Debit])))+(SUM(IF((CRDJ[Sort Code]=(TRIM(E$5)))*(CRDJ[Account Code]=(TRIM($B18)))*(CRDJ[Date]&lt;=$C$8),CRDJ[Debit])))+(SUM(IF((GJ[Sort Code]=(TRIM(E$5)))*(GJ[Account Code]=(TRIM($B18)))*(GJ[Date]&lt;=$C$8),GJ[Debit]))))</f>
        <v>0</v>
      </c>
      <c r="D18" s="466">
        <f t="array" ref="D18">((SUM(IF((CkDJ[Date]=$A$4)*(CkDJ[Sort Code]=(TRIM(E$5)))*(CkDJ[Account Code]=(TRIM($B18))),CkDJ[Credit])))+(SUM(IF((CsDJ[Date]=$A$4)*(CsDJ[Sort Code]=(TRIM(E$5)))*(CsDJ[Account Code]=(TRIM($B18))),CsDJ[Credit])))+(SUM(IF((CRDJ[Date]=$A$4)*(CRDJ[Sort Code]=(TRIM(E$5)))*(CRDJ[Account Code]=(TRIM($B18))),CRDJ[Credit])))+(SUM(IF((GJ[Date]=$A$4)*(GJ[Sort Code]=(TRIM(E$5)))*(GJ[Account Code]=(TRIM($B18))),GJ[Credit]))))-((SUM(IF((CkDJ[Date]=$A$4)*(CkDJ[Sort Code]=(TRIM(E$5)))*(CkDJ[Account Code]=(TRIM($B18))),CkDJ[Debit])))+(SUM(IF((CsDJ[Date]=$A$4)*(CsDJ[Sort Code]=(TRIM(E$5)))*(CsDJ[Account Code]=(TRIM($B18))),CsDJ[Debit])))+(SUM(IF((CRDJ[Date]=$A$4)*(CRDJ[Sort Code]=(TRIM(E$5)))*(CRDJ[Account Code]=(TRIM($B18))),CRDJ[Debit])))+(SUM(IF((GJ[Date]=$A$4)*(GJ[Sort Code]=(TRIM(E$5)))*(GJ[Account Code]=(TRIM($B18))),GJ[Debit]))))</f>
        <v>0</v>
      </c>
      <c r="E18" s="467">
        <f>C18+D18</f>
        <v>0</v>
      </c>
    </row>
    <row r="19" spans="1:5" hidden="1" x14ac:dyDescent="0.2">
      <c r="A19" s="475" t="s">
        <v>184</v>
      </c>
      <c r="B19" s="339" t="s">
        <v>148</v>
      </c>
      <c r="C19" s="466">
        <f t="array" ref="C19">((SUM(IF((CkDJ[Sort Code]=(TRIM(E$5)))*(CkDJ[Account Code]=(TRIM($B19)))*(CkDJ[Date]&lt;=$C$8),CkDJ[Credit])))+(SUM(IF((CsDJ[Sort Code]=(TRIM(E$5)))*(CsDJ[Account Code]=(TRIM($B19)))*(CsDJ[Date]&lt;=$C$8),CsDJ[Credit])))+(SUM(IF((CRDJ[Sort Code]=(TRIM(E$5)))*(CRDJ[Account Code]=(TRIM($B19)))*(CRDJ[Date]&lt;=$C$8),CRDJ[Credit])))+(SUM(IF((GJ[Sort Code]=(TRIM(E$5)))*(GJ[Account Code]=(TRIM($B19)))*(GJ[Date]&lt;=$C$8),GJ[Credit]))))-((SUM(IF((CkDJ[Sort Code]=(TRIM(E$5)))*(CkDJ[Account Code]=(TRIM($B19)))*(CkDJ[Date]&lt;=$C$8),CkDJ[Debit])))+(SUM(IF((CsDJ[Sort Code]=(TRIM(E$5)))*(CsDJ[Account Code]=(TRIM($B19)))*(CsDJ[Date]&lt;=$C$8),CsDJ[Debit])))+(SUM(IF((CRDJ[Sort Code]=(TRIM(E$5)))*(CRDJ[Account Code]=(TRIM($B19)))*(CRDJ[Date]&lt;=$C$8),CRDJ[Debit])))+(SUM(IF((GJ[Sort Code]=(TRIM(E$5)))*(GJ[Account Code]=(TRIM($B19)))*(GJ[Date]&lt;=$C$8),GJ[Debit]))))</f>
        <v>0</v>
      </c>
      <c r="D19" s="466">
        <f t="array" ref="D19">((SUM(IF((CkDJ[Date]=$A$4)*(CkDJ[Sort Code]=(TRIM(E$5)))*(CkDJ[Account Code]=(TRIM($B19))),CkDJ[Credit])))+(SUM(IF((CsDJ[Date]=$A$4)*(CsDJ[Sort Code]=(TRIM(E$5)))*(CsDJ[Account Code]=(TRIM($B19))),CsDJ[Credit])))+(SUM(IF((CRDJ[Date]=$A$4)*(CRDJ[Sort Code]=(TRIM(E$5)))*(CRDJ[Account Code]=(TRIM($B19))),CRDJ[Credit])))+(SUM(IF((GJ[Date]=$A$4)*(GJ[Sort Code]=(TRIM(E$5)))*(GJ[Account Code]=(TRIM($B19))),GJ[Credit]))))-((SUM(IF((CkDJ[Date]=$A$4)*(CkDJ[Sort Code]=(TRIM(E$5)))*(CkDJ[Account Code]=(TRIM($B19))),CkDJ[Debit])))+(SUM(IF((CsDJ[Date]=$A$4)*(CsDJ[Sort Code]=(TRIM(E$5)))*(CsDJ[Account Code]=(TRIM($B19))),CsDJ[Debit])))+(SUM(IF((CRDJ[Date]=$A$4)*(CRDJ[Sort Code]=(TRIM(E$5)))*(CRDJ[Account Code]=(TRIM($B19))),CRDJ[Debit])))+(SUM(IF((GJ[Date]=$A$4)*(GJ[Sort Code]=(TRIM(E$5)))*(GJ[Account Code]=(TRIM($B19))),GJ[Debit]))))</f>
        <v>0</v>
      </c>
      <c r="E19" s="467">
        <f>C19+D19</f>
        <v>0</v>
      </c>
    </row>
    <row r="20" spans="1:5" x14ac:dyDescent="0.2">
      <c r="A20" s="473" t="s">
        <v>825</v>
      </c>
      <c r="B20" s="339"/>
      <c r="C20" s="477">
        <f>SUM(C21:C22)</f>
        <v>0</v>
      </c>
      <c r="D20" s="477">
        <f>SUM(D21:D22)</f>
        <v>0</v>
      </c>
      <c r="E20" s="477">
        <f>SUM(E21:E22)</f>
        <v>0</v>
      </c>
    </row>
    <row r="21" spans="1:5" hidden="1" x14ac:dyDescent="0.2">
      <c r="A21" s="475" t="s">
        <v>821</v>
      </c>
      <c r="B21" s="339" t="s">
        <v>131</v>
      </c>
      <c r="C21" s="466">
        <f t="array" ref="C21">((SUM(IF((CkDJ[Sort Code]=(TRIM(E$5)))*(CkDJ[Account Code]=(TRIM($B21)))*(CkDJ[Date]&lt;=$C$8),CkDJ[Credit])))+(SUM(IF((CsDJ[Sort Code]=(TRIM(E$5)))*(CsDJ[Account Code]=(TRIM($B21)))*(CsDJ[Date]&lt;=$C$8),CsDJ[Credit])))+(SUM(IF((CRDJ[Sort Code]=(TRIM(E$5)))*(CRDJ[Account Code]=(TRIM($B21)))*(CRDJ[Date]&lt;=$C$8),CRDJ[Credit])))+(SUM(IF((GJ[Sort Code]=(TRIM(E$5)))*(GJ[Account Code]=(TRIM($B21)))*(GJ[Date]&lt;=$C$8),GJ[Credit]))))-((SUM(IF((CkDJ[Sort Code]=(TRIM(E$5)))*(CkDJ[Account Code]=(TRIM($B21)))*(CkDJ[Date]&lt;=$C$8),CkDJ[Debit])))+(SUM(IF((CsDJ[Sort Code]=(TRIM(E$5)))*(CsDJ[Account Code]=(TRIM($B21)))*(CsDJ[Date]&lt;=$C$8),CsDJ[Debit])))+(SUM(IF((CRDJ[Sort Code]=(TRIM(E$5)))*(CRDJ[Account Code]=(TRIM($B21)))*(CRDJ[Date]&lt;=$C$8),CRDJ[Debit])))+(SUM(IF((GJ[Sort Code]=(TRIM(E$5)))*(GJ[Account Code]=(TRIM($B21)))*(GJ[Date]&lt;=$C$8),GJ[Debit]))))</f>
        <v>0</v>
      </c>
      <c r="D21" s="466">
        <f t="array" ref="D21">((SUM(IF((CkDJ[Date]=$A$4)*(CkDJ[Sort Code]=(TRIM(E$5)))*(CkDJ[Account Code]=(TRIM($B21))),CkDJ[Credit])))+(SUM(IF((CsDJ[Date]=$A$4)*(CsDJ[Sort Code]=(TRIM(E$5)))*(CsDJ[Account Code]=(TRIM($B21))),CsDJ[Credit])))+(SUM(IF((CRDJ[Date]=$A$4)*(CRDJ[Sort Code]=(TRIM(E$5)))*(CRDJ[Account Code]=(TRIM($B21))),CRDJ[Credit])))+(SUM(IF((GJ[Date]=$A$4)*(GJ[Sort Code]=(TRIM(E$5)))*(GJ[Account Code]=(TRIM($B21))),GJ[Credit]))))-((SUM(IF((CkDJ[Date]=$A$4)*(CkDJ[Sort Code]=(TRIM(E$5)))*(CkDJ[Account Code]=(TRIM($B21))),CkDJ[Debit])))+(SUM(IF((CsDJ[Date]=$A$4)*(CsDJ[Sort Code]=(TRIM(E$5)))*(CsDJ[Account Code]=(TRIM($B21))),CsDJ[Debit])))+(SUM(IF((CRDJ[Date]=$A$4)*(CRDJ[Sort Code]=(TRIM(E$5)))*(CRDJ[Account Code]=(TRIM($B21))),CRDJ[Debit])))+(SUM(IF((GJ[Date]=$A$4)*(GJ[Sort Code]=(TRIM(E$5)))*(GJ[Account Code]=(TRIM($B21))),GJ[Debit]))))</f>
        <v>0</v>
      </c>
      <c r="E21" s="467">
        <f>C21+D21</f>
        <v>0</v>
      </c>
    </row>
    <row r="22" spans="1:5" hidden="1" x14ac:dyDescent="0.2">
      <c r="A22" s="475" t="s">
        <v>820</v>
      </c>
      <c r="B22" s="339"/>
      <c r="C22" s="466">
        <f>SUM(C23:C24)</f>
        <v>0</v>
      </c>
      <c r="D22" s="466">
        <f>SUM(D23:D24)</f>
        <v>0</v>
      </c>
      <c r="E22" s="466">
        <f>SUM(E23:E24)</f>
        <v>0</v>
      </c>
    </row>
    <row r="23" spans="1:5" hidden="1" x14ac:dyDescent="0.2">
      <c r="A23" s="476" t="s">
        <v>819</v>
      </c>
      <c r="B23" s="339" t="s">
        <v>140</v>
      </c>
      <c r="C23" s="466">
        <f t="array" ref="C23">((SUM(IF((CkDJ[Sort Code]=(TRIM(E$5)))*(CkDJ[Account Code]=(TRIM($B23)))*(CkDJ[Date]&lt;=$C$8),CkDJ[Credit])))+(SUM(IF((CsDJ[Sort Code]=(TRIM(E$5)))*(CsDJ[Account Code]=(TRIM($B23)))*(CsDJ[Date]&lt;=$C$8),CsDJ[Credit])))+(SUM(IF((CRDJ[Sort Code]=(TRIM(E$5)))*(CRDJ[Account Code]=(TRIM($B23)))*(CRDJ[Date]&lt;=$C$8),CRDJ[Credit])))+(SUM(IF((GJ[Sort Code]=(TRIM(E$5)))*(GJ[Account Code]=(TRIM($B23)))*(GJ[Date]&lt;=$C$8),GJ[Credit]))))-((SUM(IF((CkDJ[Sort Code]=(TRIM(E$5)))*(CkDJ[Account Code]=(TRIM($B23)))*(CkDJ[Date]&lt;=$C$8),CkDJ[Debit])))+(SUM(IF((CsDJ[Sort Code]=(TRIM(E$5)))*(CsDJ[Account Code]=(TRIM($B23)))*(CsDJ[Date]&lt;=$C$8),CsDJ[Debit])))+(SUM(IF((CRDJ[Sort Code]=(TRIM(E$5)))*(CRDJ[Account Code]=(TRIM($B23)))*(CRDJ[Date]&lt;=$C$8),CRDJ[Debit])))+(SUM(IF((GJ[Sort Code]=(TRIM(E$5)))*(GJ[Account Code]=(TRIM($B23)))*(GJ[Date]&lt;=$C$8),GJ[Debit]))))</f>
        <v>0</v>
      </c>
      <c r="D23" s="466">
        <f t="array" ref="D23">((SUM(IF((CkDJ[Date]=$A$4)*(CkDJ[Sort Code]=(TRIM(E$5)))*(CkDJ[Account Code]=(TRIM($B23))),CkDJ[Credit])))+(SUM(IF((CsDJ[Date]=$A$4)*(CsDJ[Sort Code]=(TRIM(E$5)))*(CsDJ[Account Code]=(TRIM($B23))),CsDJ[Credit])))+(SUM(IF((CRDJ[Date]=$A$4)*(CRDJ[Sort Code]=(TRIM(E$5)))*(CRDJ[Account Code]=(TRIM($B23))),CRDJ[Credit])))+(SUM(IF((GJ[Date]=$A$4)*(GJ[Sort Code]=(TRIM(E$5)))*(GJ[Account Code]=(TRIM($B23))),GJ[Credit]))))-((SUM(IF((CkDJ[Date]=$A$4)*(CkDJ[Sort Code]=(TRIM(E$5)))*(CkDJ[Account Code]=(TRIM($B23))),CkDJ[Debit])))+(SUM(IF((CsDJ[Date]=$A$4)*(CsDJ[Sort Code]=(TRIM(E$5)))*(CsDJ[Account Code]=(TRIM($B23))),CsDJ[Debit])))+(SUM(IF((CRDJ[Date]=$A$4)*(CRDJ[Sort Code]=(TRIM(E$5)))*(CRDJ[Account Code]=(TRIM($B23))),CRDJ[Debit])))+(SUM(IF((GJ[Date]=$A$4)*(GJ[Sort Code]=(TRIM(E$5)))*(GJ[Account Code]=(TRIM($B23))),GJ[Debit]))))</f>
        <v>0</v>
      </c>
      <c r="E23" s="467">
        <f>C23+D23</f>
        <v>0</v>
      </c>
    </row>
    <row r="24" spans="1:5" hidden="1" x14ac:dyDescent="0.2">
      <c r="A24" s="476" t="s">
        <v>818</v>
      </c>
      <c r="B24" s="339" t="s">
        <v>144</v>
      </c>
      <c r="C24" s="466">
        <f t="array" ref="C24">((SUM(IF((CkDJ[Sort Code]=(TRIM(E$5)))*(CkDJ[Account Code]=(TRIM($B24)))*(CkDJ[Date]&lt;=$C$8),CkDJ[Credit])))+(SUM(IF((CsDJ[Sort Code]=(TRIM(E$5)))*(CsDJ[Account Code]=(TRIM($B24)))*(CsDJ[Date]&lt;=$C$8),CsDJ[Credit])))+(SUM(IF((CRDJ[Sort Code]=(TRIM(E$5)))*(CRDJ[Account Code]=(TRIM($B24)))*(CRDJ[Date]&lt;=$C$8),CRDJ[Credit])))+(SUM(IF((GJ[Sort Code]=(TRIM(E$5)))*(GJ[Account Code]=(TRIM($B24)))*(GJ[Date]&lt;=$C$8),GJ[Credit]))))-((SUM(IF((CkDJ[Sort Code]=(TRIM(E$5)))*(CkDJ[Account Code]=(TRIM($B24)))*(CkDJ[Date]&lt;=$C$8),CkDJ[Debit])))+(SUM(IF((CsDJ[Sort Code]=(TRIM(E$5)))*(CsDJ[Account Code]=(TRIM($B24)))*(CsDJ[Date]&lt;=$C$8),CsDJ[Debit])))+(SUM(IF((CRDJ[Sort Code]=(TRIM(E$5)))*(CRDJ[Account Code]=(TRIM($B24)))*(CRDJ[Date]&lt;=$C$8),CRDJ[Debit])))+(SUM(IF((GJ[Sort Code]=(TRIM(E$5)))*(GJ[Account Code]=(TRIM($B24)))*(GJ[Date]&lt;=$C$8),GJ[Debit]))))</f>
        <v>0</v>
      </c>
      <c r="D24" s="466">
        <f t="array" ref="D24">((SUM(IF((CkDJ[Date]=$A$4)*(CkDJ[Sort Code]=(TRIM(E$5)))*(CkDJ[Account Code]=(TRIM($B24))),CkDJ[Credit])))+(SUM(IF((CsDJ[Date]=$A$4)*(CsDJ[Sort Code]=(TRIM(E$5)))*(CsDJ[Account Code]=(TRIM($B24))),CsDJ[Credit])))+(SUM(IF((CRDJ[Date]=$A$4)*(CRDJ[Sort Code]=(TRIM(E$5)))*(CRDJ[Account Code]=(TRIM($B24))),CRDJ[Credit])))+(SUM(IF((GJ[Date]=$A$4)*(GJ[Sort Code]=(TRIM(E$5)))*(GJ[Account Code]=(TRIM($B24))),GJ[Credit]))))-((SUM(IF((CkDJ[Date]=$A$4)*(CkDJ[Sort Code]=(TRIM(E$5)))*(CkDJ[Account Code]=(TRIM($B24))),CkDJ[Debit])))+(SUM(IF((CsDJ[Date]=$A$4)*(CsDJ[Sort Code]=(TRIM(E$5)))*(CsDJ[Account Code]=(TRIM($B24))),CsDJ[Debit])))+(SUM(IF((CRDJ[Date]=$A$4)*(CRDJ[Sort Code]=(TRIM(E$5)))*(CRDJ[Account Code]=(TRIM($B24))),CRDJ[Debit])))+(SUM(IF((GJ[Date]=$A$4)*(GJ[Sort Code]=(TRIM(E$5)))*(GJ[Account Code]=(TRIM($B24))),GJ[Debit]))))</f>
        <v>0</v>
      </c>
      <c r="E24" s="467">
        <f>C24+D24</f>
        <v>0</v>
      </c>
    </row>
    <row r="25" spans="1:5" x14ac:dyDescent="0.2">
      <c r="A25" s="473" t="s">
        <v>1163</v>
      </c>
      <c r="B25" s="339" t="s">
        <v>352</v>
      </c>
      <c r="C25" s="466">
        <f t="array" ref="C25">((SUM(IF((CkDJ[Sort Code]=(TRIM(E$5)))*(CkDJ[Account Code]=(TRIM($B25)))*(CkDJ[Date]&lt;=$C$8),CkDJ[Credit])))+(SUM(IF((CsDJ[Sort Code]=(TRIM(E$5)))*(CsDJ[Account Code]=(TRIM($B25)))*(CsDJ[Date]&lt;=$C$8),CsDJ[Credit])))+(SUM(IF((CRDJ[Sort Code]=(TRIM(E$5)))*(CRDJ[Account Code]=(TRIM($B25)))*(CRDJ[Date]&lt;=$C$8),CRDJ[Credit])))+(SUM(IF((GJ[Sort Code]=(TRIM(E$5)))*(GJ[Account Code]=(TRIM($B25)))*(GJ[Date]&lt;=$C$8),GJ[Credit]))))-((SUM(IF((CkDJ[Sort Code]=(TRIM(E$5)))*(CkDJ[Account Code]=(TRIM($B25)))*(CkDJ[Date]&lt;=$C$8),CkDJ[Debit])))+(SUM(IF((CsDJ[Sort Code]=(TRIM(E$5)))*(CsDJ[Account Code]=(TRIM($B25)))*(CsDJ[Date]&lt;=$C$8),CsDJ[Debit])))+(SUM(IF((CRDJ[Sort Code]=(TRIM(E$5)))*(CRDJ[Account Code]=(TRIM($B25)))*(CRDJ[Date]&lt;=$C$8),CRDJ[Debit])))+(SUM(IF((GJ[Sort Code]=(TRIM(E$5)))*(GJ[Account Code]=(TRIM($B25)))*(GJ[Date]&lt;=$C$8),GJ[Debit]))))</f>
        <v>0</v>
      </c>
      <c r="D25" s="466">
        <f t="array" ref="D25">((SUM(IF((CkDJ[Date]=$A$4)*(CkDJ[Sort Code]=(TRIM(E$5)))*(CkDJ[Account Code]=(TRIM($B25))),CkDJ[Credit])))+(SUM(IF((CsDJ[Date]=$A$4)*(CsDJ[Sort Code]=(TRIM(E$5)))*(CsDJ[Account Code]=(TRIM($B25))),CsDJ[Credit])))+(SUM(IF((CRDJ[Date]=$A$4)*(CRDJ[Sort Code]=(TRIM(E$5)))*(CRDJ[Account Code]=(TRIM($B25))),CRDJ[Credit])))+(SUM(IF((GJ[Date]=$A$4)*(GJ[Sort Code]=(TRIM(E$5)))*(GJ[Account Code]=(TRIM($B25))),GJ[Credit]))))-((SUM(IF((CkDJ[Date]=$A$4)*(CkDJ[Sort Code]=(TRIM(E$5)))*(CkDJ[Account Code]=(TRIM($B25))),CkDJ[Debit])))+(SUM(IF((CsDJ[Date]=$A$4)*(CsDJ[Sort Code]=(TRIM(E$5)))*(CsDJ[Account Code]=(TRIM($B25))),CsDJ[Debit])))+(SUM(IF((CRDJ[Date]=$A$4)*(CRDJ[Sort Code]=(TRIM(E$5)))*(CRDJ[Account Code]=(TRIM($B25))),CRDJ[Debit])))+(SUM(IF((GJ[Date]=$A$4)*(GJ[Sort Code]=(TRIM(E$5)))*(GJ[Account Code]=(TRIM($B25))),GJ[Debit]))))</f>
        <v>0</v>
      </c>
      <c r="E25" s="467">
        <f>C25+D25</f>
        <v>0</v>
      </c>
    </row>
    <row r="26" spans="1:5" x14ac:dyDescent="0.2">
      <c r="A26" s="473" t="s">
        <v>1164</v>
      </c>
      <c r="B26" s="339"/>
      <c r="C26" s="477">
        <f>SUM(C27:C28)</f>
        <v>0</v>
      </c>
      <c r="D26" s="477">
        <f>SUM(D27:D28)</f>
        <v>0</v>
      </c>
      <c r="E26" s="477">
        <f>SUM(E27:E28)</f>
        <v>0</v>
      </c>
    </row>
    <row r="27" spans="1:5" x14ac:dyDescent="0.2">
      <c r="A27" s="475" t="s">
        <v>821</v>
      </c>
      <c r="B27" s="339" t="s">
        <v>128</v>
      </c>
      <c r="C27" s="466">
        <f t="array" ref="C27">((SUM(IF((CkDJ[Sort Code]=(TRIM(E$5)))*(CkDJ[Account Code]=(TRIM($B27)))*(CkDJ[Date]&lt;=$C$8),CkDJ[Credit])))+(SUM(IF((CsDJ[Sort Code]=(TRIM(E$5)))*(CsDJ[Account Code]=(TRIM($B27)))*(CsDJ[Date]&lt;=$C$8),CsDJ[Credit])))+(SUM(IF((CRDJ[Sort Code]=(TRIM(E$5)))*(CRDJ[Account Code]=(TRIM($B27)))*(CRDJ[Date]&lt;=$C$8),CRDJ[Credit])))+(SUM(IF((GJ[Sort Code]=(TRIM(E$5)))*(GJ[Account Code]=(TRIM($B27)))*(GJ[Date]&lt;=$C$8),GJ[Credit]))))-((SUM(IF((CkDJ[Sort Code]=(TRIM(E$5)))*(CkDJ[Account Code]=(TRIM($B27)))*(CkDJ[Date]&lt;=$C$8),CkDJ[Debit])))+(SUM(IF((CsDJ[Sort Code]=(TRIM(E$5)))*(CsDJ[Account Code]=(TRIM($B27)))*(CsDJ[Date]&lt;=$C$8),CsDJ[Debit])))+(SUM(IF((CRDJ[Sort Code]=(TRIM(E$5)))*(CRDJ[Account Code]=(TRIM($B27)))*(CRDJ[Date]&lt;=$C$8),CRDJ[Debit])))+(SUM(IF((GJ[Sort Code]=(TRIM(E$5)))*(GJ[Account Code]=(TRIM($B27)))*(GJ[Date]&lt;=$C$8),GJ[Debit]))))</f>
        <v>0</v>
      </c>
      <c r="D27" s="466">
        <f t="array" ref="D27">((SUM(IF((CkDJ[Date]=$A$4)*(CkDJ[Sort Code]=(TRIM(E$5)))*(CkDJ[Account Code]=(TRIM($B27))),CkDJ[Credit])))+(SUM(IF((CsDJ[Date]=$A$4)*(CsDJ[Sort Code]=(TRIM(E$5)))*(CsDJ[Account Code]=(TRIM($B27))),CsDJ[Credit])))+(SUM(IF((CRDJ[Date]=$A$4)*(CRDJ[Sort Code]=(TRIM(E$5)))*(CRDJ[Account Code]=(TRIM($B27))),CRDJ[Credit])))+(SUM(IF((GJ[Date]=$A$4)*(GJ[Sort Code]=(TRIM(E$5)))*(GJ[Account Code]=(TRIM($B27))),GJ[Credit]))))-((SUM(IF((CkDJ[Date]=$A$4)*(CkDJ[Sort Code]=(TRIM(E$5)))*(CkDJ[Account Code]=(TRIM($B27))),CkDJ[Debit])))+(SUM(IF((CsDJ[Date]=$A$4)*(CsDJ[Sort Code]=(TRIM(E$5)))*(CsDJ[Account Code]=(TRIM($B27))),CsDJ[Debit])))+(SUM(IF((CRDJ[Date]=$A$4)*(CRDJ[Sort Code]=(TRIM(E$5)))*(CRDJ[Account Code]=(TRIM($B27))),CRDJ[Debit])))+(SUM(IF((GJ[Date]=$A$4)*(GJ[Sort Code]=(TRIM(E$5)))*(GJ[Account Code]=(TRIM($B27))),GJ[Debit]))))</f>
        <v>0</v>
      </c>
      <c r="E27" s="467">
        <f>C27+D27</f>
        <v>0</v>
      </c>
    </row>
    <row r="28" spans="1:5" x14ac:dyDescent="0.2">
      <c r="A28" s="475" t="s">
        <v>820</v>
      </c>
      <c r="B28" s="339"/>
      <c r="C28" s="466">
        <f>SUM(C29:C30)</f>
        <v>0</v>
      </c>
      <c r="D28" s="466">
        <f>SUM(D29:D30)</f>
        <v>0</v>
      </c>
      <c r="E28" s="466">
        <f>SUM(E29:E30)</f>
        <v>0</v>
      </c>
    </row>
    <row r="29" spans="1:5" hidden="1" x14ac:dyDescent="0.2">
      <c r="A29" s="476" t="s">
        <v>819</v>
      </c>
      <c r="B29" s="339" t="s">
        <v>129</v>
      </c>
      <c r="C29" s="466">
        <f t="array" ref="C29">((SUM(IF((CkDJ[Sort Code]=(TRIM(E$5)))*(CkDJ[Account Code]=(TRIM($B29)))*(CkDJ[Date]&lt;=$C$8),CkDJ[Credit])))+(SUM(IF((CsDJ[Sort Code]=(TRIM(E$5)))*(CsDJ[Account Code]=(TRIM($B29)))*(CsDJ[Date]&lt;=$C$8),CsDJ[Credit])))+(SUM(IF((CRDJ[Sort Code]=(TRIM(E$5)))*(CRDJ[Account Code]=(TRIM($B29)))*(CRDJ[Date]&lt;=$C$8),CRDJ[Credit])))+(SUM(IF((GJ[Sort Code]=(TRIM(E$5)))*(GJ[Account Code]=(TRIM($B29)))*(GJ[Date]&lt;=$C$8),GJ[Credit]))))-((SUM(IF((CkDJ[Sort Code]=(TRIM(E$5)))*(CkDJ[Account Code]=(TRIM($B29)))*(CkDJ[Date]&lt;=$C$8),CkDJ[Debit])))+(SUM(IF((CsDJ[Sort Code]=(TRIM(E$5)))*(CsDJ[Account Code]=(TRIM($B29)))*(CsDJ[Date]&lt;=$C$8),CsDJ[Debit])))+(SUM(IF((CRDJ[Sort Code]=(TRIM(E$5)))*(CRDJ[Account Code]=(TRIM($B29)))*(CRDJ[Date]&lt;=$C$8),CRDJ[Debit])))+(SUM(IF((GJ[Sort Code]=(TRIM(E$5)))*(GJ[Account Code]=(TRIM($B29)))*(GJ[Date]&lt;=$C$8),GJ[Debit]))))</f>
        <v>0</v>
      </c>
      <c r="D29" s="466">
        <f t="array" ref="D29">((SUM(IF((CkDJ[Date]=$A$4)*(CkDJ[Sort Code]=(TRIM(E$5)))*(CkDJ[Account Code]=(TRIM($B29))),CkDJ[Credit])))+(SUM(IF((CsDJ[Date]=$A$4)*(CsDJ[Sort Code]=(TRIM(E$5)))*(CsDJ[Account Code]=(TRIM($B29))),CsDJ[Credit])))+(SUM(IF((CRDJ[Date]=$A$4)*(CRDJ[Sort Code]=(TRIM(E$5)))*(CRDJ[Account Code]=(TRIM($B29))),CRDJ[Credit])))+(SUM(IF((GJ[Date]=$A$4)*(GJ[Sort Code]=(TRIM(E$5)))*(GJ[Account Code]=(TRIM($B29))),GJ[Credit]))))-((SUM(IF((CkDJ[Date]=$A$4)*(CkDJ[Sort Code]=(TRIM(E$5)))*(CkDJ[Account Code]=(TRIM($B29))),CkDJ[Debit])))+(SUM(IF((CsDJ[Date]=$A$4)*(CsDJ[Sort Code]=(TRIM(E$5)))*(CsDJ[Account Code]=(TRIM($B29))),CsDJ[Debit])))+(SUM(IF((CRDJ[Date]=$A$4)*(CRDJ[Sort Code]=(TRIM(E$5)))*(CRDJ[Account Code]=(TRIM($B29))),CRDJ[Debit])))+(SUM(IF((GJ[Date]=$A$4)*(GJ[Sort Code]=(TRIM(E$5)))*(GJ[Account Code]=(TRIM($B29))),GJ[Debit]))))</f>
        <v>0</v>
      </c>
      <c r="E29" s="467">
        <f>C29+D29</f>
        <v>0</v>
      </c>
    </row>
    <row r="30" spans="1:5" hidden="1" x14ac:dyDescent="0.2">
      <c r="A30" s="476" t="s">
        <v>818</v>
      </c>
      <c r="B30" s="339" t="s">
        <v>145</v>
      </c>
      <c r="C30" s="466">
        <f t="array" ref="C30">((SUM(IF((CkDJ[Sort Code]=(TRIM(E$5)))*(CkDJ[Account Code]=(TRIM($B30)))*(CkDJ[Date]&lt;=$C$8),CkDJ[Credit])))+(SUM(IF((CsDJ[Sort Code]=(TRIM(E$5)))*(CsDJ[Account Code]=(TRIM($B30)))*(CsDJ[Date]&lt;=$C$8),CsDJ[Credit])))+(SUM(IF((CRDJ[Sort Code]=(TRIM(E$5)))*(CRDJ[Account Code]=(TRIM($B30)))*(CRDJ[Date]&lt;=$C$8),CRDJ[Credit])))+(SUM(IF((GJ[Sort Code]=(TRIM(E$5)))*(GJ[Account Code]=(TRIM($B30)))*(GJ[Date]&lt;=$C$8),GJ[Credit]))))-((SUM(IF((CkDJ[Sort Code]=(TRIM(E$5)))*(CkDJ[Account Code]=(TRIM($B30)))*(CkDJ[Date]&lt;=$C$8),CkDJ[Debit])))+(SUM(IF((CsDJ[Sort Code]=(TRIM(E$5)))*(CsDJ[Account Code]=(TRIM($B30)))*(CsDJ[Date]&lt;=$C$8),CsDJ[Debit])))+(SUM(IF((CRDJ[Sort Code]=(TRIM(E$5)))*(CRDJ[Account Code]=(TRIM($B30)))*(CRDJ[Date]&lt;=$C$8),CRDJ[Debit])))+(SUM(IF((GJ[Sort Code]=(TRIM(E$5)))*(GJ[Account Code]=(TRIM($B30)))*(GJ[Date]&lt;=$C$8),GJ[Debit]))))</f>
        <v>0</v>
      </c>
      <c r="D30" s="466">
        <f t="array" ref="D30">((SUM(IF((CkDJ[Date]=$A$4)*(CkDJ[Sort Code]=(TRIM(E$5)))*(CkDJ[Account Code]=(TRIM($B30))),CkDJ[Credit])))+(SUM(IF((CsDJ[Date]=$A$4)*(CsDJ[Sort Code]=(TRIM(E$5)))*(CsDJ[Account Code]=(TRIM($B30))),CsDJ[Credit])))+(SUM(IF((CRDJ[Date]=$A$4)*(CRDJ[Sort Code]=(TRIM(E$5)))*(CRDJ[Account Code]=(TRIM($B30))),CRDJ[Credit])))+(SUM(IF((GJ[Date]=$A$4)*(GJ[Sort Code]=(TRIM(E$5)))*(GJ[Account Code]=(TRIM($B30))),GJ[Credit]))))-((SUM(IF((CkDJ[Date]=$A$4)*(CkDJ[Sort Code]=(TRIM(E$5)))*(CkDJ[Account Code]=(TRIM($B30))),CkDJ[Debit])))+(SUM(IF((CsDJ[Date]=$A$4)*(CsDJ[Sort Code]=(TRIM(E$5)))*(CsDJ[Account Code]=(TRIM($B30))),CsDJ[Debit])))+(SUM(IF((CRDJ[Date]=$A$4)*(CRDJ[Sort Code]=(TRIM(E$5)))*(CRDJ[Account Code]=(TRIM($B30))),CRDJ[Debit])))+(SUM(IF((GJ[Date]=$A$4)*(GJ[Sort Code]=(TRIM(E$5)))*(GJ[Account Code]=(TRIM($B30))),GJ[Debit]))))</f>
        <v>0</v>
      </c>
      <c r="E30" s="467">
        <f>C30+D30</f>
        <v>0</v>
      </c>
    </row>
    <row r="31" spans="1:5" x14ac:dyDescent="0.2">
      <c r="A31" s="473" t="s">
        <v>1165</v>
      </c>
      <c r="B31" s="339"/>
      <c r="C31" s="477">
        <f>SUM(C32:C34)</f>
        <v>0</v>
      </c>
      <c r="D31" s="477">
        <f>SUM(D32:D34)</f>
        <v>0</v>
      </c>
      <c r="E31" s="477">
        <f>SUM(E32:E34)</f>
        <v>0</v>
      </c>
    </row>
    <row r="32" spans="1:5" x14ac:dyDescent="0.2">
      <c r="A32" s="475" t="s">
        <v>139</v>
      </c>
      <c r="B32" s="339" t="s">
        <v>130</v>
      </c>
      <c r="C32" s="466">
        <f t="array" ref="C32">((SUM(IF((CkDJ[Sort Code]=(TRIM(E$5)))*(CkDJ[Account Code]=(TRIM($B32)))*(CkDJ[Date]&lt;=$C$8),CkDJ[Credit])))+(SUM(IF((CsDJ[Sort Code]=(TRIM(E$5)))*(CsDJ[Account Code]=(TRIM($B32)))*(CsDJ[Date]&lt;=$C$8),CsDJ[Credit])))+(SUM(IF((CRDJ[Sort Code]=(TRIM(E$5)))*(CRDJ[Account Code]=(TRIM($B32)))*(CRDJ[Date]&lt;=$C$8),CRDJ[Credit])))+(SUM(IF((GJ[Sort Code]=(TRIM(E$5)))*(GJ[Account Code]=(TRIM($B32)))*(GJ[Date]&lt;=$C$8),GJ[Credit]))))-((SUM(IF((CkDJ[Sort Code]=(TRIM(E$5)))*(CkDJ[Account Code]=(TRIM($B32)))*(CkDJ[Date]&lt;=$C$8),CkDJ[Debit])))+(SUM(IF((CsDJ[Sort Code]=(TRIM(E$5)))*(CsDJ[Account Code]=(TRIM($B32)))*(CsDJ[Date]&lt;=$C$8),CsDJ[Debit])))+(SUM(IF((CRDJ[Sort Code]=(TRIM(E$5)))*(CRDJ[Account Code]=(TRIM($B32)))*(CRDJ[Date]&lt;=$C$8),CRDJ[Debit])))+(SUM(IF((GJ[Sort Code]=(TRIM(E$5)))*(GJ[Account Code]=(TRIM($B32)))*(GJ[Date]&lt;=$C$8),GJ[Debit]))))</f>
        <v>0</v>
      </c>
      <c r="D32" s="466">
        <f t="array" ref="D32">((SUM(IF((CkDJ[Date]=$A$4)*(CkDJ[Sort Code]=(TRIM(E$5)))*(CkDJ[Account Code]=(TRIM($B32))),CkDJ[Credit])))+(SUM(IF((CsDJ[Date]=$A$4)*(CsDJ[Sort Code]=(TRIM(E$5)))*(CsDJ[Account Code]=(TRIM($B32))),CsDJ[Credit])))+(SUM(IF((CRDJ[Date]=$A$4)*(CRDJ[Sort Code]=(TRIM(E$5)))*(CRDJ[Account Code]=(TRIM($B32))),CRDJ[Credit])))+(SUM(IF((GJ[Date]=$A$4)*(GJ[Sort Code]=(TRIM(E$5)))*(GJ[Account Code]=(TRIM($B32))),GJ[Credit]))))-((SUM(IF((CkDJ[Date]=$A$4)*(CkDJ[Sort Code]=(TRIM(E$5)))*(CkDJ[Account Code]=(TRIM($B32))),CkDJ[Debit])))+(SUM(IF((CsDJ[Date]=$A$4)*(CsDJ[Sort Code]=(TRIM(E$5)))*(CsDJ[Account Code]=(TRIM($B32))),CsDJ[Debit])))+(SUM(IF((CRDJ[Date]=$A$4)*(CRDJ[Sort Code]=(TRIM(E$5)))*(CRDJ[Account Code]=(TRIM($B32))),CRDJ[Debit])))+(SUM(IF((GJ[Date]=$A$4)*(GJ[Sort Code]=(TRIM(E$5)))*(GJ[Account Code]=(TRIM($B32))),GJ[Debit]))))</f>
        <v>0</v>
      </c>
      <c r="E32" s="467">
        <f>C32+D32</f>
        <v>0</v>
      </c>
    </row>
    <row r="33" spans="1:5" x14ac:dyDescent="0.2">
      <c r="A33" s="475" t="s">
        <v>180</v>
      </c>
      <c r="B33" s="339" t="s">
        <v>141</v>
      </c>
      <c r="C33" s="466">
        <f t="array" ref="C33">((SUM(IF((CkDJ[Sort Code]=(TRIM(E$5)))*(CkDJ[Account Code]=(TRIM($B33)))*(CkDJ[Date]&lt;=$C$8),CkDJ[Credit])))+(SUM(IF((CsDJ[Sort Code]=(TRIM(E$5)))*(CsDJ[Account Code]=(TRIM($B33)))*(CsDJ[Date]&lt;=$C$8),CsDJ[Credit])))+(SUM(IF((CRDJ[Sort Code]=(TRIM(E$5)))*(CRDJ[Account Code]=(TRIM($B33)))*(CRDJ[Date]&lt;=$C$8),CRDJ[Credit])))+(SUM(IF((GJ[Sort Code]=(TRIM(E$5)))*(GJ[Account Code]=(TRIM($B33)))*(GJ[Date]&lt;=$C$8),GJ[Credit]))))-((SUM(IF((CkDJ[Sort Code]=(TRIM(E$5)))*(CkDJ[Account Code]=(TRIM($B33)))*(CkDJ[Date]&lt;=$C$8),CkDJ[Debit])))+(SUM(IF((CsDJ[Sort Code]=(TRIM(E$5)))*(CsDJ[Account Code]=(TRIM($B33)))*(CsDJ[Date]&lt;=$C$8),CsDJ[Debit])))+(SUM(IF((CRDJ[Sort Code]=(TRIM(E$5)))*(CRDJ[Account Code]=(TRIM($B33)))*(CRDJ[Date]&lt;=$C$8),CRDJ[Debit])))+(SUM(IF((GJ[Sort Code]=(TRIM(E$5)))*(GJ[Account Code]=(TRIM($B33)))*(GJ[Date]&lt;=$C$8),GJ[Debit]))))</f>
        <v>0</v>
      </c>
      <c r="D33" s="466">
        <f t="array" ref="D33">((SUM(IF((CkDJ[Date]=$A$4)*(CkDJ[Sort Code]=(TRIM(E$5)))*(CkDJ[Account Code]=(TRIM($B33))),CkDJ[Credit])))+(SUM(IF((CsDJ[Date]=$A$4)*(CsDJ[Sort Code]=(TRIM(E$5)))*(CsDJ[Account Code]=(TRIM($B33))),CsDJ[Credit])))+(SUM(IF((CRDJ[Date]=$A$4)*(CRDJ[Sort Code]=(TRIM(E$5)))*(CRDJ[Account Code]=(TRIM($B33))),CRDJ[Credit])))+(SUM(IF((GJ[Date]=$A$4)*(GJ[Sort Code]=(TRIM(E$5)))*(GJ[Account Code]=(TRIM($B33))),GJ[Credit]))))-((SUM(IF((CkDJ[Date]=$A$4)*(CkDJ[Sort Code]=(TRIM(E$5)))*(CkDJ[Account Code]=(TRIM($B33))),CkDJ[Debit])))+(SUM(IF((CsDJ[Date]=$A$4)*(CsDJ[Sort Code]=(TRIM(E$5)))*(CsDJ[Account Code]=(TRIM($B33))),CsDJ[Debit])))+(SUM(IF((CRDJ[Date]=$A$4)*(CRDJ[Sort Code]=(TRIM(E$5)))*(CRDJ[Account Code]=(TRIM($B33))),CRDJ[Debit])))+(SUM(IF((GJ[Date]=$A$4)*(GJ[Sort Code]=(TRIM(E$5)))*(GJ[Account Code]=(TRIM($B33))),GJ[Debit]))))</f>
        <v>0</v>
      </c>
      <c r="E33" s="467">
        <f>C33+D33</f>
        <v>0</v>
      </c>
    </row>
    <row r="34" spans="1:5" x14ac:dyDescent="0.2">
      <c r="A34" s="475" t="s">
        <v>181</v>
      </c>
      <c r="B34" s="339" t="s">
        <v>142</v>
      </c>
      <c r="C34" s="466">
        <f t="array" ref="C34">((SUM(IF((CkDJ[Sort Code]=(TRIM(E$5)))*(CkDJ[Account Code]=(TRIM($B34)))*(CkDJ[Date]&lt;=$C$8),CkDJ[Credit])))+(SUM(IF((CsDJ[Sort Code]=(TRIM(E$5)))*(CsDJ[Account Code]=(TRIM($B34)))*(CsDJ[Date]&lt;=$C$8),CsDJ[Credit])))+(SUM(IF((CRDJ[Sort Code]=(TRIM(E$5)))*(CRDJ[Account Code]=(TRIM($B34)))*(CRDJ[Date]&lt;=$C$8),CRDJ[Credit])))+(SUM(IF((GJ[Sort Code]=(TRIM(E$5)))*(GJ[Account Code]=(TRIM($B34)))*(GJ[Date]&lt;=$C$8),GJ[Credit]))))-((SUM(IF((CkDJ[Sort Code]=(TRIM(E$5)))*(CkDJ[Account Code]=(TRIM($B34)))*(CkDJ[Date]&lt;=$C$8),CkDJ[Debit])))+(SUM(IF((CsDJ[Sort Code]=(TRIM(E$5)))*(CsDJ[Account Code]=(TRIM($B34)))*(CsDJ[Date]&lt;=$C$8),CsDJ[Debit])))+(SUM(IF((CRDJ[Sort Code]=(TRIM(E$5)))*(CRDJ[Account Code]=(TRIM($B34)))*(CRDJ[Date]&lt;=$C$8),CRDJ[Debit])))+(SUM(IF((GJ[Sort Code]=(TRIM(E$5)))*(GJ[Account Code]=(TRIM($B34)))*(GJ[Date]&lt;=$C$8),GJ[Debit]))))</f>
        <v>0</v>
      </c>
      <c r="D34" s="466">
        <f t="array" ref="D34">((SUM(IF((CkDJ[Date]=$A$4)*(CkDJ[Sort Code]=(TRIM(E$5)))*(CkDJ[Account Code]=(TRIM($B34))),CkDJ[Credit])))+(SUM(IF((CsDJ[Date]=$A$4)*(CsDJ[Sort Code]=(TRIM(E$5)))*(CsDJ[Account Code]=(TRIM($B34))),CsDJ[Credit])))+(SUM(IF((CRDJ[Date]=$A$4)*(CRDJ[Sort Code]=(TRIM(E$5)))*(CRDJ[Account Code]=(TRIM($B34))),CRDJ[Credit])))+(SUM(IF((GJ[Date]=$A$4)*(GJ[Sort Code]=(TRIM(E$5)))*(GJ[Account Code]=(TRIM($B34))),GJ[Credit]))))-((SUM(IF((CkDJ[Date]=$A$4)*(CkDJ[Sort Code]=(TRIM(E$5)))*(CkDJ[Account Code]=(TRIM($B34))),CkDJ[Debit])))+(SUM(IF((CsDJ[Date]=$A$4)*(CsDJ[Sort Code]=(TRIM(E$5)))*(CsDJ[Account Code]=(TRIM($B34))),CsDJ[Debit])))+(SUM(IF((CRDJ[Date]=$A$4)*(CRDJ[Sort Code]=(TRIM(E$5)))*(CRDJ[Account Code]=(TRIM($B34))),CRDJ[Debit])))+(SUM(IF((GJ[Date]=$A$4)*(GJ[Sort Code]=(TRIM(E$5)))*(GJ[Account Code]=(TRIM($B34))),GJ[Debit]))))</f>
        <v>0</v>
      </c>
      <c r="E34" s="467">
        <f>C34+D34</f>
        <v>0</v>
      </c>
    </row>
    <row r="35" spans="1:5" x14ac:dyDescent="0.2">
      <c r="A35" s="473" t="s">
        <v>1166</v>
      </c>
      <c r="B35" s="339"/>
      <c r="C35" s="477">
        <f>SUM(C36:C44)</f>
        <v>0</v>
      </c>
      <c r="D35" s="477">
        <f>SUM(D36:D44)</f>
        <v>0</v>
      </c>
      <c r="E35" s="477">
        <f>SUM(E36:E44)</f>
        <v>0</v>
      </c>
    </row>
    <row r="36" spans="1:5" x14ac:dyDescent="0.2">
      <c r="A36" s="475" t="s">
        <v>186</v>
      </c>
      <c r="B36" s="339" t="s">
        <v>150</v>
      </c>
      <c r="C36" s="466">
        <f t="array" ref="C36">((SUM(IF((CkDJ[Sort Code]=(TRIM(E$5)))*(CkDJ[Account Code]=(TRIM($B36)))*(CkDJ[Date]&lt;=$C$8),CkDJ[Credit])))+(SUM(IF((CsDJ[Sort Code]=(TRIM(E$5)))*(CsDJ[Account Code]=(TRIM($B36)))*(CsDJ[Date]&lt;=$C$8),CsDJ[Credit])))+(SUM(IF((CRDJ[Sort Code]=(TRIM(E$5)))*(CRDJ[Account Code]=(TRIM($B36)))*(CRDJ[Date]&lt;=$C$8),CRDJ[Credit])))+(SUM(IF((GJ[Sort Code]=(TRIM(E$5)))*(GJ[Account Code]=(TRIM($B36)))*(GJ[Date]&lt;=$C$8),GJ[Credit]))))-((SUM(IF((CkDJ[Sort Code]=(TRIM(E$5)))*(CkDJ[Account Code]=(TRIM($B36)))*(CkDJ[Date]&lt;=$C$8),CkDJ[Debit])))+(SUM(IF((CsDJ[Sort Code]=(TRIM(E$5)))*(CsDJ[Account Code]=(TRIM($B36)))*(CsDJ[Date]&lt;=$C$8),CsDJ[Debit])))+(SUM(IF((CRDJ[Sort Code]=(TRIM(E$5)))*(CRDJ[Account Code]=(TRIM($B36)))*(CRDJ[Date]&lt;=$C$8),CRDJ[Debit])))+(SUM(IF((GJ[Sort Code]=(TRIM(E$5)))*(GJ[Account Code]=(TRIM($B36)))*(GJ[Date]&lt;=$C$8),GJ[Debit]))))</f>
        <v>0</v>
      </c>
      <c r="D36" s="466">
        <f t="array" ref="D36">((SUM(IF((CkDJ[Date]=$A$4)*(CkDJ[Sort Code]=(TRIM(E$5)))*(CkDJ[Account Code]=(TRIM($B36))),CkDJ[Credit])))+(SUM(IF((CsDJ[Date]=$A$4)*(CsDJ[Sort Code]=(TRIM(E$5)))*(CsDJ[Account Code]=(TRIM($B36))),CsDJ[Credit])))+(SUM(IF((CRDJ[Date]=$A$4)*(CRDJ[Sort Code]=(TRIM(E$5)))*(CRDJ[Account Code]=(TRIM($B36))),CRDJ[Credit])))+(SUM(IF((GJ[Date]=$A$4)*(GJ[Sort Code]=(TRIM(E$5)))*(GJ[Account Code]=(TRIM($B36))),GJ[Credit]))))-((SUM(IF((CkDJ[Date]=$A$4)*(CkDJ[Sort Code]=(TRIM(E$5)))*(CkDJ[Account Code]=(TRIM($B36))),CkDJ[Debit])))+(SUM(IF((CsDJ[Date]=$A$4)*(CsDJ[Sort Code]=(TRIM(E$5)))*(CsDJ[Account Code]=(TRIM($B36))),CsDJ[Debit])))+(SUM(IF((CRDJ[Date]=$A$4)*(CRDJ[Sort Code]=(TRIM(E$5)))*(CRDJ[Account Code]=(TRIM($B36))),CRDJ[Debit])))+(SUM(IF((GJ[Date]=$A$4)*(GJ[Sort Code]=(TRIM(E$5)))*(GJ[Account Code]=(TRIM($B36))),GJ[Debit]))))</f>
        <v>0</v>
      </c>
      <c r="E36" s="467">
        <f t="shared" ref="E36:E44" si="0">C36+D36</f>
        <v>0</v>
      </c>
    </row>
    <row r="37" spans="1:5" x14ac:dyDescent="0.2">
      <c r="A37" s="475" t="s">
        <v>187</v>
      </c>
      <c r="B37" s="339" t="s">
        <v>153</v>
      </c>
      <c r="C37" s="466">
        <f t="array" ref="C37">((SUM(IF((CkDJ[Sort Code]=(TRIM(E$5)))*(CkDJ[Account Code]=(TRIM($B37)))*(CkDJ[Date]&lt;=$C$8),CkDJ[Credit])))+(SUM(IF((CsDJ[Sort Code]=(TRIM(E$5)))*(CsDJ[Account Code]=(TRIM($B37)))*(CsDJ[Date]&lt;=$C$8),CsDJ[Credit])))+(SUM(IF((CRDJ[Sort Code]=(TRIM(E$5)))*(CRDJ[Account Code]=(TRIM($B37)))*(CRDJ[Date]&lt;=$C$8),CRDJ[Credit])))+(SUM(IF((GJ[Sort Code]=(TRIM(E$5)))*(GJ[Account Code]=(TRIM($B37)))*(GJ[Date]&lt;=$C$8),GJ[Credit]))))-((SUM(IF((CkDJ[Sort Code]=(TRIM(E$5)))*(CkDJ[Account Code]=(TRIM($B37)))*(CkDJ[Date]&lt;=$C$8),CkDJ[Debit])))+(SUM(IF((CsDJ[Sort Code]=(TRIM(E$5)))*(CsDJ[Account Code]=(TRIM($B37)))*(CsDJ[Date]&lt;=$C$8),CsDJ[Debit])))+(SUM(IF((CRDJ[Sort Code]=(TRIM(E$5)))*(CRDJ[Account Code]=(TRIM($B37)))*(CRDJ[Date]&lt;=$C$8),CRDJ[Debit])))+(SUM(IF((GJ[Sort Code]=(TRIM(E$5)))*(GJ[Account Code]=(TRIM($B37)))*(GJ[Date]&lt;=$C$8),GJ[Debit]))))</f>
        <v>0</v>
      </c>
      <c r="D37" s="466">
        <f t="array" ref="D37">((SUM(IF((CkDJ[Date]=$A$4)*(CkDJ[Sort Code]=(TRIM(E$5)))*(CkDJ[Account Code]=(TRIM($B37))),CkDJ[Credit])))+(SUM(IF((CsDJ[Date]=$A$4)*(CsDJ[Sort Code]=(TRIM(E$5)))*(CsDJ[Account Code]=(TRIM($B37))),CsDJ[Credit])))+(SUM(IF((CRDJ[Date]=$A$4)*(CRDJ[Sort Code]=(TRIM(E$5)))*(CRDJ[Account Code]=(TRIM($B37))),CRDJ[Credit])))+(SUM(IF((GJ[Date]=$A$4)*(GJ[Sort Code]=(TRIM(E$5)))*(GJ[Account Code]=(TRIM($B37))),GJ[Credit]))))-((SUM(IF((CkDJ[Date]=$A$4)*(CkDJ[Sort Code]=(TRIM(E$5)))*(CkDJ[Account Code]=(TRIM($B37))),CkDJ[Debit])))+(SUM(IF((CsDJ[Date]=$A$4)*(CsDJ[Sort Code]=(TRIM(E$5)))*(CsDJ[Account Code]=(TRIM($B37))),CsDJ[Debit])))+(SUM(IF((CRDJ[Date]=$A$4)*(CRDJ[Sort Code]=(TRIM(E$5)))*(CRDJ[Account Code]=(TRIM($B37))),CRDJ[Debit])))+(SUM(IF((GJ[Date]=$A$4)*(GJ[Sort Code]=(TRIM(E$5)))*(GJ[Account Code]=(TRIM($B37))),GJ[Debit]))))</f>
        <v>0</v>
      </c>
      <c r="E37" s="467">
        <f t="shared" si="0"/>
        <v>0</v>
      </c>
    </row>
    <row r="38" spans="1:5" x14ac:dyDescent="0.2">
      <c r="A38" s="475" t="s">
        <v>188</v>
      </c>
      <c r="B38" s="339" t="s">
        <v>154</v>
      </c>
      <c r="C38" s="466">
        <f t="array" ref="C38">((SUM(IF((CkDJ[Sort Code]=(TRIM(E$5)))*(CkDJ[Account Code]=(TRIM($B38)))*(CkDJ[Date]&lt;=$C$8),CkDJ[Credit])))+(SUM(IF((CsDJ[Sort Code]=(TRIM(E$5)))*(CsDJ[Account Code]=(TRIM($B38)))*(CsDJ[Date]&lt;=$C$8),CsDJ[Credit])))+(SUM(IF((CRDJ[Sort Code]=(TRIM(E$5)))*(CRDJ[Account Code]=(TRIM($B38)))*(CRDJ[Date]&lt;=$C$8),CRDJ[Credit])))+(SUM(IF((GJ[Sort Code]=(TRIM(E$5)))*(GJ[Account Code]=(TRIM($B38)))*(GJ[Date]&lt;=$C$8),GJ[Credit]))))-((SUM(IF((CkDJ[Sort Code]=(TRIM(E$5)))*(CkDJ[Account Code]=(TRIM($B38)))*(CkDJ[Date]&lt;=$C$8),CkDJ[Debit])))+(SUM(IF((CsDJ[Sort Code]=(TRIM(E$5)))*(CsDJ[Account Code]=(TRIM($B38)))*(CsDJ[Date]&lt;=$C$8),CsDJ[Debit])))+(SUM(IF((CRDJ[Sort Code]=(TRIM(E$5)))*(CRDJ[Account Code]=(TRIM($B38)))*(CRDJ[Date]&lt;=$C$8),CRDJ[Debit])))+(SUM(IF((GJ[Sort Code]=(TRIM(E$5)))*(GJ[Account Code]=(TRIM($B38)))*(GJ[Date]&lt;=$C$8),GJ[Debit]))))</f>
        <v>0</v>
      </c>
      <c r="D38" s="466">
        <f t="array" ref="D38">((SUM(IF((CkDJ[Date]=$A$4)*(CkDJ[Sort Code]=(TRIM(E$5)))*(CkDJ[Account Code]=(TRIM($B38))),CkDJ[Credit])))+(SUM(IF((CsDJ[Date]=$A$4)*(CsDJ[Sort Code]=(TRIM(E$5)))*(CsDJ[Account Code]=(TRIM($B38))),CsDJ[Credit])))+(SUM(IF((CRDJ[Date]=$A$4)*(CRDJ[Sort Code]=(TRIM(E$5)))*(CRDJ[Account Code]=(TRIM($B38))),CRDJ[Credit])))+(SUM(IF((GJ[Date]=$A$4)*(GJ[Sort Code]=(TRIM(E$5)))*(GJ[Account Code]=(TRIM($B38))),GJ[Credit]))))-((SUM(IF((CkDJ[Date]=$A$4)*(CkDJ[Sort Code]=(TRIM(E$5)))*(CkDJ[Account Code]=(TRIM($B38))),CkDJ[Debit])))+(SUM(IF((CsDJ[Date]=$A$4)*(CsDJ[Sort Code]=(TRIM(E$5)))*(CsDJ[Account Code]=(TRIM($B38))),CsDJ[Debit])))+(SUM(IF((CRDJ[Date]=$A$4)*(CRDJ[Sort Code]=(TRIM(E$5)))*(CRDJ[Account Code]=(TRIM($B38))),CRDJ[Debit])))+(SUM(IF((GJ[Date]=$A$4)*(GJ[Sort Code]=(TRIM(E$5)))*(GJ[Account Code]=(TRIM($B38))),GJ[Debit]))))</f>
        <v>0</v>
      </c>
      <c r="E38" s="467">
        <f t="shared" si="0"/>
        <v>0</v>
      </c>
    </row>
    <row r="39" spans="1:5" x14ac:dyDescent="0.2">
      <c r="A39" s="475" t="s">
        <v>189</v>
      </c>
      <c r="B39" s="339" t="s">
        <v>155</v>
      </c>
      <c r="C39" s="466">
        <f t="array" ref="C39">((SUM(IF((CkDJ[Sort Code]=(TRIM(E$5)))*(CkDJ[Account Code]=(TRIM($B39)))*(CkDJ[Date]&lt;=$C$8),CkDJ[Credit])))+(SUM(IF((CsDJ[Sort Code]=(TRIM(E$5)))*(CsDJ[Account Code]=(TRIM($B39)))*(CsDJ[Date]&lt;=$C$8),CsDJ[Credit])))+(SUM(IF((CRDJ[Sort Code]=(TRIM(E$5)))*(CRDJ[Account Code]=(TRIM($B39)))*(CRDJ[Date]&lt;=$C$8),CRDJ[Credit])))+(SUM(IF((GJ[Sort Code]=(TRIM(E$5)))*(GJ[Account Code]=(TRIM($B39)))*(GJ[Date]&lt;=$C$8),GJ[Credit]))))-((SUM(IF((CkDJ[Sort Code]=(TRIM(E$5)))*(CkDJ[Account Code]=(TRIM($B39)))*(CkDJ[Date]&lt;=$C$8),CkDJ[Debit])))+(SUM(IF((CsDJ[Sort Code]=(TRIM(E$5)))*(CsDJ[Account Code]=(TRIM($B39)))*(CsDJ[Date]&lt;=$C$8),CsDJ[Debit])))+(SUM(IF((CRDJ[Sort Code]=(TRIM(E$5)))*(CRDJ[Account Code]=(TRIM($B39)))*(CRDJ[Date]&lt;=$C$8),CRDJ[Debit])))+(SUM(IF((GJ[Sort Code]=(TRIM(E$5)))*(GJ[Account Code]=(TRIM($B39)))*(GJ[Date]&lt;=$C$8),GJ[Debit]))))</f>
        <v>0</v>
      </c>
      <c r="D39" s="466">
        <f t="array" ref="D39">((SUM(IF((CkDJ[Date]=$A$4)*(CkDJ[Sort Code]=(TRIM(E$5)))*(CkDJ[Account Code]=(TRIM($B39))),CkDJ[Credit])))+(SUM(IF((CsDJ[Date]=$A$4)*(CsDJ[Sort Code]=(TRIM(E$5)))*(CsDJ[Account Code]=(TRIM($B39))),CsDJ[Credit])))+(SUM(IF((CRDJ[Date]=$A$4)*(CRDJ[Sort Code]=(TRIM(E$5)))*(CRDJ[Account Code]=(TRIM($B39))),CRDJ[Credit])))+(SUM(IF((GJ[Date]=$A$4)*(GJ[Sort Code]=(TRIM(E$5)))*(GJ[Account Code]=(TRIM($B39))),GJ[Credit]))))-((SUM(IF((CkDJ[Date]=$A$4)*(CkDJ[Sort Code]=(TRIM(E$5)))*(CkDJ[Account Code]=(TRIM($B39))),CkDJ[Debit])))+(SUM(IF((CsDJ[Date]=$A$4)*(CsDJ[Sort Code]=(TRIM(E$5)))*(CsDJ[Account Code]=(TRIM($B39))),CsDJ[Debit])))+(SUM(IF((CRDJ[Date]=$A$4)*(CRDJ[Sort Code]=(TRIM(E$5)))*(CRDJ[Account Code]=(TRIM($B39))),CRDJ[Debit])))+(SUM(IF((GJ[Date]=$A$4)*(GJ[Sort Code]=(TRIM(E$5)))*(GJ[Account Code]=(TRIM($B39))),GJ[Debit]))))</f>
        <v>0</v>
      </c>
      <c r="E39" s="467">
        <f t="shared" si="0"/>
        <v>0</v>
      </c>
    </row>
    <row r="40" spans="1:5" x14ac:dyDescent="0.2">
      <c r="A40" s="475" t="s">
        <v>1271</v>
      </c>
      <c r="B40" s="339" t="s">
        <v>156</v>
      </c>
      <c r="C40" s="466">
        <f t="array" ref="C40">((SUM(IF((CkDJ[Sort Code]=(TRIM(E$5)))*(CkDJ[Account Code]=(TRIM($B40)))*(CkDJ[Date]&lt;=$C$8),CkDJ[Credit])))+(SUM(IF((CsDJ[Sort Code]=(TRIM(E$5)))*(CsDJ[Account Code]=(TRIM($B40)))*(CsDJ[Date]&lt;=$C$8),CsDJ[Credit])))+(SUM(IF((CRDJ[Sort Code]=(TRIM(E$5)))*(CRDJ[Account Code]=(TRIM($B40)))*(CRDJ[Date]&lt;=$C$8),CRDJ[Credit])))+(SUM(IF((GJ[Sort Code]=(TRIM(E$5)))*(GJ[Account Code]=(TRIM($B40)))*(GJ[Date]&lt;=$C$8),GJ[Credit]))))-((SUM(IF((CkDJ[Sort Code]=(TRIM(E$5)))*(CkDJ[Account Code]=(TRIM($B40)))*(CkDJ[Date]&lt;=$C$8),CkDJ[Debit])))+(SUM(IF((CsDJ[Sort Code]=(TRIM(E$5)))*(CsDJ[Account Code]=(TRIM($B40)))*(CsDJ[Date]&lt;=$C$8),CsDJ[Debit])))+(SUM(IF((CRDJ[Sort Code]=(TRIM(E$5)))*(CRDJ[Account Code]=(TRIM($B40)))*(CRDJ[Date]&lt;=$C$8),CRDJ[Debit])))+(SUM(IF((GJ[Sort Code]=(TRIM(E$5)))*(GJ[Account Code]=(TRIM($B40)))*(GJ[Date]&lt;=$C$8),GJ[Debit]))))</f>
        <v>0</v>
      </c>
      <c r="D40" s="466">
        <f t="array" ref="D40">((SUM(IF((CkDJ[Date]=$A$4)*(CkDJ[Sort Code]=(TRIM(E$5)))*(CkDJ[Account Code]=(TRIM($B40))),CkDJ[Credit])))+(SUM(IF((CsDJ[Date]=$A$4)*(CsDJ[Sort Code]=(TRIM(E$5)))*(CsDJ[Account Code]=(TRIM($B40))),CsDJ[Credit])))+(SUM(IF((CRDJ[Date]=$A$4)*(CRDJ[Sort Code]=(TRIM(E$5)))*(CRDJ[Account Code]=(TRIM($B40))),CRDJ[Credit])))+(SUM(IF((GJ[Date]=$A$4)*(GJ[Sort Code]=(TRIM(E$5)))*(GJ[Account Code]=(TRIM($B40))),GJ[Credit]))))-((SUM(IF((CkDJ[Date]=$A$4)*(CkDJ[Sort Code]=(TRIM(E$5)))*(CkDJ[Account Code]=(TRIM($B40))),CkDJ[Debit])))+(SUM(IF((CsDJ[Date]=$A$4)*(CsDJ[Sort Code]=(TRIM(E$5)))*(CsDJ[Account Code]=(TRIM($B40))),CsDJ[Debit])))+(SUM(IF((CRDJ[Date]=$A$4)*(CRDJ[Sort Code]=(TRIM(E$5)))*(CRDJ[Account Code]=(TRIM($B40))),CRDJ[Debit])))+(SUM(IF((GJ[Date]=$A$4)*(GJ[Sort Code]=(TRIM(E$5)))*(GJ[Account Code]=(TRIM($B40))),GJ[Debit]))))</f>
        <v>0</v>
      </c>
      <c r="E40" s="467">
        <f>C40+D40</f>
        <v>0</v>
      </c>
    </row>
    <row r="41" spans="1:5" x14ac:dyDescent="0.2">
      <c r="A41" s="475" t="s">
        <v>190</v>
      </c>
      <c r="B41" s="339" t="s">
        <v>157</v>
      </c>
      <c r="C41" s="466">
        <f t="array" ref="C41">((SUM(IF((CkDJ[Sort Code]=(TRIM(E$5)))*(CkDJ[Account Code]=(TRIM($B41)))*(CkDJ[Date]&lt;=$C$8),CkDJ[Credit])))+(SUM(IF((CsDJ[Sort Code]=(TRIM(E$5)))*(CsDJ[Account Code]=(TRIM($B41)))*(CsDJ[Date]&lt;=$C$8),CsDJ[Credit])))+(SUM(IF((CRDJ[Sort Code]=(TRIM(E$5)))*(CRDJ[Account Code]=(TRIM($B41)))*(CRDJ[Date]&lt;=$C$8),CRDJ[Credit])))+(SUM(IF((GJ[Sort Code]=(TRIM(E$5)))*(GJ[Account Code]=(TRIM($B41)))*(GJ[Date]&lt;=$C$8),GJ[Credit]))))-((SUM(IF((CkDJ[Sort Code]=(TRIM(E$5)))*(CkDJ[Account Code]=(TRIM($B41)))*(CkDJ[Date]&lt;=$C$8),CkDJ[Debit])))+(SUM(IF((CsDJ[Sort Code]=(TRIM(E$5)))*(CsDJ[Account Code]=(TRIM($B41)))*(CsDJ[Date]&lt;=$C$8),CsDJ[Debit])))+(SUM(IF((CRDJ[Sort Code]=(TRIM(E$5)))*(CRDJ[Account Code]=(TRIM($B41)))*(CRDJ[Date]&lt;=$C$8),CRDJ[Debit])))+(SUM(IF((GJ[Sort Code]=(TRIM(E$5)))*(GJ[Account Code]=(TRIM($B41)))*(GJ[Date]&lt;=$C$8),GJ[Debit]))))</f>
        <v>0</v>
      </c>
      <c r="D41" s="466">
        <f t="array" ref="D41">((SUM(IF((CkDJ[Date]=$A$4)*(CkDJ[Sort Code]=(TRIM(E$5)))*(CkDJ[Account Code]=(TRIM($B41))),CkDJ[Credit])))+(SUM(IF((CsDJ[Date]=$A$4)*(CsDJ[Sort Code]=(TRIM(E$5)))*(CsDJ[Account Code]=(TRIM($B41))),CsDJ[Credit])))+(SUM(IF((CRDJ[Date]=$A$4)*(CRDJ[Sort Code]=(TRIM(E$5)))*(CRDJ[Account Code]=(TRIM($B41))),CRDJ[Credit])))+(SUM(IF((GJ[Date]=$A$4)*(GJ[Sort Code]=(TRIM(E$5)))*(GJ[Account Code]=(TRIM($B41))),GJ[Credit]))))-((SUM(IF((CkDJ[Date]=$A$4)*(CkDJ[Sort Code]=(TRIM(E$5)))*(CkDJ[Account Code]=(TRIM($B41))),CkDJ[Debit])))+(SUM(IF((CsDJ[Date]=$A$4)*(CsDJ[Sort Code]=(TRIM(E$5)))*(CsDJ[Account Code]=(TRIM($B41))),CsDJ[Debit])))+(SUM(IF((CRDJ[Date]=$A$4)*(CRDJ[Sort Code]=(TRIM(E$5)))*(CRDJ[Account Code]=(TRIM($B41))),CRDJ[Debit])))+(SUM(IF((GJ[Date]=$A$4)*(GJ[Sort Code]=(TRIM(E$5)))*(GJ[Account Code]=(TRIM($B41))),GJ[Debit]))))</f>
        <v>0</v>
      </c>
      <c r="E41" s="467">
        <f t="shared" si="0"/>
        <v>0</v>
      </c>
    </row>
    <row r="42" spans="1:5" x14ac:dyDescent="0.2">
      <c r="A42" s="475" t="s">
        <v>192</v>
      </c>
      <c r="B42" s="339" t="s">
        <v>159</v>
      </c>
      <c r="C42" s="466">
        <f t="array" ref="C42">((SUM(IF((CkDJ[Sort Code]=(TRIM(E$5)))*(CkDJ[Account Code]=(TRIM($B42)))*(CkDJ[Date]&lt;=$C$8),CkDJ[Credit])))+(SUM(IF((CsDJ[Sort Code]=(TRIM(E$5)))*(CsDJ[Account Code]=(TRIM($B42)))*(CsDJ[Date]&lt;=$C$8),CsDJ[Credit])))+(SUM(IF((CRDJ[Sort Code]=(TRIM(E$5)))*(CRDJ[Account Code]=(TRIM($B42)))*(CRDJ[Date]&lt;=$C$8),CRDJ[Credit])))+(SUM(IF((GJ[Sort Code]=(TRIM(E$5)))*(GJ[Account Code]=(TRIM($B42)))*(GJ[Date]&lt;=$C$8),GJ[Credit]))))-((SUM(IF((CkDJ[Sort Code]=(TRIM(E$5)))*(CkDJ[Account Code]=(TRIM($B42)))*(CkDJ[Date]&lt;=$C$8),CkDJ[Debit])))+(SUM(IF((CsDJ[Sort Code]=(TRIM(E$5)))*(CsDJ[Account Code]=(TRIM($B42)))*(CsDJ[Date]&lt;=$C$8),CsDJ[Debit])))+(SUM(IF((CRDJ[Sort Code]=(TRIM(E$5)))*(CRDJ[Account Code]=(TRIM($B42)))*(CRDJ[Date]&lt;=$C$8),CRDJ[Debit])))+(SUM(IF((GJ[Sort Code]=(TRIM(E$5)))*(GJ[Account Code]=(TRIM($B42)))*(GJ[Date]&lt;=$C$8),GJ[Debit]))))</f>
        <v>0</v>
      </c>
      <c r="D42" s="466">
        <f t="array" ref="D42">((SUM(IF((CkDJ[Date]=$A$4)*(CkDJ[Sort Code]=(TRIM(E$5)))*(CkDJ[Account Code]=(TRIM($B42))),CkDJ[Credit])))+(SUM(IF((CsDJ[Date]=$A$4)*(CsDJ[Sort Code]=(TRIM(E$5)))*(CsDJ[Account Code]=(TRIM($B42))),CsDJ[Credit])))+(SUM(IF((CRDJ[Date]=$A$4)*(CRDJ[Sort Code]=(TRIM(E$5)))*(CRDJ[Account Code]=(TRIM($B42))),CRDJ[Credit])))+(SUM(IF((GJ[Date]=$A$4)*(GJ[Sort Code]=(TRIM(E$5)))*(GJ[Account Code]=(TRIM($B42))),GJ[Credit]))))-((SUM(IF((CkDJ[Date]=$A$4)*(CkDJ[Sort Code]=(TRIM(E$5)))*(CkDJ[Account Code]=(TRIM($B42))),CkDJ[Debit])))+(SUM(IF((CsDJ[Date]=$A$4)*(CsDJ[Sort Code]=(TRIM(E$5)))*(CsDJ[Account Code]=(TRIM($B42))),CsDJ[Debit])))+(SUM(IF((CRDJ[Date]=$A$4)*(CRDJ[Sort Code]=(TRIM(E$5)))*(CRDJ[Account Code]=(TRIM($B42))),CRDJ[Debit])))+(SUM(IF((GJ[Date]=$A$4)*(GJ[Sort Code]=(TRIM(E$5)))*(GJ[Account Code]=(TRIM($B42))),GJ[Debit]))))</f>
        <v>0</v>
      </c>
      <c r="E42" s="467">
        <f t="shared" si="0"/>
        <v>0</v>
      </c>
    </row>
    <row r="43" spans="1:5" x14ac:dyDescent="0.2">
      <c r="A43" s="475" t="s">
        <v>193</v>
      </c>
      <c r="B43" s="339" t="s">
        <v>160</v>
      </c>
      <c r="C43" s="466">
        <f t="array" ref="C43">((SUM(IF((CkDJ[Sort Code]=(TRIM(E$5)))*(CkDJ[Account Code]=(TRIM($B43)))*(CkDJ[Date]&lt;=$C$8),CkDJ[Credit])))+(SUM(IF((CsDJ[Sort Code]=(TRIM(E$5)))*(CsDJ[Account Code]=(TRIM($B43)))*(CsDJ[Date]&lt;=$C$8),CsDJ[Credit])))+(SUM(IF((CRDJ[Sort Code]=(TRIM(E$5)))*(CRDJ[Account Code]=(TRIM($B43)))*(CRDJ[Date]&lt;=$C$8),CRDJ[Credit])))+(SUM(IF((GJ[Sort Code]=(TRIM(E$5)))*(GJ[Account Code]=(TRIM($B43)))*(GJ[Date]&lt;=$C$8),GJ[Credit]))))-((SUM(IF((CkDJ[Sort Code]=(TRIM(E$5)))*(CkDJ[Account Code]=(TRIM($B43)))*(CkDJ[Date]&lt;=$C$8),CkDJ[Debit])))+(SUM(IF((CsDJ[Sort Code]=(TRIM(E$5)))*(CsDJ[Account Code]=(TRIM($B43)))*(CsDJ[Date]&lt;=$C$8),CsDJ[Debit])))+(SUM(IF((CRDJ[Sort Code]=(TRIM(E$5)))*(CRDJ[Account Code]=(TRIM($B43)))*(CRDJ[Date]&lt;=$C$8),CRDJ[Debit])))+(SUM(IF((GJ[Sort Code]=(TRIM(E$5)))*(GJ[Account Code]=(TRIM($B43)))*(GJ[Date]&lt;=$C$8),GJ[Debit]))))</f>
        <v>0</v>
      </c>
      <c r="D43" s="466">
        <f t="array" ref="D43">((SUM(IF((CkDJ[Date]=$A$4)*(CkDJ[Sort Code]=(TRIM(E$5)))*(CkDJ[Account Code]=(TRIM($B43))),CkDJ[Credit])))+(SUM(IF((CsDJ[Date]=$A$4)*(CsDJ[Sort Code]=(TRIM(E$5)))*(CsDJ[Account Code]=(TRIM($B43))),CsDJ[Credit])))+(SUM(IF((CRDJ[Date]=$A$4)*(CRDJ[Sort Code]=(TRIM(E$5)))*(CRDJ[Account Code]=(TRIM($B43))),CRDJ[Credit])))+(SUM(IF((GJ[Date]=$A$4)*(GJ[Sort Code]=(TRIM(E$5)))*(GJ[Account Code]=(TRIM($B43))),GJ[Credit]))))-((SUM(IF((CkDJ[Date]=$A$4)*(CkDJ[Sort Code]=(TRIM(E$5)))*(CkDJ[Account Code]=(TRIM($B43))),CkDJ[Debit])))+(SUM(IF((CsDJ[Date]=$A$4)*(CsDJ[Sort Code]=(TRIM(E$5)))*(CsDJ[Account Code]=(TRIM($B43))),CsDJ[Debit])))+(SUM(IF((CRDJ[Date]=$A$4)*(CRDJ[Sort Code]=(TRIM(E$5)))*(CRDJ[Account Code]=(TRIM($B43))),CRDJ[Debit])))+(SUM(IF((GJ[Date]=$A$4)*(GJ[Sort Code]=(TRIM(E$5)))*(GJ[Account Code]=(TRIM($B43))),GJ[Debit]))))</f>
        <v>0</v>
      </c>
      <c r="E43" s="467">
        <f t="shared" si="0"/>
        <v>0</v>
      </c>
    </row>
    <row r="44" spans="1:5" x14ac:dyDescent="0.2">
      <c r="A44" s="475" t="s">
        <v>191</v>
      </c>
      <c r="B44" s="339" t="s">
        <v>161</v>
      </c>
      <c r="C44" s="466">
        <f t="array" ref="C44">((SUM(IF((CkDJ[Sort Code]=(TRIM(E$5)))*(CkDJ[Account Code]=(TRIM($B44)))*(CkDJ[Date]&lt;=$C$8),CkDJ[Credit])))+(SUM(IF((CsDJ[Sort Code]=(TRIM(E$5)))*(CsDJ[Account Code]=(TRIM($B44)))*(CsDJ[Date]&lt;=$C$8),CsDJ[Credit])))+(SUM(IF((CRDJ[Sort Code]=(TRIM(E$5)))*(CRDJ[Account Code]=(TRIM($B44)))*(CRDJ[Date]&lt;=$C$8),CRDJ[Credit])))+(SUM(IF((GJ[Sort Code]=(TRIM(E$5)))*(GJ[Account Code]=(TRIM($B44)))*(GJ[Date]&lt;=$C$8),GJ[Credit]))))-((SUM(IF((CkDJ[Sort Code]=(TRIM(E$5)))*(CkDJ[Account Code]=(TRIM($B44)))*(CkDJ[Date]&lt;=$C$8),CkDJ[Debit])))+(SUM(IF((CsDJ[Sort Code]=(TRIM(E$5)))*(CsDJ[Account Code]=(TRIM($B44)))*(CsDJ[Date]&lt;=$C$8),CsDJ[Debit])))+(SUM(IF((CRDJ[Sort Code]=(TRIM(E$5)))*(CRDJ[Account Code]=(TRIM($B44)))*(CRDJ[Date]&lt;=$C$8),CRDJ[Debit])))+(SUM(IF((GJ[Sort Code]=(TRIM(E$5)))*(GJ[Account Code]=(TRIM($B44)))*(GJ[Date]&lt;=$C$8),GJ[Debit]))))</f>
        <v>0</v>
      </c>
      <c r="D44" s="466">
        <f t="array" ref="D44">((SUM(IF((CkDJ[Date]=$A$4)*(CkDJ[Sort Code]=(TRIM(E$5)))*(CkDJ[Account Code]=(TRIM($B44))),CkDJ[Credit])))+(SUM(IF((CsDJ[Date]=$A$4)*(CsDJ[Sort Code]=(TRIM(E$5)))*(CsDJ[Account Code]=(TRIM($B44))),CsDJ[Credit])))+(SUM(IF((CRDJ[Date]=$A$4)*(CRDJ[Sort Code]=(TRIM(E$5)))*(CRDJ[Account Code]=(TRIM($B44))),CRDJ[Credit])))+(SUM(IF((GJ[Date]=$A$4)*(GJ[Sort Code]=(TRIM(E$5)))*(GJ[Account Code]=(TRIM($B44))),GJ[Credit]))))-((SUM(IF((CkDJ[Date]=$A$4)*(CkDJ[Sort Code]=(TRIM(E$5)))*(CkDJ[Account Code]=(TRIM($B44))),CkDJ[Debit])))+(SUM(IF((CsDJ[Date]=$A$4)*(CsDJ[Sort Code]=(TRIM(E$5)))*(CsDJ[Account Code]=(TRIM($B44))),CsDJ[Debit])))+(SUM(IF((CRDJ[Date]=$A$4)*(CRDJ[Sort Code]=(TRIM(E$5)))*(CRDJ[Account Code]=(TRIM($B44))),CRDJ[Debit])))+(SUM(IF((GJ[Date]=$A$4)*(GJ[Sort Code]=(TRIM(E$5)))*(GJ[Account Code]=(TRIM($B44))),GJ[Debit]))))</f>
        <v>0</v>
      </c>
      <c r="E44" s="467">
        <f t="shared" si="0"/>
        <v>0</v>
      </c>
    </row>
    <row r="45" spans="1:5" x14ac:dyDescent="0.2">
      <c r="A45" s="468" t="s">
        <v>1171</v>
      </c>
      <c r="B45" s="469"/>
      <c r="C45" s="470">
        <f>C10+C16+C20+C25+C26+C31+C35</f>
        <v>0</v>
      </c>
      <c r="D45" s="470">
        <f>D10+D16+D20+D25+D26+D31+D35</f>
        <v>0</v>
      </c>
      <c r="E45" s="470">
        <f>E10+E16+E20+E25+E26+E31+E35</f>
        <v>0</v>
      </c>
    </row>
    <row r="46" spans="1:5" x14ac:dyDescent="0.2">
      <c r="A46" s="471" t="s">
        <v>812</v>
      </c>
      <c r="B46" s="339"/>
      <c r="C46" s="472"/>
      <c r="D46" s="472"/>
      <c r="E46" s="479"/>
    </row>
    <row r="47" spans="1:5" x14ac:dyDescent="0.2">
      <c r="A47" s="471" t="s">
        <v>811</v>
      </c>
      <c r="B47" s="339"/>
      <c r="C47" s="474">
        <f>SUM(C48:C72)</f>
        <v>0</v>
      </c>
      <c r="D47" s="474">
        <f>SUM(D48:D72)</f>
        <v>0</v>
      </c>
      <c r="E47" s="474">
        <f>SUM(E48:E72)</f>
        <v>0</v>
      </c>
    </row>
    <row r="48" spans="1:5" x14ac:dyDescent="0.2">
      <c r="A48" s="476" t="s">
        <v>194</v>
      </c>
      <c r="B48" s="339" t="s">
        <v>162</v>
      </c>
      <c r="C48" s="466">
        <f t="array" ref="C48">((SUM(IF((CkDJ[Sort Code]=(TRIM(E$5)))*(CkDJ[Account Code]=(TRIM($B48)))*(CkDJ[Date]&lt;=$C$8),CkDJ[Debit])))+(SUM(IF((CsDJ[Sort Code]=(TRIM(E$5)))*(CsDJ[Account Code]=(TRIM($B48)))*(CsDJ[Date]&lt;=$C$8),CsDJ[Debit])))+(SUM(IF((CRDJ[Sort Code]=(TRIM(E$5)))*(CRDJ[Account Code]=(TRIM($B48)))*(CRDJ[Date]&lt;=$C$8),CRDJ[Debit])))+(SUM(IF((GJ[Sort Code]=(TRIM(E$5)))*(GJ[Account Code]=(TRIM($B48)))*(GJ[Date]&lt;=$C$8),GJ[Debit]))))-((SUM(IF((CkDJ[Sort Code]=(TRIM(E$5)))*(CkDJ[Account Code]=(TRIM($B48)))*(CkDJ[Date]&lt;=$C$8),CkDJ[Credit])))+(SUM(IF((CsDJ[Sort Code]=(TRIM(E$5)))*(CsDJ[Account Code]=(TRIM($B48)))*(CsDJ[Date]&lt;=$C$8),CsDJ[Credit])))+(SUM(IF((CRDJ[Sort Code]=(TRIM(E$5)))*(CRDJ[Account Code]=(TRIM($B48)))*(CRDJ[Date]&lt;=$C$8),CRDJ[Credit])))+(SUM(IF((GJ[Sort Code]=(TRIM(E$5)))*(GJ[Account Code]=(TRIM($B48)))*(GJ[Date]&lt;=$C$8),GJ[Credit]))))</f>
        <v>0</v>
      </c>
      <c r="D48" s="466">
        <f t="array" ref="D48">((SUM(IF((CkDJ[Date]=$A$4)*(CkDJ[Sort Code]=(TRIM(E$5)))*(CkDJ[Account Code]=(TRIM($B48))),CkDJ[Debit])))+(SUM(IF((CsDJ[Date]=$A$4)*(CsDJ[Sort Code]=(TRIM(E$5)))*(CsDJ[Account Code]=(TRIM($B48))),CsDJ[Debit])))+(SUM(IF((CRDJ[Date]=$A$4)*(CRDJ[Sort Code]=(TRIM(E$5)))*(CRDJ[Account Code]=(TRIM($B48))),CRDJ[Debit])))+(SUM(IF((GJ[Date]=$A$4)*(GJ[Sort Code]=(TRIM(E$5)))*(GJ[Account Code]=(TRIM($B48))),GJ[Debit]))))-((SUM(IF((CkDJ[Date]=$A$4)*(CkDJ[Sort Code]=(TRIM(E$5)))*(CkDJ[Account Code]=(TRIM($B48))),CkDJ[Credit])))+(SUM(IF((CsDJ[Date]=$A$4)*(CsDJ[Sort Code]=(TRIM(E$5)))*(CsDJ[Account Code]=(TRIM($B48))),CsDJ[Credit])))+(SUM(IF((CRDJ[Date]=$A$4)*(CRDJ[Sort Code]=(TRIM(E$5)))*(CRDJ[Account Code]=(TRIM($B48))),CRDJ[Credit])))+(SUM(IF((GJ[Date]=$A$4)*(GJ[Sort Code]=(TRIM(E$5)))*(GJ[Account Code]=(TRIM($B48))),GJ[Credit]))))</f>
        <v>0</v>
      </c>
      <c r="E48" s="467">
        <f t="shared" ref="E48:E53" si="1">C48+D48</f>
        <v>0</v>
      </c>
    </row>
    <row r="49" spans="1:5" x14ac:dyDescent="0.2">
      <c r="A49" s="476" t="s">
        <v>195</v>
      </c>
      <c r="B49" s="339" t="s">
        <v>163</v>
      </c>
      <c r="C49" s="466">
        <f t="array" ref="C49">((SUM(IF((CkDJ[Sort Code]=(TRIM(E$5)))*(CkDJ[Account Code]=(TRIM($B49)))*(CkDJ[Date]&lt;=$C$8),CkDJ[Debit])))+(SUM(IF((CsDJ[Sort Code]=(TRIM(E$5)))*(CsDJ[Account Code]=(TRIM($B49)))*(CsDJ[Date]&lt;=$C$8),CsDJ[Debit])))+(SUM(IF((CRDJ[Sort Code]=(TRIM(E$5)))*(CRDJ[Account Code]=(TRIM($B49)))*(CRDJ[Date]&lt;=$C$8),CRDJ[Debit])))+(SUM(IF((GJ[Sort Code]=(TRIM(E$5)))*(GJ[Account Code]=(TRIM($B49)))*(GJ[Date]&lt;=$C$8),GJ[Debit]))))-((SUM(IF((CkDJ[Sort Code]=(TRIM(E$5)))*(CkDJ[Account Code]=(TRIM($B49)))*(CkDJ[Date]&lt;=$C$8),CkDJ[Credit])))+(SUM(IF((CsDJ[Sort Code]=(TRIM(E$5)))*(CsDJ[Account Code]=(TRIM($B49)))*(CsDJ[Date]&lt;=$C$8),CsDJ[Credit])))+(SUM(IF((CRDJ[Sort Code]=(TRIM(E$5)))*(CRDJ[Account Code]=(TRIM($B49)))*(CRDJ[Date]&lt;=$C$8),CRDJ[Credit])))+(SUM(IF((GJ[Sort Code]=(TRIM(E$5)))*(GJ[Account Code]=(TRIM($B49)))*(GJ[Date]&lt;=$C$8),GJ[Credit]))))</f>
        <v>0</v>
      </c>
      <c r="D49" s="466">
        <f t="array" ref="D49">((SUM(IF((CkDJ[Date]=$A$4)*(CkDJ[Sort Code]=(TRIM(E$5)))*(CkDJ[Account Code]=(TRIM($B49))),CkDJ[Debit])))+(SUM(IF((CsDJ[Date]=$A$4)*(CsDJ[Sort Code]=(TRIM(E$5)))*(CsDJ[Account Code]=(TRIM($B49))),CsDJ[Debit])))+(SUM(IF((CRDJ[Date]=$A$4)*(CRDJ[Sort Code]=(TRIM(E$5)))*(CRDJ[Account Code]=(TRIM($B49))),CRDJ[Debit])))+(SUM(IF((GJ[Date]=$A$4)*(GJ[Sort Code]=(TRIM(E$5)))*(GJ[Account Code]=(TRIM($B49))),GJ[Debit]))))-((SUM(IF((CkDJ[Date]=$A$4)*(CkDJ[Sort Code]=(TRIM(E$5)))*(CkDJ[Account Code]=(TRIM($B49))),CkDJ[Credit])))+(SUM(IF((CsDJ[Date]=$A$4)*(CsDJ[Sort Code]=(TRIM(E$5)))*(CsDJ[Account Code]=(TRIM($B49))),CsDJ[Credit])))+(SUM(IF((CRDJ[Date]=$A$4)*(CRDJ[Sort Code]=(TRIM(E$5)))*(CRDJ[Account Code]=(TRIM($B49))),CRDJ[Credit])))+(SUM(IF((GJ[Date]=$A$4)*(GJ[Sort Code]=(TRIM(E$5)))*(GJ[Account Code]=(TRIM($B49))),GJ[Credit]))))</f>
        <v>0</v>
      </c>
      <c r="E49" s="467">
        <f t="shared" si="1"/>
        <v>0</v>
      </c>
    </row>
    <row r="50" spans="1:5" x14ac:dyDescent="0.2">
      <c r="A50" s="476" t="s">
        <v>196</v>
      </c>
      <c r="B50" s="339" t="s">
        <v>1013</v>
      </c>
      <c r="C50" s="466">
        <f t="array" ref="C50">((SUM(IF((CkDJ[Sort Code]=(TRIM(E$5)))*(CkDJ[Account Code]=(TRIM($B50)))*(CkDJ[Date]&lt;=$C$8),CkDJ[Debit])))+(SUM(IF((CsDJ[Sort Code]=(TRIM(E$5)))*(CsDJ[Account Code]=(TRIM($B50)))*(CsDJ[Date]&lt;=$C$8),CsDJ[Debit])))+(SUM(IF((CRDJ[Sort Code]=(TRIM(E$5)))*(CRDJ[Account Code]=(TRIM($B50)))*(CRDJ[Date]&lt;=$C$8),CRDJ[Debit])))+(SUM(IF((GJ[Sort Code]=(TRIM(E$5)))*(GJ[Account Code]=(TRIM($B50)))*(GJ[Date]&lt;=$C$8),GJ[Debit]))))-((SUM(IF((CkDJ[Sort Code]=(TRIM(E$5)))*(CkDJ[Account Code]=(TRIM($B50)))*(CkDJ[Date]&lt;=$C$8),CkDJ[Credit])))+(SUM(IF((CsDJ[Sort Code]=(TRIM(E$5)))*(CsDJ[Account Code]=(TRIM($B50)))*(CsDJ[Date]&lt;=$C$8),CsDJ[Credit])))+(SUM(IF((CRDJ[Sort Code]=(TRIM(E$5)))*(CRDJ[Account Code]=(TRIM($B50)))*(CRDJ[Date]&lt;=$C$8),CRDJ[Credit])))+(SUM(IF((GJ[Sort Code]=(TRIM(E$5)))*(GJ[Account Code]=(TRIM($B50)))*(GJ[Date]&lt;=$C$8),GJ[Credit]))))</f>
        <v>0</v>
      </c>
      <c r="D50" s="466">
        <f t="array" ref="D50">((SUM(IF((CkDJ[Date]=$A$4)*(CkDJ[Sort Code]=(TRIM(E$5)))*(CkDJ[Account Code]=(TRIM($B50))),CkDJ[Debit])))+(SUM(IF((CsDJ[Date]=$A$4)*(CsDJ[Sort Code]=(TRIM(E$5)))*(CsDJ[Account Code]=(TRIM($B50))),CsDJ[Debit])))+(SUM(IF((CRDJ[Date]=$A$4)*(CRDJ[Sort Code]=(TRIM(E$5)))*(CRDJ[Account Code]=(TRIM($B50))),CRDJ[Debit])))+(SUM(IF((GJ[Date]=$A$4)*(GJ[Sort Code]=(TRIM(E$5)))*(GJ[Account Code]=(TRIM($B50))),GJ[Debit]))))-((SUM(IF((CkDJ[Date]=$A$4)*(CkDJ[Sort Code]=(TRIM(E$5)))*(CkDJ[Account Code]=(TRIM($B50))),CkDJ[Credit])))+(SUM(IF((CsDJ[Date]=$A$4)*(CsDJ[Sort Code]=(TRIM(E$5)))*(CsDJ[Account Code]=(TRIM($B50))),CsDJ[Credit])))+(SUM(IF((CRDJ[Date]=$A$4)*(CRDJ[Sort Code]=(TRIM(E$5)))*(CRDJ[Account Code]=(TRIM($B50))),CRDJ[Credit])))+(SUM(IF((GJ[Date]=$A$4)*(GJ[Sort Code]=(TRIM(E$5)))*(GJ[Account Code]=(TRIM($B50))),GJ[Credit]))))</f>
        <v>0</v>
      </c>
      <c r="E50" s="467">
        <f t="shared" si="1"/>
        <v>0</v>
      </c>
    </row>
    <row r="51" spans="1:5" x14ac:dyDescent="0.2">
      <c r="A51" s="476" t="s">
        <v>197</v>
      </c>
      <c r="B51" s="339" t="s">
        <v>164</v>
      </c>
      <c r="C51" s="466">
        <f t="array" ref="C51">((SUM(IF((CkDJ[Sort Code]=(TRIM(E$5)))*(CkDJ[Account Code]=(TRIM($B51)))*(CkDJ[Date]&lt;=$C$8),CkDJ[Debit])))+(SUM(IF((CsDJ[Sort Code]=(TRIM(E$5)))*(CsDJ[Account Code]=(TRIM($B51)))*(CsDJ[Date]&lt;=$C$8),CsDJ[Debit])))+(SUM(IF((CRDJ[Sort Code]=(TRIM(E$5)))*(CRDJ[Account Code]=(TRIM($B51)))*(CRDJ[Date]&lt;=$C$8),CRDJ[Debit])))+(SUM(IF((GJ[Sort Code]=(TRIM(E$5)))*(GJ[Account Code]=(TRIM($B51)))*(GJ[Date]&lt;=$C$8),GJ[Debit]))))-((SUM(IF((CkDJ[Sort Code]=(TRIM(E$5)))*(CkDJ[Account Code]=(TRIM($B51)))*(CkDJ[Date]&lt;=$C$8),CkDJ[Credit])))+(SUM(IF((CsDJ[Sort Code]=(TRIM(E$5)))*(CsDJ[Account Code]=(TRIM($B51)))*(CsDJ[Date]&lt;=$C$8),CsDJ[Credit])))+(SUM(IF((CRDJ[Sort Code]=(TRIM(E$5)))*(CRDJ[Account Code]=(TRIM($B51)))*(CRDJ[Date]&lt;=$C$8),CRDJ[Credit])))+(SUM(IF((GJ[Sort Code]=(TRIM(E$5)))*(GJ[Account Code]=(TRIM($B51)))*(GJ[Date]&lt;=$C$8),GJ[Credit]))))</f>
        <v>0</v>
      </c>
      <c r="D51" s="466">
        <f t="array" ref="D51">((SUM(IF((CkDJ[Date]=$A$4)*(CkDJ[Sort Code]=(TRIM(E$5)))*(CkDJ[Account Code]=(TRIM($B51))),CkDJ[Debit])))+(SUM(IF((CsDJ[Date]=$A$4)*(CsDJ[Sort Code]=(TRIM(E$5)))*(CsDJ[Account Code]=(TRIM($B51))),CsDJ[Debit])))+(SUM(IF((CRDJ[Date]=$A$4)*(CRDJ[Sort Code]=(TRIM(E$5)))*(CRDJ[Account Code]=(TRIM($B51))),CRDJ[Debit])))+(SUM(IF((GJ[Date]=$A$4)*(GJ[Sort Code]=(TRIM(E$5)))*(GJ[Account Code]=(TRIM($B51))),GJ[Debit]))))-((SUM(IF((CkDJ[Date]=$A$4)*(CkDJ[Sort Code]=(TRIM(E$5)))*(CkDJ[Account Code]=(TRIM($B51))),CkDJ[Credit])))+(SUM(IF((CsDJ[Date]=$A$4)*(CsDJ[Sort Code]=(TRIM(E$5)))*(CsDJ[Account Code]=(TRIM($B51))),CsDJ[Credit])))+(SUM(IF((CRDJ[Date]=$A$4)*(CRDJ[Sort Code]=(TRIM(E$5)))*(CRDJ[Account Code]=(TRIM($B51))),CRDJ[Credit])))+(SUM(IF((GJ[Date]=$A$4)*(GJ[Sort Code]=(TRIM(E$5)))*(GJ[Account Code]=(TRIM($B51))),GJ[Credit]))))</f>
        <v>0</v>
      </c>
      <c r="E51" s="467">
        <f t="shared" si="1"/>
        <v>0</v>
      </c>
    </row>
    <row r="52" spans="1:5" x14ac:dyDescent="0.2">
      <c r="A52" s="476" t="s">
        <v>198</v>
      </c>
      <c r="B52" s="339" t="s">
        <v>165</v>
      </c>
      <c r="C52" s="466">
        <f t="array" ref="C52">((SUM(IF((CkDJ[Sort Code]=(TRIM(E$5)))*(CkDJ[Account Code]=(TRIM($B52)))*(CkDJ[Date]&lt;=$C$8),CkDJ[Debit])))+(SUM(IF((CsDJ[Sort Code]=(TRIM(E$5)))*(CsDJ[Account Code]=(TRIM($B52)))*(CsDJ[Date]&lt;=$C$8),CsDJ[Debit])))+(SUM(IF((CRDJ[Sort Code]=(TRIM(E$5)))*(CRDJ[Account Code]=(TRIM($B52)))*(CRDJ[Date]&lt;=$C$8),CRDJ[Debit])))+(SUM(IF((GJ[Sort Code]=(TRIM(E$5)))*(GJ[Account Code]=(TRIM($B52)))*(GJ[Date]&lt;=$C$8),GJ[Debit]))))-((SUM(IF((CkDJ[Sort Code]=(TRIM(E$5)))*(CkDJ[Account Code]=(TRIM($B52)))*(CkDJ[Date]&lt;=$C$8),CkDJ[Credit])))+(SUM(IF((CsDJ[Sort Code]=(TRIM(E$5)))*(CsDJ[Account Code]=(TRIM($B52)))*(CsDJ[Date]&lt;=$C$8),CsDJ[Credit])))+(SUM(IF((CRDJ[Sort Code]=(TRIM(E$5)))*(CRDJ[Account Code]=(TRIM($B52)))*(CRDJ[Date]&lt;=$C$8),CRDJ[Credit])))+(SUM(IF((GJ[Sort Code]=(TRIM(E$5)))*(GJ[Account Code]=(TRIM($B52)))*(GJ[Date]&lt;=$C$8),GJ[Credit]))))</f>
        <v>0</v>
      </c>
      <c r="D52" s="466">
        <f t="array" ref="D52">((SUM(IF((CkDJ[Date]=$A$4)*(CkDJ[Sort Code]=(TRIM(E$5)))*(CkDJ[Account Code]=(TRIM($B52))),CkDJ[Debit])))+(SUM(IF((CsDJ[Date]=$A$4)*(CsDJ[Sort Code]=(TRIM(E$5)))*(CsDJ[Account Code]=(TRIM($B52))),CsDJ[Debit])))+(SUM(IF((CRDJ[Date]=$A$4)*(CRDJ[Sort Code]=(TRIM(E$5)))*(CRDJ[Account Code]=(TRIM($B52))),CRDJ[Debit])))+(SUM(IF((GJ[Date]=$A$4)*(GJ[Sort Code]=(TRIM(E$5)))*(GJ[Account Code]=(TRIM($B52))),GJ[Debit]))))-((SUM(IF((CkDJ[Date]=$A$4)*(CkDJ[Sort Code]=(TRIM(E$5)))*(CkDJ[Account Code]=(TRIM($B52))),CkDJ[Credit])))+(SUM(IF((CsDJ[Date]=$A$4)*(CsDJ[Sort Code]=(TRIM(E$5)))*(CsDJ[Account Code]=(TRIM($B52))),CsDJ[Credit])))+(SUM(IF((CRDJ[Date]=$A$4)*(CRDJ[Sort Code]=(TRIM(E$5)))*(CRDJ[Account Code]=(TRIM($B52))),CRDJ[Credit])))+(SUM(IF((GJ[Date]=$A$4)*(GJ[Sort Code]=(TRIM(E$5)))*(GJ[Account Code]=(TRIM($B52))),GJ[Credit]))))</f>
        <v>0</v>
      </c>
      <c r="E52" s="467">
        <f t="shared" si="1"/>
        <v>0</v>
      </c>
    </row>
    <row r="53" spans="1:5" x14ac:dyDescent="0.2">
      <c r="A53" s="476" t="s">
        <v>199</v>
      </c>
      <c r="B53" s="339" t="s">
        <v>166</v>
      </c>
      <c r="C53" s="466">
        <f t="array" ref="C53">((SUM(IF((CkDJ[Sort Code]=(TRIM(E$5)))*(CkDJ[Account Code]=(TRIM($B53)))*(CkDJ[Date]&lt;=$C$8),CkDJ[Debit])))+(SUM(IF((CsDJ[Sort Code]=(TRIM(E$5)))*(CsDJ[Account Code]=(TRIM($B53)))*(CsDJ[Date]&lt;=$C$8),CsDJ[Debit])))+(SUM(IF((CRDJ[Sort Code]=(TRIM(E$5)))*(CRDJ[Account Code]=(TRIM($B53)))*(CRDJ[Date]&lt;=$C$8),CRDJ[Debit])))+(SUM(IF((GJ[Sort Code]=(TRIM(E$5)))*(GJ[Account Code]=(TRIM($B53)))*(GJ[Date]&lt;=$C$8),GJ[Debit]))))-((SUM(IF((CkDJ[Sort Code]=(TRIM(E$5)))*(CkDJ[Account Code]=(TRIM($B53)))*(CkDJ[Date]&lt;=$C$8),CkDJ[Credit])))+(SUM(IF((CsDJ[Sort Code]=(TRIM(E$5)))*(CsDJ[Account Code]=(TRIM($B53)))*(CsDJ[Date]&lt;=$C$8),CsDJ[Credit])))+(SUM(IF((CRDJ[Sort Code]=(TRIM(E$5)))*(CRDJ[Account Code]=(TRIM($B53)))*(CRDJ[Date]&lt;=$C$8),CRDJ[Credit])))+(SUM(IF((GJ[Sort Code]=(TRIM(E$5)))*(GJ[Account Code]=(TRIM($B53)))*(GJ[Date]&lt;=$C$8),GJ[Credit]))))</f>
        <v>0</v>
      </c>
      <c r="D53" s="466">
        <f t="array" ref="D53">((SUM(IF((CkDJ[Date]=$A$4)*(CkDJ[Sort Code]=(TRIM(E$5)))*(CkDJ[Account Code]=(TRIM($B53))),CkDJ[Debit])))+(SUM(IF((CsDJ[Date]=$A$4)*(CsDJ[Sort Code]=(TRIM(E$5)))*(CsDJ[Account Code]=(TRIM($B53))),CsDJ[Debit])))+(SUM(IF((CRDJ[Date]=$A$4)*(CRDJ[Sort Code]=(TRIM(E$5)))*(CRDJ[Account Code]=(TRIM($B53))),CRDJ[Debit])))+(SUM(IF((GJ[Date]=$A$4)*(GJ[Sort Code]=(TRIM(E$5)))*(GJ[Account Code]=(TRIM($B53))),GJ[Debit]))))-((SUM(IF((CkDJ[Date]=$A$4)*(CkDJ[Sort Code]=(TRIM(E$5)))*(CkDJ[Account Code]=(TRIM($B53))),CkDJ[Credit])))+(SUM(IF((CsDJ[Date]=$A$4)*(CsDJ[Sort Code]=(TRIM(E$5)))*(CsDJ[Account Code]=(TRIM($B53))),CsDJ[Credit])))+(SUM(IF((CRDJ[Date]=$A$4)*(CRDJ[Sort Code]=(TRIM(E$5)))*(CRDJ[Account Code]=(TRIM($B53))),CRDJ[Credit])))+(SUM(IF((GJ[Date]=$A$4)*(GJ[Sort Code]=(TRIM(E$5)))*(GJ[Account Code]=(TRIM($B53))),GJ[Credit]))))</f>
        <v>0</v>
      </c>
      <c r="E53" s="467">
        <f t="shared" si="1"/>
        <v>0</v>
      </c>
    </row>
    <row r="54" spans="1:5" x14ac:dyDescent="0.2">
      <c r="A54" s="476" t="s">
        <v>200</v>
      </c>
      <c r="B54" s="339" t="s">
        <v>167</v>
      </c>
      <c r="C54" s="466">
        <f t="array" ref="C54">((SUM(IF((CkDJ[Sort Code]=(TRIM(E$5)))*(CkDJ[Account Code]=(TRIM($B54)))*(CkDJ[Date]&lt;=$C$8),CkDJ[Debit])))+(SUM(IF((CsDJ[Sort Code]=(TRIM(E$5)))*(CsDJ[Account Code]=(TRIM($B54)))*(CsDJ[Date]&lt;=$C$8),CsDJ[Debit])))+(SUM(IF((CRDJ[Sort Code]=(TRIM(E$5)))*(CRDJ[Account Code]=(TRIM($B54)))*(CRDJ[Date]&lt;=$C$8),CRDJ[Debit])))+(SUM(IF((GJ[Sort Code]=(TRIM(E$5)))*(GJ[Account Code]=(TRIM($B54)))*(GJ[Date]&lt;=$C$8),GJ[Debit]))))-((SUM(IF((CkDJ[Sort Code]=(TRIM(E$5)))*(CkDJ[Account Code]=(TRIM($B54)))*(CkDJ[Date]&lt;=$C$8),CkDJ[Credit])))+(SUM(IF((CsDJ[Sort Code]=(TRIM(E$5)))*(CsDJ[Account Code]=(TRIM($B54)))*(CsDJ[Date]&lt;=$C$8),CsDJ[Credit])))+(SUM(IF((CRDJ[Sort Code]=(TRIM(E$5)))*(CRDJ[Account Code]=(TRIM($B54)))*(CRDJ[Date]&lt;=$C$8),CRDJ[Credit])))+(SUM(IF((GJ[Sort Code]=(TRIM(E$5)))*(GJ[Account Code]=(TRIM($B54)))*(GJ[Date]&lt;=$C$8),GJ[Credit]))))</f>
        <v>0</v>
      </c>
      <c r="D54" s="466">
        <f t="array" ref="D54">((SUM(IF((CkDJ[Date]=$A$4)*(CkDJ[Sort Code]=(TRIM(E$5)))*(CkDJ[Account Code]=(TRIM($B54))),CkDJ[Debit])))+(SUM(IF((CsDJ[Date]=$A$4)*(CsDJ[Sort Code]=(TRIM(E$5)))*(CsDJ[Account Code]=(TRIM($B54))),CsDJ[Debit])))+(SUM(IF((CRDJ[Date]=$A$4)*(CRDJ[Sort Code]=(TRIM(E$5)))*(CRDJ[Account Code]=(TRIM($B54))),CRDJ[Debit])))+(SUM(IF((GJ[Date]=$A$4)*(GJ[Sort Code]=(TRIM(E$5)))*(GJ[Account Code]=(TRIM($B54))),GJ[Debit]))))-((SUM(IF((CkDJ[Date]=$A$4)*(CkDJ[Sort Code]=(TRIM(E$5)))*(CkDJ[Account Code]=(TRIM($B54))),CkDJ[Credit])))+(SUM(IF((CsDJ[Date]=$A$4)*(CsDJ[Sort Code]=(TRIM(E$5)))*(CsDJ[Account Code]=(TRIM($B54))),CsDJ[Credit])))+(SUM(IF((CRDJ[Date]=$A$4)*(CRDJ[Sort Code]=(TRIM(E$5)))*(CRDJ[Account Code]=(TRIM($B54))),CRDJ[Credit])))+(SUM(IF((GJ[Date]=$A$4)*(GJ[Sort Code]=(TRIM(E$5)))*(GJ[Account Code]=(TRIM($B54))),GJ[Credit]))))</f>
        <v>0</v>
      </c>
      <c r="E54" s="467">
        <f>C54+D54</f>
        <v>0</v>
      </c>
    </row>
    <row r="55" spans="1:5" x14ac:dyDescent="0.2">
      <c r="A55" s="476" t="s">
        <v>1204</v>
      </c>
      <c r="B55" s="339" t="s">
        <v>1262</v>
      </c>
      <c r="C55" s="466">
        <f t="array" ref="C55">((SUM(IF((CkDJ[Sort Code]=(TRIM(E$5)))*(CkDJ[Account Code]=(TRIM($B55)))*(CkDJ[Date]&lt;=$C$8),CkDJ[Debit])))+(SUM(IF((CsDJ[Sort Code]=(TRIM(E$5)))*(CsDJ[Account Code]=(TRIM($B55)))*(CsDJ[Date]&lt;=$C$8),CsDJ[Debit])))+(SUM(IF((CRDJ[Sort Code]=(TRIM(E$5)))*(CRDJ[Account Code]=(TRIM($B55)))*(CRDJ[Date]&lt;=$C$8),CRDJ[Debit])))+(SUM(IF((GJ[Sort Code]=(TRIM(E$5)))*(GJ[Account Code]=(TRIM($B55)))*(GJ[Date]&lt;=$C$8),GJ[Debit]))))-((SUM(IF((CkDJ[Sort Code]=(TRIM(E$5)))*(CkDJ[Account Code]=(TRIM($B55)))*(CkDJ[Date]&lt;=$C$8),CkDJ[Credit])))+(SUM(IF((CsDJ[Sort Code]=(TRIM(E$5)))*(CsDJ[Account Code]=(TRIM($B55)))*(CsDJ[Date]&lt;=$C$8),CsDJ[Credit])))+(SUM(IF((CRDJ[Sort Code]=(TRIM(E$5)))*(CRDJ[Account Code]=(TRIM($B55)))*(CRDJ[Date]&lt;=$C$8),CRDJ[Credit])))+(SUM(IF((GJ[Sort Code]=(TRIM(E$5)))*(GJ[Account Code]=(TRIM($B55)))*(GJ[Date]&lt;=$C$8),GJ[Credit]))))</f>
        <v>0</v>
      </c>
      <c r="D55" s="466">
        <f t="array" ref="D55">((SUM(IF((CkDJ[Date]=$A$4)*(CkDJ[Sort Code]=(TRIM(E$5)))*(CkDJ[Account Code]=(TRIM($B55))),CkDJ[Debit])))+(SUM(IF((CsDJ[Date]=$A$4)*(CsDJ[Sort Code]=(TRIM(E$5)))*(CsDJ[Account Code]=(TRIM($B55))),CsDJ[Debit])))+(SUM(IF((CRDJ[Date]=$A$4)*(CRDJ[Sort Code]=(TRIM(E$5)))*(CRDJ[Account Code]=(TRIM($B55))),CRDJ[Debit])))+(SUM(IF((GJ[Date]=$A$4)*(GJ[Sort Code]=(TRIM(E$5)))*(GJ[Account Code]=(TRIM($B55))),GJ[Debit]))))-((SUM(IF((CkDJ[Date]=$A$4)*(CkDJ[Sort Code]=(TRIM(E$5)))*(CkDJ[Account Code]=(TRIM($B55))),CkDJ[Credit])))+(SUM(IF((CsDJ[Date]=$A$4)*(CsDJ[Sort Code]=(TRIM(E$5)))*(CsDJ[Account Code]=(TRIM($B55))),CsDJ[Credit])))+(SUM(IF((CRDJ[Date]=$A$4)*(CRDJ[Sort Code]=(TRIM(E$5)))*(CRDJ[Account Code]=(TRIM($B55))),CRDJ[Credit])))+(SUM(IF((GJ[Date]=$A$4)*(GJ[Sort Code]=(TRIM(E$5)))*(GJ[Account Code]=(TRIM($B55))),GJ[Credit]))))</f>
        <v>0</v>
      </c>
      <c r="E55" s="467">
        <f>C55+D55</f>
        <v>0</v>
      </c>
    </row>
    <row r="56" spans="1:5" x14ac:dyDescent="0.2">
      <c r="A56" s="476" t="s">
        <v>204</v>
      </c>
      <c r="B56" s="339" t="s">
        <v>171</v>
      </c>
      <c r="C56" s="466">
        <f t="array" ref="C56">((SUM(IF((CkDJ[Sort Code]=(TRIM(E$5)))*(CkDJ[Account Code]=(TRIM($B56)))*(CkDJ[Date]&lt;=$C$8),CkDJ[Debit])))+(SUM(IF((CsDJ[Sort Code]=(TRIM(E$5)))*(CsDJ[Account Code]=(TRIM($B56)))*(CsDJ[Date]&lt;=$C$8),CsDJ[Debit])))+(SUM(IF((CRDJ[Sort Code]=(TRIM(E$5)))*(CRDJ[Account Code]=(TRIM($B56)))*(CRDJ[Date]&lt;=$C$8),CRDJ[Debit])))+(SUM(IF((GJ[Sort Code]=(TRIM(E$5)))*(GJ[Account Code]=(TRIM($B56)))*(GJ[Date]&lt;=$C$8),GJ[Debit]))))-((SUM(IF((CkDJ[Sort Code]=(TRIM(E$5)))*(CkDJ[Account Code]=(TRIM($B56)))*(CkDJ[Date]&lt;=$C$8),CkDJ[Credit])))+(SUM(IF((CsDJ[Sort Code]=(TRIM(E$5)))*(CsDJ[Account Code]=(TRIM($B56)))*(CsDJ[Date]&lt;=$C$8),CsDJ[Credit])))+(SUM(IF((CRDJ[Sort Code]=(TRIM(E$5)))*(CRDJ[Account Code]=(TRIM($B56)))*(CRDJ[Date]&lt;=$C$8),CRDJ[Credit])))+(SUM(IF((GJ[Sort Code]=(TRIM(E$5)))*(GJ[Account Code]=(TRIM($B56)))*(GJ[Date]&lt;=$C$8),GJ[Credit]))))</f>
        <v>0</v>
      </c>
      <c r="D56" s="466">
        <f t="array" ref="D56">((SUM(IF((CkDJ[Date]=$A$4)*(CkDJ[Sort Code]=(TRIM(E$5)))*(CkDJ[Account Code]=(TRIM($B56))),CkDJ[Debit])))+(SUM(IF((CsDJ[Date]=$A$4)*(CsDJ[Sort Code]=(TRIM(E$5)))*(CsDJ[Account Code]=(TRIM($B56))),CsDJ[Debit])))+(SUM(IF((CRDJ[Date]=$A$4)*(CRDJ[Sort Code]=(TRIM(E$5)))*(CRDJ[Account Code]=(TRIM($B56))),CRDJ[Debit])))+(SUM(IF((GJ[Date]=$A$4)*(GJ[Sort Code]=(TRIM(E$5)))*(GJ[Account Code]=(TRIM($B56))),GJ[Debit]))))-((SUM(IF((CkDJ[Date]=$A$4)*(CkDJ[Sort Code]=(TRIM(E$5)))*(CkDJ[Account Code]=(TRIM($B56))),CkDJ[Credit])))+(SUM(IF((CsDJ[Date]=$A$4)*(CsDJ[Sort Code]=(TRIM(E$5)))*(CsDJ[Account Code]=(TRIM($B56))),CsDJ[Credit])))+(SUM(IF((CRDJ[Date]=$A$4)*(CRDJ[Sort Code]=(TRIM(E$5)))*(CRDJ[Account Code]=(TRIM($B56))),CRDJ[Credit])))+(SUM(IF((GJ[Date]=$A$4)*(GJ[Sort Code]=(TRIM(E$5)))*(GJ[Account Code]=(TRIM($B56))),GJ[Credit]))))</f>
        <v>0</v>
      </c>
      <c r="E56" s="467">
        <f t="shared" ref="E56:E72" si="2">C56+D56</f>
        <v>0</v>
      </c>
    </row>
    <row r="57" spans="1:5" x14ac:dyDescent="0.2">
      <c r="A57" s="476" t="s">
        <v>201</v>
      </c>
      <c r="B57" s="339" t="s">
        <v>5</v>
      </c>
      <c r="C57" s="466">
        <f t="array" ref="C57">((SUM(IF((CkDJ[Sort Code]=(TRIM(E$5)))*(CkDJ[Account Code]=(TRIM($B57)))*(CkDJ[Date]&lt;=$C$8),CkDJ[Debit])))+(SUM(IF((CsDJ[Sort Code]=(TRIM(E$5)))*(CsDJ[Account Code]=(TRIM($B57)))*(CsDJ[Date]&lt;=$C$8),CsDJ[Debit])))+(SUM(IF((CRDJ[Sort Code]=(TRIM(E$5)))*(CRDJ[Account Code]=(TRIM($B57)))*(CRDJ[Date]&lt;=$C$8),CRDJ[Debit])))+(SUM(IF((GJ[Sort Code]=(TRIM(E$5)))*(GJ[Account Code]=(TRIM($B57)))*(GJ[Date]&lt;=$C$8),GJ[Debit]))))-((SUM(IF((CkDJ[Sort Code]=(TRIM(E$5)))*(CkDJ[Account Code]=(TRIM($B57)))*(CkDJ[Date]&lt;=$C$8),CkDJ[Credit])))+(SUM(IF((CsDJ[Sort Code]=(TRIM(E$5)))*(CsDJ[Account Code]=(TRIM($B57)))*(CsDJ[Date]&lt;=$C$8),CsDJ[Credit])))+(SUM(IF((CRDJ[Sort Code]=(TRIM(E$5)))*(CRDJ[Account Code]=(TRIM($B57)))*(CRDJ[Date]&lt;=$C$8),CRDJ[Credit])))+(SUM(IF((GJ[Sort Code]=(TRIM(E$5)))*(GJ[Account Code]=(TRIM($B57)))*(GJ[Date]&lt;=$C$8),GJ[Credit]))))</f>
        <v>0</v>
      </c>
      <c r="D57" s="466">
        <f t="array" ref="D57">((SUM(IF((CkDJ[Date]=$A$4)*(CkDJ[Sort Code]=(TRIM(E$5)))*(CkDJ[Account Code]=(TRIM($B57))),CkDJ[Debit])))+(SUM(IF((CsDJ[Date]=$A$4)*(CsDJ[Sort Code]=(TRIM(E$5)))*(CsDJ[Account Code]=(TRIM($B57))),CsDJ[Debit])))+(SUM(IF((CRDJ[Date]=$A$4)*(CRDJ[Sort Code]=(TRIM(E$5)))*(CRDJ[Account Code]=(TRIM($B57))),CRDJ[Debit])))+(SUM(IF((GJ[Date]=$A$4)*(GJ[Sort Code]=(TRIM(E$5)))*(GJ[Account Code]=(TRIM($B57))),GJ[Debit]))))-((SUM(IF((CkDJ[Date]=$A$4)*(CkDJ[Sort Code]=(TRIM(E$5)))*(CkDJ[Account Code]=(TRIM($B57))),CkDJ[Credit])))+(SUM(IF((CsDJ[Date]=$A$4)*(CsDJ[Sort Code]=(TRIM(E$5)))*(CsDJ[Account Code]=(TRIM($B57))),CsDJ[Credit])))+(SUM(IF((CRDJ[Date]=$A$4)*(CRDJ[Sort Code]=(TRIM(E$5)))*(CRDJ[Account Code]=(TRIM($B57))),CRDJ[Credit])))+(SUM(IF((GJ[Date]=$A$4)*(GJ[Sort Code]=(TRIM(E$5)))*(GJ[Account Code]=(TRIM($B57))),GJ[Credit]))))</f>
        <v>0</v>
      </c>
      <c r="E57" s="467">
        <f t="shared" si="2"/>
        <v>0</v>
      </c>
    </row>
    <row r="58" spans="1:5" x14ac:dyDescent="0.2">
      <c r="A58" s="476" t="s">
        <v>202</v>
      </c>
      <c r="B58" s="339" t="s">
        <v>6</v>
      </c>
      <c r="C58" s="466">
        <f t="array" ref="C58">((SUM(IF((CkDJ[Sort Code]=(TRIM(E$5)))*(CkDJ[Account Code]=(TRIM($B58)))*(CkDJ[Date]&lt;=$C$8),CkDJ[Debit])))+(SUM(IF((CsDJ[Sort Code]=(TRIM(E$5)))*(CsDJ[Account Code]=(TRIM($B58)))*(CsDJ[Date]&lt;=$C$8),CsDJ[Debit])))+(SUM(IF((CRDJ[Sort Code]=(TRIM(E$5)))*(CRDJ[Account Code]=(TRIM($B58)))*(CRDJ[Date]&lt;=$C$8),CRDJ[Debit])))+(SUM(IF((GJ[Sort Code]=(TRIM(E$5)))*(GJ[Account Code]=(TRIM($B58)))*(GJ[Date]&lt;=$C$8),GJ[Debit]))))-((SUM(IF((CkDJ[Sort Code]=(TRIM(E$5)))*(CkDJ[Account Code]=(TRIM($B58)))*(CkDJ[Date]&lt;=$C$8),CkDJ[Credit])))+(SUM(IF((CsDJ[Sort Code]=(TRIM(E$5)))*(CsDJ[Account Code]=(TRIM($B58)))*(CsDJ[Date]&lt;=$C$8),CsDJ[Credit])))+(SUM(IF((CRDJ[Sort Code]=(TRIM(E$5)))*(CRDJ[Account Code]=(TRIM($B58)))*(CRDJ[Date]&lt;=$C$8),CRDJ[Credit])))+(SUM(IF((GJ[Sort Code]=(TRIM(E$5)))*(GJ[Account Code]=(TRIM($B58)))*(GJ[Date]&lt;=$C$8),GJ[Credit]))))</f>
        <v>0</v>
      </c>
      <c r="D58" s="466">
        <f t="array" ref="D58">((SUM(IF((CkDJ[Date]=$A$4)*(CkDJ[Sort Code]=(TRIM(E$5)))*(CkDJ[Account Code]=(TRIM($B58))),CkDJ[Debit])))+(SUM(IF((CsDJ[Date]=$A$4)*(CsDJ[Sort Code]=(TRIM(E$5)))*(CsDJ[Account Code]=(TRIM($B58))),CsDJ[Debit])))+(SUM(IF((CRDJ[Date]=$A$4)*(CRDJ[Sort Code]=(TRIM(E$5)))*(CRDJ[Account Code]=(TRIM($B58))),CRDJ[Debit])))+(SUM(IF((GJ[Date]=$A$4)*(GJ[Sort Code]=(TRIM(E$5)))*(GJ[Account Code]=(TRIM($B58))),GJ[Debit]))))-((SUM(IF((CkDJ[Date]=$A$4)*(CkDJ[Sort Code]=(TRIM(E$5)))*(CkDJ[Account Code]=(TRIM($B58))),CkDJ[Credit])))+(SUM(IF((CsDJ[Date]=$A$4)*(CsDJ[Sort Code]=(TRIM(E$5)))*(CsDJ[Account Code]=(TRIM($B58))),CsDJ[Credit])))+(SUM(IF((CRDJ[Date]=$A$4)*(CRDJ[Sort Code]=(TRIM(E$5)))*(CRDJ[Account Code]=(TRIM($B58))),CRDJ[Credit])))+(SUM(IF((GJ[Date]=$A$4)*(GJ[Sort Code]=(TRIM(E$5)))*(GJ[Account Code]=(TRIM($B58))),GJ[Credit]))))</f>
        <v>0</v>
      </c>
      <c r="E58" s="467">
        <f t="shared" si="2"/>
        <v>0</v>
      </c>
    </row>
    <row r="59" spans="1:5" x14ac:dyDescent="0.2">
      <c r="A59" s="476" t="s">
        <v>203</v>
      </c>
      <c r="B59" s="339" t="s">
        <v>7</v>
      </c>
      <c r="C59" s="466">
        <f t="array" ref="C59">((SUM(IF((CkDJ[Sort Code]=(TRIM(E$5)))*(CkDJ[Account Code]=(TRIM($B59)))*(CkDJ[Date]&lt;=$C$8),CkDJ[Debit])))+(SUM(IF((CsDJ[Sort Code]=(TRIM(E$5)))*(CsDJ[Account Code]=(TRIM($B59)))*(CsDJ[Date]&lt;=$C$8),CsDJ[Debit])))+(SUM(IF((CRDJ[Sort Code]=(TRIM(E$5)))*(CRDJ[Account Code]=(TRIM($B59)))*(CRDJ[Date]&lt;=$C$8),CRDJ[Debit])))+(SUM(IF((GJ[Sort Code]=(TRIM(E$5)))*(GJ[Account Code]=(TRIM($B59)))*(GJ[Date]&lt;=$C$8),GJ[Debit]))))-((SUM(IF((CkDJ[Sort Code]=(TRIM(E$5)))*(CkDJ[Account Code]=(TRIM($B59)))*(CkDJ[Date]&lt;=$C$8),CkDJ[Credit])))+(SUM(IF((CsDJ[Sort Code]=(TRIM(E$5)))*(CsDJ[Account Code]=(TRIM($B59)))*(CsDJ[Date]&lt;=$C$8),CsDJ[Credit])))+(SUM(IF((CRDJ[Sort Code]=(TRIM(E$5)))*(CRDJ[Account Code]=(TRIM($B59)))*(CRDJ[Date]&lt;=$C$8),CRDJ[Credit])))+(SUM(IF((GJ[Sort Code]=(TRIM(E$5)))*(GJ[Account Code]=(TRIM($B59)))*(GJ[Date]&lt;=$C$8),GJ[Credit]))))</f>
        <v>0</v>
      </c>
      <c r="D59" s="466">
        <f t="array" ref="D59">((SUM(IF((CkDJ[Date]=$A$4)*(CkDJ[Sort Code]=(TRIM(E$5)))*(CkDJ[Account Code]=(TRIM($B59))),CkDJ[Debit])))+(SUM(IF((CsDJ[Date]=$A$4)*(CsDJ[Sort Code]=(TRIM(E$5)))*(CsDJ[Account Code]=(TRIM($B59))),CsDJ[Debit])))+(SUM(IF((CRDJ[Date]=$A$4)*(CRDJ[Sort Code]=(TRIM(E$5)))*(CRDJ[Account Code]=(TRIM($B59))),CRDJ[Debit])))+(SUM(IF((GJ[Date]=$A$4)*(GJ[Sort Code]=(TRIM(E$5)))*(GJ[Account Code]=(TRIM($B59))),GJ[Debit]))))-((SUM(IF((CkDJ[Date]=$A$4)*(CkDJ[Sort Code]=(TRIM(E$5)))*(CkDJ[Account Code]=(TRIM($B59))),CkDJ[Credit])))+(SUM(IF((CsDJ[Date]=$A$4)*(CsDJ[Sort Code]=(TRIM(E$5)))*(CsDJ[Account Code]=(TRIM($B59))),CsDJ[Credit])))+(SUM(IF((CRDJ[Date]=$A$4)*(CRDJ[Sort Code]=(TRIM(E$5)))*(CRDJ[Account Code]=(TRIM($B59))),CRDJ[Credit])))+(SUM(IF((GJ[Date]=$A$4)*(GJ[Sort Code]=(TRIM(E$5)))*(GJ[Account Code]=(TRIM($B59))),GJ[Credit]))))</f>
        <v>0</v>
      </c>
      <c r="E59" s="467">
        <f t="shared" si="2"/>
        <v>0</v>
      </c>
    </row>
    <row r="60" spans="1:5" x14ac:dyDescent="0.2">
      <c r="A60" s="476" t="s">
        <v>1378</v>
      </c>
      <c r="B60" s="339" t="s">
        <v>169</v>
      </c>
      <c r="C60" s="466">
        <f t="array" ref="C60">((SUM(IF((CkDJ[Sort Code]=(TRIM(E$5)))*(CkDJ[Account Code]=(TRIM($B60)))*(CkDJ[Date]&lt;=$C$8),CkDJ[Debit])))+(SUM(IF((CsDJ[Sort Code]=(TRIM(E$5)))*(CsDJ[Account Code]=(TRIM($B60)))*(CsDJ[Date]&lt;=$C$8),CsDJ[Debit])))+(SUM(IF((CRDJ[Sort Code]=(TRIM(E$5)))*(CRDJ[Account Code]=(TRIM($B60)))*(CRDJ[Date]&lt;=$C$8),CRDJ[Debit])))+(SUM(IF((GJ[Sort Code]=(TRIM(E$5)))*(GJ[Account Code]=(TRIM($B60)))*(GJ[Date]&lt;=$C$8),GJ[Debit]))))-((SUM(IF((CkDJ[Sort Code]=(TRIM(E$5)))*(CkDJ[Account Code]=(TRIM($B60)))*(CkDJ[Date]&lt;=$C$8),CkDJ[Credit])))+(SUM(IF((CsDJ[Sort Code]=(TRIM(E$5)))*(CsDJ[Account Code]=(TRIM($B60)))*(CsDJ[Date]&lt;=$C$8),CsDJ[Credit])))+(SUM(IF((CRDJ[Sort Code]=(TRIM(E$5)))*(CRDJ[Account Code]=(TRIM($B60)))*(CRDJ[Date]&lt;=$C$8),CRDJ[Credit])))+(SUM(IF((GJ[Sort Code]=(TRIM(E$5)))*(GJ[Account Code]=(TRIM($B60)))*(GJ[Date]&lt;=$C$8),GJ[Credit]))))</f>
        <v>0</v>
      </c>
      <c r="D60" s="466">
        <f t="array" ref="D60">((SUM(IF((CkDJ[Date]=$A$4)*(CkDJ[Sort Code]=(TRIM(E$5)))*(CkDJ[Account Code]=(TRIM($B60))),CkDJ[Debit])))+(SUM(IF((CsDJ[Date]=$A$4)*(CsDJ[Sort Code]=(TRIM(E$5)))*(CsDJ[Account Code]=(TRIM($B60))),CsDJ[Debit])))+(SUM(IF((CRDJ[Date]=$A$4)*(CRDJ[Sort Code]=(TRIM(E$5)))*(CRDJ[Account Code]=(TRIM($B60))),CRDJ[Debit])))+(SUM(IF((GJ[Date]=$A$4)*(GJ[Sort Code]=(TRIM(E$5)))*(GJ[Account Code]=(TRIM($B60))),GJ[Debit]))))-((SUM(IF((CkDJ[Date]=$A$4)*(CkDJ[Sort Code]=(TRIM(E$5)))*(CkDJ[Account Code]=(TRIM($B60))),CkDJ[Credit])))+(SUM(IF((CsDJ[Date]=$A$4)*(CsDJ[Sort Code]=(TRIM(E$5)))*(CsDJ[Account Code]=(TRIM($B60))),CsDJ[Credit])))+(SUM(IF((CRDJ[Date]=$A$4)*(CRDJ[Sort Code]=(TRIM(E$5)))*(CRDJ[Account Code]=(TRIM($B60))),CRDJ[Credit])))+(SUM(IF((GJ[Date]=$A$4)*(GJ[Sort Code]=(TRIM(E$5)))*(GJ[Account Code]=(TRIM($B60))),GJ[Credit]))))</f>
        <v>0</v>
      </c>
      <c r="E60" s="467">
        <f>C60+D60</f>
        <v>0</v>
      </c>
    </row>
    <row r="61" spans="1:5" x14ac:dyDescent="0.2">
      <c r="A61" s="476" t="s">
        <v>1474</v>
      </c>
      <c r="B61" s="339" t="s">
        <v>170</v>
      </c>
      <c r="C61" s="466">
        <f t="array" ref="C61">((SUM(IF((CkDJ[Sort Code]=(TRIM(E$5)))*(CkDJ[Account Code]=(TRIM($B61)))*(CkDJ[Date]&lt;=$C$8),CkDJ[Debit])))+(SUM(IF((CsDJ[Sort Code]=(TRIM(E$5)))*(CsDJ[Account Code]=(TRIM($B61)))*(CsDJ[Date]&lt;=$C$8),CsDJ[Debit])))+(SUM(IF((CRDJ[Sort Code]=(TRIM(E$5)))*(CRDJ[Account Code]=(TRIM($B61)))*(CRDJ[Date]&lt;=$C$8),CRDJ[Debit])))+(SUM(IF((GJ[Sort Code]=(TRIM(E$5)))*(GJ[Account Code]=(TRIM($B61)))*(GJ[Date]&lt;=$C$8),GJ[Debit]))))-((SUM(IF((CkDJ[Sort Code]=(TRIM(E$5)))*(CkDJ[Account Code]=(TRIM($B61)))*(CkDJ[Date]&lt;=$C$8),CkDJ[Credit])))+(SUM(IF((CsDJ[Sort Code]=(TRIM(E$5)))*(CsDJ[Account Code]=(TRIM($B61)))*(CsDJ[Date]&lt;=$C$8),CsDJ[Credit])))+(SUM(IF((CRDJ[Sort Code]=(TRIM(E$5)))*(CRDJ[Account Code]=(TRIM($B61)))*(CRDJ[Date]&lt;=$C$8),CRDJ[Credit])))+(SUM(IF((GJ[Sort Code]=(TRIM(E$5)))*(GJ[Account Code]=(TRIM($B61)))*(GJ[Date]&lt;=$C$8),GJ[Credit]))))</f>
        <v>0</v>
      </c>
      <c r="D61" s="466">
        <f t="array" ref="D61">((SUM(IF((CkDJ[Date]=$A$4)*(CkDJ[Sort Code]=(TRIM(E$5)))*(CkDJ[Account Code]=(TRIM($B61))),CkDJ[Debit])))+(SUM(IF((CsDJ[Date]=$A$4)*(CsDJ[Sort Code]=(TRIM(E$5)))*(CsDJ[Account Code]=(TRIM($B61))),CsDJ[Debit])))+(SUM(IF((CRDJ[Date]=$A$4)*(CRDJ[Sort Code]=(TRIM(E$5)))*(CRDJ[Account Code]=(TRIM($B61))),CRDJ[Debit])))+(SUM(IF((GJ[Date]=$A$4)*(GJ[Sort Code]=(TRIM(E$5)))*(GJ[Account Code]=(TRIM($B61))),GJ[Debit]))))-((SUM(IF((CkDJ[Date]=$A$4)*(CkDJ[Sort Code]=(TRIM(E$5)))*(CkDJ[Account Code]=(TRIM($B61))),CkDJ[Credit])))+(SUM(IF((CsDJ[Date]=$A$4)*(CsDJ[Sort Code]=(TRIM(E$5)))*(CsDJ[Account Code]=(TRIM($B61))),CsDJ[Credit])))+(SUM(IF((CRDJ[Date]=$A$4)*(CRDJ[Sort Code]=(TRIM(E$5)))*(CRDJ[Account Code]=(TRIM($B61))),CRDJ[Credit])))+(SUM(IF((GJ[Date]=$A$4)*(GJ[Sort Code]=(TRIM(E$5)))*(GJ[Account Code]=(TRIM($B61))),GJ[Credit]))))</f>
        <v>0</v>
      </c>
      <c r="E61" s="467">
        <f>C61+D61</f>
        <v>0</v>
      </c>
    </row>
    <row r="62" spans="1:5" x14ac:dyDescent="0.2">
      <c r="A62" s="476" t="s">
        <v>206</v>
      </c>
      <c r="B62" s="339" t="s">
        <v>173</v>
      </c>
      <c r="C62" s="466">
        <f t="array" ref="C62">((SUM(IF((CkDJ[Sort Code]=(TRIM(E$5)))*(CkDJ[Account Code]=(TRIM($B62)))*(CkDJ[Date]&lt;=$C$8),CkDJ[Debit])))+(SUM(IF((CsDJ[Sort Code]=(TRIM(E$5)))*(CsDJ[Account Code]=(TRIM($B62)))*(CsDJ[Date]&lt;=$C$8),CsDJ[Debit])))+(SUM(IF((CRDJ[Sort Code]=(TRIM(E$5)))*(CRDJ[Account Code]=(TRIM($B62)))*(CRDJ[Date]&lt;=$C$8),CRDJ[Debit])))+(SUM(IF((GJ[Sort Code]=(TRIM(E$5)))*(GJ[Account Code]=(TRIM($B62)))*(GJ[Date]&lt;=$C$8),GJ[Debit]))))-((SUM(IF((CkDJ[Sort Code]=(TRIM(E$5)))*(CkDJ[Account Code]=(TRIM($B62)))*(CkDJ[Date]&lt;=$C$8),CkDJ[Credit])))+(SUM(IF((CsDJ[Sort Code]=(TRIM(E$5)))*(CsDJ[Account Code]=(TRIM($B62)))*(CsDJ[Date]&lt;=$C$8),CsDJ[Credit])))+(SUM(IF((CRDJ[Sort Code]=(TRIM(E$5)))*(CRDJ[Account Code]=(TRIM($B62)))*(CRDJ[Date]&lt;=$C$8),CRDJ[Credit])))+(SUM(IF((GJ[Sort Code]=(TRIM(E$5)))*(GJ[Account Code]=(TRIM($B62)))*(GJ[Date]&lt;=$C$8),GJ[Credit]))))</f>
        <v>0</v>
      </c>
      <c r="D62" s="466">
        <f t="array" ref="D62">((SUM(IF((CkDJ[Date]=$A$4)*(CkDJ[Sort Code]=(TRIM(E$5)))*(CkDJ[Account Code]=(TRIM($B62))),CkDJ[Debit])))+(SUM(IF((CsDJ[Date]=$A$4)*(CsDJ[Sort Code]=(TRIM(E$5)))*(CsDJ[Account Code]=(TRIM($B62))),CsDJ[Debit])))+(SUM(IF((CRDJ[Date]=$A$4)*(CRDJ[Sort Code]=(TRIM(E$5)))*(CRDJ[Account Code]=(TRIM($B62))),CRDJ[Debit])))+(SUM(IF((GJ[Date]=$A$4)*(GJ[Sort Code]=(TRIM(E$5)))*(GJ[Account Code]=(TRIM($B62))),GJ[Debit]))))-((SUM(IF((CkDJ[Date]=$A$4)*(CkDJ[Sort Code]=(TRIM(E$5)))*(CkDJ[Account Code]=(TRIM($B62))),CkDJ[Credit])))+(SUM(IF((CsDJ[Date]=$A$4)*(CsDJ[Sort Code]=(TRIM(E$5)))*(CsDJ[Account Code]=(TRIM($B62))),CsDJ[Credit])))+(SUM(IF((CRDJ[Date]=$A$4)*(CRDJ[Sort Code]=(TRIM(E$5)))*(CRDJ[Account Code]=(TRIM($B62))),CRDJ[Credit])))+(SUM(IF((GJ[Date]=$A$4)*(GJ[Sort Code]=(TRIM(E$5)))*(GJ[Account Code]=(TRIM($B62))),GJ[Credit]))))</f>
        <v>0</v>
      </c>
      <c r="E62" s="467">
        <f t="shared" si="2"/>
        <v>0</v>
      </c>
    </row>
    <row r="63" spans="1:5" x14ac:dyDescent="0.2">
      <c r="A63" s="476" t="s">
        <v>354</v>
      </c>
      <c r="B63" s="339" t="s">
        <v>216</v>
      </c>
      <c r="C63" s="466">
        <f t="array" ref="C63">((SUM(IF((CkDJ[Sort Code]=(TRIM(E$5)))*(CkDJ[Account Code]=(TRIM($B63)))*(CkDJ[Date]&lt;=$C$8),CkDJ[Debit])))+(SUM(IF((CsDJ[Sort Code]=(TRIM(E$5)))*(CsDJ[Account Code]=(TRIM($B63)))*(CsDJ[Date]&lt;=$C$8),CsDJ[Debit])))+(SUM(IF((CRDJ[Sort Code]=(TRIM(E$5)))*(CRDJ[Account Code]=(TRIM($B63)))*(CRDJ[Date]&lt;=$C$8),CRDJ[Debit])))+(SUM(IF((GJ[Sort Code]=(TRIM(E$5)))*(GJ[Account Code]=(TRIM($B63)))*(GJ[Date]&lt;=$C$8),GJ[Debit]))))-((SUM(IF((CkDJ[Sort Code]=(TRIM(E$5)))*(CkDJ[Account Code]=(TRIM($B63)))*(CkDJ[Date]&lt;=$C$8),CkDJ[Credit])))+(SUM(IF((CsDJ[Sort Code]=(TRIM(E$5)))*(CsDJ[Account Code]=(TRIM($B63)))*(CsDJ[Date]&lt;=$C$8),CsDJ[Credit])))+(SUM(IF((CRDJ[Sort Code]=(TRIM(E$5)))*(CRDJ[Account Code]=(TRIM($B63)))*(CRDJ[Date]&lt;=$C$8),CRDJ[Credit])))+(SUM(IF((GJ[Sort Code]=(TRIM(E$5)))*(GJ[Account Code]=(TRIM($B63)))*(GJ[Date]&lt;=$C$8),GJ[Credit]))))</f>
        <v>0</v>
      </c>
      <c r="D63" s="466">
        <f t="array" ref="D63">((SUM(IF((CkDJ[Date]=$A$4)*(CkDJ[Sort Code]=(TRIM(E$5)))*(CkDJ[Account Code]=(TRIM($B63))),CkDJ[Debit])))+(SUM(IF((CsDJ[Date]=$A$4)*(CsDJ[Sort Code]=(TRIM(E$5)))*(CsDJ[Account Code]=(TRIM($B63))),CsDJ[Debit])))+(SUM(IF((CRDJ[Date]=$A$4)*(CRDJ[Sort Code]=(TRIM(E$5)))*(CRDJ[Account Code]=(TRIM($B63))),CRDJ[Debit])))+(SUM(IF((GJ[Date]=$A$4)*(GJ[Sort Code]=(TRIM(E$5)))*(GJ[Account Code]=(TRIM($B63))),GJ[Debit]))))-((SUM(IF((CkDJ[Date]=$A$4)*(CkDJ[Sort Code]=(TRIM(E$5)))*(CkDJ[Account Code]=(TRIM($B63))),CkDJ[Credit])))+(SUM(IF((CsDJ[Date]=$A$4)*(CsDJ[Sort Code]=(TRIM(E$5)))*(CsDJ[Account Code]=(TRIM($B63))),CsDJ[Credit])))+(SUM(IF((CRDJ[Date]=$A$4)*(CRDJ[Sort Code]=(TRIM(E$5)))*(CRDJ[Account Code]=(TRIM($B63))),CRDJ[Credit])))+(SUM(IF((GJ[Date]=$A$4)*(GJ[Sort Code]=(TRIM(E$5)))*(GJ[Account Code]=(TRIM($B63))),GJ[Credit]))))</f>
        <v>0</v>
      </c>
      <c r="E63" s="467">
        <f t="shared" si="2"/>
        <v>0</v>
      </c>
    </row>
    <row r="64" spans="1:5" x14ac:dyDescent="0.2">
      <c r="A64" s="476" t="s">
        <v>219</v>
      </c>
      <c r="B64" s="339" t="s">
        <v>214</v>
      </c>
      <c r="C64" s="466">
        <f t="array" ref="C64">((SUM(IF((CkDJ[Sort Code]=(TRIM(E$5)))*(CkDJ[Account Code]=(TRIM($B64)))*(CkDJ[Date]&lt;=$C$8),CkDJ[Debit])))+(SUM(IF((CsDJ[Sort Code]=(TRIM(E$5)))*(CsDJ[Account Code]=(TRIM($B64)))*(CsDJ[Date]&lt;=$C$8),CsDJ[Debit])))+(SUM(IF((CRDJ[Sort Code]=(TRIM(E$5)))*(CRDJ[Account Code]=(TRIM($B64)))*(CRDJ[Date]&lt;=$C$8),CRDJ[Debit])))+(SUM(IF((GJ[Sort Code]=(TRIM(E$5)))*(GJ[Account Code]=(TRIM($B64)))*(GJ[Date]&lt;=$C$8),GJ[Debit]))))-((SUM(IF((CkDJ[Sort Code]=(TRIM(E$5)))*(CkDJ[Account Code]=(TRIM($B64)))*(CkDJ[Date]&lt;=$C$8),CkDJ[Credit])))+(SUM(IF((CsDJ[Sort Code]=(TRIM(E$5)))*(CsDJ[Account Code]=(TRIM($B64)))*(CsDJ[Date]&lt;=$C$8),CsDJ[Credit])))+(SUM(IF((CRDJ[Sort Code]=(TRIM(E$5)))*(CRDJ[Account Code]=(TRIM($B64)))*(CRDJ[Date]&lt;=$C$8),CRDJ[Credit])))+(SUM(IF((GJ[Sort Code]=(TRIM(E$5)))*(GJ[Account Code]=(TRIM($B64)))*(GJ[Date]&lt;=$C$8),GJ[Credit]))))</f>
        <v>0</v>
      </c>
      <c r="D64" s="466">
        <f t="array" ref="D64">((SUM(IF((CkDJ[Date]=$A$4)*(CkDJ[Sort Code]=(TRIM(E$5)))*(CkDJ[Account Code]=(TRIM($B64))),CkDJ[Debit])))+(SUM(IF((CsDJ[Date]=$A$4)*(CsDJ[Sort Code]=(TRIM(E$5)))*(CsDJ[Account Code]=(TRIM($B64))),CsDJ[Debit])))+(SUM(IF((CRDJ[Date]=$A$4)*(CRDJ[Sort Code]=(TRIM(E$5)))*(CRDJ[Account Code]=(TRIM($B64))),CRDJ[Debit])))+(SUM(IF((GJ[Date]=$A$4)*(GJ[Sort Code]=(TRIM(E$5)))*(GJ[Account Code]=(TRIM($B64))),GJ[Debit]))))-((SUM(IF((CkDJ[Date]=$A$4)*(CkDJ[Sort Code]=(TRIM(E$5)))*(CkDJ[Account Code]=(TRIM($B64))),CkDJ[Credit])))+(SUM(IF((CsDJ[Date]=$A$4)*(CsDJ[Sort Code]=(TRIM(E$5)))*(CsDJ[Account Code]=(TRIM($B64))),CsDJ[Credit])))+(SUM(IF((CRDJ[Date]=$A$4)*(CRDJ[Sort Code]=(TRIM(E$5)))*(CRDJ[Account Code]=(TRIM($B64))),CRDJ[Credit])))+(SUM(IF((GJ[Date]=$A$4)*(GJ[Sort Code]=(TRIM(E$5)))*(GJ[Account Code]=(TRIM($B64))),GJ[Credit]))))</f>
        <v>0</v>
      </c>
      <c r="E64" s="467">
        <f t="shared" si="2"/>
        <v>0</v>
      </c>
    </row>
    <row r="65" spans="1:5" x14ac:dyDescent="0.2">
      <c r="A65" s="476" t="s">
        <v>205</v>
      </c>
      <c r="B65" s="339" t="s">
        <v>172</v>
      </c>
      <c r="C65" s="466">
        <f t="array" ref="C65">((SUM(IF((CkDJ[Sort Code]=(TRIM(E$5)))*(CkDJ[Account Code]=(TRIM($B65)))*(CkDJ[Date]&lt;=$C$8),CkDJ[Debit])))+(SUM(IF((CsDJ[Sort Code]=(TRIM(E$5)))*(CsDJ[Account Code]=(TRIM($B65)))*(CsDJ[Date]&lt;=$C$8),CsDJ[Debit])))+(SUM(IF((CRDJ[Sort Code]=(TRIM(E$5)))*(CRDJ[Account Code]=(TRIM($B65)))*(CRDJ[Date]&lt;=$C$8),CRDJ[Debit])))+(SUM(IF((GJ[Sort Code]=(TRIM(E$5)))*(GJ[Account Code]=(TRIM($B65)))*(GJ[Date]&lt;=$C$8),GJ[Debit]))))-((SUM(IF((CkDJ[Sort Code]=(TRIM(E$5)))*(CkDJ[Account Code]=(TRIM($B65)))*(CkDJ[Date]&lt;=$C$8),CkDJ[Credit])))+(SUM(IF((CsDJ[Sort Code]=(TRIM(E$5)))*(CsDJ[Account Code]=(TRIM($B65)))*(CsDJ[Date]&lt;=$C$8),CsDJ[Credit])))+(SUM(IF((CRDJ[Sort Code]=(TRIM(E$5)))*(CRDJ[Account Code]=(TRIM($B65)))*(CRDJ[Date]&lt;=$C$8),CRDJ[Credit])))+(SUM(IF((GJ[Sort Code]=(TRIM(E$5)))*(GJ[Account Code]=(TRIM($B65)))*(GJ[Date]&lt;=$C$8),GJ[Credit]))))</f>
        <v>0</v>
      </c>
      <c r="D65" s="466">
        <f t="array" ref="D65">((SUM(IF((CkDJ[Date]=$A$4)*(CkDJ[Sort Code]=(TRIM(E$5)))*(CkDJ[Account Code]=(TRIM($B65))),CkDJ[Debit])))+(SUM(IF((CsDJ[Date]=$A$4)*(CsDJ[Sort Code]=(TRIM(E$5)))*(CsDJ[Account Code]=(TRIM($B65))),CsDJ[Debit])))+(SUM(IF((CRDJ[Date]=$A$4)*(CRDJ[Sort Code]=(TRIM(E$5)))*(CRDJ[Account Code]=(TRIM($B65))),CRDJ[Debit])))+(SUM(IF((GJ[Date]=$A$4)*(GJ[Sort Code]=(TRIM(E$5)))*(GJ[Account Code]=(TRIM($B65))),GJ[Debit]))))-((SUM(IF((CkDJ[Date]=$A$4)*(CkDJ[Sort Code]=(TRIM(E$5)))*(CkDJ[Account Code]=(TRIM($B65))),CkDJ[Credit])))+(SUM(IF((CsDJ[Date]=$A$4)*(CsDJ[Sort Code]=(TRIM(E$5)))*(CsDJ[Account Code]=(TRIM($B65))),CsDJ[Credit])))+(SUM(IF((CRDJ[Date]=$A$4)*(CRDJ[Sort Code]=(TRIM(E$5)))*(CRDJ[Account Code]=(TRIM($B65))),CRDJ[Credit])))+(SUM(IF((GJ[Date]=$A$4)*(GJ[Sort Code]=(TRIM(E$5)))*(GJ[Account Code]=(TRIM($B65))),GJ[Credit]))))</f>
        <v>0</v>
      </c>
      <c r="E65" s="467">
        <f t="shared" si="2"/>
        <v>0</v>
      </c>
    </row>
    <row r="66" spans="1:5" x14ac:dyDescent="0.2">
      <c r="A66" s="476" t="s">
        <v>207</v>
      </c>
      <c r="B66" s="339" t="s">
        <v>174</v>
      </c>
      <c r="C66" s="466">
        <f t="array" ref="C66">((SUM(IF((CkDJ[Sort Code]=(TRIM(E$5)))*(CkDJ[Account Code]=(TRIM($B66)))*(CkDJ[Date]&lt;=$C$8),CkDJ[Debit])))+(SUM(IF((CsDJ[Sort Code]=(TRIM(E$5)))*(CsDJ[Account Code]=(TRIM($B66)))*(CsDJ[Date]&lt;=$C$8),CsDJ[Debit])))+(SUM(IF((CRDJ[Sort Code]=(TRIM(E$5)))*(CRDJ[Account Code]=(TRIM($B66)))*(CRDJ[Date]&lt;=$C$8),CRDJ[Debit])))+(SUM(IF((GJ[Sort Code]=(TRIM(E$5)))*(GJ[Account Code]=(TRIM($B66)))*(GJ[Date]&lt;=$C$8),GJ[Debit]))))-((SUM(IF((CkDJ[Sort Code]=(TRIM(E$5)))*(CkDJ[Account Code]=(TRIM($B66)))*(CkDJ[Date]&lt;=$C$8),CkDJ[Credit])))+(SUM(IF((CsDJ[Sort Code]=(TRIM(E$5)))*(CsDJ[Account Code]=(TRIM($B66)))*(CsDJ[Date]&lt;=$C$8),CsDJ[Credit])))+(SUM(IF((CRDJ[Sort Code]=(TRIM(E$5)))*(CRDJ[Account Code]=(TRIM($B66)))*(CRDJ[Date]&lt;=$C$8),CRDJ[Credit])))+(SUM(IF((GJ[Sort Code]=(TRIM(E$5)))*(GJ[Account Code]=(TRIM($B66)))*(GJ[Date]&lt;=$C$8),GJ[Credit]))))</f>
        <v>0</v>
      </c>
      <c r="D66" s="466">
        <f t="array" ref="D66">((SUM(IF((CkDJ[Date]=$A$4)*(CkDJ[Sort Code]=(TRIM(E$5)))*(CkDJ[Account Code]=(TRIM($B66))),CkDJ[Debit])))+(SUM(IF((CsDJ[Date]=$A$4)*(CsDJ[Sort Code]=(TRIM(E$5)))*(CsDJ[Account Code]=(TRIM($B66))),CsDJ[Debit])))+(SUM(IF((CRDJ[Date]=$A$4)*(CRDJ[Sort Code]=(TRIM(E$5)))*(CRDJ[Account Code]=(TRIM($B66))),CRDJ[Debit])))+(SUM(IF((GJ[Date]=$A$4)*(GJ[Sort Code]=(TRIM(E$5)))*(GJ[Account Code]=(TRIM($B66))),GJ[Debit]))))-((SUM(IF((CkDJ[Date]=$A$4)*(CkDJ[Sort Code]=(TRIM(E$5)))*(CkDJ[Account Code]=(TRIM($B66))),CkDJ[Credit])))+(SUM(IF((CsDJ[Date]=$A$4)*(CsDJ[Sort Code]=(TRIM(E$5)))*(CsDJ[Account Code]=(TRIM($B66))),CsDJ[Credit])))+(SUM(IF((CRDJ[Date]=$A$4)*(CRDJ[Sort Code]=(TRIM(E$5)))*(CRDJ[Account Code]=(TRIM($B66))),CRDJ[Credit])))+(SUM(IF((GJ[Date]=$A$4)*(GJ[Sort Code]=(TRIM(E$5)))*(GJ[Account Code]=(TRIM($B66))),GJ[Credit]))))</f>
        <v>0</v>
      </c>
      <c r="E66" s="467">
        <f t="shared" si="2"/>
        <v>0</v>
      </c>
    </row>
    <row r="67" spans="1:5" x14ac:dyDescent="0.2">
      <c r="A67" s="476" t="s">
        <v>208</v>
      </c>
      <c r="B67" s="339" t="s">
        <v>175</v>
      </c>
      <c r="C67" s="466">
        <f t="array" ref="C67">((SUM(IF((CkDJ[Sort Code]=(TRIM(E$5)))*(CkDJ[Account Code]=(TRIM($B67)))*(CkDJ[Date]&lt;=$C$8),CkDJ[Debit])))+(SUM(IF((CsDJ[Sort Code]=(TRIM(E$5)))*(CsDJ[Account Code]=(TRIM($B67)))*(CsDJ[Date]&lt;=$C$8),CsDJ[Debit])))+(SUM(IF((CRDJ[Sort Code]=(TRIM(E$5)))*(CRDJ[Account Code]=(TRIM($B67)))*(CRDJ[Date]&lt;=$C$8),CRDJ[Debit])))+(SUM(IF((GJ[Sort Code]=(TRIM(E$5)))*(GJ[Account Code]=(TRIM($B67)))*(GJ[Date]&lt;=$C$8),GJ[Debit]))))-((SUM(IF((CkDJ[Sort Code]=(TRIM(E$5)))*(CkDJ[Account Code]=(TRIM($B67)))*(CkDJ[Date]&lt;=$C$8),CkDJ[Credit])))+(SUM(IF((CsDJ[Sort Code]=(TRIM(E$5)))*(CsDJ[Account Code]=(TRIM($B67)))*(CsDJ[Date]&lt;=$C$8),CsDJ[Credit])))+(SUM(IF((CRDJ[Sort Code]=(TRIM(E$5)))*(CRDJ[Account Code]=(TRIM($B67)))*(CRDJ[Date]&lt;=$C$8),CRDJ[Credit])))+(SUM(IF((GJ[Sort Code]=(TRIM(E$5)))*(GJ[Account Code]=(TRIM($B67)))*(GJ[Date]&lt;=$C$8),GJ[Credit]))))</f>
        <v>0</v>
      </c>
      <c r="D67" s="466">
        <f t="array" ref="D67">((SUM(IF((CkDJ[Date]=$A$4)*(CkDJ[Sort Code]=(TRIM(E$5)))*(CkDJ[Account Code]=(TRIM($B67))),CkDJ[Debit])))+(SUM(IF((CsDJ[Date]=$A$4)*(CsDJ[Sort Code]=(TRIM(E$5)))*(CsDJ[Account Code]=(TRIM($B67))),CsDJ[Debit])))+(SUM(IF((CRDJ[Date]=$A$4)*(CRDJ[Sort Code]=(TRIM(E$5)))*(CRDJ[Account Code]=(TRIM($B67))),CRDJ[Debit])))+(SUM(IF((GJ[Date]=$A$4)*(GJ[Sort Code]=(TRIM(E$5)))*(GJ[Account Code]=(TRIM($B67))),GJ[Debit]))))-((SUM(IF((CkDJ[Date]=$A$4)*(CkDJ[Sort Code]=(TRIM(E$5)))*(CkDJ[Account Code]=(TRIM($B67))),CkDJ[Credit])))+(SUM(IF((CsDJ[Date]=$A$4)*(CsDJ[Sort Code]=(TRIM(E$5)))*(CsDJ[Account Code]=(TRIM($B67))),CsDJ[Credit])))+(SUM(IF((CRDJ[Date]=$A$4)*(CRDJ[Sort Code]=(TRIM(E$5)))*(CRDJ[Account Code]=(TRIM($B67))),CRDJ[Credit])))+(SUM(IF((GJ[Date]=$A$4)*(GJ[Sort Code]=(TRIM(E$5)))*(GJ[Account Code]=(TRIM($B67))),GJ[Credit]))))</f>
        <v>0</v>
      </c>
      <c r="E67" s="467">
        <f t="shared" si="2"/>
        <v>0</v>
      </c>
    </row>
    <row r="68" spans="1:5" x14ac:dyDescent="0.2">
      <c r="A68" s="476" t="s">
        <v>209</v>
      </c>
      <c r="B68" s="339" t="s">
        <v>176</v>
      </c>
      <c r="C68" s="466">
        <f t="array" ref="C68">((SUM(IF((CkDJ[Sort Code]=(TRIM(E$5)))*(CkDJ[Account Code]=(TRIM($B68)))*(CkDJ[Date]&lt;=$C$8),CkDJ[Debit])))+(SUM(IF((CsDJ[Sort Code]=(TRIM(E$5)))*(CsDJ[Account Code]=(TRIM($B68)))*(CsDJ[Date]&lt;=$C$8),CsDJ[Debit])))+(SUM(IF((CRDJ[Sort Code]=(TRIM(E$5)))*(CRDJ[Account Code]=(TRIM($B68)))*(CRDJ[Date]&lt;=$C$8),CRDJ[Debit])))+(SUM(IF((GJ[Sort Code]=(TRIM(E$5)))*(GJ[Account Code]=(TRIM($B68)))*(GJ[Date]&lt;=$C$8),GJ[Debit]))))-((SUM(IF((CkDJ[Sort Code]=(TRIM(E$5)))*(CkDJ[Account Code]=(TRIM($B68)))*(CkDJ[Date]&lt;=$C$8),CkDJ[Credit])))+(SUM(IF((CsDJ[Sort Code]=(TRIM(E$5)))*(CsDJ[Account Code]=(TRIM($B68)))*(CsDJ[Date]&lt;=$C$8),CsDJ[Credit])))+(SUM(IF((CRDJ[Sort Code]=(TRIM(E$5)))*(CRDJ[Account Code]=(TRIM($B68)))*(CRDJ[Date]&lt;=$C$8),CRDJ[Credit])))+(SUM(IF((GJ[Sort Code]=(TRIM(E$5)))*(GJ[Account Code]=(TRIM($B68)))*(GJ[Date]&lt;=$C$8),GJ[Credit]))))</f>
        <v>0</v>
      </c>
      <c r="D68" s="466">
        <f t="array" ref="D68">((SUM(IF((CkDJ[Date]=$A$4)*(CkDJ[Sort Code]=(TRIM(E$5)))*(CkDJ[Account Code]=(TRIM($B68))),CkDJ[Debit])))+(SUM(IF((CsDJ[Date]=$A$4)*(CsDJ[Sort Code]=(TRIM(E$5)))*(CsDJ[Account Code]=(TRIM($B68))),CsDJ[Debit])))+(SUM(IF((CRDJ[Date]=$A$4)*(CRDJ[Sort Code]=(TRIM(E$5)))*(CRDJ[Account Code]=(TRIM($B68))),CRDJ[Debit])))+(SUM(IF((GJ[Date]=$A$4)*(GJ[Sort Code]=(TRIM(E$5)))*(GJ[Account Code]=(TRIM($B68))),GJ[Debit]))))-((SUM(IF((CkDJ[Date]=$A$4)*(CkDJ[Sort Code]=(TRIM(E$5)))*(CkDJ[Account Code]=(TRIM($B68))),CkDJ[Credit])))+(SUM(IF((CsDJ[Date]=$A$4)*(CsDJ[Sort Code]=(TRIM(E$5)))*(CsDJ[Account Code]=(TRIM($B68))),CsDJ[Credit])))+(SUM(IF((CRDJ[Date]=$A$4)*(CRDJ[Sort Code]=(TRIM(E$5)))*(CRDJ[Account Code]=(TRIM($B68))),CRDJ[Credit])))+(SUM(IF((GJ[Date]=$A$4)*(GJ[Sort Code]=(TRIM(E$5)))*(GJ[Account Code]=(TRIM($B68))),GJ[Credit]))))</f>
        <v>0</v>
      </c>
      <c r="E68" s="467">
        <f t="shared" si="2"/>
        <v>0</v>
      </c>
    </row>
    <row r="69" spans="1:5" x14ac:dyDescent="0.2">
      <c r="A69" s="476" t="s">
        <v>210</v>
      </c>
      <c r="B69" s="339" t="s">
        <v>177</v>
      </c>
      <c r="C69" s="466">
        <f t="array" ref="C69">((SUM(IF((CkDJ[Sort Code]=(TRIM(E$5)))*(CkDJ[Account Code]=(TRIM($B69)))*(CkDJ[Date]&lt;=$C$8),CkDJ[Debit])))+(SUM(IF((CsDJ[Sort Code]=(TRIM(E$5)))*(CsDJ[Account Code]=(TRIM($B69)))*(CsDJ[Date]&lt;=$C$8),CsDJ[Debit])))+(SUM(IF((CRDJ[Sort Code]=(TRIM(E$5)))*(CRDJ[Account Code]=(TRIM($B69)))*(CRDJ[Date]&lt;=$C$8),CRDJ[Debit])))+(SUM(IF((GJ[Sort Code]=(TRIM(E$5)))*(GJ[Account Code]=(TRIM($B69)))*(GJ[Date]&lt;=$C$8),GJ[Debit]))))-((SUM(IF((CkDJ[Sort Code]=(TRIM(E$5)))*(CkDJ[Account Code]=(TRIM($B69)))*(CkDJ[Date]&lt;=$C$8),CkDJ[Credit])))+(SUM(IF((CsDJ[Sort Code]=(TRIM(E$5)))*(CsDJ[Account Code]=(TRIM($B69)))*(CsDJ[Date]&lt;=$C$8),CsDJ[Credit])))+(SUM(IF((CRDJ[Sort Code]=(TRIM(E$5)))*(CRDJ[Account Code]=(TRIM($B69)))*(CRDJ[Date]&lt;=$C$8),CRDJ[Credit])))+(SUM(IF((GJ[Sort Code]=(TRIM(E$5)))*(GJ[Account Code]=(TRIM($B69)))*(GJ[Date]&lt;=$C$8),GJ[Credit]))))</f>
        <v>0</v>
      </c>
      <c r="D69" s="466">
        <f t="array" ref="D69">((SUM(IF((CkDJ[Date]=$A$4)*(CkDJ[Sort Code]=(TRIM(E$5)))*(CkDJ[Account Code]=(TRIM($B69))),CkDJ[Debit])))+(SUM(IF((CsDJ[Date]=$A$4)*(CsDJ[Sort Code]=(TRIM(E$5)))*(CsDJ[Account Code]=(TRIM($B69))),CsDJ[Debit])))+(SUM(IF((CRDJ[Date]=$A$4)*(CRDJ[Sort Code]=(TRIM(E$5)))*(CRDJ[Account Code]=(TRIM($B69))),CRDJ[Debit])))+(SUM(IF((GJ[Date]=$A$4)*(GJ[Sort Code]=(TRIM(E$5)))*(GJ[Account Code]=(TRIM($B69))),GJ[Debit]))))-((SUM(IF((CkDJ[Date]=$A$4)*(CkDJ[Sort Code]=(TRIM(E$5)))*(CkDJ[Account Code]=(TRIM($B69))),CkDJ[Credit])))+(SUM(IF((CsDJ[Date]=$A$4)*(CsDJ[Sort Code]=(TRIM(E$5)))*(CsDJ[Account Code]=(TRIM($B69))),CsDJ[Credit])))+(SUM(IF((CRDJ[Date]=$A$4)*(CRDJ[Sort Code]=(TRIM(E$5)))*(CRDJ[Account Code]=(TRIM($B69))),CRDJ[Credit])))+(SUM(IF((GJ[Date]=$A$4)*(GJ[Sort Code]=(TRIM(E$5)))*(GJ[Account Code]=(TRIM($B69))),GJ[Credit]))))</f>
        <v>0</v>
      </c>
      <c r="E69" s="467">
        <f t="shared" si="2"/>
        <v>0</v>
      </c>
    </row>
    <row r="70" spans="1:5" x14ac:dyDescent="0.2">
      <c r="A70" s="476" t="s">
        <v>211</v>
      </c>
      <c r="B70" s="339" t="s">
        <v>178</v>
      </c>
      <c r="C70" s="466">
        <f t="array" ref="C70">((SUM(IF((CkDJ[Sort Code]=(TRIM(E$5)))*(CkDJ[Account Code]=(TRIM($B70)))*(CkDJ[Date]&lt;=$C$8),CkDJ[Debit])))+(SUM(IF((CsDJ[Sort Code]=(TRIM(E$5)))*(CsDJ[Account Code]=(TRIM($B70)))*(CsDJ[Date]&lt;=$C$8),CsDJ[Debit])))+(SUM(IF((CRDJ[Sort Code]=(TRIM(E$5)))*(CRDJ[Account Code]=(TRIM($B70)))*(CRDJ[Date]&lt;=$C$8),CRDJ[Debit])))+(SUM(IF((GJ[Sort Code]=(TRIM(E$5)))*(GJ[Account Code]=(TRIM($B70)))*(GJ[Date]&lt;=$C$8),GJ[Debit]))))-((SUM(IF((CkDJ[Sort Code]=(TRIM(E$5)))*(CkDJ[Account Code]=(TRIM($B70)))*(CkDJ[Date]&lt;=$C$8),CkDJ[Credit])))+(SUM(IF((CsDJ[Sort Code]=(TRIM(E$5)))*(CsDJ[Account Code]=(TRIM($B70)))*(CsDJ[Date]&lt;=$C$8),CsDJ[Credit])))+(SUM(IF((CRDJ[Sort Code]=(TRIM(E$5)))*(CRDJ[Account Code]=(TRIM($B70)))*(CRDJ[Date]&lt;=$C$8),CRDJ[Credit])))+(SUM(IF((GJ[Sort Code]=(TRIM(E$5)))*(GJ[Account Code]=(TRIM($B70)))*(GJ[Date]&lt;=$C$8),GJ[Credit]))))</f>
        <v>0</v>
      </c>
      <c r="D70" s="466">
        <f t="array" ref="D70">((SUM(IF((CkDJ[Date]=$A$4)*(CkDJ[Sort Code]=(TRIM(E$5)))*(CkDJ[Account Code]=(TRIM($B70))),CkDJ[Debit])))+(SUM(IF((CsDJ[Date]=$A$4)*(CsDJ[Sort Code]=(TRIM(E$5)))*(CsDJ[Account Code]=(TRIM($B70))),CsDJ[Debit])))+(SUM(IF((CRDJ[Date]=$A$4)*(CRDJ[Sort Code]=(TRIM(E$5)))*(CRDJ[Account Code]=(TRIM($B70))),CRDJ[Debit])))+(SUM(IF((GJ[Date]=$A$4)*(GJ[Sort Code]=(TRIM(E$5)))*(GJ[Account Code]=(TRIM($B70))),GJ[Debit]))))-((SUM(IF((CkDJ[Date]=$A$4)*(CkDJ[Sort Code]=(TRIM(E$5)))*(CkDJ[Account Code]=(TRIM($B70))),CkDJ[Credit])))+(SUM(IF((CsDJ[Date]=$A$4)*(CsDJ[Sort Code]=(TRIM(E$5)))*(CsDJ[Account Code]=(TRIM($B70))),CsDJ[Credit])))+(SUM(IF((CRDJ[Date]=$A$4)*(CRDJ[Sort Code]=(TRIM(E$5)))*(CRDJ[Account Code]=(TRIM($B70))),CRDJ[Credit])))+(SUM(IF((GJ[Date]=$A$4)*(GJ[Sort Code]=(TRIM(E$5)))*(GJ[Account Code]=(TRIM($B70))),GJ[Credit]))))</f>
        <v>0</v>
      </c>
      <c r="E70" s="467">
        <f t="shared" si="2"/>
        <v>0</v>
      </c>
    </row>
    <row r="71" spans="1:5" x14ac:dyDescent="0.2">
      <c r="A71" s="476" t="s">
        <v>1167</v>
      </c>
      <c r="B71" s="339" t="s">
        <v>212</v>
      </c>
      <c r="C71" s="466">
        <f t="array" ref="C71">((SUM(IF((CkDJ[Sort Code]=(TRIM(E$5)))*(CkDJ[Account Code]=(TRIM($B71)))*(CkDJ[Date]&lt;=$C$8),CkDJ[Debit])))+(SUM(IF((CsDJ[Sort Code]=(TRIM(E$5)))*(CsDJ[Account Code]=(TRIM($B71)))*(CsDJ[Date]&lt;=$C$8),CsDJ[Debit])))+(SUM(IF((CRDJ[Sort Code]=(TRIM(E$5)))*(CRDJ[Account Code]=(TRIM($B71)))*(CRDJ[Date]&lt;=$C$8),CRDJ[Debit])))+(SUM(IF((GJ[Sort Code]=(TRIM(E$5)))*(GJ[Account Code]=(TRIM($B71)))*(GJ[Date]&lt;=$C$8),GJ[Debit]))))-((SUM(IF((CkDJ[Sort Code]=(TRIM(E$5)))*(CkDJ[Account Code]=(TRIM($B71)))*(CkDJ[Date]&lt;=$C$8),CkDJ[Credit])))+(SUM(IF((CsDJ[Sort Code]=(TRIM(E$5)))*(CsDJ[Account Code]=(TRIM($B71)))*(CsDJ[Date]&lt;=$C$8),CsDJ[Credit])))+(SUM(IF((CRDJ[Sort Code]=(TRIM(E$5)))*(CRDJ[Account Code]=(TRIM($B71)))*(CRDJ[Date]&lt;=$C$8),CRDJ[Credit])))+(SUM(IF((GJ[Sort Code]=(TRIM(E$5)))*(GJ[Account Code]=(TRIM($B71)))*(GJ[Date]&lt;=$C$8),GJ[Credit]))))</f>
        <v>0</v>
      </c>
      <c r="D71" s="466">
        <f t="array" ref="D71">((SUM(IF((CkDJ[Date]=$A$4)*(CkDJ[Sort Code]=(TRIM(E$5)))*(CkDJ[Account Code]=(TRIM($B71))),CkDJ[Debit])))+(SUM(IF((CsDJ[Date]=$A$4)*(CsDJ[Sort Code]=(TRIM(E$5)))*(CsDJ[Account Code]=(TRIM($B71))),CsDJ[Debit])))+(SUM(IF((CRDJ[Date]=$A$4)*(CRDJ[Sort Code]=(TRIM(E$5)))*(CRDJ[Account Code]=(TRIM($B71))),CRDJ[Debit])))+(SUM(IF((GJ[Date]=$A$4)*(GJ[Sort Code]=(TRIM(E$5)))*(GJ[Account Code]=(TRIM($B71))),GJ[Debit]))))-((SUM(IF((CkDJ[Date]=$A$4)*(CkDJ[Sort Code]=(TRIM(E$5)))*(CkDJ[Account Code]=(TRIM($B71))),CkDJ[Credit])))+(SUM(IF((CsDJ[Date]=$A$4)*(CsDJ[Sort Code]=(TRIM(E$5)))*(CsDJ[Account Code]=(TRIM($B71))),CsDJ[Credit])))+(SUM(IF((CRDJ[Date]=$A$4)*(CRDJ[Sort Code]=(TRIM(E$5)))*(CRDJ[Account Code]=(TRIM($B71))),CRDJ[Credit])))+(SUM(IF((GJ[Date]=$A$4)*(GJ[Sort Code]=(TRIM(E$5)))*(GJ[Account Code]=(TRIM($B71))),GJ[Credit]))))</f>
        <v>0</v>
      </c>
      <c r="E71" s="467">
        <f>C71+D71</f>
        <v>0</v>
      </c>
    </row>
    <row r="72" spans="1:5" x14ac:dyDescent="0.2">
      <c r="A72" s="481" t="s">
        <v>218</v>
      </c>
      <c r="B72" s="482" t="s">
        <v>213</v>
      </c>
      <c r="C72" s="483">
        <f t="array" ref="C72">((SUM(IF((CkDJ[Sort Code]=(TRIM(E$5)))*(CkDJ[Account Code]=(TRIM($B72)))*(CkDJ[Date]&lt;=$C$8),CkDJ[Debit])))+(SUM(IF((CsDJ[Sort Code]=(TRIM(E$5)))*(CsDJ[Account Code]=(TRIM($B72)))*(CsDJ[Date]&lt;=$C$8),CsDJ[Debit])))+(SUM(IF((CRDJ[Sort Code]=(TRIM(E$5)))*(CRDJ[Account Code]=(TRIM($B72)))*(CRDJ[Date]&lt;=$C$8),CRDJ[Debit])))+(SUM(IF((GJ[Sort Code]=(TRIM(E$5)))*(GJ[Account Code]=(TRIM($B72)))*(GJ[Date]&lt;=$C$8),GJ[Debit]))))-((SUM(IF((CkDJ[Sort Code]=(TRIM(E$5)))*(CkDJ[Account Code]=(TRIM($B72)))*(CkDJ[Date]&lt;=$C$8),CkDJ[Credit])))+(SUM(IF((CsDJ[Sort Code]=(TRIM(E$5)))*(CsDJ[Account Code]=(TRIM($B72)))*(CsDJ[Date]&lt;=$C$8),CsDJ[Credit])))+(SUM(IF((CRDJ[Sort Code]=(TRIM(E$5)))*(CRDJ[Account Code]=(TRIM($B72)))*(CRDJ[Date]&lt;=$C$8),CRDJ[Credit])))+(SUM(IF((GJ[Sort Code]=(TRIM(E$5)))*(GJ[Account Code]=(TRIM($B72)))*(GJ[Date]&lt;=$C$8),GJ[Credit]))))</f>
        <v>0</v>
      </c>
      <c r="D72" s="483">
        <f t="array" ref="D72">((SUM(IF((CkDJ[Date]=$A$4)*(CkDJ[Sort Code]=(TRIM(E$5)))*(CkDJ[Account Code]=(TRIM($B72))),CkDJ[Debit])))+(SUM(IF((CsDJ[Date]=$A$4)*(CsDJ[Sort Code]=(TRIM(E$5)))*(CsDJ[Account Code]=(TRIM($B72))),CsDJ[Debit])))+(SUM(IF((CRDJ[Date]=$A$4)*(CRDJ[Sort Code]=(TRIM(E$5)))*(CRDJ[Account Code]=(TRIM($B72))),CRDJ[Debit])))+(SUM(IF((GJ[Date]=$A$4)*(GJ[Sort Code]=(TRIM(E$5)))*(GJ[Account Code]=(TRIM($B72))),GJ[Debit]))))-((SUM(IF((CkDJ[Date]=$A$4)*(CkDJ[Sort Code]=(TRIM(E$5)))*(CkDJ[Account Code]=(TRIM($B72))),CkDJ[Credit])))+(SUM(IF((CsDJ[Date]=$A$4)*(CsDJ[Sort Code]=(TRIM(E$5)))*(CsDJ[Account Code]=(TRIM($B72))),CsDJ[Credit])))+(SUM(IF((CRDJ[Date]=$A$4)*(CRDJ[Sort Code]=(TRIM(E$5)))*(CRDJ[Account Code]=(TRIM($B72))),CRDJ[Credit])))+(SUM(IF((GJ[Date]=$A$4)*(GJ[Sort Code]=(TRIM(E$5)))*(GJ[Account Code]=(TRIM($B72))),GJ[Credit]))))</f>
        <v>0</v>
      </c>
      <c r="E72" s="484">
        <f t="shared" si="2"/>
        <v>0</v>
      </c>
    </row>
    <row r="73" spans="1:5" x14ac:dyDescent="0.2">
      <c r="A73" s="476"/>
      <c r="B73" s="339"/>
      <c r="C73" s="466"/>
      <c r="D73" s="466"/>
      <c r="E73" s="467"/>
    </row>
    <row r="74" spans="1:5" x14ac:dyDescent="0.2">
      <c r="A74" s="471" t="s">
        <v>810</v>
      </c>
      <c r="B74" s="339"/>
      <c r="C74" s="480">
        <f>SUM(C75:C137)</f>
        <v>0</v>
      </c>
      <c r="D74" s="480">
        <f>SUM(D75:D137)</f>
        <v>0</v>
      </c>
      <c r="E74" s="480">
        <f>SUM(E75:E137)</f>
        <v>0</v>
      </c>
    </row>
    <row r="75" spans="1:5" x14ac:dyDescent="0.2">
      <c r="A75" s="476" t="s">
        <v>284</v>
      </c>
      <c r="B75" s="339" t="s">
        <v>223</v>
      </c>
      <c r="C75" s="466">
        <f t="array" ref="C75">((SUM(IF((CkDJ[Sort Code]=(TRIM(E$5)))*(CkDJ[Account Code]=(TRIM($B75)))*(CkDJ[Date]&lt;=$C$8),CkDJ[Debit])))+(SUM(IF((CsDJ[Sort Code]=(TRIM(E$5)))*(CsDJ[Account Code]=(TRIM($B75)))*(CsDJ[Date]&lt;=$C$8),CsDJ[Debit])))+(SUM(IF((CRDJ[Sort Code]=(TRIM(E$5)))*(CRDJ[Account Code]=(TRIM($B75)))*(CRDJ[Date]&lt;=$C$8),CRDJ[Debit])))+(SUM(IF((GJ[Sort Code]=(TRIM(E$5)))*(GJ[Account Code]=(TRIM($B75)))*(GJ[Date]&lt;=$C$8),GJ[Debit]))))-((SUM(IF((CkDJ[Sort Code]=(TRIM(E$5)))*(CkDJ[Account Code]=(TRIM($B75)))*(CkDJ[Date]&lt;=$C$8),CkDJ[Credit])))+(SUM(IF((CsDJ[Sort Code]=(TRIM(E$5)))*(CsDJ[Account Code]=(TRIM($B75)))*(CsDJ[Date]&lt;=$C$8),CsDJ[Credit])))+(SUM(IF((CRDJ[Sort Code]=(TRIM(E$5)))*(CRDJ[Account Code]=(TRIM($B75)))*(CRDJ[Date]&lt;=$C$8),CRDJ[Credit])))+(SUM(IF((GJ[Sort Code]=(TRIM(E$5)))*(GJ[Account Code]=(TRIM($B75)))*(GJ[Date]&lt;=$C$8),GJ[Credit]))))</f>
        <v>0</v>
      </c>
      <c r="D75" s="466">
        <f t="array" ref="D75">((SUM(IF((CkDJ[Date]=$A$4)*(CkDJ[Sort Code]=(TRIM(E$5)))*(CkDJ[Account Code]=(TRIM($B75))),CkDJ[Debit])))+(SUM(IF((CsDJ[Date]=$A$4)*(CsDJ[Sort Code]=(TRIM(E$5)))*(CsDJ[Account Code]=(TRIM($B75))),CsDJ[Debit])))+(SUM(IF((CRDJ[Date]=$A$4)*(CRDJ[Sort Code]=(TRIM(E$5)))*(CRDJ[Account Code]=(TRIM($B75))),CRDJ[Debit])))+(SUM(IF((GJ[Date]=$A$4)*(GJ[Sort Code]=(TRIM(E$5)))*(GJ[Account Code]=(TRIM($B75))),GJ[Debit]))))-((SUM(IF((CkDJ[Date]=$A$4)*(CkDJ[Sort Code]=(TRIM(E$5)))*(CkDJ[Account Code]=(TRIM($B75))),CkDJ[Credit])))+(SUM(IF((CsDJ[Date]=$A$4)*(CsDJ[Sort Code]=(TRIM(E$5)))*(CsDJ[Account Code]=(TRIM($B75))),CsDJ[Credit])))+(SUM(IF((CRDJ[Date]=$A$4)*(CRDJ[Sort Code]=(TRIM(E$5)))*(CRDJ[Account Code]=(TRIM($B75))),CRDJ[Credit])))+(SUM(IF((GJ[Date]=$A$4)*(GJ[Sort Code]=(TRIM(E$5)))*(GJ[Account Code]=(TRIM($B75))),GJ[Credit]))))</f>
        <v>0</v>
      </c>
      <c r="E75" s="467">
        <f t="shared" ref="E75:E136" si="3">C75+D75</f>
        <v>0</v>
      </c>
    </row>
    <row r="76" spans="1:5" x14ac:dyDescent="0.2">
      <c r="A76" s="476" t="s">
        <v>1477</v>
      </c>
      <c r="B76" s="339" t="s">
        <v>1233</v>
      </c>
      <c r="C76" s="466">
        <f t="array" ref="C76">((SUM(IF((CkDJ[Sort Code]=(TRIM(E$5)))*(CkDJ[Account Code]=(TRIM($B76)))*(CkDJ[Date]&lt;=$C$8),CkDJ[Debit])))+(SUM(IF((CsDJ[Sort Code]=(TRIM(E$5)))*(CsDJ[Account Code]=(TRIM($B76)))*(CsDJ[Date]&lt;=$C$8),CsDJ[Debit])))+(SUM(IF((CRDJ[Sort Code]=(TRIM(E$5)))*(CRDJ[Account Code]=(TRIM($B76)))*(CRDJ[Date]&lt;=$C$8),CRDJ[Debit])))+(SUM(IF((GJ[Sort Code]=(TRIM(E$5)))*(GJ[Account Code]=(TRIM($B76)))*(GJ[Date]&lt;=$C$8),GJ[Debit]))))-((SUM(IF((CkDJ[Sort Code]=(TRIM(E$5)))*(CkDJ[Account Code]=(TRIM($B76)))*(CkDJ[Date]&lt;=$C$8),CkDJ[Credit])))+(SUM(IF((CsDJ[Sort Code]=(TRIM(E$5)))*(CsDJ[Account Code]=(TRIM($B76)))*(CsDJ[Date]&lt;=$C$8),CsDJ[Credit])))+(SUM(IF((CRDJ[Sort Code]=(TRIM(E$5)))*(CRDJ[Account Code]=(TRIM($B76)))*(CRDJ[Date]&lt;=$C$8),CRDJ[Credit])))+(SUM(IF((GJ[Sort Code]=(TRIM(E$5)))*(GJ[Account Code]=(TRIM($B76)))*(GJ[Date]&lt;=$C$8),GJ[Credit]))))</f>
        <v>0</v>
      </c>
      <c r="D76" s="466">
        <f t="array" ref="D76">((SUM(IF((CkDJ[Date]=$A$4)*(CkDJ[Sort Code]=(TRIM(E$5)))*(CkDJ[Account Code]=(TRIM($B76))),CkDJ[Debit])))+(SUM(IF((CsDJ[Date]=$A$4)*(CsDJ[Sort Code]=(TRIM(E$5)))*(CsDJ[Account Code]=(TRIM($B76))),CsDJ[Debit])))+(SUM(IF((CRDJ[Date]=$A$4)*(CRDJ[Sort Code]=(TRIM(E$5)))*(CRDJ[Account Code]=(TRIM($B76))),CRDJ[Debit])))+(SUM(IF((GJ[Date]=$A$4)*(GJ[Sort Code]=(TRIM(E$5)))*(GJ[Account Code]=(TRIM($B76))),GJ[Debit]))))-((SUM(IF((CkDJ[Date]=$A$4)*(CkDJ[Sort Code]=(TRIM(E$5)))*(CkDJ[Account Code]=(TRIM($B76))),CkDJ[Credit])))+(SUM(IF((CsDJ[Date]=$A$4)*(CsDJ[Sort Code]=(TRIM(E$5)))*(CsDJ[Account Code]=(TRIM($B76))),CsDJ[Credit])))+(SUM(IF((CRDJ[Date]=$A$4)*(CRDJ[Sort Code]=(TRIM(E$5)))*(CRDJ[Account Code]=(TRIM($B76))),CRDJ[Credit])))+(SUM(IF((GJ[Date]=$A$4)*(GJ[Sort Code]=(TRIM(E$5)))*(GJ[Account Code]=(TRIM($B76))),GJ[Credit]))))</f>
        <v>0</v>
      </c>
      <c r="E76" s="467">
        <f>C76+D76</f>
        <v>0</v>
      </c>
    </row>
    <row r="77" spans="1:5" x14ac:dyDescent="0.2">
      <c r="A77" s="476" t="s">
        <v>285</v>
      </c>
      <c r="B77" s="339" t="s">
        <v>224</v>
      </c>
      <c r="C77" s="466">
        <f t="array" ref="C77">((SUM(IF((CkDJ[Sort Code]=(TRIM(E$5)))*(CkDJ[Account Code]=(TRIM($B77)))*(CkDJ[Date]&lt;=$C$8),CkDJ[Debit])))+(SUM(IF((CsDJ[Sort Code]=(TRIM(E$5)))*(CsDJ[Account Code]=(TRIM($B77)))*(CsDJ[Date]&lt;=$C$8),CsDJ[Debit])))+(SUM(IF((CRDJ[Sort Code]=(TRIM(E$5)))*(CRDJ[Account Code]=(TRIM($B77)))*(CRDJ[Date]&lt;=$C$8),CRDJ[Debit])))+(SUM(IF((GJ[Sort Code]=(TRIM(E$5)))*(GJ[Account Code]=(TRIM($B77)))*(GJ[Date]&lt;=$C$8),GJ[Debit]))))-((SUM(IF((CkDJ[Sort Code]=(TRIM(E$5)))*(CkDJ[Account Code]=(TRIM($B77)))*(CkDJ[Date]&lt;=$C$8),CkDJ[Credit])))+(SUM(IF((CsDJ[Sort Code]=(TRIM(E$5)))*(CsDJ[Account Code]=(TRIM($B77)))*(CsDJ[Date]&lt;=$C$8),CsDJ[Credit])))+(SUM(IF((CRDJ[Sort Code]=(TRIM(E$5)))*(CRDJ[Account Code]=(TRIM($B77)))*(CRDJ[Date]&lt;=$C$8),CRDJ[Credit])))+(SUM(IF((GJ[Sort Code]=(TRIM(E$5)))*(GJ[Account Code]=(TRIM($B77)))*(GJ[Date]&lt;=$C$8),GJ[Credit]))))</f>
        <v>0</v>
      </c>
      <c r="D77" s="466">
        <f t="array" ref="D77">((SUM(IF((CkDJ[Date]=$A$4)*(CkDJ[Sort Code]=(TRIM(E$5)))*(CkDJ[Account Code]=(TRIM($B77))),CkDJ[Debit])))+(SUM(IF((CsDJ[Date]=$A$4)*(CsDJ[Sort Code]=(TRIM(E$5)))*(CsDJ[Account Code]=(TRIM($B77))),CsDJ[Debit])))+(SUM(IF((CRDJ[Date]=$A$4)*(CRDJ[Sort Code]=(TRIM(E$5)))*(CRDJ[Account Code]=(TRIM($B77))),CRDJ[Debit])))+(SUM(IF((GJ[Date]=$A$4)*(GJ[Sort Code]=(TRIM(E$5)))*(GJ[Account Code]=(TRIM($B77))),GJ[Debit]))))-((SUM(IF((CkDJ[Date]=$A$4)*(CkDJ[Sort Code]=(TRIM(E$5)))*(CkDJ[Account Code]=(TRIM($B77))),CkDJ[Credit])))+(SUM(IF((CsDJ[Date]=$A$4)*(CsDJ[Sort Code]=(TRIM(E$5)))*(CsDJ[Account Code]=(TRIM($B77))),CsDJ[Credit])))+(SUM(IF((CRDJ[Date]=$A$4)*(CRDJ[Sort Code]=(TRIM(E$5)))*(CRDJ[Account Code]=(TRIM($B77))),CRDJ[Credit])))+(SUM(IF((GJ[Date]=$A$4)*(GJ[Sort Code]=(TRIM(E$5)))*(GJ[Account Code]=(TRIM($B77))),GJ[Credit]))))</f>
        <v>0</v>
      </c>
      <c r="E77" s="467">
        <f t="shared" si="3"/>
        <v>0</v>
      </c>
    </row>
    <row r="78" spans="1:5" x14ac:dyDescent="0.2">
      <c r="A78" s="476" t="s">
        <v>286</v>
      </c>
      <c r="B78" s="339" t="s">
        <v>225</v>
      </c>
      <c r="C78" s="466">
        <f t="array" ref="C78">((SUM(IF((CkDJ[Sort Code]=(TRIM(E$5)))*(CkDJ[Account Code]=(TRIM($B78)))*(CkDJ[Date]&lt;=$C$8),CkDJ[Debit])))+(SUM(IF((CsDJ[Sort Code]=(TRIM(E$5)))*(CsDJ[Account Code]=(TRIM($B78)))*(CsDJ[Date]&lt;=$C$8),CsDJ[Debit])))+(SUM(IF((CRDJ[Sort Code]=(TRIM(E$5)))*(CRDJ[Account Code]=(TRIM($B78)))*(CRDJ[Date]&lt;=$C$8),CRDJ[Debit])))+(SUM(IF((GJ[Sort Code]=(TRIM(E$5)))*(GJ[Account Code]=(TRIM($B78)))*(GJ[Date]&lt;=$C$8),GJ[Debit]))))-((SUM(IF((CkDJ[Sort Code]=(TRIM(E$5)))*(CkDJ[Account Code]=(TRIM($B78)))*(CkDJ[Date]&lt;=$C$8),CkDJ[Credit])))+(SUM(IF((CsDJ[Sort Code]=(TRIM(E$5)))*(CsDJ[Account Code]=(TRIM($B78)))*(CsDJ[Date]&lt;=$C$8),CsDJ[Credit])))+(SUM(IF((CRDJ[Sort Code]=(TRIM(E$5)))*(CRDJ[Account Code]=(TRIM($B78)))*(CRDJ[Date]&lt;=$C$8),CRDJ[Credit])))+(SUM(IF((GJ[Sort Code]=(TRIM(E$5)))*(GJ[Account Code]=(TRIM($B78)))*(GJ[Date]&lt;=$C$8),GJ[Credit]))))</f>
        <v>0</v>
      </c>
      <c r="D78" s="466">
        <f t="array" ref="D78">((SUM(IF((CkDJ[Date]=$A$4)*(CkDJ[Sort Code]=(TRIM(E$5)))*(CkDJ[Account Code]=(TRIM($B78))),CkDJ[Debit])))+(SUM(IF((CsDJ[Date]=$A$4)*(CsDJ[Sort Code]=(TRIM(E$5)))*(CsDJ[Account Code]=(TRIM($B78))),CsDJ[Debit])))+(SUM(IF((CRDJ[Date]=$A$4)*(CRDJ[Sort Code]=(TRIM(E$5)))*(CRDJ[Account Code]=(TRIM($B78))),CRDJ[Debit])))+(SUM(IF((GJ[Date]=$A$4)*(GJ[Sort Code]=(TRIM(E$5)))*(GJ[Account Code]=(TRIM($B78))),GJ[Debit]))))-((SUM(IF((CkDJ[Date]=$A$4)*(CkDJ[Sort Code]=(TRIM(E$5)))*(CkDJ[Account Code]=(TRIM($B78))),CkDJ[Credit])))+(SUM(IF((CsDJ[Date]=$A$4)*(CsDJ[Sort Code]=(TRIM(E$5)))*(CsDJ[Account Code]=(TRIM($B78))),CsDJ[Credit])))+(SUM(IF((CRDJ[Date]=$A$4)*(CRDJ[Sort Code]=(TRIM(E$5)))*(CRDJ[Account Code]=(TRIM($B78))),CRDJ[Credit])))+(SUM(IF((GJ[Date]=$A$4)*(GJ[Sort Code]=(TRIM(E$5)))*(GJ[Account Code]=(TRIM($B78))),GJ[Credit]))))</f>
        <v>0</v>
      </c>
      <c r="E78" s="467">
        <f t="shared" si="3"/>
        <v>0</v>
      </c>
    </row>
    <row r="79" spans="1:5" x14ac:dyDescent="0.2">
      <c r="A79" s="476" t="s">
        <v>287</v>
      </c>
      <c r="B79" s="339" t="s">
        <v>226</v>
      </c>
      <c r="C79" s="466">
        <f t="array" ref="C79">((SUM(IF((CkDJ[Sort Code]=(TRIM(E$5)))*(CkDJ[Account Code]=(TRIM($B79)))*(CkDJ[Date]&lt;=$C$8),CkDJ[Debit])))+(SUM(IF((CsDJ[Sort Code]=(TRIM(E$5)))*(CsDJ[Account Code]=(TRIM($B79)))*(CsDJ[Date]&lt;=$C$8),CsDJ[Debit])))+(SUM(IF((CRDJ[Sort Code]=(TRIM(E$5)))*(CRDJ[Account Code]=(TRIM($B79)))*(CRDJ[Date]&lt;=$C$8),CRDJ[Debit])))+(SUM(IF((GJ[Sort Code]=(TRIM(E$5)))*(GJ[Account Code]=(TRIM($B79)))*(GJ[Date]&lt;=$C$8),GJ[Debit]))))-((SUM(IF((CkDJ[Sort Code]=(TRIM(E$5)))*(CkDJ[Account Code]=(TRIM($B79)))*(CkDJ[Date]&lt;=$C$8),CkDJ[Credit])))+(SUM(IF((CsDJ[Sort Code]=(TRIM(E$5)))*(CsDJ[Account Code]=(TRIM($B79)))*(CsDJ[Date]&lt;=$C$8),CsDJ[Credit])))+(SUM(IF((CRDJ[Sort Code]=(TRIM(E$5)))*(CRDJ[Account Code]=(TRIM($B79)))*(CRDJ[Date]&lt;=$C$8),CRDJ[Credit])))+(SUM(IF((GJ[Sort Code]=(TRIM(E$5)))*(GJ[Account Code]=(TRIM($B79)))*(GJ[Date]&lt;=$C$8),GJ[Credit]))))</f>
        <v>0</v>
      </c>
      <c r="D79" s="466">
        <f t="array" ref="D79">((SUM(IF((CkDJ[Date]=$A$4)*(CkDJ[Sort Code]=(TRIM(E$5)))*(CkDJ[Account Code]=(TRIM($B79))),CkDJ[Debit])))+(SUM(IF((CsDJ[Date]=$A$4)*(CsDJ[Sort Code]=(TRIM(E$5)))*(CsDJ[Account Code]=(TRIM($B79))),CsDJ[Debit])))+(SUM(IF((CRDJ[Date]=$A$4)*(CRDJ[Sort Code]=(TRIM(E$5)))*(CRDJ[Account Code]=(TRIM($B79))),CRDJ[Debit])))+(SUM(IF((GJ[Date]=$A$4)*(GJ[Sort Code]=(TRIM(E$5)))*(GJ[Account Code]=(TRIM($B79))),GJ[Debit]))))-((SUM(IF((CkDJ[Date]=$A$4)*(CkDJ[Sort Code]=(TRIM(E$5)))*(CkDJ[Account Code]=(TRIM($B79))),CkDJ[Credit])))+(SUM(IF((CsDJ[Date]=$A$4)*(CsDJ[Sort Code]=(TRIM(E$5)))*(CsDJ[Account Code]=(TRIM($B79))),CsDJ[Credit])))+(SUM(IF((CRDJ[Date]=$A$4)*(CRDJ[Sort Code]=(TRIM(E$5)))*(CRDJ[Account Code]=(TRIM($B79))),CRDJ[Credit])))+(SUM(IF((GJ[Date]=$A$4)*(GJ[Sort Code]=(TRIM(E$5)))*(GJ[Account Code]=(TRIM($B79))),GJ[Credit]))))</f>
        <v>0</v>
      </c>
      <c r="E79" s="467">
        <f t="shared" si="3"/>
        <v>0</v>
      </c>
    </row>
    <row r="80" spans="1:5" x14ac:dyDescent="0.2">
      <c r="A80" s="476" t="s">
        <v>1017</v>
      </c>
      <c r="B80" s="339" t="s">
        <v>227</v>
      </c>
      <c r="C80" s="466">
        <f t="array" ref="C80">((SUM(IF((CkDJ[Sort Code]=(TRIM(E$5)))*(CkDJ[Account Code]=(TRIM($B80)))*(CkDJ[Date]&lt;=$C$8),CkDJ[Debit])))+(SUM(IF((CsDJ[Sort Code]=(TRIM(E$5)))*(CsDJ[Account Code]=(TRIM($B80)))*(CsDJ[Date]&lt;=$C$8),CsDJ[Debit])))+(SUM(IF((CRDJ[Sort Code]=(TRIM(E$5)))*(CRDJ[Account Code]=(TRIM($B80)))*(CRDJ[Date]&lt;=$C$8),CRDJ[Debit])))+(SUM(IF((GJ[Sort Code]=(TRIM(E$5)))*(GJ[Account Code]=(TRIM($B80)))*(GJ[Date]&lt;=$C$8),GJ[Debit]))))-((SUM(IF((CkDJ[Sort Code]=(TRIM(E$5)))*(CkDJ[Account Code]=(TRIM($B80)))*(CkDJ[Date]&lt;=$C$8),CkDJ[Credit])))+(SUM(IF((CsDJ[Sort Code]=(TRIM(E$5)))*(CsDJ[Account Code]=(TRIM($B80)))*(CsDJ[Date]&lt;=$C$8),CsDJ[Credit])))+(SUM(IF((CRDJ[Sort Code]=(TRIM(E$5)))*(CRDJ[Account Code]=(TRIM($B80)))*(CRDJ[Date]&lt;=$C$8),CRDJ[Credit])))+(SUM(IF((GJ[Sort Code]=(TRIM(E$5)))*(GJ[Account Code]=(TRIM($B80)))*(GJ[Date]&lt;=$C$8),GJ[Credit]))))</f>
        <v>0</v>
      </c>
      <c r="D80" s="466">
        <f t="array" ref="D80">((SUM(IF((CkDJ[Date]=$A$4)*(CkDJ[Sort Code]=(TRIM(E$5)))*(CkDJ[Account Code]=(TRIM($B80))),CkDJ[Debit])))+(SUM(IF((CsDJ[Date]=$A$4)*(CsDJ[Sort Code]=(TRIM(E$5)))*(CsDJ[Account Code]=(TRIM($B80))),CsDJ[Debit])))+(SUM(IF((CRDJ[Date]=$A$4)*(CRDJ[Sort Code]=(TRIM(E$5)))*(CRDJ[Account Code]=(TRIM($B80))),CRDJ[Debit])))+(SUM(IF((GJ[Date]=$A$4)*(GJ[Sort Code]=(TRIM(E$5)))*(GJ[Account Code]=(TRIM($B80))),GJ[Debit]))))-((SUM(IF((CkDJ[Date]=$A$4)*(CkDJ[Sort Code]=(TRIM(E$5)))*(CkDJ[Account Code]=(TRIM($B80))),CkDJ[Credit])))+(SUM(IF((CsDJ[Date]=$A$4)*(CsDJ[Sort Code]=(TRIM(E$5)))*(CsDJ[Account Code]=(TRIM($B80))),CsDJ[Credit])))+(SUM(IF((CRDJ[Date]=$A$4)*(CRDJ[Sort Code]=(TRIM(E$5)))*(CRDJ[Account Code]=(TRIM($B80))),CRDJ[Credit])))+(SUM(IF((GJ[Date]=$A$4)*(GJ[Sort Code]=(TRIM(E$5)))*(GJ[Account Code]=(TRIM($B80))),GJ[Credit]))))</f>
        <v>0</v>
      </c>
      <c r="E80" s="467">
        <f t="shared" si="3"/>
        <v>0</v>
      </c>
    </row>
    <row r="81" spans="1:5" x14ac:dyDescent="0.2">
      <c r="A81" s="476" t="s">
        <v>1018</v>
      </c>
      <c r="B81" s="339" t="s">
        <v>228</v>
      </c>
      <c r="C81" s="466">
        <f t="array" ref="C81">((SUM(IF((CkDJ[Sort Code]=(TRIM(E$5)))*(CkDJ[Account Code]=(TRIM($B81)))*(CkDJ[Date]&lt;=$C$8),CkDJ[Debit])))+(SUM(IF((CsDJ[Sort Code]=(TRIM(E$5)))*(CsDJ[Account Code]=(TRIM($B81)))*(CsDJ[Date]&lt;=$C$8),CsDJ[Debit])))+(SUM(IF((CRDJ[Sort Code]=(TRIM(E$5)))*(CRDJ[Account Code]=(TRIM($B81)))*(CRDJ[Date]&lt;=$C$8),CRDJ[Debit])))+(SUM(IF((GJ[Sort Code]=(TRIM(E$5)))*(GJ[Account Code]=(TRIM($B81)))*(GJ[Date]&lt;=$C$8),GJ[Debit]))))-((SUM(IF((CkDJ[Sort Code]=(TRIM(E$5)))*(CkDJ[Account Code]=(TRIM($B81)))*(CkDJ[Date]&lt;=$C$8),CkDJ[Credit])))+(SUM(IF((CsDJ[Sort Code]=(TRIM(E$5)))*(CsDJ[Account Code]=(TRIM($B81)))*(CsDJ[Date]&lt;=$C$8),CsDJ[Credit])))+(SUM(IF((CRDJ[Sort Code]=(TRIM(E$5)))*(CRDJ[Account Code]=(TRIM($B81)))*(CRDJ[Date]&lt;=$C$8),CRDJ[Credit])))+(SUM(IF((GJ[Sort Code]=(TRIM(E$5)))*(GJ[Account Code]=(TRIM($B81)))*(GJ[Date]&lt;=$C$8),GJ[Credit]))))</f>
        <v>0</v>
      </c>
      <c r="D81" s="466">
        <f t="array" ref="D81">((SUM(IF((CkDJ[Date]=$A$4)*(CkDJ[Sort Code]=(TRIM(E$5)))*(CkDJ[Account Code]=(TRIM($B81))),CkDJ[Debit])))+(SUM(IF((CsDJ[Date]=$A$4)*(CsDJ[Sort Code]=(TRIM(E$5)))*(CsDJ[Account Code]=(TRIM($B81))),CsDJ[Debit])))+(SUM(IF((CRDJ[Date]=$A$4)*(CRDJ[Sort Code]=(TRIM(E$5)))*(CRDJ[Account Code]=(TRIM($B81))),CRDJ[Debit])))+(SUM(IF((GJ[Date]=$A$4)*(GJ[Sort Code]=(TRIM(E$5)))*(GJ[Account Code]=(TRIM($B81))),GJ[Debit]))))-((SUM(IF((CkDJ[Date]=$A$4)*(CkDJ[Sort Code]=(TRIM(E$5)))*(CkDJ[Account Code]=(TRIM($B81))),CkDJ[Credit])))+(SUM(IF((CsDJ[Date]=$A$4)*(CsDJ[Sort Code]=(TRIM(E$5)))*(CsDJ[Account Code]=(TRIM($B81))),CsDJ[Credit])))+(SUM(IF((CRDJ[Date]=$A$4)*(CRDJ[Sort Code]=(TRIM(E$5)))*(CRDJ[Account Code]=(TRIM($B81))),CRDJ[Credit])))+(SUM(IF((GJ[Date]=$A$4)*(GJ[Sort Code]=(TRIM(E$5)))*(GJ[Account Code]=(TRIM($B81))),GJ[Credit]))))</f>
        <v>0</v>
      </c>
      <c r="E81" s="467">
        <f t="shared" si="3"/>
        <v>0</v>
      </c>
    </row>
    <row r="82" spans="1:5" x14ac:dyDescent="0.2">
      <c r="A82" s="476" t="s">
        <v>289</v>
      </c>
      <c r="B82" s="339" t="s">
        <v>229</v>
      </c>
      <c r="C82" s="466">
        <f t="array" ref="C82">((SUM(IF((CkDJ[Sort Code]=(TRIM(E$5)))*(CkDJ[Account Code]=(TRIM($B82)))*(CkDJ[Date]&lt;=$C$8),CkDJ[Debit])))+(SUM(IF((CsDJ[Sort Code]=(TRIM(E$5)))*(CsDJ[Account Code]=(TRIM($B82)))*(CsDJ[Date]&lt;=$C$8),CsDJ[Debit])))+(SUM(IF((CRDJ[Sort Code]=(TRIM(E$5)))*(CRDJ[Account Code]=(TRIM($B82)))*(CRDJ[Date]&lt;=$C$8),CRDJ[Debit])))+(SUM(IF((GJ[Sort Code]=(TRIM(E$5)))*(GJ[Account Code]=(TRIM($B82)))*(GJ[Date]&lt;=$C$8),GJ[Debit]))))-((SUM(IF((CkDJ[Sort Code]=(TRIM(E$5)))*(CkDJ[Account Code]=(TRIM($B82)))*(CkDJ[Date]&lt;=$C$8),CkDJ[Credit])))+(SUM(IF((CsDJ[Sort Code]=(TRIM(E$5)))*(CsDJ[Account Code]=(TRIM($B82)))*(CsDJ[Date]&lt;=$C$8),CsDJ[Credit])))+(SUM(IF((CRDJ[Sort Code]=(TRIM(E$5)))*(CRDJ[Account Code]=(TRIM($B82)))*(CRDJ[Date]&lt;=$C$8),CRDJ[Credit])))+(SUM(IF((GJ[Sort Code]=(TRIM(E$5)))*(GJ[Account Code]=(TRIM($B82)))*(GJ[Date]&lt;=$C$8),GJ[Credit]))))</f>
        <v>0</v>
      </c>
      <c r="D82" s="466">
        <f t="array" ref="D82">((SUM(IF((CkDJ[Date]=$A$4)*(CkDJ[Sort Code]=(TRIM(E$5)))*(CkDJ[Account Code]=(TRIM($B82))),CkDJ[Debit])))+(SUM(IF((CsDJ[Date]=$A$4)*(CsDJ[Sort Code]=(TRIM(E$5)))*(CsDJ[Account Code]=(TRIM($B82))),CsDJ[Debit])))+(SUM(IF((CRDJ[Date]=$A$4)*(CRDJ[Sort Code]=(TRIM(E$5)))*(CRDJ[Account Code]=(TRIM($B82))),CRDJ[Debit])))+(SUM(IF((GJ[Date]=$A$4)*(GJ[Sort Code]=(TRIM(E$5)))*(GJ[Account Code]=(TRIM($B82))),GJ[Debit]))))-((SUM(IF((CkDJ[Date]=$A$4)*(CkDJ[Sort Code]=(TRIM(E$5)))*(CkDJ[Account Code]=(TRIM($B82))),CkDJ[Credit])))+(SUM(IF((CsDJ[Date]=$A$4)*(CsDJ[Sort Code]=(TRIM(E$5)))*(CsDJ[Account Code]=(TRIM($B82))),CsDJ[Credit])))+(SUM(IF((CRDJ[Date]=$A$4)*(CRDJ[Sort Code]=(TRIM(E$5)))*(CRDJ[Account Code]=(TRIM($B82))),CRDJ[Credit])))+(SUM(IF((GJ[Date]=$A$4)*(GJ[Sort Code]=(TRIM(E$5)))*(GJ[Account Code]=(TRIM($B82))),GJ[Credit]))))</f>
        <v>0</v>
      </c>
      <c r="E82" s="467">
        <f t="shared" si="3"/>
        <v>0</v>
      </c>
    </row>
    <row r="83" spans="1:5" x14ac:dyDescent="0.2">
      <c r="A83" s="476" t="s">
        <v>290</v>
      </c>
      <c r="B83" s="339" t="s">
        <v>230</v>
      </c>
      <c r="C83" s="466">
        <f t="array" ref="C83">((SUM(IF((CkDJ[Sort Code]=(TRIM(E$5)))*(CkDJ[Account Code]=(TRIM($B83)))*(CkDJ[Date]&lt;=$C$8),CkDJ[Debit])))+(SUM(IF((CsDJ[Sort Code]=(TRIM(E$5)))*(CsDJ[Account Code]=(TRIM($B83)))*(CsDJ[Date]&lt;=$C$8),CsDJ[Debit])))+(SUM(IF((CRDJ[Sort Code]=(TRIM(E$5)))*(CRDJ[Account Code]=(TRIM($B83)))*(CRDJ[Date]&lt;=$C$8),CRDJ[Debit])))+(SUM(IF((GJ[Sort Code]=(TRIM(E$5)))*(GJ[Account Code]=(TRIM($B83)))*(GJ[Date]&lt;=$C$8),GJ[Debit]))))-((SUM(IF((CkDJ[Sort Code]=(TRIM(E$5)))*(CkDJ[Account Code]=(TRIM($B83)))*(CkDJ[Date]&lt;=$C$8),CkDJ[Credit])))+(SUM(IF((CsDJ[Sort Code]=(TRIM(E$5)))*(CsDJ[Account Code]=(TRIM($B83)))*(CsDJ[Date]&lt;=$C$8),CsDJ[Credit])))+(SUM(IF((CRDJ[Sort Code]=(TRIM(E$5)))*(CRDJ[Account Code]=(TRIM($B83)))*(CRDJ[Date]&lt;=$C$8),CRDJ[Credit])))+(SUM(IF((GJ[Sort Code]=(TRIM(E$5)))*(GJ[Account Code]=(TRIM($B83)))*(GJ[Date]&lt;=$C$8),GJ[Credit]))))</f>
        <v>0</v>
      </c>
      <c r="D83" s="466">
        <f t="array" ref="D83">((SUM(IF((CkDJ[Date]=$A$4)*(CkDJ[Sort Code]=(TRIM(E$5)))*(CkDJ[Account Code]=(TRIM($B83))),CkDJ[Debit])))+(SUM(IF((CsDJ[Date]=$A$4)*(CsDJ[Sort Code]=(TRIM(E$5)))*(CsDJ[Account Code]=(TRIM($B83))),CsDJ[Debit])))+(SUM(IF((CRDJ[Date]=$A$4)*(CRDJ[Sort Code]=(TRIM(E$5)))*(CRDJ[Account Code]=(TRIM($B83))),CRDJ[Debit])))+(SUM(IF((GJ[Date]=$A$4)*(GJ[Sort Code]=(TRIM(E$5)))*(GJ[Account Code]=(TRIM($B83))),GJ[Debit]))))-((SUM(IF((CkDJ[Date]=$A$4)*(CkDJ[Sort Code]=(TRIM(E$5)))*(CkDJ[Account Code]=(TRIM($B83))),CkDJ[Credit])))+(SUM(IF((CsDJ[Date]=$A$4)*(CsDJ[Sort Code]=(TRIM(E$5)))*(CsDJ[Account Code]=(TRIM($B83))),CsDJ[Credit])))+(SUM(IF((CRDJ[Date]=$A$4)*(CRDJ[Sort Code]=(TRIM(E$5)))*(CRDJ[Account Code]=(TRIM($B83))),CRDJ[Credit])))+(SUM(IF((GJ[Date]=$A$4)*(GJ[Sort Code]=(TRIM(E$5)))*(GJ[Account Code]=(TRIM($B83))),GJ[Credit]))))</f>
        <v>0</v>
      </c>
      <c r="E83" s="467">
        <f t="shared" si="3"/>
        <v>0</v>
      </c>
    </row>
    <row r="84" spans="1:5" x14ac:dyDescent="0.2">
      <c r="A84" s="476" t="s">
        <v>291</v>
      </c>
      <c r="B84" s="339" t="s">
        <v>231</v>
      </c>
      <c r="C84" s="466">
        <f t="array" ref="C84">((SUM(IF((CkDJ[Sort Code]=(TRIM(E$5)))*(CkDJ[Account Code]=(TRIM($B84)))*(CkDJ[Date]&lt;=$C$8),CkDJ[Debit])))+(SUM(IF((CsDJ[Sort Code]=(TRIM(E$5)))*(CsDJ[Account Code]=(TRIM($B84)))*(CsDJ[Date]&lt;=$C$8),CsDJ[Debit])))+(SUM(IF((CRDJ[Sort Code]=(TRIM(E$5)))*(CRDJ[Account Code]=(TRIM($B84)))*(CRDJ[Date]&lt;=$C$8),CRDJ[Debit])))+(SUM(IF((GJ[Sort Code]=(TRIM(E$5)))*(GJ[Account Code]=(TRIM($B84)))*(GJ[Date]&lt;=$C$8),GJ[Debit]))))-((SUM(IF((CkDJ[Sort Code]=(TRIM(E$5)))*(CkDJ[Account Code]=(TRIM($B84)))*(CkDJ[Date]&lt;=$C$8),CkDJ[Credit])))+(SUM(IF((CsDJ[Sort Code]=(TRIM(E$5)))*(CsDJ[Account Code]=(TRIM($B84)))*(CsDJ[Date]&lt;=$C$8),CsDJ[Credit])))+(SUM(IF((CRDJ[Sort Code]=(TRIM(E$5)))*(CRDJ[Account Code]=(TRIM($B84)))*(CRDJ[Date]&lt;=$C$8),CRDJ[Credit])))+(SUM(IF((GJ[Sort Code]=(TRIM(E$5)))*(GJ[Account Code]=(TRIM($B84)))*(GJ[Date]&lt;=$C$8),GJ[Credit]))))</f>
        <v>0</v>
      </c>
      <c r="D84" s="466">
        <f t="array" ref="D84">((SUM(IF((CkDJ[Date]=$A$4)*(CkDJ[Sort Code]=(TRIM(E$5)))*(CkDJ[Account Code]=(TRIM($B84))),CkDJ[Debit])))+(SUM(IF((CsDJ[Date]=$A$4)*(CsDJ[Sort Code]=(TRIM(E$5)))*(CsDJ[Account Code]=(TRIM($B84))),CsDJ[Debit])))+(SUM(IF((CRDJ[Date]=$A$4)*(CRDJ[Sort Code]=(TRIM(E$5)))*(CRDJ[Account Code]=(TRIM($B84))),CRDJ[Debit])))+(SUM(IF((GJ[Date]=$A$4)*(GJ[Sort Code]=(TRIM(E$5)))*(GJ[Account Code]=(TRIM($B84))),GJ[Debit]))))-((SUM(IF((CkDJ[Date]=$A$4)*(CkDJ[Sort Code]=(TRIM(E$5)))*(CkDJ[Account Code]=(TRIM($B84))),CkDJ[Credit])))+(SUM(IF((CsDJ[Date]=$A$4)*(CsDJ[Sort Code]=(TRIM(E$5)))*(CsDJ[Account Code]=(TRIM($B84))),CsDJ[Credit])))+(SUM(IF((CRDJ[Date]=$A$4)*(CRDJ[Sort Code]=(TRIM(E$5)))*(CRDJ[Account Code]=(TRIM($B84))),CRDJ[Credit])))+(SUM(IF((GJ[Date]=$A$4)*(GJ[Sort Code]=(TRIM(E$5)))*(GJ[Account Code]=(TRIM($B84))),GJ[Credit]))))</f>
        <v>0</v>
      </c>
      <c r="E84" s="467">
        <f t="shared" si="3"/>
        <v>0</v>
      </c>
    </row>
    <row r="85" spans="1:5" x14ac:dyDescent="0.2">
      <c r="A85" s="476" t="s">
        <v>292</v>
      </c>
      <c r="B85" s="339" t="s">
        <v>232</v>
      </c>
      <c r="C85" s="466">
        <f t="array" ref="C85">((SUM(IF((CkDJ[Sort Code]=(TRIM(E$5)))*(CkDJ[Account Code]=(TRIM($B85)))*(CkDJ[Date]&lt;=$C$8),CkDJ[Debit])))+(SUM(IF((CsDJ[Sort Code]=(TRIM(E$5)))*(CsDJ[Account Code]=(TRIM($B85)))*(CsDJ[Date]&lt;=$C$8),CsDJ[Debit])))+(SUM(IF((CRDJ[Sort Code]=(TRIM(E$5)))*(CRDJ[Account Code]=(TRIM($B85)))*(CRDJ[Date]&lt;=$C$8),CRDJ[Debit])))+(SUM(IF((GJ[Sort Code]=(TRIM(E$5)))*(GJ[Account Code]=(TRIM($B85)))*(GJ[Date]&lt;=$C$8),GJ[Debit]))))-((SUM(IF((CkDJ[Sort Code]=(TRIM(E$5)))*(CkDJ[Account Code]=(TRIM($B85)))*(CkDJ[Date]&lt;=$C$8),CkDJ[Credit])))+(SUM(IF((CsDJ[Sort Code]=(TRIM(E$5)))*(CsDJ[Account Code]=(TRIM($B85)))*(CsDJ[Date]&lt;=$C$8),CsDJ[Credit])))+(SUM(IF((CRDJ[Sort Code]=(TRIM(E$5)))*(CRDJ[Account Code]=(TRIM($B85)))*(CRDJ[Date]&lt;=$C$8),CRDJ[Credit])))+(SUM(IF((GJ[Sort Code]=(TRIM(E$5)))*(GJ[Account Code]=(TRIM($B85)))*(GJ[Date]&lt;=$C$8),GJ[Credit]))))</f>
        <v>0</v>
      </c>
      <c r="D85" s="466">
        <f t="array" ref="D85">((SUM(IF((CkDJ[Date]=$A$4)*(CkDJ[Sort Code]=(TRIM(E$5)))*(CkDJ[Account Code]=(TRIM($B85))),CkDJ[Debit])))+(SUM(IF((CsDJ[Date]=$A$4)*(CsDJ[Sort Code]=(TRIM(E$5)))*(CsDJ[Account Code]=(TRIM($B85))),CsDJ[Debit])))+(SUM(IF((CRDJ[Date]=$A$4)*(CRDJ[Sort Code]=(TRIM(E$5)))*(CRDJ[Account Code]=(TRIM($B85))),CRDJ[Debit])))+(SUM(IF((GJ[Date]=$A$4)*(GJ[Sort Code]=(TRIM(E$5)))*(GJ[Account Code]=(TRIM($B85))),GJ[Debit]))))-((SUM(IF((CkDJ[Date]=$A$4)*(CkDJ[Sort Code]=(TRIM(E$5)))*(CkDJ[Account Code]=(TRIM($B85))),CkDJ[Credit])))+(SUM(IF((CsDJ[Date]=$A$4)*(CsDJ[Sort Code]=(TRIM(E$5)))*(CsDJ[Account Code]=(TRIM($B85))),CsDJ[Credit])))+(SUM(IF((CRDJ[Date]=$A$4)*(CRDJ[Sort Code]=(TRIM(E$5)))*(CRDJ[Account Code]=(TRIM($B85))),CRDJ[Credit])))+(SUM(IF((GJ[Date]=$A$4)*(GJ[Sort Code]=(TRIM(E$5)))*(GJ[Account Code]=(TRIM($B85))),GJ[Credit]))))</f>
        <v>0</v>
      </c>
      <c r="E85" s="467">
        <f t="shared" si="3"/>
        <v>0</v>
      </c>
    </row>
    <row r="86" spans="1:5" x14ac:dyDescent="0.2">
      <c r="A86" s="476" t="s">
        <v>293</v>
      </c>
      <c r="B86" s="339" t="s">
        <v>233</v>
      </c>
      <c r="C86" s="466">
        <f t="array" ref="C86">((SUM(IF((CkDJ[Sort Code]=(TRIM(E$5)))*(CkDJ[Account Code]=(TRIM($B86)))*(CkDJ[Date]&lt;=$C$8),CkDJ[Debit])))+(SUM(IF((CsDJ[Sort Code]=(TRIM(E$5)))*(CsDJ[Account Code]=(TRIM($B86)))*(CsDJ[Date]&lt;=$C$8),CsDJ[Debit])))+(SUM(IF((CRDJ[Sort Code]=(TRIM(E$5)))*(CRDJ[Account Code]=(TRIM($B86)))*(CRDJ[Date]&lt;=$C$8),CRDJ[Debit])))+(SUM(IF((GJ[Sort Code]=(TRIM(E$5)))*(GJ[Account Code]=(TRIM($B86)))*(GJ[Date]&lt;=$C$8),GJ[Debit]))))-((SUM(IF((CkDJ[Sort Code]=(TRIM(E$5)))*(CkDJ[Account Code]=(TRIM($B86)))*(CkDJ[Date]&lt;=$C$8),CkDJ[Credit])))+(SUM(IF((CsDJ[Sort Code]=(TRIM(E$5)))*(CsDJ[Account Code]=(TRIM($B86)))*(CsDJ[Date]&lt;=$C$8),CsDJ[Credit])))+(SUM(IF((CRDJ[Sort Code]=(TRIM(E$5)))*(CRDJ[Account Code]=(TRIM($B86)))*(CRDJ[Date]&lt;=$C$8),CRDJ[Credit])))+(SUM(IF((GJ[Sort Code]=(TRIM(E$5)))*(GJ[Account Code]=(TRIM($B86)))*(GJ[Date]&lt;=$C$8),GJ[Credit]))))</f>
        <v>0</v>
      </c>
      <c r="D86" s="466">
        <f t="array" ref="D86">((SUM(IF((CkDJ[Date]=$A$4)*(CkDJ[Sort Code]=(TRIM(E$5)))*(CkDJ[Account Code]=(TRIM($B86))),CkDJ[Debit])))+(SUM(IF((CsDJ[Date]=$A$4)*(CsDJ[Sort Code]=(TRIM(E$5)))*(CsDJ[Account Code]=(TRIM($B86))),CsDJ[Debit])))+(SUM(IF((CRDJ[Date]=$A$4)*(CRDJ[Sort Code]=(TRIM(E$5)))*(CRDJ[Account Code]=(TRIM($B86))),CRDJ[Debit])))+(SUM(IF((GJ[Date]=$A$4)*(GJ[Sort Code]=(TRIM(E$5)))*(GJ[Account Code]=(TRIM($B86))),GJ[Debit]))))-((SUM(IF((CkDJ[Date]=$A$4)*(CkDJ[Sort Code]=(TRIM(E$5)))*(CkDJ[Account Code]=(TRIM($B86))),CkDJ[Credit])))+(SUM(IF((CsDJ[Date]=$A$4)*(CsDJ[Sort Code]=(TRIM(E$5)))*(CsDJ[Account Code]=(TRIM($B86))),CsDJ[Credit])))+(SUM(IF((CRDJ[Date]=$A$4)*(CRDJ[Sort Code]=(TRIM(E$5)))*(CRDJ[Account Code]=(TRIM($B86))),CRDJ[Credit])))+(SUM(IF((GJ[Date]=$A$4)*(GJ[Sort Code]=(TRIM(E$5)))*(GJ[Account Code]=(TRIM($B86))),GJ[Credit]))))</f>
        <v>0</v>
      </c>
      <c r="E86" s="467">
        <f t="shared" si="3"/>
        <v>0</v>
      </c>
    </row>
    <row r="87" spans="1:5" x14ac:dyDescent="0.2">
      <c r="A87" s="476" t="s">
        <v>1475</v>
      </c>
      <c r="B87" s="339" t="s">
        <v>1265</v>
      </c>
      <c r="C87" s="466">
        <f t="array" ref="C87">((SUM(IF((CkDJ[Sort Code]=(TRIM(E$5)))*(CkDJ[Account Code]=(TRIM($B87)))*(CkDJ[Date]&lt;=$C$8),CkDJ[Debit])))+(SUM(IF((CsDJ[Sort Code]=(TRIM(E$5)))*(CsDJ[Account Code]=(TRIM($B87)))*(CsDJ[Date]&lt;=$C$8),CsDJ[Debit])))+(SUM(IF((CRDJ[Sort Code]=(TRIM(E$5)))*(CRDJ[Account Code]=(TRIM($B87)))*(CRDJ[Date]&lt;=$C$8),CRDJ[Debit])))+(SUM(IF((GJ[Sort Code]=(TRIM(E$5)))*(GJ[Account Code]=(TRIM($B87)))*(GJ[Date]&lt;=$C$8),GJ[Debit]))))-((SUM(IF((CkDJ[Sort Code]=(TRIM(E$5)))*(CkDJ[Account Code]=(TRIM($B87)))*(CkDJ[Date]&lt;=$C$8),CkDJ[Credit])))+(SUM(IF((CsDJ[Sort Code]=(TRIM(E$5)))*(CsDJ[Account Code]=(TRIM($B87)))*(CsDJ[Date]&lt;=$C$8),CsDJ[Credit])))+(SUM(IF((CRDJ[Sort Code]=(TRIM(E$5)))*(CRDJ[Account Code]=(TRIM($B87)))*(CRDJ[Date]&lt;=$C$8),CRDJ[Credit])))+(SUM(IF((GJ[Sort Code]=(TRIM(E$5)))*(GJ[Account Code]=(TRIM($B87)))*(GJ[Date]&lt;=$C$8),GJ[Credit]))))</f>
        <v>0</v>
      </c>
      <c r="D87" s="466">
        <f t="array" ref="D87">((SUM(IF((CkDJ[Date]=$A$4)*(CkDJ[Sort Code]=(TRIM(E$5)))*(CkDJ[Account Code]=(TRIM($B87))),CkDJ[Debit])))+(SUM(IF((CsDJ[Date]=$A$4)*(CsDJ[Sort Code]=(TRIM(E$5)))*(CsDJ[Account Code]=(TRIM($B87))),CsDJ[Debit])))+(SUM(IF((CRDJ[Date]=$A$4)*(CRDJ[Sort Code]=(TRIM(E$5)))*(CRDJ[Account Code]=(TRIM($B87))),CRDJ[Debit])))+(SUM(IF((GJ[Date]=$A$4)*(GJ[Sort Code]=(TRIM(E$5)))*(GJ[Account Code]=(TRIM($B87))),GJ[Debit]))))-((SUM(IF((CkDJ[Date]=$A$4)*(CkDJ[Sort Code]=(TRIM(E$5)))*(CkDJ[Account Code]=(TRIM($B87))),CkDJ[Credit])))+(SUM(IF((CsDJ[Date]=$A$4)*(CsDJ[Sort Code]=(TRIM(E$5)))*(CsDJ[Account Code]=(TRIM($B87))),CsDJ[Credit])))+(SUM(IF((CRDJ[Date]=$A$4)*(CRDJ[Sort Code]=(TRIM(E$5)))*(CRDJ[Account Code]=(TRIM($B87))),CRDJ[Credit])))+(SUM(IF((GJ[Date]=$A$4)*(GJ[Sort Code]=(TRIM(E$5)))*(GJ[Account Code]=(TRIM($B87))),GJ[Credit]))))</f>
        <v>0</v>
      </c>
      <c r="E87" s="467">
        <f>C87+D87</f>
        <v>0</v>
      </c>
    </row>
    <row r="88" spans="1:5" x14ac:dyDescent="0.2">
      <c r="A88" s="476" t="s">
        <v>1475</v>
      </c>
      <c r="B88" s="339" t="s">
        <v>1266</v>
      </c>
      <c r="C88" s="466">
        <f t="array" ref="C88">((SUM(IF((CkDJ[Sort Code]=(TRIM(E$5)))*(CkDJ[Account Code]=(TRIM($B88)))*(CkDJ[Date]&lt;=$C$8),CkDJ[Debit])))+(SUM(IF((CsDJ[Sort Code]=(TRIM(E$5)))*(CsDJ[Account Code]=(TRIM($B88)))*(CsDJ[Date]&lt;=$C$8),CsDJ[Debit])))+(SUM(IF((CRDJ[Sort Code]=(TRIM(E$5)))*(CRDJ[Account Code]=(TRIM($B88)))*(CRDJ[Date]&lt;=$C$8),CRDJ[Debit])))+(SUM(IF((GJ[Sort Code]=(TRIM(E$5)))*(GJ[Account Code]=(TRIM($B88)))*(GJ[Date]&lt;=$C$8),GJ[Debit]))))-((SUM(IF((CkDJ[Sort Code]=(TRIM(E$5)))*(CkDJ[Account Code]=(TRIM($B88)))*(CkDJ[Date]&lt;=$C$8),CkDJ[Credit])))+(SUM(IF((CsDJ[Sort Code]=(TRIM(E$5)))*(CsDJ[Account Code]=(TRIM($B88)))*(CsDJ[Date]&lt;=$C$8),CsDJ[Credit])))+(SUM(IF((CRDJ[Sort Code]=(TRIM(E$5)))*(CRDJ[Account Code]=(TRIM($B88)))*(CRDJ[Date]&lt;=$C$8),CRDJ[Credit])))+(SUM(IF((GJ[Sort Code]=(TRIM(E$5)))*(GJ[Account Code]=(TRIM($B88)))*(GJ[Date]&lt;=$C$8),GJ[Credit]))))</f>
        <v>0</v>
      </c>
      <c r="D88" s="466">
        <f t="array" ref="D88">((SUM(IF((CkDJ[Date]=$A$4)*(CkDJ[Sort Code]=(TRIM(E$5)))*(CkDJ[Account Code]=(TRIM($B88))),CkDJ[Debit])))+(SUM(IF((CsDJ[Date]=$A$4)*(CsDJ[Sort Code]=(TRIM(E$5)))*(CsDJ[Account Code]=(TRIM($B88))),CsDJ[Debit])))+(SUM(IF((CRDJ[Date]=$A$4)*(CRDJ[Sort Code]=(TRIM(E$5)))*(CRDJ[Account Code]=(TRIM($B88))),CRDJ[Debit])))+(SUM(IF((GJ[Date]=$A$4)*(GJ[Sort Code]=(TRIM(E$5)))*(GJ[Account Code]=(TRIM($B88))),GJ[Debit]))))-((SUM(IF((CkDJ[Date]=$A$4)*(CkDJ[Sort Code]=(TRIM(E$5)))*(CkDJ[Account Code]=(TRIM($B88))),CkDJ[Credit])))+(SUM(IF((CsDJ[Date]=$A$4)*(CsDJ[Sort Code]=(TRIM(E$5)))*(CsDJ[Account Code]=(TRIM($B88))),CsDJ[Credit])))+(SUM(IF((CRDJ[Date]=$A$4)*(CRDJ[Sort Code]=(TRIM(E$5)))*(CRDJ[Account Code]=(TRIM($B88))),CRDJ[Credit])))+(SUM(IF((GJ[Date]=$A$4)*(GJ[Sort Code]=(TRIM(E$5)))*(GJ[Account Code]=(TRIM($B88))),GJ[Credit]))))</f>
        <v>0</v>
      </c>
      <c r="E88" s="467">
        <f>C88+D88</f>
        <v>0</v>
      </c>
    </row>
    <row r="89" spans="1:5" x14ac:dyDescent="0.2">
      <c r="A89" s="476" t="s">
        <v>294</v>
      </c>
      <c r="B89" s="339" t="s">
        <v>234</v>
      </c>
      <c r="C89" s="466">
        <f t="array" ref="C89">((SUM(IF((CkDJ[Sort Code]=(TRIM(E$5)))*(CkDJ[Account Code]=(TRIM($B89)))*(CkDJ[Date]&lt;=$C$8),CkDJ[Debit])))+(SUM(IF((CsDJ[Sort Code]=(TRIM(E$5)))*(CsDJ[Account Code]=(TRIM($B89)))*(CsDJ[Date]&lt;=$C$8),CsDJ[Debit])))+(SUM(IF((CRDJ[Sort Code]=(TRIM(E$5)))*(CRDJ[Account Code]=(TRIM($B89)))*(CRDJ[Date]&lt;=$C$8),CRDJ[Debit])))+(SUM(IF((GJ[Sort Code]=(TRIM(E$5)))*(GJ[Account Code]=(TRIM($B89)))*(GJ[Date]&lt;=$C$8),GJ[Debit]))))-((SUM(IF((CkDJ[Sort Code]=(TRIM(E$5)))*(CkDJ[Account Code]=(TRIM($B89)))*(CkDJ[Date]&lt;=$C$8),CkDJ[Credit])))+(SUM(IF((CsDJ[Sort Code]=(TRIM(E$5)))*(CsDJ[Account Code]=(TRIM($B89)))*(CsDJ[Date]&lt;=$C$8),CsDJ[Credit])))+(SUM(IF((CRDJ[Sort Code]=(TRIM(E$5)))*(CRDJ[Account Code]=(TRIM($B89)))*(CRDJ[Date]&lt;=$C$8),CRDJ[Credit])))+(SUM(IF((GJ[Sort Code]=(TRIM(E$5)))*(GJ[Account Code]=(TRIM($B89)))*(GJ[Date]&lt;=$C$8),GJ[Credit]))))</f>
        <v>0</v>
      </c>
      <c r="D89" s="466">
        <f t="array" ref="D89">((SUM(IF((CkDJ[Date]=$A$4)*(CkDJ[Sort Code]=(TRIM(E$5)))*(CkDJ[Account Code]=(TRIM($B89))),CkDJ[Debit])))+(SUM(IF((CsDJ[Date]=$A$4)*(CsDJ[Sort Code]=(TRIM(E$5)))*(CsDJ[Account Code]=(TRIM($B89))),CsDJ[Debit])))+(SUM(IF((CRDJ[Date]=$A$4)*(CRDJ[Sort Code]=(TRIM(E$5)))*(CRDJ[Account Code]=(TRIM($B89))),CRDJ[Debit])))+(SUM(IF((GJ[Date]=$A$4)*(GJ[Sort Code]=(TRIM(E$5)))*(GJ[Account Code]=(TRIM($B89))),GJ[Debit]))))-((SUM(IF((CkDJ[Date]=$A$4)*(CkDJ[Sort Code]=(TRIM(E$5)))*(CkDJ[Account Code]=(TRIM($B89))),CkDJ[Credit])))+(SUM(IF((CsDJ[Date]=$A$4)*(CsDJ[Sort Code]=(TRIM(E$5)))*(CsDJ[Account Code]=(TRIM($B89))),CsDJ[Credit])))+(SUM(IF((CRDJ[Date]=$A$4)*(CRDJ[Sort Code]=(TRIM(E$5)))*(CRDJ[Account Code]=(TRIM($B89))),CRDJ[Credit])))+(SUM(IF((GJ[Date]=$A$4)*(GJ[Sort Code]=(TRIM(E$5)))*(GJ[Account Code]=(TRIM($B89))),GJ[Credit]))))</f>
        <v>0</v>
      </c>
      <c r="E89" s="467">
        <f t="shared" si="3"/>
        <v>0</v>
      </c>
    </row>
    <row r="90" spans="1:5" x14ac:dyDescent="0.2">
      <c r="A90" s="476" t="s">
        <v>295</v>
      </c>
      <c r="B90" s="339" t="s">
        <v>235</v>
      </c>
      <c r="C90" s="466">
        <f t="array" ref="C90">((SUM(IF((CkDJ[Sort Code]=(TRIM(E$5)))*(CkDJ[Account Code]=(TRIM($B90)))*(CkDJ[Date]&lt;=$C$8),CkDJ[Debit])))+(SUM(IF((CsDJ[Sort Code]=(TRIM(E$5)))*(CsDJ[Account Code]=(TRIM($B90)))*(CsDJ[Date]&lt;=$C$8),CsDJ[Debit])))+(SUM(IF((CRDJ[Sort Code]=(TRIM(E$5)))*(CRDJ[Account Code]=(TRIM($B90)))*(CRDJ[Date]&lt;=$C$8),CRDJ[Debit])))+(SUM(IF((GJ[Sort Code]=(TRIM(E$5)))*(GJ[Account Code]=(TRIM($B90)))*(GJ[Date]&lt;=$C$8),GJ[Debit]))))-((SUM(IF((CkDJ[Sort Code]=(TRIM(E$5)))*(CkDJ[Account Code]=(TRIM($B90)))*(CkDJ[Date]&lt;=$C$8),CkDJ[Credit])))+(SUM(IF((CsDJ[Sort Code]=(TRIM(E$5)))*(CsDJ[Account Code]=(TRIM($B90)))*(CsDJ[Date]&lt;=$C$8),CsDJ[Credit])))+(SUM(IF((CRDJ[Sort Code]=(TRIM(E$5)))*(CRDJ[Account Code]=(TRIM($B90)))*(CRDJ[Date]&lt;=$C$8),CRDJ[Credit])))+(SUM(IF((GJ[Sort Code]=(TRIM(E$5)))*(GJ[Account Code]=(TRIM($B90)))*(GJ[Date]&lt;=$C$8),GJ[Credit]))))</f>
        <v>0</v>
      </c>
      <c r="D90" s="466">
        <f t="array" ref="D90">((SUM(IF((CkDJ[Date]=$A$4)*(CkDJ[Sort Code]=(TRIM(E$5)))*(CkDJ[Account Code]=(TRIM($B90))),CkDJ[Debit])))+(SUM(IF((CsDJ[Date]=$A$4)*(CsDJ[Sort Code]=(TRIM(E$5)))*(CsDJ[Account Code]=(TRIM($B90))),CsDJ[Debit])))+(SUM(IF((CRDJ[Date]=$A$4)*(CRDJ[Sort Code]=(TRIM(E$5)))*(CRDJ[Account Code]=(TRIM($B90))),CRDJ[Debit])))+(SUM(IF((GJ[Date]=$A$4)*(GJ[Sort Code]=(TRIM(E$5)))*(GJ[Account Code]=(TRIM($B90))),GJ[Debit]))))-((SUM(IF((CkDJ[Date]=$A$4)*(CkDJ[Sort Code]=(TRIM(E$5)))*(CkDJ[Account Code]=(TRIM($B90))),CkDJ[Credit])))+(SUM(IF((CsDJ[Date]=$A$4)*(CsDJ[Sort Code]=(TRIM(E$5)))*(CsDJ[Account Code]=(TRIM($B90))),CsDJ[Credit])))+(SUM(IF((CRDJ[Date]=$A$4)*(CRDJ[Sort Code]=(TRIM(E$5)))*(CRDJ[Account Code]=(TRIM($B90))),CRDJ[Credit])))+(SUM(IF((GJ[Date]=$A$4)*(GJ[Sort Code]=(TRIM(E$5)))*(GJ[Account Code]=(TRIM($B90))),GJ[Credit]))))</f>
        <v>0</v>
      </c>
      <c r="E90" s="467">
        <f t="shared" si="3"/>
        <v>0</v>
      </c>
    </row>
    <row r="91" spans="1:5" x14ac:dyDescent="0.2">
      <c r="A91" s="476" t="s">
        <v>296</v>
      </c>
      <c r="B91" s="339" t="s">
        <v>236</v>
      </c>
      <c r="C91" s="466">
        <f t="array" ref="C91">((SUM(IF((CkDJ[Sort Code]=(TRIM(E$5)))*(CkDJ[Account Code]=(TRIM($B91)))*(CkDJ[Date]&lt;=$C$8),CkDJ[Debit])))+(SUM(IF((CsDJ[Sort Code]=(TRIM(E$5)))*(CsDJ[Account Code]=(TRIM($B91)))*(CsDJ[Date]&lt;=$C$8),CsDJ[Debit])))+(SUM(IF((CRDJ[Sort Code]=(TRIM(E$5)))*(CRDJ[Account Code]=(TRIM($B91)))*(CRDJ[Date]&lt;=$C$8),CRDJ[Debit])))+(SUM(IF((GJ[Sort Code]=(TRIM(E$5)))*(GJ[Account Code]=(TRIM($B91)))*(GJ[Date]&lt;=$C$8),GJ[Debit]))))-((SUM(IF((CkDJ[Sort Code]=(TRIM(E$5)))*(CkDJ[Account Code]=(TRIM($B91)))*(CkDJ[Date]&lt;=$C$8),CkDJ[Credit])))+(SUM(IF((CsDJ[Sort Code]=(TRIM(E$5)))*(CsDJ[Account Code]=(TRIM($B91)))*(CsDJ[Date]&lt;=$C$8),CsDJ[Credit])))+(SUM(IF((CRDJ[Sort Code]=(TRIM(E$5)))*(CRDJ[Account Code]=(TRIM($B91)))*(CRDJ[Date]&lt;=$C$8),CRDJ[Credit])))+(SUM(IF((GJ[Sort Code]=(TRIM(E$5)))*(GJ[Account Code]=(TRIM($B91)))*(GJ[Date]&lt;=$C$8),GJ[Credit]))))</f>
        <v>0</v>
      </c>
      <c r="D91" s="466">
        <f t="array" ref="D91">((SUM(IF((CkDJ[Date]=$A$4)*(CkDJ[Sort Code]=(TRIM(E$5)))*(CkDJ[Account Code]=(TRIM($B91))),CkDJ[Debit])))+(SUM(IF((CsDJ[Date]=$A$4)*(CsDJ[Sort Code]=(TRIM(E$5)))*(CsDJ[Account Code]=(TRIM($B91))),CsDJ[Debit])))+(SUM(IF((CRDJ[Date]=$A$4)*(CRDJ[Sort Code]=(TRIM(E$5)))*(CRDJ[Account Code]=(TRIM($B91))),CRDJ[Debit])))+(SUM(IF((GJ[Date]=$A$4)*(GJ[Sort Code]=(TRIM(E$5)))*(GJ[Account Code]=(TRIM($B91))),GJ[Debit]))))-((SUM(IF((CkDJ[Date]=$A$4)*(CkDJ[Sort Code]=(TRIM(E$5)))*(CkDJ[Account Code]=(TRIM($B91))),CkDJ[Credit])))+(SUM(IF((CsDJ[Date]=$A$4)*(CsDJ[Sort Code]=(TRIM(E$5)))*(CsDJ[Account Code]=(TRIM($B91))),CsDJ[Credit])))+(SUM(IF((CRDJ[Date]=$A$4)*(CRDJ[Sort Code]=(TRIM(E$5)))*(CRDJ[Account Code]=(TRIM($B91))),CRDJ[Credit])))+(SUM(IF((GJ[Date]=$A$4)*(GJ[Sort Code]=(TRIM(E$5)))*(GJ[Account Code]=(TRIM($B91))),GJ[Credit]))))</f>
        <v>0</v>
      </c>
      <c r="E91" s="467">
        <f t="shared" si="3"/>
        <v>0</v>
      </c>
    </row>
    <row r="92" spans="1:5" x14ac:dyDescent="0.2">
      <c r="A92" s="476" t="s">
        <v>297</v>
      </c>
      <c r="B92" s="339" t="s">
        <v>237</v>
      </c>
      <c r="C92" s="466">
        <f t="array" ref="C92">((SUM(IF((CkDJ[Sort Code]=(TRIM(E$5)))*(CkDJ[Account Code]=(TRIM($B92)))*(CkDJ[Date]&lt;=$C$8),CkDJ[Debit])))+(SUM(IF((CsDJ[Sort Code]=(TRIM(E$5)))*(CsDJ[Account Code]=(TRIM($B92)))*(CsDJ[Date]&lt;=$C$8),CsDJ[Debit])))+(SUM(IF((CRDJ[Sort Code]=(TRIM(E$5)))*(CRDJ[Account Code]=(TRIM($B92)))*(CRDJ[Date]&lt;=$C$8),CRDJ[Debit])))+(SUM(IF((GJ[Sort Code]=(TRIM(E$5)))*(GJ[Account Code]=(TRIM($B92)))*(GJ[Date]&lt;=$C$8),GJ[Debit]))))-((SUM(IF((CkDJ[Sort Code]=(TRIM(E$5)))*(CkDJ[Account Code]=(TRIM($B92)))*(CkDJ[Date]&lt;=$C$8),CkDJ[Credit])))+(SUM(IF((CsDJ[Sort Code]=(TRIM(E$5)))*(CsDJ[Account Code]=(TRIM($B92)))*(CsDJ[Date]&lt;=$C$8),CsDJ[Credit])))+(SUM(IF((CRDJ[Sort Code]=(TRIM(E$5)))*(CRDJ[Account Code]=(TRIM($B92)))*(CRDJ[Date]&lt;=$C$8),CRDJ[Credit])))+(SUM(IF((GJ[Sort Code]=(TRIM(E$5)))*(GJ[Account Code]=(TRIM($B92)))*(GJ[Date]&lt;=$C$8),GJ[Credit]))))</f>
        <v>0</v>
      </c>
      <c r="D92" s="466">
        <f t="array" ref="D92">((SUM(IF((CkDJ[Date]=$A$4)*(CkDJ[Sort Code]=(TRIM(E$5)))*(CkDJ[Account Code]=(TRIM($B92))),CkDJ[Debit])))+(SUM(IF((CsDJ[Date]=$A$4)*(CsDJ[Sort Code]=(TRIM(E$5)))*(CsDJ[Account Code]=(TRIM($B92))),CsDJ[Debit])))+(SUM(IF((CRDJ[Date]=$A$4)*(CRDJ[Sort Code]=(TRIM(E$5)))*(CRDJ[Account Code]=(TRIM($B92))),CRDJ[Debit])))+(SUM(IF((GJ[Date]=$A$4)*(GJ[Sort Code]=(TRIM(E$5)))*(GJ[Account Code]=(TRIM($B92))),GJ[Debit]))))-((SUM(IF((CkDJ[Date]=$A$4)*(CkDJ[Sort Code]=(TRIM(E$5)))*(CkDJ[Account Code]=(TRIM($B92))),CkDJ[Credit])))+(SUM(IF((CsDJ[Date]=$A$4)*(CsDJ[Sort Code]=(TRIM(E$5)))*(CsDJ[Account Code]=(TRIM($B92))),CsDJ[Credit])))+(SUM(IF((CRDJ[Date]=$A$4)*(CRDJ[Sort Code]=(TRIM(E$5)))*(CRDJ[Account Code]=(TRIM($B92))),CRDJ[Credit])))+(SUM(IF((GJ[Date]=$A$4)*(GJ[Sort Code]=(TRIM(E$5)))*(GJ[Account Code]=(TRIM($B92))),GJ[Credit]))))</f>
        <v>0</v>
      </c>
      <c r="E92" s="467">
        <f t="shared" si="3"/>
        <v>0</v>
      </c>
    </row>
    <row r="93" spans="1:5" x14ac:dyDescent="0.2">
      <c r="A93" s="476" t="s">
        <v>298</v>
      </c>
      <c r="B93" s="339" t="s">
        <v>238</v>
      </c>
      <c r="C93" s="466">
        <f t="array" ref="C93">((SUM(IF((CkDJ[Sort Code]=(TRIM(E$5)))*(CkDJ[Account Code]=(TRIM($B93)))*(CkDJ[Date]&lt;=$C$8),CkDJ[Debit])))+(SUM(IF((CsDJ[Sort Code]=(TRIM(E$5)))*(CsDJ[Account Code]=(TRIM($B93)))*(CsDJ[Date]&lt;=$C$8),CsDJ[Debit])))+(SUM(IF((CRDJ[Sort Code]=(TRIM(E$5)))*(CRDJ[Account Code]=(TRIM($B93)))*(CRDJ[Date]&lt;=$C$8),CRDJ[Debit])))+(SUM(IF((GJ[Sort Code]=(TRIM(E$5)))*(GJ[Account Code]=(TRIM($B93)))*(GJ[Date]&lt;=$C$8),GJ[Debit]))))-((SUM(IF((CkDJ[Sort Code]=(TRIM(E$5)))*(CkDJ[Account Code]=(TRIM($B93)))*(CkDJ[Date]&lt;=$C$8),CkDJ[Credit])))+(SUM(IF((CsDJ[Sort Code]=(TRIM(E$5)))*(CsDJ[Account Code]=(TRIM($B93)))*(CsDJ[Date]&lt;=$C$8),CsDJ[Credit])))+(SUM(IF((CRDJ[Sort Code]=(TRIM(E$5)))*(CRDJ[Account Code]=(TRIM($B93)))*(CRDJ[Date]&lt;=$C$8),CRDJ[Credit])))+(SUM(IF((GJ[Sort Code]=(TRIM(E$5)))*(GJ[Account Code]=(TRIM($B93)))*(GJ[Date]&lt;=$C$8),GJ[Credit]))))</f>
        <v>0</v>
      </c>
      <c r="D93" s="466">
        <f t="array" ref="D93">((SUM(IF((CkDJ[Date]=$A$4)*(CkDJ[Sort Code]=(TRIM(E$5)))*(CkDJ[Account Code]=(TRIM($B93))),CkDJ[Debit])))+(SUM(IF((CsDJ[Date]=$A$4)*(CsDJ[Sort Code]=(TRIM(E$5)))*(CsDJ[Account Code]=(TRIM($B93))),CsDJ[Debit])))+(SUM(IF((CRDJ[Date]=$A$4)*(CRDJ[Sort Code]=(TRIM(E$5)))*(CRDJ[Account Code]=(TRIM($B93))),CRDJ[Debit])))+(SUM(IF((GJ[Date]=$A$4)*(GJ[Sort Code]=(TRIM(E$5)))*(GJ[Account Code]=(TRIM($B93))),GJ[Debit]))))-((SUM(IF((CkDJ[Date]=$A$4)*(CkDJ[Sort Code]=(TRIM(E$5)))*(CkDJ[Account Code]=(TRIM($B93))),CkDJ[Credit])))+(SUM(IF((CsDJ[Date]=$A$4)*(CsDJ[Sort Code]=(TRIM(E$5)))*(CsDJ[Account Code]=(TRIM($B93))),CsDJ[Credit])))+(SUM(IF((CRDJ[Date]=$A$4)*(CRDJ[Sort Code]=(TRIM(E$5)))*(CRDJ[Account Code]=(TRIM($B93))),CRDJ[Credit])))+(SUM(IF((GJ[Date]=$A$4)*(GJ[Sort Code]=(TRIM(E$5)))*(GJ[Account Code]=(TRIM($B93))),GJ[Credit]))))</f>
        <v>0</v>
      </c>
      <c r="E93" s="467">
        <f t="shared" si="3"/>
        <v>0</v>
      </c>
    </row>
    <row r="94" spans="1:5" x14ac:dyDescent="0.2">
      <c r="A94" s="476" t="s">
        <v>1019</v>
      </c>
      <c r="B94" s="339" t="s">
        <v>239</v>
      </c>
      <c r="C94" s="466">
        <f t="array" ref="C94">((SUM(IF((CkDJ[Sort Code]=(TRIM(E$5)))*(CkDJ[Account Code]=(TRIM($B94)))*(CkDJ[Date]&lt;=$C$8),CkDJ[Debit])))+(SUM(IF((CsDJ[Sort Code]=(TRIM(E$5)))*(CsDJ[Account Code]=(TRIM($B94)))*(CsDJ[Date]&lt;=$C$8),CsDJ[Debit])))+(SUM(IF((CRDJ[Sort Code]=(TRIM(E$5)))*(CRDJ[Account Code]=(TRIM($B94)))*(CRDJ[Date]&lt;=$C$8),CRDJ[Debit])))+(SUM(IF((GJ[Sort Code]=(TRIM(E$5)))*(GJ[Account Code]=(TRIM($B94)))*(GJ[Date]&lt;=$C$8),GJ[Debit]))))-((SUM(IF((CkDJ[Sort Code]=(TRIM(E$5)))*(CkDJ[Account Code]=(TRIM($B94)))*(CkDJ[Date]&lt;=$C$8),CkDJ[Credit])))+(SUM(IF((CsDJ[Sort Code]=(TRIM(E$5)))*(CsDJ[Account Code]=(TRIM($B94)))*(CsDJ[Date]&lt;=$C$8),CsDJ[Credit])))+(SUM(IF((CRDJ[Sort Code]=(TRIM(E$5)))*(CRDJ[Account Code]=(TRIM($B94)))*(CRDJ[Date]&lt;=$C$8),CRDJ[Credit])))+(SUM(IF((GJ[Sort Code]=(TRIM(E$5)))*(GJ[Account Code]=(TRIM($B94)))*(GJ[Date]&lt;=$C$8),GJ[Credit]))))</f>
        <v>0</v>
      </c>
      <c r="D94" s="466">
        <f t="array" ref="D94">((SUM(IF((CkDJ[Date]=$A$4)*(CkDJ[Sort Code]=(TRIM(E$5)))*(CkDJ[Account Code]=(TRIM($B94))),CkDJ[Debit])))+(SUM(IF((CsDJ[Date]=$A$4)*(CsDJ[Sort Code]=(TRIM(E$5)))*(CsDJ[Account Code]=(TRIM($B94))),CsDJ[Debit])))+(SUM(IF((CRDJ[Date]=$A$4)*(CRDJ[Sort Code]=(TRIM(E$5)))*(CRDJ[Account Code]=(TRIM($B94))),CRDJ[Debit])))+(SUM(IF((GJ[Date]=$A$4)*(GJ[Sort Code]=(TRIM(E$5)))*(GJ[Account Code]=(TRIM($B94))),GJ[Debit]))))-((SUM(IF((CkDJ[Date]=$A$4)*(CkDJ[Sort Code]=(TRIM(E$5)))*(CkDJ[Account Code]=(TRIM($B94))),CkDJ[Credit])))+(SUM(IF((CsDJ[Date]=$A$4)*(CsDJ[Sort Code]=(TRIM(E$5)))*(CsDJ[Account Code]=(TRIM($B94))),CsDJ[Credit])))+(SUM(IF((CRDJ[Date]=$A$4)*(CRDJ[Sort Code]=(TRIM(E$5)))*(CRDJ[Account Code]=(TRIM($B94))),CRDJ[Credit])))+(SUM(IF((GJ[Date]=$A$4)*(GJ[Sort Code]=(TRIM(E$5)))*(GJ[Account Code]=(TRIM($B94))),GJ[Credit]))))</f>
        <v>0</v>
      </c>
      <c r="E94" s="467">
        <f t="shared" si="3"/>
        <v>0</v>
      </c>
    </row>
    <row r="95" spans="1:5" x14ac:dyDescent="0.2">
      <c r="A95" s="476" t="s">
        <v>1020</v>
      </c>
      <c r="B95" s="339" t="s">
        <v>240</v>
      </c>
      <c r="C95" s="466">
        <f t="array" ref="C95">((SUM(IF((CkDJ[Sort Code]=(TRIM(E$5)))*(CkDJ[Account Code]=(TRIM($B95)))*(CkDJ[Date]&lt;=$C$8),CkDJ[Debit])))+(SUM(IF((CsDJ[Sort Code]=(TRIM(E$5)))*(CsDJ[Account Code]=(TRIM($B95)))*(CsDJ[Date]&lt;=$C$8),CsDJ[Debit])))+(SUM(IF((CRDJ[Sort Code]=(TRIM(E$5)))*(CRDJ[Account Code]=(TRIM($B95)))*(CRDJ[Date]&lt;=$C$8),CRDJ[Debit])))+(SUM(IF((GJ[Sort Code]=(TRIM(E$5)))*(GJ[Account Code]=(TRIM($B95)))*(GJ[Date]&lt;=$C$8),GJ[Debit]))))-((SUM(IF((CkDJ[Sort Code]=(TRIM(E$5)))*(CkDJ[Account Code]=(TRIM($B95)))*(CkDJ[Date]&lt;=$C$8),CkDJ[Credit])))+(SUM(IF((CsDJ[Sort Code]=(TRIM(E$5)))*(CsDJ[Account Code]=(TRIM($B95)))*(CsDJ[Date]&lt;=$C$8),CsDJ[Credit])))+(SUM(IF((CRDJ[Sort Code]=(TRIM(E$5)))*(CRDJ[Account Code]=(TRIM($B95)))*(CRDJ[Date]&lt;=$C$8),CRDJ[Credit])))+(SUM(IF((GJ[Sort Code]=(TRIM(E$5)))*(GJ[Account Code]=(TRIM($B95)))*(GJ[Date]&lt;=$C$8),GJ[Credit]))))</f>
        <v>0</v>
      </c>
      <c r="D95" s="466">
        <f t="array" ref="D95">((SUM(IF((CkDJ[Date]=$A$4)*(CkDJ[Sort Code]=(TRIM(E$5)))*(CkDJ[Account Code]=(TRIM($B95))),CkDJ[Debit])))+(SUM(IF((CsDJ[Date]=$A$4)*(CsDJ[Sort Code]=(TRIM(E$5)))*(CsDJ[Account Code]=(TRIM($B95))),CsDJ[Debit])))+(SUM(IF((CRDJ[Date]=$A$4)*(CRDJ[Sort Code]=(TRIM(E$5)))*(CRDJ[Account Code]=(TRIM($B95))),CRDJ[Debit])))+(SUM(IF((GJ[Date]=$A$4)*(GJ[Sort Code]=(TRIM(E$5)))*(GJ[Account Code]=(TRIM($B95))),GJ[Debit]))))-((SUM(IF((CkDJ[Date]=$A$4)*(CkDJ[Sort Code]=(TRIM(E$5)))*(CkDJ[Account Code]=(TRIM($B95))),CkDJ[Credit])))+(SUM(IF((CsDJ[Date]=$A$4)*(CsDJ[Sort Code]=(TRIM(E$5)))*(CsDJ[Account Code]=(TRIM($B95))),CsDJ[Credit])))+(SUM(IF((CRDJ[Date]=$A$4)*(CRDJ[Sort Code]=(TRIM(E$5)))*(CRDJ[Account Code]=(TRIM($B95))),CRDJ[Credit])))+(SUM(IF((GJ[Date]=$A$4)*(GJ[Sort Code]=(TRIM(E$5)))*(GJ[Account Code]=(TRIM($B95))),GJ[Credit]))))</f>
        <v>0</v>
      </c>
      <c r="E95" s="467">
        <f t="shared" si="3"/>
        <v>0</v>
      </c>
    </row>
    <row r="96" spans="1:5" x14ac:dyDescent="0.2">
      <c r="A96" s="476" t="s">
        <v>299</v>
      </c>
      <c r="B96" s="339" t="s">
        <v>241</v>
      </c>
      <c r="C96" s="466">
        <f t="array" ref="C96">((SUM(IF((CkDJ[Sort Code]=(TRIM(E$5)))*(CkDJ[Account Code]=(TRIM($B96)))*(CkDJ[Date]&lt;=$C$8),CkDJ[Debit])))+(SUM(IF((CsDJ[Sort Code]=(TRIM(E$5)))*(CsDJ[Account Code]=(TRIM($B96)))*(CsDJ[Date]&lt;=$C$8),CsDJ[Debit])))+(SUM(IF((CRDJ[Sort Code]=(TRIM(E$5)))*(CRDJ[Account Code]=(TRIM($B96)))*(CRDJ[Date]&lt;=$C$8),CRDJ[Debit])))+(SUM(IF((GJ[Sort Code]=(TRIM(E$5)))*(GJ[Account Code]=(TRIM($B96)))*(GJ[Date]&lt;=$C$8),GJ[Debit]))))-((SUM(IF((CkDJ[Sort Code]=(TRIM(E$5)))*(CkDJ[Account Code]=(TRIM($B96)))*(CkDJ[Date]&lt;=$C$8),CkDJ[Credit])))+(SUM(IF((CsDJ[Sort Code]=(TRIM(E$5)))*(CsDJ[Account Code]=(TRIM($B96)))*(CsDJ[Date]&lt;=$C$8),CsDJ[Credit])))+(SUM(IF((CRDJ[Sort Code]=(TRIM(E$5)))*(CRDJ[Account Code]=(TRIM($B96)))*(CRDJ[Date]&lt;=$C$8),CRDJ[Credit])))+(SUM(IF((GJ[Sort Code]=(TRIM(E$5)))*(GJ[Account Code]=(TRIM($B96)))*(GJ[Date]&lt;=$C$8),GJ[Credit]))))</f>
        <v>0</v>
      </c>
      <c r="D96" s="466">
        <f t="array" ref="D96">((SUM(IF((CkDJ[Date]=$A$4)*(CkDJ[Sort Code]=(TRIM(E$5)))*(CkDJ[Account Code]=(TRIM($B96))),CkDJ[Debit])))+(SUM(IF((CsDJ[Date]=$A$4)*(CsDJ[Sort Code]=(TRIM(E$5)))*(CsDJ[Account Code]=(TRIM($B96))),CsDJ[Debit])))+(SUM(IF((CRDJ[Date]=$A$4)*(CRDJ[Sort Code]=(TRIM(E$5)))*(CRDJ[Account Code]=(TRIM($B96))),CRDJ[Debit])))+(SUM(IF((GJ[Date]=$A$4)*(GJ[Sort Code]=(TRIM(E$5)))*(GJ[Account Code]=(TRIM($B96))),GJ[Debit]))))-((SUM(IF((CkDJ[Date]=$A$4)*(CkDJ[Sort Code]=(TRIM(E$5)))*(CkDJ[Account Code]=(TRIM($B96))),CkDJ[Credit])))+(SUM(IF((CsDJ[Date]=$A$4)*(CsDJ[Sort Code]=(TRIM(E$5)))*(CsDJ[Account Code]=(TRIM($B96))),CsDJ[Credit])))+(SUM(IF((CRDJ[Date]=$A$4)*(CRDJ[Sort Code]=(TRIM(E$5)))*(CRDJ[Account Code]=(TRIM($B96))),CRDJ[Credit])))+(SUM(IF((GJ[Date]=$A$4)*(GJ[Sort Code]=(TRIM(E$5)))*(GJ[Account Code]=(TRIM($B96))),GJ[Credit]))))</f>
        <v>0</v>
      </c>
      <c r="E96" s="467">
        <f t="shared" si="3"/>
        <v>0</v>
      </c>
    </row>
    <row r="97" spans="1:5" x14ac:dyDescent="0.2">
      <c r="A97" s="476" t="s">
        <v>300</v>
      </c>
      <c r="B97" s="339" t="s">
        <v>242</v>
      </c>
      <c r="C97" s="466">
        <f t="array" ref="C97">((SUM(IF((CkDJ[Sort Code]=(TRIM(E$5)))*(CkDJ[Account Code]=(TRIM($B97)))*(CkDJ[Date]&lt;=$C$8),CkDJ[Debit])))+(SUM(IF((CsDJ[Sort Code]=(TRIM(E$5)))*(CsDJ[Account Code]=(TRIM($B97)))*(CsDJ[Date]&lt;=$C$8),CsDJ[Debit])))+(SUM(IF((CRDJ[Sort Code]=(TRIM(E$5)))*(CRDJ[Account Code]=(TRIM($B97)))*(CRDJ[Date]&lt;=$C$8),CRDJ[Debit])))+(SUM(IF((GJ[Sort Code]=(TRIM(E$5)))*(GJ[Account Code]=(TRIM($B97)))*(GJ[Date]&lt;=$C$8),GJ[Debit]))))-((SUM(IF((CkDJ[Sort Code]=(TRIM(E$5)))*(CkDJ[Account Code]=(TRIM($B97)))*(CkDJ[Date]&lt;=$C$8),CkDJ[Credit])))+(SUM(IF((CsDJ[Sort Code]=(TRIM(E$5)))*(CsDJ[Account Code]=(TRIM($B97)))*(CsDJ[Date]&lt;=$C$8),CsDJ[Credit])))+(SUM(IF((CRDJ[Sort Code]=(TRIM(E$5)))*(CRDJ[Account Code]=(TRIM($B97)))*(CRDJ[Date]&lt;=$C$8),CRDJ[Credit])))+(SUM(IF((GJ[Sort Code]=(TRIM(E$5)))*(GJ[Account Code]=(TRIM($B97)))*(GJ[Date]&lt;=$C$8),GJ[Credit]))))</f>
        <v>0</v>
      </c>
      <c r="D97" s="466">
        <f t="array" ref="D97">((SUM(IF((CkDJ[Date]=$A$4)*(CkDJ[Sort Code]=(TRIM(E$5)))*(CkDJ[Account Code]=(TRIM($B97))),CkDJ[Debit])))+(SUM(IF((CsDJ[Date]=$A$4)*(CsDJ[Sort Code]=(TRIM(E$5)))*(CsDJ[Account Code]=(TRIM($B97))),CsDJ[Debit])))+(SUM(IF((CRDJ[Date]=$A$4)*(CRDJ[Sort Code]=(TRIM(E$5)))*(CRDJ[Account Code]=(TRIM($B97))),CRDJ[Debit])))+(SUM(IF((GJ[Date]=$A$4)*(GJ[Sort Code]=(TRIM(E$5)))*(GJ[Account Code]=(TRIM($B97))),GJ[Debit]))))-((SUM(IF((CkDJ[Date]=$A$4)*(CkDJ[Sort Code]=(TRIM(E$5)))*(CkDJ[Account Code]=(TRIM($B97))),CkDJ[Credit])))+(SUM(IF((CsDJ[Date]=$A$4)*(CsDJ[Sort Code]=(TRIM(E$5)))*(CsDJ[Account Code]=(TRIM($B97))),CsDJ[Credit])))+(SUM(IF((CRDJ[Date]=$A$4)*(CRDJ[Sort Code]=(TRIM(E$5)))*(CRDJ[Account Code]=(TRIM($B97))),CRDJ[Credit])))+(SUM(IF((GJ[Date]=$A$4)*(GJ[Sort Code]=(TRIM(E$5)))*(GJ[Account Code]=(TRIM($B97))),GJ[Credit]))))</f>
        <v>0</v>
      </c>
      <c r="E97" s="467">
        <f t="shared" si="3"/>
        <v>0</v>
      </c>
    </row>
    <row r="98" spans="1:5" x14ac:dyDescent="0.2">
      <c r="A98" s="476" t="s">
        <v>301</v>
      </c>
      <c r="B98" s="339" t="s">
        <v>243</v>
      </c>
      <c r="C98" s="466">
        <f t="array" ref="C98">((SUM(IF((CkDJ[Sort Code]=(TRIM(E$5)))*(CkDJ[Account Code]=(TRIM($B98)))*(CkDJ[Date]&lt;=$C$8),CkDJ[Debit])))+(SUM(IF((CsDJ[Sort Code]=(TRIM(E$5)))*(CsDJ[Account Code]=(TRIM($B98)))*(CsDJ[Date]&lt;=$C$8),CsDJ[Debit])))+(SUM(IF((CRDJ[Sort Code]=(TRIM(E$5)))*(CRDJ[Account Code]=(TRIM($B98)))*(CRDJ[Date]&lt;=$C$8),CRDJ[Debit])))+(SUM(IF((GJ[Sort Code]=(TRIM(E$5)))*(GJ[Account Code]=(TRIM($B98)))*(GJ[Date]&lt;=$C$8),GJ[Debit]))))-((SUM(IF((CkDJ[Sort Code]=(TRIM(E$5)))*(CkDJ[Account Code]=(TRIM($B98)))*(CkDJ[Date]&lt;=$C$8),CkDJ[Credit])))+(SUM(IF((CsDJ[Sort Code]=(TRIM(E$5)))*(CsDJ[Account Code]=(TRIM($B98)))*(CsDJ[Date]&lt;=$C$8),CsDJ[Credit])))+(SUM(IF((CRDJ[Sort Code]=(TRIM(E$5)))*(CRDJ[Account Code]=(TRIM($B98)))*(CRDJ[Date]&lt;=$C$8),CRDJ[Credit])))+(SUM(IF((GJ[Sort Code]=(TRIM(E$5)))*(GJ[Account Code]=(TRIM($B98)))*(GJ[Date]&lt;=$C$8),GJ[Credit]))))</f>
        <v>0</v>
      </c>
      <c r="D98" s="466">
        <f t="array" ref="D98">((SUM(IF((CkDJ[Date]=$A$4)*(CkDJ[Sort Code]=(TRIM(E$5)))*(CkDJ[Account Code]=(TRIM($B98))),CkDJ[Debit])))+(SUM(IF((CsDJ[Date]=$A$4)*(CsDJ[Sort Code]=(TRIM(E$5)))*(CsDJ[Account Code]=(TRIM($B98))),CsDJ[Debit])))+(SUM(IF((CRDJ[Date]=$A$4)*(CRDJ[Sort Code]=(TRIM(E$5)))*(CRDJ[Account Code]=(TRIM($B98))),CRDJ[Debit])))+(SUM(IF((GJ[Date]=$A$4)*(GJ[Sort Code]=(TRIM(E$5)))*(GJ[Account Code]=(TRIM($B98))),GJ[Debit]))))-((SUM(IF((CkDJ[Date]=$A$4)*(CkDJ[Sort Code]=(TRIM(E$5)))*(CkDJ[Account Code]=(TRIM($B98))),CkDJ[Credit])))+(SUM(IF((CsDJ[Date]=$A$4)*(CsDJ[Sort Code]=(TRIM(E$5)))*(CsDJ[Account Code]=(TRIM($B98))),CsDJ[Credit])))+(SUM(IF((CRDJ[Date]=$A$4)*(CRDJ[Sort Code]=(TRIM(E$5)))*(CRDJ[Account Code]=(TRIM($B98))),CRDJ[Credit])))+(SUM(IF((GJ[Date]=$A$4)*(GJ[Sort Code]=(TRIM(E$5)))*(GJ[Account Code]=(TRIM($B98))),GJ[Credit]))))</f>
        <v>0</v>
      </c>
      <c r="E98" s="467">
        <f t="shared" si="3"/>
        <v>0</v>
      </c>
    </row>
    <row r="99" spans="1:5" x14ac:dyDescent="0.2">
      <c r="A99" s="476" t="s">
        <v>302</v>
      </c>
      <c r="B99" s="339" t="s">
        <v>244</v>
      </c>
      <c r="C99" s="466">
        <f t="array" ref="C99">((SUM(IF((CkDJ[Sort Code]=(TRIM(E$5)))*(CkDJ[Account Code]=(TRIM($B99)))*(CkDJ[Date]&lt;=$C$8),CkDJ[Debit])))+(SUM(IF((CsDJ[Sort Code]=(TRIM(E$5)))*(CsDJ[Account Code]=(TRIM($B99)))*(CsDJ[Date]&lt;=$C$8),CsDJ[Debit])))+(SUM(IF((CRDJ[Sort Code]=(TRIM(E$5)))*(CRDJ[Account Code]=(TRIM($B99)))*(CRDJ[Date]&lt;=$C$8),CRDJ[Debit])))+(SUM(IF((GJ[Sort Code]=(TRIM(E$5)))*(GJ[Account Code]=(TRIM($B99)))*(GJ[Date]&lt;=$C$8),GJ[Debit]))))-((SUM(IF((CkDJ[Sort Code]=(TRIM(E$5)))*(CkDJ[Account Code]=(TRIM($B99)))*(CkDJ[Date]&lt;=$C$8),CkDJ[Credit])))+(SUM(IF((CsDJ[Sort Code]=(TRIM(E$5)))*(CsDJ[Account Code]=(TRIM($B99)))*(CsDJ[Date]&lt;=$C$8),CsDJ[Credit])))+(SUM(IF((CRDJ[Sort Code]=(TRIM(E$5)))*(CRDJ[Account Code]=(TRIM($B99)))*(CRDJ[Date]&lt;=$C$8),CRDJ[Credit])))+(SUM(IF((GJ[Sort Code]=(TRIM(E$5)))*(GJ[Account Code]=(TRIM($B99)))*(GJ[Date]&lt;=$C$8),GJ[Credit]))))</f>
        <v>0</v>
      </c>
      <c r="D99" s="466">
        <f t="array" ref="D99">((SUM(IF((CkDJ[Date]=$A$4)*(CkDJ[Sort Code]=(TRIM(E$5)))*(CkDJ[Account Code]=(TRIM($B99))),CkDJ[Debit])))+(SUM(IF((CsDJ[Date]=$A$4)*(CsDJ[Sort Code]=(TRIM(E$5)))*(CsDJ[Account Code]=(TRIM($B99))),CsDJ[Debit])))+(SUM(IF((CRDJ[Date]=$A$4)*(CRDJ[Sort Code]=(TRIM(E$5)))*(CRDJ[Account Code]=(TRIM($B99))),CRDJ[Debit])))+(SUM(IF((GJ[Date]=$A$4)*(GJ[Sort Code]=(TRIM(E$5)))*(GJ[Account Code]=(TRIM($B99))),GJ[Debit]))))-((SUM(IF((CkDJ[Date]=$A$4)*(CkDJ[Sort Code]=(TRIM(E$5)))*(CkDJ[Account Code]=(TRIM($B99))),CkDJ[Credit])))+(SUM(IF((CsDJ[Date]=$A$4)*(CsDJ[Sort Code]=(TRIM(E$5)))*(CsDJ[Account Code]=(TRIM($B99))),CsDJ[Credit])))+(SUM(IF((CRDJ[Date]=$A$4)*(CRDJ[Sort Code]=(TRIM(E$5)))*(CRDJ[Account Code]=(TRIM($B99))),CRDJ[Credit])))+(SUM(IF((GJ[Date]=$A$4)*(GJ[Sort Code]=(TRIM(E$5)))*(GJ[Account Code]=(TRIM($B99))),GJ[Credit]))))</f>
        <v>0</v>
      </c>
      <c r="E99" s="467">
        <f t="shared" si="3"/>
        <v>0</v>
      </c>
    </row>
    <row r="100" spans="1:5" x14ac:dyDescent="0.2">
      <c r="A100" s="476" t="s">
        <v>347</v>
      </c>
      <c r="B100" s="339" t="s">
        <v>338</v>
      </c>
      <c r="C100" s="466">
        <f t="array" ref="C100">((SUM(IF((CkDJ[Sort Code]=(TRIM(E$5)))*(CkDJ[Account Code]=(TRIM($B100)))*(CkDJ[Date]&lt;=$C$8),CkDJ[Debit])))+(SUM(IF((CsDJ[Sort Code]=(TRIM(E$5)))*(CsDJ[Account Code]=(TRIM($B100)))*(CsDJ[Date]&lt;=$C$8),CsDJ[Debit])))+(SUM(IF((CRDJ[Sort Code]=(TRIM(E$5)))*(CRDJ[Account Code]=(TRIM($B100)))*(CRDJ[Date]&lt;=$C$8),CRDJ[Debit])))+(SUM(IF((GJ[Sort Code]=(TRIM(E$5)))*(GJ[Account Code]=(TRIM($B100)))*(GJ[Date]&lt;=$C$8),GJ[Debit]))))-((SUM(IF((CkDJ[Sort Code]=(TRIM(E$5)))*(CkDJ[Account Code]=(TRIM($B100)))*(CkDJ[Date]&lt;=$C$8),CkDJ[Credit])))+(SUM(IF((CsDJ[Sort Code]=(TRIM(E$5)))*(CsDJ[Account Code]=(TRIM($B100)))*(CsDJ[Date]&lt;=$C$8),CsDJ[Credit])))+(SUM(IF((CRDJ[Sort Code]=(TRIM(E$5)))*(CRDJ[Account Code]=(TRIM($B100)))*(CRDJ[Date]&lt;=$C$8),CRDJ[Credit])))+(SUM(IF((GJ[Sort Code]=(TRIM(E$5)))*(GJ[Account Code]=(TRIM($B100)))*(GJ[Date]&lt;=$C$8),GJ[Credit]))))</f>
        <v>0</v>
      </c>
      <c r="D100" s="466">
        <f t="array" ref="D100">((SUM(IF((CkDJ[Date]=$A$4)*(CkDJ[Sort Code]=(TRIM(E$5)))*(CkDJ[Account Code]=(TRIM($B100))),CkDJ[Debit])))+(SUM(IF((CsDJ[Date]=$A$4)*(CsDJ[Sort Code]=(TRIM(E$5)))*(CsDJ[Account Code]=(TRIM($B100))),CsDJ[Debit])))+(SUM(IF((CRDJ[Date]=$A$4)*(CRDJ[Sort Code]=(TRIM(E$5)))*(CRDJ[Account Code]=(TRIM($B100))),CRDJ[Debit])))+(SUM(IF((GJ[Date]=$A$4)*(GJ[Sort Code]=(TRIM(E$5)))*(GJ[Account Code]=(TRIM($B100))),GJ[Debit]))))-((SUM(IF((CkDJ[Date]=$A$4)*(CkDJ[Sort Code]=(TRIM(E$5)))*(CkDJ[Account Code]=(TRIM($B100))),CkDJ[Credit])))+(SUM(IF((CsDJ[Date]=$A$4)*(CsDJ[Sort Code]=(TRIM(E$5)))*(CsDJ[Account Code]=(TRIM($B100))),CsDJ[Credit])))+(SUM(IF((CRDJ[Date]=$A$4)*(CRDJ[Sort Code]=(TRIM(E$5)))*(CRDJ[Account Code]=(TRIM($B100))),CRDJ[Credit])))+(SUM(IF((GJ[Date]=$A$4)*(GJ[Sort Code]=(TRIM(E$5)))*(GJ[Account Code]=(TRIM($B100))),GJ[Credit]))))</f>
        <v>0</v>
      </c>
      <c r="E100" s="467">
        <f t="shared" si="3"/>
        <v>0</v>
      </c>
    </row>
    <row r="101" spans="1:5" x14ac:dyDescent="0.2">
      <c r="A101" s="476" t="s">
        <v>348</v>
      </c>
      <c r="B101" s="339" t="s">
        <v>339</v>
      </c>
      <c r="C101" s="466">
        <f t="array" ref="C101">((SUM(IF((CkDJ[Sort Code]=(TRIM(E$5)))*(CkDJ[Account Code]=(TRIM($B101)))*(CkDJ[Date]&lt;=$C$8),CkDJ[Debit])))+(SUM(IF((CsDJ[Sort Code]=(TRIM(E$5)))*(CsDJ[Account Code]=(TRIM($B101)))*(CsDJ[Date]&lt;=$C$8),CsDJ[Debit])))+(SUM(IF((CRDJ[Sort Code]=(TRIM(E$5)))*(CRDJ[Account Code]=(TRIM($B101)))*(CRDJ[Date]&lt;=$C$8),CRDJ[Debit])))+(SUM(IF((GJ[Sort Code]=(TRIM(E$5)))*(GJ[Account Code]=(TRIM($B101)))*(GJ[Date]&lt;=$C$8),GJ[Debit]))))-((SUM(IF((CkDJ[Sort Code]=(TRIM(E$5)))*(CkDJ[Account Code]=(TRIM($B101)))*(CkDJ[Date]&lt;=$C$8),CkDJ[Credit])))+(SUM(IF((CsDJ[Sort Code]=(TRIM(E$5)))*(CsDJ[Account Code]=(TRIM($B101)))*(CsDJ[Date]&lt;=$C$8),CsDJ[Credit])))+(SUM(IF((CRDJ[Sort Code]=(TRIM(E$5)))*(CRDJ[Account Code]=(TRIM($B101)))*(CRDJ[Date]&lt;=$C$8),CRDJ[Credit])))+(SUM(IF((GJ[Sort Code]=(TRIM(E$5)))*(GJ[Account Code]=(TRIM($B101)))*(GJ[Date]&lt;=$C$8),GJ[Credit]))))</f>
        <v>0</v>
      </c>
      <c r="D101" s="466">
        <f t="array" ref="D101">((SUM(IF((CkDJ[Date]=$A$4)*(CkDJ[Sort Code]=(TRIM(E$5)))*(CkDJ[Account Code]=(TRIM($B101))),CkDJ[Debit])))+(SUM(IF((CsDJ[Date]=$A$4)*(CsDJ[Sort Code]=(TRIM(E$5)))*(CsDJ[Account Code]=(TRIM($B101))),CsDJ[Debit])))+(SUM(IF((CRDJ[Date]=$A$4)*(CRDJ[Sort Code]=(TRIM(E$5)))*(CRDJ[Account Code]=(TRIM($B101))),CRDJ[Debit])))+(SUM(IF((GJ[Date]=$A$4)*(GJ[Sort Code]=(TRIM(E$5)))*(GJ[Account Code]=(TRIM($B101))),GJ[Debit]))))-((SUM(IF((CkDJ[Date]=$A$4)*(CkDJ[Sort Code]=(TRIM(E$5)))*(CkDJ[Account Code]=(TRIM($B101))),CkDJ[Credit])))+(SUM(IF((CsDJ[Date]=$A$4)*(CsDJ[Sort Code]=(TRIM(E$5)))*(CsDJ[Account Code]=(TRIM($B101))),CsDJ[Credit])))+(SUM(IF((CRDJ[Date]=$A$4)*(CRDJ[Sort Code]=(TRIM(E$5)))*(CRDJ[Account Code]=(TRIM($B101))),CRDJ[Credit])))+(SUM(IF((GJ[Date]=$A$4)*(GJ[Sort Code]=(TRIM(E$5)))*(GJ[Account Code]=(TRIM($B101))),GJ[Credit]))))</f>
        <v>0</v>
      </c>
      <c r="E101" s="467">
        <f t="shared" si="3"/>
        <v>0</v>
      </c>
    </row>
    <row r="102" spans="1:5" x14ac:dyDescent="0.2">
      <c r="A102" s="476" t="s">
        <v>1021</v>
      </c>
      <c r="B102" s="339" t="s">
        <v>245</v>
      </c>
      <c r="C102" s="466">
        <f t="array" ref="C102">((SUM(IF((CkDJ[Sort Code]=(TRIM(E$5)))*(CkDJ[Account Code]=(TRIM($B102)))*(CkDJ[Date]&lt;=$C$8),CkDJ[Debit])))+(SUM(IF((CsDJ[Sort Code]=(TRIM(E$5)))*(CsDJ[Account Code]=(TRIM($B102)))*(CsDJ[Date]&lt;=$C$8),CsDJ[Debit])))+(SUM(IF((CRDJ[Sort Code]=(TRIM(E$5)))*(CRDJ[Account Code]=(TRIM($B102)))*(CRDJ[Date]&lt;=$C$8),CRDJ[Debit])))+(SUM(IF((GJ[Sort Code]=(TRIM(E$5)))*(GJ[Account Code]=(TRIM($B102)))*(GJ[Date]&lt;=$C$8),GJ[Debit]))))-((SUM(IF((CkDJ[Sort Code]=(TRIM(E$5)))*(CkDJ[Account Code]=(TRIM($B102)))*(CkDJ[Date]&lt;=$C$8),CkDJ[Credit])))+(SUM(IF((CsDJ[Sort Code]=(TRIM(E$5)))*(CsDJ[Account Code]=(TRIM($B102)))*(CsDJ[Date]&lt;=$C$8),CsDJ[Credit])))+(SUM(IF((CRDJ[Sort Code]=(TRIM(E$5)))*(CRDJ[Account Code]=(TRIM($B102)))*(CRDJ[Date]&lt;=$C$8),CRDJ[Credit])))+(SUM(IF((GJ[Sort Code]=(TRIM(E$5)))*(GJ[Account Code]=(TRIM($B102)))*(GJ[Date]&lt;=$C$8),GJ[Credit]))))</f>
        <v>0</v>
      </c>
      <c r="D102" s="466">
        <f t="array" ref="D102">((SUM(IF((CkDJ[Date]=$A$4)*(CkDJ[Sort Code]=(TRIM(E$5)))*(CkDJ[Account Code]=(TRIM($B102))),CkDJ[Debit])))+(SUM(IF((CsDJ[Date]=$A$4)*(CsDJ[Sort Code]=(TRIM(E$5)))*(CsDJ[Account Code]=(TRIM($B102))),CsDJ[Debit])))+(SUM(IF((CRDJ[Date]=$A$4)*(CRDJ[Sort Code]=(TRIM(E$5)))*(CRDJ[Account Code]=(TRIM($B102))),CRDJ[Debit])))+(SUM(IF((GJ[Date]=$A$4)*(GJ[Sort Code]=(TRIM(E$5)))*(GJ[Account Code]=(TRIM($B102))),GJ[Debit]))))-((SUM(IF((CkDJ[Date]=$A$4)*(CkDJ[Sort Code]=(TRIM(E$5)))*(CkDJ[Account Code]=(TRIM($B102))),CkDJ[Credit])))+(SUM(IF((CsDJ[Date]=$A$4)*(CsDJ[Sort Code]=(TRIM(E$5)))*(CsDJ[Account Code]=(TRIM($B102))),CsDJ[Credit])))+(SUM(IF((CRDJ[Date]=$A$4)*(CRDJ[Sort Code]=(TRIM(E$5)))*(CRDJ[Account Code]=(TRIM($B102))),CRDJ[Credit])))+(SUM(IF((GJ[Date]=$A$4)*(GJ[Sort Code]=(TRIM(E$5)))*(GJ[Account Code]=(TRIM($B102))),GJ[Credit]))))</f>
        <v>0</v>
      </c>
      <c r="E102" s="467">
        <f t="shared" si="3"/>
        <v>0</v>
      </c>
    </row>
    <row r="103" spans="1:5" x14ac:dyDescent="0.2">
      <c r="A103" s="476" t="s">
        <v>1022</v>
      </c>
      <c r="B103" s="339" t="s">
        <v>246</v>
      </c>
      <c r="C103" s="466">
        <f t="array" ref="C103">((SUM(IF((CkDJ[Sort Code]=(TRIM(E$5)))*(CkDJ[Account Code]=(TRIM($B103)))*(CkDJ[Date]&lt;=$C$8),CkDJ[Debit])))+(SUM(IF((CsDJ[Sort Code]=(TRIM(E$5)))*(CsDJ[Account Code]=(TRIM($B103)))*(CsDJ[Date]&lt;=$C$8),CsDJ[Debit])))+(SUM(IF((CRDJ[Sort Code]=(TRIM(E$5)))*(CRDJ[Account Code]=(TRIM($B103)))*(CRDJ[Date]&lt;=$C$8),CRDJ[Debit])))+(SUM(IF((GJ[Sort Code]=(TRIM(E$5)))*(GJ[Account Code]=(TRIM($B103)))*(GJ[Date]&lt;=$C$8),GJ[Debit]))))-((SUM(IF((CkDJ[Sort Code]=(TRIM(E$5)))*(CkDJ[Account Code]=(TRIM($B103)))*(CkDJ[Date]&lt;=$C$8),CkDJ[Credit])))+(SUM(IF((CsDJ[Sort Code]=(TRIM(E$5)))*(CsDJ[Account Code]=(TRIM($B103)))*(CsDJ[Date]&lt;=$C$8),CsDJ[Credit])))+(SUM(IF((CRDJ[Sort Code]=(TRIM(E$5)))*(CRDJ[Account Code]=(TRIM($B103)))*(CRDJ[Date]&lt;=$C$8),CRDJ[Credit])))+(SUM(IF((GJ[Sort Code]=(TRIM(E$5)))*(GJ[Account Code]=(TRIM($B103)))*(GJ[Date]&lt;=$C$8),GJ[Credit]))))</f>
        <v>0</v>
      </c>
      <c r="D103" s="466">
        <f t="array" ref="D103">((SUM(IF((CkDJ[Date]=$A$4)*(CkDJ[Sort Code]=(TRIM(E$5)))*(CkDJ[Account Code]=(TRIM($B103))),CkDJ[Debit])))+(SUM(IF((CsDJ[Date]=$A$4)*(CsDJ[Sort Code]=(TRIM(E$5)))*(CsDJ[Account Code]=(TRIM($B103))),CsDJ[Debit])))+(SUM(IF((CRDJ[Date]=$A$4)*(CRDJ[Sort Code]=(TRIM(E$5)))*(CRDJ[Account Code]=(TRIM($B103))),CRDJ[Debit])))+(SUM(IF((GJ[Date]=$A$4)*(GJ[Sort Code]=(TRIM(E$5)))*(GJ[Account Code]=(TRIM($B103))),GJ[Debit]))))-((SUM(IF((CkDJ[Date]=$A$4)*(CkDJ[Sort Code]=(TRIM(E$5)))*(CkDJ[Account Code]=(TRIM($B103))),CkDJ[Credit])))+(SUM(IF((CsDJ[Date]=$A$4)*(CsDJ[Sort Code]=(TRIM(E$5)))*(CsDJ[Account Code]=(TRIM($B103))),CsDJ[Credit])))+(SUM(IF((CRDJ[Date]=$A$4)*(CRDJ[Sort Code]=(TRIM(E$5)))*(CRDJ[Account Code]=(TRIM($B103))),CRDJ[Credit])))+(SUM(IF((GJ[Date]=$A$4)*(GJ[Sort Code]=(TRIM(E$5)))*(GJ[Account Code]=(TRIM($B103))),GJ[Credit]))))</f>
        <v>0</v>
      </c>
      <c r="E103" s="467">
        <f t="shared" si="3"/>
        <v>0</v>
      </c>
    </row>
    <row r="104" spans="1:5" x14ac:dyDescent="0.2">
      <c r="A104" s="476" t="s">
        <v>304</v>
      </c>
      <c r="B104" s="339" t="s">
        <v>222</v>
      </c>
      <c r="C104" s="466">
        <f t="array" ref="C104">((SUM(IF((CkDJ[Sort Code]=(TRIM(E$5)))*(CkDJ[Account Code]=(TRIM($B104)))*(CkDJ[Date]&lt;=$C$8),CkDJ[Debit])))+(SUM(IF((CsDJ[Sort Code]=(TRIM(E$5)))*(CsDJ[Account Code]=(TRIM($B104)))*(CsDJ[Date]&lt;=$C$8),CsDJ[Debit])))+(SUM(IF((CRDJ[Sort Code]=(TRIM(E$5)))*(CRDJ[Account Code]=(TRIM($B104)))*(CRDJ[Date]&lt;=$C$8),CRDJ[Debit])))+(SUM(IF((GJ[Sort Code]=(TRIM(E$5)))*(GJ[Account Code]=(TRIM($B104)))*(GJ[Date]&lt;=$C$8),GJ[Debit]))))-((SUM(IF((CkDJ[Sort Code]=(TRIM(E$5)))*(CkDJ[Account Code]=(TRIM($B104)))*(CkDJ[Date]&lt;=$C$8),CkDJ[Credit])))+(SUM(IF((CsDJ[Sort Code]=(TRIM(E$5)))*(CsDJ[Account Code]=(TRIM($B104)))*(CsDJ[Date]&lt;=$C$8),CsDJ[Credit])))+(SUM(IF((CRDJ[Sort Code]=(TRIM(E$5)))*(CRDJ[Account Code]=(TRIM($B104)))*(CRDJ[Date]&lt;=$C$8),CRDJ[Credit])))+(SUM(IF((GJ[Sort Code]=(TRIM(E$5)))*(GJ[Account Code]=(TRIM($B104)))*(GJ[Date]&lt;=$C$8),GJ[Credit]))))</f>
        <v>0</v>
      </c>
      <c r="D104" s="466">
        <f t="array" ref="D104">((SUM(IF((CkDJ[Date]=$A$4)*(CkDJ[Sort Code]=(TRIM(E$5)))*(CkDJ[Account Code]=(TRIM($B104))),CkDJ[Debit])))+(SUM(IF((CsDJ[Date]=$A$4)*(CsDJ[Sort Code]=(TRIM(E$5)))*(CsDJ[Account Code]=(TRIM($B104))),CsDJ[Debit])))+(SUM(IF((CRDJ[Date]=$A$4)*(CRDJ[Sort Code]=(TRIM(E$5)))*(CRDJ[Account Code]=(TRIM($B104))),CRDJ[Debit])))+(SUM(IF((GJ[Date]=$A$4)*(GJ[Sort Code]=(TRIM(E$5)))*(GJ[Account Code]=(TRIM($B104))),GJ[Debit]))))-((SUM(IF((CkDJ[Date]=$A$4)*(CkDJ[Sort Code]=(TRIM(E$5)))*(CkDJ[Account Code]=(TRIM($B104))),CkDJ[Credit])))+(SUM(IF((CsDJ[Date]=$A$4)*(CsDJ[Sort Code]=(TRIM(E$5)))*(CsDJ[Account Code]=(TRIM($B104))),CsDJ[Credit])))+(SUM(IF((CRDJ[Date]=$A$4)*(CRDJ[Sort Code]=(TRIM(E$5)))*(CRDJ[Account Code]=(TRIM($B104))),CRDJ[Credit])))+(SUM(IF((GJ[Date]=$A$4)*(GJ[Sort Code]=(TRIM(E$5)))*(GJ[Account Code]=(TRIM($B104))),GJ[Credit]))))</f>
        <v>0</v>
      </c>
      <c r="E104" s="467">
        <f t="shared" si="3"/>
        <v>0</v>
      </c>
    </row>
    <row r="105" spans="1:5" x14ac:dyDescent="0.2">
      <c r="A105" s="476" t="s">
        <v>1023</v>
      </c>
      <c r="B105" s="339" t="s">
        <v>247</v>
      </c>
      <c r="C105" s="466">
        <f t="array" ref="C105">((SUM(IF((CkDJ[Sort Code]=(TRIM(E$5)))*(CkDJ[Account Code]=(TRIM($B105)))*(CkDJ[Date]&lt;=$C$8),CkDJ[Debit])))+(SUM(IF((CsDJ[Sort Code]=(TRIM(E$5)))*(CsDJ[Account Code]=(TRIM($B105)))*(CsDJ[Date]&lt;=$C$8),CsDJ[Debit])))+(SUM(IF((CRDJ[Sort Code]=(TRIM(E$5)))*(CRDJ[Account Code]=(TRIM($B105)))*(CRDJ[Date]&lt;=$C$8),CRDJ[Debit])))+(SUM(IF((GJ[Sort Code]=(TRIM(E$5)))*(GJ[Account Code]=(TRIM($B105)))*(GJ[Date]&lt;=$C$8),GJ[Debit]))))-((SUM(IF((CkDJ[Sort Code]=(TRIM(E$5)))*(CkDJ[Account Code]=(TRIM($B105)))*(CkDJ[Date]&lt;=$C$8),CkDJ[Credit])))+(SUM(IF((CsDJ[Sort Code]=(TRIM(E$5)))*(CsDJ[Account Code]=(TRIM($B105)))*(CsDJ[Date]&lt;=$C$8),CsDJ[Credit])))+(SUM(IF((CRDJ[Sort Code]=(TRIM(E$5)))*(CRDJ[Account Code]=(TRIM($B105)))*(CRDJ[Date]&lt;=$C$8),CRDJ[Credit])))+(SUM(IF((GJ[Sort Code]=(TRIM(E$5)))*(GJ[Account Code]=(TRIM($B105)))*(GJ[Date]&lt;=$C$8),GJ[Credit]))))</f>
        <v>0</v>
      </c>
      <c r="D105" s="466">
        <f t="array" ref="D105">((SUM(IF((CkDJ[Date]=$A$4)*(CkDJ[Sort Code]=(TRIM(E$5)))*(CkDJ[Account Code]=(TRIM($B105))),CkDJ[Debit])))+(SUM(IF((CsDJ[Date]=$A$4)*(CsDJ[Sort Code]=(TRIM(E$5)))*(CsDJ[Account Code]=(TRIM($B105))),CsDJ[Debit])))+(SUM(IF((CRDJ[Date]=$A$4)*(CRDJ[Sort Code]=(TRIM(E$5)))*(CRDJ[Account Code]=(TRIM($B105))),CRDJ[Debit])))+(SUM(IF((GJ[Date]=$A$4)*(GJ[Sort Code]=(TRIM(E$5)))*(GJ[Account Code]=(TRIM($B105))),GJ[Debit]))))-((SUM(IF((CkDJ[Date]=$A$4)*(CkDJ[Sort Code]=(TRIM(E$5)))*(CkDJ[Account Code]=(TRIM($B105))),CkDJ[Credit])))+(SUM(IF((CsDJ[Date]=$A$4)*(CsDJ[Sort Code]=(TRIM(E$5)))*(CsDJ[Account Code]=(TRIM($B105))),CsDJ[Credit])))+(SUM(IF((CRDJ[Date]=$A$4)*(CRDJ[Sort Code]=(TRIM(E$5)))*(CRDJ[Account Code]=(TRIM($B105))),CRDJ[Credit])))+(SUM(IF((GJ[Date]=$A$4)*(GJ[Sort Code]=(TRIM(E$5)))*(GJ[Account Code]=(TRIM($B105))),GJ[Credit]))))</f>
        <v>0</v>
      </c>
      <c r="E105" s="467">
        <f t="shared" si="3"/>
        <v>0</v>
      </c>
    </row>
    <row r="106" spans="1:5" x14ac:dyDescent="0.2">
      <c r="A106" s="476" t="s">
        <v>1024</v>
      </c>
      <c r="B106" s="339" t="s">
        <v>248</v>
      </c>
      <c r="C106" s="466">
        <f t="array" ref="C106">((SUM(IF((CkDJ[Sort Code]=(TRIM(E$5)))*(CkDJ[Account Code]=(TRIM($B106)))*(CkDJ[Date]&lt;=$C$8),CkDJ[Debit])))+(SUM(IF((CsDJ[Sort Code]=(TRIM(E$5)))*(CsDJ[Account Code]=(TRIM($B106)))*(CsDJ[Date]&lt;=$C$8),CsDJ[Debit])))+(SUM(IF((CRDJ[Sort Code]=(TRIM(E$5)))*(CRDJ[Account Code]=(TRIM($B106)))*(CRDJ[Date]&lt;=$C$8),CRDJ[Debit])))+(SUM(IF((GJ[Sort Code]=(TRIM(E$5)))*(GJ[Account Code]=(TRIM($B106)))*(GJ[Date]&lt;=$C$8),GJ[Debit]))))-((SUM(IF((CkDJ[Sort Code]=(TRIM(E$5)))*(CkDJ[Account Code]=(TRIM($B106)))*(CkDJ[Date]&lt;=$C$8),CkDJ[Credit])))+(SUM(IF((CsDJ[Sort Code]=(TRIM(E$5)))*(CsDJ[Account Code]=(TRIM($B106)))*(CsDJ[Date]&lt;=$C$8),CsDJ[Credit])))+(SUM(IF((CRDJ[Sort Code]=(TRIM(E$5)))*(CRDJ[Account Code]=(TRIM($B106)))*(CRDJ[Date]&lt;=$C$8),CRDJ[Credit])))+(SUM(IF((GJ[Sort Code]=(TRIM(E$5)))*(GJ[Account Code]=(TRIM($B106)))*(GJ[Date]&lt;=$C$8),GJ[Credit]))))</f>
        <v>0</v>
      </c>
      <c r="D106" s="466">
        <f t="array" ref="D106">((SUM(IF((CkDJ[Date]=$A$4)*(CkDJ[Sort Code]=(TRIM(E$5)))*(CkDJ[Account Code]=(TRIM($B106))),CkDJ[Debit])))+(SUM(IF((CsDJ[Date]=$A$4)*(CsDJ[Sort Code]=(TRIM(E$5)))*(CsDJ[Account Code]=(TRIM($B106))),CsDJ[Debit])))+(SUM(IF((CRDJ[Date]=$A$4)*(CRDJ[Sort Code]=(TRIM(E$5)))*(CRDJ[Account Code]=(TRIM($B106))),CRDJ[Debit])))+(SUM(IF((GJ[Date]=$A$4)*(GJ[Sort Code]=(TRIM(E$5)))*(GJ[Account Code]=(TRIM($B106))),GJ[Debit]))))-((SUM(IF((CkDJ[Date]=$A$4)*(CkDJ[Sort Code]=(TRIM(E$5)))*(CkDJ[Account Code]=(TRIM($B106))),CkDJ[Credit])))+(SUM(IF((CsDJ[Date]=$A$4)*(CsDJ[Sort Code]=(TRIM(E$5)))*(CsDJ[Account Code]=(TRIM($B106))),CsDJ[Credit])))+(SUM(IF((CRDJ[Date]=$A$4)*(CRDJ[Sort Code]=(TRIM(E$5)))*(CRDJ[Account Code]=(TRIM($B106))),CRDJ[Credit])))+(SUM(IF((GJ[Date]=$A$4)*(GJ[Sort Code]=(TRIM(E$5)))*(GJ[Account Code]=(TRIM($B106))),GJ[Credit]))))</f>
        <v>0</v>
      </c>
      <c r="E106" s="467">
        <f t="shared" si="3"/>
        <v>0</v>
      </c>
    </row>
    <row r="107" spans="1:5" x14ac:dyDescent="0.2">
      <c r="A107" s="476" t="s">
        <v>1025</v>
      </c>
      <c r="B107" s="339" t="s">
        <v>249</v>
      </c>
      <c r="C107" s="466">
        <f t="array" ref="C107">((SUM(IF((CkDJ[Sort Code]=(TRIM(E$5)))*(CkDJ[Account Code]=(TRIM($B107)))*(CkDJ[Date]&lt;=$C$8),CkDJ[Debit])))+(SUM(IF((CsDJ[Sort Code]=(TRIM(E$5)))*(CsDJ[Account Code]=(TRIM($B107)))*(CsDJ[Date]&lt;=$C$8),CsDJ[Debit])))+(SUM(IF((CRDJ[Sort Code]=(TRIM(E$5)))*(CRDJ[Account Code]=(TRIM($B107)))*(CRDJ[Date]&lt;=$C$8),CRDJ[Debit])))+(SUM(IF((GJ[Sort Code]=(TRIM(E$5)))*(GJ[Account Code]=(TRIM($B107)))*(GJ[Date]&lt;=$C$8),GJ[Debit]))))-((SUM(IF((CkDJ[Sort Code]=(TRIM(E$5)))*(CkDJ[Account Code]=(TRIM($B107)))*(CkDJ[Date]&lt;=$C$8),CkDJ[Credit])))+(SUM(IF((CsDJ[Sort Code]=(TRIM(E$5)))*(CsDJ[Account Code]=(TRIM($B107)))*(CsDJ[Date]&lt;=$C$8),CsDJ[Credit])))+(SUM(IF((CRDJ[Sort Code]=(TRIM(E$5)))*(CRDJ[Account Code]=(TRIM($B107)))*(CRDJ[Date]&lt;=$C$8),CRDJ[Credit])))+(SUM(IF((GJ[Sort Code]=(TRIM(E$5)))*(GJ[Account Code]=(TRIM($B107)))*(GJ[Date]&lt;=$C$8),GJ[Credit]))))</f>
        <v>0</v>
      </c>
      <c r="D107" s="466">
        <f t="array" ref="D107">((SUM(IF((CkDJ[Date]=$A$4)*(CkDJ[Sort Code]=(TRIM(E$5)))*(CkDJ[Account Code]=(TRIM($B107))),CkDJ[Debit])))+(SUM(IF((CsDJ[Date]=$A$4)*(CsDJ[Sort Code]=(TRIM(E$5)))*(CsDJ[Account Code]=(TRIM($B107))),CsDJ[Debit])))+(SUM(IF((CRDJ[Date]=$A$4)*(CRDJ[Sort Code]=(TRIM(E$5)))*(CRDJ[Account Code]=(TRIM($B107))),CRDJ[Debit])))+(SUM(IF((GJ[Date]=$A$4)*(GJ[Sort Code]=(TRIM(E$5)))*(GJ[Account Code]=(TRIM($B107))),GJ[Debit]))))-((SUM(IF((CkDJ[Date]=$A$4)*(CkDJ[Sort Code]=(TRIM(E$5)))*(CkDJ[Account Code]=(TRIM($B107))),CkDJ[Credit])))+(SUM(IF((CsDJ[Date]=$A$4)*(CsDJ[Sort Code]=(TRIM(E$5)))*(CsDJ[Account Code]=(TRIM($B107))),CsDJ[Credit])))+(SUM(IF((CRDJ[Date]=$A$4)*(CRDJ[Sort Code]=(TRIM(E$5)))*(CRDJ[Account Code]=(TRIM($B107))),CRDJ[Credit])))+(SUM(IF((GJ[Date]=$A$4)*(GJ[Sort Code]=(TRIM(E$5)))*(GJ[Account Code]=(TRIM($B107))),GJ[Credit]))))</f>
        <v>0</v>
      </c>
      <c r="E107" s="467">
        <f t="shared" si="3"/>
        <v>0</v>
      </c>
    </row>
    <row r="108" spans="1:5" x14ac:dyDescent="0.2">
      <c r="A108" s="476" t="s">
        <v>302</v>
      </c>
      <c r="B108" s="339" t="s">
        <v>250</v>
      </c>
      <c r="C108" s="466">
        <f t="array" ref="C108">((SUM(IF((CkDJ[Sort Code]=(TRIM(E$5)))*(CkDJ[Account Code]=(TRIM($B108)))*(CkDJ[Date]&lt;=$C$8),CkDJ[Debit])))+(SUM(IF((CsDJ[Sort Code]=(TRIM(E$5)))*(CsDJ[Account Code]=(TRIM($B108)))*(CsDJ[Date]&lt;=$C$8),CsDJ[Debit])))+(SUM(IF((CRDJ[Sort Code]=(TRIM(E$5)))*(CRDJ[Account Code]=(TRIM($B108)))*(CRDJ[Date]&lt;=$C$8),CRDJ[Debit])))+(SUM(IF((GJ[Sort Code]=(TRIM(E$5)))*(GJ[Account Code]=(TRIM($B108)))*(GJ[Date]&lt;=$C$8),GJ[Debit]))))-((SUM(IF((CkDJ[Sort Code]=(TRIM(E$5)))*(CkDJ[Account Code]=(TRIM($B108)))*(CkDJ[Date]&lt;=$C$8),CkDJ[Credit])))+(SUM(IF((CsDJ[Sort Code]=(TRIM(E$5)))*(CsDJ[Account Code]=(TRIM($B108)))*(CsDJ[Date]&lt;=$C$8),CsDJ[Credit])))+(SUM(IF((CRDJ[Sort Code]=(TRIM(E$5)))*(CRDJ[Account Code]=(TRIM($B108)))*(CRDJ[Date]&lt;=$C$8),CRDJ[Credit])))+(SUM(IF((GJ[Sort Code]=(TRIM(E$5)))*(GJ[Account Code]=(TRIM($B108)))*(GJ[Date]&lt;=$C$8),GJ[Credit]))))</f>
        <v>0</v>
      </c>
      <c r="D108" s="466">
        <f t="array" ref="D108">((SUM(IF((CkDJ[Date]=$A$4)*(CkDJ[Sort Code]=(TRIM(E$5)))*(CkDJ[Account Code]=(TRIM($B108))),CkDJ[Debit])))+(SUM(IF((CsDJ[Date]=$A$4)*(CsDJ[Sort Code]=(TRIM(E$5)))*(CsDJ[Account Code]=(TRIM($B108))),CsDJ[Debit])))+(SUM(IF((CRDJ[Date]=$A$4)*(CRDJ[Sort Code]=(TRIM(E$5)))*(CRDJ[Account Code]=(TRIM($B108))),CRDJ[Debit])))+(SUM(IF((GJ[Date]=$A$4)*(GJ[Sort Code]=(TRIM(E$5)))*(GJ[Account Code]=(TRIM($B108))),GJ[Debit]))))-((SUM(IF((CkDJ[Date]=$A$4)*(CkDJ[Sort Code]=(TRIM(E$5)))*(CkDJ[Account Code]=(TRIM($B108))),CkDJ[Credit])))+(SUM(IF((CsDJ[Date]=$A$4)*(CsDJ[Sort Code]=(TRIM(E$5)))*(CsDJ[Account Code]=(TRIM($B108))),CsDJ[Credit])))+(SUM(IF((CRDJ[Date]=$A$4)*(CRDJ[Sort Code]=(TRIM(E$5)))*(CRDJ[Account Code]=(TRIM($B108))),CRDJ[Credit])))+(SUM(IF((GJ[Date]=$A$4)*(GJ[Sort Code]=(TRIM(E$5)))*(GJ[Account Code]=(TRIM($B108))),GJ[Credit]))))</f>
        <v>0</v>
      </c>
      <c r="E108" s="467">
        <f t="shared" si="3"/>
        <v>0</v>
      </c>
    </row>
    <row r="109" spans="1:5" x14ac:dyDescent="0.2">
      <c r="A109" s="476" t="s">
        <v>841</v>
      </c>
      <c r="B109" s="339" t="s">
        <v>251</v>
      </c>
      <c r="C109" s="466">
        <f t="array" ref="C109">((SUM(IF((CkDJ[Sort Code]=(TRIM(E$5)))*(CkDJ[Account Code]=(TRIM($B109)))*(CkDJ[Date]&lt;=$C$8),CkDJ[Debit])))+(SUM(IF((CsDJ[Sort Code]=(TRIM(E$5)))*(CsDJ[Account Code]=(TRIM($B109)))*(CsDJ[Date]&lt;=$C$8),CsDJ[Debit])))+(SUM(IF((CRDJ[Sort Code]=(TRIM(E$5)))*(CRDJ[Account Code]=(TRIM($B109)))*(CRDJ[Date]&lt;=$C$8),CRDJ[Debit])))+(SUM(IF((GJ[Sort Code]=(TRIM(E$5)))*(GJ[Account Code]=(TRIM($B109)))*(GJ[Date]&lt;=$C$8),GJ[Debit]))))-((SUM(IF((CkDJ[Sort Code]=(TRIM(E$5)))*(CkDJ[Account Code]=(TRIM($B109)))*(CkDJ[Date]&lt;=$C$8),CkDJ[Credit])))+(SUM(IF((CsDJ[Sort Code]=(TRIM(E$5)))*(CsDJ[Account Code]=(TRIM($B109)))*(CsDJ[Date]&lt;=$C$8),CsDJ[Credit])))+(SUM(IF((CRDJ[Sort Code]=(TRIM(E$5)))*(CRDJ[Account Code]=(TRIM($B109)))*(CRDJ[Date]&lt;=$C$8),CRDJ[Credit])))+(SUM(IF((GJ[Sort Code]=(TRIM(E$5)))*(GJ[Account Code]=(TRIM($B109)))*(GJ[Date]&lt;=$C$8),GJ[Credit]))))</f>
        <v>0</v>
      </c>
      <c r="D109" s="466">
        <f t="array" ref="D109">((SUM(IF((CkDJ[Date]=$A$4)*(CkDJ[Sort Code]=(TRIM(E$5)))*(CkDJ[Account Code]=(TRIM($B109))),CkDJ[Debit])))+(SUM(IF((CsDJ[Date]=$A$4)*(CsDJ[Sort Code]=(TRIM(E$5)))*(CsDJ[Account Code]=(TRIM($B109))),CsDJ[Debit])))+(SUM(IF((CRDJ[Date]=$A$4)*(CRDJ[Sort Code]=(TRIM(E$5)))*(CRDJ[Account Code]=(TRIM($B109))),CRDJ[Debit])))+(SUM(IF((GJ[Date]=$A$4)*(GJ[Sort Code]=(TRIM(E$5)))*(GJ[Account Code]=(TRIM($B109))),GJ[Debit]))))-((SUM(IF((CkDJ[Date]=$A$4)*(CkDJ[Sort Code]=(TRIM(E$5)))*(CkDJ[Account Code]=(TRIM($B109))),CkDJ[Credit])))+(SUM(IF((CsDJ[Date]=$A$4)*(CsDJ[Sort Code]=(TRIM(E$5)))*(CsDJ[Account Code]=(TRIM($B109))),CsDJ[Credit])))+(SUM(IF((CRDJ[Date]=$A$4)*(CRDJ[Sort Code]=(TRIM(E$5)))*(CRDJ[Account Code]=(TRIM($B109))),CRDJ[Credit])))+(SUM(IF((GJ[Date]=$A$4)*(GJ[Sort Code]=(TRIM(E$5)))*(GJ[Account Code]=(TRIM($B109))),GJ[Credit]))))</f>
        <v>0</v>
      </c>
      <c r="E109" s="467">
        <f t="shared" si="3"/>
        <v>0</v>
      </c>
    </row>
    <row r="110" spans="1:5" x14ac:dyDescent="0.2">
      <c r="A110" s="476" t="s">
        <v>1026</v>
      </c>
      <c r="B110" s="339" t="s">
        <v>252</v>
      </c>
      <c r="C110" s="466">
        <f t="array" ref="C110">((SUM(IF((CkDJ[Sort Code]=(TRIM(E$5)))*(CkDJ[Account Code]=(TRIM($B110)))*(CkDJ[Date]&lt;=$C$8),CkDJ[Debit])))+(SUM(IF((CsDJ[Sort Code]=(TRIM(E$5)))*(CsDJ[Account Code]=(TRIM($B110)))*(CsDJ[Date]&lt;=$C$8),CsDJ[Debit])))+(SUM(IF((CRDJ[Sort Code]=(TRIM(E$5)))*(CRDJ[Account Code]=(TRIM($B110)))*(CRDJ[Date]&lt;=$C$8),CRDJ[Debit])))+(SUM(IF((GJ[Sort Code]=(TRIM(E$5)))*(GJ[Account Code]=(TRIM($B110)))*(GJ[Date]&lt;=$C$8),GJ[Debit]))))-((SUM(IF((CkDJ[Sort Code]=(TRIM(E$5)))*(CkDJ[Account Code]=(TRIM($B110)))*(CkDJ[Date]&lt;=$C$8),CkDJ[Credit])))+(SUM(IF((CsDJ[Sort Code]=(TRIM(E$5)))*(CsDJ[Account Code]=(TRIM($B110)))*(CsDJ[Date]&lt;=$C$8),CsDJ[Credit])))+(SUM(IF((CRDJ[Sort Code]=(TRIM(E$5)))*(CRDJ[Account Code]=(TRIM($B110)))*(CRDJ[Date]&lt;=$C$8),CRDJ[Credit])))+(SUM(IF((GJ[Sort Code]=(TRIM(E$5)))*(GJ[Account Code]=(TRIM($B110)))*(GJ[Date]&lt;=$C$8),GJ[Credit]))))</f>
        <v>0</v>
      </c>
      <c r="D110" s="466">
        <f t="array" ref="D110">((SUM(IF((CkDJ[Date]=$A$4)*(CkDJ[Sort Code]=(TRIM(E$5)))*(CkDJ[Account Code]=(TRIM($B110))),CkDJ[Debit])))+(SUM(IF((CsDJ[Date]=$A$4)*(CsDJ[Sort Code]=(TRIM(E$5)))*(CsDJ[Account Code]=(TRIM($B110))),CsDJ[Debit])))+(SUM(IF((CRDJ[Date]=$A$4)*(CRDJ[Sort Code]=(TRIM(E$5)))*(CRDJ[Account Code]=(TRIM($B110))),CRDJ[Debit])))+(SUM(IF((GJ[Date]=$A$4)*(GJ[Sort Code]=(TRIM(E$5)))*(GJ[Account Code]=(TRIM($B110))),GJ[Debit]))))-((SUM(IF((CkDJ[Date]=$A$4)*(CkDJ[Sort Code]=(TRIM(E$5)))*(CkDJ[Account Code]=(TRIM($B110))),CkDJ[Credit])))+(SUM(IF((CsDJ[Date]=$A$4)*(CsDJ[Sort Code]=(TRIM(E$5)))*(CsDJ[Account Code]=(TRIM($B110))),CsDJ[Credit])))+(SUM(IF((CRDJ[Date]=$A$4)*(CRDJ[Sort Code]=(TRIM(E$5)))*(CRDJ[Account Code]=(TRIM($B110))),CRDJ[Credit])))+(SUM(IF((GJ[Date]=$A$4)*(GJ[Sort Code]=(TRIM(E$5)))*(GJ[Account Code]=(TRIM($B110))),GJ[Credit]))))</f>
        <v>0</v>
      </c>
      <c r="E110" s="467">
        <f t="shared" si="3"/>
        <v>0</v>
      </c>
    </row>
    <row r="111" spans="1:5" x14ac:dyDescent="0.2">
      <c r="A111" s="476" t="s">
        <v>307</v>
      </c>
      <c r="B111" s="339" t="s">
        <v>253</v>
      </c>
      <c r="C111" s="466">
        <f t="array" ref="C111">((SUM(IF((CkDJ[Sort Code]=(TRIM(E$5)))*(CkDJ[Account Code]=(TRIM($B111)))*(CkDJ[Date]&lt;=$C$8),CkDJ[Debit])))+(SUM(IF((CsDJ[Sort Code]=(TRIM(E$5)))*(CsDJ[Account Code]=(TRIM($B111)))*(CsDJ[Date]&lt;=$C$8),CsDJ[Debit])))+(SUM(IF((CRDJ[Sort Code]=(TRIM(E$5)))*(CRDJ[Account Code]=(TRIM($B111)))*(CRDJ[Date]&lt;=$C$8),CRDJ[Debit])))+(SUM(IF((GJ[Sort Code]=(TRIM(E$5)))*(GJ[Account Code]=(TRIM($B111)))*(GJ[Date]&lt;=$C$8),GJ[Debit]))))-((SUM(IF((CkDJ[Sort Code]=(TRIM(E$5)))*(CkDJ[Account Code]=(TRIM($B111)))*(CkDJ[Date]&lt;=$C$8),CkDJ[Credit])))+(SUM(IF((CsDJ[Sort Code]=(TRIM(E$5)))*(CsDJ[Account Code]=(TRIM($B111)))*(CsDJ[Date]&lt;=$C$8),CsDJ[Credit])))+(SUM(IF((CRDJ[Sort Code]=(TRIM(E$5)))*(CRDJ[Account Code]=(TRIM($B111)))*(CRDJ[Date]&lt;=$C$8),CRDJ[Credit])))+(SUM(IF((GJ[Sort Code]=(TRIM(E$5)))*(GJ[Account Code]=(TRIM($B111)))*(GJ[Date]&lt;=$C$8),GJ[Credit]))))</f>
        <v>0</v>
      </c>
      <c r="D111" s="466">
        <f t="array" ref="D111">((SUM(IF((CkDJ[Date]=$A$4)*(CkDJ[Sort Code]=(TRIM(E$5)))*(CkDJ[Account Code]=(TRIM($B111))),CkDJ[Debit])))+(SUM(IF((CsDJ[Date]=$A$4)*(CsDJ[Sort Code]=(TRIM(E$5)))*(CsDJ[Account Code]=(TRIM($B111))),CsDJ[Debit])))+(SUM(IF((CRDJ[Date]=$A$4)*(CRDJ[Sort Code]=(TRIM(E$5)))*(CRDJ[Account Code]=(TRIM($B111))),CRDJ[Debit])))+(SUM(IF((GJ[Date]=$A$4)*(GJ[Sort Code]=(TRIM(E$5)))*(GJ[Account Code]=(TRIM($B111))),GJ[Debit]))))-((SUM(IF((CkDJ[Date]=$A$4)*(CkDJ[Sort Code]=(TRIM(E$5)))*(CkDJ[Account Code]=(TRIM($B111))),CkDJ[Credit])))+(SUM(IF((CsDJ[Date]=$A$4)*(CsDJ[Sort Code]=(TRIM(E$5)))*(CsDJ[Account Code]=(TRIM($B111))),CsDJ[Credit])))+(SUM(IF((CRDJ[Date]=$A$4)*(CRDJ[Sort Code]=(TRIM(E$5)))*(CRDJ[Account Code]=(TRIM($B111))),CRDJ[Credit])))+(SUM(IF((GJ[Date]=$A$4)*(GJ[Sort Code]=(TRIM(E$5)))*(GJ[Account Code]=(TRIM($B111))),GJ[Credit]))))</f>
        <v>0</v>
      </c>
      <c r="E111" s="467">
        <f t="shared" si="3"/>
        <v>0</v>
      </c>
    </row>
    <row r="112" spans="1:5" x14ac:dyDescent="0.2">
      <c r="A112" s="476" t="s">
        <v>308</v>
      </c>
      <c r="B112" s="339" t="s">
        <v>256</v>
      </c>
      <c r="C112" s="466">
        <f t="array" ref="C112">((SUM(IF((CkDJ[Sort Code]=(TRIM(E$5)))*(CkDJ[Account Code]=(TRIM($B112)))*(CkDJ[Date]&lt;=$C$8),CkDJ[Debit])))+(SUM(IF((CsDJ[Sort Code]=(TRIM(E$5)))*(CsDJ[Account Code]=(TRIM($B112)))*(CsDJ[Date]&lt;=$C$8),CsDJ[Debit])))+(SUM(IF((CRDJ[Sort Code]=(TRIM(E$5)))*(CRDJ[Account Code]=(TRIM($B112)))*(CRDJ[Date]&lt;=$C$8),CRDJ[Debit])))+(SUM(IF((GJ[Sort Code]=(TRIM(E$5)))*(GJ[Account Code]=(TRIM($B112)))*(GJ[Date]&lt;=$C$8),GJ[Debit]))))-((SUM(IF((CkDJ[Sort Code]=(TRIM(E$5)))*(CkDJ[Account Code]=(TRIM($B112)))*(CkDJ[Date]&lt;=$C$8),CkDJ[Credit])))+(SUM(IF((CsDJ[Sort Code]=(TRIM(E$5)))*(CsDJ[Account Code]=(TRIM($B112)))*(CsDJ[Date]&lt;=$C$8),CsDJ[Credit])))+(SUM(IF((CRDJ[Sort Code]=(TRIM(E$5)))*(CRDJ[Account Code]=(TRIM($B112)))*(CRDJ[Date]&lt;=$C$8),CRDJ[Credit])))+(SUM(IF((GJ[Sort Code]=(TRIM(E$5)))*(GJ[Account Code]=(TRIM($B112)))*(GJ[Date]&lt;=$C$8),GJ[Credit]))))</f>
        <v>0</v>
      </c>
      <c r="D112" s="466">
        <f t="array" ref="D112">((SUM(IF((CkDJ[Date]=$A$4)*(CkDJ[Sort Code]=(TRIM(E$5)))*(CkDJ[Account Code]=(TRIM($B112))),CkDJ[Debit])))+(SUM(IF((CsDJ[Date]=$A$4)*(CsDJ[Sort Code]=(TRIM(E$5)))*(CsDJ[Account Code]=(TRIM($B112))),CsDJ[Debit])))+(SUM(IF((CRDJ[Date]=$A$4)*(CRDJ[Sort Code]=(TRIM(E$5)))*(CRDJ[Account Code]=(TRIM($B112))),CRDJ[Debit])))+(SUM(IF((GJ[Date]=$A$4)*(GJ[Sort Code]=(TRIM(E$5)))*(GJ[Account Code]=(TRIM($B112))),GJ[Debit]))))-((SUM(IF((CkDJ[Date]=$A$4)*(CkDJ[Sort Code]=(TRIM(E$5)))*(CkDJ[Account Code]=(TRIM($B112))),CkDJ[Credit])))+(SUM(IF((CsDJ[Date]=$A$4)*(CsDJ[Sort Code]=(TRIM(E$5)))*(CsDJ[Account Code]=(TRIM($B112))),CsDJ[Credit])))+(SUM(IF((CRDJ[Date]=$A$4)*(CRDJ[Sort Code]=(TRIM(E$5)))*(CRDJ[Account Code]=(TRIM($B112))),CRDJ[Credit])))+(SUM(IF((GJ[Date]=$A$4)*(GJ[Sort Code]=(TRIM(E$5)))*(GJ[Account Code]=(TRIM($B112))),GJ[Credit]))))</f>
        <v>0</v>
      </c>
      <c r="E112" s="467">
        <f t="shared" si="3"/>
        <v>0</v>
      </c>
    </row>
    <row r="113" spans="1:5" x14ac:dyDescent="0.2">
      <c r="A113" s="476" t="s">
        <v>309</v>
      </c>
      <c r="B113" s="339" t="s">
        <v>258</v>
      </c>
      <c r="C113" s="466">
        <f t="array" ref="C113">((SUM(IF((CkDJ[Sort Code]=(TRIM(E$5)))*(CkDJ[Account Code]=(TRIM($B113)))*(CkDJ[Date]&lt;=$C$8),CkDJ[Debit])))+(SUM(IF((CsDJ[Sort Code]=(TRIM(E$5)))*(CsDJ[Account Code]=(TRIM($B113)))*(CsDJ[Date]&lt;=$C$8),CsDJ[Debit])))+(SUM(IF((CRDJ[Sort Code]=(TRIM(E$5)))*(CRDJ[Account Code]=(TRIM($B113)))*(CRDJ[Date]&lt;=$C$8),CRDJ[Debit])))+(SUM(IF((GJ[Sort Code]=(TRIM(E$5)))*(GJ[Account Code]=(TRIM($B113)))*(GJ[Date]&lt;=$C$8),GJ[Debit]))))-((SUM(IF((CkDJ[Sort Code]=(TRIM(E$5)))*(CkDJ[Account Code]=(TRIM($B113)))*(CkDJ[Date]&lt;=$C$8),CkDJ[Credit])))+(SUM(IF((CsDJ[Sort Code]=(TRIM(E$5)))*(CsDJ[Account Code]=(TRIM($B113)))*(CsDJ[Date]&lt;=$C$8),CsDJ[Credit])))+(SUM(IF((CRDJ[Sort Code]=(TRIM(E$5)))*(CRDJ[Account Code]=(TRIM($B113)))*(CRDJ[Date]&lt;=$C$8),CRDJ[Credit])))+(SUM(IF((GJ[Sort Code]=(TRIM(E$5)))*(GJ[Account Code]=(TRIM($B113)))*(GJ[Date]&lt;=$C$8),GJ[Credit]))))</f>
        <v>0</v>
      </c>
      <c r="D113" s="466">
        <f t="array" ref="D113">((SUM(IF((CkDJ[Date]=$A$4)*(CkDJ[Sort Code]=(TRIM(E$5)))*(CkDJ[Account Code]=(TRIM($B113))),CkDJ[Debit])))+(SUM(IF((CsDJ[Date]=$A$4)*(CsDJ[Sort Code]=(TRIM(E$5)))*(CsDJ[Account Code]=(TRIM($B113))),CsDJ[Debit])))+(SUM(IF((CRDJ[Date]=$A$4)*(CRDJ[Sort Code]=(TRIM(E$5)))*(CRDJ[Account Code]=(TRIM($B113))),CRDJ[Debit])))+(SUM(IF((GJ[Date]=$A$4)*(GJ[Sort Code]=(TRIM(E$5)))*(GJ[Account Code]=(TRIM($B113))),GJ[Debit]))))-((SUM(IF((CkDJ[Date]=$A$4)*(CkDJ[Sort Code]=(TRIM(E$5)))*(CkDJ[Account Code]=(TRIM($B113))),CkDJ[Credit])))+(SUM(IF((CsDJ[Date]=$A$4)*(CsDJ[Sort Code]=(TRIM(E$5)))*(CsDJ[Account Code]=(TRIM($B113))),CsDJ[Credit])))+(SUM(IF((CRDJ[Date]=$A$4)*(CRDJ[Sort Code]=(TRIM(E$5)))*(CRDJ[Account Code]=(TRIM($B113))),CRDJ[Credit])))+(SUM(IF((GJ[Date]=$A$4)*(GJ[Sort Code]=(TRIM(E$5)))*(GJ[Account Code]=(TRIM($B113))),GJ[Credit]))))</f>
        <v>0</v>
      </c>
      <c r="E113" s="467">
        <f t="shared" si="3"/>
        <v>0</v>
      </c>
    </row>
    <row r="114" spans="1:5" x14ac:dyDescent="0.2">
      <c r="A114" s="476" t="s">
        <v>310</v>
      </c>
      <c r="B114" s="339" t="s">
        <v>261</v>
      </c>
      <c r="C114" s="466">
        <f t="array" ref="C114">((SUM(IF((CkDJ[Sort Code]=(TRIM(E$5)))*(CkDJ[Account Code]=(TRIM($B114)))*(CkDJ[Date]&lt;=$C$8),CkDJ[Debit])))+(SUM(IF((CsDJ[Sort Code]=(TRIM(E$5)))*(CsDJ[Account Code]=(TRIM($B114)))*(CsDJ[Date]&lt;=$C$8),CsDJ[Debit])))+(SUM(IF((CRDJ[Sort Code]=(TRIM(E$5)))*(CRDJ[Account Code]=(TRIM($B114)))*(CRDJ[Date]&lt;=$C$8),CRDJ[Debit])))+(SUM(IF((GJ[Sort Code]=(TRIM(E$5)))*(GJ[Account Code]=(TRIM($B114)))*(GJ[Date]&lt;=$C$8),GJ[Debit]))))-((SUM(IF((CkDJ[Sort Code]=(TRIM(E$5)))*(CkDJ[Account Code]=(TRIM($B114)))*(CkDJ[Date]&lt;=$C$8),CkDJ[Credit])))+(SUM(IF((CsDJ[Sort Code]=(TRIM(E$5)))*(CsDJ[Account Code]=(TRIM($B114)))*(CsDJ[Date]&lt;=$C$8),CsDJ[Credit])))+(SUM(IF((CRDJ[Sort Code]=(TRIM(E$5)))*(CRDJ[Account Code]=(TRIM($B114)))*(CRDJ[Date]&lt;=$C$8),CRDJ[Credit])))+(SUM(IF((GJ[Sort Code]=(TRIM(E$5)))*(GJ[Account Code]=(TRIM($B114)))*(GJ[Date]&lt;=$C$8),GJ[Credit]))))</f>
        <v>0</v>
      </c>
      <c r="D114" s="466">
        <f t="array" ref="D114">((SUM(IF((CkDJ[Date]=$A$4)*(CkDJ[Sort Code]=(TRIM(E$5)))*(CkDJ[Account Code]=(TRIM($B114))),CkDJ[Debit])))+(SUM(IF((CsDJ[Date]=$A$4)*(CsDJ[Sort Code]=(TRIM(E$5)))*(CsDJ[Account Code]=(TRIM($B114))),CsDJ[Debit])))+(SUM(IF((CRDJ[Date]=$A$4)*(CRDJ[Sort Code]=(TRIM(E$5)))*(CRDJ[Account Code]=(TRIM($B114))),CRDJ[Debit])))+(SUM(IF((GJ[Date]=$A$4)*(GJ[Sort Code]=(TRIM(E$5)))*(GJ[Account Code]=(TRIM($B114))),GJ[Debit]))))-((SUM(IF((CkDJ[Date]=$A$4)*(CkDJ[Sort Code]=(TRIM(E$5)))*(CkDJ[Account Code]=(TRIM($B114))),CkDJ[Credit])))+(SUM(IF((CsDJ[Date]=$A$4)*(CsDJ[Sort Code]=(TRIM(E$5)))*(CsDJ[Account Code]=(TRIM($B114))),CsDJ[Credit])))+(SUM(IF((CRDJ[Date]=$A$4)*(CRDJ[Sort Code]=(TRIM(E$5)))*(CRDJ[Account Code]=(TRIM($B114))),CRDJ[Credit])))+(SUM(IF((GJ[Date]=$A$4)*(GJ[Sort Code]=(TRIM(E$5)))*(GJ[Account Code]=(TRIM($B114))),GJ[Credit]))))</f>
        <v>0</v>
      </c>
      <c r="E114" s="467">
        <f t="shared" si="3"/>
        <v>0</v>
      </c>
    </row>
    <row r="115" spans="1:5" x14ac:dyDescent="0.2">
      <c r="A115" s="476" t="s">
        <v>311</v>
      </c>
      <c r="B115" s="339" t="s">
        <v>262</v>
      </c>
      <c r="C115" s="466">
        <f t="array" ref="C115">((SUM(IF((CkDJ[Sort Code]=(TRIM(E$5)))*(CkDJ[Account Code]=(TRIM($B115)))*(CkDJ[Date]&lt;=$C$8),CkDJ[Debit])))+(SUM(IF((CsDJ[Sort Code]=(TRIM(E$5)))*(CsDJ[Account Code]=(TRIM($B115)))*(CsDJ[Date]&lt;=$C$8),CsDJ[Debit])))+(SUM(IF((CRDJ[Sort Code]=(TRIM(E$5)))*(CRDJ[Account Code]=(TRIM($B115)))*(CRDJ[Date]&lt;=$C$8),CRDJ[Debit])))+(SUM(IF((GJ[Sort Code]=(TRIM(E$5)))*(GJ[Account Code]=(TRIM($B115)))*(GJ[Date]&lt;=$C$8),GJ[Debit]))))-((SUM(IF((CkDJ[Sort Code]=(TRIM(E$5)))*(CkDJ[Account Code]=(TRIM($B115)))*(CkDJ[Date]&lt;=$C$8),CkDJ[Credit])))+(SUM(IF((CsDJ[Sort Code]=(TRIM(E$5)))*(CsDJ[Account Code]=(TRIM($B115)))*(CsDJ[Date]&lt;=$C$8),CsDJ[Credit])))+(SUM(IF((CRDJ[Sort Code]=(TRIM(E$5)))*(CRDJ[Account Code]=(TRIM($B115)))*(CRDJ[Date]&lt;=$C$8),CRDJ[Credit])))+(SUM(IF((GJ[Sort Code]=(TRIM(E$5)))*(GJ[Account Code]=(TRIM($B115)))*(GJ[Date]&lt;=$C$8),GJ[Credit]))))</f>
        <v>0</v>
      </c>
      <c r="D115" s="466">
        <f t="array" ref="D115">((SUM(IF((CkDJ[Date]=$A$4)*(CkDJ[Sort Code]=(TRIM(E$5)))*(CkDJ[Account Code]=(TRIM($B115))),CkDJ[Debit])))+(SUM(IF((CsDJ[Date]=$A$4)*(CsDJ[Sort Code]=(TRIM(E$5)))*(CsDJ[Account Code]=(TRIM($B115))),CsDJ[Debit])))+(SUM(IF((CRDJ[Date]=$A$4)*(CRDJ[Sort Code]=(TRIM(E$5)))*(CRDJ[Account Code]=(TRIM($B115))),CRDJ[Debit])))+(SUM(IF((GJ[Date]=$A$4)*(GJ[Sort Code]=(TRIM(E$5)))*(GJ[Account Code]=(TRIM($B115))),GJ[Debit]))))-((SUM(IF((CkDJ[Date]=$A$4)*(CkDJ[Sort Code]=(TRIM(E$5)))*(CkDJ[Account Code]=(TRIM($B115))),CkDJ[Credit])))+(SUM(IF((CsDJ[Date]=$A$4)*(CsDJ[Sort Code]=(TRIM(E$5)))*(CsDJ[Account Code]=(TRIM($B115))),CsDJ[Credit])))+(SUM(IF((CRDJ[Date]=$A$4)*(CRDJ[Sort Code]=(TRIM(E$5)))*(CRDJ[Account Code]=(TRIM($B115))),CRDJ[Credit])))+(SUM(IF((GJ[Date]=$A$4)*(GJ[Sort Code]=(TRIM(E$5)))*(GJ[Account Code]=(TRIM($B115))),GJ[Credit]))))</f>
        <v>0</v>
      </c>
      <c r="E115" s="467">
        <f t="shared" si="3"/>
        <v>0</v>
      </c>
    </row>
    <row r="116" spans="1:5" x14ac:dyDescent="0.2">
      <c r="A116" s="476" t="s">
        <v>312</v>
      </c>
      <c r="B116" s="339" t="s">
        <v>264</v>
      </c>
      <c r="C116" s="466">
        <f t="array" ref="C116">((SUM(IF((CkDJ[Sort Code]=(TRIM(E$5)))*(CkDJ[Account Code]=(TRIM($B116)))*(CkDJ[Date]&lt;=$C$8),CkDJ[Debit])))+(SUM(IF((CsDJ[Sort Code]=(TRIM(E$5)))*(CsDJ[Account Code]=(TRIM($B116)))*(CsDJ[Date]&lt;=$C$8),CsDJ[Debit])))+(SUM(IF((CRDJ[Sort Code]=(TRIM(E$5)))*(CRDJ[Account Code]=(TRIM($B116)))*(CRDJ[Date]&lt;=$C$8),CRDJ[Debit])))+(SUM(IF((GJ[Sort Code]=(TRIM(E$5)))*(GJ[Account Code]=(TRIM($B116)))*(GJ[Date]&lt;=$C$8),GJ[Debit]))))-((SUM(IF((CkDJ[Sort Code]=(TRIM(E$5)))*(CkDJ[Account Code]=(TRIM($B116)))*(CkDJ[Date]&lt;=$C$8),CkDJ[Credit])))+(SUM(IF((CsDJ[Sort Code]=(TRIM(E$5)))*(CsDJ[Account Code]=(TRIM($B116)))*(CsDJ[Date]&lt;=$C$8),CsDJ[Credit])))+(SUM(IF((CRDJ[Sort Code]=(TRIM(E$5)))*(CRDJ[Account Code]=(TRIM($B116)))*(CRDJ[Date]&lt;=$C$8),CRDJ[Credit])))+(SUM(IF((GJ[Sort Code]=(TRIM(E$5)))*(GJ[Account Code]=(TRIM($B116)))*(GJ[Date]&lt;=$C$8),GJ[Credit]))))</f>
        <v>0</v>
      </c>
      <c r="D116" s="466">
        <f t="array" ref="D116">((SUM(IF((CkDJ[Date]=$A$4)*(CkDJ[Sort Code]=(TRIM(E$5)))*(CkDJ[Account Code]=(TRIM($B116))),CkDJ[Debit])))+(SUM(IF((CsDJ[Date]=$A$4)*(CsDJ[Sort Code]=(TRIM(E$5)))*(CsDJ[Account Code]=(TRIM($B116))),CsDJ[Debit])))+(SUM(IF((CRDJ[Date]=$A$4)*(CRDJ[Sort Code]=(TRIM(E$5)))*(CRDJ[Account Code]=(TRIM($B116))),CRDJ[Debit])))+(SUM(IF((GJ[Date]=$A$4)*(GJ[Sort Code]=(TRIM(E$5)))*(GJ[Account Code]=(TRIM($B116))),GJ[Debit]))))-((SUM(IF((CkDJ[Date]=$A$4)*(CkDJ[Sort Code]=(TRIM(E$5)))*(CkDJ[Account Code]=(TRIM($B116))),CkDJ[Credit])))+(SUM(IF((CsDJ[Date]=$A$4)*(CsDJ[Sort Code]=(TRIM(E$5)))*(CsDJ[Account Code]=(TRIM($B116))),CsDJ[Credit])))+(SUM(IF((CRDJ[Date]=$A$4)*(CRDJ[Sort Code]=(TRIM(E$5)))*(CRDJ[Account Code]=(TRIM($B116))),CRDJ[Credit])))+(SUM(IF((GJ[Date]=$A$4)*(GJ[Sort Code]=(TRIM(E$5)))*(GJ[Account Code]=(TRIM($B116))),GJ[Credit]))))</f>
        <v>0</v>
      </c>
      <c r="E116" s="467">
        <f t="shared" si="3"/>
        <v>0</v>
      </c>
    </row>
    <row r="117" spans="1:5" x14ac:dyDescent="0.2">
      <c r="A117" s="476" t="s">
        <v>313</v>
      </c>
      <c r="B117" s="339" t="s">
        <v>265</v>
      </c>
      <c r="C117" s="466">
        <f t="array" ref="C117">((SUM(IF((CkDJ[Sort Code]=(TRIM(E$5)))*(CkDJ[Account Code]=(TRIM($B117)))*(CkDJ[Date]&lt;=$C$8),CkDJ[Debit])))+(SUM(IF((CsDJ[Sort Code]=(TRIM(E$5)))*(CsDJ[Account Code]=(TRIM($B117)))*(CsDJ[Date]&lt;=$C$8),CsDJ[Debit])))+(SUM(IF((CRDJ[Sort Code]=(TRIM(E$5)))*(CRDJ[Account Code]=(TRIM($B117)))*(CRDJ[Date]&lt;=$C$8),CRDJ[Debit])))+(SUM(IF((GJ[Sort Code]=(TRIM(E$5)))*(GJ[Account Code]=(TRIM($B117)))*(GJ[Date]&lt;=$C$8),GJ[Debit]))))-((SUM(IF((CkDJ[Sort Code]=(TRIM(E$5)))*(CkDJ[Account Code]=(TRIM($B117)))*(CkDJ[Date]&lt;=$C$8),CkDJ[Credit])))+(SUM(IF((CsDJ[Sort Code]=(TRIM(E$5)))*(CsDJ[Account Code]=(TRIM($B117)))*(CsDJ[Date]&lt;=$C$8),CsDJ[Credit])))+(SUM(IF((CRDJ[Sort Code]=(TRIM(E$5)))*(CRDJ[Account Code]=(TRIM($B117)))*(CRDJ[Date]&lt;=$C$8),CRDJ[Credit])))+(SUM(IF((GJ[Sort Code]=(TRIM(E$5)))*(GJ[Account Code]=(TRIM($B117)))*(GJ[Date]&lt;=$C$8),GJ[Credit]))))</f>
        <v>0</v>
      </c>
      <c r="D117" s="466">
        <f t="array" ref="D117">((SUM(IF((CkDJ[Date]=$A$4)*(CkDJ[Sort Code]=(TRIM(E$5)))*(CkDJ[Account Code]=(TRIM($B117))),CkDJ[Debit])))+(SUM(IF((CsDJ[Date]=$A$4)*(CsDJ[Sort Code]=(TRIM(E$5)))*(CsDJ[Account Code]=(TRIM($B117))),CsDJ[Debit])))+(SUM(IF((CRDJ[Date]=$A$4)*(CRDJ[Sort Code]=(TRIM(E$5)))*(CRDJ[Account Code]=(TRIM($B117))),CRDJ[Debit])))+(SUM(IF((GJ[Date]=$A$4)*(GJ[Sort Code]=(TRIM(E$5)))*(GJ[Account Code]=(TRIM($B117))),GJ[Debit]))))-((SUM(IF((CkDJ[Date]=$A$4)*(CkDJ[Sort Code]=(TRIM(E$5)))*(CkDJ[Account Code]=(TRIM($B117))),CkDJ[Credit])))+(SUM(IF((CsDJ[Date]=$A$4)*(CsDJ[Sort Code]=(TRIM(E$5)))*(CsDJ[Account Code]=(TRIM($B117))),CsDJ[Credit])))+(SUM(IF((CRDJ[Date]=$A$4)*(CRDJ[Sort Code]=(TRIM(E$5)))*(CRDJ[Account Code]=(TRIM($B117))),CRDJ[Credit])))+(SUM(IF((GJ[Date]=$A$4)*(GJ[Sort Code]=(TRIM(E$5)))*(GJ[Account Code]=(TRIM($B117))),GJ[Credit]))))</f>
        <v>0</v>
      </c>
      <c r="E117" s="467">
        <f t="shared" si="3"/>
        <v>0</v>
      </c>
    </row>
    <row r="118" spans="1:5" x14ac:dyDescent="0.2">
      <c r="A118" s="476" t="s">
        <v>790</v>
      </c>
      <c r="B118" s="339" t="s">
        <v>267</v>
      </c>
      <c r="C118" s="466">
        <f t="array" ref="C118">((SUM(IF((CkDJ[Sort Code]=(TRIM(E$5)))*(CkDJ[Account Code]=(TRIM($B118)))*(CkDJ[Date]&lt;=$C$8),CkDJ[Debit])))+(SUM(IF((CsDJ[Sort Code]=(TRIM(E$5)))*(CsDJ[Account Code]=(TRIM($B118)))*(CsDJ[Date]&lt;=$C$8),CsDJ[Debit])))+(SUM(IF((CRDJ[Sort Code]=(TRIM(E$5)))*(CRDJ[Account Code]=(TRIM($B118)))*(CRDJ[Date]&lt;=$C$8),CRDJ[Debit])))+(SUM(IF((GJ[Sort Code]=(TRIM(E$5)))*(GJ[Account Code]=(TRIM($B118)))*(GJ[Date]&lt;=$C$8),GJ[Debit]))))-((SUM(IF((CkDJ[Sort Code]=(TRIM(E$5)))*(CkDJ[Account Code]=(TRIM($B118)))*(CkDJ[Date]&lt;=$C$8),CkDJ[Credit])))+(SUM(IF((CsDJ[Sort Code]=(TRIM(E$5)))*(CsDJ[Account Code]=(TRIM($B118)))*(CsDJ[Date]&lt;=$C$8),CsDJ[Credit])))+(SUM(IF((CRDJ[Sort Code]=(TRIM(E$5)))*(CRDJ[Account Code]=(TRIM($B118)))*(CRDJ[Date]&lt;=$C$8),CRDJ[Credit])))+(SUM(IF((GJ[Sort Code]=(TRIM(E$5)))*(GJ[Account Code]=(TRIM($B118)))*(GJ[Date]&lt;=$C$8),GJ[Credit]))))</f>
        <v>0</v>
      </c>
      <c r="D118" s="466">
        <f t="array" ref="D118">((SUM(IF((CkDJ[Date]=$A$4)*(CkDJ[Sort Code]=(TRIM(E$5)))*(CkDJ[Account Code]=(TRIM($B118))),CkDJ[Debit])))+(SUM(IF((CsDJ[Date]=$A$4)*(CsDJ[Sort Code]=(TRIM(E$5)))*(CsDJ[Account Code]=(TRIM($B118))),CsDJ[Debit])))+(SUM(IF((CRDJ[Date]=$A$4)*(CRDJ[Sort Code]=(TRIM(E$5)))*(CRDJ[Account Code]=(TRIM($B118))),CRDJ[Debit])))+(SUM(IF((GJ[Date]=$A$4)*(GJ[Sort Code]=(TRIM(E$5)))*(GJ[Account Code]=(TRIM($B118))),GJ[Debit]))))-((SUM(IF((CkDJ[Date]=$A$4)*(CkDJ[Sort Code]=(TRIM(E$5)))*(CkDJ[Account Code]=(TRIM($B118))),CkDJ[Credit])))+(SUM(IF((CsDJ[Date]=$A$4)*(CsDJ[Sort Code]=(TRIM(E$5)))*(CsDJ[Account Code]=(TRIM($B118))),CsDJ[Credit])))+(SUM(IF((CRDJ[Date]=$A$4)*(CRDJ[Sort Code]=(TRIM(E$5)))*(CRDJ[Account Code]=(TRIM($B118))),CRDJ[Credit])))+(SUM(IF((GJ[Date]=$A$4)*(GJ[Sort Code]=(TRIM(E$5)))*(GJ[Account Code]=(TRIM($B118))),GJ[Credit]))))</f>
        <v>0</v>
      </c>
      <c r="E118" s="467">
        <f>C118+D118</f>
        <v>0</v>
      </c>
    </row>
    <row r="119" spans="1:5" x14ac:dyDescent="0.2">
      <c r="A119" s="476" t="s">
        <v>1027</v>
      </c>
      <c r="B119" s="339" t="s">
        <v>269</v>
      </c>
      <c r="C119" s="466">
        <f t="array" ref="C119">((SUM(IF((CkDJ[Sort Code]=(TRIM(E$5)))*(CkDJ[Account Code]=(TRIM($B119)))*(CkDJ[Date]&lt;=$C$8),CkDJ[Debit])))+(SUM(IF((CsDJ[Sort Code]=(TRIM(E$5)))*(CsDJ[Account Code]=(TRIM($B119)))*(CsDJ[Date]&lt;=$C$8),CsDJ[Debit])))+(SUM(IF((CRDJ[Sort Code]=(TRIM(E$5)))*(CRDJ[Account Code]=(TRIM($B119)))*(CRDJ[Date]&lt;=$C$8),CRDJ[Debit])))+(SUM(IF((GJ[Sort Code]=(TRIM(E$5)))*(GJ[Account Code]=(TRIM($B119)))*(GJ[Date]&lt;=$C$8),GJ[Debit]))))-((SUM(IF((CkDJ[Sort Code]=(TRIM(E$5)))*(CkDJ[Account Code]=(TRIM($B119)))*(CkDJ[Date]&lt;=$C$8),CkDJ[Credit])))+(SUM(IF((CsDJ[Sort Code]=(TRIM(E$5)))*(CsDJ[Account Code]=(TRIM($B119)))*(CsDJ[Date]&lt;=$C$8),CsDJ[Credit])))+(SUM(IF((CRDJ[Sort Code]=(TRIM(E$5)))*(CRDJ[Account Code]=(TRIM($B119)))*(CRDJ[Date]&lt;=$C$8),CRDJ[Credit])))+(SUM(IF((GJ[Sort Code]=(TRIM(E$5)))*(GJ[Account Code]=(TRIM($B119)))*(GJ[Date]&lt;=$C$8),GJ[Credit]))))</f>
        <v>0</v>
      </c>
      <c r="D119" s="466">
        <f t="array" ref="D119">((SUM(IF((CkDJ[Date]=$A$4)*(CkDJ[Sort Code]=(TRIM(E$5)))*(CkDJ[Account Code]=(TRIM($B119))),CkDJ[Debit])))+(SUM(IF((CsDJ[Date]=$A$4)*(CsDJ[Sort Code]=(TRIM(E$5)))*(CsDJ[Account Code]=(TRIM($B119))),CsDJ[Debit])))+(SUM(IF((CRDJ[Date]=$A$4)*(CRDJ[Sort Code]=(TRIM(E$5)))*(CRDJ[Account Code]=(TRIM($B119))),CRDJ[Debit])))+(SUM(IF((GJ[Date]=$A$4)*(GJ[Sort Code]=(TRIM(E$5)))*(GJ[Account Code]=(TRIM($B119))),GJ[Debit]))))-((SUM(IF((CkDJ[Date]=$A$4)*(CkDJ[Sort Code]=(TRIM(E$5)))*(CkDJ[Account Code]=(TRIM($B119))),CkDJ[Credit])))+(SUM(IF((CsDJ[Date]=$A$4)*(CsDJ[Sort Code]=(TRIM(E$5)))*(CsDJ[Account Code]=(TRIM($B119))),CsDJ[Credit])))+(SUM(IF((CRDJ[Date]=$A$4)*(CRDJ[Sort Code]=(TRIM(E$5)))*(CRDJ[Account Code]=(TRIM($B119))),CRDJ[Credit])))+(SUM(IF((GJ[Date]=$A$4)*(GJ[Sort Code]=(TRIM(E$5)))*(GJ[Account Code]=(TRIM($B119))),GJ[Credit]))))</f>
        <v>0</v>
      </c>
      <c r="E119" s="467">
        <f t="shared" si="3"/>
        <v>0</v>
      </c>
    </row>
    <row r="120" spans="1:5" x14ac:dyDescent="0.2">
      <c r="A120" s="476" t="s">
        <v>409</v>
      </c>
      <c r="B120" s="339" t="s">
        <v>408</v>
      </c>
      <c r="C120" s="466">
        <f t="array" ref="C120">((SUM(IF((CkDJ[Sort Code]=(TRIM(E$5)))*(CkDJ[Account Code]=(TRIM($B120)))*(CkDJ[Date]&lt;=$C$8),CkDJ[Debit])))+(SUM(IF((CsDJ[Sort Code]=(TRIM(E$5)))*(CsDJ[Account Code]=(TRIM($B120)))*(CsDJ[Date]&lt;=$C$8),CsDJ[Debit])))+(SUM(IF((CRDJ[Sort Code]=(TRIM(E$5)))*(CRDJ[Account Code]=(TRIM($B120)))*(CRDJ[Date]&lt;=$C$8),CRDJ[Debit])))+(SUM(IF((GJ[Sort Code]=(TRIM(E$5)))*(GJ[Account Code]=(TRIM($B120)))*(GJ[Date]&lt;=$C$8),GJ[Debit]))))-((SUM(IF((CkDJ[Sort Code]=(TRIM(E$5)))*(CkDJ[Account Code]=(TRIM($B120)))*(CkDJ[Date]&lt;=$C$8),CkDJ[Credit])))+(SUM(IF((CsDJ[Sort Code]=(TRIM(E$5)))*(CsDJ[Account Code]=(TRIM($B120)))*(CsDJ[Date]&lt;=$C$8),CsDJ[Credit])))+(SUM(IF((CRDJ[Sort Code]=(TRIM(E$5)))*(CRDJ[Account Code]=(TRIM($B120)))*(CRDJ[Date]&lt;=$C$8),CRDJ[Credit])))+(SUM(IF((GJ[Sort Code]=(TRIM(E$5)))*(GJ[Account Code]=(TRIM($B120)))*(GJ[Date]&lt;=$C$8),GJ[Credit]))))</f>
        <v>0</v>
      </c>
      <c r="D120" s="466">
        <f t="array" ref="D120">((SUM(IF((CkDJ[Date]=$A$4)*(CkDJ[Sort Code]=(TRIM(E$5)))*(CkDJ[Account Code]=(TRIM($B120))),CkDJ[Debit])))+(SUM(IF((CsDJ[Date]=$A$4)*(CsDJ[Sort Code]=(TRIM(E$5)))*(CsDJ[Account Code]=(TRIM($B120))),CsDJ[Debit])))+(SUM(IF((CRDJ[Date]=$A$4)*(CRDJ[Sort Code]=(TRIM(E$5)))*(CRDJ[Account Code]=(TRIM($B120))),CRDJ[Debit])))+(SUM(IF((GJ[Date]=$A$4)*(GJ[Sort Code]=(TRIM(E$5)))*(GJ[Account Code]=(TRIM($B120))),GJ[Debit]))))-((SUM(IF((CkDJ[Date]=$A$4)*(CkDJ[Sort Code]=(TRIM(E$5)))*(CkDJ[Account Code]=(TRIM($B120))),CkDJ[Credit])))+(SUM(IF((CsDJ[Date]=$A$4)*(CsDJ[Sort Code]=(TRIM(E$5)))*(CsDJ[Account Code]=(TRIM($B120))),CsDJ[Credit])))+(SUM(IF((CRDJ[Date]=$A$4)*(CRDJ[Sort Code]=(TRIM(E$5)))*(CRDJ[Account Code]=(TRIM($B120))),CRDJ[Credit])))+(SUM(IF((GJ[Date]=$A$4)*(GJ[Sort Code]=(TRIM(E$5)))*(GJ[Account Code]=(TRIM($B120))),GJ[Credit]))))</f>
        <v>0</v>
      </c>
      <c r="E120" s="467">
        <f>C120+D120</f>
        <v>0</v>
      </c>
    </row>
    <row r="121" spans="1:5" x14ac:dyDescent="0.2">
      <c r="A121" s="476" t="s">
        <v>315</v>
      </c>
      <c r="B121" s="339" t="s">
        <v>270</v>
      </c>
      <c r="C121" s="466">
        <f t="array" ref="C121">((SUM(IF((CkDJ[Sort Code]=(TRIM(E$5)))*(CkDJ[Account Code]=(TRIM($B121)))*(CkDJ[Date]&lt;=$C$8),CkDJ[Debit])))+(SUM(IF((CsDJ[Sort Code]=(TRIM(E$5)))*(CsDJ[Account Code]=(TRIM($B121)))*(CsDJ[Date]&lt;=$C$8),CsDJ[Debit])))+(SUM(IF((CRDJ[Sort Code]=(TRIM(E$5)))*(CRDJ[Account Code]=(TRIM($B121)))*(CRDJ[Date]&lt;=$C$8),CRDJ[Debit])))+(SUM(IF((GJ[Sort Code]=(TRIM(E$5)))*(GJ[Account Code]=(TRIM($B121)))*(GJ[Date]&lt;=$C$8),GJ[Debit]))))-((SUM(IF((CkDJ[Sort Code]=(TRIM(E$5)))*(CkDJ[Account Code]=(TRIM($B121)))*(CkDJ[Date]&lt;=$C$8),CkDJ[Credit])))+(SUM(IF((CsDJ[Sort Code]=(TRIM(E$5)))*(CsDJ[Account Code]=(TRIM($B121)))*(CsDJ[Date]&lt;=$C$8),CsDJ[Credit])))+(SUM(IF((CRDJ[Sort Code]=(TRIM(E$5)))*(CRDJ[Account Code]=(TRIM($B121)))*(CRDJ[Date]&lt;=$C$8),CRDJ[Credit])))+(SUM(IF((GJ[Sort Code]=(TRIM(E$5)))*(GJ[Account Code]=(TRIM($B121)))*(GJ[Date]&lt;=$C$8),GJ[Credit]))))</f>
        <v>0</v>
      </c>
      <c r="D121" s="466">
        <f t="array" ref="D121">((SUM(IF((CkDJ[Date]=$A$4)*(CkDJ[Sort Code]=(TRIM(E$5)))*(CkDJ[Account Code]=(TRIM($B121))),CkDJ[Debit])))+(SUM(IF((CsDJ[Date]=$A$4)*(CsDJ[Sort Code]=(TRIM(E$5)))*(CsDJ[Account Code]=(TRIM($B121))),CsDJ[Debit])))+(SUM(IF((CRDJ[Date]=$A$4)*(CRDJ[Sort Code]=(TRIM(E$5)))*(CRDJ[Account Code]=(TRIM($B121))),CRDJ[Debit])))+(SUM(IF((GJ[Date]=$A$4)*(GJ[Sort Code]=(TRIM(E$5)))*(GJ[Account Code]=(TRIM($B121))),GJ[Debit]))))-((SUM(IF((CkDJ[Date]=$A$4)*(CkDJ[Sort Code]=(TRIM(E$5)))*(CkDJ[Account Code]=(TRIM($B121))),CkDJ[Credit])))+(SUM(IF((CsDJ[Date]=$A$4)*(CsDJ[Sort Code]=(TRIM(E$5)))*(CsDJ[Account Code]=(TRIM($B121))),CsDJ[Credit])))+(SUM(IF((CRDJ[Date]=$A$4)*(CRDJ[Sort Code]=(TRIM(E$5)))*(CRDJ[Account Code]=(TRIM($B121))),CRDJ[Credit])))+(SUM(IF((GJ[Date]=$A$4)*(GJ[Sort Code]=(TRIM(E$5)))*(GJ[Account Code]=(TRIM($B121))),GJ[Credit]))))</f>
        <v>0</v>
      </c>
      <c r="E121" s="467">
        <f>C121+D121</f>
        <v>0</v>
      </c>
    </row>
    <row r="122" spans="1:5" x14ac:dyDescent="0.2">
      <c r="A122" s="476" t="s">
        <v>368</v>
      </c>
      <c r="B122" s="339" t="s">
        <v>271</v>
      </c>
      <c r="C122" s="466">
        <f t="array" ref="C122">((SUM(IF((CkDJ[Sort Code]=(TRIM(E$5)))*(CkDJ[Account Code]=(TRIM($B122)))*(CkDJ[Date]&lt;=$C$8),CkDJ[Debit])))+(SUM(IF((CsDJ[Sort Code]=(TRIM(E$5)))*(CsDJ[Account Code]=(TRIM($B122)))*(CsDJ[Date]&lt;=$C$8),CsDJ[Debit])))+(SUM(IF((CRDJ[Sort Code]=(TRIM(E$5)))*(CRDJ[Account Code]=(TRIM($B122)))*(CRDJ[Date]&lt;=$C$8),CRDJ[Debit])))+(SUM(IF((GJ[Sort Code]=(TRIM(E$5)))*(GJ[Account Code]=(TRIM($B122)))*(GJ[Date]&lt;=$C$8),GJ[Debit]))))-((SUM(IF((CkDJ[Sort Code]=(TRIM(E$5)))*(CkDJ[Account Code]=(TRIM($B122)))*(CkDJ[Date]&lt;=$C$8),CkDJ[Credit])))+(SUM(IF((CsDJ[Sort Code]=(TRIM(E$5)))*(CsDJ[Account Code]=(TRIM($B122)))*(CsDJ[Date]&lt;=$C$8),CsDJ[Credit])))+(SUM(IF((CRDJ[Sort Code]=(TRIM(E$5)))*(CRDJ[Account Code]=(TRIM($B122)))*(CRDJ[Date]&lt;=$C$8),CRDJ[Credit])))+(SUM(IF((GJ[Sort Code]=(TRIM(E$5)))*(GJ[Account Code]=(TRIM($B122)))*(GJ[Date]&lt;=$C$8),GJ[Credit]))))</f>
        <v>0</v>
      </c>
      <c r="D122" s="466">
        <f t="array" ref="D122">((SUM(IF((CkDJ[Date]=$A$4)*(CkDJ[Sort Code]=(TRIM(E$5)))*(CkDJ[Account Code]=(TRIM($B122))),CkDJ[Debit])))+(SUM(IF((CsDJ[Date]=$A$4)*(CsDJ[Sort Code]=(TRIM(E$5)))*(CsDJ[Account Code]=(TRIM($B122))),CsDJ[Debit])))+(SUM(IF((CRDJ[Date]=$A$4)*(CRDJ[Sort Code]=(TRIM(E$5)))*(CRDJ[Account Code]=(TRIM($B122))),CRDJ[Debit])))+(SUM(IF((GJ[Date]=$A$4)*(GJ[Sort Code]=(TRIM(E$5)))*(GJ[Account Code]=(TRIM($B122))),GJ[Debit]))))-((SUM(IF((CkDJ[Date]=$A$4)*(CkDJ[Sort Code]=(TRIM(E$5)))*(CkDJ[Account Code]=(TRIM($B122))),CkDJ[Credit])))+(SUM(IF((CsDJ[Date]=$A$4)*(CsDJ[Sort Code]=(TRIM(E$5)))*(CsDJ[Account Code]=(TRIM($B122))),CsDJ[Credit])))+(SUM(IF((CRDJ[Date]=$A$4)*(CRDJ[Sort Code]=(TRIM(E$5)))*(CRDJ[Account Code]=(TRIM($B122))),CRDJ[Credit])))+(SUM(IF((GJ[Date]=$A$4)*(GJ[Sort Code]=(TRIM(E$5)))*(GJ[Account Code]=(TRIM($B122))),GJ[Credit]))))</f>
        <v>0</v>
      </c>
      <c r="E122" s="467">
        <f t="shared" si="3"/>
        <v>0</v>
      </c>
    </row>
    <row r="123" spans="1:5" x14ac:dyDescent="0.2">
      <c r="A123" s="476" t="s">
        <v>316</v>
      </c>
      <c r="B123" s="339" t="s">
        <v>272</v>
      </c>
      <c r="C123" s="466">
        <f t="array" ref="C123">((SUM(IF((CkDJ[Sort Code]=(TRIM(E$5)))*(CkDJ[Account Code]=(TRIM($B123)))*(CkDJ[Date]&lt;=$C$8),CkDJ[Debit])))+(SUM(IF((CsDJ[Sort Code]=(TRIM(E$5)))*(CsDJ[Account Code]=(TRIM($B123)))*(CsDJ[Date]&lt;=$C$8),CsDJ[Debit])))+(SUM(IF((CRDJ[Sort Code]=(TRIM(E$5)))*(CRDJ[Account Code]=(TRIM($B123)))*(CRDJ[Date]&lt;=$C$8),CRDJ[Debit])))+(SUM(IF((GJ[Sort Code]=(TRIM(E$5)))*(GJ[Account Code]=(TRIM($B123)))*(GJ[Date]&lt;=$C$8),GJ[Debit]))))-((SUM(IF((CkDJ[Sort Code]=(TRIM(E$5)))*(CkDJ[Account Code]=(TRIM($B123)))*(CkDJ[Date]&lt;=$C$8),CkDJ[Credit])))+(SUM(IF((CsDJ[Sort Code]=(TRIM(E$5)))*(CsDJ[Account Code]=(TRIM($B123)))*(CsDJ[Date]&lt;=$C$8),CsDJ[Credit])))+(SUM(IF((CRDJ[Sort Code]=(TRIM(E$5)))*(CRDJ[Account Code]=(TRIM($B123)))*(CRDJ[Date]&lt;=$C$8),CRDJ[Credit])))+(SUM(IF((GJ[Sort Code]=(TRIM(E$5)))*(GJ[Account Code]=(TRIM($B123)))*(GJ[Date]&lt;=$C$8),GJ[Credit]))))</f>
        <v>0</v>
      </c>
      <c r="D123" s="466">
        <f t="array" ref="D123">((SUM(IF((CkDJ[Date]=$A$4)*(CkDJ[Sort Code]=(TRIM(E$5)))*(CkDJ[Account Code]=(TRIM($B123))),CkDJ[Debit])))+(SUM(IF((CsDJ[Date]=$A$4)*(CsDJ[Sort Code]=(TRIM(E$5)))*(CsDJ[Account Code]=(TRIM($B123))),CsDJ[Debit])))+(SUM(IF((CRDJ[Date]=$A$4)*(CRDJ[Sort Code]=(TRIM(E$5)))*(CRDJ[Account Code]=(TRIM($B123))),CRDJ[Debit])))+(SUM(IF((GJ[Date]=$A$4)*(GJ[Sort Code]=(TRIM(E$5)))*(GJ[Account Code]=(TRIM($B123))),GJ[Debit]))))-((SUM(IF((CkDJ[Date]=$A$4)*(CkDJ[Sort Code]=(TRIM(E$5)))*(CkDJ[Account Code]=(TRIM($B123))),CkDJ[Credit])))+(SUM(IF((CsDJ[Date]=$A$4)*(CsDJ[Sort Code]=(TRIM(E$5)))*(CsDJ[Account Code]=(TRIM($B123))),CsDJ[Credit])))+(SUM(IF((CRDJ[Date]=$A$4)*(CRDJ[Sort Code]=(TRIM(E$5)))*(CRDJ[Account Code]=(TRIM($B123))),CRDJ[Credit])))+(SUM(IF((GJ[Date]=$A$4)*(GJ[Sort Code]=(TRIM(E$5)))*(GJ[Account Code]=(TRIM($B123))),GJ[Credit]))))</f>
        <v>0</v>
      </c>
      <c r="E123" s="467">
        <f t="shared" si="3"/>
        <v>0</v>
      </c>
    </row>
    <row r="124" spans="1:5" x14ac:dyDescent="0.2">
      <c r="A124" s="476" t="s">
        <v>317</v>
      </c>
      <c r="B124" s="339" t="s">
        <v>273</v>
      </c>
      <c r="C124" s="466">
        <f t="array" ref="C124">((SUM(IF((CkDJ[Sort Code]=(TRIM(E$5)))*(CkDJ[Account Code]=(TRIM($B124)))*(CkDJ[Date]&lt;=$C$8),CkDJ[Debit])))+(SUM(IF((CsDJ[Sort Code]=(TRIM(E$5)))*(CsDJ[Account Code]=(TRIM($B124)))*(CsDJ[Date]&lt;=$C$8),CsDJ[Debit])))+(SUM(IF((CRDJ[Sort Code]=(TRIM(E$5)))*(CRDJ[Account Code]=(TRIM($B124)))*(CRDJ[Date]&lt;=$C$8),CRDJ[Debit])))+(SUM(IF((GJ[Sort Code]=(TRIM(E$5)))*(GJ[Account Code]=(TRIM($B124)))*(GJ[Date]&lt;=$C$8),GJ[Debit]))))-((SUM(IF((CkDJ[Sort Code]=(TRIM(E$5)))*(CkDJ[Account Code]=(TRIM($B124)))*(CkDJ[Date]&lt;=$C$8),CkDJ[Credit])))+(SUM(IF((CsDJ[Sort Code]=(TRIM(E$5)))*(CsDJ[Account Code]=(TRIM($B124)))*(CsDJ[Date]&lt;=$C$8),CsDJ[Credit])))+(SUM(IF((CRDJ[Sort Code]=(TRIM(E$5)))*(CRDJ[Account Code]=(TRIM($B124)))*(CRDJ[Date]&lt;=$C$8),CRDJ[Credit])))+(SUM(IF((GJ[Sort Code]=(TRIM(E$5)))*(GJ[Account Code]=(TRIM($B124)))*(GJ[Date]&lt;=$C$8),GJ[Credit]))))</f>
        <v>0</v>
      </c>
      <c r="D124" s="466">
        <f t="array" ref="D124">((SUM(IF((CkDJ[Date]=$A$4)*(CkDJ[Sort Code]=(TRIM(E$5)))*(CkDJ[Account Code]=(TRIM($B124))),CkDJ[Debit])))+(SUM(IF((CsDJ[Date]=$A$4)*(CsDJ[Sort Code]=(TRIM(E$5)))*(CsDJ[Account Code]=(TRIM($B124))),CsDJ[Debit])))+(SUM(IF((CRDJ[Date]=$A$4)*(CRDJ[Sort Code]=(TRIM(E$5)))*(CRDJ[Account Code]=(TRIM($B124))),CRDJ[Debit])))+(SUM(IF((GJ[Date]=$A$4)*(GJ[Sort Code]=(TRIM(E$5)))*(GJ[Account Code]=(TRIM($B124))),GJ[Debit]))))-((SUM(IF((CkDJ[Date]=$A$4)*(CkDJ[Sort Code]=(TRIM(E$5)))*(CkDJ[Account Code]=(TRIM($B124))),CkDJ[Credit])))+(SUM(IF((CsDJ[Date]=$A$4)*(CsDJ[Sort Code]=(TRIM(E$5)))*(CsDJ[Account Code]=(TRIM($B124))),CsDJ[Credit])))+(SUM(IF((CRDJ[Date]=$A$4)*(CRDJ[Sort Code]=(TRIM(E$5)))*(CRDJ[Account Code]=(TRIM($B124))),CRDJ[Credit])))+(SUM(IF((GJ[Date]=$A$4)*(GJ[Sort Code]=(TRIM(E$5)))*(GJ[Account Code]=(TRIM($B124))),GJ[Credit]))))</f>
        <v>0</v>
      </c>
      <c r="E124" s="467">
        <f t="shared" si="3"/>
        <v>0</v>
      </c>
    </row>
    <row r="125" spans="1:5" x14ac:dyDescent="0.2">
      <c r="A125" s="476" t="s">
        <v>318</v>
      </c>
      <c r="B125" s="339" t="s">
        <v>274</v>
      </c>
      <c r="C125" s="466">
        <f t="array" ref="C125">((SUM(IF((CkDJ[Sort Code]=(TRIM(E$5)))*(CkDJ[Account Code]=(TRIM($B125)))*(CkDJ[Date]&lt;=$C$8),CkDJ[Debit])))+(SUM(IF((CsDJ[Sort Code]=(TRIM(E$5)))*(CsDJ[Account Code]=(TRIM($B125)))*(CsDJ[Date]&lt;=$C$8),CsDJ[Debit])))+(SUM(IF((CRDJ[Sort Code]=(TRIM(E$5)))*(CRDJ[Account Code]=(TRIM($B125)))*(CRDJ[Date]&lt;=$C$8),CRDJ[Debit])))+(SUM(IF((GJ[Sort Code]=(TRIM(E$5)))*(GJ[Account Code]=(TRIM($B125)))*(GJ[Date]&lt;=$C$8),GJ[Debit]))))-((SUM(IF((CkDJ[Sort Code]=(TRIM(E$5)))*(CkDJ[Account Code]=(TRIM($B125)))*(CkDJ[Date]&lt;=$C$8),CkDJ[Credit])))+(SUM(IF((CsDJ[Sort Code]=(TRIM(E$5)))*(CsDJ[Account Code]=(TRIM($B125)))*(CsDJ[Date]&lt;=$C$8),CsDJ[Credit])))+(SUM(IF((CRDJ[Sort Code]=(TRIM(E$5)))*(CRDJ[Account Code]=(TRIM($B125)))*(CRDJ[Date]&lt;=$C$8),CRDJ[Credit])))+(SUM(IF((GJ[Sort Code]=(TRIM(E$5)))*(GJ[Account Code]=(TRIM($B125)))*(GJ[Date]&lt;=$C$8),GJ[Credit]))))</f>
        <v>0</v>
      </c>
      <c r="D125" s="466">
        <f t="array" ref="D125">((SUM(IF((CkDJ[Date]=$A$4)*(CkDJ[Sort Code]=(TRIM(E$5)))*(CkDJ[Account Code]=(TRIM($B125))),CkDJ[Debit])))+(SUM(IF((CsDJ[Date]=$A$4)*(CsDJ[Sort Code]=(TRIM(E$5)))*(CsDJ[Account Code]=(TRIM($B125))),CsDJ[Debit])))+(SUM(IF((CRDJ[Date]=$A$4)*(CRDJ[Sort Code]=(TRIM(E$5)))*(CRDJ[Account Code]=(TRIM($B125))),CRDJ[Debit])))+(SUM(IF((GJ[Date]=$A$4)*(GJ[Sort Code]=(TRIM(E$5)))*(GJ[Account Code]=(TRIM($B125))),GJ[Debit]))))-((SUM(IF((CkDJ[Date]=$A$4)*(CkDJ[Sort Code]=(TRIM(E$5)))*(CkDJ[Account Code]=(TRIM($B125))),CkDJ[Credit])))+(SUM(IF((CsDJ[Date]=$A$4)*(CsDJ[Sort Code]=(TRIM(E$5)))*(CsDJ[Account Code]=(TRIM($B125))),CsDJ[Credit])))+(SUM(IF((CRDJ[Date]=$A$4)*(CRDJ[Sort Code]=(TRIM(E$5)))*(CRDJ[Account Code]=(TRIM($B125))),CRDJ[Credit])))+(SUM(IF((GJ[Date]=$A$4)*(GJ[Sort Code]=(TRIM(E$5)))*(GJ[Account Code]=(TRIM($B125))),GJ[Credit]))))</f>
        <v>0</v>
      </c>
      <c r="E125" s="467">
        <f t="shared" si="3"/>
        <v>0</v>
      </c>
    </row>
    <row r="126" spans="1:5" x14ac:dyDescent="0.2">
      <c r="A126" s="476" t="s">
        <v>796</v>
      </c>
      <c r="B126" s="339" t="s">
        <v>331</v>
      </c>
      <c r="C126" s="466">
        <f t="array" ref="C126">((SUM(IF((CkDJ[Sort Code]=(TRIM(E$5)))*(CkDJ[Account Code]=(TRIM($B126)))*(CkDJ[Date]&lt;=$C$8),CkDJ[Debit])))+(SUM(IF((CsDJ[Sort Code]=(TRIM(E$5)))*(CsDJ[Account Code]=(TRIM($B126)))*(CsDJ[Date]&lt;=$C$8),CsDJ[Debit])))+(SUM(IF((CRDJ[Sort Code]=(TRIM(E$5)))*(CRDJ[Account Code]=(TRIM($B126)))*(CRDJ[Date]&lt;=$C$8),CRDJ[Debit])))+(SUM(IF((GJ[Sort Code]=(TRIM(E$5)))*(GJ[Account Code]=(TRIM($B126)))*(GJ[Date]&lt;=$C$8),GJ[Debit]))))-((SUM(IF((CkDJ[Sort Code]=(TRIM(E$5)))*(CkDJ[Account Code]=(TRIM($B126)))*(CkDJ[Date]&lt;=$C$8),CkDJ[Credit])))+(SUM(IF((CsDJ[Sort Code]=(TRIM(E$5)))*(CsDJ[Account Code]=(TRIM($B126)))*(CsDJ[Date]&lt;=$C$8),CsDJ[Credit])))+(SUM(IF((CRDJ[Sort Code]=(TRIM(E$5)))*(CRDJ[Account Code]=(TRIM($B126)))*(CRDJ[Date]&lt;=$C$8),CRDJ[Credit])))+(SUM(IF((GJ[Sort Code]=(TRIM(E$5)))*(GJ[Account Code]=(TRIM($B126)))*(GJ[Date]&lt;=$C$8),GJ[Credit]))))</f>
        <v>0</v>
      </c>
      <c r="D126" s="466">
        <f t="array" ref="D126">((SUM(IF((CkDJ[Date]=$A$4)*(CkDJ[Sort Code]=(TRIM(E$5)))*(CkDJ[Account Code]=(TRIM($B126))),CkDJ[Debit])))+(SUM(IF((CsDJ[Date]=$A$4)*(CsDJ[Sort Code]=(TRIM(E$5)))*(CsDJ[Account Code]=(TRIM($B126))),CsDJ[Debit])))+(SUM(IF((CRDJ[Date]=$A$4)*(CRDJ[Sort Code]=(TRIM(E$5)))*(CRDJ[Account Code]=(TRIM($B126))),CRDJ[Debit])))+(SUM(IF((GJ[Date]=$A$4)*(GJ[Sort Code]=(TRIM(E$5)))*(GJ[Account Code]=(TRIM($B126))),GJ[Debit]))))-((SUM(IF((CkDJ[Date]=$A$4)*(CkDJ[Sort Code]=(TRIM(E$5)))*(CkDJ[Account Code]=(TRIM($B126))),CkDJ[Credit])))+(SUM(IF((CsDJ[Date]=$A$4)*(CsDJ[Sort Code]=(TRIM(E$5)))*(CsDJ[Account Code]=(TRIM($B126))),CsDJ[Credit])))+(SUM(IF((CRDJ[Date]=$A$4)*(CRDJ[Sort Code]=(TRIM(E$5)))*(CRDJ[Account Code]=(TRIM($B126))),CRDJ[Credit])))+(SUM(IF((GJ[Date]=$A$4)*(GJ[Sort Code]=(TRIM(E$5)))*(GJ[Account Code]=(TRIM($B126))),GJ[Credit]))))</f>
        <v>0</v>
      </c>
      <c r="E126" s="467">
        <f>C126+D126</f>
        <v>0</v>
      </c>
    </row>
    <row r="127" spans="1:5" x14ac:dyDescent="0.2">
      <c r="A127" s="476" t="s">
        <v>1028</v>
      </c>
      <c r="B127" s="339" t="s">
        <v>332</v>
      </c>
      <c r="C127" s="466">
        <f t="array" ref="C127">((SUM(IF((CkDJ[Sort Code]=(TRIM(E$5)))*(CkDJ[Account Code]=(TRIM($B127)))*(CkDJ[Date]&lt;=$C$8),CkDJ[Debit])))+(SUM(IF((CsDJ[Sort Code]=(TRIM(E$5)))*(CsDJ[Account Code]=(TRIM($B127)))*(CsDJ[Date]&lt;=$C$8),CsDJ[Debit])))+(SUM(IF((CRDJ[Sort Code]=(TRIM(E$5)))*(CRDJ[Account Code]=(TRIM($B127)))*(CRDJ[Date]&lt;=$C$8),CRDJ[Debit])))+(SUM(IF((GJ[Sort Code]=(TRIM(E$5)))*(GJ[Account Code]=(TRIM($B127)))*(GJ[Date]&lt;=$C$8),GJ[Debit]))))-((SUM(IF((CkDJ[Sort Code]=(TRIM(E$5)))*(CkDJ[Account Code]=(TRIM($B127)))*(CkDJ[Date]&lt;=$C$8),CkDJ[Credit])))+(SUM(IF((CsDJ[Sort Code]=(TRIM(E$5)))*(CsDJ[Account Code]=(TRIM($B127)))*(CsDJ[Date]&lt;=$C$8),CsDJ[Credit])))+(SUM(IF((CRDJ[Sort Code]=(TRIM(E$5)))*(CRDJ[Account Code]=(TRIM($B127)))*(CRDJ[Date]&lt;=$C$8),CRDJ[Credit])))+(SUM(IF((GJ[Sort Code]=(TRIM(E$5)))*(GJ[Account Code]=(TRIM($B127)))*(GJ[Date]&lt;=$C$8),GJ[Credit]))))</f>
        <v>0</v>
      </c>
      <c r="D127" s="466">
        <f t="array" ref="D127">((SUM(IF((CkDJ[Date]=$A$4)*(CkDJ[Sort Code]=(TRIM(E$5)))*(CkDJ[Account Code]=(TRIM($B127))),CkDJ[Debit])))+(SUM(IF((CsDJ[Date]=$A$4)*(CsDJ[Sort Code]=(TRIM(E$5)))*(CsDJ[Account Code]=(TRIM($B127))),CsDJ[Debit])))+(SUM(IF((CRDJ[Date]=$A$4)*(CRDJ[Sort Code]=(TRIM(E$5)))*(CRDJ[Account Code]=(TRIM($B127))),CRDJ[Debit])))+(SUM(IF((GJ[Date]=$A$4)*(GJ[Sort Code]=(TRIM(E$5)))*(GJ[Account Code]=(TRIM($B127))),GJ[Debit]))))-((SUM(IF((CkDJ[Date]=$A$4)*(CkDJ[Sort Code]=(TRIM(E$5)))*(CkDJ[Account Code]=(TRIM($B127))),CkDJ[Credit])))+(SUM(IF((CsDJ[Date]=$A$4)*(CsDJ[Sort Code]=(TRIM(E$5)))*(CsDJ[Account Code]=(TRIM($B127))),CsDJ[Credit])))+(SUM(IF((CRDJ[Date]=$A$4)*(CRDJ[Sort Code]=(TRIM(E$5)))*(CRDJ[Account Code]=(TRIM($B127))),CRDJ[Credit])))+(SUM(IF((GJ[Date]=$A$4)*(GJ[Sort Code]=(TRIM(E$5)))*(GJ[Account Code]=(TRIM($B127))),GJ[Credit]))))</f>
        <v>0</v>
      </c>
      <c r="E127" s="467">
        <f t="shared" si="3"/>
        <v>0</v>
      </c>
    </row>
    <row r="128" spans="1:5" x14ac:dyDescent="0.2">
      <c r="A128" s="476" t="s">
        <v>343</v>
      </c>
      <c r="B128" s="339" t="s">
        <v>334</v>
      </c>
      <c r="C128" s="466">
        <f t="array" ref="C128">((SUM(IF((CkDJ[Sort Code]=(TRIM(E$5)))*(CkDJ[Account Code]=(TRIM($B128)))*(CkDJ[Date]&lt;=$C$8),CkDJ[Debit])))+(SUM(IF((CsDJ[Sort Code]=(TRIM(E$5)))*(CsDJ[Account Code]=(TRIM($B128)))*(CsDJ[Date]&lt;=$C$8),CsDJ[Debit])))+(SUM(IF((CRDJ[Sort Code]=(TRIM(E$5)))*(CRDJ[Account Code]=(TRIM($B128)))*(CRDJ[Date]&lt;=$C$8),CRDJ[Debit])))+(SUM(IF((GJ[Sort Code]=(TRIM(E$5)))*(GJ[Account Code]=(TRIM($B128)))*(GJ[Date]&lt;=$C$8),GJ[Debit]))))-((SUM(IF((CkDJ[Sort Code]=(TRIM(E$5)))*(CkDJ[Account Code]=(TRIM($B128)))*(CkDJ[Date]&lt;=$C$8),CkDJ[Credit])))+(SUM(IF((CsDJ[Sort Code]=(TRIM(E$5)))*(CsDJ[Account Code]=(TRIM($B128)))*(CsDJ[Date]&lt;=$C$8),CsDJ[Credit])))+(SUM(IF((CRDJ[Sort Code]=(TRIM(E$5)))*(CRDJ[Account Code]=(TRIM($B128)))*(CRDJ[Date]&lt;=$C$8),CRDJ[Credit])))+(SUM(IF((GJ[Sort Code]=(TRIM(E$5)))*(GJ[Account Code]=(TRIM($B128)))*(GJ[Date]&lt;=$C$8),GJ[Credit]))))</f>
        <v>0</v>
      </c>
      <c r="D128" s="466">
        <f t="array" ref="D128">((SUM(IF((CkDJ[Date]=$A$4)*(CkDJ[Sort Code]=(TRIM(E$5)))*(CkDJ[Account Code]=(TRIM($B128))),CkDJ[Debit])))+(SUM(IF((CsDJ[Date]=$A$4)*(CsDJ[Sort Code]=(TRIM(E$5)))*(CsDJ[Account Code]=(TRIM($B128))),CsDJ[Debit])))+(SUM(IF((CRDJ[Date]=$A$4)*(CRDJ[Sort Code]=(TRIM(E$5)))*(CRDJ[Account Code]=(TRIM($B128))),CRDJ[Debit])))+(SUM(IF((GJ[Date]=$A$4)*(GJ[Sort Code]=(TRIM(E$5)))*(GJ[Account Code]=(TRIM($B128))),GJ[Debit]))))-((SUM(IF((CkDJ[Date]=$A$4)*(CkDJ[Sort Code]=(TRIM(E$5)))*(CkDJ[Account Code]=(TRIM($B128))),CkDJ[Credit])))+(SUM(IF((CsDJ[Date]=$A$4)*(CsDJ[Sort Code]=(TRIM(E$5)))*(CsDJ[Account Code]=(TRIM($B128))),CsDJ[Credit])))+(SUM(IF((CRDJ[Date]=$A$4)*(CRDJ[Sort Code]=(TRIM(E$5)))*(CRDJ[Account Code]=(TRIM($B128))),CRDJ[Credit])))+(SUM(IF((GJ[Date]=$A$4)*(GJ[Sort Code]=(TRIM(E$5)))*(GJ[Account Code]=(TRIM($B128))),GJ[Credit]))))</f>
        <v>0</v>
      </c>
      <c r="E128" s="467">
        <f t="shared" si="3"/>
        <v>0</v>
      </c>
    </row>
    <row r="129" spans="1:5" x14ac:dyDescent="0.2">
      <c r="A129" s="476" t="s">
        <v>344</v>
      </c>
      <c r="B129" s="339" t="s">
        <v>335</v>
      </c>
      <c r="C129" s="466">
        <f t="array" ref="C129">((SUM(IF((CkDJ[Sort Code]=(TRIM(E$5)))*(CkDJ[Account Code]=(TRIM($B129)))*(CkDJ[Date]&lt;=$C$8),CkDJ[Debit])))+(SUM(IF((CsDJ[Sort Code]=(TRIM(E$5)))*(CsDJ[Account Code]=(TRIM($B129)))*(CsDJ[Date]&lt;=$C$8),CsDJ[Debit])))+(SUM(IF((CRDJ[Sort Code]=(TRIM(E$5)))*(CRDJ[Account Code]=(TRIM($B129)))*(CRDJ[Date]&lt;=$C$8),CRDJ[Debit])))+(SUM(IF((GJ[Sort Code]=(TRIM(E$5)))*(GJ[Account Code]=(TRIM($B129)))*(GJ[Date]&lt;=$C$8),GJ[Debit]))))-((SUM(IF((CkDJ[Sort Code]=(TRIM(E$5)))*(CkDJ[Account Code]=(TRIM($B129)))*(CkDJ[Date]&lt;=$C$8),CkDJ[Credit])))+(SUM(IF((CsDJ[Sort Code]=(TRIM(E$5)))*(CsDJ[Account Code]=(TRIM($B129)))*(CsDJ[Date]&lt;=$C$8),CsDJ[Credit])))+(SUM(IF((CRDJ[Sort Code]=(TRIM(E$5)))*(CRDJ[Account Code]=(TRIM($B129)))*(CRDJ[Date]&lt;=$C$8),CRDJ[Credit])))+(SUM(IF((GJ[Sort Code]=(TRIM(E$5)))*(GJ[Account Code]=(TRIM($B129)))*(GJ[Date]&lt;=$C$8),GJ[Credit]))))</f>
        <v>0</v>
      </c>
      <c r="D129" s="466">
        <f t="array" ref="D129">((SUM(IF((CkDJ[Date]=$A$4)*(CkDJ[Sort Code]=(TRIM(E$5)))*(CkDJ[Account Code]=(TRIM($B129))),CkDJ[Debit])))+(SUM(IF((CsDJ[Date]=$A$4)*(CsDJ[Sort Code]=(TRIM(E$5)))*(CsDJ[Account Code]=(TRIM($B129))),CsDJ[Debit])))+(SUM(IF((CRDJ[Date]=$A$4)*(CRDJ[Sort Code]=(TRIM(E$5)))*(CRDJ[Account Code]=(TRIM($B129))),CRDJ[Debit])))+(SUM(IF((GJ[Date]=$A$4)*(GJ[Sort Code]=(TRIM(E$5)))*(GJ[Account Code]=(TRIM($B129))),GJ[Debit]))))-((SUM(IF((CkDJ[Date]=$A$4)*(CkDJ[Sort Code]=(TRIM(E$5)))*(CkDJ[Account Code]=(TRIM($B129))),CkDJ[Credit])))+(SUM(IF((CsDJ[Date]=$A$4)*(CsDJ[Sort Code]=(TRIM(E$5)))*(CsDJ[Account Code]=(TRIM($B129))),CsDJ[Credit])))+(SUM(IF((CRDJ[Date]=$A$4)*(CRDJ[Sort Code]=(TRIM(E$5)))*(CRDJ[Account Code]=(TRIM($B129))),CRDJ[Credit])))+(SUM(IF((GJ[Date]=$A$4)*(GJ[Sort Code]=(TRIM(E$5)))*(GJ[Account Code]=(TRIM($B129))),GJ[Credit]))))</f>
        <v>0</v>
      </c>
      <c r="E129" s="467">
        <f t="shared" si="3"/>
        <v>0</v>
      </c>
    </row>
    <row r="130" spans="1:5" x14ac:dyDescent="0.2">
      <c r="A130" s="476" t="s">
        <v>368</v>
      </c>
      <c r="B130" s="339" t="s">
        <v>405</v>
      </c>
      <c r="C130" s="466">
        <f t="array" ref="C130">((SUM(IF((CkDJ[Sort Code]=(TRIM(E$5)))*(CkDJ[Account Code]=(TRIM($B130)))*(CkDJ[Date]&lt;=$C$8),CkDJ[Debit])))+(SUM(IF((CsDJ[Sort Code]=(TRIM(E$5)))*(CsDJ[Account Code]=(TRIM($B130)))*(CsDJ[Date]&lt;=$C$8),CsDJ[Debit])))+(SUM(IF((CRDJ[Sort Code]=(TRIM(E$5)))*(CRDJ[Account Code]=(TRIM($B130)))*(CRDJ[Date]&lt;=$C$8),CRDJ[Debit])))+(SUM(IF((GJ[Sort Code]=(TRIM(E$5)))*(GJ[Account Code]=(TRIM($B130)))*(GJ[Date]&lt;=$C$8),GJ[Debit]))))-((SUM(IF((CkDJ[Sort Code]=(TRIM(E$5)))*(CkDJ[Account Code]=(TRIM($B130)))*(CkDJ[Date]&lt;=$C$8),CkDJ[Credit])))+(SUM(IF((CsDJ[Sort Code]=(TRIM(E$5)))*(CsDJ[Account Code]=(TRIM($B130)))*(CsDJ[Date]&lt;=$C$8),CsDJ[Credit])))+(SUM(IF((CRDJ[Sort Code]=(TRIM(E$5)))*(CRDJ[Account Code]=(TRIM($B130)))*(CRDJ[Date]&lt;=$C$8),CRDJ[Credit])))+(SUM(IF((GJ[Sort Code]=(TRIM(E$5)))*(GJ[Account Code]=(TRIM($B130)))*(GJ[Date]&lt;=$C$8),GJ[Credit]))))</f>
        <v>0</v>
      </c>
      <c r="D130" s="466">
        <f t="array" ref="D130">((SUM(IF((CkDJ[Date]=$A$4)*(CkDJ[Sort Code]=(TRIM(E$5)))*(CkDJ[Account Code]=(TRIM($B130))),CkDJ[Debit])))+(SUM(IF((CsDJ[Date]=$A$4)*(CsDJ[Sort Code]=(TRIM(E$5)))*(CsDJ[Account Code]=(TRIM($B130))),CsDJ[Debit])))+(SUM(IF((CRDJ[Date]=$A$4)*(CRDJ[Sort Code]=(TRIM(E$5)))*(CRDJ[Account Code]=(TRIM($B130))),CRDJ[Debit])))+(SUM(IF((GJ[Date]=$A$4)*(GJ[Sort Code]=(TRIM(E$5)))*(GJ[Account Code]=(TRIM($B130))),GJ[Debit]))))-((SUM(IF((CkDJ[Date]=$A$4)*(CkDJ[Sort Code]=(TRIM(E$5)))*(CkDJ[Account Code]=(TRIM($B130))),CkDJ[Credit])))+(SUM(IF((CsDJ[Date]=$A$4)*(CsDJ[Sort Code]=(TRIM(E$5)))*(CsDJ[Account Code]=(TRIM($B130))),CsDJ[Credit])))+(SUM(IF((CRDJ[Date]=$A$4)*(CRDJ[Sort Code]=(TRIM(E$5)))*(CRDJ[Account Code]=(TRIM($B130))),CRDJ[Credit])))+(SUM(IF((GJ[Date]=$A$4)*(GJ[Sort Code]=(TRIM(E$5)))*(GJ[Account Code]=(TRIM($B130))),GJ[Credit]))))</f>
        <v>0</v>
      </c>
      <c r="E130" s="467">
        <f t="shared" si="3"/>
        <v>0</v>
      </c>
    </row>
    <row r="131" spans="1:5" x14ac:dyDescent="0.2">
      <c r="A131" s="476" t="s">
        <v>345</v>
      </c>
      <c r="B131" s="339" t="s">
        <v>336</v>
      </c>
      <c r="C131" s="466">
        <f t="array" ref="C131">((SUM(IF((CkDJ[Sort Code]=(TRIM(E$5)))*(CkDJ[Account Code]=(TRIM($B131)))*(CkDJ[Date]&lt;=$C$8),CkDJ[Debit])))+(SUM(IF((CsDJ[Sort Code]=(TRIM(E$5)))*(CsDJ[Account Code]=(TRIM($B131)))*(CsDJ[Date]&lt;=$C$8),CsDJ[Debit])))+(SUM(IF((CRDJ[Sort Code]=(TRIM(E$5)))*(CRDJ[Account Code]=(TRIM($B131)))*(CRDJ[Date]&lt;=$C$8),CRDJ[Debit])))+(SUM(IF((GJ[Sort Code]=(TRIM(E$5)))*(GJ[Account Code]=(TRIM($B131)))*(GJ[Date]&lt;=$C$8),GJ[Debit]))))-((SUM(IF((CkDJ[Sort Code]=(TRIM(E$5)))*(CkDJ[Account Code]=(TRIM($B131)))*(CkDJ[Date]&lt;=$C$8),CkDJ[Credit])))+(SUM(IF((CsDJ[Sort Code]=(TRIM(E$5)))*(CsDJ[Account Code]=(TRIM($B131)))*(CsDJ[Date]&lt;=$C$8),CsDJ[Credit])))+(SUM(IF((CRDJ[Sort Code]=(TRIM(E$5)))*(CRDJ[Account Code]=(TRIM($B131)))*(CRDJ[Date]&lt;=$C$8),CRDJ[Credit])))+(SUM(IF((GJ[Sort Code]=(TRIM(E$5)))*(GJ[Account Code]=(TRIM($B131)))*(GJ[Date]&lt;=$C$8),GJ[Credit]))))</f>
        <v>0</v>
      </c>
      <c r="D131" s="466">
        <f t="array" ref="D131">((SUM(IF((CkDJ[Date]=$A$4)*(CkDJ[Sort Code]=(TRIM(E$5)))*(CkDJ[Account Code]=(TRIM($B131))),CkDJ[Debit])))+(SUM(IF((CsDJ[Date]=$A$4)*(CsDJ[Sort Code]=(TRIM(E$5)))*(CsDJ[Account Code]=(TRIM($B131))),CsDJ[Debit])))+(SUM(IF((CRDJ[Date]=$A$4)*(CRDJ[Sort Code]=(TRIM(E$5)))*(CRDJ[Account Code]=(TRIM($B131))),CRDJ[Debit])))+(SUM(IF((GJ[Date]=$A$4)*(GJ[Sort Code]=(TRIM(E$5)))*(GJ[Account Code]=(TRIM($B131))),GJ[Debit]))))-((SUM(IF((CkDJ[Date]=$A$4)*(CkDJ[Sort Code]=(TRIM(E$5)))*(CkDJ[Account Code]=(TRIM($B131))),CkDJ[Credit])))+(SUM(IF((CsDJ[Date]=$A$4)*(CsDJ[Sort Code]=(TRIM(E$5)))*(CsDJ[Account Code]=(TRIM($B131))),CsDJ[Credit])))+(SUM(IF((CRDJ[Date]=$A$4)*(CRDJ[Sort Code]=(TRIM(E$5)))*(CRDJ[Account Code]=(TRIM($B131))),CRDJ[Credit])))+(SUM(IF((GJ[Date]=$A$4)*(GJ[Sort Code]=(TRIM(E$5)))*(GJ[Account Code]=(TRIM($B131))),GJ[Credit]))))</f>
        <v>0</v>
      </c>
      <c r="E131" s="467">
        <f t="shared" si="3"/>
        <v>0</v>
      </c>
    </row>
    <row r="132" spans="1:5" x14ac:dyDescent="0.2">
      <c r="A132" s="476" t="s">
        <v>346</v>
      </c>
      <c r="B132" s="339" t="s">
        <v>337</v>
      </c>
      <c r="C132" s="466">
        <f t="array" ref="C132">((SUM(IF((CkDJ[Sort Code]=(TRIM(E$5)))*(CkDJ[Account Code]=(TRIM($B132)))*(CkDJ[Date]&lt;=$C$8),CkDJ[Debit])))+(SUM(IF((CsDJ[Sort Code]=(TRIM(E$5)))*(CsDJ[Account Code]=(TRIM($B132)))*(CsDJ[Date]&lt;=$C$8),CsDJ[Debit])))+(SUM(IF((CRDJ[Sort Code]=(TRIM(E$5)))*(CRDJ[Account Code]=(TRIM($B132)))*(CRDJ[Date]&lt;=$C$8),CRDJ[Debit])))+(SUM(IF((GJ[Sort Code]=(TRIM(E$5)))*(GJ[Account Code]=(TRIM($B132)))*(GJ[Date]&lt;=$C$8),GJ[Debit]))))-((SUM(IF((CkDJ[Sort Code]=(TRIM(E$5)))*(CkDJ[Account Code]=(TRIM($B132)))*(CkDJ[Date]&lt;=$C$8),CkDJ[Credit])))+(SUM(IF((CsDJ[Sort Code]=(TRIM(E$5)))*(CsDJ[Account Code]=(TRIM($B132)))*(CsDJ[Date]&lt;=$C$8),CsDJ[Credit])))+(SUM(IF((CRDJ[Sort Code]=(TRIM(E$5)))*(CRDJ[Account Code]=(TRIM($B132)))*(CRDJ[Date]&lt;=$C$8),CRDJ[Credit])))+(SUM(IF((GJ[Sort Code]=(TRIM(E$5)))*(GJ[Account Code]=(TRIM($B132)))*(GJ[Date]&lt;=$C$8),GJ[Credit]))))</f>
        <v>0</v>
      </c>
      <c r="D132" s="466">
        <f t="array" ref="D132">((SUM(IF((CkDJ[Date]=$A$4)*(CkDJ[Sort Code]=(TRIM(E$5)))*(CkDJ[Account Code]=(TRIM($B132))),CkDJ[Debit])))+(SUM(IF((CsDJ[Date]=$A$4)*(CsDJ[Sort Code]=(TRIM(E$5)))*(CsDJ[Account Code]=(TRIM($B132))),CsDJ[Debit])))+(SUM(IF((CRDJ[Date]=$A$4)*(CRDJ[Sort Code]=(TRIM(E$5)))*(CRDJ[Account Code]=(TRIM($B132))),CRDJ[Debit])))+(SUM(IF((GJ[Date]=$A$4)*(GJ[Sort Code]=(TRIM(E$5)))*(GJ[Account Code]=(TRIM($B132))),GJ[Debit]))))-((SUM(IF((CkDJ[Date]=$A$4)*(CkDJ[Sort Code]=(TRIM(E$5)))*(CkDJ[Account Code]=(TRIM($B132))),CkDJ[Credit])))+(SUM(IF((CsDJ[Date]=$A$4)*(CsDJ[Sort Code]=(TRIM(E$5)))*(CsDJ[Account Code]=(TRIM($B132))),CsDJ[Credit])))+(SUM(IF((CRDJ[Date]=$A$4)*(CRDJ[Sort Code]=(TRIM(E$5)))*(CRDJ[Account Code]=(TRIM($B132))),CRDJ[Credit])))+(SUM(IF((GJ[Date]=$A$4)*(GJ[Sort Code]=(TRIM(E$5)))*(GJ[Account Code]=(TRIM($B132))),GJ[Credit]))))</f>
        <v>0</v>
      </c>
      <c r="E132" s="467">
        <f t="shared" si="3"/>
        <v>0</v>
      </c>
    </row>
    <row r="133" spans="1:5" x14ac:dyDescent="0.2">
      <c r="A133" s="476" t="s">
        <v>1030</v>
      </c>
      <c r="B133" s="339" t="s">
        <v>986</v>
      </c>
      <c r="C133" s="466">
        <f t="array" ref="C133">((SUM(IF((CkDJ[Sort Code]=(TRIM(E$5)))*(CkDJ[Account Code]=(TRIM($B133)))*(CkDJ[Date]&lt;=$C$8),CkDJ[Debit])))+(SUM(IF((CsDJ[Sort Code]=(TRIM(E$5)))*(CsDJ[Account Code]=(TRIM($B133)))*(CsDJ[Date]&lt;=$C$8),CsDJ[Debit])))+(SUM(IF((CRDJ[Sort Code]=(TRIM(E$5)))*(CRDJ[Account Code]=(TRIM($B133)))*(CRDJ[Date]&lt;=$C$8),CRDJ[Debit])))+(SUM(IF((GJ[Sort Code]=(TRIM(E$5)))*(GJ[Account Code]=(TRIM($B133)))*(GJ[Date]&lt;=$C$8),GJ[Debit]))))-((SUM(IF((CkDJ[Sort Code]=(TRIM(E$5)))*(CkDJ[Account Code]=(TRIM($B133)))*(CkDJ[Date]&lt;=$C$8),CkDJ[Credit])))+(SUM(IF((CsDJ[Sort Code]=(TRIM(E$5)))*(CsDJ[Account Code]=(TRIM($B133)))*(CsDJ[Date]&lt;=$C$8),CsDJ[Credit])))+(SUM(IF((CRDJ[Sort Code]=(TRIM(E$5)))*(CRDJ[Account Code]=(TRIM($B133)))*(CRDJ[Date]&lt;=$C$8),CRDJ[Credit])))+(SUM(IF((GJ[Sort Code]=(TRIM(E$5)))*(GJ[Account Code]=(TRIM($B133)))*(GJ[Date]&lt;=$C$8),GJ[Credit]))))</f>
        <v>0</v>
      </c>
      <c r="D133" s="466">
        <f t="array" ref="D133">((SUM(IF((CkDJ[Date]=$A$4)*(CkDJ[Sort Code]=(TRIM(E$5)))*(CkDJ[Account Code]=(TRIM($B133))),CkDJ[Debit])))+(SUM(IF((CsDJ[Date]=$A$4)*(CsDJ[Sort Code]=(TRIM(E$5)))*(CsDJ[Account Code]=(TRIM($B133))),CsDJ[Debit])))+(SUM(IF((CRDJ[Date]=$A$4)*(CRDJ[Sort Code]=(TRIM(E$5)))*(CRDJ[Account Code]=(TRIM($B133))),CRDJ[Debit])))+(SUM(IF((GJ[Date]=$A$4)*(GJ[Sort Code]=(TRIM(E$5)))*(GJ[Account Code]=(TRIM($B133))),GJ[Debit]))))-((SUM(IF((CkDJ[Date]=$A$4)*(CkDJ[Sort Code]=(TRIM(E$5)))*(CkDJ[Account Code]=(TRIM($B133))),CkDJ[Credit])))+(SUM(IF((CsDJ[Date]=$A$4)*(CsDJ[Sort Code]=(TRIM(E$5)))*(CsDJ[Account Code]=(TRIM($B133))),CsDJ[Credit])))+(SUM(IF((CRDJ[Date]=$A$4)*(CRDJ[Sort Code]=(TRIM(E$5)))*(CRDJ[Account Code]=(TRIM($B133))),CRDJ[Credit])))+(SUM(IF((GJ[Date]=$A$4)*(GJ[Sort Code]=(TRIM(E$5)))*(GJ[Account Code]=(TRIM($B133))),GJ[Credit]))))</f>
        <v>0</v>
      </c>
      <c r="E133" s="467">
        <f t="shared" si="3"/>
        <v>0</v>
      </c>
    </row>
    <row r="134" spans="1:5" x14ac:dyDescent="0.2">
      <c r="A134" s="476" t="s">
        <v>1029</v>
      </c>
      <c r="B134" s="339" t="s">
        <v>987</v>
      </c>
      <c r="C134" s="466">
        <f t="array" ref="C134">((SUM(IF((CkDJ[Sort Code]=(TRIM(E$5)))*(CkDJ[Account Code]=(TRIM($B134)))*(CkDJ[Date]&lt;=$C$8),CkDJ[Debit])))+(SUM(IF((CsDJ[Sort Code]=(TRIM(E$5)))*(CsDJ[Account Code]=(TRIM($B134)))*(CsDJ[Date]&lt;=$C$8),CsDJ[Debit])))+(SUM(IF((CRDJ[Sort Code]=(TRIM(E$5)))*(CRDJ[Account Code]=(TRIM($B134)))*(CRDJ[Date]&lt;=$C$8),CRDJ[Debit])))+(SUM(IF((GJ[Sort Code]=(TRIM(E$5)))*(GJ[Account Code]=(TRIM($B134)))*(GJ[Date]&lt;=$C$8),GJ[Debit]))))-((SUM(IF((CkDJ[Sort Code]=(TRIM(E$5)))*(CkDJ[Account Code]=(TRIM($B134)))*(CkDJ[Date]&lt;=$C$8),CkDJ[Credit])))+(SUM(IF((CsDJ[Sort Code]=(TRIM(E$5)))*(CsDJ[Account Code]=(TRIM($B134)))*(CsDJ[Date]&lt;=$C$8),CsDJ[Credit])))+(SUM(IF((CRDJ[Sort Code]=(TRIM(E$5)))*(CRDJ[Account Code]=(TRIM($B134)))*(CRDJ[Date]&lt;=$C$8),CRDJ[Credit])))+(SUM(IF((GJ[Sort Code]=(TRIM(E$5)))*(GJ[Account Code]=(TRIM($B134)))*(GJ[Date]&lt;=$C$8),GJ[Credit]))))</f>
        <v>0</v>
      </c>
      <c r="D134" s="466">
        <f t="array" ref="D134">((SUM(IF((CkDJ[Date]=$A$4)*(CkDJ[Sort Code]=(TRIM(E$5)))*(CkDJ[Account Code]=(TRIM($B134))),CkDJ[Debit])))+(SUM(IF((CsDJ[Date]=$A$4)*(CsDJ[Sort Code]=(TRIM(E$5)))*(CsDJ[Account Code]=(TRIM($B134))),CsDJ[Debit])))+(SUM(IF((CRDJ[Date]=$A$4)*(CRDJ[Sort Code]=(TRIM(E$5)))*(CRDJ[Account Code]=(TRIM($B134))),CRDJ[Debit])))+(SUM(IF((GJ[Date]=$A$4)*(GJ[Sort Code]=(TRIM(E$5)))*(GJ[Account Code]=(TRIM($B134))),GJ[Debit]))))-((SUM(IF((CkDJ[Date]=$A$4)*(CkDJ[Sort Code]=(TRIM(E$5)))*(CkDJ[Account Code]=(TRIM($B134))),CkDJ[Credit])))+(SUM(IF((CsDJ[Date]=$A$4)*(CsDJ[Sort Code]=(TRIM(E$5)))*(CsDJ[Account Code]=(TRIM($B134))),CsDJ[Credit])))+(SUM(IF((CRDJ[Date]=$A$4)*(CRDJ[Sort Code]=(TRIM(E$5)))*(CRDJ[Account Code]=(TRIM($B134))),CRDJ[Credit])))+(SUM(IF((GJ[Date]=$A$4)*(GJ[Sort Code]=(TRIM(E$5)))*(GJ[Account Code]=(TRIM($B134))),GJ[Credit]))))</f>
        <v>0</v>
      </c>
      <c r="E134" s="467">
        <f t="shared" si="3"/>
        <v>0</v>
      </c>
    </row>
    <row r="135" spans="1:5" x14ac:dyDescent="0.2">
      <c r="A135" s="476" t="s">
        <v>990</v>
      </c>
      <c r="B135" s="339" t="s">
        <v>988</v>
      </c>
      <c r="C135" s="466">
        <f t="array" ref="C135">((SUM(IF((CkDJ[Sort Code]=(TRIM(E$5)))*(CkDJ[Account Code]=(TRIM($B135)))*(CkDJ[Date]&lt;=$C$8),CkDJ[Debit])))+(SUM(IF((CsDJ[Sort Code]=(TRIM(E$5)))*(CsDJ[Account Code]=(TRIM($B135)))*(CsDJ[Date]&lt;=$C$8),CsDJ[Debit])))+(SUM(IF((CRDJ[Sort Code]=(TRIM(E$5)))*(CRDJ[Account Code]=(TRIM($B135)))*(CRDJ[Date]&lt;=$C$8),CRDJ[Debit])))+(SUM(IF((GJ[Sort Code]=(TRIM(E$5)))*(GJ[Account Code]=(TRIM($B135)))*(GJ[Date]&lt;=$C$8),GJ[Debit]))))-((SUM(IF((CkDJ[Sort Code]=(TRIM(E$5)))*(CkDJ[Account Code]=(TRIM($B135)))*(CkDJ[Date]&lt;=$C$8),CkDJ[Credit])))+(SUM(IF((CsDJ[Sort Code]=(TRIM(E$5)))*(CsDJ[Account Code]=(TRIM($B135)))*(CsDJ[Date]&lt;=$C$8),CsDJ[Credit])))+(SUM(IF((CRDJ[Sort Code]=(TRIM(E$5)))*(CRDJ[Account Code]=(TRIM($B135)))*(CRDJ[Date]&lt;=$C$8),CRDJ[Credit])))+(SUM(IF((GJ[Sort Code]=(TRIM(E$5)))*(GJ[Account Code]=(TRIM($B135)))*(GJ[Date]&lt;=$C$8),GJ[Credit]))))</f>
        <v>0</v>
      </c>
      <c r="D135" s="466">
        <f t="array" ref="D135">((SUM(IF((CkDJ[Date]=$A$4)*(CkDJ[Sort Code]=(TRIM(E$5)))*(CkDJ[Account Code]=(TRIM($B135))),CkDJ[Debit])))+(SUM(IF((CsDJ[Date]=$A$4)*(CsDJ[Sort Code]=(TRIM(E$5)))*(CsDJ[Account Code]=(TRIM($B135))),CsDJ[Debit])))+(SUM(IF((CRDJ[Date]=$A$4)*(CRDJ[Sort Code]=(TRIM(E$5)))*(CRDJ[Account Code]=(TRIM($B135))),CRDJ[Debit])))+(SUM(IF((GJ[Date]=$A$4)*(GJ[Sort Code]=(TRIM(E$5)))*(GJ[Account Code]=(TRIM($B135))),GJ[Debit]))))-((SUM(IF((CkDJ[Date]=$A$4)*(CkDJ[Sort Code]=(TRIM(E$5)))*(CkDJ[Account Code]=(TRIM($B135))),CkDJ[Credit])))+(SUM(IF((CsDJ[Date]=$A$4)*(CsDJ[Sort Code]=(TRIM(E$5)))*(CsDJ[Account Code]=(TRIM($B135))),CsDJ[Credit])))+(SUM(IF((CRDJ[Date]=$A$4)*(CRDJ[Sort Code]=(TRIM(E$5)))*(CRDJ[Account Code]=(TRIM($B135))),CRDJ[Credit])))+(SUM(IF((GJ[Date]=$A$4)*(GJ[Sort Code]=(TRIM(E$5)))*(GJ[Account Code]=(TRIM($B135))),GJ[Credit]))))</f>
        <v>0</v>
      </c>
      <c r="E135" s="467">
        <f t="shared" si="3"/>
        <v>0</v>
      </c>
    </row>
    <row r="136" spans="1:5" x14ac:dyDescent="0.2">
      <c r="A136" s="476" t="s">
        <v>349</v>
      </c>
      <c r="B136" s="339" t="s">
        <v>340</v>
      </c>
      <c r="C136" s="466">
        <f t="array" ref="C136">((SUM(IF((CkDJ[Sort Code]=(TRIM(E$5)))*(CkDJ[Account Code]=(TRIM($B136)))*(CkDJ[Date]&lt;=$C$8),CkDJ[Debit])))+(SUM(IF((CsDJ[Sort Code]=(TRIM(E$5)))*(CsDJ[Account Code]=(TRIM($B136)))*(CsDJ[Date]&lt;=$C$8),CsDJ[Debit])))+(SUM(IF((CRDJ[Sort Code]=(TRIM(E$5)))*(CRDJ[Account Code]=(TRIM($B136)))*(CRDJ[Date]&lt;=$C$8),CRDJ[Debit])))+(SUM(IF((GJ[Sort Code]=(TRIM(E$5)))*(GJ[Account Code]=(TRIM($B136)))*(GJ[Date]&lt;=$C$8),GJ[Debit]))))-((SUM(IF((CkDJ[Sort Code]=(TRIM(E$5)))*(CkDJ[Account Code]=(TRIM($B136)))*(CkDJ[Date]&lt;=$C$8),CkDJ[Credit])))+(SUM(IF((CsDJ[Sort Code]=(TRIM(E$5)))*(CsDJ[Account Code]=(TRIM($B136)))*(CsDJ[Date]&lt;=$C$8),CsDJ[Credit])))+(SUM(IF((CRDJ[Sort Code]=(TRIM(E$5)))*(CRDJ[Account Code]=(TRIM($B136)))*(CRDJ[Date]&lt;=$C$8),CRDJ[Credit])))+(SUM(IF((GJ[Sort Code]=(TRIM(E$5)))*(GJ[Account Code]=(TRIM($B136)))*(GJ[Date]&lt;=$C$8),GJ[Credit]))))</f>
        <v>0</v>
      </c>
      <c r="D136" s="466">
        <f t="array" ref="D136">((SUM(IF((CkDJ[Date]=$A$4)*(CkDJ[Sort Code]=(TRIM(E$5)))*(CkDJ[Account Code]=(TRIM($B136))),CkDJ[Debit])))+(SUM(IF((CsDJ[Date]=$A$4)*(CsDJ[Sort Code]=(TRIM(E$5)))*(CsDJ[Account Code]=(TRIM($B136))),CsDJ[Debit])))+(SUM(IF((CRDJ[Date]=$A$4)*(CRDJ[Sort Code]=(TRIM(E$5)))*(CRDJ[Account Code]=(TRIM($B136))),CRDJ[Debit])))+(SUM(IF((GJ[Date]=$A$4)*(GJ[Sort Code]=(TRIM(E$5)))*(GJ[Account Code]=(TRIM($B136))),GJ[Debit]))))-((SUM(IF((CkDJ[Date]=$A$4)*(CkDJ[Sort Code]=(TRIM(E$5)))*(CkDJ[Account Code]=(TRIM($B136))),CkDJ[Credit])))+(SUM(IF((CsDJ[Date]=$A$4)*(CsDJ[Sort Code]=(TRIM(E$5)))*(CsDJ[Account Code]=(TRIM($B136))),CsDJ[Credit])))+(SUM(IF((CRDJ[Date]=$A$4)*(CRDJ[Sort Code]=(TRIM(E$5)))*(CRDJ[Account Code]=(TRIM($B136))),CRDJ[Credit])))+(SUM(IF((GJ[Date]=$A$4)*(GJ[Sort Code]=(TRIM(E$5)))*(GJ[Account Code]=(TRIM($B136))),GJ[Credit]))))</f>
        <v>0</v>
      </c>
      <c r="E136" s="467">
        <f t="shared" si="3"/>
        <v>0</v>
      </c>
    </row>
    <row r="137" spans="1:5" x14ac:dyDescent="0.2">
      <c r="A137" s="476" t="s">
        <v>342</v>
      </c>
      <c r="B137" s="339" t="s">
        <v>333</v>
      </c>
      <c r="C137" s="466">
        <f t="array" ref="C137">((SUM(IF((CkDJ[Sort Code]=(TRIM(E$5)))*(CkDJ[Account Code]=(TRIM($B137)))*(CkDJ[Date]&lt;=$C$8),CkDJ[Debit])))+(SUM(IF((CsDJ[Sort Code]=(TRIM(E$5)))*(CsDJ[Account Code]=(TRIM($B137)))*(CsDJ[Date]&lt;=$C$8),CsDJ[Debit])))+(SUM(IF((CRDJ[Sort Code]=(TRIM(E$5)))*(CRDJ[Account Code]=(TRIM($B137)))*(CRDJ[Date]&lt;=$C$8),CRDJ[Debit])))+(SUM(IF((GJ[Sort Code]=(TRIM(E$5)))*(GJ[Account Code]=(TRIM($B137)))*(GJ[Date]&lt;=$C$8),GJ[Debit]))))-((SUM(IF((CkDJ[Sort Code]=(TRIM(E$5)))*(CkDJ[Account Code]=(TRIM($B137)))*(CkDJ[Date]&lt;=$C$8),CkDJ[Credit])))+(SUM(IF((CsDJ[Sort Code]=(TRIM(E$5)))*(CsDJ[Account Code]=(TRIM($B137)))*(CsDJ[Date]&lt;=$C$8),CsDJ[Credit])))+(SUM(IF((CRDJ[Sort Code]=(TRIM(E$5)))*(CRDJ[Account Code]=(TRIM($B137)))*(CRDJ[Date]&lt;=$C$8),CRDJ[Credit])))+(SUM(IF((GJ[Sort Code]=(TRIM(E$5)))*(GJ[Account Code]=(TRIM($B137)))*(GJ[Date]&lt;=$C$8),GJ[Credit]))))</f>
        <v>0</v>
      </c>
      <c r="D137" s="466">
        <f t="array" ref="D137">((SUM(IF((CkDJ[Date]=$A$4)*(CkDJ[Sort Code]=(TRIM(E$5)))*(CkDJ[Account Code]=(TRIM($B137))),CkDJ[Debit])))+(SUM(IF((CsDJ[Date]=$A$4)*(CsDJ[Sort Code]=(TRIM(E$5)))*(CsDJ[Account Code]=(TRIM($B137))),CsDJ[Debit])))+(SUM(IF((CRDJ[Date]=$A$4)*(CRDJ[Sort Code]=(TRIM(E$5)))*(CRDJ[Account Code]=(TRIM($B137))),CRDJ[Debit])))+(SUM(IF((GJ[Date]=$A$4)*(GJ[Sort Code]=(TRIM(E$5)))*(GJ[Account Code]=(TRIM($B137))),GJ[Debit]))))-((SUM(IF((CkDJ[Date]=$A$4)*(CkDJ[Sort Code]=(TRIM(E$5)))*(CkDJ[Account Code]=(TRIM($B137))),CkDJ[Credit])))+(SUM(IF((CsDJ[Date]=$A$4)*(CsDJ[Sort Code]=(TRIM(E$5)))*(CsDJ[Account Code]=(TRIM($B137))),CsDJ[Credit])))+(SUM(IF((CRDJ[Date]=$A$4)*(CRDJ[Sort Code]=(TRIM(E$5)))*(CRDJ[Account Code]=(TRIM($B137))),CRDJ[Credit])))+(SUM(IF((GJ[Date]=$A$4)*(GJ[Sort Code]=(TRIM(E$5)))*(GJ[Account Code]=(TRIM($B137))),GJ[Credit]))))</f>
        <v>0</v>
      </c>
      <c r="E137" s="467">
        <f>C137+D137</f>
        <v>0</v>
      </c>
    </row>
    <row r="138" spans="1:5" x14ac:dyDescent="0.2">
      <c r="A138" s="468" t="s">
        <v>804</v>
      </c>
      <c r="B138" s="469"/>
      <c r="C138" s="470">
        <f>C47+C74</f>
        <v>0</v>
      </c>
      <c r="D138" s="470">
        <f>D47+D74</f>
        <v>0</v>
      </c>
      <c r="E138" s="470">
        <f>E47+E74</f>
        <v>0</v>
      </c>
    </row>
    <row r="139" spans="1:5" x14ac:dyDescent="0.2">
      <c r="A139" s="468" t="s">
        <v>785</v>
      </c>
      <c r="B139" s="469"/>
      <c r="C139" s="470">
        <f>C45-C138</f>
        <v>0</v>
      </c>
      <c r="D139" s="470">
        <f>D45-D138</f>
        <v>0</v>
      </c>
      <c r="E139" s="470">
        <f>E45-E138</f>
        <v>0</v>
      </c>
    </row>
    <row r="140" spans="1:5" x14ac:dyDescent="0.2">
      <c r="A140" s="468"/>
      <c r="B140" s="469"/>
      <c r="C140" s="470"/>
      <c r="D140" s="470"/>
      <c r="E140" s="470"/>
    </row>
    <row r="141" spans="1:5" x14ac:dyDescent="0.2">
      <c r="A141" s="468" t="s">
        <v>1168</v>
      </c>
      <c r="B141" s="469"/>
      <c r="C141" s="470">
        <v>0</v>
      </c>
      <c r="D141" s="470">
        <v>0</v>
      </c>
      <c r="E141" s="470">
        <v>0</v>
      </c>
    </row>
    <row r="142" spans="1:5" x14ac:dyDescent="0.2">
      <c r="A142" s="468"/>
      <c r="B142" s="469"/>
      <c r="C142" s="470"/>
      <c r="D142" s="470"/>
      <c r="E142" s="470"/>
    </row>
    <row r="143" spans="1:5" x14ac:dyDescent="0.2">
      <c r="A143" s="468" t="s">
        <v>1169</v>
      </c>
      <c r="B143" s="469"/>
      <c r="C143" s="470">
        <f>C139-C141</f>
        <v>0</v>
      </c>
      <c r="D143" s="470">
        <f>D139-D141</f>
        <v>0</v>
      </c>
      <c r="E143" s="470">
        <f>E139-E141</f>
        <v>0</v>
      </c>
    </row>
  </sheetData>
  <mergeCells count="5">
    <mergeCell ref="C6:C7"/>
    <mergeCell ref="D6:D8"/>
    <mergeCell ref="E6:E8"/>
    <mergeCell ref="A6:A8"/>
    <mergeCell ref="B6:B8"/>
  </mergeCells>
  <printOptions horizontalCentered="1"/>
  <pageMargins left="0.25" right="0.25" top="0.75" bottom="1.5" header="0.3" footer="0.3"/>
  <pageSetup paperSize="5" scale="80" orientation="portrait" r:id="rId1"/>
  <rowBreaks count="1" manualBreakCount="1">
    <brk id="72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663300"/>
  </sheetPr>
  <dimension ref="A1:E143"/>
  <sheetViews>
    <sheetView workbookViewId="0"/>
  </sheetViews>
  <sheetFormatPr defaultColWidth="9" defaultRowHeight="14.25" x14ac:dyDescent="0.2"/>
  <cols>
    <col min="1" max="1" width="63.625" style="233" bestFit="1" customWidth="1"/>
    <col min="2" max="2" width="10" style="336" hidden="1" customWidth="1"/>
    <col min="3" max="3" width="17.5" style="236" hidden="1" customWidth="1"/>
    <col min="4" max="4" width="17.125" style="237" hidden="1" customWidth="1"/>
    <col min="5" max="5" width="18" style="236" customWidth="1"/>
    <col min="6" max="16384" width="9" style="233"/>
  </cols>
  <sheetData>
    <row r="1" spans="1:5" x14ac:dyDescent="0.2">
      <c r="A1" s="232" t="s">
        <v>355</v>
      </c>
      <c r="B1" s="335"/>
      <c r="C1" s="232"/>
      <c r="D1" s="232"/>
      <c r="E1" s="232"/>
    </row>
    <row r="2" spans="1:5" x14ac:dyDescent="0.2">
      <c r="A2" s="232" t="s">
        <v>400</v>
      </c>
      <c r="B2" s="335"/>
      <c r="C2" s="232"/>
      <c r="D2" s="232"/>
      <c r="E2" s="232"/>
    </row>
    <row r="3" spans="1:5" x14ac:dyDescent="0.2">
      <c r="A3" s="232" t="s">
        <v>1162</v>
      </c>
      <c r="B3" s="335"/>
      <c r="C3" s="232"/>
      <c r="D3" s="232"/>
      <c r="E3" s="232"/>
    </row>
    <row r="4" spans="1:5" x14ac:dyDescent="0.2">
      <c r="A4" s="234">
        <f>Account!G2</f>
        <v>44500</v>
      </c>
      <c r="B4" s="335"/>
      <c r="C4" s="232"/>
      <c r="D4" s="232"/>
      <c r="E4" s="232"/>
    </row>
    <row r="5" spans="1:5" x14ac:dyDescent="0.2">
      <c r="A5" s="235" t="str">
        <f>IF(E5=0,,VLOOKUP((TRIM(E5)),SortCode,2,))</f>
        <v>Ilocos Sur IMO</v>
      </c>
      <c r="E5" s="331" t="s">
        <v>485</v>
      </c>
    </row>
    <row r="6" spans="1:5" ht="14.25" customHeight="1" x14ac:dyDescent="0.2">
      <c r="A6" s="1299" t="s">
        <v>440</v>
      </c>
      <c r="B6" s="1302" t="s">
        <v>370</v>
      </c>
      <c r="C6" s="1303" t="s">
        <v>832</v>
      </c>
      <c r="D6" s="1305">
        <f>A4</f>
        <v>44500</v>
      </c>
      <c r="E6" s="1303" t="s">
        <v>831</v>
      </c>
    </row>
    <row r="7" spans="1:5" x14ac:dyDescent="0.2">
      <c r="A7" s="1300"/>
      <c r="B7" s="1302"/>
      <c r="C7" s="1304"/>
      <c r="D7" s="1306"/>
      <c r="E7" s="1304"/>
    </row>
    <row r="8" spans="1:5" x14ac:dyDescent="0.2">
      <c r="A8" s="1301"/>
      <c r="B8" s="1302"/>
      <c r="C8" s="465">
        <f>'REVGEN (1)'!E7</f>
        <v>43373</v>
      </c>
      <c r="D8" s="1307"/>
      <c r="E8" s="1308"/>
    </row>
    <row r="9" spans="1:5" x14ac:dyDescent="0.2">
      <c r="A9" s="471" t="s">
        <v>1170</v>
      </c>
      <c r="B9" s="339"/>
      <c r="C9" s="485"/>
      <c r="D9" s="485"/>
      <c r="E9" s="485"/>
    </row>
    <row r="10" spans="1:5" x14ac:dyDescent="0.2">
      <c r="A10" s="473" t="s">
        <v>829</v>
      </c>
      <c r="B10" s="339"/>
      <c r="C10" s="474">
        <f>C11+C12</f>
        <v>0</v>
      </c>
      <c r="D10" s="474">
        <f>D11+D12</f>
        <v>0</v>
      </c>
      <c r="E10" s="474">
        <f>E11+E12</f>
        <v>0</v>
      </c>
    </row>
    <row r="11" spans="1:5" x14ac:dyDescent="0.2">
      <c r="A11" s="475" t="s">
        <v>821</v>
      </c>
      <c r="B11" s="339" t="s">
        <v>125</v>
      </c>
      <c r="C11" s="466">
        <f t="array" ref="C11">((SUM(IF((CkDJ[Sort Code]=(TRIM(E$5)))*(CkDJ[Account Code]=(TRIM($B11)))*(CkDJ[Date]&lt;=$C$8),CkDJ[Credit])))+(SUM(IF((CsDJ[Sort Code]=(TRIM(E$5)))*(CsDJ[Account Code]=(TRIM($B11)))*(CsDJ[Date]&lt;=$C$8),CsDJ[Credit])))+(SUM(IF((CRDJ[Sort Code]=(TRIM(E$5)))*(CRDJ[Account Code]=(TRIM($B11)))*(CRDJ[Date]&lt;=$C$8),CRDJ[Credit])))+(SUM(IF((GJ[Sort Code]=(TRIM(E$5)))*(GJ[Account Code]=(TRIM($B11)))*(GJ[Date]&lt;=$C$8),GJ[Credit]))))-((SUM(IF((CkDJ[Sort Code]=(TRIM(E$5)))*(CkDJ[Account Code]=(TRIM($B11)))*(CkDJ[Date]&lt;=$C$8),CkDJ[Debit])))+(SUM(IF((CsDJ[Sort Code]=(TRIM(E$5)))*(CsDJ[Account Code]=(TRIM($B11)))*(CsDJ[Date]&lt;=$C$8),CsDJ[Debit])))+(SUM(IF((CRDJ[Sort Code]=(TRIM(E$5)))*(CRDJ[Account Code]=(TRIM($B11)))*(CRDJ[Date]&lt;=$C$8),CRDJ[Debit])))+(SUM(IF((GJ[Sort Code]=(TRIM(E$5)))*(GJ[Account Code]=(TRIM($B11)))*(GJ[Date]&lt;=$C$8),GJ[Debit]))))</f>
        <v>0</v>
      </c>
      <c r="D11" s="466">
        <f t="array" ref="D11">((SUM(IF((CkDJ[Date]=$A$4)*(CkDJ[Sort Code]=(TRIM(E$5)))*(CkDJ[Account Code]=(TRIM($B11))),CkDJ[Credit])))+(SUM(IF((CsDJ[Date]=$A$4)*(CsDJ[Sort Code]=(TRIM(E$5)))*(CsDJ[Account Code]=(TRIM($B11))),CsDJ[Credit])))+(SUM(IF((CRDJ[Date]=$A$4)*(CRDJ[Sort Code]=(TRIM(E$5)))*(CRDJ[Account Code]=(TRIM($B11))),CRDJ[Credit])))+(SUM(IF((GJ[Date]=$A$4)*(GJ[Sort Code]=(TRIM(E$5)))*(GJ[Account Code]=(TRIM($B11))),GJ[Credit]))))-((SUM(IF((CkDJ[Date]=$A$4)*(CkDJ[Sort Code]=(TRIM(E$5)))*(CkDJ[Account Code]=(TRIM($B11))),CkDJ[Debit])))+(SUM(IF((CsDJ[Date]=$A$4)*(CsDJ[Sort Code]=(TRIM(E$5)))*(CsDJ[Account Code]=(TRIM($B11))),CsDJ[Debit])))+(SUM(IF((CRDJ[Date]=$A$4)*(CRDJ[Sort Code]=(TRIM(E$5)))*(CRDJ[Account Code]=(TRIM($B11))),CRDJ[Debit])))+(SUM(IF((GJ[Date]=$A$4)*(GJ[Sort Code]=(TRIM(E$5)))*(GJ[Account Code]=(TRIM($B11))),GJ[Debit]))))</f>
        <v>0</v>
      </c>
      <c r="E11" s="467">
        <f>C11+D11</f>
        <v>0</v>
      </c>
    </row>
    <row r="12" spans="1:5" x14ac:dyDescent="0.2">
      <c r="A12" s="475" t="s">
        <v>820</v>
      </c>
      <c r="B12" s="339"/>
      <c r="C12" s="466">
        <f>SUM(C13:C15)</f>
        <v>0</v>
      </c>
      <c r="D12" s="466">
        <f>SUM(D13:D15)</f>
        <v>0</v>
      </c>
      <c r="E12" s="467">
        <f>SUM(E13:E15)</f>
        <v>0</v>
      </c>
    </row>
    <row r="13" spans="1:5" x14ac:dyDescent="0.2">
      <c r="A13" s="476" t="s">
        <v>809</v>
      </c>
      <c r="B13" s="339" t="s">
        <v>126</v>
      </c>
      <c r="C13" s="466">
        <f t="array" ref="C13">((SUM(IF((CkDJ[Sort Code]=(TRIM(E$5)))*(CkDJ[Account Code]=(TRIM($B13)))*(CkDJ[Date]&lt;=$C$8),CkDJ[Credit])))+(SUM(IF((CsDJ[Sort Code]=(TRIM(E$5)))*(CsDJ[Account Code]=(TRIM($B13)))*(CsDJ[Date]&lt;=$C$8),CsDJ[Credit])))+(SUM(IF((CRDJ[Sort Code]=(TRIM(E$5)))*(CRDJ[Account Code]=(TRIM($B13)))*(CRDJ[Date]&lt;=$C$8),CRDJ[Credit])))+(SUM(IF((GJ[Sort Code]=(TRIM(E$5)))*(GJ[Account Code]=(TRIM($B13)))*(GJ[Date]&lt;=$C$8),GJ[Credit]))))-((SUM(IF((CkDJ[Sort Code]=(TRIM(E$5)))*(CkDJ[Account Code]=(TRIM($B13)))*(CkDJ[Date]&lt;=$C$8),CkDJ[Debit])))+(SUM(IF((CsDJ[Sort Code]=(TRIM(E$5)))*(CsDJ[Account Code]=(TRIM($B13)))*(CsDJ[Date]&lt;=$C$8),CsDJ[Debit])))+(SUM(IF((CRDJ[Sort Code]=(TRIM(E$5)))*(CRDJ[Account Code]=(TRIM($B13)))*(CRDJ[Date]&lt;=$C$8),CRDJ[Debit])))+(SUM(IF((GJ[Sort Code]=(TRIM(E$5)))*(GJ[Account Code]=(TRIM($B13)))*(GJ[Date]&lt;=$C$8),GJ[Debit]))))</f>
        <v>0</v>
      </c>
      <c r="D13" s="466">
        <f t="array" ref="D13">((SUM(IF((CkDJ[Date]=$A$4)*(CkDJ[Sort Code]=(TRIM(E$5)))*(CkDJ[Account Code]=(TRIM($B13))),CkDJ[Credit])))+(SUM(IF((CsDJ[Date]=$A$4)*(CsDJ[Sort Code]=(TRIM(E$5)))*(CsDJ[Account Code]=(TRIM($B13))),CsDJ[Credit])))+(SUM(IF((CRDJ[Date]=$A$4)*(CRDJ[Sort Code]=(TRIM(E$5)))*(CRDJ[Account Code]=(TRIM($B13))),CRDJ[Credit])))+(SUM(IF((GJ[Date]=$A$4)*(GJ[Sort Code]=(TRIM(E$5)))*(GJ[Account Code]=(TRIM($B13))),GJ[Credit]))))-((SUM(IF((CkDJ[Date]=$A$4)*(CkDJ[Sort Code]=(TRIM(E$5)))*(CkDJ[Account Code]=(TRIM($B13))),CkDJ[Debit])))+(SUM(IF((CsDJ[Date]=$A$4)*(CsDJ[Sort Code]=(TRIM(E$5)))*(CsDJ[Account Code]=(TRIM($B13))),CsDJ[Debit])))+(SUM(IF((CRDJ[Date]=$A$4)*(CRDJ[Sort Code]=(TRIM(E$5)))*(CRDJ[Account Code]=(TRIM($B13))),CRDJ[Debit])))+(SUM(IF((GJ[Date]=$A$4)*(GJ[Sort Code]=(TRIM(E$5)))*(GJ[Account Code]=(TRIM($B13))),GJ[Debit]))))</f>
        <v>0</v>
      </c>
      <c r="E13" s="467">
        <f>C13+D13</f>
        <v>0</v>
      </c>
    </row>
    <row r="14" spans="1:5" x14ac:dyDescent="0.2">
      <c r="A14" s="476" t="s">
        <v>828</v>
      </c>
      <c r="B14" s="339" t="s">
        <v>721</v>
      </c>
      <c r="C14" s="466">
        <f t="array" ref="C14">((SUM(IF((CkDJ[Sort Code]=(TRIM(E$5)))*(CkDJ[Account Code]=(TRIM($B14)))*(CkDJ[Date]&lt;=$C$8),CkDJ[Credit])))+(SUM(IF((CsDJ[Sort Code]=(TRIM(E$5)))*(CsDJ[Account Code]=(TRIM($B14)))*(CsDJ[Date]&lt;=$C$8),CsDJ[Credit])))+(SUM(IF((CRDJ[Sort Code]=(TRIM(E$5)))*(CRDJ[Account Code]=(TRIM($B14)))*(CRDJ[Date]&lt;=$C$8),CRDJ[Credit])))+(SUM(IF((GJ[Sort Code]=(TRIM(E$5)))*(GJ[Account Code]=(TRIM($B14)))*(GJ[Date]&lt;=$C$8),GJ[Credit]))))-((SUM(IF((CkDJ[Sort Code]=(TRIM(E$5)))*(CkDJ[Account Code]=(TRIM($B14)))*(CkDJ[Date]&lt;=$C$8),CkDJ[Debit])))+(SUM(IF((CsDJ[Sort Code]=(TRIM(E$5)))*(CsDJ[Account Code]=(TRIM($B14)))*(CsDJ[Date]&lt;=$C$8),CsDJ[Debit])))+(SUM(IF((CRDJ[Sort Code]=(TRIM(E$5)))*(CRDJ[Account Code]=(TRIM($B14)))*(CRDJ[Date]&lt;=$C$8),CRDJ[Debit])))+(SUM(IF((GJ[Sort Code]=(TRIM(E$5)))*(GJ[Account Code]=(TRIM($B14)))*(GJ[Date]&lt;=$C$8),GJ[Debit]))))</f>
        <v>0</v>
      </c>
      <c r="D14" s="466">
        <f t="array" ref="D14">((SUM(IF((CkDJ[Date]=$A$4)*(CkDJ[Sort Code]=(TRIM(E$5)))*(CkDJ[Account Code]=(TRIM($B14))),CkDJ[Credit])))+(SUM(IF((CsDJ[Date]=$A$4)*(CsDJ[Sort Code]=(TRIM(E$5)))*(CsDJ[Account Code]=(TRIM($B14))),CsDJ[Credit])))+(SUM(IF((CRDJ[Date]=$A$4)*(CRDJ[Sort Code]=(TRIM(E$5)))*(CRDJ[Account Code]=(TRIM($B14))),CRDJ[Credit])))+(SUM(IF((GJ[Date]=$A$4)*(GJ[Sort Code]=(TRIM(E$5)))*(GJ[Account Code]=(TRIM($B14))),GJ[Credit]))))-((SUM(IF((CkDJ[Date]=$A$4)*(CkDJ[Sort Code]=(TRIM(E$5)))*(CkDJ[Account Code]=(TRIM($B14))),CkDJ[Debit])))+(SUM(IF((CsDJ[Date]=$A$4)*(CsDJ[Sort Code]=(TRIM(E$5)))*(CsDJ[Account Code]=(TRIM($B14))),CsDJ[Debit])))+(SUM(IF((CRDJ[Date]=$A$4)*(CRDJ[Sort Code]=(TRIM(E$5)))*(CRDJ[Account Code]=(TRIM($B14))),CRDJ[Debit])))+(SUM(IF((GJ[Date]=$A$4)*(GJ[Sort Code]=(TRIM(E$5)))*(GJ[Account Code]=(TRIM($B14))),GJ[Debit]))))</f>
        <v>0</v>
      </c>
      <c r="E14" s="467">
        <f>C14+D14</f>
        <v>0</v>
      </c>
    </row>
    <row r="15" spans="1:5" x14ac:dyDescent="0.2">
      <c r="A15" s="476" t="s">
        <v>827</v>
      </c>
      <c r="B15" s="339" t="s">
        <v>143</v>
      </c>
      <c r="C15" s="466">
        <f t="array" ref="C15">((SUM(IF((CkDJ[Sort Code]=(TRIM(E$5)))*(CkDJ[Account Code]=(TRIM($B15)))*(CkDJ[Date]&lt;=$C$8),CkDJ[Credit])))+(SUM(IF((CsDJ[Sort Code]=(TRIM(E$5)))*(CsDJ[Account Code]=(TRIM($B15)))*(CsDJ[Date]&lt;=$C$8),CsDJ[Credit])))+(SUM(IF((CRDJ[Sort Code]=(TRIM(E$5)))*(CRDJ[Account Code]=(TRIM($B15)))*(CRDJ[Date]&lt;=$C$8),CRDJ[Credit])))+(SUM(IF((GJ[Sort Code]=(TRIM(E$5)))*(GJ[Account Code]=(TRIM($B15)))*(GJ[Date]&lt;=$C$8),GJ[Credit]))))-((SUM(IF((CkDJ[Sort Code]=(TRIM(E$5)))*(CkDJ[Account Code]=(TRIM($B15)))*(CkDJ[Date]&lt;=$C$8),CkDJ[Debit])))+(SUM(IF((CsDJ[Sort Code]=(TRIM(E$5)))*(CsDJ[Account Code]=(TRIM($B15)))*(CsDJ[Date]&lt;=$C$8),CsDJ[Debit])))+(SUM(IF((CRDJ[Sort Code]=(TRIM(E$5)))*(CRDJ[Account Code]=(TRIM($B15)))*(CRDJ[Date]&lt;=$C$8),CRDJ[Debit])))+(SUM(IF((GJ[Sort Code]=(TRIM(E$5)))*(GJ[Account Code]=(TRIM($B15)))*(GJ[Date]&lt;=$C$8),GJ[Debit]))))</f>
        <v>0</v>
      </c>
      <c r="D15" s="466">
        <f t="array" ref="D15">((SUM(IF((CkDJ[Date]=$A$4)*(CkDJ[Sort Code]=(TRIM(E$5)))*(CkDJ[Account Code]=(TRIM($B15))),CkDJ[Credit])))+(SUM(IF((CsDJ[Date]=$A$4)*(CsDJ[Sort Code]=(TRIM(E$5)))*(CsDJ[Account Code]=(TRIM($B15))),CsDJ[Credit])))+(SUM(IF((CRDJ[Date]=$A$4)*(CRDJ[Sort Code]=(TRIM(E$5)))*(CRDJ[Account Code]=(TRIM($B15))),CRDJ[Credit])))+(SUM(IF((GJ[Date]=$A$4)*(GJ[Sort Code]=(TRIM(E$5)))*(GJ[Account Code]=(TRIM($B15))),GJ[Credit]))))-((SUM(IF((CkDJ[Date]=$A$4)*(CkDJ[Sort Code]=(TRIM(E$5)))*(CkDJ[Account Code]=(TRIM($B15))),CkDJ[Debit])))+(SUM(IF((CsDJ[Date]=$A$4)*(CsDJ[Sort Code]=(TRIM(E$5)))*(CsDJ[Account Code]=(TRIM($B15))),CsDJ[Debit])))+(SUM(IF((CRDJ[Date]=$A$4)*(CRDJ[Sort Code]=(TRIM(E$5)))*(CRDJ[Account Code]=(TRIM($B15))),CRDJ[Debit])))+(SUM(IF((GJ[Date]=$A$4)*(GJ[Sort Code]=(TRIM(E$5)))*(GJ[Account Code]=(TRIM($B15))),GJ[Debit]))))</f>
        <v>0</v>
      </c>
      <c r="E15" s="467">
        <f>C15+D15</f>
        <v>0</v>
      </c>
    </row>
    <row r="16" spans="1:5" x14ac:dyDescent="0.2">
      <c r="A16" s="473" t="s">
        <v>826</v>
      </c>
      <c r="B16" s="339"/>
      <c r="C16" s="477">
        <f>SUM(C17:C19)</f>
        <v>0</v>
      </c>
      <c r="D16" s="477">
        <f>SUM(D17:D19)</f>
        <v>0</v>
      </c>
      <c r="E16" s="477">
        <f>SUM(E17:E19)</f>
        <v>0</v>
      </c>
    </row>
    <row r="17" spans="1:5" x14ac:dyDescent="0.2">
      <c r="A17" s="475" t="s">
        <v>182</v>
      </c>
      <c r="B17" s="339" t="s">
        <v>146</v>
      </c>
      <c r="C17" s="466">
        <f t="array" ref="C17">((SUM(IF((CkDJ[Sort Code]=(TRIM(E$5)))*(CkDJ[Account Code]=(TRIM($B17)))*(CkDJ[Date]&lt;=$C$8),CkDJ[Credit])))+(SUM(IF((CsDJ[Sort Code]=(TRIM(E$5)))*(CsDJ[Account Code]=(TRIM($B17)))*(CsDJ[Date]&lt;=$C$8),CsDJ[Credit])))+(SUM(IF((CRDJ[Sort Code]=(TRIM(E$5)))*(CRDJ[Account Code]=(TRIM($B17)))*(CRDJ[Date]&lt;=$C$8),CRDJ[Credit])))+(SUM(IF((GJ[Sort Code]=(TRIM(E$5)))*(GJ[Account Code]=(TRIM($B17)))*(GJ[Date]&lt;=$C$8),GJ[Credit]))))-((SUM(IF((CkDJ[Sort Code]=(TRIM(E$5)))*(CkDJ[Account Code]=(TRIM($B17)))*(CkDJ[Date]&lt;=$C$8),CkDJ[Debit])))+(SUM(IF((CsDJ[Sort Code]=(TRIM(E$5)))*(CsDJ[Account Code]=(TRIM($B17)))*(CsDJ[Date]&lt;=$C$8),CsDJ[Debit])))+(SUM(IF((CRDJ[Sort Code]=(TRIM(E$5)))*(CRDJ[Account Code]=(TRIM($B17)))*(CRDJ[Date]&lt;=$C$8),CRDJ[Debit])))+(SUM(IF((GJ[Sort Code]=(TRIM(E$5)))*(GJ[Account Code]=(TRIM($B17)))*(GJ[Date]&lt;=$C$8),GJ[Debit]))))</f>
        <v>0</v>
      </c>
      <c r="D17" s="466">
        <f t="array" ref="D17">((SUM(IF((CkDJ[Date]=$A$4)*(CkDJ[Sort Code]=(TRIM(E$5)))*(CkDJ[Account Code]=(TRIM($B17))),CkDJ[Credit])))+(SUM(IF((CsDJ[Date]=$A$4)*(CsDJ[Sort Code]=(TRIM(E$5)))*(CsDJ[Account Code]=(TRIM($B17))),CsDJ[Credit])))+(SUM(IF((CRDJ[Date]=$A$4)*(CRDJ[Sort Code]=(TRIM(E$5)))*(CRDJ[Account Code]=(TRIM($B17))),CRDJ[Credit])))+(SUM(IF((GJ[Date]=$A$4)*(GJ[Sort Code]=(TRIM(E$5)))*(GJ[Account Code]=(TRIM($B17))),GJ[Credit]))))-((SUM(IF((CkDJ[Date]=$A$4)*(CkDJ[Sort Code]=(TRIM(E$5)))*(CkDJ[Account Code]=(TRIM($B17))),CkDJ[Debit])))+(SUM(IF((CsDJ[Date]=$A$4)*(CsDJ[Sort Code]=(TRIM(E$5)))*(CsDJ[Account Code]=(TRIM($B17))),CsDJ[Debit])))+(SUM(IF((CRDJ[Date]=$A$4)*(CRDJ[Sort Code]=(TRIM(E$5)))*(CRDJ[Account Code]=(TRIM($B17))),CRDJ[Debit])))+(SUM(IF((GJ[Date]=$A$4)*(GJ[Sort Code]=(TRIM(E$5)))*(GJ[Account Code]=(TRIM($B17))),GJ[Debit]))))</f>
        <v>0</v>
      </c>
      <c r="E17" s="467">
        <f>C17+D17</f>
        <v>0</v>
      </c>
    </row>
    <row r="18" spans="1:5" x14ac:dyDescent="0.2">
      <c r="A18" s="475" t="s">
        <v>183</v>
      </c>
      <c r="B18" s="339" t="s">
        <v>147</v>
      </c>
      <c r="C18" s="466">
        <f t="array" ref="C18">((SUM(IF((CkDJ[Sort Code]=(TRIM(E$5)))*(CkDJ[Account Code]=(TRIM($B18)))*(CkDJ[Date]&lt;=$C$8),CkDJ[Credit])))+(SUM(IF((CsDJ[Sort Code]=(TRIM(E$5)))*(CsDJ[Account Code]=(TRIM($B18)))*(CsDJ[Date]&lt;=$C$8),CsDJ[Credit])))+(SUM(IF((CRDJ[Sort Code]=(TRIM(E$5)))*(CRDJ[Account Code]=(TRIM($B18)))*(CRDJ[Date]&lt;=$C$8),CRDJ[Credit])))+(SUM(IF((GJ[Sort Code]=(TRIM(E$5)))*(GJ[Account Code]=(TRIM($B18)))*(GJ[Date]&lt;=$C$8),GJ[Credit]))))-((SUM(IF((CkDJ[Sort Code]=(TRIM(E$5)))*(CkDJ[Account Code]=(TRIM($B18)))*(CkDJ[Date]&lt;=$C$8),CkDJ[Debit])))+(SUM(IF((CsDJ[Sort Code]=(TRIM(E$5)))*(CsDJ[Account Code]=(TRIM($B18)))*(CsDJ[Date]&lt;=$C$8),CsDJ[Debit])))+(SUM(IF((CRDJ[Sort Code]=(TRIM(E$5)))*(CRDJ[Account Code]=(TRIM($B18)))*(CRDJ[Date]&lt;=$C$8),CRDJ[Debit])))+(SUM(IF((GJ[Sort Code]=(TRIM(E$5)))*(GJ[Account Code]=(TRIM($B18)))*(GJ[Date]&lt;=$C$8),GJ[Debit]))))</f>
        <v>0</v>
      </c>
      <c r="D18" s="466">
        <f t="array" ref="D18">((SUM(IF((CkDJ[Date]=$A$4)*(CkDJ[Sort Code]=(TRIM(E$5)))*(CkDJ[Account Code]=(TRIM($B18))),CkDJ[Credit])))+(SUM(IF((CsDJ[Date]=$A$4)*(CsDJ[Sort Code]=(TRIM(E$5)))*(CsDJ[Account Code]=(TRIM($B18))),CsDJ[Credit])))+(SUM(IF((CRDJ[Date]=$A$4)*(CRDJ[Sort Code]=(TRIM(E$5)))*(CRDJ[Account Code]=(TRIM($B18))),CRDJ[Credit])))+(SUM(IF((GJ[Date]=$A$4)*(GJ[Sort Code]=(TRIM(E$5)))*(GJ[Account Code]=(TRIM($B18))),GJ[Credit]))))-((SUM(IF((CkDJ[Date]=$A$4)*(CkDJ[Sort Code]=(TRIM(E$5)))*(CkDJ[Account Code]=(TRIM($B18))),CkDJ[Debit])))+(SUM(IF((CsDJ[Date]=$A$4)*(CsDJ[Sort Code]=(TRIM(E$5)))*(CsDJ[Account Code]=(TRIM($B18))),CsDJ[Debit])))+(SUM(IF((CRDJ[Date]=$A$4)*(CRDJ[Sort Code]=(TRIM(E$5)))*(CRDJ[Account Code]=(TRIM($B18))),CRDJ[Debit])))+(SUM(IF((GJ[Date]=$A$4)*(GJ[Sort Code]=(TRIM(E$5)))*(GJ[Account Code]=(TRIM($B18))),GJ[Debit]))))</f>
        <v>0</v>
      </c>
      <c r="E18" s="467">
        <f>C18+D18</f>
        <v>0</v>
      </c>
    </row>
    <row r="19" spans="1:5" hidden="1" x14ac:dyDescent="0.2">
      <c r="A19" s="475" t="s">
        <v>184</v>
      </c>
      <c r="B19" s="339" t="s">
        <v>148</v>
      </c>
      <c r="C19" s="466">
        <f t="array" ref="C19">((SUM(IF((CkDJ[Sort Code]=(TRIM(E$5)))*(CkDJ[Account Code]=(TRIM($B19)))*(CkDJ[Date]&lt;=$C$8),CkDJ[Credit])))+(SUM(IF((CsDJ[Sort Code]=(TRIM(E$5)))*(CsDJ[Account Code]=(TRIM($B19)))*(CsDJ[Date]&lt;=$C$8),CsDJ[Credit])))+(SUM(IF((CRDJ[Sort Code]=(TRIM(E$5)))*(CRDJ[Account Code]=(TRIM($B19)))*(CRDJ[Date]&lt;=$C$8),CRDJ[Credit])))+(SUM(IF((GJ[Sort Code]=(TRIM(E$5)))*(GJ[Account Code]=(TRIM($B19)))*(GJ[Date]&lt;=$C$8),GJ[Credit]))))-((SUM(IF((CkDJ[Sort Code]=(TRIM(E$5)))*(CkDJ[Account Code]=(TRIM($B19)))*(CkDJ[Date]&lt;=$C$8),CkDJ[Debit])))+(SUM(IF((CsDJ[Sort Code]=(TRIM(E$5)))*(CsDJ[Account Code]=(TRIM($B19)))*(CsDJ[Date]&lt;=$C$8),CsDJ[Debit])))+(SUM(IF((CRDJ[Sort Code]=(TRIM(E$5)))*(CRDJ[Account Code]=(TRIM($B19)))*(CRDJ[Date]&lt;=$C$8),CRDJ[Debit])))+(SUM(IF((GJ[Sort Code]=(TRIM(E$5)))*(GJ[Account Code]=(TRIM($B19)))*(GJ[Date]&lt;=$C$8),GJ[Debit]))))</f>
        <v>0</v>
      </c>
      <c r="D19" s="466">
        <f t="array" ref="D19">((SUM(IF((CkDJ[Date]=$A$4)*(CkDJ[Sort Code]=(TRIM(E$5)))*(CkDJ[Account Code]=(TRIM($B19))),CkDJ[Credit])))+(SUM(IF((CsDJ[Date]=$A$4)*(CsDJ[Sort Code]=(TRIM(E$5)))*(CsDJ[Account Code]=(TRIM($B19))),CsDJ[Credit])))+(SUM(IF((CRDJ[Date]=$A$4)*(CRDJ[Sort Code]=(TRIM(E$5)))*(CRDJ[Account Code]=(TRIM($B19))),CRDJ[Credit])))+(SUM(IF((GJ[Date]=$A$4)*(GJ[Sort Code]=(TRIM(E$5)))*(GJ[Account Code]=(TRIM($B19))),GJ[Credit]))))-((SUM(IF((CkDJ[Date]=$A$4)*(CkDJ[Sort Code]=(TRIM(E$5)))*(CkDJ[Account Code]=(TRIM($B19))),CkDJ[Debit])))+(SUM(IF((CsDJ[Date]=$A$4)*(CsDJ[Sort Code]=(TRIM(E$5)))*(CsDJ[Account Code]=(TRIM($B19))),CsDJ[Debit])))+(SUM(IF((CRDJ[Date]=$A$4)*(CRDJ[Sort Code]=(TRIM(E$5)))*(CRDJ[Account Code]=(TRIM($B19))),CRDJ[Debit])))+(SUM(IF((GJ[Date]=$A$4)*(GJ[Sort Code]=(TRIM(E$5)))*(GJ[Account Code]=(TRIM($B19))),GJ[Debit]))))</f>
        <v>0</v>
      </c>
      <c r="E19" s="467">
        <f>C19+D19</f>
        <v>0</v>
      </c>
    </row>
    <row r="20" spans="1:5" x14ac:dyDescent="0.2">
      <c r="A20" s="473" t="s">
        <v>825</v>
      </c>
      <c r="B20" s="339"/>
      <c r="C20" s="477">
        <f>SUM(C21:C22)</f>
        <v>0</v>
      </c>
      <c r="D20" s="477">
        <f>SUM(D21:D22)</f>
        <v>0</v>
      </c>
      <c r="E20" s="477">
        <f>SUM(E21:E22)</f>
        <v>0</v>
      </c>
    </row>
    <row r="21" spans="1:5" hidden="1" x14ac:dyDescent="0.2">
      <c r="A21" s="475" t="s">
        <v>821</v>
      </c>
      <c r="B21" s="339" t="s">
        <v>131</v>
      </c>
      <c r="C21" s="466">
        <f t="array" ref="C21">((SUM(IF((CkDJ[Sort Code]=(TRIM(E$5)))*(CkDJ[Account Code]=(TRIM($B21)))*(CkDJ[Date]&lt;=$C$8),CkDJ[Credit])))+(SUM(IF((CsDJ[Sort Code]=(TRIM(E$5)))*(CsDJ[Account Code]=(TRIM($B21)))*(CsDJ[Date]&lt;=$C$8),CsDJ[Credit])))+(SUM(IF((CRDJ[Sort Code]=(TRIM(E$5)))*(CRDJ[Account Code]=(TRIM($B21)))*(CRDJ[Date]&lt;=$C$8),CRDJ[Credit])))+(SUM(IF((GJ[Sort Code]=(TRIM(E$5)))*(GJ[Account Code]=(TRIM($B21)))*(GJ[Date]&lt;=$C$8),GJ[Credit]))))-((SUM(IF((CkDJ[Sort Code]=(TRIM(E$5)))*(CkDJ[Account Code]=(TRIM($B21)))*(CkDJ[Date]&lt;=$C$8),CkDJ[Debit])))+(SUM(IF((CsDJ[Sort Code]=(TRIM(E$5)))*(CsDJ[Account Code]=(TRIM($B21)))*(CsDJ[Date]&lt;=$C$8),CsDJ[Debit])))+(SUM(IF((CRDJ[Sort Code]=(TRIM(E$5)))*(CRDJ[Account Code]=(TRIM($B21)))*(CRDJ[Date]&lt;=$C$8),CRDJ[Debit])))+(SUM(IF((GJ[Sort Code]=(TRIM(E$5)))*(GJ[Account Code]=(TRIM($B21)))*(GJ[Date]&lt;=$C$8),GJ[Debit]))))</f>
        <v>0</v>
      </c>
      <c r="D21" s="466">
        <f t="array" ref="D21">((SUM(IF((CkDJ[Date]=$A$4)*(CkDJ[Sort Code]=(TRIM(E$5)))*(CkDJ[Account Code]=(TRIM($B21))),CkDJ[Credit])))+(SUM(IF((CsDJ[Date]=$A$4)*(CsDJ[Sort Code]=(TRIM(E$5)))*(CsDJ[Account Code]=(TRIM($B21))),CsDJ[Credit])))+(SUM(IF((CRDJ[Date]=$A$4)*(CRDJ[Sort Code]=(TRIM(E$5)))*(CRDJ[Account Code]=(TRIM($B21))),CRDJ[Credit])))+(SUM(IF((GJ[Date]=$A$4)*(GJ[Sort Code]=(TRIM(E$5)))*(GJ[Account Code]=(TRIM($B21))),GJ[Credit]))))-((SUM(IF((CkDJ[Date]=$A$4)*(CkDJ[Sort Code]=(TRIM(E$5)))*(CkDJ[Account Code]=(TRIM($B21))),CkDJ[Debit])))+(SUM(IF((CsDJ[Date]=$A$4)*(CsDJ[Sort Code]=(TRIM(E$5)))*(CsDJ[Account Code]=(TRIM($B21))),CsDJ[Debit])))+(SUM(IF((CRDJ[Date]=$A$4)*(CRDJ[Sort Code]=(TRIM(E$5)))*(CRDJ[Account Code]=(TRIM($B21))),CRDJ[Debit])))+(SUM(IF((GJ[Date]=$A$4)*(GJ[Sort Code]=(TRIM(E$5)))*(GJ[Account Code]=(TRIM($B21))),GJ[Debit]))))</f>
        <v>0</v>
      </c>
      <c r="E21" s="467">
        <f>C21+D21</f>
        <v>0</v>
      </c>
    </row>
    <row r="22" spans="1:5" hidden="1" x14ac:dyDescent="0.2">
      <c r="A22" s="475" t="s">
        <v>820</v>
      </c>
      <c r="B22" s="339"/>
      <c r="C22" s="466">
        <f>SUM(C23:C24)</f>
        <v>0</v>
      </c>
      <c r="D22" s="466">
        <f>SUM(D23:D24)</f>
        <v>0</v>
      </c>
      <c r="E22" s="466">
        <f>SUM(E23:E24)</f>
        <v>0</v>
      </c>
    </row>
    <row r="23" spans="1:5" hidden="1" x14ac:dyDescent="0.2">
      <c r="A23" s="476" t="s">
        <v>819</v>
      </c>
      <c r="B23" s="339" t="s">
        <v>140</v>
      </c>
      <c r="C23" s="466">
        <f t="array" ref="C23">((SUM(IF((CkDJ[Sort Code]=(TRIM(E$5)))*(CkDJ[Account Code]=(TRIM($B23)))*(CkDJ[Date]&lt;=$C$8),CkDJ[Credit])))+(SUM(IF((CsDJ[Sort Code]=(TRIM(E$5)))*(CsDJ[Account Code]=(TRIM($B23)))*(CsDJ[Date]&lt;=$C$8),CsDJ[Credit])))+(SUM(IF((CRDJ[Sort Code]=(TRIM(E$5)))*(CRDJ[Account Code]=(TRIM($B23)))*(CRDJ[Date]&lt;=$C$8),CRDJ[Credit])))+(SUM(IF((GJ[Sort Code]=(TRIM(E$5)))*(GJ[Account Code]=(TRIM($B23)))*(GJ[Date]&lt;=$C$8),GJ[Credit]))))-((SUM(IF((CkDJ[Sort Code]=(TRIM(E$5)))*(CkDJ[Account Code]=(TRIM($B23)))*(CkDJ[Date]&lt;=$C$8),CkDJ[Debit])))+(SUM(IF((CsDJ[Sort Code]=(TRIM(E$5)))*(CsDJ[Account Code]=(TRIM($B23)))*(CsDJ[Date]&lt;=$C$8),CsDJ[Debit])))+(SUM(IF((CRDJ[Sort Code]=(TRIM(E$5)))*(CRDJ[Account Code]=(TRIM($B23)))*(CRDJ[Date]&lt;=$C$8),CRDJ[Debit])))+(SUM(IF((GJ[Sort Code]=(TRIM(E$5)))*(GJ[Account Code]=(TRIM($B23)))*(GJ[Date]&lt;=$C$8),GJ[Debit]))))</f>
        <v>0</v>
      </c>
      <c r="D23" s="466">
        <f t="array" ref="D23">((SUM(IF((CkDJ[Date]=$A$4)*(CkDJ[Sort Code]=(TRIM(E$5)))*(CkDJ[Account Code]=(TRIM($B23))),CkDJ[Credit])))+(SUM(IF((CsDJ[Date]=$A$4)*(CsDJ[Sort Code]=(TRIM(E$5)))*(CsDJ[Account Code]=(TRIM($B23))),CsDJ[Credit])))+(SUM(IF((CRDJ[Date]=$A$4)*(CRDJ[Sort Code]=(TRIM(E$5)))*(CRDJ[Account Code]=(TRIM($B23))),CRDJ[Credit])))+(SUM(IF((GJ[Date]=$A$4)*(GJ[Sort Code]=(TRIM(E$5)))*(GJ[Account Code]=(TRIM($B23))),GJ[Credit]))))-((SUM(IF((CkDJ[Date]=$A$4)*(CkDJ[Sort Code]=(TRIM(E$5)))*(CkDJ[Account Code]=(TRIM($B23))),CkDJ[Debit])))+(SUM(IF((CsDJ[Date]=$A$4)*(CsDJ[Sort Code]=(TRIM(E$5)))*(CsDJ[Account Code]=(TRIM($B23))),CsDJ[Debit])))+(SUM(IF((CRDJ[Date]=$A$4)*(CRDJ[Sort Code]=(TRIM(E$5)))*(CRDJ[Account Code]=(TRIM($B23))),CRDJ[Debit])))+(SUM(IF((GJ[Date]=$A$4)*(GJ[Sort Code]=(TRIM(E$5)))*(GJ[Account Code]=(TRIM($B23))),GJ[Debit]))))</f>
        <v>0</v>
      </c>
      <c r="E23" s="467">
        <f>C23+D23</f>
        <v>0</v>
      </c>
    </row>
    <row r="24" spans="1:5" hidden="1" x14ac:dyDescent="0.2">
      <c r="A24" s="476" t="s">
        <v>818</v>
      </c>
      <c r="B24" s="339" t="s">
        <v>144</v>
      </c>
      <c r="C24" s="466">
        <f t="array" ref="C24">((SUM(IF((CkDJ[Sort Code]=(TRIM(E$5)))*(CkDJ[Account Code]=(TRIM($B24)))*(CkDJ[Date]&lt;=$C$8),CkDJ[Credit])))+(SUM(IF((CsDJ[Sort Code]=(TRIM(E$5)))*(CsDJ[Account Code]=(TRIM($B24)))*(CsDJ[Date]&lt;=$C$8),CsDJ[Credit])))+(SUM(IF((CRDJ[Sort Code]=(TRIM(E$5)))*(CRDJ[Account Code]=(TRIM($B24)))*(CRDJ[Date]&lt;=$C$8),CRDJ[Credit])))+(SUM(IF((GJ[Sort Code]=(TRIM(E$5)))*(GJ[Account Code]=(TRIM($B24)))*(GJ[Date]&lt;=$C$8),GJ[Credit]))))-((SUM(IF((CkDJ[Sort Code]=(TRIM(E$5)))*(CkDJ[Account Code]=(TRIM($B24)))*(CkDJ[Date]&lt;=$C$8),CkDJ[Debit])))+(SUM(IF((CsDJ[Sort Code]=(TRIM(E$5)))*(CsDJ[Account Code]=(TRIM($B24)))*(CsDJ[Date]&lt;=$C$8),CsDJ[Debit])))+(SUM(IF((CRDJ[Sort Code]=(TRIM(E$5)))*(CRDJ[Account Code]=(TRIM($B24)))*(CRDJ[Date]&lt;=$C$8),CRDJ[Debit])))+(SUM(IF((GJ[Sort Code]=(TRIM(E$5)))*(GJ[Account Code]=(TRIM($B24)))*(GJ[Date]&lt;=$C$8),GJ[Debit]))))</f>
        <v>0</v>
      </c>
      <c r="D24" s="466">
        <f t="array" ref="D24">((SUM(IF((CkDJ[Date]=$A$4)*(CkDJ[Sort Code]=(TRIM(E$5)))*(CkDJ[Account Code]=(TRIM($B24))),CkDJ[Credit])))+(SUM(IF((CsDJ[Date]=$A$4)*(CsDJ[Sort Code]=(TRIM(E$5)))*(CsDJ[Account Code]=(TRIM($B24))),CsDJ[Credit])))+(SUM(IF((CRDJ[Date]=$A$4)*(CRDJ[Sort Code]=(TRIM(E$5)))*(CRDJ[Account Code]=(TRIM($B24))),CRDJ[Credit])))+(SUM(IF((GJ[Date]=$A$4)*(GJ[Sort Code]=(TRIM(E$5)))*(GJ[Account Code]=(TRIM($B24))),GJ[Credit]))))-((SUM(IF((CkDJ[Date]=$A$4)*(CkDJ[Sort Code]=(TRIM(E$5)))*(CkDJ[Account Code]=(TRIM($B24))),CkDJ[Debit])))+(SUM(IF((CsDJ[Date]=$A$4)*(CsDJ[Sort Code]=(TRIM(E$5)))*(CsDJ[Account Code]=(TRIM($B24))),CsDJ[Debit])))+(SUM(IF((CRDJ[Date]=$A$4)*(CRDJ[Sort Code]=(TRIM(E$5)))*(CRDJ[Account Code]=(TRIM($B24))),CRDJ[Debit])))+(SUM(IF((GJ[Date]=$A$4)*(GJ[Sort Code]=(TRIM(E$5)))*(GJ[Account Code]=(TRIM($B24))),GJ[Debit]))))</f>
        <v>0</v>
      </c>
      <c r="E24" s="467">
        <f>C24+D24</f>
        <v>0</v>
      </c>
    </row>
    <row r="25" spans="1:5" x14ac:dyDescent="0.2">
      <c r="A25" s="473" t="s">
        <v>1163</v>
      </c>
      <c r="B25" s="339" t="s">
        <v>352</v>
      </c>
      <c r="C25" s="466">
        <f t="array" ref="C25">((SUM(IF((CkDJ[Sort Code]=(TRIM(E$5)))*(CkDJ[Account Code]=(TRIM($B25)))*(CkDJ[Date]&lt;=$C$8),CkDJ[Credit])))+(SUM(IF((CsDJ[Sort Code]=(TRIM(E$5)))*(CsDJ[Account Code]=(TRIM($B25)))*(CsDJ[Date]&lt;=$C$8),CsDJ[Credit])))+(SUM(IF((CRDJ[Sort Code]=(TRIM(E$5)))*(CRDJ[Account Code]=(TRIM($B25)))*(CRDJ[Date]&lt;=$C$8),CRDJ[Credit])))+(SUM(IF((GJ[Sort Code]=(TRIM(E$5)))*(GJ[Account Code]=(TRIM($B25)))*(GJ[Date]&lt;=$C$8),GJ[Credit]))))-((SUM(IF((CkDJ[Sort Code]=(TRIM(E$5)))*(CkDJ[Account Code]=(TRIM($B25)))*(CkDJ[Date]&lt;=$C$8),CkDJ[Debit])))+(SUM(IF((CsDJ[Sort Code]=(TRIM(E$5)))*(CsDJ[Account Code]=(TRIM($B25)))*(CsDJ[Date]&lt;=$C$8),CsDJ[Debit])))+(SUM(IF((CRDJ[Sort Code]=(TRIM(E$5)))*(CRDJ[Account Code]=(TRIM($B25)))*(CRDJ[Date]&lt;=$C$8),CRDJ[Debit])))+(SUM(IF((GJ[Sort Code]=(TRIM(E$5)))*(GJ[Account Code]=(TRIM($B25)))*(GJ[Date]&lt;=$C$8),GJ[Debit]))))</f>
        <v>0</v>
      </c>
      <c r="D25" s="466">
        <f t="array" ref="D25">((SUM(IF((CkDJ[Date]=$A$4)*(CkDJ[Sort Code]=(TRIM(E$5)))*(CkDJ[Account Code]=(TRIM($B25))),CkDJ[Credit])))+(SUM(IF((CsDJ[Date]=$A$4)*(CsDJ[Sort Code]=(TRIM(E$5)))*(CsDJ[Account Code]=(TRIM($B25))),CsDJ[Credit])))+(SUM(IF((CRDJ[Date]=$A$4)*(CRDJ[Sort Code]=(TRIM(E$5)))*(CRDJ[Account Code]=(TRIM($B25))),CRDJ[Credit])))+(SUM(IF((GJ[Date]=$A$4)*(GJ[Sort Code]=(TRIM(E$5)))*(GJ[Account Code]=(TRIM($B25))),GJ[Credit]))))-((SUM(IF((CkDJ[Date]=$A$4)*(CkDJ[Sort Code]=(TRIM(E$5)))*(CkDJ[Account Code]=(TRIM($B25))),CkDJ[Debit])))+(SUM(IF((CsDJ[Date]=$A$4)*(CsDJ[Sort Code]=(TRIM(E$5)))*(CsDJ[Account Code]=(TRIM($B25))),CsDJ[Debit])))+(SUM(IF((CRDJ[Date]=$A$4)*(CRDJ[Sort Code]=(TRIM(E$5)))*(CRDJ[Account Code]=(TRIM($B25))),CRDJ[Debit])))+(SUM(IF((GJ[Date]=$A$4)*(GJ[Sort Code]=(TRIM(E$5)))*(GJ[Account Code]=(TRIM($B25))),GJ[Debit]))))</f>
        <v>0</v>
      </c>
      <c r="E25" s="467">
        <f>C25+D25</f>
        <v>0</v>
      </c>
    </row>
    <row r="26" spans="1:5" x14ac:dyDescent="0.2">
      <c r="A26" s="473" t="s">
        <v>1164</v>
      </c>
      <c r="B26" s="339"/>
      <c r="C26" s="477">
        <f>SUM(C27:C28)</f>
        <v>0</v>
      </c>
      <c r="D26" s="477">
        <f>SUM(D27:D28)</f>
        <v>0</v>
      </c>
      <c r="E26" s="477">
        <f>SUM(E27:E28)</f>
        <v>0</v>
      </c>
    </row>
    <row r="27" spans="1:5" x14ac:dyDescent="0.2">
      <c r="A27" s="475" t="s">
        <v>821</v>
      </c>
      <c r="B27" s="339" t="s">
        <v>128</v>
      </c>
      <c r="C27" s="466">
        <f t="array" ref="C27">((SUM(IF((CkDJ[Sort Code]=(TRIM(E$5)))*(CkDJ[Account Code]=(TRIM($B27)))*(CkDJ[Date]&lt;=$C$8),CkDJ[Credit])))+(SUM(IF((CsDJ[Sort Code]=(TRIM(E$5)))*(CsDJ[Account Code]=(TRIM($B27)))*(CsDJ[Date]&lt;=$C$8),CsDJ[Credit])))+(SUM(IF((CRDJ[Sort Code]=(TRIM(E$5)))*(CRDJ[Account Code]=(TRIM($B27)))*(CRDJ[Date]&lt;=$C$8),CRDJ[Credit])))+(SUM(IF((GJ[Sort Code]=(TRIM(E$5)))*(GJ[Account Code]=(TRIM($B27)))*(GJ[Date]&lt;=$C$8),GJ[Credit]))))-((SUM(IF((CkDJ[Sort Code]=(TRIM(E$5)))*(CkDJ[Account Code]=(TRIM($B27)))*(CkDJ[Date]&lt;=$C$8),CkDJ[Debit])))+(SUM(IF((CsDJ[Sort Code]=(TRIM(E$5)))*(CsDJ[Account Code]=(TRIM($B27)))*(CsDJ[Date]&lt;=$C$8),CsDJ[Debit])))+(SUM(IF((CRDJ[Sort Code]=(TRIM(E$5)))*(CRDJ[Account Code]=(TRIM($B27)))*(CRDJ[Date]&lt;=$C$8),CRDJ[Debit])))+(SUM(IF((GJ[Sort Code]=(TRIM(E$5)))*(GJ[Account Code]=(TRIM($B27)))*(GJ[Date]&lt;=$C$8),GJ[Debit]))))</f>
        <v>0</v>
      </c>
      <c r="D27" s="466">
        <f t="array" ref="D27">((SUM(IF((CkDJ[Date]=$A$4)*(CkDJ[Sort Code]=(TRIM(E$5)))*(CkDJ[Account Code]=(TRIM($B27))),CkDJ[Credit])))+(SUM(IF((CsDJ[Date]=$A$4)*(CsDJ[Sort Code]=(TRIM(E$5)))*(CsDJ[Account Code]=(TRIM($B27))),CsDJ[Credit])))+(SUM(IF((CRDJ[Date]=$A$4)*(CRDJ[Sort Code]=(TRIM(E$5)))*(CRDJ[Account Code]=(TRIM($B27))),CRDJ[Credit])))+(SUM(IF((GJ[Date]=$A$4)*(GJ[Sort Code]=(TRIM(E$5)))*(GJ[Account Code]=(TRIM($B27))),GJ[Credit]))))-((SUM(IF((CkDJ[Date]=$A$4)*(CkDJ[Sort Code]=(TRIM(E$5)))*(CkDJ[Account Code]=(TRIM($B27))),CkDJ[Debit])))+(SUM(IF((CsDJ[Date]=$A$4)*(CsDJ[Sort Code]=(TRIM(E$5)))*(CsDJ[Account Code]=(TRIM($B27))),CsDJ[Debit])))+(SUM(IF((CRDJ[Date]=$A$4)*(CRDJ[Sort Code]=(TRIM(E$5)))*(CRDJ[Account Code]=(TRIM($B27))),CRDJ[Debit])))+(SUM(IF((GJ[Date]=$A$4)*(GJ[Sort Code]=(TRIM(E$5)))*(GJ[Account Code]=(TRIM($B27))),GJ[Debit]))))</f>
        <v>0</v>
      </c>
      <c r="E27" s="467">
        <f>C27+D27</f>
        <v>0</v>
      </c>
    </row>
    <row r="28" spans="1:5" x14ac:dyDescent="0.2">
      <c r="A28" s="475" t="s">
        <v>820</v>
      </c>
      <c r="B28" s="339"/>
      <c r="C28" s="466">
        <f>SUM(C29:C30)</f>
        <v>0</v>
      </c>
      <c r="D28" s="466">
        <f>SUM(D29:D30)</f>
        <v>0</v>
      </c>
      <c r="E28" s="466">
        <f>SUM(E29:E30)</f>
        <v>0</v>
      </c>
    </row>
    <row r="29" spans="1:5" hidden="1" x14ac:dyDescent="0.2">
      <c r="A29" s="476" t="s">
        <v>819</v>
      </c>
      <c r="B29" s="339" t="s">
        <v>129</v>
      </c>
      <c r="C29" s="466">
        <f t="array" ref="C29">((SUM(IF((CkDJ[Sort Code]=(TRIM(E$5)))*(CkDJ[Account Code]=(TRIM($B29)))*(CkDJ[Date]&lt;=$C$8),CkDJ[Credit])))+(SUM(IF((CsDJ[Sort Code]=(TRIM(E$5)))*(CsDJ[Account Code]=(TRIM($B29)))*(CsDJ[Date]&lt;=$C$8),CsDJ[Credit])))+(SUM(IF((CRDJ[Sort Code]=(TRIM(E$5)))*(CRDJ[Account Code]=(TRIM($B29)))*(CRDJ[Date]&lt;=$C$8),CRDJ[Credit])))+(SUM(IF((GJ[Sort Code]=(TRIM(E$5)))*(GJ[Account Code]=(TRIM($B29)))*(GJ[Date]&lt;=$C$8),GJ[Credit]))))-((SUM(IF((CkDJ[Sort Code]=(TRIM(E$5)))*(CkDJ[Account Code]=(TRIM($B29)))*(CkDJ[Date]&lt;=$C$8),CkDJ[Debit])))+(SUM(IF((CsDJ[Sort Code]=(TRIM(E$5)))*(CsDJ[Account Code]=(TRIM($B29)))*(CsDJ[Date]&lt;=$C$8),CsDJ[Debit])))+(SUM(IF((CRDJ[Sort Code]=(TRIM(E$5)))*(CRDJ[Account Code]=(TRIM($B29)))*(CRDJ[Date]&lt;=$C$8),CRDJ[Debit])))+(SUM(IF((GJ[Sort Code]=(TRIM(E$5)))*(GJ[Account Code]=(TRIM($B29)))*(GJ[Date]&lt;=$C$8),GJ[Debit]))))</f>
        <v>0</v>
      </c>
      <c r="D29" s="466">
        <f t="array" ref="D29">((SUM(IF((CkDJ[Date]=$A$4)*(CkDJ[Sort Code]=(TRIM(E$5)))*(CkDJ[Account Code]=(TRIM($B29))),CkDJ[Credit])))+(SUM(IF((CsDJ[Date]=$A$4)*(CsDJ[Sort Code]=(TRIM(E$5)))*(CsDJ[Account Code]=(TRIM($B29))),CsDJ[Credit])))+(SUM(IF((CRDJ[Date]=$A$4)*(CRDJ[Sort Code]=(TRIM(E$5)))*(CRDJ[Account Code]=(TRIM($B29))),CRDJ[Credit])))+(SUM(IF((GJ[Date]=$A$4)*(GJ[Sort Code]=(TRIM(E$5)))*(GJ[Account Code]=(TRIM($B29))),GJ[Credit]))))-((SUM(IF((CkDJ[Date]=$A$4)*(CkDJ[Sort Code]=(TRIM(E$5)))*(CkDJ[Account Code]=(TRIM($B29))),CkDJ[Debit])))+(SUM(IF((CsDJ[Date]=$A$4)*(CsDJ[Sort Code]=(TRIM(E$5)))*(CsDJ[Account Code]=(TRIM($B29))),CsDJ[Debit])))+(SUM(IF((CRDJ[Date]=$A$4)*(CRDJ[Sort Code]=(TRIM(E$5)))*(CRDJ[Account Code]=(TRIM($B29))),CRDJ[Debit])))+(SUM(IF((GJ[Date]=$A$4)*(GJ[Sort Code]=(TRIM(E$5)))*(GJ[Account Code]=(TRIM($B29))),GJ[Debit]))))</f>
        <v>0</v>
      </c>
      <c r="E29" s="467">
        <f>C29+D29</f>
        <v>0</v>
      </c>
    </row>
    <row r="30" spans="1:5" hidden="1" x14ac:dyDescent="0.2">
      <c r="A30" s="476" t="s">
        <v>818</v>
      </c>
      <c r="B30" s="339" t="s">
        <v>145</v>
      </c>
      <c r="C30" s="466">
        <f t="array" ref="C30">((SUM(IF((CkDJ[Sort Code]=(TRIM(E$5)))*(CkDJ[Account Code]=(TRIM($B30)))*(CkDJ[Date]&lt;=$C$8),CkDJ[Credit])))+(SUM(IF((CsDJ[Sort Code]=(TRIM(E$5)))*(CsDJ[Account Code]=(TRIM($B30)))*(CsDJ[Date]&lt;=$C$8),CsDJ[Credit])))+(SUM(IF((CRDJ[Sort Code]=(TRIM(E$5)))*(CRDJ[Account Code]=(TRIM($B30)))*(CRDJ[Date]&lt;=$C$8),CRDJ[Credit])))+(SUM(IF((GJ[Sort Code]=(TRIM(E$5)))*(GJ[Account Code]=(TRIM($B30)))*(GJ[Date]&lt;=$C$8),GJ[Credit]))))-((SUM(IF((CkDJ[Sort Code]=(TRIM(E$5)))*(CkDJ[Account Code]=(TRIM($B30)))*(CkDJ[Date]&lt;=$C$8),CkDJ[Debit])))+(SUM(IF((CsDJ[Sort Code]=(TRIM(E$5)))*(CsDJ[Account Code]=(TRIM($B30)))*(CsDJ[Date]&lt;=$C$8),CsDJ[Debit])))+(SUM(IF((CRDJ[Sort Code]=(TRIM(E$5)))*(CRDJ[Account Code]=(TRIM($B30)))*(CRDJ[Date]&lt;=$C$8),CRDJ[Debit])))+(SUM(IF((GJ[Sort Code]=(TRIM(E$5)))*(GJ[Account Code]=(TRIM($B30)))*(GJ[Date]&lt;=$C$8),GJ[Debit]))))</f>
        <v>0</v>
      </c>
      <c r="D30" s="466">
        <f t="array" ref="D30">((SUM(IF((CkDJ[Date]=$A$4)*(CkDJ[Sort Code]=(TRIM(E$5)))*(CkDJ[Account Code]=(TRIM($B30))),CkDJ[Credit])))+(SUM(IF((CsDJ[Date]=$A$4)*(CsDJ[Sort Code]=(TRIM(E$5)))*(CsDJ[Account Code]=(TRIM($B30))),CsDJ[Credit])))+(SUM(IF((CRDJ[Date]=$A$4)*(CRDJ[Sort Code]=(TRIM(E$5)))*(CRDJ[Account Code]=(TRIM($B30))),CRDJ[Credit])))+(SUM(IF((GJ[Date]=$A$4)*(GJ[Sort Code]=(TRIM(E$5)))*(GJ[Account Code]=(TRIM($B30))),GJ[Credit]))))-((SUM(IF((CkDJ[Date]=$A$4)*(CkDJ[Sort Code]=(TRIM(E$5)))*(CkDJ[Account Code]=(TRIM($B30))),CkDJ[Debit])))+(SUM(IF((CsDJ[Date]=$A$4)*(CsDJ[Sort Code]=(TRIM(E$5)))*(CsDJ[Account Code]=(TRIM($B30))),CsDJ[Debit])))+(SUM(IF((CRDJ[Date]=$A$4)*(CRDJ[Sort Code]=(TRIM(E$5)))*(CRDJ[Account Code]=(TRIM($B30))),CRDJ[Debit])))+(SUM(IF((GJ[Date]=$A$4)*(GJ[Sort Code]=(TRIM(E$5)))*(GJ[Account Code]=(TRIM($B30))),GJ[Debit]))))</f>
        <v>0</v>
      </c>
      <c r="E30" s="467">
        <f>C30+D30</f>
        <v>0</v>
      </c>
    </row>
    <row r="31" spans="1:5" x14ac:dyDescent="0.2">
      <c r="A31" s="473" t="s">
        <v>1165</v>
      </c>
      <c r="B31" s="339"/>
      <c r="C31" s="477">
        <f>SUM(C32:C34)</f>
        <v>0</v>
      </c>
      <c r="D31" s="477">
        <f>SUM(D32:D34)</f>
        <v>0</v>
      </c>
      <c r="E31" s="477">
        <f>SUM(E32:E34)</f>
        <v>0</v>
      </c>
    </row>
    <row r="32" spans="1:5" x14ac:dyDescent="0.2">
      <c r="A32" s="475" t="s">
        <v>139</v>
      </c>
      <c r="B32" s="339" t="s">
        <v>130</v>
      </c>
      <c r="C32" s="466">
        <f t="array" ref="C32">((SUM(IF((CkDJ[Sort Code]=(TRIM(E$5)))*(CkDJ[Account Code]=(TRIM($B32)))*(CkDJ[Date]&lt;=$C$8),CkDJ[Credit])))+(SUM(IF((CsDJ[Sort Code]=(TRIM(E$5)))*(CsDJ[Account Code]=(TRIM($B32)))*(CsDJ[Date]&lt;=$C$8),CsDJ[Credit])))+(SUM(IF((CRDJ[Sort Code]=(TRIM(E$5)))*(CRDJ[Account Code]=(TRIM($B32)))*(CRDJ[Date]&lt;=$C$8),CRDJ[Credit])))+(SUM(IF((GJ[Sort Code]=(TRIM(E$5)))*(GJ[Account Code]=(TRIM($B32)))*(GJ[Date]&lt;=$C$8),GJ[Credit]))))-((SUM(IF((CkDJ[Sort Code]=(TRIM(E$5)))*(CkDJ[Account Code]=(TRIM($B32)))*(CkDJ[Date]&lt;=$C$8),CkDJ[Debit])))+(SUM(IF((CsDJ[Sort Code]=(TRIM(E$5)))*(CsDJ[Account Code]=(TRIM($B32)))*(CsDJ[Date]&lt;=$C$8),CsDJ[Debit])))+(SUM(IF((CRDJ[Sort Code]=(TRIM(E$5)))*(CRDJ[Account Code]=(TRIM($B32)))*(CRDJ[Date]&lt;=$C$8),CRDJ[Debit])))+(SUM(IF((GJ[Sort Code]=(TRIM(E$5)))*(GJ[Account Code]=(TRIM($B32)))*(GJ[Date]&lt;=$C$8),GJ[Debit]))))</f>
        <v>0</v>
      </c>
      <c r="D32" s="466">
        <f t="array" ref="D32">((SUM(IF((CkDJ[Date]=$A$4)*(CkDJ[Sort Code]=(TRIM(E$5)))*(CkDJ[Account Code]=(TRIM($B32))),CkDJ[Credit])))+(SUM(IF((CsDJ[Date]=$A$4)*(CsDJ[Sort Code]=(TRIM(E$5)))*(CsDJ[Account Code]=(TRIM($B32))),CsDJ[Credit])))+(SUM(IF((CRDJ[Date]=$A$4)*(CRDJ[Sort Code]=(TRIM(E$5)))*(CRDJ[Account Code]=(TRIM($B32))),CRDJ[Credit])))+(SUM(IF((GJ[Date]=$A$4)*(GJ[Sort Code]=(TRIM(E$5)))*(GJ[Account Code]=(TRIM($B32))),GJ[Credit]))))-((SUM(IF((CkDJ[Date]=$A$4)*(CkDJ[Sort Code]=(TRIM(E$5)))*(CkDJ[Account Code]=(TRIM($B32))),CkDJ[Debit])))+(SUM(IF((CsDJ[Date]=$A$4)*(CsDJ[Sort Code]=(TRIM(E$5)))*(CsDJ[Account Code]=(TRIM($B32))),CsDJ[Debit])))+(SUM(IF((CRDJ[Date]=$A$4)*(CRDJ[Sort Code]=(TRIM(E$5)))*(CRDJ[Account Code]=(TRIM($B32))),CRDJ[Debit])))+(SUM(IF((GJ[Date]=$A$4)*(GJ[Sort Code]=(TRIM(E$5)))*(GJ[Account Code]=(TRIM($B32))),GJ[Debit]))))</f>
        <v>0</v>
      </c>
      <c r="E32" s="467">
        <f>C32+D32</f>
        <v>0</v>
      </c>
    </row>
    <row r="33" spans="1:5" x14ac:dyDescent="0.2">
      <c r="A33" s="475" t="s">
        <v>180</v>
      </c>
      <c r="B33" s="339" t="s">
        <v>141</v>
      </c>
      <c r="C33" s="466">
        <f t="array" ref="C33">((SUM(IF((CkDJ[Sort Code]=(TRIM(E$5)))*(CkDJ[Account Code]=(TRIM($B33)))*(CkDJ[Date]&lt;=$C$8),CkDJ[Credit])))+(SUM(IF((CsDJ[Sort Code]=(TRIM(E$5)))*(CsDJ[Account Code]=(TRIM($B33)))*(CsDJ[Date]&lt;=$C$8),CsDJ[Credit])))+(SUM(IF((CRDJ[Sort Code]=(TRIM(E$5)))*(CRDJ[Account Code]=(TRIM($B33)))*(CRDJ[Date]&lt;=$C$8),CRDJ[Credit])))+(SUM(IF((GJ[Sort Code]=(TRIM(E$5)))*(GJ[Account Code]=(TRIM($B33)))*(GJ[Date]&lt;=$C$8),GJ[Credit]))))-((SUM(IF((CkDJ[Sort Code]=(TRIM(E$5)))*(CkDJ[Account Code]=(TRIM($B33)))*(CkDJ[Date]&lt;=$C$8),CkDJ[Debit])))+(SUM(IF((CsDJ[Sort Code]=(TRIM(E$5)))*(CsDJ[Account Code]=(TRIM($B33)))*(CsDJ[Date]&lt;=$C$8),CsDJ[Debit])))+(SUM(IF((CRDJ[Sort Code]=(TRIM(E$5)))*(CRDJ[Account Code]=(TRIM($B33)))*(CRDJ[Date]&lt;=$C$8),CRDJ[Debit])))+(SUM(IF((GJ[Sort Code]=(TRIM(E$5)))*(GJ[Account Code]=(TRIM($B33)))*(GJ[Date]&lt;=$C$8),GJ[Debit]))))</f>
        <v>0</v>
      </c>
      <c r="D33" s="466">
        <f t="array" ref="D33">((SUM(IF((CkDJ[Date]=$A$4)*(CkDJ[Sort Code]=(TRIM(E$5)))*(CkDJ[Account Code]=(TRIM($B33))),CkDJ[Credit])))+(SUM(IF((CsDJ[Date]=$A$4)*(CsDJ[Sort Code]=(TRIM(E$5)))*(CsDJ[Account Code]=(TRIM($B33))),CsDJ[Credit])))+(SUM(IF((CRDJ[Date]=$A$4)*(CRDJ[Sort Code]=(TRIM(E$5)))*(CRDJ[Account Code]=(TRIM($B33))),CRDJ[Credit])))+(SUM(IF((GJ[Date]=$A$4)*(GJ[Sort Code]=(TRIM(E$5)))*(GJ[Account Code]=(TRIM($B33))),GJ[Credit]))))-((SUM(IF((CkDJ[Date]=$A$4)*(CkDJ[Sort Code]=(TRIM(E$5)))*(CkDJ[Account Code]=(TRIM($B33))),CkDJ[Debit])))+(SUM(IF((CsDJ[Date]=$A$4)*(CsDJ[Sort Code]=(TRIM(E$5)))*(CsDJ[Account Code]=(TRIM($B33))),CsDJ[Debit])))+(SUM(IF((CRDJ[Date]=$A$4)*(CRDJ[Sort Code]=(TRIM(E$5)))*(CRDJ[Account Code]=(TRIM($B33))),CRDJ[Debit])))+(SUM(IF((GJ[Date]=$A$4)*(GJ[Sort Code]=(TRIM(E$5)))*(GJ[Account Code]=(TRIM($B33))),GJ[Debit]))))</f>
        <v>0</v>
      </c>
      <c r="E33" s="467">
        <f>C33+D33</f>
        <v>0</v>
      </c>
    </row>
    <row r="34" spans="1:5" x14ac:dyDescent="0.2">
      <c r="A34" s="475" t="s">
        <v>181</v>
      </c>
      <c r="B34" s="339" t="s">
        <v>142</v>
      </c>
      <c r="C34" s="466">
        <f t="array" ref="C34">((SUM(IF((CkDJ[Sort Code]=(TRIM(E$5)))*(CkDJ[Account Code]=(TRIM($B34)))*(CkDJ[Date]&lt;=$C$8),CkDJ[Credit])))+(SUM(IF((CsDJ[Sort Code]=(TRIM(E$5)))*(CsDJ[Account Code]=(TRIM($B34)))*(CsDJ[Date]&lt;=$C$8),CsDJ[Credit])))+(SUM(IF((CRDJ[Sort Code]=(TRIM(E$5)))*(CRDJ[Account Code]=(TRIM($B34)))*(CRDJ[Date]&lt;=$C$8),CRDJ[Credit])))+(SUM(IF((GJ[Sort Code]=(TRIM(E$5)))*(GJ[Account Code]=(TRIM($B34)))*(GJ[Date]&lt;=$C$8),GJ[Credit]))))-((SUM(IF((CkDJ[Sort Code]=(TRIM(E$5)))*(CkDJ[Account Code]=(TRIM($B34)))*(CkDJ[Date]&lt;=$C$8),CkDJ[Debit])))+(SUM(IF((CsDJ[Sort Code]=(TRIM(E$5)))*(CsDJ[Account Code]=(TRIM($B34)))*(CsDJ[Date]&lt;=$C$8),CsDJ[Debit])))+(SUM(IF((CRDJ[Sort Code]=(TRIM(E$5)))*(CRDJ[Account Code]=(TRIM($B34)))*(CRDJ[Date]&lt;=$C$8),CRDJ[Debit])))+(SUM(IF((GJ[Sort Code]=(TRIM(E$5)))*(GJ[Account Code]=(TRIM($B34)))*(GJ[Date]&lt;=$C$8),GJ[Debit]))))</f>
        <v>0</v>
      </c>
      <c r="D34" s="466">
        <f t="array" ref="D34">((SUM(IF((CkDJ[Date]=$A$4)*(CkDJ[Sort Code]=(TRIM(E$5)))*(CkDJ[Account Code]=(TRIM($B34))),CkDJ[Credit])))+(SUM(IF((CsDJ[Date]=$A$4)*(CsDJ[Sort Code]=(TRIM(E$5)))*(CsDJ[Account Code]=(TRIM($B34))),CsDJ[Credit])))+(SUM(IF((CRDJ[Date]=$A$4)*(CRDJ[Sort Code]=(TRIM(E$5)))*(CRDJ[Account Code]=(TRIM($B34))),CRDJ[Credit])))+(SUM(IF((GJ[Date]=$A$4)*(GJ[Sort Code]=(TRIM(E$5)))*(GJ[Account Code]=(TRIM($B34))),GJ[Credit]))))-((SUM(IF((CkDJ[Date]=$A$4)*(CkDJ[Sort Code]=(TRIM(E$5)))*(CkDJ[Account Code]=(TRIM($B34))),CkDJ[Debit])))+(SUM(IF((CsDJ[Date]=$A$4)*(CsDJ[Sort Code]=(TRIM(E$5)))*(CsDJ[Account Code]=(TRIM($B34))),CsDJ[Debit])))+(SUM(IF((CRDJ[Date]=$A$4)*(CRDJ[Sort Code]=(TRIM(E$5)))*(CRDJ[Account Code]=(TRIM($B34))),CRDJ[Debit])))+(SUM(IF((GJ[Date]=$A$4)*(GJ[Sort Code]=(TRIM(E$5)))*(GJ[Account Code]=(TRIM($B34))),GJ[Debit]))))</f>
        <v>0</v>
      </c>
      <c r="E34" s="467">
        <f>C34+D34</f>
        <v>0</v>
      </c>
    </row>
    <row r="35" spans="1:5" x14ac:dyDescent="0.2">
      <c r="A35" s="473" t="s">
        <v>1166</v>
      </c>
      <c r="B35" s="339"/>
      <c r="C35" s="477">
        <f>SUM(C36:C44)</f>
        <v>0</v>
      </c>
      <c r="D35" s="477">
        <f>SUM(D36:D44)</f>
        <v>0</v>
      </c>
      <c r="E35" s="477">
        <f>SUM(E36:E44)</f>
        <v>0</v>
      </c>
    </row>
    <row r="36" spans="1:5" x14ac:dyDescent="0.2">
      <c r="A36" s="475" t="s">
        <v>186</v>
      </c>
      <c r="B36" s="339" t="s">
        <v>150</v>
      </c>
      <c r="C36" s="466">
        <f t="array" ref="C36">((SUM(IF((CkDJ[Sort Code]=(TRIM(E$5)))*(CkDJ[Account Code]=(TRIM($B36)))*(CkDJ[Date]&lt;=$C$8),CkDJ[Credit])))+(SUM(IF((CsDJ[Sort Code]=(TRIM(E$5)))*(CsDJ[Account Code]=(TRIM($B36)))*(CsDJ[Date]&lt;=$C$8),CsDJ[Credit])))+(SUM(IF((CRDJ[Sort Code]=(TRIM(E$5)))*(CRDJ[Account Code]=(TRIM($B36)))*(CRDJ[Date]&lt;=$C$8),CRDJ[Credit])))+(SUM(IF((GJ[Sort Code]=(TRIM(E$5)))*(GJ[Account Code]=(TRIM($B36)))*(GJ[Date]&lt;=$C$8),GJ[Credit]))))-((SUM(IF((CkDJ[Sort Code]=(TRIM(E$5)))*(CkDJ[Account Code]=(TRIM($B36)))*(CkDJ[Date]&lt;=$C$8),CkDJ[Debit])))+(SUM(IF((CsDJ[Sort Code]=(TRIM(E$5)))*(CsDJ[Account Code]=(TRIM($B36)))*(CsDJ[Date]&lt;=$C$8),CsDJ[Debit])))+(SUM(IF((CRDJ[Sort Code]=(TRIM(E$5)))*(CRDJ[Account Code]=(TRIM($B36)))*(CRDJ[Date]&lt;=$C$8),CRDJ[Debit])))+(SUM(IF((GJ[Sort Code]=(TRIM(E$5)))*(GJ[Account Code]=(TRIM($B36)))*(GJ[Date]&lt;=$C$8),GJ[Debit]))))</f>
        <v>0</v>
      </c>
      <c r="D36" s="466">
        <f t="array" ref="D36">((SUM(IF((CkDJ[Date]=$A$4)*(CkDJ[Sort Code]=(TRIM(E$5)))*(CkDJ[Account Code]=(TRIM($B36))),CkDJ[Credit])))+(SUM(IF((CsDJ[Date]=$A$4)*(CsDJ[Sort Code]=(TRIM(E$5)))*(CsDJ[Account Code]=(TRIM($B36))),CsDJ[Credit])))+(SUM(IF((CRDJ[Date]=$A$4)*(CRDJ[Sort Code]=(TRIM(E$5)))*(CRDJ[Account Code]=(TRIM($B36))),CRDJ[Credit])))+(SUM(IF((GJ[Date]=$A$4)*(GJ[Sort Code]=(TRIM(E$5)))*(GJ[Account Code]=(TRIM($B36))),GJ[Credit]))))-((SUM(IF((CkDJ[Date]=$A$4)*(CkDJ[Sort Code]=(TRIM(E$5)))*(CkDJ[Account Code]=(TRIM($B36))),CkDJ[Debit])))+(SUM(IF((CsDJ[Date]=$A$4)*(CsDJ[Sort Code]=(TRIM(E$5)))*(CsDJ[Account Code]=(TRIM($B36))),CsDJ[Debit])))+(SUM(IF((CRDJ[Date]=$A$4)*(CRDJ[Sort Code]=(TRIM(E$5)))*(CRDJ[Account Code]=(TRIM($B36))),CRDJ[Debit])))+(SUM(IF((GJ[Date]=$A$4)*(GJ[Sort Code]=(TRIM(E$5)))*(GJ[Account Code]=(TRIM($B36))),GJ[Debit]))))</f>
        <v>0</v>
      </c>
      <c r="E36" s="467">
        <f t="shared" ref="E36:E44" si="0">C36+D36</f>
        <v>0</v>
      </c>
    </row>
    <row r="37" spans="1:5" x14ac:dyDescent="0.2">
      <c r="A37" s="475" t="s">
        <v>187</v>
      </c>
      <c r="B37" s="339" t="s">
        <v>153</v>
      </c>
      <c r="C37" s="466">
        <f t="array" ref="C37">((SUM(IF((CkDJ[Sort Code]=(TRIM(E$5)))*(CkDJ[Account Code]=(TRIM($B37)))*(CkDJ[Date]&lt;=$C$8),CkDJ[Credit])))+(SUM(IF((CsDJ[Sort Code]=(TRIM(E$5)))*(CsDJ[Account Code]=(TRIM($B37)))*(CsDJ[Date]&lt;=$C$8),CsDJ[Credit])))+(SUM(IF((CRDJ[Sort Code]=(TRIM(E$5)))*(CRDJ[Account Code]=(TRIM($B37)))*(CRDJ[Date]&lt;=$C$8),CRDJ[Credit])))+(SUM(IF((GJ[Sort Code]=(TRIM(E$5)))*(GJ[Account Code]=(TRIM($B37)))*(GJ[Date]&lt;=$C$8),GJ[Credit]))))-((SUM(IF((CkDJ[Sort Code]=(TRIM(E$5)))*(CkDJ[Account Code]=(TRIM($B37)))*(CkDJ[Date]&lt;=$C$8),CkDJ[Debit])))+(SUM(IF((CsDJ[Sort Code]=(TRIM(E$5)))*(CsDJ[Account Code]=(TRIM($B37)))*(CsDJ[Date]&lt;=$C$8),CsDJ[Debit])))+(SUM(IF((CRDJ[Sort Code]=(TRIM(E$5)))*(CRDJ[Account Code]=(TRIM($B37)))*(CRDJ[Date]&lt;=$C$8),CRDJ[Debit])))+(SUM(IF((GJ[Sort Code]=(TRIM(E$5)))*(GJ[Account Code]=(TRIM($B37)))*(GJ[Date]&lt;=$C$8),GJ[Debit]))))</f>
        <v>0</v>
      </c>
      <c r="D37" s="466">
        <f t="array" ref="D37">((SUM(IF((CkDJ[Date]=$A$4)*(CkDJ[Sort Code]=(TRIM(E$5)))*(CkDJ[Account Code]=(TRIM($B37))),CkDJ[Credit])))+(SUM(IF((CsDJ[Date]=$A$4)*(CsDJ[Sort Code]=(TRIM(E$5)))*(CsDJ[Account Code]=(TRIM($B37))),CsDJ[Credit])))+(SUM(IF((CRDJ[Date]=$A$4)*(CRDJ[Sort Code]=(TRIM(E$5)))*(CRDJ[Account Code]=(TRIM($B37))),CRDJ[Credit])))+(SUM(IF((GJ[Date]=$A$4)*(GJ[Sort Code]=(TRIM(E$5)))*(GJ[Account Code]=(TRIM($B37))),GJ[Credit]))))-((SUM(IF((CkDJ[Date]=$A$4)*(CkDJ[Sort Code]=(TRIM(E$5)))*(CkDJ[Account Code]=(TRIM($B37))),CkDJ[Debit])))+(SUM(IF((CsDJ[Date]=$A$4)*(CsDJ[Sort Code]=(TRIM(E$5)))*(CsDJ[Account Code]=(TRIM($B37))),CsDJ[Debit])))+(SUM(IF((CRDJ[Date]=$A$4)*(CRDJ[Sort Code]=(TRIM(E$5)))*(CRDJ[Account Code]=(TRIM($B37))),CRDJ[Debit])))+(SUM(IF((GJ[Date]=$A$4)*(GJ[Sort Code]=(TRIM(E$5)))*(GJ[Account Code]=(TRIM($B37))),GJ[Debit]))))</f>
        <v>0</v>
      </c>
      <c r="E37" s="467">
        <f t="shared" si="0"/>
        <v>0</v>
      </c>
    </row>
    <row r="38" spans="1:5" x14ac:dyDescent="0.2">
      <c r="A38" s="475" t="s">
        <v>188</v>
      </c>
      <c r="B38" s="339" t="s">
        <v>154</v>
      </c>
      <c r="C38" s="466">
        <f t="array" ref="C38">((SUM(IF((CkDJ[Sort Code]=(TRIM(E$5)))*(CkDJ[Account Code]=(TRIM($B38)))*(CkDJ[Date]&lt;=$C$8),CkDJ[Credit])))+(SUM(IF((CsDJ[Sort Code]=(TRIM(E$5)))*(CsDJ[Account Code]=(TRIM($B38)))*(CsDJ[Date]&lt;=$C$8),CsDJ[Credit])))+(SUM(IF((CRDJ[Sort Code]=(TRIM(E$5)))*(CRDJ[Account Code]=(TRIM($B38)))*(CRDJ[Date]&lt;=$C$8),CRDJ[Credit])))+(SUM(IF((GJ[Sort Code]=(TRIM(E$5)))*(GJ[Account Code]=(TRIM($B38)))*(GJ[Date]&lt;=$C$8),GJ[Credit]))))-((SUM(IF((CkDJ[Sort Code]=(TRIM(E$5)))*(CkDJ[Account Code]=(TRIM($B38)))*(CkDJ[Date]&lt;=$C$8),CkDJ[Debit])))+(SUM(IF((CsDJ[Sort Code]=(TRIM(E$5)))*(CsDJ[Account Code]=(TRIM($B38)))*(CsDJ[Date]&lt;=$C$8),CsDJ[Debit])))+(SUM(IF((CRDJ[Sort Code]=(TRIM(E$5)))*(CRDJ[Account Code]=(TRIM($B38)))*(CRDJ[Date]&lt;=$C$8),CRDJ[Debit])))+(SUM(IF((GJ[Sort Code]=(TRIM(E$5)))*(GJ[Account Code]=(TRIM($B38)))*(GJ[Date]&lt;=$C$8),GJ[Debit]))))</f>
        <v>0</v>
      </c>
      <c r="D38" s="466">
        <f t="array" ref="D38">((SUM(IF((CkDJ[Date]=$A$4)*(CkDJ[Sort Code]=(TRIM(E$5)))*(CkDJ[Account Code]=(TRIM($B38))),CkDJ[Credit])))+(SUM(IF((CsDJ[Date]=$A$4)*(CsDJ[Sort Code]=(TRIM(E$5)))*(CsDJ[Account Code]=(TRIM($B38))),CsDJ[Credit])))+(SUM(IF((CRDJ[Date]=$A$4)*(CRDJ[Sort Code]=(TRIM(E$5)))*(CRDJ[Account Code]=(TRIM($B38))),CRDJ[Credit])))+(SUM(IF((GJ[Date]=$A$4)*(GJ[Sort Code]=(TRIM(E$5)))*(GJ[Account Code]=(TRIM($B38))),GJ[Credit]))))-((SUM(IF((CkDJ[Date]=$A$4)*(CkDJ[Sort Code]=(TRIM(E$5)))*(CkDJ[Account Code]=(TRIM($B38))),CkDJ[Debit])))+(SUM(IF((CsDJ[Date]=$A$4)*(CsDJ[Sort Code]=(TRIM(E$5)))*(CsDJ[Account Code]=(TRIM($B38))),CsDJ[Debit])))+(SUM(IF((CRDJ[Date]=$A$4)*(CRDJ[Sort Code]=(TRIM(E$5)))*(CRDJ[Account Code]=(TRIM($B38))),CRDJ[Debit])))+(SUM(IF((GJ[Date]=$A$4)*(GJ[Sort Code]=(TRIM(E$5)))*(GJ[Account Code]=(TRIM($B38))),GJ[Debit]))))</f>
        <v>0</v>
      </c>
      <c r="E38" s="467">
        <f t="shared" si="0"/>
        <v>0</v>
      </c>
    </row>
    <row r="39" spans="1:5" x14ac:dyDescent="0.2">
      <c r="A39" s="475" t="s">
        <v>189</v>
      </c>
      <c r="B39" s="339" t="s">
        <v>155</v>
      </c>
      <c r="C39" s="466">
        <f t="array" ref="C39">((SUM(IF((CkDJ[Sort Code]=(TRIM(E$5)))*(CkDJ[Account Code]=(TRIM($B39)))*(CkDJ[Date]&lt;=$C$8),CkDJ[Credit])))+(SUM(IF((CsDJ[Sort Code]=(TRIM(E$5)))*(CsDJ[Account Code]=(TRIM($B39)))*(CsDJ[Date]&lt;=$C$8),CsDJ[Credit])))+(SUM(IF((CRDJ[Sort Code]=(TRIM(E$5)))*(CRDJ[Account Code]=(TRIM($B39)))*(CRDJ[Date]&lt;=$C$8),CRDJ[Credit])))+(SUM(IF((GJ[Sort Code]=(TRIM(E$5)))*(GJ[Account Code]=(TRIM($B39)))*(GJ[Date]&lt;=$C$8),GJ[Credit]))))-((SUM(IF((CkDJ[Sort Code]=(TRIM(E$5)))*(CkDJ[Account Code]=(TRIM($B39)))*(CkDJ[Date]&lt;=$C$8),CkDJ[Debit])))+(SUM(IF((CsDJ[Sort Code]=(TRIM(E$5)))*(CsDJ[Account Code]=(TRIM($B39)))*(CsDJ[Date]&lt;=$C$8),CsDJ[Debit])))+(SUM(IF((CRDJ[Sort Code]=(TRIM(E$5)))*(CRDJ[Account Code]=(TRIM($B39)))*(CRDJ[Date]&lt;=$C$8),CRDJ[Debit])))+(SUM(IF((GJ[Sort Code]=(TRIM(E$5)))*(GJ[Account Code]=(TRIM($B39)))*(GJ[Date]&lt;=$C$8),GJ[Debit]))))</f>
        <v>0</v>
      </c>
      <c r="D39" s="466">
        <f t="array" ref="D39">((SUM(IF((CkDJ[Date]=$A$4)*(CkDJ[Sort Code]=(TRIM(E$5)))*(CkDJ[Account Code]=(TRIM($B39))),CkDJ[Credit])))+(SUM(IF((CsDJ[Date]=$A$4)*(CsDJ[Sort Code]=(TRIM(E$5)))*(CsDJ[Account Code]=(TRIM($B39))),CsDJ[Credit])))+(SUM(IF((CRDJ[Date]=$A$4)*(CRDJ[Sort Code]=(TRIM(E$5)))*(CRDJ[Account Code]=(TRIM($B39))),CRDJ[Credit])))+(SUM(IF((GJ[Date]=$A$4)*(GJ[Sort Code]=(TRIM(E$5)))*(GJ[Account Code]=(TRIM($B39))),GJ[Credit]))))-((SUM(IF((CkDJ[Date]=$A$4)*(CkDJ[Sort Code]=(TRIM(E$5)))*(CkDJ[Account Code]=(TRIM($B39))),CkDJ[Debit])))+(SUM(IF((CsDJ[Date]=$A$4)*(CsDJ[Sort Code]=(TRIM(E$5)))*(CsDJ[Account Code]=(TRIM($B39))),CsDJ[Debit])))+(SUM(IF((CRDJ[Date]=$A$4)*(CRDJ[Sort Code]=(TRIM(E$5)))*(CRDJ[Account Code]=(TRIM($B39))),CRDJ[Debit])))+(SUM(IF((GJ[Date]=$A$4)*(GJ[Sort Code]=(TRIM(E$5)))*(GJ[Account Code]=(TRIM($B39))),GJ[Debit]))))</f>
        <v>0</v>
      </c>
      <c r="E39" s="467">
        <f t="shared" si="0"/>
        <v>0</v>
      </c>
    </row>
    <row r="40" spans="1:5" x14ac:dyDescent="0.2">
      <c r="A40" s="475" t="s">
        <v>1271</v>
      </c>
      <c r="B40" s="339" t="s">
        <v>156</v>
      </c>
      <c r="C40" s="466">
        <f t="array" ref="C40">((SUM(IF((CkDJ[Sort Code]=(TRIM(E$5)))*(CkDJ[Account Code]=(TRIM($B40)))*(CkDJ[Date]&lt;=$C$8),CkDJ[Credit])))+(SUM(IF((CsDJ[Sort Code]=(TRIM(E$5)))*(CsDJ[Account Code]=(TRIM($B40)))*(CsDJ[Date]&lt;=$C$8),CsDJ[Credit])))+(SUM(IF((CRDJ[Sort Code]=(TRIM(E$5)))*(CRDJ[Account Code]=(TRIM($B40)))*(CRDJ[Date]&lt;=$C$8),CRDJ[Credit])))+(SUM(IF((GJ[Sort Code]=(TRIM(E$5)))*(GJ[Account Code]=(TRIM($B40)))*(GJ[Date]&lt;=$C$8),GJ[Credit]))))-((SUM(IF((CkDJ[Sort Code]=(TRIM(E$5)))*(CkDJ[Account Code]=(TRIM($B40)))*(CkDJ[Date]&lt;=$C$8),CkDJ[Debit])))+(SUM(IF((CsDJ[Sort Code]=(TRIM(E$5)))*(CsDJ[Account Code]=(TRIM($B40)))*(CsDJ[Date]&lt;=$C$8),CsDJ[Debit])))+(SUM(IF((CRDJ[Sort Code]=(TRIM(E$5)))*(CRDJ[Account Code]=(TRIM($B40)))*(CRDJ[Date]&lt;=$C$8),CRDJ[Debit])))+(SUM(IF((GJ[Sort Code]=(TRIM(E$5)))*(GJ[Account Code]=(TRIM($B40)))*(GJ[Date]&lt;=$C$8),GJ[Debit]))))</f>
        <v>0</v>
      </c>
      <c r="D40" s="466">
        <f t="array" ref="D40">((SUM(IF((CkDJ[Date]=$A$4)*(CkDJ[Sort Code]=(TRIM(E$5)))*(CkDJ[Account Code]=(TRIM($B40))),CkDJ[Credit])))+(SUM(IF((CsDJ[Date]=$A$4)*(CsDJ[Sort Code]=(TRIM(E$5)))*(CsDJ[Account Code]=(TRIM($B40))),CsDJ[Credit])))+(SUM(IF((CRDJ[Date]=$A$4)*(CRDJ[Sort Code]=(TRIM(E$5)))*(CRDJ[Account Code]=(TRIM($B40))),CRDJ[Credit])))+(SUM(IF((GJ[Date]=$A$4)*(GJ[Sort Code]=(TRIM(E$5)))*(GJ[Account Code]=(TRIM($B40))),GJ[Credit]))))-((SUM(IF((CkDJ[Date]=$A$4)*(CkDJ[Sort Code]=(TRIM(E$5)))*(CkDJ[Account Code]=(TRIM($B40))),CkDJ[Debit])))+(SUM(IF((CsDJ[Date]=$A$4)*(CsDJ[Sort Code]=(TRIM(E$5)))*(CsDJ[Account Code]=(TRIM($B40))),CsDJ[Debit])))+(SUM(IF((CRDJ[Date]=$A$4)*(CRDJ[Sort Code]=(TRIM(E$5)))*(CRDJ[Account Code]=(TRIM($B40))),CRDJ[Debit])))+(SUM(IF((GJ[Date]=$A$4)*(GJ[Sort Code]=(TRIM(E$5)))*(GJ[Account Code]=(TRIM($B40))),GJ[Debit]))))</f>
        <v>0</v>
      </c>
      <c r="E40" s="467">
        <f>C40+D40</f>
        <v>0</v>
      </c>
    </row>
    <row r="41" spans="1:5" x14ac:dyDescent="0.2">
      <c r="A41" s="475" t="s">
        <v>190</v>
      </c>
      <c r="B41" s="339" t="s">
        <v>157</v>
      </c>
      <c r="C41" s="466">
        <f t="array" ref="C41">((SUM(IF((CkDJ[Sort Code]=(TRIM(E$5)))*(CkDJ[Account Code]=(TRIM($B41)))*(CkDJ[Date]&lt;=$C$8),CkDJ[Credit])))+(SUM(IF((CsDJ[Sort Code]=(TRIM(E$5)))*(CsDJ[Account Code]=(TRIM($B41)))*(CsDJ[Date]&lt;=$C$8),CsDJ[Credit])))+(SUM(IF((CRDJ[Sort Code]=(TRIM(E$5)))*(CRDJ[Account Code]=(TRIM($B41)))*(CRDJ[Date]&lt;=$C$8),CRDJ[Credit])))+(SUM(IF((GJ[Sort Code]=(TRIM(E$5)))*(GJ[Account Code]=(TRIM($B41)))*(GJ[Date]&lt;=$C$8),GJ[Credit]))))-((SUM(IF((CkDJ[Sort Code]=(TRIM(E$5)))*(CkDJ[Account Code]=(TRIM($B41)))*(CkDJ[Date]&lt;=$C$8),CkDJ[Debit])))+(SUM(IF((CsDJ[Sort Code]=(TRIM(E$5)))*(CsDJ[Account Code]=(TRIM($B41)))*(CsDJ[Date]&lt;=$C$8),CsDJ[Debit])))+(SUM(IF((CRDJ[Sort Code]=(TRIM(E$5)))*(CRDJ[Account Code]=(TRIM($B41)))*(CRDJ[Date]&lt;=$C$8),CRDJ[Debit])))+(SUM(IF((GJ[Sort Code]=(TRIM(E$5)))*(GJ[Account Code]=(TRIM($B41)))*(GJ[Date]&lt;=$C$8),GJ[Debit]))))</f>
        <v>0</v>
      </c>
      <c r="D41" s="466">
        <f t="array" ref="D41">((SUM(IF((CkDJ[Date]=$A$4)*(CkDJ[Sort Code]=(TRIM(E$5)))*(CkDJ[Account Code]=(TRIM($B41))),CkDJ[Credit])))+(SUM(IF((CsDJ[Date]=$A$4)*(CsDJ[Sort Code]=(TRIM(E$5)))*(CsDJ[Account Code]=(TRIM($B41))),CsDJ[Credit])))+(SUM(IF((CRDJ[Date]=$A$4)*(CRDJ[Sort Code]=(TRIM(E$5)))*(CRDJ[Account Code]=(TRIM($B41))),CRDJ[Credit])))+(SUM(IF((GJ[Date]=$A$4)*(GJ[Sort Code]=(TRIM(E$5)))*(GJ[Account Code]=(TRIM($B41))),GJ[Credit]))))-((SUM(IF((CkDJ[Date]=$A$4)*(CkDJ[Sort Code]=(TRIM(E$5)))*(CkDJ[Account Code]=(TRIM($B41))),CkDJ[Debit])))+(SUM(IF((CsDJ[Date]=$A$4)*(CsDJ[Sort Code]=(TRIM(E$5)))*(CsDJ[Account Code]=(TRIM($B41))),CsDJ[Debit])))+(SUM(IF((CRDJ[Date]=$A$4)*(CRDJ[Sort Code]=(TRIM(E$5)))*(CRDJ[Account Code]=(TRIM($B41))),CRDJ[Debit])))+(SUM(IF((GJ[Date]=$A$4)*(GJ[Sort Code]=(TRIM(E$5)))*(GJ[Account Code]=(TRIM($B41))),GJ[Debit]))))</f>
        <v>0</v>
      </c>
      <c r="E41" s="467">
        <f t="shared" si="0"/>
        <v>0</v>
      </c>
    </row>
    <row r="42" spans="1:5" x14ac:dyDescent="0.2">
      <c r="A42" s="475" t="s">
        <v>192</v>
      </c>
      <c r="B42" s="339" t="s">
        <v>159</v>
      </c>
      <c r="C42" s="466">
        <f t="array" ref="C42">((SUM(IF((CkDJ[Sort Code]=(TRIM(E$5)))*(CkDJ[Account Code]=(TRIM($B42)))*(CkDJ[Date]&lt;=$C$8),CkDJ[Credit])))+(SUM(IF((CsDJ[Sort Code]=(TRIM(E$5)))*(CsDJ[Account Code]=(TRIM($B42)))*(CsDJ[Date]&lt;=$C$8),CsDJ[Credit])))+(SUM(IF((CRDJ[Sort Code]=(TRIM(E$5)))*(CRDJ[Account Code]=(TRIM($B42)))*(CRDJ[Date]&lt;=$C$8),CRDJ[Credit])))+(SUM(IF((GJ[Sort Code]=(TRIM(E$5)))*(GJ[Account Code]=(TRIM($B42)))*(GJ[Date]&lt;=$C$8),GJ[Credit]))))-((SUM(IF((CkDJ[Sort Code]=(TRIM(E$5)))*(CkDJ[Account Code]=(TRIM($B42)))*(CkDJ[Date]&lt;=$C$8),CkDJ[Debit])))+(SUM(IF((CsDJ[Sort Code]=(TRIM(E$5)))*(CsDJ[Account Code]=(TRIM($B42)))*(CsDJ[Date]&lt;=$C$8),CsDJ[Debit])))+(SUM(IF((CRDJ[Sort Code]=(TRIM(E$5)))*(CRDJ[Account Code]=(TRIM($B42)))*(CRDJ[Date]&lt;=$C$8),CRDJ[Debit])))+(SUM(IF((GJ[Sort Code]=(TRIM(E$5)))*(GJ[Account Code]=(TRIM($B42)))*(GJ[Date]&lt;=$C$8),GJ[Debit]))))</f>
        <v>0</v>
      </c>
      <c r="D42" s="466">
        <f t="array" ref="D42">((SUM(IF((CkDJ[Date]=$A$4)*(CkDJ[Sort Code]=(TRIM(E$5)))*(CkDJ[Account Code]=(TRIM($B42))),CkDJ[Credit])))+(SUM(IF((CsDJ[Date]=$A$4)*(CsDJ[Sort Code]=(TRIM(E$5)))*(CsDJ[Account Code]=(TRIM($B42))),CsDJ[Credit])))+(SUM(IF((CRDJ[Date]=$A$4)*(CRDJ[Sort Code]=(TRIM(E$5)))*(CRDJ[Account Code]=(TRIM($B42))),CRDJ[Credit])))+(SUM(IF((GJ[Date]=$A$4)*(GJ[Sort Code]=(TRIM(E$5)))*(GJ[Account Code]=(TRIM($B42))),GJ[Credit]))))-((SUM(IF((CkDJ[Date]=$A$4)*(CkDJ[Sort Code]=(TRIM(E$5)))*(CkDJ[Account Code]=(TRIM($B42))),CkDJ[Debit])))+(SUM(IF((CsDJ[Date]=$A$4)*(CsDJ[Sort Code]=(TRIM(E$5)))*(CsDJ[Account Code]=(TRIM($B42))),CsDJ[Debit])))+(SUM(IF((CRDJ[Date]=$A$4)*(CRDJ[Sort Code]=(TRIM(E$5)))*(CRDJ[Account Code]=(TRIM($B42))),CRDJ[Debit])))+(SUM(IF((GJ[Date]=$A$4)*(GJ[Sort Code]=(TRIM(E$5)))*(GJ[Account Code]=(TRIM($B42))),GJ[Debit]))))</f>
        <v>0</v>
      </c>
      <c r="E42" s="467">
        <f t="shared" si="0"/>
        <v>0</v>
      </c>
    </row>
    <row r="43" spans="1:5" x14ac:dyDescent="0.2">
      <c r="A43" s="475" t="s">
        <v>193</v>
      </c>
      <c r="B43" s="339" t="s">
        <v>160</v>
      </c>
      <c r="C43" s="466">
        <f t="array" ref="C43">((SUM(IF((CkDJ[Sort Code]=(TRIM(E$5)))*(CkDJ[Account Code]=(TRIM($B43)))*(CkDJ[Date]&lt;=$C$8),CkDJ[Credit])))+(SUM(IF((CsDJ[Sort Code]=(TRIM(E$5)))*(CsDJ[Account Code]=(TRIM($B43)))*(CsDJ[Date]&lt;=$C$8),CsDJ[Credit])))+(SUM(IF((CRDJ[Sort Code]=(TRIM(E$5)))*(CRDJ[Account Code]=(TRIM($B43)))*(CRDJ[Date]&lt;=$C$8),CRDJ[Credit])))+(SUM(IF((GJ[Sort Code]=(TRIM(E$5)))*(GJ[Account Code]=(TRIM($B43)))*(GJ[Date]&lt;=$C$8),GJ[Credit]))))-((SUM(IF((CkDJ[Sort Code]=(TRIM(E$5)))*(CkDJ[Account Code]=(TRIM($B43)))*(CkDJ[Date]&lt;=$C$8),CkDJ[Debit])))+(SUM(IF((CsDJ[Sort Code]=(TRIM(E$5)))*(CsDJ[Account Code]=(TRIM($B43)))*(CsDJ[Date]&lt;=$C$8),CsDJ[Debit])))+(SUM(IF((CRDJ[Sort Code]=(TRIM(E$5)))*(CRDJ[Account Code]=(TRIM($B43)))*(CRDJ[Date]&lt;=$C$8),CRDJ[Debit])))+(SUM(IF((GJ[Sort Code]=(TRIM(E$5)))*(GJ[Account Code]=(TRIM($B43)))*(GJ[Date]&lt;=$C$8),GJ[Debit]))))</f>
        <v>0</v>
      </c>
      <c r="D43" s="466">
        <f t="array" ref="D43">((SUM(IF((CkDJ[Date]=$A$4)*(CkDJ[Sort Code]=(TRIM(E$5)))*(CkDJ[Account Code]=(TRIM($B43))),CkDJ[Credit])))+(SUM(IF((CsDJ[Date]=$A$4)*(CsDJ[Sort Code]=(TRIM(E$5)))*(CsDJ[Account Code]=(TRIM($B43))),CsDJ[Credit])))+(SUM(IF((CRDJ[Date]=$A$4)*(CRDJ[Sort Code]=(TRIM(E$5)))*(CRDJ[Account Code]=(TRIM($B43))),CRDJ[Credit])))+(SUM(IF((GJ[Date]=$A$4)*(GJ[Sort Code]=(TRIM(E$5)))*(GJ[Account Code]=(TRIM($B43))),GJ[Credit]))))-((SUM(IF((CkDJ[Date]=$A$4)*(CkDJ[Sort Code]=(TRIM(E$5)))*(CkDJ[Account Code]=(TRIM($B43))),CkDJ[Debit])))+(SUM(IF((CsDJ[Date]=$A$4)*(CsDJ[Sort Code]=(TRIM(E$5)))*(CsDJ[Account Code]=(TRIM($B43))),CsDJ[Debit])))+(SUM(IF((CRDJ[Date]=$A$4)*(CRDJ[Sort Code]=(TRIM(E$5)))*(CRDJ[Account Code]=(TRIM($B43))),CRDJ[Debit])))+(SUM(IF((GJ[Date]=$A$4)*(GJ[Sort Code]=(TRIM(E$5)))*(GJ[Account Code]=(TRIM($B43))),GJ[Debit]))))</f>
        <v>0</v>
      </c>
      <c r="E43" s="467">
        <f t="shared" si="0"/>
        <v>0</v>
      </c>
    </row>
    <row r="44" spans="1:5" x14ac:dyDescent="0.2">
      <c r="A44" s="475" t="s">
        <v>191</v>
      </c>
      <c r="B44" s="339" t="s">
        <v>161</v>
      </c>
      <c r="C44" s="466">
        <f t="array" ref="C44">((SUM(IF((CkDJ[Sort Code]=(TRIM(E$5)))*(CkDJ[Account Code]=(TRIM($B44)))*(CkDJ[Date]&lt;=$C$8),CkDJ[Credit])))+(SUM(IF((CsDJ[Sort Code]=(TRIM(E$5)))*(CsDJ[Account Code]=(TRIM($B44)))*(CsDJ[Date]&lt;=$C$8),CsDJ[Credit])))+(SUM(IF((CRDJ[Sort Code]=(TRIM(E$5)))*(CRDJ[Account Code]=(TRIM($B44)))*(CRDJ[Date]&lt;=$C$8),CRDJ[Credit])))+(SUM(IF((GJ[Sort Code]=(TRIM(E$5)))*(GJ[Account Code]=(TRIM($B44)))*(GJ[Date]&lt;=$C$8),GJ[Credit]))))-((SUM(IF((CkDJ[Sort Code]=(TRIM(E$5)))*(CkDJ[Account Code]=(TRIM($B44)))*(CkDJ[Date]&lt;=$C$8),CkDJ[Debit])))+(SUM(IF((CsDJ[Sort Code]=(TRIM(E$5)))*(CsDJ[Account Code]=(TRIM($B44)))*(CsDJ[Date]&lt;=$C$8),CsDJ[Debit])))+(SUM(IF((CRDJ[Sort Code]=(TRIM(E$5)))*(CRDJ[Account Code]=(TRIM($B44)))*(CRDJ[Date]&lt;=$C$8),CRDJ[Debit])))+(SUM(IF((GJ[Sort Code]=(TRIM(E$5)))*(GJ[Account Code]=(TRIM($B44)))*(GJ[Date]&lt;=$C$8),GJ[Debit]))))</f>
        <v>0</v>
      </c>
      <c r="D44" s="466">
        <f t="array" ref="D44">((SUM(IF((CkDJ[Date]=$A$4)*(CkDJ[Sort Code]=(TRIM(E$5)))*(CkDJ[Account Code]=(TRIM($B44))),CkDJ[Credit])))+(SUM(IF((CsDJ[Date]=$A$4)*(CsDJ[Sort Code]=(TRIM(E$5)))*(CsDJ[Account Code]=(TRIM($B44))),CsDJ[Credit])))+(SUM(IF((CRDJ[Date]=$A$4)*(CRDJ[Sort Code]=(TRIM(E$5)))*(CRDJ[Account Code]=(TRIM($B44))),CRDJ[Credit])))+(SUM(IF((GJ[Date]=$A$4)*(GJ[Sort Code]=(TRIM(E$5)))*(GJ[Account Code]=(TRIM($B44))),GJ[Credit]))))-((SUM(IF((CkDJ[Date]=$A$4)*(CkDJ[Sort Code]=(TRIM(E$5)))*(CkDJ[Account Code]=(TRIM($B44))),CkDJ[Debit])))+(SUM(IF((CsDJ[Date]=$A$4)*(CsDJ[Sort Code]=(TRIM(E$5)))*(CsDJ[Account Code]=(TRIM($B44))),CsDJ[Debit])))+(SUM(IF((CRDJ[Date]=$A$4)*(CRDJ[Sort Code]=(TRIM(E$5)))*(CRDJ[Account Code]=(TRIM($B44))),CRDJ[Debit])))+(SUM(IF((GJ[Date]=$A$4)*(GJ[Sort Code]=(TRIM(E$5)))*(GJ[Account Code]=(TRIM($B44))),GJ[Debit]))))</f>
        <v>0</v>
      </c>
      <c r="E44" s="467">
        <f t="shared" si="0"/>
        <v>0</v>
      </c>
    </row>
    <row r="45" spans="1:5" x14ac:dyDescent="0.2">
      <c r="A45" s="468" t="s">
        <v>1171</v>
      </c>
      <c r="B45" s="469"/>
      <c r="C45" s="470">
        <f>C10+C16+C20+C25+C26+C31+C35</f>
        <v>0</v>
      </c>
      <c r="D45" s="470">
        <f>D10+D16+D20+D25+D26+D31+D35</f>
        <v>0</v>
      </c>
      <c r="E45" s="470">
        <f>E10+E16+E20+E25+E26+E31+E35</f>
        <v>0</v>
      </c>
    </row>
    <row r="46" spans="1:5" x14ac:dyDescent="0.2">
      <c r="A46" s="471" t="s">
        <v>812</v>
      </c>
      <c r="B46" s="339"/>
      <c r="C46" s="472"/>
      <c r="D46" s="472"/>
      <c r="E46" s="479"/>
    </row>
    <row r="47" spans="1:5" x14ac:dyDescent="0.2">
      <c r="A47" s="471" t="s">
        <v>811</v>
      </c>
      <c r="B47" s="339"/>
      <c r="C47" s="474">
        <f>SUM(C48:C72)</f>
        <v>0</v>
      </c>
      <c r="D47" s="474">
        <f>SUM(D48:D72)</f>
        <v>0</v>
      </c>
      <c r="E47" s="474">
        <f>SUM(E48:E72)</f>
        <v>0</v>
      </c>
    </row>
    <row r="48" spans="1:5" x14ac:dyDescent="0.2">
      <c r="A48" s="476" t="s">
        <v>194</v>
      </c>
      <c r="B48" s="339" t="s">
        <v>162</v>
      </c>
      <c r="C48" s="466">
        <f t="array" ref="C48">((SUM(IF((CkDJ[Sort Code]=(TRIM(E$5)))*(CkDJ[Account Code]=(TRIM($B48)))*(CkDJ[Date]&lt;=$C$8),CkDJ[Debit])))+(SUM(IF((CsDJ[Sort Code]=(TRIM(E$5)))*(CsDJ[Account Code]=(TRIM($B48)))*(CsDJ[Date]&lt;=$C$8),CsDJ[Debit])))+(SUM(IF((CRDJ[Sort Code]=(TRIM(E$5)))*(CRDJ[Account Code]=(TRIM($B48)))*(CRDJ[Date]&lt;=$C$8),CRDJ[Debit])))+(SUM(IF((GJ[Sort Code]=(TRIM(E$5)))*(GJ[Account Code]=(TRIM($B48)))*(GJ[Date]&lt;=$C$8),GJ[Debit]))))-((SUM(IF((CkDJ[Sort Code]=(TRIM(E$5)))*(CkDJ[Account Code]=(TRIM($B48)))*(CkDJ[Date]&lt;=$C$8),CkDJ[Credit])))+(SUM(IF((CsDJ[Sort Code]=(TRIM(E$5)))*(CsDJ[Account Code]=(TRIM($B48)))*(CsDJ[Date]&lt;=$C$8),CsDJ[Credit])))+(SUM(IF((CRDJ[Sort Code]=(TRIM(E$5)))*(CRDJ[Account Code]=(TRIM($B48)))*(CRDJ[Date]&lt;=$C$8),CRDJ[Credit])))+(SUM(IF((GJ[Sort Code]=(TRIM(E$5)))*(GJ[Account Code]=(TRIM($B48)))*(GJ[Date]&lt;=$C$8),GJ[Credit]))))</f>
        <v>0</v>
      </c>
      <c r="D48" s="466">
        <f t="array" ref="D48">((SUM(IF((CkDJ[Date]=$A$4)*(CkDJ[Sort Code]=(TRIM(E$5)))*(CkDJ[Account Code]=(TRIM($B48))),CkDJ[Debit])))+(SUM(IF((CsDJ[Date]=$A$4)*(CsDJ[Sort Code]=(TRIM(E$5)))*(CsDJ[Account Code]=(TRIM($B48))),CsDJ[Debit])))+(SUM(IF((CRDJ[Date]=$A$4)*(CRDJ[Sort Code]=(TRIM(E$5)))*(CRDJ[Account Code]=(TRIM($B48))),CRDJ[Debit])))+(SUM(IF((GJ[Date]=$A$4)*(GJ[Sort Code]=(TRIM(E$5)))*(GJ[Account Code]=(TRIM($B48))),GJ[Debit]))))-((SUM(IF((CkDJ[Date]=$A$4)*(CkDJ[Sort Code]=(TRIM(E$5)))*(CkDJ[Account Code]=(TRIM($B48))),CkDJ[Credit])))+(SUM(IF((CsDJ[Date]=$A$4)*(CsDJ[Sort Code]=(TRIM(E$5)))*(CsDJ[Account Code]=(TRIM($B48))),CsDJ[Credit])))+(SUM(IF((CRDJ[Date]=$A$4)*(CRDJ[Sort Code]=(TRIM(E$5)))*(CRDJ[Account Code]=(TRIM($B48))),CRDJ[Credit])))+(SUM(IF((GJ[Date]=$A$4)*(GJ[Sort Code]=(TRIM(E$5)))*(GJ[Account Code]=(TRIM($B48))),GJ[Credit]))))</f>
        <v>0</v>
      </c>
      <c r="E48" s="467">
        <f t="shared" ref="E48:E53" si="1">C48+D48</f>
        <v>0</v>
      </c>
    </row>
    <row r="49" spans="1:5" x14ac:dyDescent="0.2">
      <c r="A49" s="476" t="s">
        <v>195</v>
      </c>
      <c r="B49" s="339" t="s">
        <v>163</v>
      </c>
      <c r="C49" s="466">
        <f t="array" ref="C49">((SUM(IF((CkDJ[Sort Code]=(TRIM(E$5)))*(CkDJ[Account Code]=(TRIM($B49)))*(CkDJ[Date]&lt;=$C$8),CkDJ[Debit])))+(SUM(IF((CsDJ[Sort Code]=(TRIM(E$5)))*(CsDJ[Account Code]=(TRIM($B49)))*(CsDJ[Date]&lt;=$C$8),CsDJ[Debit])))+(SUM(IF((CRDJ[Sort Code]=(TRIM(E$5)))*(CRDJ[Account Code]=(TRIM($B49)))*(CRDJ[Date]&lt;=$C$8),CRDJ[Debit])))+(SUM(IF((GJ[Sort Code]=(TRIM(E$5)))*(GJ[Account Code]=(TRIM($B49)))*(GJ[Date]&lt;=$C$8),GJ[Debit]))))-((SUM(IF((CkDJ[Sort Code]=(TRIM(E$5)))*(CkDJ[Account Code]=(TRIM($B49)))*(CkDJ[Date]&lt;=$C$8),CkDJ[Credit])))+(SUM(IF((CsDJ[Sort Code]=(TRIM(E$5)))*(CsDJ[Account Code]=(TRIM($B49)))*(CsDJ[Date]&lt;=$C$8),CsDJ[Credit])))+(SUM(IF((CRDJ[Sort Code]=(TRIM(E$5)))*(CRDJ[Account Code]=(TRIM($B49)))*(CRDJ[Date]&lt;=$C$8),CRDJ[Credit])))+(SUM(IF((GJ[Sort Code]=(TRIM(E$5)))*(GJ[Account Code]=(TRIM($B49)))*(GJ[Date]&lt;=$C$8),GJ[Credit]))))</f>
        <v>0</v>
      </c>
      <c r="D49" s="466">
        <f t="array" ref="D49">((SUM(IF((CkDJ[Date]=$A$4)*(CkDJ[Sort Code]=(TRIM(E$5)))*(CkDJ[Account Code]=(TRIM($B49))),CkDJ[Debit])))+(SUM(IF((CsDJ[Date]=$A$4)*(CsDJ[Sort Code]=(TRIM(E$5)))*(CsDJ[Account Code]=(TRIM($B49))),CsDJ[Debit])))+(SUM(IF((CRDJ[Date]=$A$4)*(CRDJ[Sort Code]=(TRIM(E$5)))*(CRDJ[Account Code]=(TRIM($B49))),CRDJ[Debit])))+(SUM(IF((GJ[Date]=$A$4)*(GJ[Sort Code]=(TRIM(E$5)))*(GJ[Account Code]=(TRIM($B49))),GJ[Debit]))))-((SUM(IF((CkDJ[Date]=$A$4)*(CkDJ[Sort Code]=(TRIM(E$5)))*(CkDJ[Account Code]=(TRIM($B49))),CkDJ[Credit])))+(SUM(IF((CsDJ[Date]=$A$4)*(CsDJ[Sort Code]=(TRIM(E$5)))*(CsDJ[Account Code]=(TRIM($B49))),CsDJ[Credit])))+(SUM(IF((CRDJ[Date]=$A$4)*(CRDJ[Sort Code]=(TRIM(E$5)))*(CRDJ[Account Code]=(TRIM($B49))),CRDJ[Credit])))+(SUM(IF((GJ[Date]=$A$4)*(GJ[Sort Code]=(TRIM(E$5)))*(GJ[Account Code]=(TRIM($B49))),GJ[Credit]))))</f>
        <v>0</v>
      </c>
      <c r="E49" s="467">
        <f t="shared" si="1"/>
        <v>0</v>
      </c>
    </row>
    <row r="50" spans="1:5" x14ac:dyDescent="0.2">
      <c r="A50" s="476" t="s">
        <v>196</v>
      </c>
      <c r="B50" s="339" t="s">
        <v>1013</v>
      </c>
      <c r="C50" s="466">
        <f t="array" ref="C50">((SUM(IF((CkDJ[Sort Code]=(TRIM(E$5)))*(CkDJ[Account Code]=(TRIM($B50)))*(CkDJ[Date]&lt;=$C$8),CkDJ[Debit])))+(SUM(IF((CsDJ[Sort Code]=(TRIM(E$5)))*(CsDJ[Account Code]=(TRIM($B50)))*(CsDJ[Date]&lt;=$C$8),CsDJ[Debit])))+(SUM(IF((CRDJ[Sort Code]=(TRIM(E$5)))*(CRDJ[Account Code]=(TRIM($B50)))*(CRDJ[Date]&lt;=$C$8),CRDJ[Debit])))+(SUM(IF((GJ[Sort Code]=(TRIM(E$5)))*(GJ[Account Code]=(TRIM($B50)))*(GJ[Date]&lt;=$C$8),GJ[Debit]))))-((SUM(IF((CkDJ[Sort Code]=(TRIM(E$5)))*(CkDJ[Account Code]=(TRIM($B50)))*(CkDJ[Date]&lt;=$C$8),CkDJ[Credit])))+(SUM(IF((CsDJ[Sort Code]=(TRIM(E$5)))*(CsDJ[Account Code]=(TRIM($B50)))*(CsDJ[Date]&lt;=$C$8),CsDJ[Credit])))+(SUM(IF((CRDJ[Sort Code]=(TRIM(E$5)))*(CRDJ[Account Code]=(TRIM($B50)))*(CRDJ[Date]&lt;=$C$8),CRDJ[Credit])))+(SUM(IF((GJ[Sort Code]=(TRIM(E$5)))*(GJ[Account Code]=(TRIM($B50)))*(GJ[Date]&lt;=$C$8),GJ[Credit]))))</f>
        <v>0</v>
      </c>
      <c r="D50" s="466">
        <f t="array" ref="D50">((SUM(IF((CkDJ[Date]=$A$4)*(CkDJ[Sort Code]=(TRIM(E$5)))*(CkDJ[Account Code]=(TRIM($B50))),CkDJ[Debit])))+(SUM(IF((CsDJ[Date]=$A$4)*(CsDJ[Sort Code]=(TRIM(E$5)))*(CsDJ[Account Code]=(TRIM($B50))),CsDJ[Debit])))+(SUM(IF((CRDJ[Date]=$A$4)*(CRDJ[Sort Code]=(TRIM(E$5)))*(CRDJ[Account Code]=(TRIM($B50))),CRDJ[Debit])))+(SUM(IF((GJ[Date]=$A$4)*(GJ[Sort Code]=(TRIM(E$5)))*(GJ[Account Code]=(TRIM($B50))),GJ[Debit]))))-((SUM(IF((CkDJ[Date]=$A$4)*(CkDJ[Sort Code]=(TRIM(E$5)))*(CkDJ[Account Code]=(TRIM($B50))),CkDJ[Credit])))+(SUM(IF((CsDJ[Date]=$A$4)*(CsDJ[Sort Code]=(TRIM(E$5)))*(CsDJ[Account Code]=(TRIM($B50))),CsDJ[Credit])))+(SUM(IF((CRDJ[Date]=$A$4)*(CRDJ[Sort Code]=(TRIM(E$5)))*(CRDJ[Account Code]=(TRIM($B50))),CRDJ[Credit])))+(SUM(IF((GJ[Date]=$A$4)*(GJ[Sort Code]=(TRIM(E$5)))*(GJ[Account Code]=(TRIM($B50))),GJ[Credit]))))</f>
        <v>0</v>
      </c>
      <c r="E50" s="467">
        <f t="shared" si="1"/>
        <v>0</v>
      </c>
    </row>
    <row r="51" spans="1:5" x14ac:dyDescent="0.2">
      <c r="A51" s="476" t="s">
        <v>197</v>
      </c>
      <c r="B51" s="339" t="s">
        <v>164</v>
      </c>
      <c r="C51" s="466">
        <f t="array" ref="C51">((SUM(IF((CkDJ[Sort Code]=(TRIM(E$5)))*(CkDJ[Account Code]=(TRIM($B51)))*(CkDJ[Date]&lt;=$C$8),CkDJ[Debit])))+(SUM(IF((CsDJ[Sort Code]=(TRIM(E$5)))*(CsDJ[Account Code]=(TRIM($B51)))*(CsDJ[Date]&lt;=$C$8),CsDJ[Debit])))+(SUM(IF((CRDJ[Sort Code]=(TRIM(E$5)))*(CRDJ[Account Code]=(TRIM($B51)))*(CRDJ[Date]&lt;=$C$8),CRDJ[Debit])))+(SUM(IF((GJ[Sort Code]=(TRIM(E$5)))*(GJ[Account Code]=(TRIM($B51)))*(GJ[Date]&lt;=$C$8),GJ[Debit]))))-((SUM(IF((CkDJ[Sort Code]=(TRIM(E$5)))*(CkDJ[Account Code]=(TRIM($B51)))*(CkDJ[Date]&lt;=$C$8),CkDJ[Credit])))+(SUM(IF((CsDJ[Sort Code]=(TRIM(E$5)))*(CsDJ[Account Code]=(TRIM($B51)))*(CsDJ[Date]&lt;=$C$8),CsDJ[Credit])))+(SUM(IF((CRDJ[Sort Code]=(TRIM(E$5)))*(CRDJ[Account Code]=(TRIM($B51)))*(CRDJ[Date]&lt;=$C$8),CRDJ[Credit])))+(SUM(IF((GJ[Sort Code]=(TRIM(E$5)))*(GJ[Account Code]=(TRIM($B51)))*(GJ[Date]&lt;=$C$8),GJ[Credit]))))</f>
        <v>0</v>
      </c>
      <c r="D51" s="466">
        <f t="array" ref="D51">((SUM(IF((CkDJ[Date]=$A$4)*(CkDJ[Sort Code]=(TRIM(E$5)))*(CkDJ[Account Code]=(TRIM($B51))),CkDJ[Debit])))+(SUM(IF((CsDJ[Date]=$A$4)*(CsDJ[Sort Code]=(TRIM(E$5)))*(CsDJ[Account Code]=(TRIM($B51))),CsDJ[Debit])))+(SUM(IF((CRDJ[Date]=$A$4)*(CRDJ[Sort Code]=(TRIM(E$5)))*(CRDJ[Account Code]=(TRIM($B51))),CRDJ[Debit])))+(SUM(IF((GJ[Date]=$A$4)*(GJ[Sort Code]=(TRIM(E$5)))*(GJ[Account Code]=(TRIM($B51))),GJ[Debit]))))-((SUM(IF((CkDJ[Date]=$A$4)*(CkDJ[Sort Code]=(TRIM(E$5)))*(CkDJ[Account Code]=(TRIM($B51))),CkDJ[Credit])))+(SUM(IF((CsDJ[Date]=$A$4)*(CsDJ[Sort Code]=(TRIM(E$5)))*(CsDJ[Account Code]=(TRIM($B51))),CsDJ[Credit])))+(SUM(IF((CRDJ[Date]=$A$4)*(CRDJ[Sort Code]=(TRIM(E$5)))*(CRDJ[Account Code]=(TRIM($B51))),CRDJ[Credit])))+(SUM(IF((GJ[Date]=$A$4)*(GJ[Sort Code]=(TRIM(E$5)))*(GJ[Account Code]=(TRIM($B51))),GJ[Credit]))))</f>
        <v>0</v>
      </c>
      <c r="E51" s="467">
        <f t="shared" si="1"/>
        <v>0</v>
      </c>
    </row>
    <row r="52" spans="1:5" x14ac:dyDescent="0.2">
      <c r="A52" s="476" t="s">
        <v>198</v>
      </c>
      <c r="B52" s="339" t="s">
        <v>165</v>
      </c>
      <c r="C52" s="466">
        <f t="array" ref="C52">((SUM(IF((CkDJ[Sort Code]=(TRIM(E$5)))*(CkDJ[Account Code]=(TRIM($B52)))*(CkDJ[Date]&lt;=$C$8),CkDJ[Debit])))+(SUM(IF((CsDJ[Sort Code]=(TRIM(E$5)))*(CsDJ[Account Code]=(TRIM($B52)))*(CsDJ[Date]&lt;=$C$8),CsDJ[Debit])))+(SUM(IF((CRDJ[Sort Code]=(TRIM(E$5)))*(CRDJ[Account Code]=(TRIM($B52)))*(CRDJ[Date]&lt;=$C$8),CRDJ[Debit])))+(SUM(IF((GJ[Sort Code]=(TRIM(E$5)))*(GJ[Account Code]=(TRIM($B52)))*(GJ[Date]&lt;=$C$8),GJ[Debit]))))-((SUM(IF((CkDJ[Sort Code]=(TRIM(E$5)))*(CkDJ[Account Code]=(TRIM($B52)))*(CkDJ[Date]&lt;=$C$8),CkDJ[Credit])))+(SUM(IF((CsDJ[Sort Code]=(TRIM(E$5)))*(CsDJ[Account Code]=(TRIM($B52)))*(CsDJ[Date]&lt;=$C$8),CsDJ[Credit])))+(SUM(IF((CRDJ[Sort Code]=(TRIM(E$5)))*(CRDJ[Account Code]=(TRIM($B52)))*(CRDJ[Date]&lt;=$C$8),CRDJ[Credit])))+(SUM(IF((GJ[Sort Code]=(TRIM(E$5)))*(GJ[Account Code]=(TRIM($B52)))*(GJ[Date]&lt;=$C$8),GJ[Credit]))))</f>
        <v>0</v>
      </c>
      <c r="D52" s="466">
        <f t="array" ref="D52">((SUM(IF((CkDJ[Date]=$A$4)*(CkDJ[Sort Code]=(TRIM(E$5)))*(CkDJ[Account Code]=(TRIM($B52))),CkDJ[Debit])))+(SUM(IF((CsDJ[Date]=$A$4)*(CsDJ[Sort Code]=(TRIM(E$5)))*(CsDJ[Account Code]=(TRIM($B52))),CsDJ[Debit])))+(SUM(IF((CRDJ[Date]=$A$4)*(CRDJ[Sort Code]=(TRIM(E$5)))*(CRDJ[Account Code]=(TRIM($B52))),CRDJ[Debit])))+(SUM(IF((GJ[Date]=$A$4)*(GJ[Sort Code]=(TRIM(E$5)))*(GJ[Account Code]=(TRIM($B52))),GJ[Debit]))))-((SUM(IF((CkDJ[Date]=$A$4)*(CkDJ[Sort Code]=(TRIM(E$5)))*(CkDJ[Account Code]=(TRIM($B52))),CkDJ[Credit])))+(SUM(IF((CsDJ[Date]=$A$4)*(CsDJ[Sort Code]=(TRIM(E$5)))*(CsDJ[Account Code]=(TRIM($B52))),CsDJ[Credit])))+(SUM(IF((CRDJ[Date]=$A$4)*(CRDJ[Sort Code]=(TRIM(E$5)))*(CRDJ[Account Code]=(TRIM($B52))),CRDJ[Credit])))+(SUM(IF((GJ[Date]=$A$4)*(GJ[Sort Code]=(TRIM(E$5)))*(GJ[Account Code]=(TRIM($B52))),GJ[Credit]))))</f>
        <v>0</v>
      </c>
      <c r="E52" s="467">
        <f t="shared" si="1"/>
        <v>0</v>
      </c>
    </row>
    <row r="53" spans="1:5" x14ac:dyDescent="0.2">
      <c r="A53" s="476" t="s">
        <v>199</v>
      </c>
      <c r="B53" s="339" t="s">
        <v>166</v>
      </c>
      <c r="C53" s="466">
        <f t="array" ref="C53">((SUM(IF((CkDJ[Sort Code]=(TRIM(E$5)))*(CkDJ[Account Code]=(TRIM($B53)))*(CkDJ[Date]&lt;=$C$8),CkDJ[Debit])))+(SUM(IF((CsDJ[Sort Code]=(TRIM(E$5)))*(CsDJ[Account Code]=(TRIM($B53)))*(CsDJ[Date]&lt;=$C$8),CsDJ[Debit])))+(SUM(IF((CRDJ[Sort Code]=(TRIM(E$5)))*(CRDJ[Account Code]=(TRIM($B53)))*(CRDJ[Date]&lt;=$C$8),CRDJ[Debit])))+(SUM(IF((GJ[Sort Code]=(TRIM(E$5)))*(GJ[Account Code]=(TRIM($B53)))*(GJ[Date]&lt;=$C$8),GJ[Debit]))))-((SUM(IF((CkDJ[Sort Code]=(TRIM(E$5)))*(CkDJ[Account Code]=(TRIM($B53)))*(CkDJ[Date]&lt;=$C$8),CkDJ[Credit])))+(SUM(IF((CsDJ[Sort Code]=(TRIM(E$5)))*(CsDJ[Account Code]=(TRIM($B53)))*(CsDJ[Date]&lt;=$C$8),CsDJ[Credit])))+(SUM(IF((CRDJ[Sort Code]=(TRIM(E$5)))*(CRDJ[Account Code]=(TRIM($B53)))*(CRDJ[Date]&lt;=$C$8),CRDJ[Credit])))+(SUM(IF((GJ[Sort Code]=(TRIM(E$5)))*(GJ[Account Code]=(TRIM($B53)))*(GJ[Date]&lt;=$C$8),GJ[Credit]))))</f>
        <v>0</v>
      </c>
      <c r="D53" s="466">
        <f t="array" ref="D53">((SUM(IF((CkDJ[Date]=$A$4)*(CkDJ[Sort Code]=(TRIM(E$5)))*(CkDJ[Account Code]=(TRIM($B53))),CkDJ[Debit])))+(SUM(IF((CsDJ[Date]=$A$4)*(CsDJ[Sort Code]=(TRIM(E$5)))*(CsDJ[Account Code]=(TRIM($B53))),CsDJ[Debit])))+(SUM(IF((CRDJ[Date]=$A$4)*(CRDJ[Sort Code]=(TRIM(E$5)))*(CRDJ[Account Code]=(TRIM($B53))),CRDJ[Debit])))+(SUM(IF((GJ[Date]=$A$4)*(GJ[Sort Code]=(TRIM(E$5)))*(GJ[Account Code]=(TRIM($B53))),GJ[Debit]))))-((SUM(IF((CkDJ[Date]=$A$4)*(CkDJ[Sort Code]=(TRIM(E$5)))*(CkDJ[Account Code]=(TRIM($B53))),CkDJ[Credit])))+(SUM(IF((CsDJ[Date]=$A$4)*(CsDJ[Sort Code]=(TRIM(E$5)))*(CsDJ[Account Code]=(TRIM($B53))),CsDJ[Credit])))+(SUM(IF((CRDJ[Date]=$A$4)*(CRDJ[Sort Code]=(TRIM(E$5)))*(CRDJ[Account Code]=(TRIM($B53))),CRDJ[Credit])))+(SUM(IF((GJ[Date]=$A$4)*(GJ[Sort Code]=(TRIM(E$5)))*(GJ[Account Code]=(TRIM($B53))),GJ[Credit]))))</f>
        <v>0</v>
      </c>
      <c r="E53" s="467">
        <f t="shared" si="1"/>
        <v>0</v>
      </c>
    </row>
    <row r="54" spans="1:5" x14ac:dyDescent="0.2">
      <c r="A54" s="476" t="s">
        <v>200</v>
      </c>
      <c r="B54" s="339" t="s">
        <v>167</v>
      </c>
      <c r="C54" s="466">
        <f t="array" ref="C54">((SUM(IF((CkDJ[Sort Code]=(TRIM(E$5)))*(CkDJ[Account Code]=(TRIM($B54)))*(CkDJ[Date]&lt;=$C$8),CkDJ[Debit])))+(SUM(IF((CsDJ[Sort Code]=(TRIM(E$5)))*(CsDJ[Account Code]=(TRIM($B54)))*(CsDJ[Date]&lt;=$C$8),CsDJ[Debit])))+(SUM(IF((CRDJ[Sort Code]=(TRIM(E$5)))*(CRDJ[Account Code]=(TRIM($B54)))*(CRDJ[Date]&lt;=$C$8),CRDJ[Debit])))+(SUM(IF((GJ[Sort Code]=(TRIM(E$5)))*(GJ[Account Code]=(TRIM($B54)))*(GJ[Date]&lt;=$C$8),GJ[Debit]))))-((SUM(IF((CkDJ[Sort Code]=(TRIM(E$5)))*(CkDJ[Account Code]=(TRIM($B54)))*(CkDJ[Date]&lt;=$C$8),CkDJ[Credit])))+(SUM(IF((CsDJ[Sort Code]=(TRIM(E$5)))*(CsDJ[Account Code]=(TRIM($B54)))*(CsDJ[Date]&lt;=$C$8),CsDJ[Credit])))+(SUM(IF((CRDJ[Sort Code]=(TRIM(E$5)))*(CRDJ[Account Code]=(TRIM($B54)))*(CRDJ[Date]&lt;=$C$8),CRDJ[Credit])))+(SUM(IF((GJ[Sort Code]=(TRIM(E$5)))*(GJ[Account Code]=(TRIM($B54)))*(GJ[Date]&lt;=$C$8),GJ[Credit]))))</f>
        <v>0</v>
      </c>
      <c r="D54" s="466">
        <f t="array" ref="D54">((SUM(IF((CkDJ[Date]=$A$4)*(CkDJ[Sort Code]=(TRIM(E$5)))*(CkDJ[Account Code]=(TRIM($B54))),CkDJ[Debit])))+(SUM(IF((CsDJ[Date]=$A$4)*(CsDJ[Sort Code]=(TRIM(E$5)))*(CsDJ[Account Code]=(TRIM($B54))),CsDJ[Debit])))+(SUM(IF((CRDJ[Date]=$A$4)*(CRDJ[Sort Code]=(TRIM(E$5)))*(CRDJ[Account Code]=(TRIM($B54))),CRDJ[Debit])))+(SUM(IF((GJ[Date]=$A$4)*(GJ[Sort Code]=(TRIM(E$5)))*(GJ[Account Code]=(TRIM($B54))),GJ[Debit]))))-((SUM(IF((CkDJ[Date]=$A$4)*(CkDJ[Sort Code]=(TRIM(E$5)))*(CkDJ[Account Code]=(TRIM($B54))),CkDJ[Credit])))+(SUM(IF((CsDJ[Date]=$A$4)*(CsDJ[Sort Code]=(TRIM(E$5)))*(CsDJ[Account Code]=(TRIM($B54))),CsDJ[Credit])))+(SUM(IF((CRDJ[Date]=$A$4)*(CRDJ[Sort Code]=(TRIM(E$5)))*(CRDJ[Account Code]=(TRIM($B54))),CRDJ[Credit])))+(SUM(IF((GJ[Date]=$A$4)*(GJ[Sort Code]=(TRIM(E$5)))*(GJ[Account Code]=(TRIM($B54))),GJ[Credit]))))</f>
        <v>0</v>
      </c>
      <c r="E54" s="467">
        <f>C54+D54</f>
        <v>0</v>
      </c>
    </row>
    <row r="55" spans="1:5" x14ac:dyDescent="0.2">
      <c r="A55" s="476" t="s">
        <v>1204</v>
      </c>
      <c r="B55" s="339" t="s">
        <v>1262</v>
      </c>
      <c r="C55" s="466">
        <f t="array" ref="C55">((SUM(IF((CkDJ[Sort Code]=(TRIM(E$5)))*(CkDJ[Account Code]=(TRIM($B55)))*(CkDJ[Date]&lt;=$C$8),CkDJ[Debit])))+(SUM(IF((CsDJ[Sort Code]=(TRIM(E$5)))*(CsDJ[Account Code]=(TRIM($B55)))*(CsDJ[Date]&lt;=$C$8),CsDJ[Debit])))+(SUM(IF((CRDJ[Sort Code]=(TRIM(E$5)))*(CRDJ[Account Code]=(TRIM($B55)))*(CRDJ[Date]&lt;=$C$8),CRDJ[Debit])))+(SUM(IF((GJ[Sort Code]=(TRIM(E$5)))*(GJ[Account Code]=(TRIM($B55)))*(GJ[Date]&lt;=$C$8),GJ[Debit]))))-((SUM(IF((CkDJ[Sort Code]=(TRIM(E$5)))*(CkDJ[Account Code]=(TRIM($B55)))*(CkDJ[Date]&lt;=$C$8),CkDJ[Credit])))+(SUM(IF((CsDJ[Sort Code]=(TRIM(E$5)))*(CsDJ[Account Code]=(TRIM($B55)))*(CsDJ[Date]&lt;=$C$8),CsDJ[Credit])))+(SUM(IF((CRDJ[Sort Code]=(TRIM(E$5)))*(CRDJ[Account Code]=(TRIM($B55)))*(CRDJ[Date]&lt;=$C$8),CRDJ[Credit])))+(SUM(IF((GJ[Sort Code]=(TRIM(E$5)))*(GJ[Account Code]=(TRIM($B55)))*(GJ[Date]&lt;=$C$8),GJ[Credit]))))</f>
        <v>0</v>
      </c>
      <c r="D55" s="466">
        <f t="array" ref="D55">((SUM(IF((CkDJ[Date]=$A$4)*(CkDJ[Sort Code]=(TRIM(E$5)))*(CkDJ[Account Code]=(TRIM($B55))),CkDJ[Debit])))+(SUM(IF((CsDJ[Date]=$A$4)*(CsDJ[Sort Code]=(TRIM(E$5)))*(CsDJ[Account Code]=(TRIM($B55))),CsDJ[Debit])))+(SUM(IF((CRDJ[Date]=$A$4)*(CRDJ[Sort Code]=(TRIM(E$5)))*(CRDJ[Account Code]=(TRIM($B55))),CRDJ[Debit])))+(SUM(IF((GJ[Date]=$A$4)*(GJ[Sort Code]=(TRIM(E$5)))*(GJ[Account Code]=(TRIM($B55))),GJ[Debit]))))-((SUM(IF((CkDJ[Date]=$A$4)*(CkDJ[Sort Code]=(TRIM(E$5)))*(CkDJ[Account Code]=(TRIM($B55))),CkDJ[Credit])))+(SUM(IF((CsDJ[Date]=$A$4)*(CsDJ[Sort Code]=(TRIM(E$5)))*(CsDJ[Account Code]=(TRIM($B55))),CsDJ[Credit])))+(SUM(IF((CRDJ[Date]=$A$4)*(CRDJ[Sort Code]=(TRIM(E$5)))*(CRDJ[Account Code]=(TRIM($B55))),CRDJ[Credit])))+(SUM(IF((GJ[Date]=$A$4)*(GJ[Sort Code]=(TRIM(E$5)))*(GJ[Account Code]=(TRIM($B55))),GJ[Credit]))))</f>
        <v>0</v>
      </c>
      <c r="E55" s="467">
        <f>C55+D55</f>
        <v>0</v>
      </c>
    </row>
    <row r="56" spans="1:5" x14ac:dyDescent="0.2">
      <c r="A56" s="476" t="s">
        <v>204</v>
      </c>
      <c r="B56" s="339" t="s">
        <v>171</v>
      </c>
      <c r="C56" s="466">
        <f t="array" ref="C56">((SUM(IF((CkDJ[Sort Code]=(TRIM(E$5)))*(CkDJ[Account Code]=(TRIM($B56)))*(CkDJ[Date]&lt;=$C$8),CkDJ[Debit])))+(SUM(IF((CsDJ[Sort Code]=(TRIM(E$5)))*(CsDJ[Account Code]=(TRIM($B56)))*(CsDJ[Date]&lt;=$C$8),CsDJ[Debit])))+(SUM(IF((CRDJ[Sort Code]=(TRIM(E$5)))*(CRDJ[Account Code]=(TRIM($B56)))*(CRDJ[Date]&lt;=$C$8),CRDJ[Debit])))+(SUM(IF((GJ[Sort Code]=(TRIM(E$5)))*(GJ[Account Code]=(TRIM($B56)))*(GJ[Date]&lt;=$C$8),GJ[Debit]))))-((SUM(IF((CkDJ[Sort Code]=(TRIM(E$5)))*(CkDJ[Account Code]=(TRIM($B56)))*(CkDJ[Date]&lt;=$C$8),CkDJ[Credit])))+(SUM(IF((CsDJ[Sort Code]=(TRIM(E$5)))*(CsDJ[Account Code]=(TRIM($B56)))*(CsDJ[Date]&lt;=$C$8),CsDJ[Credit])))+(SUM(IF((CRDJ[Sort Code]=(TRIM(E$5)))*(CRDJ[Account Code]=(TRIM($B56)))*(CRDJ[Date]&lt;=$C$8),CRDJ[Credit])))+(SUM(IF((GJ[Sort Code]=(TRIM(E$5)))*(GJ[Account Code]=(TRIM($B56)))*(GJ[Date]&lt;=$C$8),GJ[Credit]))))</f>
        <v>0</v>
      </c>
      <c r="D56" s="466">
        <f t="array" ref="D56">((SUM(IF((CkDJ[Date]=$A$4)*(CkDJ[Sort Code]=(TRIM(E$5)))*(CkDJ[Account Code]=(TRIM($B56))),CkDJ[Debit])))+(SUM(IF((CsDJ[Date]=$A$4)*(CsDJ[Sort Code]=(TRIM(E$5)))*(CsDJ[Account Code]=(TRIM($B56))),CsDJ[Debit])))+(SUM(IF((CRDJ[Date]=$A$4)*(CRDJ[Sort Code]=(TRIM(E$5)))*(CRDJ[Account Code]=(TRIM($B56))),CRDJ[Debit])))+(SUM(IF((GJ[Date]=$A$4)*(GJ[Sort Code]=(TRIM(E$5)))*(GJ[Account Code]=(TRIM($B56))),GJ[Debit]))))-((SUM(IF((CkDJ[Date]=$A$4)*(CkDJ[Sort Code]=(TRIM(E$5)))*(CkDJ[Account Code]=(TRIM($B56))),CkDJ[Credit])))+(SUM(IF((CsDJ[Date]=$A$4)*(CsDJ[Sort Code]=(TRIM(E$5)))*(CsDJ[Account Code]=(TRIM($B56))),CsDJ[Credit])))+(SUM(IF((CRDJ[Date]=$A$4)*(CRDJ[Sort Code]=(TRIM(E$5)))*(CRDJ[Account Code]=(TRIM($B56))),CRDJ[Credit])))+(SUM(IF((GJ[Date]=$A$4)*(GJ[Sort Code]=(TRIM(E$5)))*(GJ[Account Code]=(TRIM($B56))),GJ[Credit]))))</f>
        <v>0</v>
      </c>
      <c r="E56" s="467">
        <f t="shared" ref="E56:E72" si="2">C56+D56</f>
        <v>0</v>
      </c>
    </row>
    <row r="57" spans="1:5" x14ac:dyDescent="0.2">
      <c r="A57" s="476" t="s">
        <v>201</v>
      </c>
      <c r="B57" s="339" t="s">
        <v>5</v>
      </c>
      <c r="C57" s="466">
        <f t="array" ref="C57">((SUM(IF((CkDJ[Sort Code]=(TRIM(E$5)))*(CkDJ[Account Code]=(TRIM($B57)))*(CkDJ[Date]&lt;=$C$8),CkDJ[Debit])))+(SUM(IF((CsDJ[Sort Code]=(TRIM(E$5)))*(CsDJ[Account Code]=(TRIM($B57)))*(CsDJ[Date]&lt;=$C$8),CsDJ[Debit])))+(SUM(IF((CRDJ[Sort Code]=(TRIM(E$5)))*(CRDJ[Account Code]=(TRIM($B57)))*(CRDJ[Date]&lt;=$C$8),CRDJ[Debit])))+(SUM(IF((GJ[Sort Code]=(TRIM(E$5)))*(GJ[Account Code]=(TRIM($B57)))*(GJ[Date]&lt;=$C$8),GJ[Debit]))))-((SUM(IF((CkDJ[Sort Code]=(TRIM(E$5)))*(CkDJ[Account Code]=(TRIM($B57)))*(CkDJ[Date]&lt;=$C$8),CkDJ[Credit])))+(SUM(IF((CsDJ[Sort Code]=(TRIM(E$5)))*(CsDJ[Account Code]=(TRIM($B57)))*(CsDJ[Date]&lt;=$C$8),CsDJ[Credit])))+(SUM(IF((CRDJ[Sort Code]=(TRIM(E$5)))*(CRDJ[Account Code]=(TRIM($B57)))*(CRDJ[Date]&lt;=$C$8),CRDJ[Credit])))+(SUM(IF((GJ[Sort Code]=(TRIM(E$5)))*(GJ[Account Code]=(TRIM($B57)))*(GJ[Date]&lt;=$C$8),GJ[Credit]))))</f>
        <v>0</v>
      </c>
      <c r="D57" s="466">
        <f t="array" ref="D57">((SUM(IF((CkDJ[Date]=$A$4)*(CkDJ[Sort Code]=(TRIM(E$5)))*(CkDJ[Account Code]=(TRIM($B57))),CkDJ[Debit])))+(SUM(IF((CsDJ[Date]=$A$4)*(CsDJ[Sort Code]=(TRIM(E$5)))*(CsDJ[Account Code]=(TRIM($B57))),CsDJ[Debit])))+(SUM(IF((CRDJ[Date]=$A$4)*(CRDJ[Sort Code]=(TRIM(E$5)))*(CRDJ[Account Code]=(TRIM($B57))),CRDJ[Debit])))+(SUM(IF((GJ[Date]=$A$4)*(GJ[Sort Code]=(TRIM(E$5)))*(GJ[Account Code]=(TRIM($B57))),GJ[Debit]))))-((SUM(IF((CkDJ[Date]=$A$4)*(CkDJ[Sort Code]=(TRIM(E$5)))*(CkDJ[Account Code]=(TRIM($B57))),CkDJ[Credit])))+(SUM(IF((CsDJ[Date]=$A$4)*(CsDJ[Sort Code]=(TRIM(E$5)))*(CsDJ[Account Code]=(TRIM($B57))),CsDJ[Credit])))+(SUM(IF((CRDJ[Date]=$A$4)*(CRDJ[Sort Code]=(TRIM(E$5)))*(CRDJ[Account Code]=(TRIM($B57))),CRDJ[Credit])))+(SUM(IF((GJ[Date]=$A$4)*(GJ[Sort Code]=(TRIM(E$5)))*(GJ[Account Code]=(TRIM($B57))),GJ[Credit]))))</f>
        <v>0</v>
      </c>
      <c r="E57" s="467">
        <f t="shared" si="2"/>
        <v>0</v>
      </c>
    </row>
    <row r="58" spans="1:5" x14ac:dyDescent="0.2">
      <c r="A58" s="476" t="s">
        <v>202</v>
      </c>
      <c r="B58" s="339" t="s">
        <v>6</v>
      </c>
      <c r="C58" s="466">
        <f t="array" ref="C58">((SUM(IF((CkDJ[Sort Code]=(TRIM(E$5)))*(CkDJ[Account Code]=(TRIM($B58)))*(CkDJ[Date]&lt;=$C$8),CkDJ[Debit])))+(SUM(IF((CsDJ[Sort Code]=(TRIM(E$5)))*(CsDJ[Account Code]=(TRIM($B58)))*(CsDJ[Date]&lt;=$C$8),CsDJ[Debit])))+(SUM(IF((CRDJ[Sort Code]=(TRIM(E$5)))*(CRDJ[Account Code]=(TRIM($B58)))*(CRDJ[Date]&lt;=$C$8),CRDJ[Debit])))+(SUM(IF((GJ[Sort Code]=(TRIM(E$5)))*(GJ[Account Code]=(TRIM($B58)))*(GJ[Date]&lt;=$C$8),GJ[Debit]))))-((SUM(IF((CkDJ[Sort Code]=(TRIM(E$5)))*(CkDJ[Account Code]=(TRIM($B58)))*(CkDJ[Date]&lt;=$C$8),CkDJ[Credit])))+(SUM(IF((CsDJ[Sort Code]=(TRIM(E$5)))*(CsDJ[Account Code]=(TRIM($B58)))*(CsDJ[Date]&lt;=$C$8),CsDJ[Credit])))+(SUM(IF((CRDJ[Sort Code]=(TRIM(E$5)))*(CRDJ[Account Code]=(TRIM($B58)))*(CRDJ[Date]&lt;=$C$8),CRDJ[Credit])))+(SUM(IF((GJ[Sort Code]=(TRIM(E$5)))*(GJ[Account Code]=(TRIM($B58)))*(GJ[Date]&lt;=$C$8),GJ[Credit]))))</f>
        <v>0</v>
      </c>
      <c r="D58" s="466">
        <f t="array" ref="D58">((SUM(IF((CkDJ[Date]=$A$4)*(CkDJ[Sort Code]=(TRIM(E$5)))*(CkDJ[Account Code]=(TRIM($B58))),CkDJ[Debit])))+(SUM(IF((CsDJ[Date]=$A$4)*(CsDJ[Sort Code]=(TRIM(E$5)))*(CsDJ[Account Code]=(TRIM($B58))),CsDJ[Debit])))+(SUM(IF((CRDJ[Date]=$A$4)*(CRDJ[Sort Code]=(TRIM(E$5)))*(CRDJ[Account Code]=(TRIM($B58))),CRDJ[Debit])))+(SUM(IF((GJ[Date]=$A$4)*(GJ[Sort Code]=(TRIM(E$5)))*(GJ[Account Code]=(TRIM($B58))),GJ[Debit]))))-((SUM(IF((CkDJ[Date]=$A$4)*(CkDJ[Sort Code]=(TRIM(E$5)))*(CkDJ[Account Code]=(TRIM($B58))),CkDJ[Credit])))+(SUM(IF((CsDJ[Date]=$A$4)*(CsDJ[Sort Code]=(TRIM(E$5)))*(CsDJ[Account Code]=(TRIM($B58))),CsDJ[Credit])))+(SUM(IF((CRDJ[Date]=$A$4)*(CRDJ[Sort Code]=(TRIM(E$5)))*(CRDJ[Account Code]=(TRIM($B58))),CRDJ[Credit])))+(SUM(IF((GJ[Date]=$A$4)*(GJ[Sort Code]=(TRIM(E$5)))*(GJ[Account Code]=(TRIM($B58))),GJ[Credit]))))</f>
        <v>0</v>
      </c>
      <c r="E58" s="467">
        <f t="shared" si="2"/>
        <v>0</v>
      </c>
    </row>
    <row r="59" spans="1:5" x14ac:dyDescent="0.2">
      <c r="A59" s="476" t="s">
        <v>203</v>
      </c>
      <c r="B59" s="339" t="s">
        <v>7</v>
      </c>
      <c r="C59" s="466">
        <f t="array" ref="C59">((SUM(IF((CkDJ[Sort Code]=(TRIM(E$5)))*(CkDJ[Account Code]=(TRIM($B59)))*(CkDJ[Date]&lt;=$C$8),CkDJ[Debit])))+(SUM(IF((CsDJ[Sort Code]=(TRIM(E$5)))*(CsDJ[Account Code]=(TRIM($B59)))*(CsDJ[Date]&lt;=$C$8),CsDJ[Debit])))+(SUM(IF((CRDJ[Sort Code]=(TRIM(E$5)))*(CRDJ[Account Code]=(TRIM($B59)))*(CRDJ[Date]&lt;=$C$8),CRDJ[Debit])))+(SUM(IF((GJ[Sort Code]=(TRIM(E$5)))*(GJ[Account Code]=(TRIM($B59)))*(GJ[Date]&lt;=$C$8),GJ[Debit]))))-((SUM(IF((CkDJ[Sort Code]=(TRIM(E$5)))*(CkDJ[Account Code]=(TRIM($B59)))*(CkDJ[Date]&lt;=$C$8),CkDJ[Credit])))+(SUM(IF((CsDJ[Sort Code]=(TRIM(E$5)))*(CsDJ[Account Code]=(TRIM($B59)))*(CsDJ[Date]&lt;=$C$8),CsDJ[Credit])))+(SUM(IF((CRDJ[Sort Code]=(TRIM(E$5)))*(CRDJ[Account Code]=(TRIM($B59)))*(CRDJ[Date]&lt;=$C$8),CRDJ[Credit])))+(SUM(IF((GJ[Sort Code]=(TRIM(E$5)))*(GJ[Account Code]=(TRIM($B59)))*(GJ[Date]&lt;=$C$8),GJ[Credit]))))</f>
        <v>0</v>
      </c>
      <c r="D59" s="466">
        <f t="array" ref="D59">((SUM(IF((CkDJ[Date]=$A$4)*(CkDJ[Sort Code]=(TRIM(E$5)))*(CkDJ[Account Code]=(TRIM($B59))),CkDJ[Debit])))+(SUM(IF((CsDJ[Date]=$A$4)*(CsDJ[Sort Code]=(TRIM(E$5)))*(CsDJ[Account Code]=(TRIM($B59))),CsDJ[Debit])))+(SUM(IF((CRDJ[Date]=$A$4)*(CRDJ[Sort Code]=(TRIM(E$5)))*(CRDJ[Account Code]=(TRIM($B59))),CRDJ[Debit])))+(SUM(IF((GJ[Date]=$A$4)*(GJ[Sort Code]=(TRIM(E$5)))*(GJ[Account Code]=(TRIM($B59))),GJ[Debit]))))-((SUM(IF((CkDJ[Date]=$A$4)*(CkDJ[Sort Code]=(TRIM(E$5)))*(CkDJ[Account Code]=(TRIM($B59))),CkDJ[Credit])))+(SUM(IF((CsDJ[Date]=$A$4)*(CsDJ[Sort Code]=(TRIM(E$5)))*(CsDJ[Account Code]=(TRIM($B59))),CsDJ[Credit])))+(SUM(IF((CRDJ[Date]=$A$4)*(CRDJ[Sort Code]=(TRIM(E$5)))*(CRDJ[Account Code]=(TRIM($B59))),CRDJ[Credit])))+(SUM(IF((GJ[Date]=$A$4)*(GJ[Sort Code]=(TRIM(E$5)))*(GJ[Account Code]=(TRIM($B59))),GJ[Credit]))))</f>
        <v>0</v>
      </c>
      <c r="E59" s="467">
        <f t="shared" si="2"/>
        <v>0</v>
      </c>
    </row>
    <row r="60" spans="1:5" x14ac:dyDescent="0.2">
      <c r="A60" s="476" t="s">
        <v>1378</v>
      </c>
      <c r="B60" s="339" t="s">
        <v>169</v>
      </c>
      <c r="C60" s="466">
        <f t="array" ref="C60">((SUM(IF((CkDJ[Sort Code]=(TRIM(E$5)))*(CkDJ[Account Code]=(TRIM($B60)))*(CkDJ[Date]&lt;=$C$8),CkDJ[Debit])))+(SUM(IF((CsDJ[Sort Code]=(TRIM(E$5)))*(CsDJ[Account Code]=(TRIM($B60)))*(CsDJ[Date]&lt;=$C$8),CsDJ[Debit])))+(SUM(IF((CRDJ[Sort Code]=(TRIM(E$5)))*(CRDJ[Account Code]=(TRIM($B60)))*(CRDJ[Date]&lt;=$C$8),CRDJ[Debit])))+(SUM(IF((GJ[Sort Code]=(TRIM(E$5)))*(GJ[Account Code]=(TRIM($B60)))*(GJ[Date]&lt;=$C$8),GJ[Debit]))))-((SUM(IF((CkDJ[Sort Code]=(TRIM(E$5)))*(CkDJ[Account Code]=(TRIM($B60)))*(CkDJ[Date]&lt;=$C$8),CkDJ[Credit])))+(SUM(IF((CsDJ[Sort Code]=(TRIM(E$5)))*(CsDJ[Account Code]=(TRIM($B60)))*(CsDJ[Date]&lt;=$C$8),CsDJ[Credit])))+(SUM(IF((CRDJ[Sort Code]=(TRIM(E$5)))*(CRDJ[Account Code]=(TRIM($B60)))*(CRDJ[Date]&lt;=$C$8),CRDJ[Credit])))+(SUM(IF((GJ[Sort Code]=(TRIM(E$5)))*(GJ[Account Code]=(TRIM($B60)))*(GJ[Date]&lt;=$C$8),GJ[Credit]))))</f>
        <v>0</v>
      </c>
      <c r="D60" s="466">
        <f t="array" ref="D60">((SUM(IF((CkDJ[Date]=$A$4)*(CkDJ[Sort Code]=(TRIM(E$5)))*(CkDJ[Account Code]=(TRIM($B60))),CkDJ[Debit])))+(SUM(IF((CsDJ[Date]=$A$4)*(CsDJ[Sort Code]=(TRIM(E$5)))*(CsDJ[Account Code]=(TRIM($B60))),CsDJ[Debit])))+(SUM(IF((CRDJ[Date]=$A$4)*(CRDJ[Sort Code]=(TRIM(E$5)))*(CRDJ[Account Code]=(TRIM($B60))),CRDJ[Debit])))+(SUM(IF((GJ[Date]=$A$4)*(GJ[Sort Code]=(TRIM(E$5)))*(GJ[Account Code]=(TRIM($B60))),GJ[Debit]))))-((SUM(IF((CkDJ[Date]=$A$4)*(CkDJ[Sort Code]=(TRIM(E$5)))*(CkDJ[Account Code]=(TRIM($B60))),CkDJ[Credit])))+(SUM(IF((CsDJ[Date]=$A$4)*(CsDJ[Sort Code]=(TRIM(E$5)))*(CsDJ[Account Code]=(TRIM($B60))),CsDJ[Credit])))+(SUM(IF((CRDJ[Date]=$A$4)*(CRDJ[Sort Code]=(TRIM(E$5)))*(CRDJ[Account Code]=(TRIM($B60))),CRDJ[Credit])))+(SUM(IF((GJ[Date]=$A$4)*(GJ[Sort Code]=(TRIM(E$5)))*(GJ[Account Code]=(TRIM($B60))),GJ[Credit]))))</f>
        <v>0</v>
      </c>
      <c r="E60" s="467">
        <f>C60+D60</f>
        <v>0</v>
      </c>
    </row>
    <row r="61" spans="1:5" x14ac:dyDescent="0.2">
      <c r="A61" s="476" t="s">
        <v>1474</v>
      </c>
      <c r="B61" s="339" t="s">
        <v>170</v>
      </c>
      <c r="C61" s="466">
        <f t="array" ref="C61">((SUM(IF((CkDJ[Sort Code]=(TRIM(E$5)))*(CkDJ[Account Code]=(TRIM($B61)))*(CkDJ[Date]&lt;=$C$8),CkDJ[Debit])))+(SUM(IF((CsDJ[Sort Code]=(TRIM(E$5)))*(CsDJ[Account Code]=(TRIM($B61)))*(CsDJ[Date]&lt;=$C$8),CsDJ[Debit])))+(SUM(IF((CRDJ[Sort Code]=(TRIM(E$5)))*(CRDJ[Account Code]=(TRIM($B61)))*(CRDJ[Date]&lt;=$C$8),CRDJ[Debit])))+(SUM(IF((GJ[Sort Code]=(TRIM(E$5)))*(GJ[Account Code]=(TRIM($B61)))*(GJ[Date]&lt;=$C$8),GJ[Debit]))))-((SUM(IF((CkDJ[Sort Code]=(TRIM(E$5)))*(CkDJ[Account Code]=(TRIM($B61)))*(CkDJ[Date]&lt;=$C$8),CkDJ[Credit])))+(SUM(IF((CsDJ[Sort Code]=(TRIM(E$5)))*(CsDJ[Account Code]=(TRIM($B61)))*(CsDJ[Date]&lt;=$C$8),CsDJ[Credit])))+(SUM(IF((CRDJ[Sort Code]=(TRIM(E$5)))*(CRDJ[Account Code]=(TRIM($B61)))*(CRDJ[Date]&lt;=$C$8),CRDJ[Credit])))+(SUM(IF((GJ[Sort Code]=(TRIM(E$5)))*(GJ[Account Code]=(TRIM($B61)))*(GJ[Date]&lt;=$C$8),GJ[Credit]))))</f>
        <v>0</v>
      </c>
      <c r="D61" s="466">
        <f t="array" ref="D61">((SUM(IF((CkDJ[Date]=$A$4)*(CkDJ[Sort Code]=(TRIM(E$5)))*(CkDJ[Account Code]=(TRIM($B61))),CkDJ[Debit])))+(SUM(IF((CsDJ[Date]=$A$4)*(CsDJ[Sort Code]=(TRIM(E$5)))*(CsDJ[Account Code]=(TRIM($B61))),CsDJ[Debit])))+(SUM(IF((CRDJ[Date]=$A$4)*(CRDJ[Sort Code]=(TRIM(E$5)))*(CRDJ[Account Code]=(TRIM($B61))),CRDJ[Debit])))+(SUM(IF((GJ[Date]=$A$4)*(GJ[Sort Code]=(TRIM(E$5)))*(GJ[Account Code]=(TRIM($B61))),GJ[Debit]))))-((SUM(IF((CkDJ[Date]=$A$4)*(CkDJ[Sort Code]=(TRIM(E$5)))*(CkDJ[Account Code]=(TRIM($B61))),CkDJ[Credit])))+(SUM(IF((CsDJ[Date]=$A$4)*(CsDJ[Sort Code]=(TRIM(E$5)))*(CsDJ[Account Code]=(TRIM($B61))),CsDJ[Credit])))+(SUM(IF((CRDJ[Date]=$A$4)*(CRDJ[Sort Code]=(TRIM(E$5)))*(CRDJ[Account Code]=(TRIM($B61))),CRDJ[Credit])))+(SUM(IF((GJ[Date]=$A$4)*(GJ[Sort Code]=(TRIM(E$5)))*(GJ[Account Code]=(TRIM($B61))),GJ[Credit]))))</f>
        <v>0</v>
      </c>
      <c r="E61" s="467">
        <f>C61+D61</f>
        <v>0</v>
      </c>
    </row>
    <row r="62" spans="1:5" x14ac:dyDescent="0.2">
      <c r="A62" s="476" t="s">
        <v>206</v>
      </c>
      <c r="B62" s="339" t="s">
        <v>173</v>
      </c>
      <c r="C62" s="466">
        <f t="array" ref="C62">((SUM(IF((CkDJ[Sort Code]=(TRIM(E$5)))*(CkDJ[Account Code]=(TRIM($B62)))*(CkDJ[Date]&lt;=$C$8),CkDJ[Debit])))+(SUM(IF((CsDJ[Sort Code]=(TRIM(E$5)))*(CsDJ[Account Code]=(TRIM($B62)))*(CsDJ[Date]&lt;=$C$8),CsDJ[Debit])))+(SUM(IF((CRDJ[Sort Code]=(TRIM(E$5)))*(CRDJ[Account Code]=(TRIM($B62)))*(CRDJ[Date]&lt;=$C$8),CRDJ[Debit])))+(SUM(IF((GJ[Sort Code]=(TRIM(E$5)))*(GJ[Account Code]=(TRIM($B62)))*(GJ[Date]&lt;=$C$8),GJ[Debit]))))-((SUM(IF((CkDJ[Sort Code]=(TRIM(E$5)))*(CkDJ[Account Code]=(TRIM($B62)))*(CkDJ[Date]&lt;=$C$8),CkDJ[Credit])))+(SUM(IF((CsDJ[Sort Code]=(TRIM(E$5)))*(CsDJ[Account Code]=(TRIM($B62)))*(CsDJ[Date]&lt;=$C$8),CsDJ[Credit])))+(SUM(IF((CRDJ[Sort Code]=(TRIM(E$5)))*(CRDJ[Account Code]=(TRIM($B62)))*(CRDJ[Date]&lt;=$C$8),CRDJ[Credit])))+(SUM(IF((GJ[Sort Code]=(TRIM(E$5)))*(GJ[Account Code]=(TRIM($B62)))*(GJ[Date]&lt;=$C$8),GJ[Credit]))))</f>
        <v>0</v>
      </c>
      <c r="D62" s="466">
        <f t="array" ref="D62">((SUM(IF((CkDJ[Date]=$A$4)*(CkDJ[Sort Code]=(TRIM(E$5)))*(CkDJ[Account Code]=(TRIM($B62))),CkDJ[Debit])))+(SUM(IF((CsDJ[Date]=$A$4)*(CsDJ[Sort Code]=(TRIM(E$5)))*(CsDJ[Account Code]=(TRIM($B62))),CsDJ[Debit])))+(SUM(IF((CRDJ[Date]=$A$4)*(CRDJ[Sort Code]=(TRIM(E$5)))*(CRDJ[Account Code]=(TRIM($B62))),CRDJ[Debit])))+(SUM(IF((GJ[Date]=$A$4)*(GJ[Sort Code]=(TRIM(E$5)))*(GJ[Account Code]=(TRIM($B62))),GJ[Debit]))))-((SUM(IF((CkDJ[Date]=$A$4)*(CkDJ[Sort Code]=(TRIM(E$5)))*(CkDJ[Account Code]=(TRIM($B62))),CkDJ[Credit])))+(SUM(IF((CsDJ[Date]=$A$4)*(CsDJ[Sort Code]=(TRIM(E$5)))*(CsDJ[Account Code]=(TRIM($B62))),CsDJ[Credit])))+(SUM(IF((CRDJ[Date]=$A$4)*(CRDJ[Sort Code]=(TRIM(E$5)))*(CRDJ[Account Code]=(TRIM($B62))),CRDJ[Credit])))+(SUM(IF((GJ[Date]=$A$4)*(GJ[Sort Code]=(TRIM(E$5)))*(GJ[Account Code]=(TRIM($B62))),GJ[Credit]))))</f>
        <v>0</v>
      </c>
      <c r="E62" s="467">
        <f t="shared" si="2"/>
        <v>0</v>
      </c>
    </row>
    <row r="63" spans="1:5" x14ac:dyDescent="0.2">
      <c r="A63" s="476" t="s">
        <v>354</v>
      </c>
      <c r="B63" s="339" t="s">
        <v>216</v>
      </c>
      <c r="C63" s="466">
        <f t="array" ref="C63">((SUM(IF((CkDJ[Sort Code]=(TRIM(E$5)))*(CkDJ[Account Code]=(TRIM($B63)))*(CkDJ[Date]&lt;=$C$8),CkDJ[Debit])))+(SUM(IF((CsDJ[Sort Code]=(TRIM(E$5)))*(CsDJ[Account Code]=(TRIM($B63)))*(CsDJ[Date]&lt;=$C$8),CsDJ[Debit])))+(SUM(IF((CRDJ[Sort Code]=(TRIM(E$5)))*(CRDJ[Account Code]=(TRIM($B63)))*(CRDJ[Date]&lt;=$C$8),CRDJ[Debit])))+(SUM(IF((GJ[Sort Code]=(TRIM(E$5)))*(GJ[Account Code]=(TRIM($B63)))*(GJ[Date]&lt;=$C$8),GJ[Debit]))))-((SUM(IF((CkDJ[Sort Code]=(TRIM(E$5)))*(CkDJ[Account Code]=(TRIM($B63)))*(CkDJ[Date]&lt;=$C$8),CkDJ[Credit])))+(SUM(IF((CsDJ[Sort Code]=(TRIM(E$5)))*(CsDJ[Account Code]=(TRIM($B63)))*(CsDJ[Date]&lt;=$C$8),CsDJ[Credit])))+(SUM(IF((CRDJ[Sort Code]=(TRIM(E$5)))*(CRDJ[Account Code]=(TRIM($B63)))*(CRDJ[Date]&lt;=$C$8),CRDJ[Credit])))+(SUM(IF((GJ[Sort Code]=(TRIM(E$5)))*(GJ[Account Code]=(TRIM($B63)))*(GJ[Date]&lt;=$C$8),GJ[Credit]))))</f>
        <v>0</v>
      </c>
      <c r="D63" s="466">
        <f t="array" ref="D63">((SUM(IF((CkDJ[Date]=$A$4)*(CkDJ[Sort Code]=(TRIM(E$5)))*(CkDJ[Account Code]=(TRIM($B63))),CkDJ[Debit])))+(SUM(IF((CsDJ[Date]=$A$4)*(CsDJ[Sort Code]=(TRIM(E$5)))*(CsDJ[Account Code]=(TRIM($B63))),CsDJ[Debit])))+(SUM(IF((CRDJ[Date]=$A$4)*(CRDJ[Sort Code]=(TRIM(E$5)))*(CRDJ[Account Code]=(TRIM($B63))),CRDJ[Debit])))+(SUM(IF((GJ[Date]=$A$4)*(GJ[Sort Code]=(TRIM(E$5)))*(GJ[Account Code]=(TRIM($B63))),GJ[Debit]))))-((SUM(IF((CkDJ[Date]=$A$4)*(CkDJ[Sort Code]=(TRIM(E$5)))*(CkDJ[Account Code]=(TRIM($B63))),CkDJ[Credit])))+(SUM(IF((CsDJ[Date]=$A$4)*(CsDJ[Sort Code]=(TRIM(E$5)))*(CsDJ[Account Code]=(TRIM($B63))),CsDJ[Credit])))+(SUM(IF((CRDJ[Date]=$A$4)*(CRDJ[Sort Code]=(TRIM(E$5)))*(CRDJ[Account Code]=(TRIM($B63))),CRDJ[Credit])))+(SUM(IF((GJ[Date]=$A$4)*(GJ[Sort Code]=(TRIM(E$5)))*(GJ[Account Code]=(TRIM($B63))),GJ[Credit]))))</f>
        <v>0</v>
      </c>
      <c r="E63" s="467">
        <f t="shared" si="2"/>
        <v>0</v>
      </c>
    </row>
    <row r="64" spans="1:5" x14ac:dyDescent="0.2">
      <c r="A64" s="476" t="s">
        <v>219</v>
      </c>
      <c r="B64" s="339" t="s">
        <v>214</v>
      </c>
      <c r="C64" s="466">
        <f t="array" ref="C64">((SUM(IF((CkDJ[Sort Code]=(TRIM(E$5)))*(CkDJ[Account Code]=(TRIM($B64)))*(CkDJ[Date]&lt;=$C$8),CkDJ[Debit])))+(SUM(IF((CsDJ[Sort Code]=(TRIM(E$5)))*(CsDJ[Account Code]=(TRIM($B64)))*(CsDJ[Date]&lt;=$C$8),CsDJ[Debit])))+(SUM(IF((CRDJ[Sort Code]=(TRIM(E$5)))*(CRDJ[Account Code]=(TRIM($B64)))*(CRDJ[Date]&lt;=$C$8),CRDJ[Debit])))+(SUM(IF((GJ[Sort Code]=(TRIM(E$5)))*(GJ[Account Code]=(TRIM($B64)))*(GJ[Date]&lt;=$C$8),GJ[Debit]))))-((SUM(IF((CkDJ[Sort Code]=(TRIM(E$5)))*(CkDJ[Account Code]=(TRIM($B64)))*(CkDJ[Date]&lt;=$C$8),CkDJ[Credit])))+(SUM(IF((CsDJ[Sort Code]=(TRIM(E$5)))*(CsDJ[Account Code]=(TRIM($B64)))*(CsDJ[Date]&lt;=$C$8),CsDJ[Credit])))+(SUM(IF((CRDJ[Sort Code]=(TRIM(E$5)))*(CRDJ[Account Code]=(TRIM($B64)))*(CRDJ[Date]&lt;=$C$8),CRDJ[Credit])))+(SUM(IF((GJ[Sort Code]=(TRIM(E$5)))*(GJ[Account Code]=(TRIM($B64)))*(GJ[Date]&lt;=$C$8),GJ[Credit]))))</f>
        <v>0</v>
      </c>
      <c r="D64" s="466">
        <f t="array" ref="D64">((SUM(IF((CkDJ[Date]=$A$4)*(CkDJ[Sort Code]=(TRIM(E$5)))*(CkDJ[Account Code]=(TRIM($B64))),CkDJ[Debit])))+(SUM(IF((CsDJ[Date]=$A$4)*(CsDJ[Sort Code]=(TRIM(E$5)))*(CsDJ[Account Code]=(TRIM($B64))),CsDJ[Debit])))+(SUM(IF((CRDJ[Date]=$A$4)*(CRDJ[Sort Code]=(TRIM(E$5)))*(CRDJ[Account Code]=(TRIM($B64))),CRDJ[Debit])))+(SUM(IF((GJ[Date]=$A$4)*(GJ[Sort Code]=(TRIM(E$5)))*(GJ[Account Code]=(TRIM($B64))),GJ[Debit]))))-((SUM(IF((CkDJ[Date]=$A$4)*(CkDJ[Sort Code]=(TRIM(E$5)))*(CkDJ[Account Code]=(TRIM($B64))),CkDJ[Credit])))+(SUM(IF((CsDJ[Date]=$A$4)*(CsDJ[Sort Code]=(TRIM(E$5)))*(CsDJ[Account Code]=(TRIM($B64))),CsDJ[Credit])))+(SUM(IF((CRDJ[Date]=$A$4)*(CRDJ[Sort Code]=(TRIM(E$5)))*(CRDJ[Account Code]=(TRIM($B64))),CRDJ[Credit])))+(SUM(IF((GJ[Date]=$A$4)*(GJ[Sort Code]=(TRIM(E$5)))*(GJ[Account Code]=(TRIM($B64))),GJ[Credit]))))</f>
        <v>0</v>
      </c>
      <c r="E64" s="467">
        <f t="shared" si="2"/>
        <v>0</v>
      </c>
    </row>
    <row r="65" spans="1:5" x14ac:dyDescent="0.2">
      <c r="A65" s="476" t="s">
        <v>205</v>
      </c>
      <c r="B65" s="339" t="s">
        <v>172</v>
      </c>
      <c r="C65" s="466">
        <f t="array" ref="C65">((SUM(IF((CkDJ[Sort Code]=(TRIM(E$5)))*(CkDJ[Account Code]=(TRIM($B65)))*(CkDJ[Date]&lt;=$C$8),CkDJ[Debit])))+(SUM(IF((CsDJ[Sort Code]=(TRIM(E$5)))*(CsDJ[Account Code]=(TRIM($B65)))*(CsDJ[Date]&lt;=$C$8),CsDJ[Debit])))+(SUM(IF((CRDJ[Sort Code]=(TRIM(E$5)))*(CRDJ[Account Code]=(TRIM($B65)))*(CRDJ[Date]&lt;=$C$8),CRDJ[Debit])))+(SUM(IF((GJ[Sort Code]=(TRIM(E$5)))*(GJ[Account Code]=(TRIM($B65)))*(GJ[Date]&lt;=$C$8),GJ[Debit]))))-((SUM(IF((CkDJ[Sort Code]=(TRIM(E$5)))*(CkDJ[Account Code]=(TRIM($B65)))*(CkDJ[Date]&lt;=$C$8),CkDJ[Credit])))+(SUM(IF((CsDJ[Sort Code]=(TRIM(E$5)))*(CsDJ[Account Code]=(TRIM($B65)))*(CsDJ[Date]&lt;=$C$8),CsDJ[Credit])))+(SUM(IF((CRDJ[Sort Code]=(TRIM(E$5)))*(CRDJ[Account Code]=(TRIM($B65)))*(CRDJ[Date]&lt;=$C$8),CRDJ[Credit])))+(SUM(IF((GJ[Sort Code]=(TRIM(E$5)))*(GJ[Account Code]=(TRIM($B65)))*(GJ[Date]&lt;=$C$8),GJ[Credit]))))</f>
        <v>0</v>
      </c>
      <c r="D65" s="466">
        <f t="array" ref="D65">((SUM(IF((CkDJ[Date]=$A$4)*(CkDJ[Sort Code]=(TRIM(E$5)))*(CkDJ[Account Code]=(TRIM($B65))),CkDJ[Debit])))+(SUM(IF((CsDJ[Date]=$A$4)*(CsDJ[Sort Code]=(TRIM(E$5)))*(CsDJ[Account Code]=(TRIM($B65))),CsDJ[Debit])))+(SUM(IF((CRDJ[Date]=$A$4)*(CRDJ[Sort Code]=(TRIM(E$5)))*(CRDJ[Account Code]=(TRIM($B65))),CRDJ[Debit])))+(SUM(IF((GJ[Date]=$A$4)*(GJ[Sort Code]=(TRIM(E$5)))*(GJ[Account Code]=(TRIM($B65))),GJ[Debit]))))-((SUM(IF((CkDJ[Date]=$A$4)*(CkDJ[Sort Code]=(TRIM(E$5)))*(CkDJ[Account Code]=(TRIM($B65))),CkDJ[Credit])))+(SUM(IF((CsDJ[Date]=$A$4)*(CsDJ[Sort Code]=(TRIM(E$5)))*(CsDJ[Account Code]=(TRIM($B65))),CsDJ[Credit])))+(SUM(IF((CRDJ[Date]=$A$4)*(CRDJ[Sort Code]=(TRIM(E$5)))*(CRDJ[Account Code]=(TRIM($B65))),CRDJ[Credit])))+(SUM(IF((GJ[Date]=$A$4)*(GJ[Sort Code]=(TRIM(E$5)))*(GJ[Account Code]=(TRIM($B65))),GJ[Credit]))))</f>
        <v>0</v>
      </c>
      <c r="E65" s="467">
        <f t="shared" si="2"/>
        <v>0</v>
      </c>
    </row>
    <row r="66" spans="1:5" x14ac:dyDescent="0.2">
      <c r="A66" s="476" t="s">
        <v>207</v>
      </c>
      <c r="B66" s="339" t="s">
        <v>174</v>
      </c>
      <c r="C66" s="466">
        <f t="array" ref="C66">((SUM(IF((CkDJ[Sort Code]=(TRIM(E$5)))*(CkDJ[Account Code]=(TRIM($B66)))*(CkDJ[Date]&lt;=$C$8),CkDJ[Debit])))+(SUM(IF((CsDJ[Sort Code]=(TRIM(E$5)))*(CsDJ[Account Code]=(TRIM($B66)))*(CsDJ[Date]&lt;=$C$8),CsDJ[Debit])))+(SUM(IF((CRDJ[Sort Code]=(TRIM(E$5)))*(CRDJ[Account Code]=(TRIM($B66)))*(CRDJ[Date]&lt;=$C$8),CRDJ[Debit])))+(SUM(IF((GJ[Sort Code]=(TRIM(E$5)))*(GJ[Account Code]=(TRIM($B66)))*(GJ[Date]&lt;=$C$8),GJ[Debit]))))-((SUM(IF((CkDJ[Sort Code]=(TRIM(E$5)))*(CkDJ[Account Code]=(TRIM($B66)))*(CkDJ[Date]&lt;=$C$8),CkDJ[Credit])))+(SUM(IF((CsDJ[Sort Code]=(TRIM(E$5)))*(CsDJ[Account Code]=(TRIM($B66)))*(CsDJ[Date]&lt;=$C$8),CsDJ[Credit])))+(SUM(IF((CRDJ[Sort Code]=(TRIM(E$5)))*(CRDJ[Account Code]=(TRIM($B66)))*(CRDJ[Date]&lt;=$C$8),CRDJ[Credit])))+(SUM(IF((GJ[Sort Code]=(TRIM(E$5)))*(GJ[Account Code]=(TRIM($B66)))*(GJ[Date]&lt;=$C$8),GJ[Credit]))))</f>
        <v>0</v>
      </c>
      <c r="D66" s="466">
        <f t="array" ref="D66">((SUM(IF((CkDJ[Date]=$A$4)*(CkDJ[Sort Code]=(TRIM(E$5)))*(CkDJ[Account Code]=(TRIM($B66))),CkDJ[Debit])))+(SUM(IF((CsDJ[Date]=$A$4)*(CsDJ[Sort Code]=(TRIM(E$5)))*(CsDJ[Account Code]=(TRIM($B66))),CsDJ[Debit])))+(SUM(IF((CRDJ[Date]=$A$4)*(CRDJ[Sort Code]=(TRIM(E$5)))*(CRDJ[Account Code]=(TRIM($B66))),CRDJ[Debit])))+(SUM(IF((GJ[Date]=$A$4)*(GJ[Sort Code]=(TRIM(E$5)))*(GJ[Account Code]=(TRIM($B66))),GJ[Debit]))))-((SUM(IF((CkDJ[Date]=$A$4)*(CkDJ[Sort Code]=(TRIM(E$5)))*(CkDJ[Account Code]=(TRIM($B66))),CkDJ[Credit])))+(SUM(IF((CsDJ[Date]=$A$4)*(CsDJ[Sort Code]=(TRIM(E$5)))*(CsDJ[Account Code]=(TRIM($B66))),CsDJ[Credit])))+(SUM(IF((CRDJ[Date]=$A$4)*(CRDJ[Sort Code]=(TRIM(E$5)))*(CRDJ[Account Code]=(TRIM($B66))),CRDJ[Credit])))+(SUM(IF((GJ[Date]=$A$4)*(GJ[Sort Code]=(TRIM(E$5)))*(GJ[Account Code]=(TRIM($B66))),GJ[Credit]))))</f>
        <v>0</v>
      </c>
      <c r="E66" s="467">
        <f t="shared" si="2"/>
        <v>0</v>
      </c>
    </row>
    <row r="67" spans="1:5" x14ac:dyDescent="0.2">
      <c r="A67" s="476" t="s">
        <v>208</v>
      </c>
      <c r="B67" s="339" t="s">
        <v>175</v>
      </c>
      <c r="C67" s="466">
        <f t="array" ref="C67">((SUM(IF((CkDJ[Sort Code]=(TRIM(E$5)))*(CkDJ[Account Code]=(TRIM($B67)))*(CkDJ[Date]&lt;=$C$8),CkDJ[Debit])))+(SUM(IF((CsDJ[Sort Code]=(TRIM(E$5)))*(CsDJ[Account Code]=(TRIM($B67)))*(CsDJ[Date]&lt;=$C$8),CsDJ[Debit])))+(SUM(IF((CRDJ[Sort Code]=(TRIM(E$5)))*(CRDJ[Account Code]=(TRIM($B67)))*(CRDJ[Date]&lt;=$C$8),CRDJ[Debit])))+(SUM(IF((GJ[Sort Code]=(TRIM(E$5)))*(GJ[Account Code]=(TRIM($B67)))*(GJ[Date]&lt;=$C$8),GJ[Debit]))))-((SUM(IF((CkDJ[Sort Code]=(TRIM(E$5)))*(CkDJ[Account Code]=(TRIM($B67)))*(CkDJ[Date]&lt;=$C$8),CkDJ[Credit])))+(SUM(IF((CsDJ[Sort Code]=(TRIM(E$5)))*(CsDJ[Account Code]=(TRIM($B67)))*(CsDJ[Date]&lt;=$C$8),CsDJ[Credit])))+(SUM(IF((CRDJ[Sort Code]=(TRIM(E$5)))*(CRDJ[Account Code]=(TRIM($B67)))*(CRDJ[Date]&lt;=$C$8),CRDJ[Credit])))+(SUM(IF((GJ[Sort Code]=(TRIM(E$5)))*(GJ[Account Code]=(TRIM($B67)))*(GJ[Date]&lt;=$C$8),GJ[Credit]))))</f>
        <v>0</v>
      </c>
      <c r="D67" s="466">
        <f t="array" ref="D67">((SUM(IF((CkDJ[Date]=$A$4)*(CkDJ[Sort Code]=(TRIM(E$5)))*(CkDJ[Account Code]=(TRIM($B67))),CkDJ[Debit])))+(SUM(IF((CsDJ[Date]=$A$4)*(CsDJ[Sort Code]=(TRIM(E$5)))*(CsDJ[Account Code]=(TRIM($B67))),CsDJ[Debit])))+(SUM(IF((CRDJ[Date]=$A$4)*(CRDJ[Sort Code]=(TRIM(E$5)))*(CRDJ[Account Code]=(TRIM($B67))),CRDJ[Debit])))+(SUM(IF((GJ[Date]=$A$4)*(GJ[Sort Code]=(TRIM(E$5)))*(GJ[Account Code]=(TRIM($B67))),GJ[Debit]))))-((SUM(IF((CkDJ[Date]=$A$4)*(CkDJ[Sort Code]=(TRIM(E$5)))*(CkDJ[Account Code]=(TRIM($B67))),CkDJ[Credit])))+(SUM(IF((CsDJ[Date]=$A$4)*(CsDJ[Sort Code]=(TRIM(E$5)))*(CsDJ[Account Code]=(TRIM($B67))),CsDJ[Credit])))+(SUM(IF((CRDJ[Date]=$A$4)*(CRDJ[Sort Code]=(TRIM(E$5)))*(CRDJ[Account Code]=(TRIM($B67))),CRDJ[Credit])))+(SUM(IF((GJ[Date]=$A$4)*(GJ[Sort Code]=(TRIM(E$5)))*(GJ[Account Code]=(TRIM($B67))),GJ[Credit]))))</f>
        <v>0</v>
      </c>
      <c r="E67" s="467">
        <f t="shared" si="2"/>
        <v>0</v>
      </c>
    </row>
    <row r="68" spans="1:5" x14ac:dyDescent="0.2">
      <c r="A68" s="476" t="s">
        <v>209</v>
      </c>
      <c r="B68" s="339" t="s">
        <v>176</v>
      </c>
      <c r="C68" s="466">
        <f t="array" ref="C68">((SUM(IF((CkDJ[Sort Code]=(TRIM(E$5)))*(CkDJ[Account Code]=(TRIM($B68)))*(CkDJ[Date]&lt;=$C$8),CkDJ[Debit])))+(SUM(IF((CsDJ[Sort Code]=(TRIM(E$5)))*(CsDJ[Account Code]=(TRIM($B68)))*(CsDJ[Date]&lt;=$C$8),CsDJ[Debit])))+(SUM(IF((CRDJ[Sort Code]=(TRIM(E$5)))*(CRDJ[Account Code]=(TRIM($B68)))*(CRDJ[Date]&lt;=$C$8),CRDJ[Debit])))+(SUM(IF((GJ[Sort Code]=(TRIM(E$5)))*(GJ[Account Code]=(TRIM($B68)))*(GJ[Date]&lt;=$C$8),GJ[Debit]))))-((SUM(IF((CkDJ[Sort Code]=(TRIM(E$5)))*(CkDJ[Account Code]=(TRIM($B68)))*(CkDJ[Date]&lt;=$C$8),CkDJ[Credit])))+(SUM(IF((CsDJ[Sort Code]=(TRIM(E$5)))*(CsDJ[Account Code]=(TRIM($B68)))*(CsDJ[Date]&lt;=$C$8),CsDJ[Credit])))+(SUM(IF((CRDJ[Sort Code]=(TRIM(E$5)))*(CRDJ[Account Code]=(TRIM($B68)))*(CRDJ[Date]&lt;=$C$8),CRDJ[Credit])))+(SUM(IF((GJ[Sort Code]=(TRIM(E$5)))*(GJ[Account Code]=(TRIM($B68)))*(GJ[Date]&lt;=$C$8),GJ[Credit]))))</f>
        <v>0</v>
      </c>
      <c r="D68" s="466">
        <f t="array" ref="D68">((SUM(IF((CkDJ[Date]=$A$4)*(CkDJ[Sort Code]=(TRIM(E$5)))*(CkDJ[Account Code]=(TRIM($B68))),CkDJ[Debit])))+(SUM(IF((CsDJ[Date]=$A$4)*(CsDJ[Sort Code]=(TRIM(E$5)))*(CsDJ[Account Code]=(TRIM($B68))),CsDJ[Debit])))+(SUM(IF((CRDJ[Date]=$A$4)*(CRDJ[Sort Code]=(TRIM(E$5)))*(CRDJ[Account Code]=(TRIM($B68))),CRDJ[Debit])))+(SUM(IF((GJ[Date]=$A$4)*(GJ[Sort Code]=(TRIM(E$5)))*(GJ[Account Code]=(TRIM($B68))),GJ[Debit]))))-((SUM(IF((CkDJ[Date]=$A$4)*(CkDJ[Sort Code]=(TRIM(E$5)))*(CkDJ[Account Code]=(TRIM($B68))),CkDJ[Credit])))+(SUM(IF((CsDJ[Date]=$A$4)*(CsDJ[Sort Code]=(TRIM(E$5)))*(CsDJ[Account Code]=(TRIM($B68))),CsDJ[Credit])))+(SUM(IF((CRDJ[Date]=$A$4)*(CRDJ[Sort Code]=(TRIM(E$5)))*(CRDJ[Account Code]=(TRIM($B68))),CRDJ[Credit])))+(SUM(IF((GJ[Date]=$A$4)*(GJ[Sort Code]=(TRIM(E$5)))*(GJ[Account Code]=(TRIM($B68))),GJ[Credit]))))</f>
        <v>0</v>
      </c>
      <c r="E68" s="467">
        <f t="shared" si="2"/>
        <v>0</v>
      </c>
    </row>
    <row r="69" spans="1:5" x14ac:dyDescent="0.2">
      <c r="A69" s="476" t="s">
        <v>210</v>
      </c>
      <c r="B69" s="339" t="s">
        <v>177</v>
      </c>
      <c r="C69" s="466">
        <f t="array" ref="C69">((SUM(IF((CkDJ[Sort Code]=(TRIM(E$5)))*(CkDJ[Account Code]=(TRIM($B69)))*(CkDJ[Date]&lt;=$C$8),CkDJ[Debit])))+(SUM(IF((CsDJ[Sort Code]=(TRIM(E$5)))*(CsDJ[Account Code]=(TRIM($B69)))*(CsDJ[Date]&lt;=$C$8),CsDJ[Debit])))+(SUM(IF((CRDJ[Sort Code]=(TRIM(E$5)))*(CRDJ[Account Code]=(TRIM($B69)))*(CRDJ[Date]&lt;=$C$8),CRDJ[Debit])))+(SUM(IF((GJ[Sort Code]=(TRIM(E$5)))*(GJ[Account Code]=(TRIM($B69)))*(GJ[Date]&lt;=$C$8),GJ[Debit]))))-((SUM(IF((CkDJ[Sort Code]=(TRIM(E$5)))*(CkDJ[Account Code]=(TRIM($B69)))*(CkDJ[Date]&lt;=$C$8),CkDJ[Credit])))+(SUM(IF((CsDJ[Sort Code]=(TRIM(E$5)))*(CsDJ[Account Code]=(TRIM($B69)))*(CsDJ[Date]&lt;=$C$8),CsDJ[Credit])))+(SUM(IF((CRDJ[Sort Code]=(TRIM(E$5)))*(CRDJ[Account Code]=(TRIM($B69)))*(CRDJ[Date]&lt;=$C$8),CRDJ[Credit])))+(SUM(IF((GJ[Sort Code]=(TRIM(E$5)))*(GJ[Account Code]=(TRIM($B69)))*(GJ[Date]&lt;=$C$8),GJ[Credit]))))</f>
        <v>0</v>
      </c>
      <c r="D69" s="466">
        <f t="array" ref="D69">((SUM(IF((CkDJ[Date]=$A$4)*(CkDJ[Sort Code]=(TRIM(E$5)))*(CkDJ[Account Code]=(TRIM($B69))),CkDJ[Debit])))+(SUM(IF((CsDJ[Date]=$A$4)*(CsDJ[Sort Code]=(TRIM(E$5)))*(CsDJ[Account Code]=(TRIM($B69))),CsDJ[Debit])))+(SUM(IF((CRDJ[Date]=$A$4)*(CRDJ[Sort Code]=(TRIM(E$5)))*(CRDJ[Account Code]=(TRIM($B69))),CRDJ[Debit])))+(SUM(IF((GJ[Date]=$A$4)*(GJ[Sort Code]=(TRIM(E$5)))*(GJ[Account Code]=(TRIM($B69))),GJ[Debit]))))-((SUM(IF((CkDJ[Date]=$A$4)*(CkDJ[Sort Code]=(TRIM(E$5)))*(CkDJ[Account Code]=(TRIM($B69))),CkDJ[Credit])))+(SUM(IF((CsDJ[Date]=$A$4)*(CsDJ[Sort Code]=(TRIM(E$5)))*(CsDJ[Account Code]=(TRIM($B69))),CsDJ[Credit])))+(SUM(IF((CRDJ[Date]=$A$4)*(CRDJ[Sort Code]=(TRIM(E$5)))*(CRDJ[Account Code]=(TRIM($B69))),CRDJ[Credit])))+(SUM(IF((GJ[Date]=$A$4)*(GJ[Sort Code]=(TRIM(E$5)))*(GJ[Account Code]=(TRIM($B69))),GJ[Credit]))))</f>
        <v>0</v>
      </c>
      <c r="E69" s="467">
        <f t="shared" si="2"/>
        <v>0</v>
      </c>
    </row>
    <row r="70" spans="1:5" x14ac:dyDescent="0.2">
      <c r="A70" s="476" t="s">
        <v>211</v>
      </c>
      <c r="B70" s="339" t="s">
        <v>178</v>
      </c>
      <c r="C70" s="466">
        <f t="array" ref="C70">((SUM(IF((CkDJ[Sort Code]=(TRIM(E$5)))*(CkDJ[Account Code]=(TRIM($B70)))*(CkDJ[Date]&lt;=$C$8),CkDJ[Debit])))+(SUM(IF((CsDJ[Sort Code]=(TRIM(E$5)))*(CsDJ[Account Code]=(TRIM($B70)))*(CsDJ[Date]&lt;=$C$8),CsDJ[Debit])))+(SUM(IF((CRDJ[Sort Code]=(TRIM(E$5)))*(CRDJ[Account Code]=(TRIM($B70)))*(CRDJ[Date]&lt;=$C$8),CRDJ[Debit])))+(SUM(IF((GJ[Sort Code]=(TRIM(E$5)))*(GJ[Account Code]=(TRIM($B70)))*(GJ[Date]&lt;=$C$8),GJ[Debit]))))-((SUM(IF((CkDJ[Sort Code]=(TRIM(E$5)))*(CkDJ[Account Code]=(TRIM($B70)))*(CkDJ[Date]&lt;=$C$8),CkDJ[Credit])))+(SUM(IF((CsDJ[Sort Code]=(TRIM(E$5)))*(CsDJ[Account Code]=(TRIM($B70)))*(CsDJ[Date]&lt;=$C$8),CsDJ[Credit])))+(SUM(IF((CRDJ[Sort Code]=(TRIM(E$5)))*(CRDJ[Account Code]=(TRIM($B70)))*(CRDJ[Date]&lt;=$C$8),CRDJ[Credit])))+(SUM(IF((GJ[Sort Code]=(TRIM(E$5)))*(GJ[Account Code]=(TRIM($B70)))*(GJ[Date]&lt;=$C$8),GJ[Credit]))))</f>
        <v>0</v>
      </c>
      <c r="D70" s="466">
        <f t="array" ref="D70">((SUM(IF((CkDJ[Date]=$A$4)*(CkDJ[Sort Code]=(TRIM(E$5)))*(CkDJ[Account Code]=(TRIM($B70))),CkDJ[Debit])))+(SUM(IF((CsDJ[Date]=$A$4)*(CsDJ[Sort Code]=(TRIM(E$5)))*(CsDJ[Account Code]=(TRIM($B70))),CsDJ[Debit])))+(SUM(IF((CRDJ[Date]=$A$4)*(CRDJ[Sort Code]=(TRIM(E$5)))*(CRDJ[Account Code]=(TRIM($B70))),CRDJ[Debit])))+(SUM(IF((GJ[Date]=$A$4)*(GJ[Sort Code]=(TRIM(E$5)))*(GJ[Account Code]=(TRIM($B70))),GJ[Debit]))))-((SUM(IF((CkDJ[Date]=$A$4)*(CkDJ[Sort Code]=(TRIM(E$5)))*(CkDJ[Account Code]=(TRIM($B70))),CkDJ[Credit])))+(SUM(IF((CsDJ[Date]=$A$4)*(CsDJ[Sort Code]=(TRIM(E$5)))*(CsDJ[Account Code]=(TRIM($B70))),CsDJ[Credit])))+(SUM(IF((CRDJ[Date]=$A$4)*(CRDJ[Sort Code]=(TRIM(E$5)))*(CRDJ[Account Code]=(TRIM($B70))),CRDJ[Credit])))+(SUM(IF((GJ[Date]=$A$4)*(GJ[Sort Code]=(TRIM(E$5)))*(GJ[Account Code]=(TRIM($B70))),GJ[Credit]))))</f>
        <v>0</v>
      </c>
      <c r="E70" s="467">
        <f t="shared" si="2"/>
        <v>0</v>
      </c>
    </row>
    <row r="71" spans="1:5" x14ac:dyDescent="0.2">
      <c r="A71" s="476" t="s">
        <v>1167</v>
      </c>
      <c r="B71" s="339" t="s">
        <v>212</v>
      </c>
      <c r="C71" s="466">
        <f t="array" ref="C71">((SUM(IF((CkDJ[Sort Code]=(TRIM(E$5)))*(CkDJ[Account Code]=(TRIM($B71)))*(CkDJ[Date]&lt;=$C$8),CkDJ[Debit])))+(SUM(IF((CsDJ[Sort Code]=(TRIM(E$5)))*(CsDJ[Account Code]=(TRIM($B71)))*(CsDJ[Date]&lt;=$C$8),CsDJ[Debit])))+(SUM(IF((CRDJ[Sort Code]=(TRIM(E$5)))*(CRDJ[Account Code]=(TRIM($B71)))*(CRDJ[Date]&lt;=$C$8),CRDJ[Debit])))+(SUM(IF((GJ[Sort Code]=(TRIM(E$5)))*(GJ[Account Code]=(TRIM($B71)))*(GJ[Date]&lt;=$C$8),GJ[Debit]))))-((SUM(IF((CkDJ[Sort Code]=(TRIM(E$5)))*(CkDJ[Account Code]=(TRIM($B71)))*(CkDJ[Date]&lt;=$C$8),CkDJ[Credit])))+(SUM(IF((CsDJ[Sort Code]=(TRIM(E$5)))*(CsDJ[Account Code]=(TRIM($B71)))*(CsDJ[Date]&lt;=$C$8),CsDJ[Credit])))+(SUM(IF((CRDJ[Sort Code]=(TRIM(E$5)))*(CRDJ[Account Code]=(TRIM($B71)))*(CRDJ[Date]&lt;=$C$8),CRDJ[Credit])))+(SUM(IF((GJ[Sort Code]=(TRIM(E$5)))*(GJ[Account Code]=(TRIM($B71)))*(GJ[Date]&lt;=$C$8),GJ[Credit]))))</f>
        <v>0</v>
      </c>
      <c r="D71" s="466">
        <f t="array" ref="D71">((SUM(IF((CkDJ[Date]=$A$4)*(CkDJ[Sort Code]=(TRIM(E$5)))*(CkDJ[Account Code]=(TRIM($B71))),CkDJ[Debit])))+(SUM(IF((CsDJ[Date]=$A$4)*(CsDJ[Sort Code]=(TRIM(E$5)))*(CsDJ[Account Code]=(TRIM($B71))),CsDJ[Debit])))+(SUM(IF((CRDJ[Date]=$A$4)*(CRDJ[Sort Code]=(TRIM(E$5)))*(CRDJ[Account Code]=(TRIM($B71))),CRDJ[Debit])))+(SUM(IF((GJ[Date]=$A$4)*(GJ[Sort Code]=(TRIM(E$5)))*(GJ[Account Code]=(TRIM($B71))),GJ[Debit]))))-((SUM(IF((CkDJ[Date]=$A$4)*(CkDJ[Sort Code]=(TRIM(E$5)))*(CkDJ[Account Code]=(TRIM($B71))),CkDJ[Credit])))+(SUM(IF((CsDJ[Date]=$A$4)*(CsDJ[Sort Code]=(TRIM(E$5)))*(CsDJ[Account Code]=(TRIM($B71))),CsDJ[Credit])))+(SUM(IF((CRDJ[Date]=$A$4)*(CRDJ[Sort Code]=(TRIM(E$5)))*(CRDJ[Account Code]=(TRIM($B71))),CRDJ[Credit])))+(SUM(IF((GJ[Date]=$A$4)*(GJ[Sort Code]=(TRIM(E$5)))*(GJ[Account Code]=(TRIM($B71))),GJ[Credit]))))</f>
        <v>0</v>
      </c>
      <c r="E71" s="467">
        <f>C71+D71</f>
        <v>0</v>
      </c>
    </row>
    <row r="72" spans="1:5" x14ac:dyDescent="0.2">
      <c r="A72" s="481" t="s">
        <v>218</v>
      </c>
      <c r="B72" s="482" t="s">
        <v>213</v>
      </c>
      <c r="C72" s="483">
        <f t="array" ref="C72">((SUM(IF((CkDJ[Sort Code]=(TRIM(E$5)))*(CkDJ[Account Code]=(TRIM($B72)))*(CkDJ[Date]&lt;=$C$8),CkDJ[Debit])))+(SUM(IF((CsDJ[Sort Code]=(TRIM(E$5)))*(CsDJ[Account Code]=(TRIM($B72)))*(CsDJ[Date]&lt;=$C$8),CsDJ[Debit])))+(SUM(IF((CRDJ[Sort Code]=(TRIM(E$5)))*(CRDJ[Account Code]=(TRIM($B72)))*(CRDJ[Date]&lt;=$C$8),CRDJ[Debit])))+(SUM(IF((GJ[Sort Code]=(TRIM(E$5)))*(GJ[Account Code]=(TRIM($B72)))*(GJ[Date]&lt;=$C$8),GJ[Debit]))))-((SUM(IF((CkDJ[Sort Code]=(TRIM(E$5)))*(CkDJ[Account Code]=(TRIM($B72)))*(CkDJ[Date]&lt;=$C$8),CkDJ[Credit])))+(SUM(IF((CsDJ[Sort Code]=(TRIM(E$5)))*(CsDJ[Account Code]=(TRIM($B72)))*(CsDJ[Date]&lt;=$C$8),CsDJ[Credit])))+(SUM(IF((CRDJ[Sort Code]=(TRIM(E$5)))*(CRDJ[Account Code]=(TRIM($B72)))*(CRDJ[Date]&lt;=$C$8),CRDJ[Credit])))+(SUM(IF((GJ[Sort Code]=(TRIM(E$5)))*(GJ[Account Code]=(TRIM($B72)))*(GJ[Date]&lt;=$C$8),GJ[Credit]))))</f>
        <v>0</v>
      </c>
      <c r="D72" s="483">
        <f t="array" ref="D72">((SUM(IF((CkDJ[Date]=$A$4)*(CkDJ[Sort Code]=(TRIM(E$5)))*(CkDJ[Account Code]=(TRIM($B72))),CkDJ[Debit])))+(SUM(IF((CsDJ[Date]=$A$4)*(CsDJ[Sort Code]=(TRIM(E$5)))*(CsDJ[Account Code]=(TRIM($B72))),CsDJ[Debit])))+(SUM(IF((CRDJ[Date]=$A$4)*(CRDJ[Sort Code]=(TRIM(E$5)))*(CRDJ[Account Code]=(TRIM($B72))),CRDJ[Debit])))+(SUM(IF((GJ[Date]=$A$4)*(GJ[Sort Code]=(TRIM(E$5)))*(GJ[Account Code]=(TRIM($B72))),GJ[Debit]))))-((SUM(IF((CkDJ[Date]=$A$4)*(CkDJ[Sort Code]=(TRIM(E$5)))*(CkDJ[Account Code]=(TRIM($B72))),CkDJ[Credit])))+(SUM(IF((CsDJ[Date]=$A$4)*(CsDJ[Sort Code]=(TRIM(E$5)))*(CsDJ[Account Code]=(TRIM($B72))),CsDJ[Credit])))+(SUM(IF((CRDJ[Date]=$A$4)*(CRDJ[Sort Code]=(TRIM(E$5)))*(CRDJ[Account Code]=(TRIM($B72))),CRDJ[Credit])))+(SUM(IF((GJ[Date]=$A$4)*(GJ[Sort Code]=(TRIM(E$5)))*(GJ[Account Code]=(TRIM($B72))),GJ[Credit]))))</f>
        <v>0</v>
      </c>
      <c r="E72" s="484">
        <f t="shared" si="2"/>
        <v>0</v>
      </c>
    </row>
    <row r="73" spans="1:5" x14ac:dyDescent="0.2">
      <c r="A73" s="476"/>
      <c r="B73" s="339"/>
      <c r="C73" s="466"/>
      <c r="D73" s="466"/>
      <c r="E73" s="467"/>
    </row>
    <row r="74" spans="1:5" x14ac:dyDescent="0.2">
      <c r="A74" s="471" t="s">
        <v>810</v>
      </c>
      <c r="B74" s="339"/>
      <c r="C74" s="480">
        <f>SUM(C75:C137)</f>
        <v>0</v>
      </c>
      <c r="D74" s="480">
        <f>SUM(D75:D137)</f>
        <v>0</v>
      </c>
      <c r="E74" s="480">
        <f>SUM(E75:E137)</f>
        <v>0</v>
      </c>
    </row>
    <row r="75" spans="1:5" x14ac:dyDescent="0.2">
      <c r="A75" s="476" t="s">
        <v>284</v>
      </c>
      <c r="B75" s="339" t="s">
        <v>223</v>
      </c>
      <c r="C75" s="466">
        <f t="array" ref="C75">((SUM(IF((CkDJ[Sort Code]=(TRIM(E$5)))*(CkDJ[Account Code]=(TRIM($B75)))*(CkDJ[Date]&lt;=$C$8),CkDJ[Debit])))+(SUM(IF((CsDJ[Sort Code]=(TRIM(E$5)))*(CsDJ[Account Code]=(TRIM($B75)))*(CsDJ[Date]&lt;=$C$8),CsDJ[Debit])))+(SUM(IF((CRDJ[Sort Code]=(TRIM(E$5)))*(CRDJ[Account Code]=(TRIM($B75)))*(CRDJ[Date]&lt;=$C$8),CRDJ[Debit])))+(SUM(IF((GJ[Sort Code]=(TRIM(E$5)))*(GJ[Account Code]=(TRIM($B75)))*(GJ[Date]&lt;=$C$8),GJ[Debit]))))-((SUM(IF((CkDJ[Sort Code]=(TRIM(E$5)))*(CkDJ[Account Code]=(TRIM($B75)))*(CkDJ[Date]&lt;=$C$8),CkDJ[Credit])))+(SUM(IF((CsDJ[Sort Code]=(TRIM(E$5)))*(CsDJ[Account Code]=(TRIM($B75)))*(CsDJ[Date]&lt;=$C$8),CsDJ[Credit])))+(SUM(IF((CRDJ[Sort Code]=(TRIM(E$5)))*(CRDJ[Account Code]=(TRIM($B75)))*(CRDJ[Date]&lt;=$C$8),CRDJ[Credit])))+(SUM(IF((GJ[Sort Code]=(TRIM(E$5)))*(GJ[Account Code]=(TRIM($B75)))*(GJ[Date]&lt;=$C$8),GJ[Credit]))))</f>
        <v>0</v>
      </c>
      <c r="D75" s="466">
        <f t="array" ref="D75">((SUM(IF((CkDJ[Date]=$A$4)*(CkDJ[Sort Code]=(TRIM(E$5)))*(CkDJ[Account Code]=(TRIM($B75))),CkDJ[Debit])))+(SUM(IF((CsDJ[Date]=$A$4)*(CsDJ[Sort Code]=(TRIM(E$5)))*(CsDJ[Account Code]=(TRIM($B75))),CsDJ[Debit])))+(SUM(IF((CRDJ[Date]=$A$4)*(CRDJ[Sort Code]=(TRIM(E$5)))*(CRDJ[Account Code]=(TRIM($B75))),CRDJ[Debit])))+(SUM(IF((GJ[Date]=$A$4)*(GJ[Sort Code]=(TRIM(E$5)))*(GJ[Account Code]=(TRIM($B75))),GJ[Debit]))))-((SUM(IF((CkDJ[Date]=$A$4)*(CkDJ[Sort Code]=(TRIM(E$5)))*(CkDJ[Account Code]=(TRIM($B75))),CkDJ[Credit])))+(SUM(IF((CsDJ[Date]=$A$4)*(CsDJ[Sort Code]=(TRIM(E$5)))*(CsDJ[Account Code]=(TRIM($B75))),CsDJ[Credit])))+(SUM(IF((CRDJ[Date]=$A$4)*(CRDJ[Sort Code]=(TRIM(E$5)))*(CRDJ[Account Code]=(TRIM($B75))),CRDJ[Credit])))+(SUM(IF((GJ[Date]=$A$4)*(GJ[Sort Code]=(TRIM(E$5)))*(GJ[Account Code]=(TRIM($B75))),GJ[Credit]))))</f>
        <v>0</v>
      </c>
      <c r="E75" s="467">
        <f t="shared" ref="E75:E117" si="3">C75+D75</f>
        <v>0</v>
      </c>
    </row>
    <row r="76" spans="1:5" x14ac:dyDescent="0.2">
      <c r="A76" s="476" t="s">
        <v>1477</v>
      </c>
      <c r="B76" s="339" t="s">
        <v>1233</v>
      </c>
      <c r="C76" s="466">
        <f t="array" ref="C76">((SUM(IF((CkDJ[Sort Code]=(TRIM(E$5)))*(CkDJ[Account Code]=(TRIM($B76)))*(CkDJ[Date]&lt;=$C$8),CkDJ[Debit])))+(SUM(IF((CsDJ[Sort Code]=(TRIM(E$5)))*(CsDJ[Account Code]=(TRIM($B76)))*(CsDJ[Date]&lt;=$C$8),CsDJ[Debit])))+(SUM(IF((CRDJ[Sort Code]=(TRIM(E$5)))*(CRDJ[Account Code]=(TRIM($B76)))*(CRDJ[Date]&lt;=$C$8),CRDJ[Debit])))+(SUM(IF((GJ[Sort Code]=(TRIM(E$5)))*(GJ[Account Code]=(TRIM($B76)))*(GJ[Date]&lt;=$C$8),GJ[Debit]))))-((SUM(IF((CkDJ[Sort Code]=(TRIM(E$5)))*(CkDJ[Account Code]=(TRIM($B76)))*(CkDJ[Date]&lt;=$C$8),CkDJ[Credit])))+(SUM(IF((CsDJ[Sort Code]=(TRIM(E$5)))*(CsDJ[Account Code]=(TRIM($B76)))*(CsDJ[Date]&lt;=$C$8),CsDJ[Credit])))+(SUM(IF((CRDJ[Sort Code]=(TRIM(E$5)))*(CRDJ[Account Code]=(TRIM($B76)))*(CRDJ[Date]&lt;=$C$8),CRDJ[Credit])))+(SUM(IF((GJ[Sort Code]=(TRIM(E$5)))*(GJ[Account Code]=(TRIM($B76)))*(GJ[Date]&lt;=$C$8),GJ[Credit]))))</f>
        <v>0</v>
      </c>
      <c r="D76" s="466">
        <f t="array" ref="D76">((SUM(IF((CkDJ[Date]=$A$4)*(CkDJ[Sort Code]=(TRIM(E$5)))*(CkDJ[Account Code]=(TRIM($B76))),CkDJ[Debit])))+(SUM(IF((CsDJ[Date]=$A$4)*(CsDJ[Sort Code]=(TRIM(E$5)))*(CsDJ[Account Code]=(TRIM($B76))),CsDJ[Debit])))+(SUM(IF((CRDJ[Date]=$A$4)*(CRDJ[Sort Code]=(TRIM(E$5)))*(CRDJ[Account Code]=(TRIM($B76))),CRDJ[Debit])))+(SUM(IF((GJ[Date]=$A$4)*(GJ[Sort Code]=(TRIM(E$5)))*(GJ[Account Code]=(TRIM($B76))),GJ[Debit]))))-((SUM(IF((CkDJ[Date]=$A$4)*(CkDJ[Sort Code]=(TRIM(E$5)))*(CkDJ[Account Code]=(TRIM($B76))),CkDJ[Credit])))+(SUM(IF((CsDJ[Date]=$A$4)*(CsDJ[Sort Code]=(TRIM(E$5)))*(CsDJ[Account Code]=(TRIM($B76))),CsDJ[Credit])))+(SUM(IF((CRDJ[Date]=$A$4)*(CRDJ[Sort Code]=(TRIM(E$5)))*(CRDJ[Account Code]=(TRIM($B76))),CRDJ[Credit])))+(SUM(IF((GJ[Date]=$A$4)*(GJ[Sort Code]=(TRIM(E$5)))*(GJ[Account Code]=(TRIM($B76))),GJ[Credit]))))</f>
        <v>0</v>
      </c>
      <c r="E76" s="467">
        <f>C76+D76</f>
        <v>0</v>
      </c>
    </row>
    <row r="77" spans="1:5" x14ac:dyDescent="0.2">
      <c r="A77" s="476" t="s">
        <v>285</v>
      </c>
      <c r="B77" s="339" t="s">
        <v>224</v>
      </c>
      <c r="C77" s="466">
        <f t="array" ref="C77">((SUM(IF((CkDJ[Sort Code]=(TRIM(E$5)))*(CkDJ[Account Code]=(TRIM($B77)))*(CkDJ[Date]&lt;=$C$8),CkDJ[Debit])))+(SUM(IF((CsDJ[Sort Code]=(TRIM(E$5)))*(CsDJ[Account Code]=(TRIM($B77)))*(CsDJ[Date]&lt;=$C$8),CsDJ[Debit])))+(SUM(IF((CRDJ[Sort Code]=(TRIM(E$5)))*(CRDJ[Account Code]=(TRIM($B77)))*(CRDJ[Date]&lt;=$C$8),CRDJ[Debit])))+(SUM(IF((GJ[Sort Code]=(TRIM(E$5)))*(GJ[Account Code]=(TRIM($B77)))*(GJ[Date]&lt;=$C$8),GJ[Debit]))))-((SUM(IF((CkDJ[Sort Code]=(TRIM(E$5)))*(CkDJ[Account Code]=(TRIM($B77)))*(CkDJ[Date]&lt;=$C$8),CkDJ[Credit])))+(SUM(IF((CsDJ[Sort Code]=(TRIM(E$5)))*(CsDJ[Account Code]=(TRIM($B77)))*(CsDJ[Date]&lt;=$C$8),CsDJ[Credit])))+(SUM(IF((CRDJ[Sort Code]=(TRIM(E$5)))*(CRDJ[Account Code]=(TRIM($B77)))*(CRDJ[Date]&lt;=$C$8),CRDJ[Credit])))+(SUM(IF((GJ[Sort Code]=(TRIM(E$5)))*(GJ[Account Code]=(TRIM($B77)))*(GJ[Date]&lt;=$C$8),GJ[Credit]))))</f>
        <v>0</v>
      </c>
      <c r="D77" s="466">
        <f t="array" ref="D77">((SUM(IF((CkDJ[Date]=$A$4)*(CkDJ[Sort Code]=(TRIM(E$5)))*(CkDJ[Account Code]=(TRIM($B77))),CkDJ[Debit])))+(SUM(IF((CsDJ[Date]=$A$4)*(CsDJ[Sort Code]=(TRIM(E$5)))*(CsDJ[Account Code]=(TRIM($B77))),CsDJ[Debit])))+(SUM(IF((CRDJ[Date]=$A$4)*(CRDJ[Sort Code]=(TRIM(E$5)))*(CRDJ[Account Code]=(TRIM($B77))),CRDJ[Debit])))+(SUM(IF((GJ[Date]=$A$4)*(GJ[Sort Code]=(TRIM(E$5)))*(GJ[Account Code]=(TRIM($B77))),GJ[Debit]))))-((SUM(IF((CkDJ[Date]=$A$4)*(CkDJ[Sort Code]=(TRIM(E$5)))*(CkDJ[Account Code]=(TRIM($B77))),CkDJ[Credit])))+(SUM(IF((CsDJ[Date]=$A$4)*(CsDJ[Sort Code]=(TRIM(E$5)))*(CsDJ[Account Code]=(TRIM($B77))),CsDJ[Credit])))+(SUM(IF((CRDJ[Date]=$A$4)*(CRDJ[Sort Code]=(TRIM(E$5)))*(CRDJ[Account Code]=(TRIM($B77))),CRDJ[Credit])))+(SUM(IF((GJ[Date]=$A$4)*(GJ[Sort Code]=(TRIM(E$5)))*(GJ[Account Code]=(TRIM($B77))),GJ[Credit]))))</f>
        <v>0</v>
      </c>
      <c r="E77" s="467">
        <f t="shared" si="3"/>
        <v>0</v>
      </c>
    </row>
    <row r="78" spans="1:5" x14ac:dyDescent="0.2">
      <c r="A78" s="476" t="s">
        <v>286</v>
      </c>
      <c r="B78" s="339" t="s">
        <v>225</v>
      </c>
      <c r="C78" s="466">
        <f t="array" ref="C78">((SUM(IF((CkDJ[Sort Code]=(TRIM(E$5)))*(CkDJ[Account Code]=(TRIM($B78)))*(CkDJ[Date]&lt;=$C$8),CkDJ[Debit])))+(SUM(IF((CsDJ[Sort Code]=(TRIM(E$5)))*(CsDJ[Account Code]=(TRIM($B78)))*(CsDJ[Date]&lt;=$C$8),CsDJ[Debit])))+(SUM(IF((CRDJ[Sort Code]=(TRIM(E$5)))*(CRDJ[Account Code]=(TRIM($B78)))*(CRDJ[Date]&lt;=$C$8),CRDJ[Debit])))+(SUM(IF((GJ[Sort Code]=(TRIM(E$5)))*(GJ[Account Code]=(TRIM($B78)))*(GJ[Date]&lt;=$C$8),GJ[Debit]))))-((SUM(IF((CkDJ[Sort Code]=(TRIM(E$5)))*(CkDJ[Account Code]=(TRIM($B78)))*(CkDJ[Date]&lt;=$C$8),CkDJ[Credit])))+(SUM(IF((CsDJ[Sort Code]=(TRIM(E$5)))*(CsDJ[Account Code]=(TRIM($B78)))*(CsDJ[Date]&lt;=$C$8),CsDJ[Credit])))+(SUM(IF((CRDJ[Sort Code]=(TRIM(E$5)))*(CRDJ[Account Code]=(TRIM($B78)))*(CRDJ[Date]&lt;=$C$8),CRDJ[Credit])))+(SUM(IF((GJ[Sort Code]=(TRIM(E$5)))*(GJ[Account Code]=(TRIM($B78)))*(GJ[Date]&lt;=$C$8),GJ[Credit]))))</f>
        <v>0</v>
      </c>
      <c r="D78" s="466">
        <f t="array" ref="D78">((SUM(IF((CkDJ[Date]=$A$4)*(CkDJ[Sort Code]=(TRIM(E$5)))*(CkDJ[Account Code]=(TRIM($B78))),CkDJ[Debit])))+(SUM(IF((CsDJ[Date]=$A$4)*(CsDJ[Sort Code]=(TRIM(E$5)))*(CsDJ[Account Code]=(TRIM($B78))),CsDJ[Debit])))+(SUM(IF((CRDJ[Date]=$A$4)*(CRDJ[Sort Code]=(TRIM(E$5)))*(CRDJ[Account Code]=(TRIM($B78))),CRDJ[Debit])))+(SUM(IF((GJ[Date]=$A$4)*(GJ[Sort Code]=(TRIM(E$5)))*(GJ[Account Code]=(TRIM($B78))),GJ[Debit]))))-((SUM(IF((CkDJ[Date]=$A$4)*(CkDJ[Sort Code]=(TRIM(E$5)))*(CkDJ[Account Code]=(TRIM($B78))),CkDJ[Credit])))+(SUM(IF((CsDJ[Date]=$A$4)*(CsDJ[Sort Code]=(TRIM(E$5)))*(CsDJ[Account Code]=(TRIM($B78))),CsDJ[Credit])))+(SUM(IF((CRDJ[Date]=$A$4)*(CRDJ[Sort Code]=(TRIM(E$5)))*(CRDJ[Account Code]=(TRIM($B78))),CRDJ[Credit])))+(SUM(IF((GJ[Date]=$A$4)*(GJ[Sort Code]=(TRIM(E$5)))*(GJ[Account Code]=(TRIM($B78))),GJ[Credit]))))</f>
        <v>0</v>
      </c>
      <c r="E78" s="467">
        <f t="shared" si="3"/>
        <v>0</v>
      </c>
    </row>
    <row r="79" spans="1:5" x14ac:dyDescent="0.2">
      <c r="A79" s="476" t="s">
        <v>287</v>
      </c>
      <c r="B79" s="339" t="s">
        <v>226</v>
      </c>
      <c r="C79" s="466">
        <f t="array" ref="C79">((SUM(IF((CkDJ[Sort Code]=(TRIM(E$5)))*(CkDJ[Account Code]=(TRIM($B79)))*(CkDJ[Date]&lt;=$C$8),CkDJ[Debit])))+(SUM(IF((CsDJ[Sort Code]=(TRIM(E$5)))*(CsDJ[Account Code]=(TRIM($B79)))*(CsDJ[Date]&lt;=$C$8),CsDJ[Debit])))+(SUM(IF((CRDJ[Sort Code]=(TRIM(E$5)))*(CRDJ[Account Code]=(TRIM($B79)))*(CRDJ[Date]&lt;=$C$8),CRDJ[Debit])))+(SUM(IF((GJ[Sort Code]=(TRIM(E$5)))*(GJ[Account Code]=(TRIM($B79)))*(GJ[Date]&lt;=$C$8),GJ[Debit]))))-((SUM(IF((CkDJ[Sort Code]=(TRIM(E$5)))*(CkDJ[Account Code]=(TRIM($B79)))*(CkDJ[Date]&lt;=$C$8),CkDJ[Credit])))+(SUM(IF((CsDJ[Sort Code]=(TRIM(E$5)))*(CsDJ[Account Code]=(TRIM($B79)))*(CsDJ[Date]&lt;=$C$8),CsDJ[Credit])))+(SUM(IF((CRDJ[Sort Code]=(TRIM(E$5)))*(CRDJ[Account Code]=(TRIM($B79)))*(CRDJ[Date]&lt;=$C$8),CRDJ[Credit])))+(SUM(IF((GJ[Sort Code]=(TRIM(E$5)))*(GJ[Account Code]=(TRIM($B79)))*(GJ[Date]&lt;=$C$8),GJ[Credit]))))</f>
        <v>0</v>
      </c>
      <c r="D79" s="466">
        <f t="array" ref="D79">((SUM(IF((CkDJ[Date]=$A$4)*(CkDJ[Sort Code]=(TRIM(E$5)))*(CkDJ[Account Code]=(TRIM($B79))),CkDJ[Debit])))+(SUM(IF((CsDJ[Date]=$A$4)*(CsDJ[Sort Code]=(TRIM(E$5)))*(CsDJ[Account Code]=(TRIM($B79))),CsDJ[Debit])))+(SUM(IF((CRDJ[Date]=$A$4)*(CRDJ[Sort Code]=(TRIM(E$5)))*(CRDJ[Account Code]=(TRIM($B79))),CRDJ[Debit])))+(SUM(IF((GJ[Date]=$A$4)*(GJ[Sort Code]=(TRIM(E$5)))*(GJ[Account Code]=(TRIM($B79))),GJ[Debit]))))-((SUM(IF((CkDJ[Date]=$A$4)*(CkDJ[Sort Code]=(TRIM(E$5)))*(CkDJ[Account Code]=(TRIM($B79))),CkDJ[Credit])))+(SUM(IF((CsDJ[Date]=$A$4)*(CsDJ[Sort Code]=(TRIM(E$5)))*(CsDJ[Account Code]=(TRIM($B79))),CsDJ[Credit])))+(SUM(IF((CRDJ[Date]=$A$4)*(CRDJ[Sort Code]=(TRIM(E$5)))*(CRDJ[Account Code]=(TRIM($B79))),CRDJ[Credit])))+(SUM(IF((GJ[Date]=$A$4)*(GJ[Sort Code]=(TRIM(E$5)))*(GJ[Account Code]=(TRIM($B79))),GJ[Credit]))))</f>
        <v>0</v>
      </c>
      <c r="E79" s="467">
        <f t="shared" si="3"/>
        <v>0</v>
      </c>
    </row>
    <row r="80" spans="1:5" x14ac:dyDescent="0.2">
      <c r="A80" s="476" t="s">
        <v>1017</v>
      </c>
      <c r="B80" s="339" t="s">
        <v>227</v>
      </c>
      <c r="C80" s="466">
        <f t="array" ref="C80">((SUM(IF((CkDJ[Sort Code]=(TRIM(E$5)))*(CkDJ[Account Code]=(TRIM($B80)))*(CkDJ[Date]&lt;=$C$8),CkDJ[Debit])))+(SUM(IF((CsDJ[Sort Code]=(TRIM(E$5)))*(CsDJ[Account Code]=(TRIM($B80)))*(CsDJ[Date]&lt;=$C$8),CsDJ[Debit])))+(SUM(IF((CRDJ[Sort Code]=(TRIM(E$5)))*(CRDJ[Account Code]=(TRIM($B80)))*(CRDJ[Date]&lt;=$C$8),CRDJ[Debit])))+(SUM(IF((GJ[Sort Code]=(TRIM(E$5)))*(GJ[Account Code]=(TRIM($B80)))*(GJ[Date]&lt;=$C$8),GJ[Debit]))))-((SUM(IF((CkDJ[Sort Code]=(TRIM(E$5)))*(CkDJ[Account Code]=(TRIM($B80)))*(CkDJ[Date]&lt;=$C$8),CkDJ[Credit])))+(SUM(IF((CsDJ[Sort Code]=(TRIM(E$5)))*(CsDJ[Account Code]=(TRIM($B80)))*(CsDJ[Date]&lt;=$C$8),CsDJ[Credit])))+(SUM(IF((CRDJ[Sort Code]=(TRIM(E$5)))*(CRDJ[Account Code]=(TRIM($B80)))*(CRDJ[Date]&lt;=$C$8),CRDJ[Credit])))+(SUM(IF((GJ[Sort Code]=(TRIM(E$5)))*(GJ[Account Code]=(TRIM($B80)))*(GJ[Date]&lt;=$C$8),GJ[Credit]))))</f>
        <v>0</v>
      </c>
      <c r="D80" s="466">
        <f t="array" ref="D80">((SUM(IF((CkDJ[Date]=$A$4)*(CkDJ[Sort Code]=(TRIM(E$5)))*(CkDJ[Account Code]=(TRIM($B80))),CkDJ[Debit])))+(SUM(IF((CsDJ[Date]=$A$4)*(CsDJ[Sort Code]=(TRIM(E$5)))*(CsDJ[Account Code]=(TRIM($B80))),CsDJ[Debit])))+(SUM(IF((CRDJ[Date]=$A$4)*(CRDJ[Sort Code]=(TRIM(E$5)))*(CRDJ[Account Code]=(TRIM($B80))),CRDJ[Debit])))+(SUM(IF((GJ[Date]=$A$4)*(GJ[Sort Code]=(TRIM(E$5)))*(GJ[Account Code]=(TRIM($B80))),GJ[Debit]))))-((SUM(IF((CkDJ[Date]=$A$4)*(CkDJ[Sort Code]=(TRIM(E$5)))*(CkDJ[Account Code]=(TRIM($B80))),CkDJ[Credit])))+(SUM(IF((CsDJ[Date]=$A$4)*(CsDJ[Sort Code]=(TRIM(E$5)))*(CsDJ[Account Code]=(TRIM($B80))),CsDJ[Credit])))+(SUM(IF((CRDJ[Date]=$A$4)*(CRDJ[Sort Code]=(TRIM(E$5)))*(CRDJ[Account Code]=(TRIM($B80))),CRDJ[Credit])))+(SUM(IF((GJ[Date]=$A$4)*(GJ[Sort Code]=(TRIM(E$5)))*(GJ[Account Code]=(TRIM($B80))),GJ[Credit]))))</f>
        <v>0</v>
      </c>
      <c r="E80" s="467">
        <f t="shared" si="3"/>
        <v>0</v>
      </c>
    </row>
    <row r="81" spans="1:5" x14ac:dyDescent="0.2">
      <c r="A81" s="476" t="s">
        <v>1018</v>
      </c>
      <c r="B81" s="339" t="s">
        <v>228</v>
      </c>
      <c r="C81" s="466">
        <f t="array" ref="C81">((SUM(IF((CkDJ[Sort Code]=(TRIM(E$5)))*(CkDJ[Account Code]=(TRIM($B81)))*(CkDJ[Date]&lt;=$C$8),CkDJ[Debit])))+(SUM(IF((CsDJ[Sort Code]=(TRIM(E$5)))*(CsDJ[Account Code]=(TRIM($B81)))*(CsDJ[Date]&lt;=$C$8),CsDJ[Debit])))+(SUM(IF((CRDJ[Sort Code]=(TRIM(E$5)))*(CRDJ[Account Code]=(TRIM($B81)))*(CRDJ[Date]&lt;=$C$8),CRDJ[Debit])))+(SUM(IF((GJ[Sort Code]=(TRIM(E$5)))*(GJ[Account Code]=(TRIM($B81)))*(GJ[Date]&lt;=$C$8),GJ[Debit]))))-((SUM(IF((CkDJ[Sort Code]=(TRIM(E$5)))*(CkDJ[Account Code]=(TRIM($B81)))*(CkDJ[Date]&lt;=$C$8),CkDJ[Credit])))+(SUM(IF((CsDJ[Sort Code]=(TRIM(E$5)))*(CsDJ[Account Code]=(TRIM($B81)))*(CsDJ[Date]&lt;=$C$8),CsDJ[Credit])))+(SUM(IF((CRDJ[Sort Code]=(TRIM(E$5)))*(CRDJ[Account Code]=(TRIM($B81)))*(CRDJ[Date]&lt;=$C$8),CRDJ[Credit])))+(SUM(IF((GJ[Sort Code]=(TRIM(E$5)))*(GJ[Account Code]=(TRIM($B81)))*(GJ[Date]&lt;=$C$8),GJ[Credit]))))</f>
        <v>0</v>
      </c>
      <c r="D81" s="466">
        <f t="array" ref="D81">((SUM(IF((CkDJ[Date]=$A$4)*(CkDJ[Sort Code]=(TRIM(E$5)))*(CkDJ[Account Code]=(TRIM($B81))),CkDJ[Debit])))+(SUM(IF((CsDJ[Date]=$A$4)*(CsDJ[Sort Code]=(TRIM(E$5)))*(CsDJ[Account Code]=(TRIM($B81))),CsDJ[Debit])))+(SUM(IF((CRDJ[Date]=$A$4)*(CRDJ[Sort Code]=(TRIM(E$5)))*(CRDJ[Account Code]=(TRIM($B81))),CRDJ[Debit])))+(SUM(IF((GJ[Date]=$A$4)*(GJ[Sort Code]=(TRIM(E$5)))*(GJ[Account Code]=(TRIM($B81))),GJ[Debit]))))-((SUM(IF((CkDJ[Date]=$A$4)*(CkDJ[Sort Code]=(TRIM(E$5)))*(CkDJ[Account Code]=(TRIM($B81))),CkDJ[Credit])))+(SUM(IF((CsDJ[Date]=$A$4)*(CsDJ[Sort Code]=(TRIM(E$5)))*(CsDJ[Account Code]=(TRIM($B81))),CsDJ[Credit])))+(SUM(IF((CRDJ[Date]=$A$4)*(CRDJ[Sort Code]=(TRIM(E$5)))*(CRDJ[Account Code]=(TRIM($B81))),CRDJ[Credit])))+(SUM(IF((GJ[Date]=$A$4)*(GJ[Sort Code]=(TRIM(E$5)))*(GJ[Account Code]=(TRIM($B81))),GJ[Credit]))))</f>
        <v>0</v>
      </c>
      <c r="E81" s="467">
        <f t="shared" si="3"/>
        <v>0</v>
      </c>
    </row>
    <row r="82" spans="1:5" x14ac:dyDescent="0.2">
      <c r="A82" s="476" t="s">
        <v>289</v>
      </c>
      <c r="B82" s="339" t="s">
        <v>229</v>
      </c>
      <c r="C82" s="466">
        <f t="array" ref="C82">((SUM(IF((CkDJ[Sort Code]=(TRIM(E$5)))*(CkDJ[Account Code]=(TRIM($B82)))*(CkDJ[Date]&lt;=$C$8),CkDJ[Debit])))+(SUM(IF((CsDJ[Sort Code]=(TRIM(E$5)))*(CsDJ[Account Code]=(TRIM($B82)))*(CsDJ[Date]&lt;=$C$8),CsDJ[Debit])))+(SUM(IF((CRDJ[Sort Code]=(TRIM(E$5)))*(CRDJ[Account Code]=(TRIM($B82)))*(CRDJ[Date]&lt;=$C$8),CRDJ[Debit])))+(SUM(IF((GJ[Sort Code]=(TRIM(E$5)))*(GJ[Account Code]=(TRIM($B82)))*(GJ[Date]&lt;=$C$8),GJ[Debit]))))-((SUM(IF((CkDJ[Sort Code]=(TRIM(E$5)))*(CkDJ[Account Code]=(TRIM($B82)))*(CkDJ[Date]&lt;=$C$8),CkDJ[Credit])))+(SUM(IF((CsDJ[Sort Code]=(TRIM(E$5)))*(CsDJ[Account Code]=(TRIM($B82)))*(CsDJ[Date]&lt;=$C$8),CsDJ[Credit])))+(SUM(IF((CRDJ[Sort Code]=(TRIM(E$5)))*(CRDJ[Account Code]=(TRIM($B82)))*(CRDJ[Date]&lt;=$C$8),CRDJ[Credit])))+(SUM(IF((GJ[Sort Code]=(TRIM(E$5)))*(GJ[Account Code]=(TRIM($B82)))*(GJ[Date]&lt;=$C$8),GJ[Credit]))))</f>
        <v>0</v>
      </c>
      <c r="D82" s="466">
        <f t="array" ref="D82">((SUM(IF((CkDJ[Date]=$A$4)*(CkDJ[Sort Code]=(TRIM(E$5)))*(CkDJ[Account Code]=(TRIM($B82))),CkDJ[Debit])))+(SUM(IF((CsDJ[Date]=$A$4)*(CsDJ[Sort Code]=(TRIM(E$5)))*(CsDJ[Account Code]=(TRIM($B82))),CsDJ[Debit])))+(SUM(IF((CRDJ[Date]=$A$4)*(CRDJ[Sort Code]=(TRIM(E$5)))*(CRDJ[Account Code]=(TRIM($B82))),CRDJ[Debit])))+(SUM(IF((GJ[Date]=$A$4)*(GJ[Sort Code]=(TRIM(E$5)))*(GJ[Account Code]=(TRIM($B82))),GJ[Debit]))))-((SUM(IF((CkDJ[Date]=$A$4)*(CkDJ[Sort Code]=(TRIM(E$5)))*(CkDJ[Account Code]=(TRIM($B82))),CkDJ[Credit])))+(SUM(IF((CsDJ[Date]=$A$4)*(CsDJ[Sort Code]=(TRIM(E$5)))*(CsDJ[Account Code]=(TRIM($B82))),CsDJ[Credit])))+(SUM(IF((CRDJ[Date]=$A$4)*(CRDJ[Sort Code]=(TRIM(E$5)))*(CRDJ[Account Code]=(TRIM($B82))),CRDJ[Credit])))+(SUM(IF((GJ[Date]=$A$4)*(GJ[Sort Code]=(TRIM(E$5)))*(GJ[Account Code]=(TRIM($B82))),GJ[Credit]))))</f>
        <v>0</v>
      </c>
      <c r="E82" s="467">
        <f t="shared" si="3"/>
        <v>0</v>
      </c>
    </row>
    <row r="83" spans="1:5" x14ac:dyDescent="0.2">
      <c r="A83" s="476" t="s">
        <v>290</v>
      </c>
      <c r="B83" s="339" t="s">
        <v>230</v>
      </c>
      <c r="C83" s="466">
        <f t="array" ref="C83">((SUM(IF((CkDJ[Sort Code]=(TRIM(E$5)))*(CkDJ[Account Code]=(TRIM($B83)))*(CkDJ[Date]&lt;=$C$8),CkDJ[Debit])))+(SUM(IF((CsDJ[Sort Code]=(TRIM(E$5)))*(CsDJ[Account Code]=(TRIM($B83)))*(CsDJ[Date]&lt;=$C$8),CsDJ[Debit])))+(SUM(IF((CRDJ[Sort Code]=(TRIM(E$5)))*(CRDJ[Account Code]=(TRIM($B83)))*(CRDJ[Date]&lt;=$C$8),CRDJ[Debit])))+(SUM(IF((GJ[Sort Code]=(TRIM(E$5)))*(GJ[Account Code]=(TRIM($B83)))*(GJ[Date]&lt;=$C$8),GJ[Debit]))))-((SUM(IF((CkDJ[Sort Code]=(TRIM(E$5)))*(CkDJ[Account Code]=(TRIM($B83)))*(CkDJ[Date]&lt;=$C$8),CkDJ[Credit])))+(SUM(IF((CsDJ[Sort Code]=(TRIM(E$5)))*(CsDJ[Account Code]=(TRIM($B83)))*(CsDJ[Date]&lt;=$C$8),CsDJ[Credit])))+(SUM(IF((CRDJ[Sort Code]=(TRIM(E$5)))*(CRDJ[Account Code]=(TRIM($B83)))*(CRDJ[Date]&lt;=$C$8),CRDJ[Credit])))+(SUM(IF((GJ[Sort Code]=(TRIM(E$5)))*(GJ[Account Code]=(TRIM($B83)))*(GJ[Date]&lt;=$C$8),GJ[Credit]))))</f>
        <v>0</v>
      </c>
      <c r="D83" s="466">
        <f t="array" ref="D83">((SUM(IF((CkDJ[Date]=$A$4)*(CkDJ[Sort Code]=(TRIM(E$5)))*(CkDJ[Account Code]=(TRIM($B83))),CkDJ[Debit])))+(SUM(IF((CsDJ[Date]=$A$4)*(CsDJ[Sort Code]=(TRIM(E$5)))*(CsDJ[Account Code]=(TRIM($B83))),CsDJ[Debit])))+(SUM(IF((CRDJ[Date]=$A$4)*(CRDJ[Sort Code]=(TRIM(E$5)))*(CRDJ[Account Code]=(TRIM($B83))),CRDJ[Debit])))+(SUM(IF((GJ[Date]=$A$4)*(GJ[Sort Code]=(TRIM(E$5)))*(GJ[Account Code]=(TRIM($B83))),GJ[Debit]))))-((SUM(IF((CkDJ[Date]=$A$4)*(CkDJ[Sort Code]=(TRIM(E$5)))*(CkDJ[Account Code]=(TRIM($B83))),CkDJ[Credit])))+(SUM(IF((CsDJ[Date]=$A$4)*(CsDJ[Sort Code]=(TRIM(E$5)))*(CsDJ[Account Code]=(TRIM($B83))),CsDJ[Credit])))+(SUM(IF((CRDJ[Date]=$A$4)*(CRDJ[Sort Code]=(TRIM(E$5)))*(CRDJ[Account Code]=(TRIM($B83))),CRDJ[Credit])))+(SUM(IF((GJ[Date]=$A$4)*(GJ[Sort Code]=(TRIM(E$5)))*(GJ[Account Code]=(TRIM($B83))),GJ[Credit]))))</f>
        <v>0</v>
      </c>
      <c r="E83" s="467">
        <f t="shared" si="3"/>
        <v>0</v>
      </c>
    </row>
    <row r="84" spans="1:5" x14ac:dyDescent="0.2">
      <c r="A84" s="476" t="s">
        <v>291</v>
      </c>
      <c r="B84" s="339" t="s">
        <v>231</v>
      </c>
      <c r="C84" s="466">
        <f t="array" ref="C84">((SUM(IF((CkDJ[Sort Code]=(TRIM(E$5)))*(CkDJ[Account Code]=(TRIM($B84)))*(CkDJ[Date]&lt;=$C$8),CkDJ[Debit])))+(SUM(IF((CsDJ[Sort Code]=(TRIM(E$5)))*(CsDJ[Account Code]=(TRIM($B84)))*(CsDJ[Date]&lt;=$C$8),CsDJ[Debit])))+(SUM(IF((CRDJ[Sort Code]=(TRIM(E$5)))*(CRDJ[Account Code]=(TRIM($B84)))*(CRDJ[Date]&lt;=$C$8),CRDJ[Debit])))+(SUM(IF((GJ[Sort Code]=(TRIM(E$5)))*(GJ[Account Code]=(TRIM($B84)))*(GJ[Date]&lt;=$C$8),GJ[Debit]))))-((SUM(IF((CkDJ[Sort Code]=(TRIM(E$5)))*(CkDJ[Account Code]=(TRIM($B84)))*(CkDJ[Date]&lt;=$C$8),CkDJ[Credit])))+(SUM(IF((CsDJ[Sort Code]=(TRIM(E$5)))*(CsDJ[Account Code]=(TRIM($B84)))*(CsDJ[Date]&lt;=$C$8),CsDJ[Credit])))+(SUM(IF((CRDJ[Sort Code]=(TRIM(E$5)))*(CRDJ[Account Code]=(TRIM($B84)))*(CRDJ[Date]&lt;=$C$8),CRDJ[Credit])))+(SUM(IF((GJ[Sort Code]=(TRIM(E$5)))*(GJ[Account Code]=(TRIM($B84)))*(GJ[Date]&lt;=$C$8),GJ[Credit]))))</f>
        <v>0</v>
      </c>
      <c r="D84" s="466">
        <f t="array" ref="D84">((SUM(IF((CkDJ[Date]=$A$4)*(CkDJ[Sort Code]=(TRIM(E$5)))*(CkDJ[Account Code]=(TRIM($B84))),CkDJ[Debit])))+(SUM(IF((CsDJ[Date]=$A$4)*(CsDJ[Sort Code]=(TRIM(E$5)))*(CsDJ[Account Code]=(TRIM($B84))),CsDJ[Debit])))+(SUM(IF((CRDJ[Date]=$A$4)*(CRDJ[Sort Code]=(TRIM(E$5)))*(CRDJ[Account Code]=(TRIM($B84))),CRDJ[Debit])))+(SUM(IF((GJ[Date]=$A$4)*(GJ[Sort Code]=(TRIM(E$5)))*(GJ[Account Code]=(TRIM($B84))),GJ[Debit]))))-((SUM(IF((CkDJ[Date]=$A$4)*(CkDJ[Sort Code]=(TRIM(E$5)))*(CkDJ[Account Code]=(TRIM($B84))),CkDJ[Credit])))+(SUM(IF((CsDJ[Date]=$A$4)*(CsDJ[Sort Code]=(TRIM(E$5)))*(CsDJ[Account Code]=(TRIM($B84))),CsDJ[Credit])))+(SUM(IF((CRDJ[Date]=$A$4)*(CRDJ[Sort Code]=(TRIM(E$5)))*(CRDJ[Account Code]=(TRIM($B84))),CRDJ[Credit])))+(SUM(IF((GJ[Date]=$A$4)*(GJ[Sort Code]=(TRIM(E$5)))*(GJ[Account Code]=(TRIM($B84))),GJ[Credit]))))</f>
        <v>0</v>
      </c>
      <c r="E84" s="467">
        <f t="shared" si="3"/>
        <v>0</v>
      </c>
    </row>
    <row r="85" spans="1:5" x14ac:dyDescent="0.2">
      <c r="A85" s="476" t="s">
        <v>292</v>
      </c>
      <c r="B85" s="339" t="s">
        <v>232</v>
      </c>
      <c r="C85" s="466">
        <f t="array" ref="C85">((SUM(IF((CkDJ[Sort Code]=(TRIM(E$5)))*(CkDJ[Account Code]=(TRIM($B85)))*(CkDJ[Date]&lt;=$C$8),CkDJ[Debit])))+(SUM(IF((CsDJ[Sort Code]=(TRIM(E$5)))*(CsDJ[Account Code]=(TRIM($B85)))*(CsDJ[Date]&lt;=$C$8),CsDJ[Debit])))+(SUM(IF((CRDJ[Sort Code]=(TRIM(E$5)))*(CRDJ[Account Code]=(TRIM($B85)))*(CRDJ[Date]&lt;=$C$8),CRDJ[Debit])))+(SUM(IF((GJ[Sort Code]=(TRIM(E$5)))*(GJ[Account Code]=(TRIM($B85)))*(GJ[Date]&lt;=$C$8),GJ[Debit]))))-((SUM(IF((CkDJ[Sort Code]=(TRIM(E$5)))*(CkDJ[Account Code]=(TRIM($B85)))*(CkDJ[Date]&lt;=$C$8),CkDJ[Credit])))+(SUM(IF((CsDJ[Sort Code]=(TRIM(E$5)))*(CsDJ[Account Code]=(TRIM($B85)))*(CsDJ[Date]&lt;=$C$8),CsDJ[Credit])))+(SUM(IF((CRDJ[Sort Code]=(TRIM(E$5)))*(CRDJ[Account Code]=(TRIM($B85)))*(CRDJ[Date]&lt;=$C$8),CRDJ[Credit])))+(SUM(IF((GJ[Sort Code]=(TRIM(E$5)))*(GJ[Account Code]=(TRIM($B85)))*(GJ[Date]&lt;=$C$8),GJ[Credit]))))</f>
        <v>0</v>
      </c>
      <c r="D85" s="466">
        <f t="array" ref="D85">((SUM(IF((CkDJ[Date]=$A$4)*(CkDJ[Sort Code]=(TRIM(E$5)))*(CkDJ[Account Code]=(TRIM($B85))),CkDJ[Debit])))+(SUM(IF((CsDJ[Date]=$A$4)*(CsDJ[Sort Code]=(TRIM(E$5)))*(CsDJ[Account Code]=(TRIM($B85))),CsDJ[Debit])))+(SUM(IF((CRDJ[Date]=$A$4)*(CRDJ[Sort Code]=(TRIM(E$5)))*(CRDJ[Account Code]=(TRIM($B85))),CRDJ[Debit])))+(SUM(IF((GJ[Date]=$A$4)*(GJ[Sort Code]=(TRIM(E$5)))*(GJ[Account Code]=(TRIM($B85))),GJ[Debit]))))-((SUM(IF((CkDJ[Date]=$A$4)*(CkDJ[Sort Code]=(TRIM(E$5)))*(CkDJ[Account Code]=(TRIM($B85))),CkDJ[Credit])))+(SUM(IF((CsDJ[Date]=$A$4)*(CsDJ[Sort Code]=(TRIM(E$5)))*(CsDJ[Account Code]=(TRIM($B85))),CsDJ[Credit])))+(SUM(IF((CRDJ[Date]=$A$4)*(CRDJ[Sort Code]=(TRIM(E$5)))*(CRDJ[Account Code]=(TRIM($B85))),CRDJ[Credit])))+(SUM(IF((GJ[Date]=$A$4)*(GJ[Sort Code]=(TRIM(E$5)))*(GJ[Account Code]=(TRIM($B85))),GJ[Credit]))))</f>
        <v>0</v>
      </c>
      <c r="E85" s="467">
        <f t="shared" si="3"/>
        <v>0</v>
      </c>
    </row>
    <row r="86" spans="1:5" x14ac:dyDescent="0.2">
      <c r="A86" s="476" t="s">
        <v>293</v>
      </c>
      <c r="B86" s="339" t="s">
        <v>233</v>
      </c>
      <c r="C86" s="466">
        <f t="array" ref="C86">((SUM(IF((CkDJ[Sort Code]=(TRIM(E$5)))*(CkDJ[Account Code]=(TRIM($B86)))*(CkDJ[Date]&lt;=$C$8),CkDJ[Debit])))+(SUM(IF((CsDJ[Sort Code]=(TRIM(E$5)))*(CsDJ[Account Code]=(TRIM($B86)))*(CsDJ[Date]&lt;=$C$8),CsDJ[Debit])))+(SUM(IF((CRDJ[Sort Code]=(TRIM(E$5)))*(CRDJ[Account Code]=(TRIM($B86)))*(CRDJ[Date]&lt;=$C$8),CRDJ[Debit])))+(SUM(IF((GJ[Sort Code]=(TRIM(E$5)))*(GJ[Account Code]=(TRIM($B86)))*(GJ[Date]&lt;=$C$8),GJ[Debit]))))-((SUM(IF((CkDJ[Sort Code]=(TRIM(E$5)))*(CkDJ[Account Code]=(TRIM($B86)))*(CkDJ[Date]&lt;=$C$8),CkDJ[Credit])))+(SUM(IF((CsDJ[Sort Code]=(TRIM(E$5)))*(CsDJ[Account Code]=(TRIM($B86)))*(CsDJ[Date]&lt;=$C$8),CsDJ[Credit])))+(SUM(IF((CRDJ[Sort Code]=(TRIM(E$5)))*(CRDJ[Account Code]=(TRIM($B86)))*(CRDJ[Date]&lt;=$C$8),CRDJ[Credit])))+(SUM(IF((GJ[Sort Code]=(TRIM(E$5)))*(GJ[Account Code]=(TRIM($B86)))*(GJ[Date]&lt;=$C$8),GJ[Credit]))))</f>
        <v>0</v>
      </c>
      <c r="D86" s="466">
        <f t="array" ref="D86">((SUM(IF((CkDJ[Date]=$A$4)*(CkDJ[Sort Code]=(TRIM(E$5)))*(CkDJ[Account Code]=(TRIM($B86))),CkDJ[Debit])))+(SUM(IF((CsDJ[Date]=$A$4)*(CsDJ[Sort Code]=(TRIM(E$5)))*(CsDJ[Account Code]=(TRIM($B86))),CsDJ[Debit])))+(SUM(IF((CRDJ[Date]=$A$4)*(CRDJ[Sort Code]=(TRIM(E$5)))*(CRDJ[Account Code]=(TRIM($B86))),CRDJ[Debit])))+(SUM(IF((GJ[Date]=$A$4)*(GJ[Sort Code]=(TRIM(E$5)))*(GJ[Account Code]=(TRIM($B86))),GJ[Debit]))))-((SUM(IF((CkDJ[Date]=$A$4)*(CkDJ[Sort Code]=(TRIM(E$5)))*(CkDJ[Account Code]=(TRIM($B86))),CkDJ[Credit])))+(SUM(IF((CsDJ[Date]=$A$4)*(CsDJ[Sort Code]=(TRIM(E$5)))*(CsDJ[Account Code]=(TRIM($B86))),CsDJ[Credit])))+(SUM(IF((CRDJ[Date]=$A$4)*(CRDJ[Sort Code]=(TRIM(E$5)))*(CRDJ[Account Code]=(TRIM($B86))),CRDJ[Credit])))+(SUM(IF((GJ[Date]=$A$4)*(GJ[Sort Code]=(TRIM(E$5)))*(GJ[Account Code]=(TRIM($B86))),GJ[Credit]))))</f>
        <v>0</v>
      </c>
      <c r="E86" s="467">
        <f t="shared" si="3"/>
        <v>0</v>
      </c>
    </row>
    <row r="87" spans="1:5" x14ac:dyDescent="0.2">
      <c r="A87" s="476" t="s">
        <v>1475</v>
      </c>
      <c r="B87" s="339" t="s">
        <v>1265</v>
      </c>
      <c r="C87" s="466">
        <f t="array" ref="C87">((SUM(IF((CkDJ[Sort Code]=(TRIM(E$5)))*(CkDJ[Account Code]=(TRIM($B87)))*(CkDJ[Date]&lt;=$C$8),CkDJ[Debit])))+(SUM(IF((CsDJ[Sort Code]=(TRIM(E$5)))*(CsDJ[Account Code]=(TRIM($B87)))*(CsDJ[Date]&lt;=$C$8),CsDJ[Debit])))+(SUM(IF((CRDJ[Sort Code]=(TRIM(E$5)))*(CRDJ[Account Code]=(TRIM($B87)))*(CRDJ[Date]&lt;=$C$8),CRDJ[Debit])))+(SUM(IF((GJ[Sort Code]=(TRIM(E$5)))*(GJ[Account Code]=(TRIM($B87)))*(GJ[Date]&lt;=$C$8),GJ[Debit]))))-((SUM(IF((CkDJ[Sort Code]=(TRIM(E$5)))*(CkDJ[Account Code]=(TRIM($B87)))*(CkDJ[Date]&lt;=$C$8),CkDJ[Credit])))+(SUM(IF((CsDJ[Sort Code]=(TRIM(E$5)))*(CsDJ[Account Code]=(TRIM($B87)))*(CsDJ[Date]&lt;=$C$8),CsDJ[Credit])))+(SUM(IF((CRDJ[Sort Code]=(TRIM(E$5)))*(CRDJ[Account Code]=(TRIM($B87)))*(CRDJ[Date]&lt;=$C$8),CRDJ[Credit])))+(SUM(IF((GJ[Sort Code]=(TRIM(E$5)))*(GJ[Account Code]=(TRIM($B87)))*(GJ[Date]&lt;=$C$8),GJ[Credit]))))</f>
        <v>0</v>
      </c>
      <c r="D87" s="466">
        <f t="array" ref="D87">((SUM(IF((CkDJ[Date]=$A$4)*(CkDJ[Sort Code]=(TRIM(E$5)))*(CkDJ[Account Code]=(TRIM($B87))),CkDJ[Debit])))+(SUM(IF((CsDJ[Date]=$A$4)*(CsDJ[Sort Code]=(TRIM(E$5)))*(CsDJ[Account Code]=(TRIM($B87))),CsDJ[Debit])))+(SUM(IF((CRDJ[Date]=$A$4)*(CRDJ[Sort Code]=(TRIM(E$5)))*(CRDJ[Account Code]=(TRIM($B87))),CRDJ[Debit])))+(SUM(IF((GJ[Date]=$A$4)*(GJ[Sort Code]=(TRIM(E$5)))*(GJ[Account Code]=(TRIM($B87))),GJ[Debit]))))-((SUM(IF((CkDJ[Date]=$A$4)*(CkDJ[Sort Code]=(TRIM(E$5)))*(CkDJ[Account Code]=(TRIM($B87))),CkDJ[Credit])))+(SUM(IF((CsDJ[Date]=$A$4)*(CsDJ[Sort Code]=(TRIM(E$5)))*(CsDJ[Account Code]=(TRIM($B87))),CsDJ[Credit])))+(SUM(IF((CRDJ[Date]=$A$4)*(CRDJ[Sort Code]=(TRIM(E$5)))*(CRDJ[Account Code]=(TRIM($B87))),CRDJ[Credit])))+(SUM(IF((GJ[Date]=$A$4)*(GJ[Sort Code]=(TRIM(E$5)))*(GJ[Account Code]=(TRIM($B87))),GJ[Credit]))))</f>
        <v>0</v>
      </c>
      <c r="E87" s="467">
        <f>C87+D87</f>
        <v>0</v>
      </c>
    </row>
    <row r="88" spans="1:5" x14ac:dyDescent="0.2">
      <c r="A88" s="476" t="s">
        <v>1475</v>
      </c>
      <c r="B88" s="339" t="s">
        <v>1266</v>
      </c>
      <c r="C88" s="466">
        <f t="array" ref="C88">((SUM(IF((CkDJ[Sort Code]=(TRIM(E$5)))*(CkDJ[Account Code]=(TRIM($B88)))*(CkDJ[Date]&lt;=$C$8),CkDJ[Debit])))+(SUM(IF((CsDJ[Sort Code]=(TRIM(E$5)))*(CsDJ[Account Code]=(TRIM($B88)))*(CsDJ[Date]&lt;=$C$8),CsDJ[Debit])))+(SUM(IF((CRDJ[Sort Code]=(TRIM(E$5)))*(CRDJ[Account Code]=(TRIM($B88)))*(CRDJ[Date]&lt;=$C$8),CRDJ[Debit])))+(SUM(IF((GJ[Sort Code]=(TRIM(E$5)))*(GJ[Account Code]=(TRIM($B88)))*(GJ[Date]&lt;=$C$8),GJ[Debit]))))-((SUM(IF((CkDJ[Sort Code]=(TRIM(E$5)))*(CkDJ[Account Code]=(TRIM($B88)))*(CkDJ[Date]&lt;=$C$8),CkDJ[Credit])))+(SUM(IF((CsDJ[Sort Code]=(TRIM(E$5)))*(CsDJ[Account Code]=(TRIM($B88)))*(CsDJ[Date]&lt;=$C$8),CsDJ[Credit])))+(SUM(IF((CRDJ[Sort Code]=(TRIM(E$5)))*(CRDJ[Account Code]=(TRIM($B88)))*(CRDJ[Date]&lt;=$C$8),CRDJ[Credit])))+(SUM(IF((GJ[Sort Code]=(TRIM(E$5)))*(GJ[Account Code]=(TRIM($B88)))*(GJ[Date]&lt;=$C$8),GJ[Credit]))))</f>
        <v>0</v>
      </c>
      <c r="D88" s="466">
        <f t="array" ref="D88">((SUM(IF((CkDJ[Date]=$A$4)*(CkDJ[Sort Code]=(TRIM(E$5)))*(CkDJ[Account Code]=(TRIM($B88))),CkDJ[Debit])))+(SUM(IF((CsDJ[Date]=$A$4)*(CsDJ[Sort Code]=(TRIM(E$5)))*(CsDJ[Account Code]=(TRIM($B88))),CsDJ[Debit])))+(SUM(IF((CRDJ[Date]=$A$4)*(CRDJ[Sort Code]=(TRIM(E$5)))*(CRDJ[Account Code]=(TRIM($B88))),CRDJ[Debit])))+(SUM(IF((GJ[Date]=$A$4)*(GJ[Sort Code]=(TRIM(E$5)))*(GJ[Account Code]=(TRIM($B88))),GJ[Debit]))))-((SUM(IF((CkDJ[Date]=$A$4)*(CkDJ[Sort Code]=(TRIM(E$5)))*(CkDJ[Account Code]=(TRIM($B88))),CkDJ[Credit])))+(SUM(IF((CsDJ[Date]=$A$4)*(CsDJ[Sort Code]=(TRIM(E$5)))*(CsDJ[Account Code]=(TRIM($B88))),CsDJ[Credit])))+(SUM(IF((CRDJ[Date]=$A$4)*(CRDJ[Sort Code]=(TRIM(E$5)))*(CRDJ[Account Code]=(TRIM($B88))),CRDJ[Credit])))+(SUM(IF((GJ[Date]=$A$4)*(GJ[Sort Code]=(TRIM(E$5)))*(GJ[Account Code]=(TRIM($B88))),GJ[Credit]))))</f>
        <v>0</v>
      </c>
      <c r="E88" s="467">
        <f>C88+D88</f>
        <v>0</v>
      </c>
    </row>
    <row r="89" spans="1:5" x14ac:dyDescent="0.2">
      <c r="A89" s="476" t="s">
        <v>294</v>
      </c>
      <c r="B89" s="339" t="s">
        <v>234</v>
      </c>
      <c r="C89" s="466">
        <f t="array" ref="C89">((SUM(IF((CkDJ[Sort Code]=(TRIM(E$5)))*(CkDJ[Account Code]=(TRIM($B89)))*(CkDJ[Date]&lt;=$C$8),CkDJ[Debit])))+(SUM(IF((CsDJ[Sort Code]=(TRIM(E$5)))*(CsDJ[Account Code]=(TRIM($B89)))*(CsDJ[Date]&lt;=$C$8),CsDJ[Debit])))+(SUM(IF((CRDJ[Sort Code]=(TRIM(E$5)))*(CRDJ[Account Code]=(TRIM($B89)))*(CRDJ[Date]&lt;=$C$8),CRDJ[Debit])))+(SUM(IF((GJ[Sort Code]=(TRIM(E$5)))*(GJ[Account Code]=(TRIM($B89)))*(GJ[Date]&lt;=$C$8),GJ[Debit]))))-((SUM(IF((CkDJ[Sort Code]=(TRIM(E$5)))*(CkDJ[Account Code]=(TRIM($B89)))*(CkDJ[Date]&lt;=$C$8),CkDJ[Credit])))+(SUM(IF((CsDJ[Sort Code]=(TRIM(E$5)))*(CsDJ[Account Code]=(TRIM($B89)))*(CsDJ[Date]&lt;=$C$8),CsDJ[Credit])))+(SUM(IF((CRDJ[Sort Code]=(TRIM(E$5)))*(CRDJ[Account Code]=(TRIM($B89)))*(CRDJ[Date]&lt;=$C$8),CRDJ[Credit])))+(SUM(IF((GJ[Sort Code]=(TRIM(E$5)))*(GJ[Account Code]=(TRIM($B89)))*(GJ[Date]&lt;=$C$8),GJ[Credit]))))</f>
        <v>0</v>
      </c>
      <c r="D89" s="466">
        <f t="array" ref="D89">((SUM(IF((CkDJ[Date]=$A$4)*(CkDJ[Sort Code]=(TRIM(E$5)))*(CkDJ[Account Code]=(TRIM($B89))),CkDJ[Debit])))+(SUM(IF((CsDJ[Date]=$A$4)*(CsDJ[Sort Code]=(TRIM(E$5)))*(CsDJ[Account Code]=(TRIM($B89))),CsDJ[Debit])))+(SUM(IF((CRDJ[Date]=$A$4)*(CRDJ[Sort Code]=(TRIM(E$5)))*(CRDJ[Account Code]=(TRIM($B89))),CRDJ[Debit])))+(SUM(IF((GJ[Date]=$A$4)*(GJ[Sort Code]=(TRIM(E$5)))*(GJ[Account Code]=(TRIM($B89))),GJ[Debit]))))-((SUM(IF((CkDJ[Date]=$A$4)*(CkDJ[Sort Code]=(TRIM(E$5)))*(CkDJ[Account Code]=(TRIM($B89))),CkDJ[Credit])))+(SUM(IF((CsDJ[Date]=$A$4)*(CsDJ[Sort Code]=(TRIM(E$5)))*(CsDJ[Account Code]=(TRIM($B89))),CsDJ[Credit])))+(SUM(IF((CRDJ[Date]=$A$4)*(CRDJ[Sort Code]=(TRIM(E$5)))*(CRDJ[Account Code]=(TRIM($B89))),CRDJ[Credit])))+(SUM(IF((GJ[Date]=$A$4)*(GJ[Sort Code]=(TRIM(E$5)))*(GJ[Account Code]=(TRIM($B89))),GJ[Credit]))))</f>
        <v>0</v>
      </c>
      <c r="E89" s="467">
        <f t="shared" si="3"/>
        <v>0</v>
      </c>
    </row>
    <row r="90" spans="1:5" x14ac:dyDescent="0.2">
      <c r="A90" s="476" t="s">
        <v>295</v>
      </c>
      <c r="B90" s="339" t="s">
        <v>235</v>
      </c>
      <c r="C90" s="466">
        <f t="array" ref="C90">((SUM(IF((CkDJ[Sort Code]=(TRIM(E$5)))*(CkDJ[Account Code]=(TRIM($B90)))*(CkDJ[Date]&lt;=$C$8),CkDJ[Debit])))+(SUM(IF((CsDJ[Sort Code]=(TRIM(E$5)))*(CsDJ[Account Code]=(TRIM($B90)))*(CsDJ[Date]&lt;=$C$8),CsDJ[Debit])))+(SUM(IF((CRDJ[Sort Code]=(TRIM(E$5)))*(CRDJ[Account Code]=(TRIM($B90)))*(CRDJ[Date]&lt;=$C$8),CRDJ[Debit])))+(SUM(IF((GJ[Sort Code]=(TRIM(E$5)))*(GJ[Account Code]=(TRIM($B90)))*(GJ[Date]&lt;=$C$8),GJ[Debit]))))-((SUM(IF((CkDJ[Sort Code]=(TRIM(E$5)))*(CkDJ[Account Code]=(TRIM($B90)))*(CkDJ[Date]&lt;=$C$8),CkDJ[Credit])))+(SUM(IF((CsDJ[Sort Code]=(TRIM(E$5)))*(CsDJ[Account Code]=(TRIM($B90)))*(CsDJ[Date]&lt;=$C$8),CsDJ[Credit])))+(SUM(IF((CRDJ[Sort Code]=(TRIM(E$5)))*(CRDJ[Account Code]=(TRIM($B90)))*(CRDJ[Date]&lt;=$C$8),CRDJ[Credit])))+(SUM(IF((GJ[Sort Code]=(TRIM(E$5)))*(GJ[Account Code]=(TRIM($B90)))*(GJ[Date]&lt;=$C$8),GJ[Credit]))))</f>
        <v>0</v>
      </c>
      <c r="D90" s="466">
        <f t="array" ref="D90">((SUM(IF((CkDJ[Date]=$A$4)*(CkDJ[Sort Code]=(TRIM(E$5)))*(CkDJ[Account Code]=(TRIM($B90))),CkDJ[Debit])))+(SUM(IF((CsDJ[Date]=$A$4)*(CsDJ[Sort Code]=(TRIM(E$5)))*(CsDJ[Account Code]=(TRIM($B90))),CsDJ[Debit])))+(SUM(IF((CRDJ[Date]=$A$4)*(CRDJ[Sort Code]=(TRIM(E$5)))*(CRDJ[Account Code]=(TRIM($B90))),CRDJ[Debit])))+(SUM(IF((GJ[Date]=$A$4)*(GJ[Sort Code]=(TRIM(E$5)))*(GJ[Account Code]=(TRIM($B90))),GJ[Debit]))))-((SUM(IF((CkDJ[Date]=$A$4)*(CkDJ[Sort Code]=(TRIM(E$5)))*(CkDJ[Account Code]=(TRIM($B90))),CkDJ[Credit])))+(SUM(IF((CsDJ[Date]=$A$4)*(CsDJ[Sort Code]=(TRIM(E$5)))*(CsDJ[Account Code]=(TRIM($B90))),CsDJ[Credit])))+(SUM(IF((CRDJ[Date]=$A$4)*(CRDJ[Sort Code]=(TRIM(E$5)))*(CRDJ[Account Code]=(TRIM($B90))),CRDJ[Credit])))+(SUM(IF((GJ[Date]=$A$4)*(GJ[Sort Code]=(TRIM(E$5)))*(GJ[Account Code]=(TRIM($B90))),GJ[Credit]))))</f>
        <v>0</v>
      </c>
      <c r="E90" s="467">
        <f t="shared" si="3"/>
        <v>0</v>
      </c>
    </row>
    <row r="91" spans="1:5" x14ac:dyDescent="0.2">
      <c r="A91" s="476" t="s">
        <v>296</v>
      </c>
      <c r="B91" s="339" t="s">
        <v>236</v>
      </c>
      <c r="C91" s="466">
        <f t="array" ref="C91">((SUM(IF((CkDJ[Sort Code]=(TRIM(E$5)))*(CkDJ[Account Code]=(TRIM($B91)))*(CkDJ[Date]&lt;=$C$8),CkDJ[Debit])))+(SUM(IF((CsDJ[Sort Code]=(TRIM(E$5)))*(CsDJ[Account Code]=(TRIM($B91)))*(CsDJ[Date]&lt;=$C$8),CsDJ[Debit])))+(SUM(IF((CRDJ[Sort Code]=(TRIM(E$5)))*(CRDJ[Account Code]=(TRIM($B91)))*(CRDJ[Date]&lt;=$C$8),CRDJ[Debit])))+(SUM(IF((GJ[Sort Code]=(TRIM(E$5)))*(GJ[Account Code]=(TRIM($B91)))*(GJ[Date]&lt;=$C$8),GJ[Debit]))))-((SUM(IF((CkDJ[Sort Code]=(TRIM(E$5)))*(CkDJ[Account Code]=(TRIM($B91)))*(CkDJ[Date]&lt;=$C$8),CkDJ[Credit])))+(SUM(IF((CsDJ[Sort Code]=(TRIM(E$5)))*(CsDJ[Account Code]=(TRIM($B91)))*(CsDJ[Date]&lt;=$C$8),CsDJ[Credit])))+(SUM(IF((CRDJ[Sort Code]=(TRIM(E$5)))*(CRDJ[Account Code]=(TRIM($B91)))*(CRDJ[Date]&lt;=$C$8),CRDJ[Credit])))+(SUM(IF((GJ[Sort Code]=(TRIM(E$5)))*(GJ[Account Code]=(TRIM($B91)))*(GJ[Date]&lt;=$C$8),GJ[Credit]))))</f>
        <v>0</v>
      </c>
      <c r="D91" s="466">
        <f t="array" ref="D91">((SUM(IF((CkDJ[Date]=$A$4)*(CkDJ[Sort Code]=(TRIM(E$5)))*(CkDJ[Account Code]=(TRIM($B91))),CkDJ[Debit])))+(SUM(IF((CsDJ[Date]=$A$4)*(CsDJ[Sort Code]=(TRIM(E$5)))*(CsDJ[Account Code]=(TRIM($B91))),CsDJ[Debit])))+(SUM(IF((CRDJ[Date]=$A$4)*(CRDJ[Sort Code]=(TRIM(E$5)))*(CRDJ[Account Code]=(TRIM($B91))),CRDJ[Debit])))+(SUM(IF((GJ[Date]=$A$4)*(GJ[Sort Code]=(TRIM(E$5)))*(GJ[Account Code]=(TRIM($B91))),GJ[Debit]))))-((SUM(IF((CkDJ[Date]=$A$4)*(CkDJ[Sort Code]=(TRIM(E$5)))*(CkDJ[Account Code]=(TRIM($B91))),CkDJ[Credit])))+(SUM(IF((CsDJ[Date]=$A$4)*(CsDJ[Sort Code]=(TRIM(E$5)))*(CsDJ[Account Code]=(TRIM($B91))),CsDJ[Credit])))+(SUM(IF((CRDJ[Date]=$A$4)*(CRDJ[Sort Code]=(TRIM(E$5)))*(CRDJ[Account Code]=(TRIM($B91))),CRDJ[Credit])))+(SUM(IF((GJ[Date]=$A$4)*(GJ[Sort Code]=(TRIM(E$5)))*(GJ[Account Code]=(TRIM($B91))),GJ[Credit]))))</f>
        <v>0</v>
      </c>
      <c r="E91" s="467">
        <f t="shared" si="3"/>
        <v>0</v>
      </c>
    </row>
    <row r="92" spans="1:5" x14ac:dyDescent="0.2">
      <c r="A92" s="476" t="s">
        <v>297</v>
      </c>
      <c r="B92" s="339" t="s">
        <v>237</v>
      </c>
      <c r="C92" s="466">
        <f t="array" ref="C92">((SUM(IF((CkDJ[Sort Code]=(TRIM(E$5)))*(CkDJ[Account Code]=(TRIM($B92)))*(CkDJ[Date]&lt;=$C$8),CkDJ[Debit])))+(SUM(IF((CsDJ[Sort Code]=(TRIM(E$5)))*(CsDJ[Account Code]=(TRIM($B92)))*(CsDJ[Date]&lt;=$C$8),CsDJ[Debit])))+(SUM(IF((CRDJ[Sort Code]=(TRIM(E$5)))*(CRDJ[Account Code]=(TRIM($B92)))*(CRDJ[Date]&lt;=$C$8),CRDJ[Debit])))+(SUM(IF((GJ[Sort Code]=(TRIM(E$5)))*(GJ[Account Code]=(TRIM($B92)))*(GJ[Date]&lt;=$C$8),GJ[Debit]))))-((SUM(IF((CkDJ[Sort Code]=(TRIM(E$5)))*(CkDJ[Account Code]=(TRIM($B92)))*(CkDJ[Date]&lt;=$C$8),CkDJ[Credit])))+(SUM(IF((CsDJ[Sort Code]=(TRIM(E$5)))*(CsDJ[Account Code]=(TRIM($B92)))*(CsDJ[Date]&lt;=$C$8),CsDJ[Credit])))+(SUM(IF((CRDJ[Sort Code]=(TRIM(E$5)))*(CRDJ[Account Code]=(TRIM($B92)))*(CRDJ[Date]&lt;=$C$8),CRDJ[Credit])))+(SUM(IF((GJ[Sort Code]=(TRIM(E$5)))*(GJ[Account Code]=(TRIM($B92)))*(GJ[Date]&lt;=$C$8),GJ[Credit]))))</f>
        <v>0</v>
      </c>
      <c r="D92" s="466">
        <f t="array" ref="D92">((SUM(IF((CkDJ[Date]=$A$4)*(CkDJ[Sort Code]=(TRIM(E$5)))*(CkDJ[Account Code]=(TRIM($B92))),CkDJ[Debit])))+(SUM(IF((CsDJ[Date]=$A$4)*(CsDJ[Sort Code]=(TRIM(E$5)))*(CsDJ[Account Code]=(TRIM($B92))),CsDJ[Debit])))+(SUM(IF((CRDJ[Date]=$A$4)*(CRDJ[Sort Code]=(TRIM(E$5)))*(CRDJ[Account Code]=(TRIM($B92))),CRDJ[Debit])))+(SUM(IF((GJ[Date]=$A$4)*(GJ[Sort Code]=(TRIM(E$5)))*(GJ[Account Code]=(TRIM($B92))),GJ[Debit]))))-((SUM(IF((CkDJ[Date]=$A$4)*(CkDJ[Sort Code]=(TRIM(E$5)))*(CkDJ[Account Code]=(TRIM($B92))),CkDJ[Credit])))+(SUM(IF((CsDJ[Date]=$A$4)*(CsDJ[Sort Code]=(TRIM(E$5)))*(CsDJ[Account Code]=(TRIM($B92))),CsDJ[Credit])))+(SUM(IF((CRDJ[Date]=$A$4)*(CRDJ[Sort Code]=(TRIM(E$5)))*(CRDJ[Account Code]=(TRIM($B92))),CRDJ[Credit])))+(SUM(IF((GJ[Date]=$A$4)*(GJ[Sort Code]=(TRIM(E$5)))*(GJ[Account Code]=(TRIM($B92))),GJ[Credit]))))</f>
        <v>0</v>
      </c>
      <c r="E92" s="467">
        <f t="shared" si="3"/>
        <v>0</v>
      </c>
    </row>
    <row r="93" spans="1:5" x14ac:dyDescent="0.2">
      <c r="A93" s="476" t="s">
        <v>298</v>
      </c>
      <c r="B93" s="339" t="s">
        <v>238</v>
      </c>
      <c r="C93" s="466">
        <f t="array" ref="C93">((SUM(IF((CkDJ[Sort Code]=(TRIM(E$5)))*(CkDJ[Account Code]=(TRIM($B93)))*(CkDJ[Date]&lt;=$C$8),CkDJ[Debit])))+(SUM(IF((CsDJ[Sort Code]=(TRIM(E$5)))*(CsDJ[Account Code]=(TRIM($B93)))*(CsDJ[Date]&lt;=$C$8),CsDJ[Debit])))+(SUM(IF((CRDJ[Sort Code]=(TRIM(E$5)))*(CRDJ[Account Code]=(TRIM($B93)))*(CRDJ[Date]&lt;=$C$8),CRDJ[Debit])))+(SUM(IF((GJ[Sort Code]=(TRIM(E$5)))*(GJ[Account Code]=(TRIM($B93)))*(GJ[Date]&lt;=$C$8),GJ[Debit]))))-((SUM(IF((CkDJ[Sort Code]=(TRIM(E$5)))*(CkDJ[Account Code]=(TRIM($B93)))*(CkDJ[Date]&lt;=$C$8),CkDJ[Credit])))+(SUM(IF((CsDJ[Sort Code]=(TRIM(E$5)))*(CsDJ[Account Code]=(TRIM($B93)))*(CsDJ[Date]&lt;=$C$8),CsDJ[Credit])))+(SUM(IF((CRDJ[Sort Code]=(TRIM(E$5)))*(CRDJ[Account Code]=(TRIM($B93)))*(CRDJ[Date]&lt;=$C$8),CRDJ[Credit])))+(SUM(IF((GJ[Sort Code]=(TRIM(E$5)))*(GJ[Account Code]=(TRIM($B93)))*(GJ[Date]&lt;=$C$8),GJ[Credit]))))</f>
        <v>0</v>
      </c>
      <c r="D93" s="466">
        <f t="array" ref="D93">((SUM(IF((CkDJ[Date]=$A$4)*(CkDJ[Sort Code]=(TRIM(E$5)))*(CkDJ[Account Code]=(TRIM($B93))),CkDJ[Debit])))+(SUM(IF((CsDJ[Date]=$A$4)*(CsDJ[Sort Code]=(TRIM(E$5)))*(CsDJ[Account Code]=(TRIM($B93))),CsDJ[Debit])))+(SUM(IF((CRDJ[Date]=$A$4)*(CRDJ[Sort Code]=(TRIM(E$5)))*(CRDJ[Account Code]=(TRIM($B93))),CRDJ[Debit])))+(SUM(IF((GJ[Date]=$A$4)*(GJ[Sort Code]=(TRIM(E$5)))*(GJ[Account Code]=(TRIM($B93))),GJ[Debit]))))-((SUM(IF((CkDJ[Date]=$A$4)*(CkDJ[Sort Code]=(TRIM(E$5)))*(CkDJ[Account Code]=(TRIM($B93))),CkDJ[Credit])))+(SUM(IF((CsDJ[Date]=$A$4)*(CsDJ[Sort Code]=(TRIM(E$5)))*(CsDJ[Account Code]=(TRIM($B93))),CsDJ[Credit])))+(SUM(IF((CRDJ[Date]=$A$4)*(CRDJ[Sort Code]=(TRIM(E$5)))*(CRDJ[Account Code]=(TRIM($B93))),CRDJ[Credit])))+(SUM(IF((GJ[Date]=$A$4)*(GJ[Sort Code]=(TRIM(E$5)))*(GJ[Account Code]=(TRIM($B93))),GJ[Credit]))))</f>
        <v>0</v>
      </c>
      <c r="E93" s="467">
        <f t="shared" si="3"/>
        <v>0</v>
      </c>
    </row>
    <row r="94" spans="1:5" x14ac:dyDescent="0.2">
      <c r="A94" s="476" t="s">
        <v>1019</v>
      </c>
      <c r="B94" s="339" t="s">
        <v>239</v>
      </c>
      <c r="C94" s="466">
        <f t="array" ref="C94">((SUM(IF((CkDJ[Sort Code]=(TRIM(E$5)))*(CkDJ[Account Code]=(TRIM($B94)))*(CkDJ[Date]&lt;=$C$8),CkDJ[Debit])))+(SUM(IF((CsDJ[Sort Code]=(TRIM(E$5)))*(CsDJ[Account Code]=(TRIM($B94)))*(CsDJ[Date]&lt;=$C$8),CsDJ[Debit])))+(SUM(IF((CRDJ[Sort Code]=(TRIM(E$5)))*(CRDJ[Account Code]=(TRIM($B94)))*(CRDJ[Date]&lt;=$C$8),CRDJ[Debit])))+(SUM(IF((GJ[Sort Code]=(TRIM(E$5)))*(GJ[Account Code]=(TRIM($B94)))*(GJ[Date]&lt;=$C$8),GJ[Debit]))))-((SUM(IF((CkDJ[Sort Code]=(TRIM(E$5)))*(CkDJ[Account Code]=(TRIM($B94)))*(CkDJ[Date]&lt;=$C$8),CkDJ[Credit])))+(SUM(IF((CsDJ[Sort Code]=(TRIM(E$5)))*(CsDJ[Account Code]=(TRIM($B94)))*(CsDJ[Date]&lt;=$C$8),CsDJ[Credit])))+(SUM(IF((CRDJ[Sort Code]=(TRIM(E$5)))*(CRDJ[Account Code]=(TRIM($B94)))*(CRDJ[Date]&lt;=$C$8),CRDJ[Credit])))+(SUM(IF((GJ[Sort Code]=(TRIM(E$5)))*(GJ[Account Code]=(TRIM($B94)))*(GJ[Date]&lt;=$C$8),GJ[Credit]))))</f>
        <v>0</v>
      </c>
      <c r="D94" s="466">
        <f t="array" ref="D94">((SUM(IF((CkDJ[Date]=$A$4)*(CkDJ[Sort Code]=(TRIM(E$5)))*(CkDJ[Account Code]=(TRIM($B94))),CkDJ[Debit])))+(SUM(IF((CsDJ[Date]=$A$4)*(CsDJ[Sort Code]=(TRIM(E$5)))*(CsDJ[Account Code]=(TRIM($B94))),CsDJ[Debit])))+(SUM(IF((CRDJ[Date]=$A$4)*(CRDJ[Sort Code]=(TRIM(E$5)))*(CRDJ[Account Code]=(TRIM($B94))),CRDJ[Debit])))+(SUM(IF((GJ[Date]=$A$4)*(GJ[Sort Code]=(TRIM(E$5)))*(GJ[Account Code]=(TRIM($B94))),GJ[Debit]))))-((SUM(IF((CkDJ[Date]=$A$4)*(CkDJ[Sort Code]=(TRIM(E$5)))*(CkDJ[Account Code]=(TRIM($B94))),CkDJ[Credit])))+(SUM(IF((CsDJ[Date]=$A$4)*(CsDJ[Sort Code]=(TRIM(E$5)))*(CsDJ[Account Code]=(TRIM($B94))),CsDJ[Credit])))+(SUM(IF((CRDJ[Date]=$A$4)*(CRDJ[Sort Code]=(TRIM(E$5)))*(CRDJ[Account Code]=(TRIM($B94))),CRDJ[Credit])))+(SUM(IF((GJ[Date]=$A$4)*(GJ[Sort Code]=(TRIM(E$5)))*(GJ[Account Code]=(TRIM($B94))),GJ[Credit]))))</f>
        <v>0</v>
      </c>
      <c r="E94" s="467">
        <f t="shared" si="3"/>
        <v>0</v>
      </c>
    </row>
    <row r="95" spans="1:5" x14ac:dyDescent="0.2">
      <c r="A95" s="476" t="s">
        <v>1020</v>
      </c>
      <c r="B95" s="339" t="s">
        <v>240</v>
      </c>
      <c r="C95" s="466">
        <f t="array" ref="C95">((SUM(IF((CkDJ[Sort Code]=(TRIM(E$5)))*(CkDJ[Account Code]=(TRIM($B95)))*(CkDJ[Date]&lt;=$C$8),CkDJ[Debit])))+(SUM(IF((CsDJ[Sort Code]=(TRIM(E$5)))*(CsDJ[Account Code]=(TRIM($B95)))*(CsDJ[Date]&lt;=$C$8),CsDJ[Debit])))+(SUM(IF((CRDJ[Sort Code]=(TRIM(E$5)))*(CRDJ[Account Code]=(TRIM($B95)))*(CRDJ[Date]&lt;=$C$8),CRDJ[Debit])))+(SUM(IF((GJ[Sort Code]=(TRIM(E$5)))*(GJ[Account Code]=(TRIM($B95)))*(GJ[Date]&lt;=$C$8),GJ[Debit]))))-((SUM(IF((CkDJ[Sort Code]=(TRIM(E$5)))*(CkDJ[Account Code]=(TRIM($B95)))*(CkDJ[Date]&lt;=$C$8),CkDJ[Credit])))+(SUM(IF((CsDJ[Sort Code]=(TRIM(E$5)))*(CsDJ[Account Code]=(TRIM($B95)))*(CsDJ[Date]&lt;=$C$8),CsDJ[Credit])))+(SUM(IF((CRDJ[Sort Code]=(TRIM(E$5)))*(CRDJ[Account Code]=(TRIM($B95)))*(CRDJ[Date]&lt;=$C$8),CRDJ[Credit])))+(SUM(IF((GJ[Sort Code]=(TRIM(E$5)))*(GJ[Account Code]=(TRIM($B95)))*(GJ[Date]&lt;=$C$8),GJ[Credit]))))</f>
        <v>0</v>
      </c>
      <c r="D95" s="466">
        <f t="array" ref="D95">((SUM(IF((CkDJ[Date]=$A$4)*(CkDJ[Sort Code]=(TRIM(E$5)))*(CkDJ[Account Code]=(TRIM($B95))),CkDJ[Debit])))+(SUM(IF((CsDJ[Date]=$A$4)*(CsDJ[Sort Code]=(TRIM(E$5)))*(CsDJ[Account Code]=(TRIM($B95))),CsDJ[Debit])))+(SUM(IF((CRDJ[Date]=$A$4)*(CRDJ[Sort Code]=(TRIM(E$5)))*(CRDJ[Account Code]=(TRIM($B95))),CRDJ[Debit])))+(SUM(IF((GJ[Date]=$A$4)*(GJ[Sort Code]=(TRIM(E$5)))*(GJ[Account Code]=(TRIM($B95))),GJ[Debit]))))-((SUM(IF((CkDJ[Date]=$A$4)*(CkDJ[Sort Code]=(TRIM(E$5)))*(CkDJ[Account Code]=(TRIM($B95))),CkDJ[Credit])))+(SUM(IF((CsDJ[Date]=$A$4)*(CsDJ[Sort Code]=(TRIM(E$5)))*(CsDJ[Account Code]=(TRIM($B95))),CsDJ[Credit])))+(SUM(IF((CRDJ[Date]=$A$4)*(CRDJ[Sort Code]=(TRIM(E$5)))*(CRDJ[Account Code]=(TRIM($B95))),CRDJ[Credit])))+(SUM(IF((GJ[Date]=$A$4)*(GJ[Sort Code]=(TRIM(E$5)))*(GJ[Account Code]=(TRIM($B95))),GJ[Credit]))))</f>
        <v>0</v>
      </c>
      <c r="E95" s="467">
        <f t="shared" si="3"/>
        <v>0</v>
      </c>
    </row>
    <row r="96" spans="1:5" x14ac:dyDescent="0.2">
      <c r="A96" s="476" t="s">
        <v>299</v>
      </c>
      <c r="B96" s="339" t="s">
        <v>241</v>
      </c>
      <c r="C96" s="466">
        <f t="array" ref="C96">((SUM(IF((CkDJ[Sort Code]=(TRIM(E$5)))*(CkDJ[Account Code]=(TRIM($B96)))*(CkDJ[Date]&lt;=$C$8),CkDJ[Debit])))+(SUM(IF((CsDJ[Sort Code]=(TRIM(E$5)))*(CsDJ[Account Code]=(TRIM($B96)))*(CsDJ[Date]&lt;=$C$8),CsDJ[Debit])))+(SUM(IF((CRDJ[Sort Code]=(TRIM(E$5)))*(CRDJ[Account Code]=(TRIM($B96)))*(CRDJ[Date]&lt;=$C$8),CRDJ[Debit])))+(SUM(IF((GJ[Sort Code]=(TRIM(E$5)))*(GJ[Account Code]=(TRIM($B96)))*(GJ[Date]&lt;=$C$8),GJ[Debit]))))-((SUM(IF((CkDJ[Sort Code]=(TRIM(E$5)))*(CkDJ[Account Code]=(TRIM($B96)))*(CkDJ[Date]&lt;=$C$8),CkDJ[Credit])))+(SUM(IF((CsDJ[Sort Code]=(TRIM(E$5)))*(CsDJ[Account Code]=(TRIM($B96)))*(CsDJ[Date]&lt;=$C$8),CsDJ[Credit])))+(SUM(IF((CRDJ[Sort Code]=(TRIM(E$5)))*(CRDJ[Account Code]=(TRIM($B96)))*(CRDJ[Date]&lt;=$C$8),CRDJ[Credit])))+(SUM(IF((GJ[Sort Code]=(TRIM(E$5)))*(GJ[Account Code]=(TRIM($B96)))*(GJ[Date]&lt;=$C$8),GJ[Credit]))))</f>
        <v>0</v>
      </c>
      <c r="D96" s="466">
        <f t="array" ref="D96">((SUM(IF((CkDJ[Date]=$A$4)*(CkDJ[Sort Code]=(TRIM(E$5)))*(CkDJ[Account Code]=(TRIM($B96))),CkDJ[Debit])))+(SUM(IF((CsDJ[Date]=$A$4)*(CsDJ[Sort Code]=(TRIM(E$5)))*(CsDJ[Account Code]=(TRIM($B96))),CsDJ[Debit])))+(SUM(IF((CRDJ[Date]=$A$4)*(CRDJ[Sort Code]=(TRIM(E$5)))*(CRDJ[Account Code]=(TRIM($B96))),CRDJ[Debit])))+(SUM(IF((GJ[Date]=$A$4)*(GJ[Sort Code]=(TRIM(E$5)))*(GJ[Account Code]=(TRIM($B96))),GJ[Debit]))))-((SUM(IF((CkDJ[Date]=$A$4)*(CkDJ[Sort Code]=(TRIM(E$5)))*(CkDJ[Account Code]=(TRIM($B96))),CkDJ[Credit])))+(SUM(IF((CsDJ[Date]=$A$4)*(CsDJ[Sort Code]=(TRIM(E$5)))*(CsDJ[Account Code]=(TRIM($B96))),CsDJ[Credit])))+(SUM(IF((CRDJ[Date]=$A$4)*(CRDJ[Sort Code]=(TRIM(E$5)))*(CRDJ[Account Code]=(TRIM($B96))),CRDJ[Credit])))+(SUM(IF((GJ[Date]=$A$4)*(GJ[Sort Code]=(TRIM(E$5)))*(GJ[Account Code]=(TRIM($B96))),GJ[Credit]))))</f>
        <v>0</v>
      </c>
      <c r="E96" s="467">
        <f t="shared" si="3"/>
        <v>0</v>
      </c>
    </row>
    <row r="97" spans="1:5" x14ac:dyDescent="0.2">
      <c r="A97" s="476" t="s">
        <v>300</v>
      </c>
      <c r="B97" s="339" t="s">
        <v>242</v>
      </c>
      <c r="C97" s="466">
        <f t="array" ref="C97">((SUM(IF((CkDJ[Sort Code]=(TRIM(E$5)))*(CkDJ[Account Code]=(TRIM($B97)))*(CkDJ[Date]&lt;=$C$8),CkDJ[Debit])))+(SUM(IF((CsDJ[Sort Code]=(TRIM(E$5)))*(CsDJ[Account Code]=(TRIM($B97)))*(CsDJ[Date]&lt;=$C$8),CsDJ[Debit])))+(SUM(IF((CRDJ[Sort Code]=(TRIM(E$5)))*(CRDJ[Account Code]=(TRIM($B97)))*(CRDJ[Date]&lt;=$C$8),CRDJ[Debit])))+(SUM(IF((GJ[Sort Code]=(TRIM(E$5)))*(GJ[Account Code]=(TRIM($B97)))*(GJ[Date]&lt;=$C$8),GJ[Debit]))))-((SUM(IF((CkDJ[Sort Code]=(TRIM(E$5)))*(CkDJ[Account Code]=(TRIM($B97)))*(CkDJ[Date]&lt;=$C$8),CkDJ[Credit])))+(SUM(IF((CsDJ[Sort Code]=(TRIM(E$5)))*(CsDJ[Account Code]=(TRIM($B97)))*(CsDJ[Date]&lt;=$C$8),CsDJ[Credit])))+(SUM(IF((CRDJ[Sort Code]=(TRIM(E$5)))*(CRDJ[Account Code]=(TRIM($B97)))*(CRDJ[Date]&lt;=$C$8),CRDJ[Credit])))+(SUM(IF((GJ[Sort Code]=(TRIM(E$5)))*(GJ[Account Code]=(TRIM($B97)))*(GJ[Date]&lt;=$C$8),GJ[Credit]))))</f>
        <v>0</v>
      </c>
      <c r="D97" s="466">
        <f t="array" ref="D97">((SUM(IF((CkDJ[Date]=$A$4)*(CkDJ[Sort Code]=(TRIM(E$5)))*(CkDJ[Account Code]=(TRIM($B97))),CkDJ[Debit])))+(SUM(IF((CsDJ[Date]=$A$4)*(CsDJ[Sort Code]=(TRIM(E$5)))*(CsDJ[Account Code]=(TRIM($B97))),CsDJ[Debit])))+(SUM(IF((CRDJ[Date]=$A$4)*(CRDJ[Sort Code]=(TRIM(E$5)))*(CRDJ[Account Code]=(TRIM($B97))),CRDJ[Debit])))+(SUM(IF((GJ[Date]=$A$4)*(GJ[Sort Code]=(TRIM(E$5)))*(GJ[Account Code]=(TRIM($B97))),GJ[Debit]))))-((SUM(IF((CkDJ[Date]=$A$4)*(CkDJ[Sort Code]=(TRIM(E$5)))*(CkDJ[Account Code]=(TRIM($B97))),CkDJ[Credit])))+(SUM(IF((CsDJ[Date]=$A$4)*(CsDJ[Sort Code]=(TRIM(E$5)))*(CsDJ[Account Code]=(TRIM($B97))),CsDJ[Credit])))+(SUM(IF((CRDJ[Date]=$A$4)*(CRDJ[Sort Code]=(TRIM(E$5)))*(CRDJ[Account Code]=(TRIM($B97))),CRDJ[Credit])))+(SUM(IF((GJ[Date]=$A$4)*(GJ[Sort Code]=(TRIM(E$5)))*(GJ[Account Code]=(TRIM($B97))),GJ[Credit]))))</f>
        <v>0</v>
      </c>
      <c r="E97" s="467">
        <f t="shared" si="3"/>
        <v>0</v>
      </c>
    </row>
    <row r="98" spans="1:5" x14ac:dyDescent="0.2">
      <c r="A98" s="476" t="s">
        <v>301</v>
      </c>
      <c r="B98" s="339" t="s">
        <v>243</v>
      </c>
      <c r="C98" s="466">
        <f t="array" ref="C98">((SUM(IF((CkDJ[Sort Code]=(TRIM(E$5)))*(CkDJ[Account Code]=(TRIM($B98)))*(CkDJ[Date]&lt;=$C$8),CkDJ[Debit])))+(SUM(IF((CsDJ[Sort Code]=(TRIM(E$5)))*(CsDJ[Account Code]=(TRIM($B98)))*(CsDJ[Date]&lt;=$C$8),CsDJ[Debit])))+(SUM(IF((CRDJ[Sort Code]=(TRIM(E$5)))*(CRDJ[Account Code]=(TRIM($B98)))*(CRDJ[Date]&lt;=$C$8),CRDJ[Debit])))+(SUM(IF((GJ[Sort Code]=(TRIM(E$5)))*(GJ[Account Code]=(TRIM($B98)))*(GJ[Date]&lt;=$C$8),GJ[Debit]))))-((SUM(IF((CkDJ[Sort Code]=(TRIM(E$5)))*(CkDJ[Account Code]=(TRIM($B98)))*(CkDJ[Date]&lt;=$C$8),CkDJ[Credit])))+(SUM(IF((CsDJ[Sort Code]=(TRIM(E$5)))*(CsDJ[Account Code]=(TRIM($B98)))*(CsDJ[Date]&lt;=$C$8),CsDJ[Credit])))+(SUM(IF((CRDJ[Sort Code]=(TRIM(E$5)))*(CRDJ[Account Code]=(TRIM($B98)))*(CRDJ[Date]&lt;=$C$8),CRDJ[Credit])))+(SUM(IF((GJ[Sort Code]=(TRIM(E$5)))*(GJ[Account Code]=(TRIM($B98)))*(GJ[Date]&lt;=$C$8),GJ[Credit]))))</f>
        <v>0</v>
      </c>
      <c r="D98" s="466">
        <f t="array" ref="D98">((SUM(IF((CkDJ[Date]=$A$4)*(CkDJ[Sort Code]=(TRIM(E$5)))*(CkDJ[Account Code]=(TRIM($B98))),CkDJ[Debit])))+(SUM(IF((CsDJ[Date]=$A$4)*(CsDJ[Sort Code]=(TRIM(E$5)))*(CsDJ[Account Code]=(TRIM($B98))),CsDJ[Debit])))+(SUM(IF((CRDJ[Date]=$A$4)*(CRDJ[Sort Code]=(TRIM(E$5)))*(CRDJ[Account Code]=(TRIM($B98))),CRDJ[Debit])))+(SUM(IF((GJ[Date]=$A$4)*(GJ[Sort Code]=(TRIM(E$5)))*(GJ[Account Code]=(TRIM($B98))),GJ[Debit]))))-((SUM(IF((CkDJ[Date]=$A$4)*(CkDJ[Sort Code]=(TRIM(E$5)))*(CkDJ[Account Code]=(TRIM($B98))),CkDJ[Credit])))+(SUM(IF((CsDJ[Date]=$A$4)*(CsDJ[Sort Code]=(TRIM(E$5)))*(CsDJ[Account Code]=(TRIM($B98))),CsDJ[Credit])))+(SUM(IF((CRDJ[Date]=$A$4)*(CRDJ[Sort Code]=(TRIM(E$5)))*(CRDJ[Account Code]=(TRIM($B98))),CRDJ[Credit])))+(SUM(IF((GJ[Date]=$A$4)*(GJ[Sort Code]=(TRIM(E$5)))*(GJ[Account Code]=(TRIM($B98))),GJ[Credit]))))</f>
        <v>0</v>
      </c>
      <c r="E98" s="467">
        <f t="shared" si="3"/>
        <v>0</v>
      </c>
    </row>
    <row r="99" spans="1:5" x14ac:dyDescent="0.2">
      <c r="A99" s="476" t="s">
        <v>302</v>
      </c>
      <c r="B99" s="339" t="s">
        <v>244</v>
      </c>
      <c r="C99" s="466">
        <f t="array" ref="C99">((SUM(IF((CkDJ[Sort Code]=(TRIM(E$5)))*(CkDJ[Account Code]=(TRIM($B99)))*(CkDJ[Date]&lt;=$C$8),CkDJ[Debit])))+(SUM(IF((CsDJ[Sort Code]=(TRIM(E$5)))*(CsDJ[Account Code]=(TRIM($B99)))*(CsDJ[Date]&lt;=$C$8),CsDJ[Debit])))+(SUM(IF((CRDJ[Sort Code]=(TRIM(E$5)))*(CRDJ[Account Code]=(TRIM($B99)))*(CRDJ[Date]&lt;=$C$8),CRDJ[Debit])))+(SUM(IF((GJ[Sort Code]=(TRIM(E$5)))*(GJ[Account Code]=(TRIM($B99)))*(GJ[Date]&lt;=$C$8),GJ[Debit]))))-((SUM(IF((CkDJ[Sort Code]=(TRIM(E$5)))*(CkDJ[Account Code]=(TRIM($B99)))*(CkDJ[Date]&lt;=$C$8),CkDJ[Credit])))+(SUM(IF((CsDJ[Sort Code]=(TRIM(E$5)))*(CsDJ[Account Code]=(TRIM($B99)))*(CsDJ[Date]&lt;=$C$8),CsDJ[Credit])))+(SUM(IF((CRDJ[Sort Code]=(TRIM(E$5)))*(CRDJ[Account Code]=(TRIM($B99)))*(CRDJ[Date]&lt;=$C$8),CRDJ[Credit])))+(SUM(IF((GJ[Sort Code]=(TRIM(E$5)))*(GJ[Account Code]=(TRIM($B99)))*(GJ[Date]&lt;=$C$8),GJ[Credit]))))</f>
        <v>0</v>
      </c>
      <c r="D99" s="466">
        <f t="array" ref="D99">((SUM(IF((CkDJ[Date]=$A$4)*(CkDJ[Sort Code]=(TRIM(E$5)))*(CkDJ[Account Code]=(TRIM($B99))),CkDJ[Debit])))+(SUM(IF((CsDJ[Date]=$A$4)*(CsDJ[Sort Code]=(TRIM(E$5)))*(CsDJ[Account Code]=(TRIM($B99))),CsDJ[Debit])))+(SUM(IF((CRDJ[Date]=$A$4)*(CRDJ[Sort Code]=(TRIM(E$5)))*(CRDJ[Account Code]=(TRIM($B99))),CRDJ[Debit])))+(SUM(IF((GJ[Date]=$A$4)*(GJ[Sort Code]=(TRIM(E$5)))*(GJ[Account Code]=(TRIM($B99))),GJ[Debit]))))-((SUM(IF((CkDJ[Date]=$A$4)*(CkDJ[Sort Code]=(TRIM(E$5)))*(CkDJ[Account Code]=(TRIM($B99))),CkDJ[Credit])))+(SUM(IF((CsDJ[Date]=$A$4)*(CsDJ[Sort Code]=(TRIM(E$5)))*(CsDJ[Account Code]=(TRIM($B99))),CsDJ[Credit])))+(SUM(IF((CRDJ[Date]=$A$4)*(CRDJ[Sort Code]=(TRIM(E$5)))*(CRDJ[Account Code]=(TRIM($B99))),CRDJ[Credit])))+(SUM(IF((GJ[Date]=$A$4)*(GJ[Sort Code]=(TRIM(E$5)))*(GJ[Account Code]=(TRIM($B99))),GJ[Credit]))))</f>
        <v>0</v>
      </c>
      <c r="E99" s="467">
        <f t="shared" si="3"/>
        <v>0</v>
      </c>
    </row>
    <row r="100" spans="1:5" x14ac:dyDescent="0.2">
      <c r="A100" s="476" t="s">
        <v>347</v>
      </c>
      <c r="B100" s="339" t="s">
        <v>338</v>
      </c>
      <c r="C100" s="466">
        <f t="array" ref="C100">((SUM(IF((CkDJ[Sort Code]=(TRIM(E$5)))*(CkDJ[Account Code]=(TRIM($B100)))*(CkDJ[Date]&lt;=$C$8),CkDJ[Debit])))+(SUM(IF((CsDJ[Sort Code]=(TRIM(E$5)))*(CsDJ[Account Code]=(TRIM($B100)))*(CsDJ[Date]&lt;=$C$8),CsDJ[Debit])))+(SUM(IF((CRDJ[Sort Code]=(TRIM(E$5)))*(CRDJ[Account Code]=(TRIM($B100)))*(CRDJ[Date]&lt;=$C$8),CRDJ[Debit])))+(SUM(IF((GJ[Sort Code]=(TRIM(E$5)))*(GJ[Account Code]=(TRIM($B100)))*(GJ[Date]&lt;=$C$8),GJ[Debit]))))-((SUM(IF((CkDJ[Sort Code]=(TRIM(E$5)))*(CkDJ[Account Code]=(TRIM($B100)))*(CkDJ[Date]&lt;=$C$8),CkDJ[Credit])))+(SUM(IF((CsDJ[Sort Code]=(TRIM(E$5)))*(CsDJ[Account Code]=(TRIM($B100)))*(CsDJ[Date]&lt;=$C$8),CsDJ[Credit])))+(SUM(IF((CRDJ[Sort Code]=(TRIM(E$5)))*(CRDJ[Account Code]=(TRIM($B100)))*(CRDJ[Date]&lt;=$C$8),CRDJ[Credit])))+(SUM(IF((GJ[Sort Code]=(TRIM(E$5)))*(GJ[Account Code]=(TRIM($B100)))*(GJ[Date]&lt;=$C$8),GJ[Credit]))))</f>
        <v>0</v>
      </c>
      <c r="D100" s="466">
        <f t="array" ref="D100">((SUM(IF((CkDJ[Date]=$A$4)*(CkDJ[Sort Code]=(TRIM(E$5)))*(CkDJ[Account Code]=(TRIM($B100))),CkDJ[Debit])))+(SUM(IF((CsDJ[Date]=$A$4)*(CsDJ[Sort Code]=(TRIM(E$5)))*(CsDJ[Account Code]=(TRIM($B100))),CsDJ[Debit])))+(SUM(IF((CRDJ[Date]=$A$4)*(CRDJ[Sort Code]=(TRIM(E$5)))*(CRDJ[Account Code]=(TRIM($B100))),CRDJ[Debit])))+(SUM(IF((GJ[Date]=$A$4)*(GJ[Sort Code]=(TRIM(E$5)))*(GJ[Account Code]=(TRIM($B100))),GJ[Debit]))))-((SUM(IF((CkDJ[Date]=$A$4)*(CkDJ[Sort Code]=(TRIM(E$5)))*(CkDJ[Account Code]=(TRIM($B100))),CkDJ[Credit])))+(SUM(IF((CsDJ[Date]=$A$4)*(CsDJ[Sort Code]=(TRIM(E$5)))*(CsDJ[Account Code]=(TRIM($B100))),CsDJ[Credit])))+(SUM(IF((CRDJ[Date]=$A$4)*(CRDJ[Sort Code]=(TRIM(E$5)))*(CRDJ[Account Code]=(TRIM($B100))),CRDJ[Credit])))+(SUM(IF((GJ[Date]=$A$4)*(GJ[Sort Code]=(TRIM(E$5)))*(GJ[Account Code]=(TRIM($B100))),GJ[Credit]))))</f>
        <v>0</v>
      </c>
      <c r="E100" s="467">
        <f t="shared" si="3"/>
        <v>0</v>
      </c>
    </row>
    <row r="101" spans="1:5" x14ac:dyDescent="0.2">
      <c r="A101" s="476" t="s">
        <v>348</v>
      </c>
      <c r="B101" s="339" t="s">
        <v>339</v>
      </c>
      <c r="C101" s="466">
        <f t="array" ref="C101">((SUM(IF((CkDJ[Sort Code]=(TRIM(E$5)))*(CkDJ[Account Code]=(TRIM($B101)))*(CkDJ[Date]&lt;=$C$8),CkDJ[Debit])))+(SUM(IF((CsDJ[Sort Code]=(TRIM(E$5)))*(CsDJ[Account Code]=(TRIM($B101)))*(CsDJ[Date]&lt;=$C$8),CsDJ[Debit])))+(SUM(IF((CRDJ[Sort Code]=(TRIM(E$5)))*(CRDJ[Account Code]=(TRIM($B101)))*(CRDJ[Date]&lt;=$C$8),CRDJ[Debit])))+(SUM(IF((GJ[Sort Code]=(TRIM(E$5)))*(GJ[Account Code]=(TRIM($B101)))*(GJ[Date]&lt;=$C$8),GJ[Debit]))))-((SUM(IF((CkDJ[Sort Code]=(TRIM(E$5)))*(CkDJ[Account Code]=(TRIM($B101)))*(CkDJ[Date]&lt;=$C$8),CkDJ[Credit])))+(SUM(IF((CsDJ[Sort Code]=(TRIM(E$5)))*(CsDJ[Account Code]=(TRIM($B101)))*(CsDJ[Date]&lt;=$C$8),CsDJ[Credit])))+(SUM(IF((CRDJ[Sort Code]=(TRIM(E$5)))*(CRDJ[Account Code]=(TRIM($B101)))*(CRDJ[Date]&lt;=$C$8),CRDJ[Credit])))+(SUM(IF((GJ[Sort Code]=(TRIM(E$5)))*(GJ[Account Code]=(TRIM($B101)))*(GJ[Date]&lt;=$C$8),GJ[Credit]))))</f>
        <v>0</v>
      </c>
      <c r="D101" s="466">
        <f t="array" ref="D101">((SUM(IF((CkDJ[Date]=$A$4)*(CkDJ[Sort Code]=(TRIM(E$5)))*(CkDJ[Account Code]=(TRIM($B101))),CkDJ[Debit])))+(SUM(IF((CsDJ[Date]=$A$4)*(CsDJ[Sort Code]=(TRIM(E$5)))*(CsDJ[Account Code]=(TRIM($B101))),CsDJ[Debit])))+(SUM(IF((CRDJ[Date]=$A$4)*(CRDJ[Sort Code]=(TRIM(E$5)))*(CRDJ[Account Code]=(TRIM($B101))),CRDJ[Debit])))+(SUM(IF((GJ[Date]=$A$4)*(GJ[Sort Code]=(TRIM(E$5)))*(GJ[Account Code]=(TRIM($B101))),GJ[Debit]))))-((SUM(IF((CkDJ[Date]=$A$4)*(CkDJ[Sort Code]=(TRIM(E$5)))*(CkDJ[Account Code]=(TRIM($B101))),CkDJ[Credit])))+(SUM(IF((CsDJ[Date]=$A$4)*(CsDJ[Sort Code]=(TRIM(E$5)))*(CsDJ[Account Code]=(TRIM($B101))),CsDJ[Credit])))+(SUM(IF((CRDJ[Date]=$A$4)*(CRDJ[Sort Code]=(TRIM(E$5)))*(CRDJ[Account Code]=(TRIM($B101))),CRDJ[Credit])))+(SUM(IF((GJ[Date]=$A$4)*(GJ[Sort Code]=(TRIM(E$5)))*(GJ[Account Code]=(TRIM($B101))),GJ[Credit]))))</f>
        <v>0</v>
      </c>
      <c r="E101" s="467">
        <f t="shared" si="3"/>
        <v>0</v>
      </c>
    </row>
    <row r="102" spans="1:5" x14ac:dyDescent="0.2">
      <c r="A102" s="476" t="s">
        <v>1021</v>
      </c>
      <c r="B102" s="339" t="s">
        <v>245</v>
      </c>
      <c r="C102" s="466">
        <f t="array" ref="C102">((SUM(IF((CkDJ[Sort Code]=(TRIM(E$5)))*(CkDJ[Account Code]=(TRIM($B102)))*(CkDJ[Date]&lt;=$C$8),CkDJ[Debit])))+(SUM(IF((CsDJ[Sort Code]=(TRIM(E$5)))*(CsDJ[Account Code]=(TRIM($B102)))*(CsDJ[Date]&lt;=$C$8),CsDJ[Debit])))+(SUM(IF((CRDJ[Sort Code]=(TRIM(E$5)))*(CRDJ[Account Code]=(TRIM($B102)))*(CRDJ[Date]&lt;=$C$8),CRDJ[Debit])))+(SUM(IF((GJ[Sort Code]=(TRIM(E$5)))*(GJ[Account Code]=(TRIM($B102)))*(GJ[Date]&lt;=$C$8),GJ[Debit]))))-((SUM(IF((CkDJ[Sort Code]=(TRIM(E$5)))*(CkDJ[Account Code]=(TRIM($B102)))*(CkDJ[Date]&lt;=$C$8),CkDJ[Credit])))+(SUM(IF((CsDJ[Sort Code]=(TRIM(E$5)))*(CsDJ[Account Code]=(TRIM($B102)))*(CsDJ[Date]&lt;=$C$8),CsDJ[Credit])))+(SUM(IF((CRDJ[Sort Code]=(TRIM(E$5)))*(CRDJ[Account Code]=(TRIM($B102)))*(CRDJ[Date]&lt;=$C$8),CRDJ[Credit])))+(SUM(IF((GJ[Sort Code]=(TRIM(E$5)))*(GJ[Account Code]=(TRIM($B102)))*(GJ[Date]&lt;=$C$8),GJ[Credit]))))</f>
        <v>0</v>
      </c>
      <c r="D102" s="466">
        <f t="array" ref="D102">((SUM(IF((CkDJ[Date]=$A$4)*(CkDJ[Sort Code]=(TRIM(E$5)))*(CkDJ[Account Code]=(TRIM($B102))),CkDJ[Debit])))+(SUM(IF((CsDJ[Date]=$A$4)*(CsDJ[Sort Code]=(TRIM(E$5)))*(CsDJ[Account Code]=(TRIM($B102))),CsDJ[Debit])))+(SUM(IF((CRDJ[Date]=$A$4)*(CRDJ[Sort Code]=(TRIM(E$5)))*(CRDJ[Account Code]=(TRIM($B102))),CRDJ[Debit])))+(SUM(IF((GJ[Date]=$A$4)*(GJ[Sort Code]=(TRIM(E$5)))*(GJ[Account Code]=(TRIM($B102))),GJ[Debit]))))-((SUM(IF((CkDJ[Date]=$A$4)*(CkDJ[Sort Code]=(TRIM(E$5)))*(CkDJ[Account Code]=(TRIM($B102))),CkDJ[Credit])))+(SUM(IF((CsDJ[Date]=$A$4)*(CsDJ[Sort Code]=(TRIM(E$5)))*(CsDJ[Account Code]=(TRIM($B102))),CsDJ[Credit])))+(SUM(IF((CRDJ[Date]=$A$4)*(CRDJ[Sort Code]=(TRIM(E$5)))*(CRDJ[Account Code]=(TRIM($B102))),CRDJ[Credit])))+(SUM(IF((GJ[Date]=$A$4)*(GJ[Sort Code]=(TRIM(E$5)))*(GJ[Account Code]=(TRIM($B102))),GJ[Credit]))))</f>
        <v>0</v>
      </c>
      <c r="E102" s="467">
        <f t="shared" si="3"/>
        <v>0</v>
      </c>
    </row>
    <row r="103" spans="1:5" x14ac:dyDescent="0.2">
      <c r="A103" s="476" t="s">
        <v>1022</v>
      </c>
      <c r="B103" s="339" t="s">
        <v>246</v>
      </c>
      <c r="C103" s="466">
        <f t="array" ref="C103">((SUM(IF((CkDJ[Sort Code]=(TRIM(E$5)))*(CkDJ[Account Code]=(TRIM($B103)))*(CkDJ[Date]&lt;=$C$8),CkDJ[Debit])))+(SUM(IF((CsDJ[Sort Code]=(TRIM(E$5)))*(CsDJ[Account Code]=(TRIM($B103)))*(CsDJ[Date]&lt;=$C$8),CsDJ[Debit])))+(SUM(IF((CRDJ[Sort Code]=(TRIM(E$5)))*(CRDJ[Account Code]=(TRIM($B103)))*(CRDJ[Date]&lt;=$C$8),CRDJ[Debit])))+(SUM(IF((GJ[Sort Code]=(TRIM(E$5)))*(GJ[Account Code]=(TRIM($B103)))*(GJ[Date]&lt;=$C$8),GJ[Debit]))))-((SUM(IF((CkDJ[Sort Code]=(TRIM(E$5)))*(CkDJ[Account Code]=(TRIM($B103)))*(CkDJ[Date]&lt;=$C$8),CkDJ[Credit])))+(SUM(IF((CsDJ[Sort Code]=(TRIM(E$5)))*(CsDJ[Account Code]=(TRIM($B103)))*(CsDJ[Date]&lt;=$C$8),CsDJ[Credit])))+(SUM(IF((CRDJ[Sort Code]=(TRIM(E$5)))*(CRDJ[Account Code]=(TRIM($B103)))*(CRDJ[Date]&lt;=$C$8),CRDJ[Credit])))+(SUM(IF((GJ[Sort Code]=(TRIM(E$5)))*(GJ[Account Code]=(TRIM($B103)))*(GJ[Date]&lt;=$C$8),GJ[Credit]))))</f>
        <v>0</v>
      </c>
      <c r="D103" s="466">
        <f t="array" ref="D103">((SUM(IF((CkDJ[Date]=$A$4)*(CkDJ[Sort Code]=(TRIM(E$5)))*(CkDJ[Account Code]=(TRIM($B103))),CkDJ[Debit])))+(SUM(IF((CsDJ[Date]=$A$4)*(CsDJ[Sort Code]=(TRIM(E$5)))*(CsDJ[Account Code]=(TRIM($B103))),CsDJ[Debit])))+(SUM(IF((CRDJ[Date]=$A$4)*(CRDJ[Sort Code]=(TRIM(E$5)))*(CRDJ[Account Code]=(TRIM($B103))),CRDJ[Debit])))+(SUM(IF((GJ[Date]=$A$4)*(GJ[Sort Code]=(TRIM(E$5)))*(GJ[Account Code]=(TRIM($B103))),GJ[Debit]))))-((SUM(IF((CkDJ[Date]=$A$4)*(CkDJ[Sort Code]=(TRIM(E$5)))*(CkDJ[Account Code]=(TRIM($B103))),CkDJ[Credit])))+(SUM(IF((CsDJ[Date]=$A$4)*(CsDJ[Sort Code]=(TRIM(E$5)))*(CsDJ[Account Code]=(TRIM($B103))),CsDJ[Credit])))+(SUM(IF((CRDJ[Date]=$A$4)*(CRDJ[Sort Code]=(TRIM(E$5)))*(CRDJ[Account Code]=(TRIM($B103))),CRDJ[Credit])))+(SUM(IF((GJ[Date]=$A$4)*(GJ[Sort Code]=(TRIM(E$5)))*(GJ[Account Code]=(TRIM($B103))),GJ[Credit]))))</f>
        <v>0</v>
      </c>
      <c r="E103" s="467">
        <f t="shared" si="3"/>
        <v>0</v>
      </c>
    </row>
    <row r="104" spans="1:5" x14ac:dyDescent="0.2">
      <c r="A104" s="476" t="s">
        <v>304</v>
      </c>
      <c r="B104" s="339" t="s">
        <v>222</v>
      </c>
      <c r="C104" s="466">
        <f t="array" ref="C104">((SUM(IF((CkDJ[Sort Code]=(TRIM(E$5)))*(CkDJ[Account Code]=(TRIM($B104)))*(CkDJ[Date]&lt;=$C$8),CkDJ[Debit])))+(SUM(IF((CsDJ[Sort Code]=(TRIM(E$5)))*(CsDJ[Account Code]=(TRIM($B104)))*(CsDJ[Date]&lt;=$C$8),CsDJ[Debit])))+(SUM(IF((CRDJ[Sort Code]=(TRIM(E$5)))*(CRDJ[Account Code]=(TRIM($B104)))*(CRDJ[Date]&lt;=$C$8),CRDJ[Debit])))+(SUM(IF((GJ[Sort Code]=(TRIM(E$5)))*(GJ[Account Code]=(TRIM($B104)))*(GJ[Date]&lt;=$C$8),GJ[Debit]))))-((SUM(IF((CkDJ[Sort Code]=(TRIM(E$5)))*(CkDJ[Account Code]=(TRIM($B104)))*(CkDJ[Date]&lt;=$C$8),CkDJ[Credit])))+(SUM(IF((CsDJ[Sort Code]=(TRIM(E$5)))*(CsDJ[Account Code]=(TRIM($B104)))*(CsDJ[Date]&lt;=$C$8),CsDJ[Credit])))+(SUM(IF((CRDJ[Sort Code]=(TRIM(E$5)))*(CRDJ[Account Code]=(TRIM($B104)))*(CRDJ[Date]&lt;=$C$8),CRDJ[Credit])))+(SUM(IF((GJ[Sort Code]=(TRIM(E$5)))*(GJ[Account Code]=(TRIM($B104)))*(GJ[Date]&lt;=$C$8),GJ[Credit]))))</f>
        <v>0</v>
      </c>
      <c r="D104" s="466">
        <f t="array" ref="D104">((SUM(IF((CkDJ[Date]=$A$4)*(CkDJ[Sort Code]=(TRIM(E$5)))*(CkDJ[Account Code]=(TRIM($B104))),CkDJ[Debit])))+(SUM(IF((CsDJ[Date]=$A$4)*(CsDJ[Sort Code]=(TRIM(E$5)))*(CsDJ[Account Code]=(TRIM($B104))),CsDJ[Debit])))+(SUM(IF((CRDJ[Date]=$A$4)*(CRDJ[Sort Code]=(TRIM(E$5)))*(CRDJ[Account Code]=(TRIM($B104))),CRDJ[Debit])))+(SUM(IF((GJ[Date]=$A$4)*(GJ[Sort Code]=(TRIM(E$5)))*(GJ[Account Code]=(TRIM($B104))),GJ[Debit]))))-((SUM(IF((CkDJ[Date]=$A$4)*(CkDJ[Sort Code]=(TRIM(E$5)))*(CkDJ[Account Code]=(TRIM($B104))),CkDJ[Credit])))+(SUM(IF((CsDJ[Date]=$A$4)*(CsDJ[Sort Code]=(TRIM(E$5)))*(CsDJ[Account Code]=(TRIM($B104))),CsDJ[Credit])))+(SUM(IF((CRDJ[Date]=$A$4)*(CRDJ[Sort Code]=(TRIM(E$5)))*(CRDJ[Account Code]=(TRIM($B104))),CRDJ[Credit])))+(SUM(IF((GJ[Date]=$A$4)*(GJ[Sort Code]=(TRIM(E$5)))*(GJ[Account Code]=(TRIM($B104))),GJ[Credit]))))</f>
        <v>0</v>
      </c>
      <c r="E104" s="467">
        <f t="shared" si="3"/>
        <v>0</v>
      </c>
    </row>
    <row r="105" spans="1:5" x14ac:dyDescent="0.2">
      <c r="A105" s="476" t="s">
        <v>1023</v>
      </c>
      <c r="B105" s="339" t="s">
        <v>247</v>
      </c>
      <c r="C105" s="466">
        <f t="array" ref="C105">((SUM(IF((CkDJ[Sort Code]=(TRIM(E$5)))*(CkDJ[Account Code]=(TRIM($B105)))*(CkDJ[Date]&lt;=$C$8),CkDJ[Debit])))+(SUM(IF((CsDJ[Sort Code]=(TRIM(E$5)))*(CsDJ[Account Code]=(TRIM($B105)))*(CsDJ[Date]&lt;=$C$8),CsDJ[Debit])))+(SUM(IF((CRDJ[Sort Code]=(TRIM(E$5)))*(CRDJ[Account Code]=(TRIM($B105)))*(CRDJ[Date]&lt;=$C$8),CRDJ[Debit])))+(SUM(IF((GJ[Sort Code]=(TRIM(E$5)))*(GJ[Account Code]=(TRIM($B105)))*(GJ[Date]&lt;=$C$8),GJ[Debit]))))-((SUM(IF((CkDJ[Sort Code]=(TRIM(E$5)))*(CkDJ[Account Code]=(TRIM($B105)))*(CkDJ[Date]&lt;=$C$8),CkDJ[Credit])))+(SUM(IF((CsDJ[Sort Code]=(TRIM(E$5)))*(CsDJ[Account Code]=(TRIM($B105)))*(CsDJ[Date]&lt;=$C$8),CsDJ[Credit])))+(SUM(IF((CRDJ[Sort Code]=(TRIM(E$5)))*(CRDJ[Account Code]=(TRIM($B105)))*(CRDJ[Date]&lt;=$C$8),CRDJ[Credit])))+(SUM(IF((GJ[Sort Code]=(TRIM(E$5)))*(GJ[Account Code]=(TRIM($B105)))*(GJ[Date]&lt;=$C$8),GJ[Credit]))))</f>
        <v>0</v>
      </c>
      <c r="D105" s="466">
        <f t="array" ref="D105">((SUM(IF((CkDJ[Date]=$A$4)*(CkDJ[Sort Code]=(TRIM(E$5)))*(CkDJ[Account Code]=(TRIM($B105))),CkDJ[Debit])))+(SUM(IF((CsDJ[Date]=$A$4)*(CsDJ[Sort Code]=(TRIM(E$5)))*(CsDJ[Account Code]=(TRIM($B105))),CsDJ[Debit])))+(SUM(IF((CRDJ[Date]=$A$4)*(CRDJ[Sort Code]=(TRIM(E$5)))*(CRDJ[Account Code]=(TRIM($B105))),CRDJ[Debit])))+(SUM(IF((GJ[Date]=$A$4)*(GJ[Sort Code]=(TRIM(E$5)))*(GJ[Account Code]=(TRIM($B105))),GJ[Debit]))))-((SUM(IF((CkDJ[Date]=$A$4)*(CkDJ[Sort Code]=(TRIM(E$5)))*(CkDJ[Account Code]=(TRIM($B105))),CkDJ[Credit])))+(SUM(IF((CsDJ[Date]=$A$4)*(CsDJ[Sort Code]=(TRIM(E$5)))*(CsDJ[Account Code]=(TRIM($B105))),CsDJ[Credit])))+(SUM(IF((CRDJ[Date]=$A$4)*(CRDJ[Sort Code]=(TRIM(E$5)))*(CRDJ[Account Code]=(TRIM($B105))),CRDJ[Credit])))+(SUM(IF((GJ[Date]=$A$4)*(GJ[Sort Code]=(TRIM(E$5)))*(GJ[Account Code]=(TRIM($B105))),GJ[Credit]))))</f>
        <v>0</v>
      </c>
      <c r="E105" s="467">
        <f t="shared" si="3"/>
        <v>0</v>
      </c>
    </row>
    <row r="106" spans="1:5" x14ac:dyDescent="0.2">
      <c r="A106" s="476" t="s">
        <v>1024</v>
      </c>
      <c r="B106" s="339" t="s">
        <v>248</v>
      </c>
      <c r="C106" s="466">
        <f t="array" ref="C106">((SUM(IF((CkDJ[Sort Code]=(TRIM(E$5)))*(CkDJ[Account Code]=(TRIM($B106)))*(CkDJ[Date]&lt;=$C$8),CkDJ[Debit])))+(SUM(IF((CsDJ[Sort Code]=(TRIM(E$5)))*(CsDJ[Account Code]=(TRIM($B106)))*(CsDJ[Date]&lt;=$C$8),CsDJ[Debit])))+(SUM(IF((CRDJ[Sort Code]=(TRIM(E$5)))*(CRDJ[Account Code]=(TRIM($B106)))*(CRDJ[Date]&lt;=$C$8),CRDJ[Debit])))+(SUM(IF((GJ[Sort Code]=(TRIM(E$5)))*(GJ[Account Code]=(TRIM($B106)))*(GJ[Date]&lt;=$C$8),GJ[Debit]))))-((SUM(IF((CkDJ[Sort Code]=(TRIM(E$5)))*(CkDJ[Account Code]=(TRIM($B106)))*(CkDJ[Date]&lt;=$C$8),CkDJ[Credit])))+(SUM(IF((CsDJ[Sort Code]=(TRIM(E$5)))*(CsDJ[Account Code]=(TRIM($B106)))*(CsDJ[Date]&lt;=$C$8),CsDJ[Credit])))+(SUM(IF((CRDJ[Sort Code]=(TRIM(E$5)))*(CRDJ[Account Code]=(TRIM($B106)))*(CRDJ[Date]&lt;=$C$8),CRDJ[Credit])))+(SUM(IF((GJ[Sort Code]=(TRIM(E$5)))*(GJ[Account Code]=(TRIM($B106)))*(GJ[Date]&lt;=$C$8),GJ[Credit]))))</f>
        <v>0</v>
      </c>
      <c r="D106" s="466">
        <f t="array" ref="D106">((SUM(IF((CkDJ[Date]=$A$4)*(CkDJ[Sort Code]=(TRIM(E$5)))*(CkDJ[Account Code]=(TRIM($B106))),CkDJ[Debit])))+(SUM(IF((CsDJ[Date]=$A$4)*(CsDJ[Sort Code]=(TRIM(E$5)))*(CsDJ[Account Code]=(TRIM($B106))),CsDJ[Debit])))+(SUM(IF((CRDJ[Date]=$A$4)*(CRDJ[Sort Code]=(TRIM(E$5)))*(CRDJ[Account Code]=(TRIM($B106))),CRDJ[Debit])))+(SUM(IF((GJ[Date]=$A$4)*(GJ[Sort Code]=(TRIM(E$5)))*(GJ[Account Code]=(TRIM($B106))),GJ[Debit]))))-((SUM(IF((CkDJ[Date]=$A$4)*(CkDJ[Sort Code]=(TRIM(E$5)))*(CkDJ[Account Code]=(TRIM($B106))),CkDJ[Credit])))+(SUM(IF((CsDJ[Date]=$A$4)*(CsDJ[Sort Code]=(TRIM(E$5)))*(CsDJ[Account Code]=(TRIM($B106))),CsDJ[Credit])))+(SUM(IF((CRDJ[Date]=$A$4)*(CRDJ[Sort Code]=(TRIM(E$5)))*(CRDJ[Account Code]=(TRIM($B106))),CRDJ[Credit])))+(SUM(IF((GJ[Date]=$A$4)*(GJ[Sort Code]=(TRIM(E$5)))*(GJ[Account Code]=(TRIM($B106))),GJ[Credit]))))</f>
        <v>0</v>
      </c>
      <c r="E106" s="467">
        <f t="shared" si="3"/>
        <v>0</v>
      </c>
    </row>
    <row r="107" spans="1:5" x14ac:dyDescent="0.2">
      <c r="A107" s="476" t="s">
        <v>1025</v>
      </c>
      <c r="B107" s="339" t="s">
        <v>249</v>
      </c>
      <c r="C107" s="466">
        <f t="array" ref="C107">((SUM(IF((CkDJ[Sort Code]=(TRIM(E$5)))*(CkDJ[Account Code]=(TRIM($B107)))*(CkDJ[Date]&lt;=$C$8),CkDJ[Debit])))+(SUM(IF((CsDJ[Sort Code]=(TRIM(E$5)))*(CsDJ[Account Code]=(TRIM($B107)))*(CsDJ[Date]&lt;=$C$8),CsDJ[Debit])))+(SUM(IF((CRDJ[Sort Code]=(TRIM(E$5)))*(CRDJ[Account Code]=(TRIM($B107)))*(CRDJ[Date]&lt;=$C$8),CRDJ[Debit])))+(SUM(IF((GJ[Sort Code]=(TRIM(E$5)))*(GJ[Account Code]=(TRIM($B107)))*(GJ[Date]&lt;=$C$8),GJ[Debit]))))-((SUM(IF((CkDJ[Sort Code]=(TRIM(E$5)))*(CkDJ[Account Code]=(TRIM($B107)))*(CkDJ[Date]&lt;=$C$8),CkDJ[Credit])))+(SUM(IF((CsDJ[Sort Code]=(TRIM(E$5)))*(CsDJ[Account Code]=(TRIM($B107)))*(CsDJ[Date]&lt;=$C$8),CsDJ[Credit])))+(SUM(IF((CRDJ[Sort Code]=(TRIM(E$5)))*(CRDJ[Account Code]=(TRIM($B107)))*(CRDJ[Date]&lt;=$C$8),CRDJ[Credit])))+(SUM(IF((GJ[Sort Code]=(TRIM(E$5)))*(GJ[Account Code]=(TRIM($B107)))*(GJ[Date]&lt;=$C$8),GJ[Credit]))))</f>
        <v>0</v>
      </c>
      <c r="D107" s="466">
        <f t="array" ref="D107">((SUM(IF((CkDJ[Date]=$A$4)*(CkDJ[Sort Code]=(TRIM(E$5)))*(CkDJ[Account Code]=(TRIM($B107))),CkDJ[Debit])))+(SUM(IF((CsDJ[Date]=$A$4)*(CsDJ[Sort Code]=(TRIM(E$5)))*(CsDJ[Account Code]=(TRIM($B107))),CsDJ[Debit])))+(SUM(IF((CRDJ[Date]=$A$4)*(CRDJ[Sort Code]=(TRIM(E$5)))*(CRDJ[Account Code]=(TRIM($B107))),CRDJ[Debit])))+(SUM(IF((GJ[Date]=$A$4)*(GJ[Sort Code]=(TRIM(E$5)))*(GJ[Account Code]=(TRIM($B107))),GJ[Debit]))))-((SUM(IF((CkDJ[Date]=$A$4)*(CkDJ[Sort Code]=(TRIM(E$5)))*(CkDJ[Account Code]=(TRIM($B107))),CkDJ[Credit])))+(SUM(IF((CsDJ[Date]=$A$4)*(CsDJ[Sort Code]=(TRIM(E$5)))*(CsDJ[Account Code]=(TRIM($B107))),CsDJ[Credit])))+(SUM(IF((CRDJ[Date]=$A$4)*(CRDJ[Sort Code]=(TRIM(E$5)))*(CRDJ[Account Code]=(TRIM($B107))),CRDJ[Credit])))+(SUM(IF((GJ[Date]=$A$4)*(GJ[Sort Code]=(TRIM(E$5)))*(GJ[Account Code]=(TRIM($B107))),GJ[Credit]))))</f>
        <v>0</v>
      </c>
      <c r="E107" s="467">
        <f t="shared" si="3"/>
        <v>0</v>
      </c>
    </row>
    <row r="108" spans="1:5" x14ac:dyDescent="0.2">
      <c r="A108" s="476" t="s">
        <v>302</v>
      </c>
      <c r="B108" s="339" t="s">
        <v>250</v>
      </c>
      <c r="C108" s="466">
        <f t="array" ref="C108">((SUM(IF((CkDJ[Sort Code]=(TRIM(E$5)))*(CkDJ[Account Code]=(TRIM($B108)))*(CkDJ[Date]&lt;=$C$8),CkDJ[Debit])))+(SUM(IF((CsDJ[Sort Code]=(TRIM(E$5)))*(CsDJ[Account Code]=(TRIM($B108)))*(CsDJ[Date]&lt;=$C$8),CsDJ[Debit])))+(SUM(IF((CRDJ[Sort Code]=(TRIM(E$5)))*(CRDJ[Account Code]=(TRIM($B108)))*(CRDJ[Date]&lt;=$C$8),CRDJ[Debit])))+(SUM(IF((GJ[Sort Code]=(TRIM(E$5)))*(GJ[Account Code]=(TRIM($B108)))*(GJ[Date]&lt;=$C$8),GJ[Debit]))))-((SUM(IF((CkDJ[Sort Code]=(TRIM(E$5)))*(CkDJ[Account Code]=(TRIM($B108)))*(CkDJ[Date]&lt;=$C$8),CkDJ[Credit])))+(SUM(IF((CsDJ[Sort Code]=(TRIM(E$5)))*(CsDJ[Account Code]=(TRIM($B108)))*(CsDJ[Date]&lt;=$C$8),CsDJ[Credit])))+(SUM(IF((CRDJ[Sort Code]=(TRIM(E$5)))*(CRDJ[Account Code]=(TRIM($B108)))*(CRDJ[Date]&lt;=$C$8),CRDJ[Credit])))+(SUM(IF((GJ[Sort Code]=(TRIM(E$5)))*(GJ[Account Code]=(TRIM($B108)))*(GJ[Date]&lt;=$C$8),GJ[Credit]))))</f>
        <v>0</v>
      </c>
      <c r="D108" s="466">
        <f t="array" ref="D108">((SUM(IF((CkDJ[Date]=$A$4)*(CkDJ[Sort Code]=(TRIM(E$5)))*(CkDJ[Account Code]=(TRIM($B108))),CkDJ[Debit])))+(SUM(IF((CsDJ[Date]=$A$4)*(CsDJ[Sort Code]=(TRIM(E$5)))*(CsDJ[Account Code]=(TRIM($B108))),CsDJ[Debit])))+(SUM(IF((CRDJ[Date]=$A$4)*(CRDJ[Sort Code]=(TRIM(E$5)))*(CRDJ[Account Code]=(TRIM($B108))),CRDJ[Debit])))+(SUM(IF((GJ[Date]=$A$4)*(GJ[Sort Code]=(TRIM(E$5)))*(GJ[Account Code]=(TRIM($B108))),GJ[Debit]))))-((SUM(IF((CkDJ[Date]=$A$4)*(CkDJ[Sort Code]=(TRIM(E$5)))*(CkDJ[Account Code]=(TRIM($B108))),CkDJ[Credit])))+(SUM(IF((CsDJ[Date]=$A$4)*(CsDJ[Sort Code]=(TRIM(E$5)))*(CsDJ[Account Code]=(TRIM($B108))),CsDJ[Credit])))+(SUM(IF((CRDJ[Date]=$A$4)*(CRDJ[Sort Code]=(TRIM(E$5)))*(CRDJ[Account Code]=(TRIM($B108))),CRDJ[Credit])))+(SUM(IF((GJ[Date]=$A$4)*(GJ[Sort Code]=(TRIM(E$5)))*(GJ[Account Code]=(TRIM($B108))),GJ[Credit]))))</f>
        <v>0</v>
      </c>
      <c r="E108" s="467">
        <f t="shared" si="3"/>
        <v>0</v>
      </c>
    </row>
    <row r="109" spans="1:5" x14ac:dyDescent="0.2">
      <c r="A109" s="476" t="s">
        <v>841</v>
      </c>
      <c r="B109" s="339" t="s">
        <v>251</v>
      </c>
      <c r="C109" s="466">
        <f t="array" ref="C109">((SUM(IF((CkDJ[Sort Code]=(TRIM(E$5)))*(CkDJ[Account Code]=(TRIM($B109)))*(CkDJ[Date]&lt;=$C$8),CkDJ[Debit])))+(SUM(IF((CsDJ[Sort Code]=(TRIM(E$5)))*(CsDJ[Account Code]=(TRIM($B109)))*(CsDJ[Date]&lt;=$C$8),CsDJ[Debit])))+(SUM(IF((CRDJ[Sort Code]=(TRIM(E$5)))*(CRDJ[Account Code]=(TRIM($B109)))*(CRDJ[Date]&lt;=$C$8),CRDJ[Debit])))+(SUM(IF((GJ[Sort Code]=(TRIM(E$5)))*(GJ[Account Code]=(TRIM($B109)))*(GJ[Date]&lt;=$C$8),GJ[Debit]))))-((SUM(IF((CkDJ[Sort Code]=(TRIM(E$5)))*(CkDJ[Account Code]=(TRIM($B109)))*(CkDJ[Date]&lt;=$C$8),CkDJ[Credit])))+(SUM(IF((CsDJ[Sort Code]=(TRIM(E$5)))*(CsDJ[Account Code]=(TRIM($B109)))*(CsDJ[Date]&lt;=$C$8),CsDJ[Credit])))+(SUM(IF((CRDJ[Sort Code]=(TRIM(E$5)))*(CRDJ[Account Code]=(TRIM($B109)))*(CRDJ[Date]&lt;=$C$8),CRDJ[Credit])))+(SUM(IF((GJ[Sort Code]=(TRIM(E$5)))*(GJ[Account Code]=(TRIM($B109)))*(GJ[Date]&lt;=$C$8),GJ[Credit]))))</f>
        <v>0</v>
      </c>
      <c r="D109" s="466">
        <f t="array" ref="D109">((SUM(IF((CkDJ[Date]=$A$4)*(CkDJ[Sort Code]=(TRIM(E$5)))*(CkDJ[Account Code]=(TRIM($B109))),CkDJ[Debit])))+(SUM(IF((CsDJ[Date]=$A$4)*(CsDJ[Sort Code]=(TRIM(E$5)))*(CsDJ[Account Code]=(TRIM($B109))),CsDJ[Debit])))+(SUM(IF((CRDJ[Date]=$A$4)*(CRDJ[Sort Code]=(TRIM(E$5)))*(CRDJ[Account Code]=(TRIM($B109))),CRDJ[Debit])))+(SUM(IF((GJ[Date]=$A$4)*(GJ[Sort Code]=(TRIM(E$5)))*(GJ[Account Code]=(TRIM($B109))),GJ[Debit]))))-((SUM(IF((CkDJ[Date]=$A$4)*(CkDJ[Sort Code]=(TRIM(E$5)))*(CkDJ[Account Code]=(TRIM($B109))),CkDJ[Credit])))+(SUM(IF((CsDJ[Date]=$A$4)*(CsDJ[Sort Code]=(TRIM(E$5)))*(CsDJ[Account Code]=(TRIM($B109))),CsDJ[Credit])))+(SUM(IF((CRDJ[Date]=$A$4)*(CRDJ[Sort Code]=(TRIM(E$5)))*(CRDJ[Account Code]=(TRIM($B109))),CRDJ[Credit])))+(SUM(IF((GJ[Date]=$A$4)*(GJ[Sort Code]=(TRIM(E$5)))*(GJ[Account Code]=(TRIM($B109))),GJ[Credit]))))</f>
        <v>0</v>
      </c>
      <c r="E109" s="467">
        <f t="shared" si="3"/>
        <v>0</v>
      </c>
    </row>
    <row r="110" spans="1:5" x14ac:dyDescent="0.2">
      <c r="A110" s="476" t="s">
        <v>1026</v>
      </c>
      <c r="B110" s="339" t="s">
        <v>252</v>
      </c>
      <c r="C110" s="466">
        <f t="array" ref="C110">((SUM(IF((CkDJ[Sort Code]=(TRIM(E$5)))*(CkDJ[Account Code]=(TRIM($B110)))*(CkDJ[Date]&lt;=$C$8),CkDJ[Debit])))+(SUM(IF((CsDJ[Sort Code]=(TRIM(E$5)))*(CsDJ[Account Code]=(TRIM($B110)))*(CsDJ[Date]&lt;=$C$8),CsDJ[Debit])))+(SUM(IF((CRDJ[Sort Code]=(TRIM(E$5)))*(CRDJ[Account Code]=(TRIM($B110)))*(CRDJ[Date]&lt;=$C$8),CRDJ[Debit])))+(SUM(IF((GJ[Sort Code]=(TRIM(E$5)))*(GJ[Account Code]=(TRIM($B110)))*(GJ[Date]&lt;=$C$8),GJ[Debit]))))-((SUM(IF((CkDJ[Sort Code]=(TRIM(E$5)))*(CkDJ[Account Code]=(TRIM($B110)))*(CkDJ[Date]&lt;=$C$8),CkDJ[Credit])))+(SUM(IF((CsDJ[Sort Code]=(TRIM(E$5)))*(CsDJ[Account Code]=(TRIM($B110)))*(CsDJ[Date]&lt;=$C$8),CsDJ[Credit])))+(SUM(IF((CRDJ[Sort Code]=(TRIM(E$5)))*(CRDJ[Account Code]=(TRIM($B110)))*(CRDJ[Date]&lt;=$C$8),CRDJ[Credit])))+(SUM(IF((GJ[Sort Code]=(TRIM(E$5)))*(GJ[Account Code]=(TRIM($B110)))*(GJ[Date]&lt;=$C$8),GJ[Credit]))))</f>
        <v>0</v>
      </c>
      <c r="D110" s="466">
        <f t="array" ref="D110">((SUM(IF((CkDJ[Date]=$A$4)*(CkDJ[Sort Code]=(TRIM(E$5)))*(CkDJ[Account Code]=(TRIM($B110))),CkDJ[Debit])))+(SUM(IF((CsDJ[Date]=$A$4)*(CsDJ[Sort Code]=(TRIM(E$5)))*(CsDJ[Account Code]=(TRIM($B110))),CsDJ[Debit])))+(SUM(IF((CRDJ[Date]=$A$4)*(CRDJ[Sort Code]=(TRIM(E$5)))*(CRDJ[Account Code]=(TRIM($B110))),CRDJ[Debit])))+(SUM(IF((GJ[Date]=$A$4)*(GJ[Sort Code]=(TRIM(E$5)))*(GJ[Account Code]=(TRIM($B110))),GJ[Debit]))))-((SUM(IF((CkDJ[Date]=$A$4)*(CkDJ[Sort Code]=(TRIM(E$5)))*(CkDJ[Account Code]=(TRIM($B110))),CkDJ[Credit])))+(SUM(IF((CsDJ[Date]=$A$4)*(CsDJ[Sort Code]=(TRIM(E$5)))*(CsDJ[Account Code]=(TRIM($B110))),CsDJ[Credit])))+(SUM(IF((CRDJ[Date]=$A$4)*(CRDJ[Sort Code]=(TRIM(E$5)))*(CRDJ[Account Code]=(TRIM($B110))),CRDJ[Credit])))+(SUM(IF((GJ[Date]=$A$4)*(GJ[Sort Code]=(TRIM(E$5)))*(GJ[Account Code]=(TRIM($B110))),GJ[Credit]))))</f>
        <v>0</v>
      </c>
      <c r="E110" s="467">
        <f t="shared" si="3"/>
        <v>0</v>
      </c>
    </row>
    <row r="111" spans="1:5" x14ac:dyDescent="0.2">
      <c r="A111" s="476" t="s">
        <v>307</v>
      </c>
      <c r="B111" s="339" t="s">
        <v>253</v>
      </c>
      <c r="C111" s="466">
        <f t="array" ref="C111">((SUM(IF((CkDJ[Sort Code]=(TRIM(E$5)))*(CkDJ[Account Code]=(TRIM($B111)))*(CkDJ[Date]&lt;=$C$8),CkDJ[Debit])))+(SUM(IF((CsDJ[Sort Code]=(TRIM(E$5)))*(CsDJ[Account Code]=(TRIM($B111)))*(CsDJ[Date]&lt;=$C$8),CsDJ[Debit])))+(SUM(IF((CRDJ[Sort Code]=(TRIM(E$5)))*(CRDJ[Account Code]=(TRIM($B111)))*(CRDJ[Date]&lt;=$C$8),CRDJ[Debit])))+(SUM(IF((GJ[Sort Code]=(TRIM(E$5)))*(GJ[Account Code]=(TRIM($B111)))*(GJ[Date]&lt;=$C$8),GJ[Debit]))))-((SUM(IF((CkDJ[Sort Code]=(TRIM(E$5)))*(CkDJ[Account Code]=(TRIM($B111)))*(CkDJ[Date]&lt;=$C$8),CkDJ[Credit])))+(SUM(IF((CsDJ[Sort Code]=(TRIM(E$5)))*(CsDJ[Account Code]=(TRIM($B111)))*(CsDJ[Date]&lt;=$C$8),CsDJ[Credit])))+(SUM(IF((CRDJ[Sort Code]=(TRIM(E$5)))*(CRDJ[Account Code]=(TRIM($B111)))*(CRDJ[Date]&lt;=$C$8),CRDJ[Credit])))+(SUM(IF((GJ[Sort Code]=(TRIM(E$5)))*(GJ[Account Code]=(TRIM($B111)))*(GJ[Date]&lt;=$C$8),GJ[Credit]))))</f>
        <v>0</v>
      </c>
      <c r="D111" s="466">
        <f t="array" ref="D111">((SUM(IF((CkDJ[Date]=$A$4)*(CkDJ[Sort Code]=(TRIM(E$5)))*(CkDJ[Account Code]=(TRIM($B111))),CkDJ[Debit])))+(SUM(IF((CsDJ[Date]=$A$4)*(CsDJ[Sort Code]=(TRIM(E$5)))*(CsDJ[Account Code]=(TRIM($B111))),CsDJ[Debit])))+(SUM(IF((CRDJ[Date]=$A$4)*(CRDJ[Sort Code]=(TRIM(E$5)))*(CRDJ[Account Code]=(TRIM($B111))),CRDJ[Debit])))+(SUM(IF((GJ[Date]=$A$4)*(GJ[Sort Code]=(TRIM(E$5)))*(GJ[Account Code]=(TRIM($B111))),GJ[Debit]))))-((SUM(IF((CkDJ[Date]=$A$4)*(CkDJ[Sort Code]=(TRIM(E$5)))*(CkDJ[Account Code]=(TRIM($B111))),CkDJ[Credit])))+(SUM(IF((CsDJ[Date]=$A$4)*(CsDJ[Sort Code]=(TRIM(E$5)))*(CsDJ[Account Code]=(TRIM($B111))),CsDJ[Credit])))+(SUM(IF((CRDJ[Date]=$A$4)*(CRDJ[Sort Code]=(TRIM(E$5)))*(CRDJ[Account Code]=(TRIM($B111))),CRDJ[Credit])))+(SUM(IF((GJ[Date]=$A$4)*(GJ[Sort Code]=(TRIM(E$5)))*(GJ[Account Code]=(TRIM($B111))),GJ[Credit]))))</f>
        <v>0</v>
      </c>
      <c r="E111" s="467">
        <f t="shared" si="3"/>
        <v>0</v>
      </c>
    </row>
    <row r="112" spans="1:5" x14ac:dyDescent="0.2">
      <c r="A112" s="476" t="s">
        <v>308</v>
      </c>
      <c r="B112" s="339" t="s">
        <v>256</v>
      </c>
      <c r="C112" s="466">
        <f t="array" ref="C112">((SUM(IF((CkDJ[Sort Code]=(TRIM(E$5)))*(CkDJ[Account Code]=(TRIM($B112)))*(CkDJ[Date]&lt;=$C$8),CkDJ[Debit])))+(SUM(IF((CsDJ[Sort Code]=(TRIM(E$5)))*(CsDJ[Account Code]=(TRIM($B112)))*(CsDJ[Date]&lt;=$C$8),CsDJ[Debit])))+(SUM(IF((CRDJ[Sort Code]=(TRIM(E$5)))*(CRDJ[Account Code]=(TRIM($B112)))*(CRDJ[Date]&lt;=$C$8),CRDJ[Debit])))+(SUM(IF((GJ[Sort Code]=(TRIM(E$5)))*(GJ[Account Code]=(TRIM($B112)))*(GJ[Date]&lt;=$C$8),GJ[Debit]))))-((SUM(IF((CkDJ[Sort Code]=(TRIM(E$5)))*(CkDJ[Account Code]=(TRIM($B112)))*(CkDJ[Date]&lt;=$C$8),CkDJ[Credit])))+(SUM(IF((CsDJ[Sort Code]=(TRIM(E$5)))*(CsDJ[Account Code]=(TRIM($B112)))*(CsDJ[Date]&lt;=$C$8),CsDJ[Credit])))+(SUM(IF((CRDJ[Sort Code]=(TRIM(E$5)))*(CRDJ[Account Code]=(TRIM($B112)))*(CRDJ[Date]&lt;=$C$8),CRDJ[Credit])))+(SUM(IF((GJ[Sort Code]=(TRIM(E$5)))*(GJ[Account Code]=(TRIM($B112)))*(GJ[Date]&lt;=$C$8),GJ[Credit]))))</f>
        <v>0</v>
      </c>
      <c r="D112" s="466">
        <f t="array" ref="D112">((SUM(IF((CkDJ[Date]=$A$4)*(CkDJ[Sort Code]=(TRIM(E$5)))*(CkDJ[Account Code]=(TRIM($B112))),CkDJ[Debit])))+(SUM(IF((CsDJ[Date]=$A$4)*(CsDJ[Sort Code]=(TRIM(E$5)))*(CsDJ[Account Code]=(TRIM($B112))),CsDJ[Debit])))+(SUM(IF((CRDJ[Date]=$A$4)*(CRDJ[Sort Code]=(TRIM(E$5)))*(CRDJ[Account Code]=(TRIM($B112))),CRDJ[Debit])))+(SUM(IF((GJ[Date]=$A$4)*(GJ[Sort Code]=(TRIM(E$5)))*(GJ[Account Code]=(TRIM($B112))),GJ[Debit]))))-((SUM(IF((CkDJ[Date]=$A$4)*(CkDJ[Sort Code]=(TRIM(E$5)))*(CkDJ[Account Code]=(TRIM($B112))),CkDJ[Credit])))+(SUM(IF((CsDJ[Date]=$A$4)*(CsDJ[Sort Code]=(TRIM(E$5)))*(CsDJ[Account Code]=(TRIM($B112))),CsDJ[Credit])))+(SUM(IF((CRDJ[Date]=$A$4)*(CRDJ[Sort Code]=(TRIM(E$5)))*(CRDJ[Account Code]=(TRIM($B112))),CRDJ[Credit])))+(SUM(IF((GJ[Date]=$A$4)*(GJ[Sort Code]=(TRIM(E$5)))*(GJ[Account Code]=(TRIM($B112))),GJ[Credit]))))</f>
        <v>0</v>
      </c>
      <c r="E112" s="467">
        <f t="shared" si="3"/>
        <v>0</v>
      </c>
    </row>
    <row r="113" spans="1:5" x14ac:dyDescent="0.2">
      <c r="A113" s="476" t="s">
        <v>309</v>
      </c>
      <c r="B113" s="339" t="s">
        <v>258</v>
      </c>
      <c r="C113" s="466">
        <f t="array" ref="C113">((SUM(IF((CkDJ[Sort Code]=(TRIM(E$5)))*(CkDJ[Account Code]=(TRIM($B113)))*(CkDJ[Date]&lt;=$C$8),CkDJ[Debit])))+(SUM(IF((CsDJ[Sort Code]=(TRIM(E$5)))*(CsDJ[Account Code]=(TRIM($B113)))*(CsDJ[Date]&lt;=$C$8),CsDJ[Debit])))+(SUM(IF((CRDJ[Sort Code]=(TRIM(E$5)))*(CRDJ[Account Code]=(TRIM($B113)))*(CRDJ[Date]&lt;=$C$8),CRDJ[Debit])))+(SUM(IF((GJ[Sort Code]=(TRIM(E$5)))*(GJ[Account Code]=(TRIM($B113)))*(GJ[Date]&lt;=$C$8),GJ[Debit]))))-((SUM(IF((CkDJ[Sort Code]=(TRIM(E$5)))*(CkDJ[Account Code]=(TRIM($B113)))*(CkDJ[Date]&lt;=$C$8),CkDJ[Credit])))+(SUM(IF((CsDJ[Sort Code]=(TRIM(E$5)))*(CsDJ[Account Code]=(TRIM($B113)))*(CsDJ[Date]&lt;=$C$8),CsDJ[Credit])))+(SUM(IF((CRDJ[Sort Code]=(TRIM(E$5)))*(CRDJ[Account Code]=(TRIM($B113)))*(CRDJ[Date]&lt;=$C$8),CRDJ[Credit])))+(SUM(IF((GJ[Sort Code]=(TRIM(E$5)))*(GJ[Account Code]=(TRIM($B113)))*(GJ[Date]&lt;=$C$8),GJ[Credit]))))</f>
        <v>0</v>
      </c>
      <c r="D113" s="466">
        <f t="array" ref="D113">((SUM(IF((CkDJ[Date]=$A$4)*(CkDJ[Sort Code]=(TRIM(E$5)))*(CkDJ[Account Code]=(TRIM($B113))),CkDJ[Debit])))+(SUM(IF((CsDJ[Date]=$A$4)*(CsDJ[Sort Code]=(TRIM(E$5)))*(CsDJ[Account Code]=(TRIM($B113))),CsDJ[Debit])))+(SUM(IF((CRDJ[Date]=$A$4)*(CRDJ[Sort Code]=(TRIM(E$5)))*(CRDJ[Account Code]=(TRIM($B113))),CRDJ[Debit])))+(SUM(IF((GJ[Date]=$A$4)*(GJ[Sort Code]=(TRIM(E$5)))*(GJ[Account Code]=(TRIM($B113))),GJ[Debit]))))-((SUM(IF((CkDJ[Date]=$A$4)*(CkDJ[Sort Code]=(TRIM(E$5)))*(CkDJ[Account Code]=(TRIM($B113))),CkDJ[Credit])))+(SUM(IF((CsDJ[Date]=$A$4)*(CsDJ[Sort Code]=(TRIM(E$5)))*(CsDJ[Account Code]=(TRIM($B113))),CsDJ[Credit])))+(SUM(IF((CRDJ[Date]=$A$4)*(CRDJ[Sort Code]=(TRIM(E$5)))*(CRDJ[Account Code]=(TRIM($B113))),CRDJ[Credit])))+(SUM(IF((GJ[Date]=$A$4)*(GJ[Sort Code]=(TRIM(E$5)))*(GJ[Account Code]=(TRIM($B113))),GJ[Credit]))))</f>
        <v>0</v>
      </c>
      <c r="E113" s="467">
        <f t="shared" si="3"/>
        <v>0</v>
      </c>
    </row>
    <row r="114" spans="1:5" x14ac:dyDescent="0.2">
      <c r="A114" s="476" t="s">
        <v>310</v>
      </c>
      <c r="B114" s="339" t="s">
        <v>261</v>
      </c>
      <c r="C114" s="466">
        <f t="array" ref="C114">((SUM(IF((CkDJ[Sort Code]=(TRIM(E$5)))*(CkDJ[Account Code]=(TRIM($B114)))*(CkDJ[Date]&lt;=$C$8),CkDJ[Debit])))+(SUM(IF((CsDJ[Sort Code]=(TRIM(E$5)))*(CsDJ[Account Code]=(TRIM($B114)))*(CsDJ[Date]&lt;=$C$8),CsDJ[Debit])))+(SUM(IF((CRDJ[Sort Code]=(TRIM(E$5)))*(CRDJ[Account Code]=(TRIM($B114)))*(CRDJ[Date]&lt;=$C$8),CRDJ[Debit])))+(SUM(IF((GJ[Sort Code]=(TRIM(E$5)))*(GJ[Account Code]=(TRIM($B114)))*(GJ[Date]&lt;=$C$8),GJ[Debit]))))-((SUM(IF((CkDJ[Sort Code]=(TRIM(E$5)))*(CkDJ[Account Code]=(TRIM($B114)))*(CkDJ[Date]&lt;=$C$8),CkDJ[Credit])))+(SUM(IF((CsDJ[Sort Code]=(TRIM(E$5)))*(CsDJ[Account Code]=(TRIM($B114)))*(CsDJ[Date]&lt;=$C$8),CsDJ[Credit])))+(SUM(IF((CRDJ[Sort Code]=(TRIM(E$5)))*(CRDJ[Account Code]=(TRIM($B114)))*(CRDJ[Date]&lt;=$C$8),CRDJ[Credit])))+(SUM(IF((GJ[Sort Code]=(TRIM(E$5)))*(GJ[Account Code]=(TRIM($B114)))*(GJ[Date]&lt;=$C$8),GJ[Credit]))))</f>
        <v>0</v>
      </c>
      <c r="D114" s="466">
        <f t="array" ref="D114">((SUM(IF((CkDJ[Date]=$A$4)*(CkDJ[Sort Code]=(TRIM(E$5)))*(CkDJ[Account Code]=(TRIM($B114))),CkDJ[Debit])))+(SUM(IF((CsDJ[Date]=$A$4)*(CsDJ[Sort Code]=(TRIM(E$5)))*(CsDJ[Account Code]=(TRIM($B114))),CsDJ[Debit])))+(SUM(IF((CRDJ[Date]=$A$4)*(CRDJ[Sort Code]=(TRIM(E$5)))*(CRDJ[Account Code]=(TRIM($B114))),CRDJ[Debit])))+(SUM(IF((GJ[Date]=$A$4)*(GJ[Sort Code]=(TRIM(E$5)))*(GJ[Account Code]=(TRIM($B114))),GJ[Debit]))))-((SUM(IF((CkDJ[Date]=$A$4)*(CkDJ[Sort Code]=(TRIM(E$5)))*(CkDJ[Account Code]=(TRIM($B114))),CkDJ[Credit])))+(SUM(IF((CsDJ[Date]=$A$4)*(CsDJ[Sort Code]=(TRIM(E$5)))*(CsDJ[Account Code]=(TRIM($B114))),CsDJ[Credit])))+(SUM(IF((CRDJ[Date]=$A$4)*(CRDJ[Sort Code]=(TRIM(E$5)))*(CRDJ[Account Code]=(TRIM($B114))),CRDJ[Credit])))+(SUM(IF((GJ[Date]=$A$4)*(GJ[Sort Code]=(TRIM(E$5)))*(GJ[Account Code]=(TRIM($B114))),GJ[Credit]))))</f>
        <v>0</v>
      </c>
      <c r="E114" s="467">
        <f t="shared" si="3"/>
        <v>0</v>
      </c>
    </row>
    <row r="115" spans="1:5" x14ac:dyDescent="0.2">
      <c r="A115" s="476" t="s">
        <v>311</v>
      </c>
      <c r="B115" s="339" t="s">
        <v>262</v>
      </c>
      <c r="C115" s="466">
        <f t="array" ref="C115">((SUM(IF((CkDJ[Sort Code]=(TRIM(E$5)))*(CkDJ[Account Code]=(TRIM($B115)))*(CkDJ[Date]&lt;=$C$8),CkDJ[Debit])))+(SUM(IF((CsDJ[Sort Code]=(TRIM(E$5)))*(CsDJ[Account Code]=(TRIM($B115)))*(CsDJ[Date]&lt;=$C$8),CsDJ[Debit])))+(SUM(IF((CRDJ[Sort Code]=(TRIM(E$5)))*(CRDJ[Account Code]=(TRIM($B115)))*(CRDJ[Date]&lt;=$C$8),CRDJ[Debit])))+(SUM(IF((GJ[Sort Code]=(TRIM(E$5)))*(GJ[Account Code]=(TRIM($B115)))*(GJ[Date]&lt;=$C$8),GJ[Debit]))))-((SUM(IF((CkDJ[Sort Code]=(TRIM(E$5)))*(CkDJ[Account Code]=(TRIM($B115)))*(CkDJ[Date]&lt;=$C$8),CkDJ[Credit])))+(SUM(IF((CsDJ[Sort Code]=(TRIM(E$5)))*(CsDJ[Account Code]=(TRIM($B115)))*(CsDJ[Date]&lt;=$C$8),CsDJ[Credit])))+(SUM(IF((CRDJ[Sort Code]=(TRIM(E$5)))*(CRDJ[Account Code]=(TRIM($B115)))*(CRDJ[Date]&lt;=$C$8),CRDJ[Credit])))+(SUM(IF((GJ[Sort Code]=(TRIM(E$5)))*(GJ[Account Code]=(TRIM($B115)))*(GJ[Date]&lt;=$C$8),GJ[Credit]))))</f>
        <v>0</v>
      </c>
      <c r="D115" s="466">
        <f t="array" ref="D115">((SUM(IF((CkDJ[Date]=$A$4)*(CkDJ[Sort Code]=(TRIM(E$5)))*(CkDJ[Account Code]=(TRIM($B115))),CkDJ[Debit])))+(SUM(IF((CsDJ[Date]=$A$4)*(CsDJ[Sort Code]=(TRIM(E$5)))*(CsDJ[Account Code]=(TRIM($B115))),CsDJ[Debit])))+(SUM(IF((CRDJ[Date]=$A$4)*(CRDJ[Sort Code]=(TRIM(E$5)))*(CRDJ[Account Code]=(TRIM($B115))),CRDJ[Debit])))+(SUM(IF((GJ[Date]=$A$4)*(GJ[Sort Code]=(TRIM(E$5)))*(GJ[Account Code]=(TRIM($B115))),GJ[Debit]))))-((SUM(IF((CkDJ[Date]=$A$4)*(CkDJ[Sort Code]=(TRIM(E$5)))*(CkDJ[Account Code]=(TRIM($B115))),CkDJ[Credit])))+(SUM(IF((CsDJ[Date]=$A$4)*(CsDJ[Sort Code]=(TRIM(E$5)))*(CsDJ[Account Code]=(TRIM($B115))),CsDJ[Credit])))+(SUM(IF((CRDJ[Date]=$A$4)*(CRDJ[Sort Code]=(TRIM(E$5)))*(CRDJ[Account Code]=(TRIM($B115))),CRDJ[Credit])))+(SUM(IF((GJ[Date]=$A$4)*(GJ[Sort Code]=(TRIM(E$5)))*(GJ[Account Code]=(TRIM($B115))),GJ[Credit]))))</f>
        <v>0</v>
      </c>
      <c r="E115" s="467">
        <f t="shared" si="3"/>
        <v>0</v>
      </c>
    </row>
    <row r="116" spans="1:5" x14ac:dyDescent="0.2">
      <c r="A116" s="476" t="s">
        <v>312</v>
      </c>
      <c r="B116" s="339" t="s">
        <v>264</v>
      </c>
      <c r="C116" s="466">
        <f t="array" ref="C116">((SUM(IF((CkDJ[Sort Code]=(TRIM(E$5)))*(CkDJ[Account Code]=(TRIM($B116)))*(CkDJ[Date]&lt;=$C$8),CkDJ[Debit])))+(SUM(IF((CsDJ[Sort Code]=(TRIM(E$5)))*(CsDJ[Account Code]=(TRIM($B116)))*(CsDJ[Date]&lt;=$C$8),CsDJ[Debit])))+(SUM(IF((CRDJ[Sort Code]=(TRIM(E$5)))*(CRDJ[Account Code]=(TRIM($B116)))*(CRDJ[Date]&lt;=$C$8),CRDJ[Debit])))+(SUM(IF((GJ[Sort Code]=(TRIM(E$5)))*(GJ[Account Code]=(TRIM($B116)))*(GJ[Date]&lt;=$C$8),GJ[Debit]))))-((SUM(IF((CkDJ[Sort Code]=(TRIM(E$5)))*(CkDJ[Account Code]=(TRIM($B116)))*(CkDJ[Date]&lt;=$C$8),CkDJ[Credit])))+(SUM(IF((CsDJ[Sort Code]=(TRIM(E$5)))*(CsDJ[Account Code]=(TRIM($B116)))*(CsDJ[Date]&lt;=$C$8),CsDJ[Credit])))+(SUM(IF((CRDJ[Sort Code]=(TRIM(E$5)))*(CRDJ[Account Code]=(TRIM($B116)))*(CRDJ[Date]&lt;=$C$8),CRDJ[Credit])))+(SUM(IF((GJ[Sort Code]=(TRIM(E$5)))*(GJ[Account Code]=(TRIM($B116)))*(GJ[Date]&lt;=$C$8),GJ[Credit]))))</f>
        <v>0</v>
      </c>
      <c r="D116" s="466">
        <f t="array" ref="D116">((SUM(IF((CkDJ[Date]=$A$4)*(CkDJ[Sort Code]=(TRIM(E$5)))*(CkDJ[Account Code]=(TRIM($B116))),CkDJ[Debit])))+(SUM(IF((CsDJ[Date]=$A$4)*(CsDJ[Sort Code]=(TRIM(E$5)))*(CsDJ[Account Code]=(TRIM($B116))),CsDJ[Debit])))+(SUM(IF((CRDJ[Date]=$A$4)*(CRDJ[Sort Code]=(TRIM(E$5)))*(CRDJ[Account Code]=(TRIM($B116))),CRDJ[Debit])))+(SUM(IF((GJ[Date]=$A$4)*(GJ[Sort Code]=(TRIM(E$5)))*(GJ[Account Code]=(TRIM($B116))),GJ[Debit]))))-((SUM(IF((CkDJ[Date]=$A$4)*(CkDJ[Sort Code]=(TRIM(E$5)))*(CkDJ[Account Code]=(TRIM($B116))),CkDJ[Credit])))+(SUM(IF((CsDJ[Date]=$A$4)*(CsDJ[Sort Code]=(TRIM(E$5)))*(CsDJ[Account Code]=(TRIM($B116))),CsDJ[Credit])))+(SUM(IF((CRDJ[Date]=$A$4)*(CRDJ[Sort Code]=(TRIM(E$5)))*(CRDJ[Account Code]=(TRIM($B116))),CRDJ[Credit])))+(SUM(IF((GJ[Date]=$A$4)*(GJ[Sort Code]=(TRIM(E$5)))*(GJ[Account Code]=(TRIM($B116))),GJ[Credit]))))</f>
        <v>0</v>
      </c>
      <c r="E116" s="467">
        <f t="shared" si="3"/>
        <v>0</v>
      </c>
    </row>
    <row r="117" spans="1:5" x14ac:dyDescent="0.2">
      <c r="A117" s="476" t="s">
        <v>313</v>
      </c>
      <c r="B117" s="339" t="s">
        <v>265</v>
      </c>
      <c r="C117" s="466">
        <f t="array" ref="C117">((SUM(IF((CkDJ[Sort Code]=(TRIM(E$5)))*(CkDJ[Account Code]=(TRIM($B117)))*(CkDJ[Date]&lt;=$C$8),CkDJ[Debit])))+(SUM(IF((CsDJ[Sort Code]=(TRIM(E$5)))*(CsDJ[Account Code]=(TRIM($B117)))*(CsDJ[Date]&lt;=$C$8),CsDJ[Debit])))+(SUM(IF((CRDJ[Sort Code]=(TRIM(E$5)))*(CRDJ[Account Code]=(TRIM($B117)))*(CRDJ[Date]&lt;=$C$8),CRDJ[Debit])))+(SUM(IF((GJ[Sort Code]=(TRIM(E$5)))*(GJ[Account Code]=(TRIM($B117)))*(GJ[Date]&lt;=$C$8),GJ[Debit]))))-((SUM(IF((CkDJ[Sort Code]=(TRIM(E$5)))*(CkDJ[Account Code]=(TRIM($B117)))*(CkDJ[Date]&lt;=$C$8),CkDJ[Credit])))+(SUM(IF((CsDJ[Sort Code]=(TRIM(E$5)))*(CsDJ[Account Code]=(TRIM($B117)))*(CsDJ[Date]&lt;=$C$8),CsDJ[Credit])))+(SUM(IF((CRDJ[Sort Code]=(TRIM(E$5)))*(CRDJ[Account Code]=(TRIM($B117)))*(CRDJ[Date]&lt;=$C$8),CRDJ[Credit])))+(SUM(IF((GJ[Sort Code]=(TRIM(E$5)))*(GJ[Account Code]=(TRIM($B117)))*(GJ[Date]&lt;=$C$8),GJ[Credit]))))</f>
        <v>0</v>
      </c>
      <c r="D117" s="466">
        <f t="array" ref="D117">((SUM(IF((CkDJ[Date]=$A$4)*(CkDJ[Sort Code]=(TRIM(E$5)))*(CkDJ[Account Code]=(TRIM($B117))),CkDJ[Debit])))+(SUM(IF((CsDJ[Date]=$A$4)*(CsDJ[Sort Code]=(TRIM(E$5)))*(CsDJ[Account Code]=(TRIM($B117))),CsDJ[Debit])))+(SUM(IF((CRDJ[Date]=$A$4)*(CRDJ[Sort Code]=(TRIM(E$5)))*(CRDJ[Account Code]=(TRIM($B117))),CRDJ[Debit])))+(SUM(IF((GJ[Date]=$A$4)*(GJ[Sort Code]=(TRIM(E$5)))*(GJ[Account Code]=(TRIM($B117))),GJ[Debit]))))-((SUM(IF((CkDJ[Date]=$A$4)*(CkDJ[Sort Code]=(TRIM(E$5)))*(CkDJ[Account Code]=(TRIM($B117))),CkDJ[Credit])))+(SUM(IF((CsDJ[Date]=$A$4)*(CsDJ[Sort Code]=(TRIM(E$5)))*(CsDJ[Account Code]=(TRIM($B117))),CsDJ[Credit])))+(SUM(IF((CRDJ[Date]=$A$4)*(CRDJ[Sort Code]=(TRIM(E$5)))*(CRDJ[Account Code]=(TRIM($B117))),CRDJ[Credit])))+(SUM(IF((GJ[Date]=$A$4)*(GJ[Sort Code]=(TRIM(E$5)))*(GJ[Account Code]=(TRIM($B117))),GJ[Credit]))))</f>
        <v>0</v>
      </c>
      <c r="E117" s="467">
        <f t="shared" si="3"/>
        <v>0</v>
      </c>
    </row>
    <row r="118" spans="1:5" x14ac:dyDescent="0.2">
      <c r="A118" s="476" t="s">
        <v>790</v>
      </c>
      <c r="B118" s="339" t="s">
        <v>267</v>
      </c>
      <c r="C118" s="466">
        <f t="array" ref="C118">((SUM(IF((CkDJ[Sort Code]=(TRIM(E$5)))*(CkDJ[Account Code]=(TRIM($B118)))*(CkDJ[Date]&lt;=$C$8),CkDJ[Debit])))+(SUM(IF((CsDJ[Sort Code]=(TRIM(E$5)))*(CsDJ[Account Code]=(TRIM($B118)))*(CsDJ[Date]&lt;=$C$8),CsDJ[Debit])))+(SUM(IF((CRDJ[Sort Code]=(TRIM(E$5)))*(CRDJ[Account Code]=(TRIM($B118)))*(CRDJ[Date]&lt;=$C$8),CRDJ[Debit])))+(SUM(IF((GJ[Sort Code]=(TRIM(E$5)))*(GJ[Account Code]=(TRIM($B118)))*(GJ[Date]&lt;=$C$8),GJ[Debit]))))-((SUM(IF((CkDJ[Sort Code]=(TRIM(E$5)))*(CkDJ[Account Code]=(TRIM($B118)))*(CkDJ[Date]&lt;=$C$8),CkDJ[Credit])))+(SUM(IF((CsDJ[Sort Code]=(TRIM(E$5)))*(CsDJ[Account Code]=(TRIM($B118)))*(CsDJ[Date]&lt;=$C$8),CsDJ[Credit])))+(SUM(IF((CRDJ[Sort Code]=(TRIM(E$5)))*(CRDJ[Account Code]=(TRIM($B118)))*(CRDJ[Date]&lt;=$C$8),CRDJ[Credit])))+(SUM(IF((GJ[Sort Code]=(TRIM(E$5)))*(GJ[Account Code]=(TRIM($B118)))*(GJ[Date]&lt;=$C$8),GJ[Credit]))))</f>
        <v>0</v>
      </c>
      <c r="D118" s="466">
        <f t="array" ref="D118">((SUM(IF((CkDJ[Date]=$A$4)*(CkDJ[Sort Code]=(TRIM(E$5)))*(CkDJ[Account Code]=(TRIM($B118))),CkDJ[Debit])))+(SUM(IF((CsDJ[Date]=$A$4)*(CsDJ[Sort Code]=(TRIM(E$5)))*(CsDJ[Account Code]=(TRIM($B118))),CsDJ[Debit])))+(SUM(IF((CRDJ[Date]=$A$4)*(CRDJ[Sort Code]=(TRIM(E$5)))*(CRDJ[Account Code]=(TRIM($B118))),CRDJ[Debit])))+(SUM(IF((GJ[Date]=$A$4)*(GJ[Sort Code]=(TRIM(E$5)))*(GJ[Account Code]=(TRIM($B118))),GJ[Debit]))))-((SUM(IF((CkDJ[Date]=$A$4)*(CkDJ[Sort Code]=(TRIM(E$5)))*(CkDJ[Account Code]=(TRIM($B118))),CkDJ[Credit])))+(SUM(IF((CsDJ[Date]=$A$4)*(CsDJ[Sort Code]=(TRIM(E$5)))*(CsDJ[Account Code]=(TRIM($B118))),CsDJ[Credit])))+(SUM(IF((CRDJ[Date]=$A$4)*(CRDJ[Sort Code]=(TRIM(E$5)))*(CRDJ[Account Code]=(TRIM($B118))),CRDJ[Credit])))+(SUM(IF((GJ[Date]=$A$4)*(GJ[Sort Code]=(TRIM(E$5)))*(GJ[Account Code]=(TRIM($B118))),GJ[Credit]))))</f>
        <v>0</v>
      </c>
      <c r="E118" s="467">
        <f>C118+D118</f>
        <v>0</v>
      </c>
    </row>
    <row r="119" spans="1:5" x14ac:dyDescent="0.2">
      <c r="A119" s="476" t="s">
        <v>1027</v>
      </c>
      <c r="B119" s="339" t="s">
        <v>269</v>
      </c>
      <c r="C119" s="466">
        <f t="array" ref="C119">((SUM(IF((CkDJ[Sort Code]=(TRIM(E$5)))*(CkDJ[Account Code]=(TRIM($B119)))*(CkDJ[Date]&lt;=$C$8),CkDJ[Debit])))+(SUM(IF((CsDJ[Sort Code]=(TRIM(E$5)))*(CsDJ[Account Code]=(TRIM($B119)))*(CsDJ[Date]&lt;=$C$8),CsDJ[Debit])))+(SUM(IF((CRDJ[Sort Code]=(TRIM(E$5)))*(CRDJ[Account Code]=(TRIM($B119)))*(CRDJ[Date]&lt;=$C$8),CRDJ[Debit])))+(SUM(IF((GJ[Sort Code]=(TRIM(E$5)))*(GJ[Account Code]=(TRIM($B119)))*(GJ[Date]&lt;=$C$8),GJ[Debit]))))-((SUM(IF((CkDJ[Sort Code]=(TRIM(E$5)))*(CkDJ[Account Code]=(TRIM($B119)))*(CkDJ[Date]&lt;=$C$8),CkDJ[Credit])))+(SUM(IF((CsDJ[Sort Code]=(TRIM(E$5)))*(CsDJ[Account Code]=(TRIM($B119)))*(CsDJ[Date]&lt;=$C$8),CsDJ[Credit])))+(SUM(IF((CRDJ[Sort Code]=(TRIM(E$5)))*(CRDJ[Account Code]=(TRIM($B119)))*(CRDJ[Date]&lt;=$C$8),CRDJ[Credit])))+(SUM(IF((GJ[Sort Code]=(TRIM(E$5)))*(GJ[Account Code]=(TRIM($B119)))*(GJ[Date]&lt;=$C$8),GJ[Credit]))))</f>
        <v>0</v>
      </c>
      <c r="D119" s="466">
        <f t="array" ref="D119">((SUM(IF((CkDJ[Date]=$A$4)*(CkDJ[Sort Code]=(TRIM(E$5)))*(CkDJ[Account Code]=(TRIM($B119))),CkDJ[Debit])))+(SUM(IF((CsDJ[Date]=$A$4)*(CsDJ[Sort Code]=(TRIM(E$5)))*(CsDJ[Account Code]=(TRIM($B119))),CsDJ[Debit])))+(SUM(IF((CRDJ[Date]=$A$4)*(CRDJ[Sort Code]=(TRIM(E$5)))*(CRDJ[Account Code]=(TRIM($B119))),CRDJ[Debit])))+(SUM(IF((GJ[Date]=$A$4)*(GJ[Sort Code]=(TRIM(E$5)))*(GJ[Account Code]=(TRIM($B119))),GJ[Debit]))))-((SUM(IF((CkDJ[Date]=$A$4)*(CkDJ[Sort Code]=(TRIM(E$5)))*(CkDJ[Account Code]=(TRIM($B119))),CkDJ[Credit])))+(SUM(IF((CsDJ[Date]=$A$4)*(CsDJ[Sort Code]=(TRIM(E$5)))*(CsDJ[Account Code]=(TRIM($B119))),CsDJ[Credit])))+(SUM(IF((CRDJ[Date]=$A$4)*(CRDJ[Sort Code]=(TRIM(E$5)))*(CRDJ[Account Code]=(TRIM($B119))),CRDJ[Credit])))+(SUM(IF((GJ[Date]=$A$4)*(GJ[Sort Code]=(TRIM(E$5)))*(GJ[Account Code]=(TRIM($B119))),GJ[Credit]))))</f>
        <v>0</v>
      </c>
      <c r="E119" s="467">
        <f t="shared" ref="E119:E136" si="4">C119+D119</f>
        <v>0</v>
      </c>
    </row>
    <row r="120" spans="1:5" x14ac:dyDescent="0.2">
      <c r="A120" s="476" t="s">
        <v>409</v>
      </c>
      <c r="B120" s="339" t="s">
        <v>408</v>
      </c>
      <c r="C120" s="466">
        <f t="array" ref="C120">((SUM(IF((CkDJ[Sort Code]=(TRIM(E$5)))*(CkDJ[Account Code]=(TRIM($B120)))*(CkDJ[Date]&lt;=$C$8),CkDJ[Debit])))+(SUM(IF((CsDJ[Sort Code]=(TRIM(E$5)))*(CsDJ[Account Code]=(TRIM($B120)))*(CsDJ[Date]&lt;=$C$8),CsDJ[Debit])))+(SUM(IF((CRDJ[Sort Code]=(TRIM(E$5)))*(CRDJ[Account Code]=(TRIM($B120)))*(CRDJ[Date]&lt;=$C$8),CRDJ[Debit])))+(SUM(IF((GJ[Sort Code]=(TRIM(E$5)))*(GJ[Account Code]=(TRIM($B120)))*(GJ[Date]&lt;=$C$8),GJ[Debit]))))-((SUM(IF((CkDJ[Sort Code]=(TRIM(E$5)))*(CkDJ[Account Code]=(TRIM($B120)))*(CkDJ[Date]&lt;=$C$8),CkDJ[Credit])))+(SUM(IF((CsDJ[Sort Code]=(TRIM(E$5)))*(CsDJ[Account Code]=(TRIM($B120)))*(CsDJ[Date]&lt;=$C$8),CsDJ[Credit])))+(SUM(IF((CRDJ[Sort Code]=(TRIM(E$5)))*(CRDJ[Account Code]=(TRIM($B120)))*(CRDJ[Date]&lt;=$C$8),CRDJ[Credit])))+(SUM(IF((GJ[Sort Code]=(TRIM(E$5)))*(GJ[Account Code]=(TRIM($B120)))*(GJ[Date]&lt;=$C$8),GJ[Credit]))))</f>
        <v>0</v>
      </c>
      <c r="D120" s="466">
        <f t="array" ref="D120">((SUM(IF((CkDJ[Date]=$A$4)*(CkDJ[Sort Code]=(TRIM(E$5)))*(CkDJ[Account Code]=(TRIM($B120))),CkDJ[Debit])))+(SUM(IF((CsDJ[Date]=$A$4)*(CsDJ[Sort Code]=(TRIM(E$5)))*(CsDJ[Account Code]=(TRIM($B120))),CsDJ[Debit])))+(SUM(IF((CRDJ[Date]=$A$4)*(CRDJ[Sort Code]=(TRIM(E$5)))*(CRDJ[Account Code]=(TRIM($B120))),CRDJ[Debit])))+(SUM(IF((GJ[Date]=$A$4)*(GJ[Sort Code]=(TRIM(E$5)))*(GJ[Account Code]=(TRIM($B120))),GJ[Debit]))))-((SUM(IF((CkDJ[Date]=$A$4)*(CkDJ[Sort Code]=(TRIM(E$5)))*(CkDJ[Account Code]=(TRIM($B120))),CkDJ[Credit])))+(SUM(IF((CsDJ[Date]=$A$4)*(CsDJ[Sort Code]=(TRIM(E$5)))*(CsDJ[Account Code]=(TRIM($B120))),CsDJ[Credit])))+(SUM(IF((CRDJ[Date]=$A$4)*(CRDJ[Sort Code]=(TRIM(E$5)))*(CRDJ[Account Code]=(TRIM($B120))),CRDJ[Credit])))+(SUM(IF((GJ[Date]=$A$4)*(GJ[Sort Code]=(TRIM(E$5)))*(GJ[Account Code]=(TRIM($B120))),GJ[Credit]))))</f>
        <v>0</v>
      </c>
      <c r="E120" s="467">
        <f>C120+D120</f>
        <v>0</v>
      </c>
    </row>
    <row r="121" spans="1:5" x14ac:dyDescent="0.2">
      <c r="A121" s="476" t="s">
        <v>315</v>
      </c>
      <c r="B121" s="339" t="s">
        <v>270</v>
      </c>
      <c r="C121" s="466">
        <f t="array" ref="C121">((SUM(IF((CkDJ[Sort Code]=(TRIM(E$5)))*(CkDJ[Account Code]=(TRIM($B121)))*(CkDJ[Date]&lt;=$C$8),CkDJ[Debit])))+(SUM(IF((CsDJ[Sort Code]=(TRIM(E$5)))*(CsDJ[Account Code]=(TRIM($B121)))*(CsDJ[Date]&lt;=$C$8),CsDJ[Debit])))+(SUM(IF((CRDJ[Sort Code]=(TRIM(E$5)))*(CRDJ[Account Code]=(TRIM($B121)))*(CRDJ[Date]&lt;=$C$8),CRDJ[Debit])))+(SUM(IF((GJ[Sort Code]=(TRIM(E$5)))*(GJ[Account Code]=(TRIM($B121)))*(GJ[Date]&lt;=$C$8),GJ[Debit]))))-((SUM(IF((CkDJ[Sort Code]=(TRIM(E$5)))*(CkDJ[Account Code]=(TRIM($B121)))*(CkDJ[Date]&lt;=$C$8),CkDJ[Credit])))+(SUM(IF((CsDJ[Sort Code]=(TRIM(E$5)))*(CsDJ[Account Code]=(TRIM($B121)))*(CsDJ[Date]&lt;=$C$8),CsDJ[Credit])))+(SUM(IF((CRDJ[Sort Code]=(TRIM(E$5)))*(CRDJ[Account Code]=(TRIM($B121)))*(CRDJ[Date]&lt;=$C$8),CRDJ[Credit])))+(SUM(IF((GJ[Sort Code]=(TRIM(E$5)))*(GJ[Account Code]=(TRIM($B121)))*(GJ[Date]&lt;=$C$8),GJ[Credit]))))</f>
        <v>0</v>
      </c>
      <c r="D121" s="466">
        <f t="array" ref="D121">((SUM(IF((CkDJ[Date]=$A$4)*(CkDJ[Sort Code]=(TRIM(E$5)))*(CkDJ[Account Code]=(TRIM($B121))),CkDJ[Debit])))+(SUM(IF((CsDJ[Date]=$A$4)*(CsDJ[Sort Code]=(TRIM(E$5)))*(CsDJ[Account Code]=(TRIM($B121))),CsDJ[Debit])))+(SUM(IF((CRDJ[Date]=$A$4)*(CRDJ[Sort Code]=(TRIM(E$5)))*(CRDJ[Account Code]=(TRIM($B121))),CRDJ[Debit])))+(SUM(IF((GJ[Date]=$A$4)*(GJ[Sort Code]=(TRIM(E$5)))*(GJ[Account Code]=(TRIM($B121))),GJ[Debit]))))-((SUM(IF((CkDJ[Date]=$A$4)*(CkDJ[Sort Code]=(TRIM(E$5)))*(CkDJ[Account Code]=(TRIM($B121))),CkDJ[Credit])))+(SUM(IF((CsDJ[Date]=$A$4)*(CsDJ[Sort Code]=(TRIM(E$5)))*(CsDJ[Account Code]=(TRIM($B121))),CsDJ[Credit])))+(SUM(IF((CRDJ[Date]=$A$4)*(CRDJ[Sort Code]=(TRIM(E$5)))*(CRDJ[Account Code]=(TRIM($B121))),CRDJ[Credit])))+(SUM(IF((GJ[Date]=$A$4)*(GJ[Sort Code]=(TRIM(E$5)))*(GJ[Account Code]=(TRIM($B121))),GJ[Credit]))))</f>
        <v>0</v>
      </c>
      <c r="E121" s="467">
        <f>C121+D121</f>
        <v>0</v>
      </c>
    </row>
    <row r="122" spans="1:5" x14ac:dyDescent="0.2">
      <c r="A122" s="476" t="s">
        <v>368</v>
      </c>
      <c r="B122" s="339" t="s">
        <v>271</v>
      </c>
      <c r="C122" s="466">
        <f t="array" ref="C122">((SUM(IF((CkDJ[Sort Code]=(TRIM(E$5)))*(CkDJ[Account Code]=(TRIM($B122)))*(CkDJ[Date]&lt;=$C$8),CkDJ[Debit])))+(SUM(IF((CsDJ[Sort Code]=(TRIM(E$5)))*(CsDJ[Account Code]=(TRIM($B122)))*(CsDJ[Date]&lt;=$C$8),CsDJ[Debit])))+(SUM(IF((CRDJ[Sort Code]=(TRIM(E$5)))*(CRDJ[Account Code]=(TRIM($B122)))*(CRDJ[Date]&lt;=$C$8),CRDJ[Debit])))+(SUM(IF((GJ[Sort Code]=(TRIM(E$5)))*(GJ[Account Code]=(TRIM($B122)))*(GJ[Date]&lt;=$C$8),GJ[Debit]))))-((SUM(IF((CkDJ[Sort Code]=(TRIM(E$5)))*(CkDJ[Account Code]=(TRIM($B122)))*(CkDJ[Date]&lt;=$C$8),CkDJ[Credit])))+(SUM(IF((CsDJ[Sort Code]=(TRIM(E$5)))*(CsDJ[Account Code]=(TRIM($B122)))*(CsDJ[Date]&lt;=$C$8),CsDJ[Credit])))+(SUM(IF((CRDJ[Sort Code]=(TRIM(E$5)))*(CRDJ[Account Code]=(TRIM($B122)))*(CRDJ[Date]&lt;=$C$8),CRDJ[Credit])))+(SUM(IF((GJ[Sort Code]=(TRIM(E$5)))*(GJ[Account Code]=(TRIM($B122)))*(GJ[Date]&lt;=$C$8),GJ[Credit]))))</f>
        <v>0</v>
      </c>
      <c r="D122" s="466">
        <f t="array" ref="D122">((SUM(IF((CkDJ[Date]=$A$4)*(CkDJ[Sort Code]=(TRIM(E$5)))*(CkDJ[Account Code]=(TRIM($B122))),CkDJ[Debit])))+(SUM(IF((CsDJ[Date]=$A$4)*(CsDJ[Sort Code]=(TRIM(E$5)))*(CsDJ[Account Code]=(TRIM($B122))),CsDJ[Debit])))+(SUM(IF((CRDJ[Date]=$A$4)*(CRDJ[Sort Code]=(TRIM(E$5)))*(CRDJ[Account Code]=(TRIM($B122))),CRDJ[Debit])))+(SUM(IF((GJ[Date]=$A$4)*(GJ[Sort Code]=(TRIM(E$5)))*(GJ[Account Code]=(TRIM($B122))),GJ[Debit]))))-((SUM(IF((CkDJ[Date]=$A$4)*(CkDJ[Sort Code]=(TRIM(E$5)))*(CkDJ[Account Code]=(TRIM($B122))),CkDJ[Credit])))+(SUM(IF((CsDJ[Date]=$A$4)*(CsDJ[Sort Code]=(TRIM(E$5)))*(CsDJ[Account Code]=(TRIM($B122))),CsDJ[Credit])))+(SUM(IF((CRDJ[Date]=$A$4)*(CRDJ[Sort Code]=(TRIM(E$5)))*(CRDJ[Account Code]=(TRIM($B122))),CRDJ[Credit])))+(SUM(IF((GJ[Date]=$A$4)*(GJ[Sort Code]=(TRIM(E$5)))*(GJ[Account Code]=(TRIM($B122))),GJ[Credit]))))</f>
        <v>0</v>
      </c>
      <c r="E122" s="467">
        <f t="shared" si="4"/>
        <v>0</v>
      </c>
    </row>
    <row r="123" spans="1:5" x14ac:dyDescent="0.2">
      <c r="A123" s="476" t="s">
        <v>316</v>
      </c>
      <c r="B123" s="339" t="s">
        <v>272</v>
      </c>
      <c r="C123" s="466">
        <f t="array" ref="C123">((SUM(IF((CkDJ[Sort Code]=(TRIM(E$5)))*(CkDJ[Account Code]=(TRIM($B123)))*(CkDJ[Date]&lt;=$C$8),CkDJ[Debit])))+(SUM(IF((CsDJ[Sort Code]=(TRIM(E$5)))*(CsDJ[Account Code]=(TRIM($B123)))*(CsDJ[Date]&lt;=$C$8),CsDJ[Debit])))+(SUM(IF((CRDJ[Sort Code]=(TRIM(E$5)))*(CRDJ[Account Code]=(TRIM($B123)))*(CRDJ[Date]&lt;=$C$8),CRDJ[Debit])))+(SUM(IF((GJ[Sort Code]=(TRIM(E$5)))*(GJ[Account Code]=(TRIM($B123)))*(GJ[Date]&lt;=$C$8),GJ[Debit]))))-((SUM(IF((CkDJ[Sort Code]=(TRIM(E$5)))*(CkDJ[Account Code]=(TRIM($B123)))*(CkDJ[Date]&lt;=$C$8),CkDJ[Credit])))+(SUM(IF((CsDJ[Sort Code]=(TRIM(E$5)))*(CsDJ[Account Code]=(TRIM($B123)))*(CsDJ[Date]&lt;=$C$8),CsDJ[Credit])))+(SUM(IF((CRDJ[Sort Code]=(TRIM(E$5)))*(CRDJ[Account Code]=(TRIM($B123)))*(CRDJ[Date]&lt;=$C$8),CRDJ[Credit])))+(SUM(IF((GJ[Sort Code]=(TRIM(E$5)))*(GJ[Account Code]=(TRIM($B123)))*(GJ[Date]&lt;=$C$8),GJ[Credit]))))</f>
        <v>0</v>
      </c>
      <c r="D123" s="466">
        <f t="array" ref="D123">((SUM(IF((CkDJ[Date]=$A$4)*(CkDJ[Sort Code]=(TRIM(E$5)))*(CkDJ[Account Code]=(TRIM($B123))),CkDJ[Debit])))+(SUM(IF((CsDJ[Date]=$A$4)*(CsDJ[Sort Code]=(TRIM(E$5)))*(CsDJ[Account Code]=(TRIM($B123))),CsDJ[Debit])))+(SUM(IF((CRDJ[Date]=$A$4)*(CRDJ[Sort Code]=(TRIM(E$5)))*(CRDJ[Account Code]=(TRIM($B123))),CRDJ[Debit])))+(SUM(IF((GJ[Date]=$A$4)*(GJ[Sort Code]=(TRIM(E$5)))*(GJ[Account Code]=(TRIM($B123))),GJ[Debit]))))-((SUM(IF((CkDJ[Date]=$A$4)*(CkDJ[Sort Code]=(TRIM(E$5)))*(CkDJ[Account Code]=(TRIM($B123))),CkDJ[Credit])))+(SUM(IF((CsDJ[Date]=$A$4)*(CsDJ[Sort Code]=(TRIM(E$5)))*(CsDJ[Account Code]=(TRIM($B123))),CsDJ[Credit])))+(SUM(IF((CRDJ[Date]=$A$4)*(CRDJ[Sort Code]=(TRIM(E$5)))*(CRDJ[Account Code]=(TRIM($B123))),CRDJ[Credit])))+(SUM(IF((GJ[Date]=$A$4)*(GJ[Sort Code]=(TRIM(E$5)))*(GJ[Account Code]=(TRIM($B123))),GJ[Credit]))))</f>
        <v>0</v>
      </c>
      <c r="E123" s="467">
        <f t="shared" si="4"/>
        <v>0</v>
      </c>
    </row>
    <row r="124" spans="1:5" x14ac:dyDescent="0.2">
      <c r="A124" s="476" t="s">
        <v>317</v>
      </c>
      <c r="B124" s="339" t="s">
        <v>273</v>
      </c>
      <c r="C124" s="466">
        <f t="array" ref="C124">((SUM(IF((CkDJ[Sort Code]=(TRIM(E$5)))*(CkDJ[Account Code]=(TRIM($B124)))*(CkDJ[Date]&lt;=$C$8),CkDJ[Debit])))+(SUM(IF((CsDJ[Sort Code]=(TRIM(E$5)))*(CsDJ[Account Code]=(TRIM($B124)))*(CsDJ[Date]&lt;=$C$8),CsDJ[Debit])))+(SUM(IF((CRDJ[Sort Code]=(TRIM(E$5)))*(CRDJ[Account Code]=(TRIM($B124)))*(CRDJ[Date]&lt;=$C$8),CRDJ[Debit])))+(SUM(IF((GJ[Sort Code]=(TRIM(E$5)))*(GJ[Account Code]=(TRIM($B124)))*(GJ[Date]&lt;=$C$8),GJ[Debit]))))-((SUM(IF((CkDJ[Sort Code]=(TRIM(E$5)))*(CkDJ[Account Code]=(TRIM($B124)))*(CkDJ[Date]&lt;=$C$8),CkDJ[Credit])))+(SUM(IF((CsDJ[Sort Code]=(TRIM(E$5)))*(CsDJ[Account Code]=(TRIM($B124)))*(CsDJ[Date]&lt;=$C$8),CsDJ[Credit])))+(SUM(IF((CRDJ[Sort Code]=(TRIM(E$5)))*(CRDJ[Account Code]=(TRIM($B124)))*(CRDJ[Date]&lt;=$C$8),CRDJ[Credit])))+(SUM(IF((GJ[Sort Code]=(TRIM(E$5)))*(GJ[Account Code]=(TRIM($B124)))*(GJ[Date]&lt;=$C$8),GJ[Credit]))))</f>
        <v>0</v>
      </c>
      <c r="D124" s="466">
        <f t="array" ref="D124">((SUM(IF((CkDJ[Date]=$A$4)*(CkDJ[Sort Code]=(TRIM(E$5)))*(CkDJ[Account Code]=(TRIM($B124))),CkDJ[Debit])))+(SUM(IF((CsDJ[Date]=$A$4)*(CsDJ[Sort Code]=(TRIM(E$5)))*(CsDJ[Account Code]=(TRIM($B124))),CsDJ[Debit])))+(SUM(IF((CRDJ[Date]=$A$4)*(CRDJ[Sort Code]=(TRIM(E$5)))*(CRDJ[Account Code]=(TRIM($B124))),CRDJ[Debit])))+(SUM(IF((GJ[Date]=$A$4)*(GJ[Sort Code]=(TRIM(E$5)))*(GJ[Account Code]=(TRIM($B124))),GJ[Debit]))))-((SUM(IF((CkDJ[Date]=$A$4)*(CkDJ[Sort Code]=(TRIM(E$5)))*(CkDJ[Account Code]=(TRIM($B124))),CkDJ[Credit])))+(SUM(IF((CsDJ[Date]=$A$4)*(CsDJ[Sort Code]=(TRIM(E$5)))*(CsDJ[Account Code]=(TRIM($B124))),CsDJ[Credit])))+(SUM(IF((CRDJ[Date]=$A$4)*(CRDJ[Sort Code]=(TRIM(E$5)))*(CRDJ[Account Code]=(TRIM($B124))),CRDJ[Credit])))+(SUM(IF((GJ[Date]=$A$4)*(GJ[Sort Code]=(TRIM(E$5)))*(GJ[Account Code]=(TRIM($B124))),GJ[Credit]))))</f>
        <v>0</v>
      </c>
      <c r="E124" s="467">
        <f t="shared" si="4"/>
        <v>0</v>
      </c>
    </row>
    <row r="125" spans="1:5" x14ac:dyDescent="0.2">
      <c r="A125" s="476" t="s">
        <v>318</v>
      </c>
      <c r="B125" s="339" t="s">
        <v>274</v>
      </c>
      <c r="C125" s="466">
        <f t="array" ref="C125">((SUM(IF((CkDJ[Sort Code]=(TRIM(E$5)))*(CkDJ[Account Code]=(TRIM($B125)))*(CkDJ[Date]&lt;=$C$8),CkDJ[Debit])))+(SUM(IF((CsDJ[Sort Code]=(TRIM(E$5)))*(CsDJ[Account Code]=(TRIM($B125)))*(CsDJ[Date]&lt;=$C$8),CsDJ[Debit])))+(SUM(IF((CRDJ[Sort Code]=(TRIM(E$5)))*(CRDJ[Account Code]=(TRIM($B125)))*(CRDJ[Date]&lt;=$C$8),CRDJ[Debit])))+(SUM(IF((GJ[Sort Code]=(TRIM(E$5)))*(GJ[Account Code]=(TRIM($B125)))*(GJ[Date]&lt;=$C$8),GJ[Debit]))))-((SUM(IF((CkDJ[Sort Code]=(TRIM(E$5)))*(CkDJ[Account Code]=(TRIM($B125)))*(CkDJ[Date]&lt;=$C$8),CkDJ[Credit])))+(SUM(IF((CsDJ[Sort Code]=(TRIM(E$5)))*(CsDJ[Account Code]=(TRIM($B125)))*(CsDJ[Date]&lt;=$C$8),CsDJ[Credit])))+(SUM(IF((CRDJ[Sort Code]=(TRIM(E$5)))*(CRDJ[Account Code]=(TRIM($B125)))*(CRDJ[Date]&lt;=$C$8),CRDJ[Credit])))+(SUM(IF((GJ[Sort Code]=(TRIM(E$5)))*(GJ[Account Code]=(TRIM($B125)))*(GJ[Date]&lt;=$C$8),GJ[Credit]))))</f>
        <v>0</v>
      </c>
      <c r="D125" s="466">
        <f t="array" ref="D125">((SUM(IF((CkDJ[Date]=$A$4)*(CkDJ[Sort Code]=(TRIM(E$5)))*(CkDJ[Account Code]=(TRIM($B125))),CkDJ[Debit])))+(SUM(IF((CsDJ[Date]=$A$4)*(CsDJ[Sort Code]=(TRIM(E$5)))*(CsDJ[Account Code]=(TRIM($B125))),CsDJ[Debit])))+(SUM(IF((CRDJ[Date]=$A$4)*(CRDJ[Sort Code]=(TRIM(E$5)))*(CRDJ[Account Code]=(TRIM($B125))),CRDJ[Debit])))+(SUM(IF((GJ[Date]=$A$4)*(GJ[Sort Code]=(TRIM(E$5)))*(GJ[Account Code]=(TRIM($B125))),GJ[Debit]))))-((SUM(IF((CkDJ[Date]=$A$4)*(CkDJ[Sort Code]=(TRIM(E$5)))*(CkDJ[Account Code]=(TRIM($B125))),CkDJ[Credit])))+(SUM(IF((CsDJ[Date]=$A$4)*(CsDJ[Sort Code]=(TRIM(E$5)))*(CsDJ[Account Code]=(TRIM($B125))),CsDJ[Credit])))+(SUM(IF((CRDJ[Date]=$A$4)*(CRDJ[Sort Code]=(TRIM(E$5)))*(CRDJ[Account Code]=(TRIM($B125))),CRDJ[Credit])))+(SUM(IF((GJ[Date]=$A$4)*(GJ[Sort Code]=(TRIM(E$5)))*(GJ[Account Code]=(TRIM($B125))),GJ[Credit]))))</f>
        <v>0</v>
      </c>
      <c r="E125" s="467">
        <f t="shared" si="4"/>
        <v>0</v>
      </c>
    </row>
    <row r="126" spans="1:5" x14ac:dyDescent="0.2">
      <c r="A126" s="476" t="s">
        <v>796</v>
      </c>
      <c r="B126" s="339" t="s">
        <v>331</v>
      </c>
      <c r="C126" s="466">
        <f t="array" ref="C126">((SUM(IF((CkDJ[Sort Code]=(TRIM(E$5)))*(CkDJ[Account Code]=(TRIM($B126)))*(CkDJ[Date]&lt;=$C$8),CkDJ[Debit])))+(SUM(IF((CsDJ[Sort Code]=(TRIM(E$5)))*(CsDJ[Account Code]=(TRIM($B126)))*(CsDJ[Date]&lt;=$C$8),CsDJ[Debit])))+(SUM(IF((CRDJ[Sort Code]=(TRIM(E$5)))*(CRDJ[Account Code]=(TRIM($B126)))*(CRDJ[Date]&lt;=$C$8),CRDJ[Debit])))+(SUM(IF((GJ[Sort Code]=(TRIM(E$5)))*(GJ[Account Code]=(TRIM($B126)))*(GJ[Date]&lt;=$C$8),GJ[Debit]))))-((SUM(IF((CkDJ[Sort Code]=(TRIM(E$5)))*(CkDJ[Account Code]=(TRIM($B126)))*(CkDJ[Date]&lt;=$C$8),CkDJ[Credit])))+(SUM(IF((CsDJ[Sort Code]=(TRIM(E$5)))*(CsDJ[Account Code]=(TRIM($B126)))*(CsDJ[Date]&lt;=$C$8),CsDJ[Credit])))+(SUM(IF((CRDJ[Sort Code]=(TRIM(E$5)))*(CRDJ[Account Code]=(TRIM($B126)))*(CRDJ[Date]&lt;=$C$8),CRDJ[Credit])))+(SUM(IF((GJ[Sort Code]=(TRIM(E$5)))*(GJ[Account Code]=(TRIM($B126)))*(GJ[Date]&lt;=$C$8),GJ[Credit]))))</f>
        <v>0</v>
      </c>
      <c r="D126" s="466">
        <f t="array" ref="D126">((SUM(IF((CkDJ[Date]=$A$4)*(CkDJ[Sort Code]=(TRIM(E$5)))*(CkDJ[Account Code]=(TRIM($B126))),CkDJ[Debit])))+(SUM(IF((CsDJ[Date]=$A$4)*(CsDJ[Sort Code]=(TRIM(E$5)))*(CsDJ[Account Code]=(TRIM($B126))),CsDJ[Debit])))+(SUM(IF((CRDJ[Date]=$A$4)*(CRDJ[Sort Code]=(TRIM(E$5)))*(CRDJ[Account Code]=(TRIM($B126))),CRDJ[Debit])))+(SUM(IF((GJ[Date]=$A$4)*(GJ[Sort Code]=(TRIM(E$5)))*(GJ[Account Code]=(TRIM($B126))),GJ[Debit]))))-((SUM(IF((CkDJ[Date]=$A$4)*(CkDJ[Sort Code]=(TRIM(E$5)))*(CkDJ[Account Code]=(TRIM($B126))),CkDJ[Credit])))+(SUM(IF((CsDJ[Date]=$A$4)*(CsDJ[Sort Code]=(TRIM(E$5)))*(CsDJ[Account Code]=(TRIM($B126))),CsDJ[Credit])))+(SUM(IF((CRDJ[Date]=$A$4)*(CRDJ[Sort Code]=(TRIM(E$5)))*(CRDJ[Account Code]=(TRIM($B126))),CRDJ[Credit])))+(SUM(IF((GJ[Date]=$A$4)*(GJ[Sort Code]=(TRIM(E$5)))*(GJ[Account Code]=(TRIM($B126))),GJ[Credit]))))</f>
        <v>0</v>
      </c>
      <c r="E126" s="467">
        <f t="shared" si="4"/>
        <v>0</v>
      </c>
    </row>
    <row r="127" spans="1:5" x14ac:dyDescent="0.2">
      <c r="A127" s="476" t="s">
        <v>1028</v>
      </c>
      <c r="B127" s="339" t="s">
        <v>332</v>
      </c>
      <c r="C127" s="466">
        <f t="array" ref="C127">((SUM(IF((CkDJ[Sort Code]=(TRIM(E$5)))*(CkDJ[Account Code]=(TRIM($B127)))*(CkDJ[Date]&lt;=$C$8),CkDJ[Debit])))+(SUM(IF((CsDJ[Sort Code]=(TRIM(E$5)))*(CsDJ[Account Code]=(TRIM($B127)))*(CsDJ[Date]&lt;=$C$8),CsDJ[Debit])))+(SUM(IF((CRDJ[Sort Code]=(TRIM(E$5)))*(CRDJ[Account Code]=(TRIM($B127)))*(CRDJ[Date]&lt;=$C$8),CRDJ[Debit])))+(SUM(IF((GJ[Sort Code]=(TRIM(E$5)))*(GJ[Account Code]=(TRIM($B127)))*(GJ[Date]&lt;=$C$8),GJ[Debit]))))-((SUM(IF((CkDJ[Sort Code]=(TRIM(E$5)))*(CkDJ[Account Code]=(TRIM($B127)))*(CkDJ[Date]&lt;=$C$8),CkDJ[Credit])))+(SUM(IF((CsDJ[Sort Code]=(TRIM(E$5)))*(CsDJ[Account Code]=(TRIM($B127)))*(CsDJ[Date]&lt;=$C$8),CsDJ[Credit])))+(SUM(IF((CRDJ[Sort Code]=(TRIM(E$5)))*(CRDJ[Account Code]=(TRIM($B127)))*(CRDJ[Date]&lt;=$C$8),CRDJ[Credit])))+(SUM(IF((GJ[Sort Code]=(TRIM(E$5)))*(GJ[Account Code]=(TRIM($B127)))*(GJ[Date]&lt;=$C$8),GJ[Credit]))))</f>
        <v>0</v>
      </c>
      <c r="D127" s="466">
        <f t="array" ref="D127">((SUM(IF((CkDJ[Date]=$A$4)*(CkDJ[Sort Code]=(TRIM(E$5)))*(CkDJ[Account Code]=(TRIM($B127))),CkDJ[Debit])))+(SUM(IF((CsDJ[Date]=$A$4)*(CsDJ[Sort Code]=(TRIM(E$5)))*(CsDJ[Account Code]=(TRIM($B127))),CsDJ[Debit])))+(SUM(IF((CRDJ[Date]=$A$4)*(CRDJ[Sort Code]=(TRIM(E$5)))*(CRDJ[Account Code]=(TRIM($B127))),CRDJ[Debit])))+(SUM(IF((GJ[Date]=$A$4)*(GJ[Sort Code]=(TRIM(E$5)))*(GJ[Account Code]=(TRIM($B127))),GJ[Debit]))))-((SUM(IF((CkDJ[Date]=$A$4)*(CkDJ[Sort Code]=(TRIM(E$5)))*(CkDJ[Account Code]=(TRIM($B127))),CkDJ[Credit])))+(SUM(IF((CsDJ[Date]=$A$4)*(CsDJ[Sort Code]=(TRIM(E$5)))*(CsDJ[Account Code]=(TRIM($B127))),CsDJ[Credit])))+(SUM(IF((CRDJ[Date]=$A$4)*(CRDJ[Sort Code]=(TRIM(E$5)))*(CRDJ[Account Code]=(TRIM($B127))),CRDJ[Credit])))+(SUM(IF((GJ[Date]=$A$4)*(GJ[Sort Code]=(TRIM(E$5)))*(GJ[Account Code]=(TRIM($B127))),GJ[Credit]))))</f>
        <v>0</v>
      </c>
      <c r="E127" s="467">
        <f t="shared" si="4"/>
        <v>0</v>
      </c>
    </row>
    <row r="128" spans="1:5" x14ac:dyDescent="0.2">
      <c r="A128" s="476" t="s">
        <v>343</v>
      </c>
      <c r="B128" s="339" t="s">
        <v>334</v>
      </c>
      <c r="C128" s="466">
        <f t="array" ref="C128">((SUM(IF((CkDJ[Sort Code]=(TRIM(E$5)))*(CkDJ[Account Code]=(TRIM($B128)))*(CkDJ[Date]&lt;=$C$8),CkDJ[Debit])))+(SUM(IF((CsDJ[Sort Code]=(TRIM(E$5)))*(CsDJ[Account Code]=(TRIM($B128)))*(CsDJ[Date]&lt;=$C$8),CsDJ[Debit])))+(SUM(IF((CRDJ[Sort Code]=(TRIM(E$5)))*(CRDJ[Account Code]=(TRIM($B128)))*(CRDJ[Date]&lt;=$C$8),CRDJ[Debit])))+(SUM(IF((GJ[Sort Code]=(TRIM(E$5)))*(GJ[Account Code]=(TRIM($B128)))*(GJ[Date]&lt;=$C$8),GJ[Debit]))))-((SUM(IF((CkDJ[Sort Code]=(TRIM(E$5)))*(CkDJ[Account Code]=(TRIM($B128)))*(CkDJ[Date]&lt;=$C$8),CkDJ[Credit])))+(SUM(IF((CsDJ[Sort Code]=(TRIM(E$5)))*(CsDJ[Account Code]=(TRIM($B128)))*(CsDJ[Date]&lt;=$C$8),CsDJ[Credit])))+(SUM(IF((CRDJ[Sort Code]=(TRIM(E$5)))*(CRDJ[Account Code]=(TRIM($B128)))*(CRDJ[Date]&lt;=$C$8),CRDJ[Credit])))+(SUM(IF((GJ[Sort Code]=(TRIM(E$5)))*(GJ[Account Code]=(TRIM($B128)))*(GJ[Date]&lt;=$C$8),GJ[Credit]))))</f>
        <v>0</v>
      </c>
      <c r="D128" s="466">
        <f t="array" ref="D128">((SUM(IF((CkDJ[Date]=$A$4)*(CkDJ[Sort Code]=(TRIM(E$5)))*(CkDJ[Account Code]=(TRIM($B128))),CkDJ[Debit])))+(SUM(IF((CsDJ[Date]=$A$4)*(CsDJ[Sort Code]=(TRIM(E$5)))*(CsDJ[Account Code]=(TRIM($B128))),CsDJ[Debit])))+(SUM(IF((CRDJ[Date]=$A$4)*(CRDJ[Sort Code]=(TRIM(E$5)))*(CRDJ[Account Code]=(TRIM($B128))),CRDJ[Debit])))+(SUM(IF((GJ[Date]=$A$4)*(GJ[Sort Code]=(TRIM(E$5)))*(GJ[Account Code]=(TRIM($B128))),GJ[Debit]))))-((SUM(IF((CkDJ[Date]=$A$4)*(CkDJ[Sort Code]=(TRIM(E$5)))*(CkDJ[Account Code]=(TRIM($B128))),CkDJ[Credit])))+(SUM(IF((CsDJ[Date]=$A$4)*(CsDJ[Sort Code]=(TRIM(E$5)))*(CsDJ[Account Code]=(TRIM($B128))),CsDJ[Credit])))+(SUM(IF((CRDJ[Date]=$A$4)*(CRDJ[Sort Code]=(TRIM(E$5)))*(CRDJ[Account Code]=(TRIM($B128))),CRDJ[Credit])))+(SUM(IF((GJ[Date]=$A$4)*(GJ[Sort Code]=(TRIM(E$5)))*(GJ[Account Code]=(TRIM($B128))),GJ[Credit]))))</f>
        <v>0</v>
      </c>
      <c r="E128" s="467">
        <f t="shared" si="4"/>
        <v>0</v>
      </c>
    </row>
    <row r="129" spans="1:5" x14ac:dyDescent="0.2">
      <c r="A129" s="476" t="s">
        <v>344</v>
      </c>
      <c r="B129" s="339" t="s">
        <v>335</v>
      </c>
      <c r="C129" s="466">
        <f t="array" ref="C129">((SUM(IF((CkDJ[Sort Code]=(TRIM(E$5)))*(CkDJ[Account Code]=(TRIM($B129)))*(CkDJ[Date]&lt;=$C$8),CkDJ[Debit])))+(SUM(IF((CsDJ[Sort Code]=(TRIM(E$5)))*(CsDJ[Account Code]=(TRIM($B129)))*(CsDJ[Date]&lt;=$C$8),CsDJ[Debit])))+(SUM(IF((CRDJ[Sort Code]=(TRIM(E$5)))*(CRDJ[Account Code]=(TRIM($B129)))*(CRDJ[Date]&lt;=$C$8),CRDJ[Debit])))+(SUM(IF((GJ[Sort Code]=(TRIM(E$5)))*(GJ[Account Code]=(TRIM($B129)))*(GJ[Date]&lt;=$C$8),GJ[Debit]))))-((SUM(IF((CkDJ[Sort Code]=(TRIM(E$5)))*(CkDJ[Account Code]=(TRIM($B129)))*(CkDJ[Date]&lt;=$C$8),CkDJ[Credit])))+(SUM(IF((CsDJ[Sort Code]=(TRIM(E$5)))*(CsDJ[Account Code]=(TRIM($B129)))*(CsDJ[Date]&lt;=$C$8),CsDJ[Credit])))+(SUM(IF((CRDJ[Sort Code]=(TRIM(E$5)))*(CRDJ[Account Code]=(TRIM($B129)))*(CRDJ[Date]&lt;=$C$8),CRDJ[Credit])))+(SUM(IF((GJ[Sort Code]=(TRIM(E$5)))*(GJ[Account Code]=(TRIM($B129)))*(GJ[Date]&lt;=$C$8),GJ[Credit]))))</f>
        <v>0</v>
      </c>
      <c r="D129" s="466">
        <f t="array" ref="D129">((SUM(IF((CkDJ[Date]=$A$4)*(CkDJ[Sort Code]=(TRIM(E$5)))*(CkDJ[Account Code]=(TRIM($B129))),CkDJ[Debit])))+(SUM(IF((CsDJ[Date]=$A$4)*(CsDJ[Sort Code]=(TRIM(E$5)))*(CsDJ[Account Code]=(TRIM($B129))),CsDJ[Debit])))+(SUM(IF((CRDJ[Date]=$A$4)*(CRDJ[Sort Code]=(TRIM(E$5)))*(CRDJ[Account Code]=(TRIM($B129))),CRDJ[Debit])))+(SUM(IF((GJ[Date]=$A$4)*(GJ[Sort Code]=(TRIM(E$5)))*(GJ[Account Code]=(TRIM($B129))),GJ[Debit]))))-((SUM(IF((CkDJ[Date]=$A$4)*(CkDJ[Sort Code]=(TRIM(E$5)))*(CkDJ[Account Code]=(TRIM($B129))),CkDJ[Credit])))+(SUM(IF((CsDJ[Date]=$A$4)*(CsDJ[Sort Code]=(TRIM(E$5)))*(CsDJ[Account Code]=(TRIM($B129))),CsDJ[Credit])))+(SUM(IF((CRDJ[Date]=$A$4)*(CRDJ[Sort Code]=(TRIM(E$5)))*(CRDJ[Account Code]=(TRIM($B129))),CRDJ[Credit])))+(SUM(IF((GJ[Date]=$A$4)*(GJ[Sort Code]=(TRIM(E$5)))*(GJ[Account Code]=(TRIM($B129))),GJ[Credit]))))</f>
        <v>0</v>
      </c>
      <c r="E129" s="467">
        <f t="shared" si="4"/>
        <v>0</v>
      </c>
    </row>
    <row r="130" spans="1:5" x14ac:dyDescent="0.2">
      <c r="A130" s="476" t="s">
        <v>368</v>
      </c>
      <c r="B130" s="339" t="s">
        <v>405</v>
      </c>
      <c r="C130" s="466">
        <f t="array" ref="C130">((SUM(IF((CkDJ[Sort Code]=(TRIM(E$5)))*(CkDJ[Account Code]=(TRIM($B130)))*(CkDJ[Date]&lt;=$C$8),CkDJ[Debit])))+(SUM(IF((CsDJ[Sort Code]=(TRIM(E$5)))*(CsDJ[Account Code]=(TRIM($B130)))*(CsDJ[Date]&lt;=$C$8),CsDJ[Debit])))+(SUM(IF((CRDJ[Sort Code]=(TRIM(E$5)))*(CRDJ[Account Code]=(TRIM($B130)))*(CRDJ[Date]&lt;=$C$8),CRDJ[Debit])))+(SUM(IF((GJ[Sort Code]=(TRIM(E$5)))*(GJ[Account Code]=(TRIM($B130)))*(GJ[Date]&lt;=$C$8),GJ[Debit]))))-((SUM(IF((CkDJ[Sort Code]=(TRIM(E$5)))*(CkDJ[Account Code]=(TRIM($B130)))*(CkDJ[Date]&lt;=$C$8),CkDJ[Credit])))+(SUM(IF((CsDJ[Sort Code]=(TRIM(E$5)))*(CsDJ[Account Code]=(TRIM($B130)))*(CsDJ[Date]&lt;=$C$8),CsDJ[Credit])))+(SUM(IF((CRDJ[Sort Code]=(TRIM(E$5)))*(CRDJ[Account Code]=(TRIM($B130)))*(CRDJ[Date]&lt;=$C$8),CRDJ[Credit])))+(SUM(IF((GJ[Sort Code]=(TRIM(E$5)))*(GJ[Account Code]=(TRIM($B130)))*(GJ[Date]&lt;=$C$8),GJ[Credit]))))</f>
        <v>0</v>
      </c>
      <c r="D130" s="466">
        <f t="array" ref="D130">((SUM(IF((CkDJ[Date]=$A$4)*(CkDJ[Sort Code]=(TRIM(E$5)))*(CkDJ[Account Code]=(TRIM($B130))),CkDJ[Debit])))+(SUM(IF((CsDJ[Date]=$A$4)*(CsDJ[Sort Code]=(TRIM(E$5)))*(CsDJ[Account Code]=(TRIM($B130))),CsDJ[Debit])))+(SUM(IF((CRDJ[Date]=$A$4)*(CRDJ[Sort Code]=(TRIM(E$5)))*(CRDJ[Account Code]=(TRIM($B130))),CRDJ[Debit])))+(SUM(IF((GJ[Date]=$A$4)*(GJ[Sort Code]=(TRIM(E$5)))*(GJ[Account Code]=(TRIM($B130))),GJ[Debit]))))-((SUM(IF((CkDJ[Date]=$A$4)*(CkDJ[Sort Code]=(TRIM(E$5)))*(CkDJ[Account Code]=(TRIM($B130))),CkDJ[Credit])))+(SUM(IF((CsDJ[Date]=$A$4)*(CsDJ[Sort Code]=(TRIM(E$5)))*(CsDJ[Account Code]=(TRIM($B130))),CsDJ[Credit])))+(SUM(IF((CRDJ[Date]=$A$4)*(CRDJ[Sort Code]=(TRIM(E$5)))*(CRDJ[Account Code]=(TRIM($B130))),CRDJ[Credit])))+(SUM(IF((GJ[Date]=$A$4)*(GJ[Sort Code]=(TRIM(E$5)))*(GJ[Account Code]=(TRIM($B130))),GJ[Credit]))))</f>
        <v>0</v>
      </c>
      <c r="E130" s="467">
        <f t="shared" si="4"/>
        <v>0</v>
      </c>
    </row>
    <row r="131" spans="1:5" x14ac:dyDescent="0.2">
      <c r="A131" s="476" t="s">
        <v>345</v>
      </c>
      <c r="B131" s="339" t="s">
        <v>336</v>
      </c>
      <c r="C131" s="466">
        <f t="array" ref="C131">((SUM(IF((CkDJ[Sort Code]=(TRIM(E$5)))*(CkDJ[Account Code]=(TRIM($B131)))*(CkDJ[Date]&lt;=$C$8),CkDJ[Debit])))+(SUM(IF((CsDJ[Sort Code]=(TRIM(E$5)))*(CsDJ[Account Code]=(TRIM($B131)))*(CsDJ[Date]&lt;=$C$8),CsDJ[Debit])))+(SUM(IF((CRDJ[Sort Code]=(TRIM(E$5)))*(CRDJ[Account Code]=(TRIM($B131)))*(CRDJ[Date]&lt;=$C$8),CRDJ[Debit])))+(SUM(IF((GJ[Sort Code]=(TRIM(E$5)))*(GJ[Account Code]=(TRIM($B131)))*(GJ[Date]&lt;=$C$8),GJ[Debit]))))-((SUM(IF((CkDJ[Sort Code]=(TRIM(E$5)))*(CkDJ[Account Code]=(TRIM($B131)))*(CkDJ[Date]&lt;=$C$8),CkDJ[Credit])))+(SUM(IF((CsDJ[Sort Code]=(TRIM(E$5)))*(CsDJ[Account Code]=(TRIM($B131)))*(CsDJ[Date]&lt;=$C$8),CsDJ[Credit])))+(SUM(IF((CRDJ[Sort Code]=(TRIM(E$5)))*(CRDJ[Account Code]=(TRIM($B131)))*(CRDJ[Date]&lt;=$C$8),CRDJ[Credit])))+(SUM(IF((GJ[Sort Code]=(TRIM(E$5)))*(GJ[Account Code]=(TRIM($B131)))*(GJ[Date]&lt;=$C$8),GJ[Credit]))))</f>
        <v>0</v>
      </c>
      <c r="D131" s="466">
        <f t="array" ref="D131">((SUM(IF((CkDJ[Date]=$A$4)*(CkDJ[Sort Code]=(TRIM(E$5)))*(CkDJ[Account Code]=(TRIM($B131))),CkDJ[Debit])))+(SUM(IF((CsDJ[Date]=$A$4)*(CsDJ[Sort Code]=(TRIM(E$5)))*(CsDJ[Account Code]=(TRIM($B131))),CsDJ[Debit])))+(SUM(IF((CRDJ[Date]=$A$4)*(CRDJ[Sort Code]=(TRIM(E$5)))*(CRDJ[Account Code]=(TRIM($B131))),CRDJ[Debit])))+(SUM(IF((GJ[Date]=$A$4)*(GJ[Sort Code]=(TRIM(E$5)))*(GJ[Account Code]=(TRIM($B131))),GJ[Debit]))))-((SUM(IF((CkDJ[Date]=$A$4)*(CkDJ[Sort Code]=(TRIM(E$5)))*(CkDJ[Account Code]=(TRIM($B131))),CkDJ[Credit])))+(SUM(IF((CsDJ[Date]=$A$4)*(CsDJ[Sort Code]=(TRIM(E$5)))*(CsDJ[Account Code]=(TRIM($B131))),CsDJ[Credit])))+(SUM(IF((CRDJ[Date]=$A$4)*(CRDJ[Sort Code]=(TRIM(E$5)))*(CRDJ[Account Code]=(TRIM($B131))),CRDJ[Credit])))+(SUM(IF((GJ[Date]=$A$4)*(GJ[Sort Code]=(TRIM(E$5)))*(GJ[Account Code]=(TRIM($B131))),GJ[Credit]))))</f>
        <v>0</v>
      </c>
      <c r="E131" s="467">
        <f t="shared" si="4"/>
        <v>0</v>
      </c>
    </row>
    <row r="132" spans="1:5" x14ac:dyDescent="0.2">
      <c r="A132" s="476" t="s">
        <v>346</v>
      </c>
      <c r="B132" s="339" t="s">
        <v>337</v>
      </c>
      <c r="C132" s="466">
        <f t="array" ref="C132">((SUM(IF((CkDJ[Sort Code]=(TRIM(E$5)))*(CkDJ[Account Code]=(TRIM($B132)))*(CkDJ[Date]&lt;=$C$8),CkDJ[Debit])))+(SUM(IF((CsDJ[Sort Code]=(TRIM(E$5)))*(CsDJ[Account Code]=(TRIM($B132)))*(CsDJ[Date]&lt;=$C$8),CsDJ[Debit])))+(SUM(IF((CRDJ[Sort Code]=(TRIM(E$5)))*(CRDJ[Account Code]=(TRIM($B132)))*(CRDJ[Date]&lt;=$C$8),CRDJ[Debit])))+(SUM(IF((GJ[Sort Code]=(TRIM(E$5)))*(GJ[Account Code]=(TRIM($B132)))*(GJ[Date]&lt;=$C$8),GJ[Debit]))))-((SUM(IF((CkDJ[Sort Code]=(TRIM(E$5)))*(CkDJ[Account Code]=(TRIM($B132)))*(CkDJ[Date]&lt;=$C$8),CkDJ[Credit])))+(SUM(IF((CsDJ[Sort Code]=(TRIM(E$5)))*(CsDJ[Account Code]=(TRIM($B132)))*(CsDJ[Date]&lt;=$C$8),CsDJ[Credit])))+(SUM(IF((CRDJ[Sort Code]=(TRIM(E$5)))*(CRDJ[Account Code]=(TRIM($B132)))*(CRDJ[Date]&lt;=$C$8),CRDJ[Credit])))+(SUM(IF((GJ[Sort Code]=(TRIM(E$5)))*(GJ[Account Code]=(TRIM($B132)))*(GJ[Date]&lt;=$C$8),GJ[Credit]))))</f>
        <v>0</v>
      </c>
      <c r="D132" s="466">
        <f t="array" ref="D132">((SUM(IF((CkDJ[Date]=$A$4)*(CkDJ[Sort Code]=(TRIM(E$5)))*(CkDJ[Account Code]=(TRIM($B132))),CkDJ[Debit])))+(SUM(IF((CsDJ[Date]=$A$4)*(CsDJ[Sort Code]=(TRIM(E$5)))*(CsDJ[Account Code]=(TRIM($B132))),CsDJ[Debit])))+(SUM(IF((CRDJ[Date]=$A$4)*(CRDJ[Sort Code]=(TRIM(E$5)))*(CRDJ[Account Code]=(TRIM($B132))),CRDJ[Debit])))+(SUM(IF((GJ[Date]=$A$4)*(GJ[Sort Code]=(TRIM(E$5)))*(GJ[Account Code]=(TRIM($B132))),GJ[Debit]))))-((SUM(IF((CkDJ[Date]=$A$4)*(CkDJ[Sort Code]=(TRIM(E$5)))*(CkDJ[Account Code]=(TRIM($B132))),CkDJ[Credit])))+(SUM(IF((CsDJ[Date]=$A$4)*(CsDJ[Sort Code]=(TRIM(E$5)))*(CsDJ[Account Code]=(TRIM($B132))),CsDJ[Credit])))+(SUM(IF((CRDJ[Date]=$A$4)*(CRDJ[Sort Code]=(TRIM(E$5)))*(CRDJ[Account Code]=(TRIM($B132))),CRDJ[Credit])))+(SUM(IF((GJ[Date]=$A$4)*(GJ[Sort Code]=(TRIM(E$5)))*(GJ[Account Code]=(TRIM($B132))),GJ[Credit]))))</f>
        <v>0</v>
      </c>
      <c r="E132" s="467">
        <f t="shared" si="4"/>
        <v>0</v>
      </c>
    </row>
    <row r="133" spans="1:5" x14ac:dyDescent="0.2">
      <c r="A133" s="476" t="s">
        <v>1030</v>
      </c>
      <c r="B133" s="339" t="s">
        <v>986</v>
      </c>
      <c r="C133" s="466">
        <f t="array" ref="C133">((SUM(IF((CkDJ[Sort Code]=(TRIM(E$5)))*(CkDJ[Account Code]=(TRIM($B133)))*(CkDJ[Date]&lt;=$C$8),CkDJ[Debit])))+(SUM(IF((CsDJ[Sort Code]=(TRIM(E$5)))*(CsDJ[Account Code]=(TRIM($B133)))*(CsDJ[Date]&lt;=$C$8),CsDJ[Debit])))+(SUM(IF((CRDJ[Sort Code]=(TRIM(E$5)))*(CRDJ[Account Code]=(TRIM($B133)))*(CRDJ[Date]&lt;=$C$8),CRDJ[Debit])))+(SUM(IF((GJ[Sort Code]=(TRIM(E$5)))*(GJ[Account Code]=(TRIM($B133)))*(GJ[Date]&lt;=$C$8),GJ[Debit]))))-((SUM(IF((CkDJ[Sort Code]=(TRIM(E$5)))*(CkDJ[Account Code]=(TRIM($B133)))*(CkDJ[Date]&lt;=$C$8),CkDJ[Credit])))+(SUM(IF((CsDJ[Sort Code]=(TRIM(E$5)))*(CsDJ[Account Code]=(TRIM($B133)))*(CsDJ[Date]&lt;=$C$8),CsDJ[Credit])))+(SUM(IF((CRDJ[Sort Code]=(TRIM(E$5)))*(CRDJ[Account Code]=(TRIM($B133)))*(CRDJ[Date]&lt;=$C$8),CRDJ[Credit])))+(SUM(IF((GJ[Sort Code]=(TRIM(E$5)))*(GJ[Account Code]=(TRIM($B133)))*(GJ[Date]&lt;=$C$8),GJ[Credit]))))</f>
        <v>0</v>
      </c>
      <c r="D133" s="466">
        <f t="array" ref="D133">((SUM(IF((CkDJ[Date]=$A$4)*(CkDJ[Sort Code]=(TRIM(E$5)))*(CkDJ[Account Code]=(TRIM($B133))),CkDJ[Debit])))+(SUM(IF((CsDJ[Date]=$A$4)*(CsDJ[Sort Code]=(TRIM(E$5)))*(CsDJ[Account Code]=(TRIM($B133))),CsDJ[Debit])))+(SUM(IF((CRDJ[Date]=$A$4)*(CRDJ[Sort Code]=(TRIM(E$5)))*(CRDJ[Account Code]=(TRIM($B133))),CRDJ[Debit])))+(SUM(IF((GJ[Date]=$A$4)*(GJ[Sort Code]=(TRIM(E$5)))*(GJ[Account Code]=(TRIM($B133))),GJ[Debit]))))-((SUM(IF((CkDJ[Date]=$A$4)*(CkDJ[Sort Code]=(TRIM(E$5)))*(CkDJ[Account Code]=(TRIM($B133))),CkDJ[Credit])))+(SUM(IF((CsDJ[Date]=$A$4)*(CsDJ[Sort Code]=(TRIM(E$5)))*(CsDJ[Account Code]=(TRIM($B133))),CsDJ[Credit])))+(SUM(IF((CRDJ[Date]=$A$4)*(CRDJ[Sort Code]=(TRIM(E$5)))*(CRDJ[Account Code]=(TRIM($B133))),CRDJ[Credit])))+(SUM(IF((GJ[Date]=$A$4)*(GJ[Sort Code]=(TRIM(E$5)))*(GJ[Account Code]=(TRIM($B133))),GJ[Credit]))))</f>
        <v>0</v>
      </c>
      <c r="E133" s="467">
        <f t="shared" si="4"/>
        <v>0</v>
      </c>
    </row>
    <row r="134" spans="1:5" x14ac:dyDescent="0.2">
      <c r="A134" s="476" t="s">
        <v>1029</v>
      </c>
      <c r="B134" s="339" t="s">
        <v>987</v>
      </c>
      <c r="C134" s="466">
        <f t="array" ref="C134">((SUM(IF((CkDJ[Sort Code]=(TRIM(E$5)))*(CkDJ[Account Code]=(TRIM($B134)))*(CkDJ[Date]&lt;=$C$8),CkDJ[Debit])))+(SUM(IF((CsDJ[Sort Code]=(TRIM(E$5)))*(CsDJ[Account Code]=(TRIM($B134)))*(CsDJ[Date]&lt;=$C$8),CsDJ[Debit])))+(SUM(IF((CRDJ[Sort Code]=(TRIM(E$5)))*(CRDJ[Account Code]=(TRIM($B134)))*(CRDJ[Date]&lt;=$C$8),CRDJ[Debit])))+(SUM(IF((GJ[Sort Code]=(TRIM(E$5)))*(GJ[Account Code]=(TRIM($B134)))*(GJ[Date]&lt;=$C$8),GJ[Debit]))))-((SUM(IF((CkDJ[Sort Code]=(TRIM(E$5)))*(CkDJ[Account Code]=(TRIM($B134)))*(CkDJ[Date]&lt;=$C$8),CkDJ[Credit])))+(SUM(IF((CsDJ[Sort Code]=(TRIM(E$5)))*(CsDJ[Account Code]=(TRIM($B134)))*(CsDJ[Date]&lt;=$C$8),CsDJ[Credit])))+(SUM(IF((CRDJ[Sort Code]=(TRIM(E$5)))*(CRDJ[Account Code]=(TRIM($B134)))*(CRDJ[Date]&lt;=$C$8),CRDJ[Credit])))+(SUM(IF((GJ[Sort Code]=(TRIM(E$5)))*(GJ[Account Code]=(TRIM($B134)))*(GJ[Date]&lt;=$C$8),GJ[Credit]))))</f>
        <v>0</v>
      </c>
      <c r="D134" s="466">
        <f t="array" ref="D134">((SUM(IF((CkDJ[Date]=$A$4)*(CkDJ[Sort Code]=(TRIM(E$5)))*(CkDJ[Account Code]=(TRIM($B134))),CkDJ[Debit])))+(SUM(IF((CsDJ[Date]=$A$4)*(CsDJ[Sort Code]=(TRIM(E$5)))*(CsDJ[Account Code]=(TRIM($B134))),CsDJ[Debit])))+(SUM(IF((CRDJ[Date]=$A$4)*(CRDJ[Sort Code]=(TRIM(E$5)))*(CRDJ[Account Code]=(TRIM($B134))),CRDJ[Debit])))+(SUM(IF((GJ[Date]=$A$4)*(GJ[Sort Code]=(TRIM(E$5)))*(GJ[Account Code]=(TRIM($B134))),GJ[Debit]))))-((SUM(IF((CkDJ[Date]=$A$4)*(CkDJ[Sort Code]=(TRIM(E$5)))*(CkDJ[Account Code]=(TRIM($B134))),CkDJ[Credit])))+(SUM(IF((CsDJ[Date]=$A$4)*(CsDJ[Sort Code]=(TRIM(E$5)))*(CsDJ[Account Code]=(TRIM($B134))),CsDJ[Credit])))+(SUM(IF((CRDJ[Date]=$A$4)*(CRDJ[Sort Code]=(TRIM(E$5)))*(CRDJ[Account Code]=(TRIM($B134))),CRDJ[Credit])))+(SUM(IF((GJ[Date]=$A$4)*(GJ[Sort Code]=(TRIM(E$5)))*(GJ[Account Code]=(TRIM($B134))),GJ[Credit]))))</f>
        <v>0</v>
      </c>
      <c r="E134" s="467">
        <f t="shared" si="4"/>
        <v>0</v>
      </c>
    </row>
    <row r="135" spans="1:5" x14ac:dyDescent="0.2">
      <c r="A135" s="476" t="s">
        <v>990</v>
      </c>
      <c r="B135" s="339" t="s">
        <v>988</v>
      </c>
      <c r="C135" s="466">
        <f t="array" ref="C135">((SUM(IF((CkDJ[Sort Code]=(TRIM(E$5)))*(CkDJ[Account Code]=(TRIM($B135)))*(CkDJ[Date]&lt;=$C$8),CkDJ[Debit])))+(SUM(IF((CsDJ[Sort Code]=(TRIM(E$5)))*(CsDJ[Account Code]=(TRIM($B135)))*(CsDJ[Date]&lt;=$C$8),CsDJ[Debit])))+(SUM(IF((CRDJ[Sort Code]=(TRIM(E$5)))*(CRDJ[Account Code]=(TRIM($B135)))*(CRDJ[Date]&lt;=$C$8),CRDJ[Debit])))+(SUM(IF((GJ[Sort Code]=(TRIM(E$5)))*(GJ[Account Code]=(TRIM($B135)))*(GJ[Date]&lt;=$C$8),GJ[Debit]))))-((SUM(IF((CkDJ[Sort Code]=(TRIM(E$5)))*(CkDJ[Account Code]=(TRIM($B135)))*(CkDJ[Date]&lt;=$C$8),CkDJ[Credit])))+(SUM(IF((CsDJ[Sort Code]=(TRIM(E$5)))*(CsDJ[Account Code]=(TRIM($B135)))*(CsDJ[Date]&lt;=$C$8),CsDJ[Credit])))+(SUM(IF((CRDJ[Sort Code]=(TRIM(E$5)))*(CRDJ[Account Code]=(TRIM($B135)))*(CRDJ[Date]&lt;=$C$8),CRDJ[Credit])))+(SUM(IF((GJ[Sort Code]=(TRIM(E$5)))*(GJ[Account Code]=(TRIM($B135)))*(GJ[Date]&lt;=$C$8),GJ[Credit]))))</f>
        <v>0</v>
      </c>
      <c r="D135" s="466">
        <f t="array" ref="D135">((SUM(IF((CkDJ[Date]=$A$4)*(CkDJ[Sort Code]=(TRIM(E$5)))*(CkDJ[Account Code]=(TRIM($B135))),CkDJ[Debit])))+(SUM(IF((CsDJ[Date]=$A$4)*(CsDJ[Sort Code]=(TRIM(E$5)))*(CsDJ[Account Code]=(TRIM($B135))),CsDJ[Debit])))+(SUM(IF((CRDJ[Date]=$A$4)*(CRDJ[Sort Code]=(TRIM(E$5)))*(CRDJ[Account Code]=(TRIM($B135))),CRDJ[Debit])))+(SUM(IF((GJ[Date]=$A$4)*(GJ[Sort Code]=(TRIM(E$5)))*(GJ[Account Code]=(TRIM($B135))),GJ[Debit]))))-((SUM(IF((CkDJ[Date]=$A$4)*(CkDJ[Sort Code]=(TRIM(E$5)))*(CkDJ[Account Code]=(TRIM($B135))),CkDJ[Credit])))+(SUM(IF((CsDJ[Date]=$A$4)*(CsDJ[Sort Code]=(TRIM(E$5)))*(CsDJ[Account Code]=(TRIM($B135))),CsDJ[Credit])))+(SUM(IF((CRDJ[Date]=$A$4)*(CRDJ[Sort Code]=(TRIM(E$5)))*(CRDJ[Account Code]=(TRIM($B135))),CRDJ[Credit])))+(SUM(IF((GJ[Date]=$A$4)*(GJ[Sort Code]=(TRIM(E$5)))*(GJ[Account Code]=(TRIM($B135))),GJ[Credit]))))</f>
        <v>0</v>
      </c>
      <c r="E135" s="467">
        <f t="shared" si="4"/>
        <v>0</v>
      </c>
    </row>
    <row r="136" spans="1:5" x14ac:dyDescent="0.2">
      <c r="A136" s="476" t="s">
        <v>349</v>
      </c>
      <c r="B136" s="339" t="s">
        <v>340</v>
      </c>
      <c r="C136" s="466">
        <f t="array" ref="C136">((SUM(IF((CkDJ[Sort Code]=(TRIM(E$5)))*(CkDJ[Account Code]=(TRIM($B136)))*(CkDJ[Date]&lt;=$C$8),CkDJ[Debit])))+(SUM(IF((CsDJ[Sort Code]=(TRIM(E$5)))*(CsDJ[Account Code]=(TRIM($B136)))*(CsDJ[Date]&lt;=$C$8),CsDJ[Debit])))+(SUM(IF((CRDJ[Sort Code]=(TRIM(E$5)))*(CRDJ[Account Code]=(TRIM($B136)))*(CRDJ[Date]&lt;=$C$8),CRDJ[Debit])))+(SUM(IF((GJ[Sort Code]=(TRIM(E$5)))*(GJ[Account Code]=(TRIM($B136)))*(GJ[Date]&lt;=$C$8),GJ[Debit]))))-((SUM(IF((CkDJ[Sort Code]=(TRIM(E$5)))*(CkDJ[Account Code]=(TRIM($B136)))*(CkDJ[Date]&lt;=$C$8),CkDJ[Credit])))+(SUM(IF((CsDJ[Sort Code]=(TRIM(E$5)))*(CsDJ[Account Code]=(TRIM($B136)))*(CsDJ[Date]&lt;=$C$8),CsDJ[Credit])))+(SUM(IF((CRDJ[Sort Code]=(TRIM(E$5)))*(CRDJ[Account Code]=(TRIM($B136)))*(CRDJ[Date]&lt;=$C$8),CRDJ[Credit])))+(SUM(IF((GJ[Sort Code]=(TRIM(E$5)))*(GJ[Account Code]=(TRIM($B136)))*(GJ[Date]&lt;=$C$8),GJ[Credit]))))</f>
        <v>0</v>
      </c>
      <c r="D136" s="466">
        <f t="array" ref="D136">((SUM(IF((CkDJ[Date]=$A$4)*(CkDJ[Sort Code]=(TRIM(E$5)))*(CkDJ[Account Code]=(TRIM($B136))),CkDJ[Debit])))+(SUM(IF((CsDJ[Date]=$A$4)*(CsDJ[Sort Code]=(TRIM(E$5)))*(CsDJ[Account Code]=(TRIM($B136))),CsDJ[Debit])))+(SUM(IF((CRDJ[Date]=$A$4)*(CRDJ[Sort Code]=(TRIM(E$5)))*(CRDJ[Account Code]=(TRIM($B136))),CRDJ[Debit])))+(SUM(IF((GJ[Date]=$A$4)*(GJ[Sort Code]=(TRIM(E$5)))*(GJ[Account Code]=(TRIM($B136))),GJ[Debit]))))-((SUM(IF((CkDJ[Date]=$A$4)*(CkDJ[Sort Code]=(TRIM(E$5)))*(CkDJ[Account Code]=(TRIM($B136))),CkDJ[Credit])))+(SUM(IF((CsDJ[Date]=$A$4)*(CsDJ[Sort Code]=(TRIM(E$5)))*(CsDJ[Account Code]=(TRIM($B136))),CsDJ[Credit])))+(SUM(IF((CRDJ[Date]=$A$4)*(CRDJ[Sort Code]=(TRIM(E$5)))*(CRDJ[Account Code]=(TRIM($B136))),CRDJ[Credit])))+(SUM(IF((GJ[Date]=$A$4)*(GJ[Sort Code]=(TRIM(E$5)))*(GJ[Account Code]=(TRIM($B136))),GJ[Credit]))))</f>
        <v>0</v>
      </c>
      <c r="E136" s="467">
        <f t="shared" si="4"/>
        <v>0</v>
      </c>
    </row>
    <row r="137" spans="1:5" x14ac:dyDescent="0.2">
      <c r="A137" s="476" t="s">
        <v>342</v>
      </c>
      <c r="B137" s="339" t="s">
        <v>333</v>
      </c>
      <c r="C137" s="466">
        <f t="array" ref="C137">((SUM(IF((CkDJ[Sort Code]=(TRIM(E$5)))*(CkDJ[Account Code]=(TRIM($B137)))*(CkDJ[Date]&lt;=$C$8),CkDJ[Debit])))+(SUM(IF((CsDJ[Sort Code]=(TRIM(E$5)))*(CsDJ[Account Code]=(TRIM($B137)))*(CsDJ[Date]&lt;=$C$8),CsDJ[Debit])))+(SUM(IF((CRDJ[Sort Code]=(TRIM(E$5)))*(CRDJ[Account Code]=(TRIM($B137)))*(CRDJ[Date]&lt;=$C$8),CRDJ[Debit])))+(SUM(IF((GJ[Sort Code]=(TRIM(E$5)))*(GJ[Account Code]=(TRIM($B137)))*(GJ[Date]&lt;=$C$8),GJ[Debit]))))-((SUM(IF((CkDJ[Sort Code]=(TRIM(E$5)))*(CkDJ[Account Code]=(TRIM($B137)))*(CkDJ[Date]&lt;=$C$8),CkDJ[Credit])))+(SUM(IF((CsDJ[Sort Code]=(TRIM(E$5)))*(CsDJ[Account Code]=(TRIM($B137)))*(CsDJ[Date]&lt;=$C$8),CsDJ[Credit])))+(SUM(IF((CRDJ[Sort Code]=(TRIM(E$5)))*(CRDJ[Account Code]=(TRIM($B137)))*(CRDJ[Date]&lt;=$C$8),CRDJ[Credit])))+(SUM(IF((GJ[Sort Code]=(TRIM(E$5)))*(GJ[Account Code]=(TRIM($B137)))*(GJ[Date]&lt;=$C$8),GJ[Credit]))))</f>
        <v>0</v>
      </c>
      <c r="D137" s="466">
        <f t="array" ref="D137">((SUM(IF((CkDJ[Date]=$A$4)*(CkDJ[Sort Code]=(TRIM(E$5)))*(CkDJ[Account Code]=(TRIM($B137))),CkDJ[Debit])))+(SUM(IF((CsDJ[Date]=$A$4)*(CsDJ[Sort Code]=(TRIM(E$5)))*(CsDJ[Account Code]=(TRIM($B137))),CsDJ[Debit])))+(SUM(IF((CRDJ[Date]=$A$4)*(CRDJ[Sort Code]=(TRIM(E$5)))*(CRDJ[Account Code]=(TRIM($B137))),CRDJ[Debit])))+(SUM(IF((GJ[Date]=$A$4)*(GJ[Sort Code]=(TRIM(E$5)))*(GJ[Account Code]=(TRIM($B137))),GJ[Debit]))))-((SUM(IF((CkDJ[Date]=$A$4)*(CkDJ[Sort Code]=(TRIM(E$5)))*(CkDJ[Account Code]=(TRIM($B137))),CkDJ[Credit])))+(SUM(IF((CsDJ[Date]=$A$4)*(CsDJ[Sort Code]=(TRIM(E$5)))*(CsDJ[Account Code]=(TRIM($B137))),CsDJ[Credit])))+(SUM(IF((CRDJ[Date]=$A$4)*(CRDJ[Sort Code]=(TRIM(E$5)))*(CRDJ[Account Code]=(TRIM($B137))),CRDJ[Credit])))+(SUM(IF((GJ[Date]=$A$4)*(GJ[Sort Code]=(TRIM(E$5)))*(GJ[Account Code]=(TRIM($B137))),GJ[Credit]))))</f>
        <v>0</v>
      </c>
      <c r="E137" s="467">
        <f>C137+D137</f>
        <v>0</v>
      </c>
    </row>
    <row r="138" spans="1:5" x14ac:dyDescent="0.2">
      <c r="A138" s="468" t="s">
        <v>804</v>
      </c>
      <c r="B138" s="469"/>
      <c r="C138" s="470">
        <f>C47+C74</f>
        <v>0</v>
      </c>
      <c r="D138" s="470">
        <f>D47+D74</f>
        <v>0</v>
      </c>
      <c r="E138" s="470">
        <f>E47+E74</f>
        <v>0</v>
      </c>
    </row>
    <row r="139" spans="1:5" x14ac:dyDescent="0.2">
      <c r="A139" s="468" t="s">
        <v>785</v>
      </c>
      <c r="B139" s="469"/>
      <c r="C139" s="470">
        <f>C45-C138</f>
        <v>0</v>
      </c>
      <c r="D139" s="470">
        <f>D45-D138</f>
        <v>0</v>
      </c>
      <c r="E139" s="470">
        <f>E45-E138</f>
        <v>0</v>
      </c>
    </row>
    <row r="140" spans="1:5" x14ac:dyDescent="0.2">
      <c r="A140" s="468"/>
      <c r="B140" s="469"/>
      <c r="C140" s="470"/>
      <c r="D140" s="470"/>
      <c r="E140" s="470"/>
    </row>
    <row r="141" spans="1:5" x14ac:dyDescent="0.2">
      <c r="A141" s="468" t="s">
        <v>1168</v>
      </c>
      <c r="B141" s="469"/>
      <c r="C141" s="470">
        <v>0</v>
      </c>
      <c r="D141" s="470">
        <v>0</v>
      </c>
      <c r="E141" s="470">
        <v>0</v>
      </c>
    </row>
    <row r="142" spans="1:5" x14ac:dyDescent="0.2">
      <c r="A142" s="468"/>
      <c r="B142" s="469"/>
      <c r="C142" s="470"/>
      <c r="D142" s="470"/>
      <c r="E142" s="470"/>
    </row>
    <row r="143" spans="1:5" x14ac:dyDescent="0.2">
      <c r="A143" s="468" t="s">
        <v>1169</v>
      </c>
      <c r="B143" s="469"/>
      <c r="C143" s="470">
        <f>C139-C141</f>
        <v>0</v>
      </c>
      <c r="D143" s="470">
        <f>D139-D141</f>
        <v>0</v>
      </c>
      <c r="E143" s="470">
        <f>E139-E141</f>
        <v>0</v>
      </c>
    </row>
  </sheetData>
  <mergeCells count="5">
    <mergeCell ref="A6:A8"/>
    <mergeCell ref="B6:B8"/>
    <mergeCell ref="C6:C7"/>
    <mergeCell ref="D6:D8"/>
    <mergeCell ref="E6:E8"/>
  </mergeCells>
  <printOptions horizontalCentered="1"/>
  <pageMargins left="0.25" right="0.25" top="0.75" bottom="1.5" header="0.3" footer="0.3"/>
  <pageSetup paperSize="5" scale="80" orientation="portrait" r:id="rId1"/>
  <rowBreaks count="1" manualBreakCount="1">
    <brk id="72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663300"/>
  </sheetPr>
  <dimension ref="A1:E143"/>
  <sheetViews>
    <sheetView workbookViewId="0"/>
  </sheetViews>
  <sheetFormatPr defaultColWidth="9" defaultRowHeight="14.25" x14ac:dyDescent="0.2"/>
  <cols>
    <col min="1" max="1" width="63.625" style="233" bestFit="1" customWidth="1"/>
    <col min="2" max="2" width="10" style="336" hidden="1" customWidth="1"/>
    <col min="3" max="3" width="17.5" style="236" hidden="1" customWidth="1"/>
    <col min="4" max="4" width="17.125" style="237" hidden="1" customWidth="1"/>
    <col min="5" max="5" width="18" style="236" customWidth="1"/>
    <col min="6" max="16384" width="9" style="233"/>
  </cols>
  <sheetData>
    <row r="1" spans="1:5" x14ac:dyDescent="0.2">
      <c r="A1" s="232" t="s">
        <v>355</v>
      </c>
      <c r="B1" s="335"/>
      <c r="C1" s="232"/>
      <c r="D1" s="232"/>
      <c r="E1" s="232"/>
    </row>
    <row r="2" spans="1:5" x14ac:dyDescent="0.2">
      <c r="A2" s="232" t="s">
        <v>400</v>
      </c>
      <c r="B2" s="335"/>
      <c r="C2" s="232"/>
      <c r="D2" s="232"/>
      <c r="E2" s="232"/>
    </row>
    <row r="3" spans="1:5" x14ac:dyDescent="0.2">
      <c r="A3" s="232" t="s">
        <v>1162</v>
      </c>
      <c r="B3" s="335"/>
      <c r="C3" s="232"/>
      <c r="D3" s="232"/>
      <c r="E3" s="232"/>
    </row>
    <row r="4" spans="1:5" x14ac:dyDescent="0.2">
      <c r="A4" s="234">
        <f>Account!G2</f>
        <v>44500</v>
      </c>
      <c r="B4" s="335"/>
      <c r="C4" s="232"/>
      <c r="D4" s="232"/>
      <c r="E4" s="232"/>
    </row>
    <row r="5" spans="1:5" x14ac:dyDescent="0.2">
      <c r="A5" s="235" t="str">
        <f>IF(E5=0,,VLOOKUP((TRIM(E5)),SortCode,2,))</f>
        <v>La Union</v>
      </c>
      <c r="E5" s="331" t="s">
        <v>486</v>
      </c>
    </row>
    <row r="6" spans="1:5" ht="14.25" customHeight="1" x14ac:dyDescent="0.2">
      <c r="A6" s="1299" t="s">
        <v>440</v>
      </c>
      <c r="B6" s="1302" t="s">
        <v>370</v>
      </c>
      <c r="C6" s="1303" t="s">
        <v>832</v>
      </c>
      <c r="D6" s="1305">
        <f>A4</f>
        <v>44500</v>
      </c>
      <c r="E6" s="1303" t="s">
        <v>831</v>
      </c>
    </row>
    <row r="7" spans="1:5" x14ac:dyDescent="0.2">
      <c r="A7" s="1300"/>
      <c r="B7" s="1302"/>
      <c r="C7" s="1304"/>
      <c r="D7" s="1306"/>
      <c r="E7" s="1304"/>
    </row>
    <row r="8" spans="1:5" x14ac:dyDescent="0.2">
      <c r="A8" s="1301"/>
      <c r="B8" s="1302"/>
      <c r="C8" s="465">
        <f>'REVGEN (1)'!E7</f>
        <v>43373</v>
      </c>
      <c r="D8" s="1307"/>
      <c r="E8" s="1308"/>
    </row>
    <row r="9" spans="1:5" x14ac:dyDescent="0.2">
      <c r="A9" s="471" t="s">
        <v>1170</v>
      </c>
      <c r="B9" s="339"/>
      <c r="C9" s="485"/>
      <c r="D9" s="485"/>
      <c r="E9" s="485"/>
    </row>
    <row r="10" spans="1:5" x14ac:dyDescent="0.2">
      <c r="A10" s="473" t="s">
        <v>829</v>
      </c>
      <c r="B10" s="339"/>
      <c r="C10" s="474">
        <f>C11+C12</f>
        <v>0</v>
      </c>
      <c r="D10" s="474">
        <f>D11+D12</f>
        <v>0</v>
      </c>
      <c r="E10" s="474">
        <f>E11+E12</f>
        <v>0</v>
      </c>
    </row>
    <row r="11" spans="1:5" x14ac:dyDescent="0.2">
      <c r="A11" s="475" t="s">
        <v>821</v>
      </c>
      <c r="B11" s="339" t="s">
        <v>125</v>
      </c>
      <c r="C11" s="466">
        <f t="array" ref="C11">((SUM(IF((CkDJ[Sort Code]=(TRIM(E$5)))*(CkDJ[Account Code]=(TRIM($B11)))*(CkDJ[Date]&lt;=$C$8),CkDJ[Credit])))+(SUM(IF((CsDJ[Sort Code]=(TRIM(E$5)))*(CsDJ[Account Code]=(TRIM($B11)))*(CsDJ[Date]&lt;=$C$8),CsDJ[Credit])))+(SUM(IF((CRDJ[Sort Code]=(TRIM(E$5)))*(CRDJ[Account Code]=(TRIM($B11)))*(CRDJ[Date]&lt;=$C$8),CRDJ[Credit])))+(SUM(IF((GJ[Sort Code]=(TRIM(E$5)))*(GJ[Account Code]=(TRIM($B11)))*(GJ[Date]&lt;=$C$8),GJ[Credit]))))-((SUM(IF((CkDJ[Sort Code]=(TRIM(E$5)))*(CkDJ[Account Code]=(TRIM($B11)))*(CkDJ[Date]&lt;=$C$8),CkDJ[Debit])))+(SUM(IF((CsDJ[Sort Code]=(TRIM(E$5)))*(CsDJ[Account Code]=(TRIM($B11)))*(CsDJ[Date]&lt;=$C$8),CsDJ[Debit])))+(SUM(IF((CRDJ[Sort Code]=(TRIM(E$5)))*(CRDJ[Account Code]=(TRIM($B11)))*(CRDJ[Date]&lt;=$C$8),CRDJ[Debit])))+(SUM(IF((GJ[Sort Code]=(TRIM(E$5)))*(GJ[Account Code]=(TRIM($B11)))*(GJ[Date]&lt;=$C$8),GJ[Debit]))))</f>
        <v>0</v>
      </c>
      <c r="D11" s="466">
        <f t="array" ref="D11">((SUM(IF((CkDJ[Date]=$A$4)*(CkDJ[Sort Code]=(TRIM(E$5)))*(CkDJ[Account Code]=(TRIM($B11))),CkDJ[Credit])))+(SUM(IF((CsDJ[Date]=$A$4)*(CsDJ[Sort Code]=(TRIM(E$5)))*(CsDJ[Account Code]=(TRIM($B11))),CsDJ[Credit])))+(SUM(IF((CRDJ[Date]=$A$4)*(CRDJ[Sort Code]=(TRIM(E$5)))*(CRDJ[Account Code]=(TRIM($B11))),CRDJ[Credit])))+(SUM(IF((GJ[Date]=$A$4)*(GJ[Sort Code]=(TRIM(E$5)))*(GJ[Account Code]=(TRIM($B11))),GJ[Credit]))))-((SUM(IF((CkDJ[Date]=$A$4)*(CkDJ[Sort Code]=(TRIM(E$5)))*(CkDJ[Account Code]=(TRIM($B11))),CkDJ[Debit])))+(SUM(IF((CsDJ[Date]=$A$4)*(CsDJ[Sort Code]=(TRIM(E$5)))*(CsDJ[Account Code]=(TRIM($B11))),CsDJ[Debit])))+(SUM(IF((CRDJ[Date]=$A$4)*(CRDJ[Sort Code]=(TRIM(E$5)))*(CRDJ[Account Code]=(TRIM($B11))),CRDJ[Debit])))+(SUM(IF((GJ[Date]=$A$4)*(GJ[Sort Code]=(TRIM(E$5)))*(GJ[Account Code]=(TRIM($B11))),GJ[Debit]))))</f>
        <v>0</v>
      </c>
      <c r="E11" s="467">
        <f>C11+D11</f>
        <v>0</v>
      </c>
    </row>
    <row r="12" spans="1:5" x14ac:dyDescent="0.2">
      <c r="A12" s="475" t="s">
        <v>820</v>
      </c>
      <c r="B12" s="339"/>
      <c r="C12" s="466">
        <f>SUM(C13:C15)</f>
        <v>0</v>
      </c>
      <c r="D12" s="466">
        <f>SUM(D13:D15)</f>
        <v>0</v>
      </c>
      <c r="E12" s="467">
        <f>SUM(E13:E15)</f>
        <v>0</v>
      </c>
    </row>
    <row r="13" spans="1:5" x14ac:dyDescent="0.2">
      <c r="A13" s="476" t="s">
        <v>809</v>
      </c>
      <c r="B13" s="339" t="s">
        <v>126</v>
      </c>
      <c r="C13" s="466">
        <f t="array" ref="C13">((SUM(IF((CkDJ[Sort Code]=(TRIM(E$5)))*(CkDJ[Account Code]=(TRIM($B13)))*(CkDJ[Date]&lt;=$C$8),CkDJ[Credit])))+(SUM(IF((CsDJ[Sort Code]=(TRIM(E$5)))*(CsDJ[Account Code]=(TRIM($B13)))*(CsDJ[Date]&lt;=$C$8),CsDJ[Credit])))+(SUM(IF((CRDJ[Sort Code]=(TRIM(E$5)))*(CRDJ[Account Code]=(TRIM($B13)))*(CRDJ[Date]&lt;=$C$8),CRDJ[Credit])))+(SUM(IF((GJ[Sort Code]=(TRIM(E$5)))*(GJ[Account Code]=(TRIM($B13)))*(GJ[Date]&lt;=$C$8),GJ[Credit]))))-((SUM(IF((CkDJ[Sort Code]=(TRIM(E$5)))*(CkDJ[Account Code]=(TRIM($B13)))*(CkDJ[Date]&lt;=$C$8),CkDJ[Debit])))+(SUM(IF((CsDJ[Sort Code]=(TRIM(E$5)))*(CsDJ[Account Code]=(TRIM($B13)))*(CsDJ[Date]&lt;=$C$8),CsDJ[Debit])))+(SUM(IF((CRDJ[Sort Code]=(TRIM(E$5)))*(CRDJ[Account Code]=(TRIM($B13)))*(CRDJ[Date]&lt;=$C$8),CRDJ[Debit])))+(SUM(IF((GJ[Sort Code]=(TRIM(E$5)))*(GJ[Account Code]=(TRIM($B13)))*(GJ[Date]&lt;=$C$8),GJ[Debit]))))</f>
        <v>0</v>
      </c>
      <c r="D13" s="466">
        <f t="array" ref="D13">((SUM(IF((CkDJ[Date]=$A$4)*(CkDJ[Sort Code]=(TRIM(E$5)))*(CkDJ[Account Code]=(TRIM($B13))),CkDJ[Credit])))+(SUM(IF((CsDJ[Date]=$A$4)*(CsDJ[Sort Code]=(TRIM(E$5)))*(CsDJ[Account Code]=(TRIM($B13))),CsDJ[Credit])))+(SUM(IF((CRDJ[Date]=$A$4)*(CRDJ[Sort Code]=(TRIM(E$5)))*(CRDJ[Account Code]=(TRIM($B13))),CRDJ[Credit])))+(SUM(IF((GJ[Date]=$A$4)*(GJ[Sort Code]=(TRIM(E$5)))*(GJ[Account Code]=(TRIM($B13))),GJ[Credit]))))-((SUM(IF((CkDJ[Date]=$A$4)*(CkDJ[Sort Code]=(TRIM(E$5)))*(CkDJ[Account Code]=(TRIM($B13))),CkDJ[Debit])))+(SUM(IF((CsDJ[Date]=$A$4)*(CsDJ[Sort Code]=(TRIM(E$5)))*(CsDJ[Account Code]=(TRIM($B13))),CsDJ[Debit])))+(SUM(IF((CRDJ[Date]=$A$4)*(CRDJ[Sort Code]=(TRIM(E$5)))*(CRDJ[Account Code]=(TRIM($B13))),CRDJ[Debit])))+(SUM(IF((GJ[Date]=$A$4)*(GJ[Sort Code]=(TRIM(E$5)))*(GJ[Account Code]=(TRIM($B13))),GJ[Debit]))))</f>
        <v>0</v>
      </c>
      <c r="E13" s="467">
        <f>C13+D13</f>
        <v>0</v>
      </c>
    </row>
    <row r="14" spans="1:5" x14ac:dyDescent="0.2">
      <c r="A14" s="476" t="s">
        <v>828</v>
      </c>
      <c r="B14" s="339" t="s">
        <v>721</v>
      </c>
      <c r="C14" s="466">
        <f t="array" ref="C14">((SUM(IF((CkDJ[Sort Code]=(TRIM(E$5)))*(CkDJ[Account Code]=(TRIM($B14)))*(CkDJ[Date]&lt;=$C$8),CkDJ[Credit])))+(SUM(IF((CsDJ[Sort Code]=(TRIM(E$5)))*(CsDJ[Account Code]=(TRIM($B14)))*(CsDJ[Date]&lt;=$C$8),CsDJ[Credit])))+(SUM(IF((CRDJ[Sort Code]=(TRIM(E$5)))*(CRDJ[Account Code]=(TRIM($B14)))*(CRDJ[Date]&lt;=$C$8),CRDJ[Credit])))+(SUM(IF((GJ[Sort Code]=(TRIM(E$5)))*(GJ[Account Code]=(TRIM($B14)))*(GJ[Date]&lt;=$C$8),GJ[Credit]))))-((SUM(IF((CkDJ[Sort Code]=(TRIM(E$5)))*(CkDJ[Account Code]=(TRIM($B14)))*(CkDJ[Date]&lt;=$C$8),CkDJ[Debit])))+(SUM(IF((CsDJ[Sort Code]=(TRIM(E$5)))*(CsDJ[Account Code]=(TRIM($B14)))*(CsDJ[Date]&lt;=$C$8),CsDJ[Debit])))+(SUM(IF((CRDJ[Sort Code]=(TRIM(E$5)))*(CRDJ[Account Code]=(TRIM($B14)))*(CRDJ[Date]&lt;=$C$8),CRDJ[Debit])))+(SUM(IF((GJ[Sort Code]=(TRIM(E$5)))*(GJ[Account Code]=(TRIM($B14)))*(GJ[Date]&lt;=$C$8),GJ[Debit]))))</f>
        <v>0</v>
      </c>
      <c r="D14" s="466">
        <f t="array" ref="D14">((SUM(IF((CkDJ[Date]=$A$4)*(CkDJ[Sort Code]=(TRIM(E$5)))*(CkDJ[Account Code]=(TRIM($B14))),CkDJ[Credit])))+(SUM(IF((CsDJ[Date]=$A$4)*(CsDJ[Sort Code]=(TRIM(E$5)))*(CsDJ[Account Code]=(TRIM($B14))),CsDJ[Credit])))+(SUM(IF((CRDJ[Date]=$A$4)*(CRDJ[Sort Code]=(TRIM(E$5)))*(CRDJ[Account Code]=(TRIM($B14))),CRDJ[Credit])))+(SUM(IF((GJ[Date]=$A$4)*(GJ[Sort Code]=(TRIM(E$5)))*(GJ[Account Code]=(TRIM($B14))),GJ[Credit]))))-((SUM(IF((CkDJ[Date]=$A$4)*(CkDJ[Sort Code]=(TRIM(E$5)))*(CkDJ[Account Code]=(TRIM($B14))),CkDJ[Debit])))+(SUM(IF((CsDJ[Date]=$A$4)*(CsDJ[Sort Code]=(TRIM(E$5)))*(CsDJ[Account Code]=(TRIM($B14))),CsDJ[Debit])))+(SUM(IF((CRDJ[Date]=$A$4)*(CRDJ[Sort Code]=(TRIM(E$5)))*(CRDJ[Account Code]=(TRIM($B14))),CRDJ[Debit])))+(SUM(IF((GJ[Date]=$A$4)*(GJ[Sort Code]=(TRIM(E$5)))*(GJ[Account Code]=(TRIM($B14))),GJ[Debit]))))</f>
        <v>0</v>
      </c>
      <c r="E14" s="467">
        <f>C14+D14</f>
        <v>0</v>
      </c>
    </row>
    <row r="15" spans="1:5" x14ac:dyDescent="0.2">
      <c r="A15" s="476" t="s">
        <v>827</v>
      </c>
      <c r="B15" s="339" t="s">
        <v>143</v>
      </c>
      <c r="C15" s="466">
        <f t="array" ref="C15">((SUM(IF((CkDJ[Sort Code]=(TRIM(E$5)))*(CkDJ[Account Code]=(TRIM($B15)))*(CkDJ[Date]&lt;=$C$8),CkDJ[Credit])))+(SUM(IF((CsDJ[Sort Code]=(TRIM(E$5)))*(CsDJ[Account Code]=(TRIM($B15)))*(CsDJ[Date]&lt;=$C$8),CsDJ[Credit])))+(SUM(IF((CRDJ[Sort Code]=(TRIM(E$5)))*(CRDJ[Account Code]=(TRIM($B15)))*(CRDJ[Date]&lt;=$C$8),CRDJ[Credit])))+(SUM(IF((GJ[Sort Code]=(TRIM(E$5)))*(GJ[Account Code]=(TRIM($B15)))*(GJ[Date]&lt;=$C$8),GJ[Credit]))))-((SUM(IF((CkDJ[Sort Code]=(TRIM(E$5)))*(CkDJ[Account Code]=(TRIM($B15)))*(CkDJ[Date]&lt;=$C$8),CkDJ[Debit])))+(SUM(IF((CsDJ[Sort Code]=(TRIM(E$5)))*(CsDJ[Account Code]=(TRIM($B15)))*(CsDJ[Date]&lt;=$C$8),CsDJ[Debit])))+(SUM(IF((CRDJ[Sort Code]=(TRIM(E$5)))*(CRDJ[Account Code]=(TRIM($B15)))*(CRDJ[Date]&lt;=$C$8),CRDJ[Debit])))+(SUM(IF((GJ[Sort Code]=(TRIM(E$5)))*(GJ[Account Code]=(TRIM($B15)))*(GJ[Date]&lt;=$C$8),GJ[Debit]))))</f>
        <v>0</v>
      </c>
      <c r="D15" s="466">
        <f t="array" ref="D15">((SUM(IF((CkDJ[Date]=$A$4)*(CkDJ[Sort Code]=(TRIM(E$5)))*(CkDJ[Account Code]=(TRIM($B15))),CkDJ[Credit])))+(SUM(IF((CsDJ[Date]=$A$4)*(CsDJ[Sort Code]=(TRIM(E$5)))*(CsDJ[Account Code]=(TRIM($B15))),CsDJ[Credit])))+(SUM(IF((CRDJ[Date]=$A$4)*(CRDJ[Sort Code]=(TRIM(E$5)))*(CRDJ[Account Code]=(TRIM($B15))),CRDJ[Credit])))+(SUM(IF((GJ[Date]=$A$4)*(GJ[Sort Code]=(TRIM(E$5)))*(GJ[Account Code]=(TRIM($B15))),GJ[Credit]))))-((SUM(IF((CkDJ[Date]=$A$4)*(CkDJ[Sort Code]=(TRIM(E$5)))*(CkDJ[Account Code]=(TRIM($B15))),CkDJ[Debit])))+(SUM(IF((CsDJ[Date]=$A$4)*(CsDJ[Sort Code]=(TRIM(E$5)))*(CsDJ[Account Code]=(TRIM($B15))),CsDJ[Debit])))+(SUM(IF((CRDJ[Date]=$A$4)*(CRDJ[Sort Code]=(TRIM(E$5)))*(CRDJ[Account Code]=(TRIM($B15))),CRDJ[Debit])))+(SUM(IF((GJ[Date]=$A$4)*(GJ[Sort Code]=(TRIM(E$5)))*(GJ[Account Code]=(TRIM($B15))),GJ[Debit]))))</f>
        <v>0</v>
      </c>
      <c r="E15" s="467">
        <f>C15+D15</f>
        <v>0</v>
      </c>
    </row>
    <row r="16" spans="1:5" x14ac:dyDescent="0.2">
      <c r="A16" s="473" t="s">
        <v>826</v>
      </c>
      <c r="B16" s="339"/>
      <c r="C16" s="477">
        <f>SUM(C17:C19)</f>
        <v>0</v>
      </c>
      <c r="D16" s="477">
        <f>SUM(D17:D19)</f>
        <v>0</v>
      </c>
      <c r="E16" s="477">
        <f>SUM(E17:E19)</f>
        <v>0</v>
      </c>
    </row>
    <row r="17" spans="1:5" x14ac:dyDescent="0.2">
      <c r="A17" s="475" t="s">
        <v>182</v>
      </c>
      <c r="B17" s="339" t="s">
        <v>146</v>
      </c>
      <c r="C17" s="466">
        <f t="array" ref="C17">((SUM(IF((CkDJ[Sort Code]=(TRIM(E$5)))*(CkDJ[Account Code]=(TRIM($B17)))*(CkDJ[Date]&lt;=$C$8),CkDJ[Credit])))+(SUM(IF((CsDJ[Sort Code]=(TRIM(E$5)))*(CsDJ[Account Code]=(TRIM($B17)))*(CsDJ[Date]&lt;=$C$8),CsDJ[Credit])))+(SUM(IF((CRDJ[Sort Code]=(TRIM(E$5)))*(CRDJ[Account Code]=(TRIM($B17)))*(CRDJ[Date]&lt;=$C$8),CRDJ[Credit])))+(SUM(IF((GJ[Sort Code]=(TRIM(E$5)))*(GJ[Account Code]=(TRIM($B17)))*(GJ[Date]&lt;=$C$8),GJ[Credit]))))-((SUM(IF((CkDJ[Sort Code]=(TRIM(E$5)))*(CkDJ[Account Code]=(TRIM($B17)))*(CkDJ[Date]&lt;=$C$8),CkDJ[Debit])))+(SUM(IF((CsDJ[Sort Code]=(TRIM(E$5)))*(CsDJ[Account Code]=(TRIM($B17)))*(CsDJ[Date]&lt;=$C$8),CsDJ[Debit])))+(SUM(IF((CRDJ[Sort Code]=(TRIM(E$5)))*(CRDJ[Account Code]=(TRIM($B17)))*(CRDJ[Date]&lt;=$C$8),CRDJ[Debit])))+(SUM(IF((GJ[Sort Code]=(TRIM(E$5)))*(GJ[Account Code]=(TRIM($B17)))*(GJ[Date]&lt;=$C$8),GJ[Debit]))))</f>
        <v>0</v>
      </c>
      <c r="D17" s="466">
        <f t="array" ref="D17">((SUM(IF((CkDJ[Date]=$A$4)*(CkDJ[Sort Code]=(TRIM(E$5)))*(CkDJ[Account Code]=(TRIM($B17))),CkDJ[Credit])))+(SUM(IF((CsDJ[Date]=$A$4)*(CsDJ[Sort Code]=(TRIM(E$5)))*(CsDJ[Account Code]=(TRIM($B17))),CsDJ[Credit])))+(SUM(IF((CRDJ[Date]=$A$4)*(CRDJ[Sort Code]=(TRIM(E$5)))*(CRDJ[Account Code]=(TRIM($B17))),CRDJ[Credit])))+(SUM(IF((GJ[Date]=$A$4)*(GJ[Sort Code]=(TRIM(E$5)))*(GJ[Account Code]=(TRIM($B17))),GJ[Credit]))))-((SUM(IF((CkDJ[Date]=$A$4)*(CkDJ[Sort Code]=(TRIM(E$5)))*(CkDJ[Account Code]=(TRIM($B17))),CkDJ[Debit])))+(SUM(IF((CsDJ[Date]=$A$4)*(CsDJ[Sort Code]=(TRIM(E$5)))*(CsDJ[Account Code]=(TRIM($B17))),CsDJ[Debit])))+(SUM(IF((CRDJ[Date]=$A$4)*(CRDJ[Sort Code]=(TRIM(E$5)))*(CRDJ[Account Code]=(TRIM($B17))),CRDJ[Debit])))+(SUM(IF((GJ[Date]=$A$4)*(GJ[Sort Code]=(TRIM(E$5)))*(GJ[Account Code]=(TRIM($B17))),GJ[Debit]))))</f>
        <v>0</v>
      </c>
      <c r="E17" s="467">
        <f>C17+D17</f>
        <v>0</v>
      </c>
    </row>
    <row r="18" spans="1:5" x14ac:dyDescent="0.2">
      <c r="A18" s="475" t="s">
        <v>183</v>
      </c>
      <c r="B18" s="339" t="s">
        <v>147</v>
      </c>
      <c r="C18" s="466">
        <f t="array" ref="C18">((SUM(IF((CkDJ[Sort Code]=(TRIM(E$5)))*(CkDJ[Account Code]=(TRIM($B18)))*(CkDJ[Date]&lt;=$C$8),CkDJ[Credit])))+(SUM(IF((CsDJ[Sort Code]=(TRIM(E$5)))*(CsDJ[Account Code]=(TRIM($B18)))*(CsDJ[Date]&lt;=$C$8),CsDJ[Credit])))+(SUM(IF((CRDJ[Sort Code]=(TRIM(E$5)))*(CRDJ[Account Code]=(TRIM($B18)))*(CRDJ[Date]&lt;=$C$8),CRDJ[Credit])))+(SUM(IF((GJ[Sort Code]=(TRIM(E$5)))*(GJ[Account Code]=(TRIM($B18)))*(GJ[Date]&lt;=$C$8),GJ[Credit]))))-((SUM(IF((CkDJ[Sort Code]=(TRIM(E$5)))*(CkDJ[Account Code]=(TRIM($B18)))*(CkDJ[Date]&lt;=$C$8),CkDJ[Debit])))+(SUM(IF((CsDJ[Sort Code]=(TRIM(E$5)))*(CsDJ[Account Code]=(TRIM($B18)))*(CsDJ[Date]&lt;=$C$8),CsDJ[Debit])))+(SUM(IF((CRDJ[Sort Code]=(TRIM(E$5)))*(CRDJ[Account Code]=(TRIM($B18)))*(CRDJ[Date]&lt;=$C$8),CRDJ[Debit])))+(SUM(IF((GJ[Sort Code]=(TRIM(E$5)))*(GJ[Account Code]=(TRIM($B18)))*(GJ[Date]&lt;=$C$8),GJ[Debit]))))</f>
        <v>0</v>
      </c>
      <c r="D18" s="466">
        <f t="array" ref="D18">((SUM(IF((CkDJ[Date]=$A$4)*(CkDJ[Sort Code]=(TRIM(E$5)))*(CkDJ[Account Code]=(TRIM($B18))),CkDJ[Credit])))+(SUM(IF((CsDJ[Date]=$A$4)*(CsDJ[Sort Code]=(TRIM(E$5)))*(CsDJ[Account Code]=(TRIM($B18))),CsDJ[Credit])))+(SUM(IF((CRDJ[Date]=$A$4)*(CRDJ[Sort Code]=(TRIM(E$5)))*(CRDJ[Account Code]=(TRIM($B18))),CRDJ[Credit])))+(SUM(IF((GJ[Date]=$A$4)*(GJ[Sort Code]=(TRIM(E$5)))*(GJ[Account Code]=(TRIM($B18))),GJ[Credit]))))-((SUM(IF((CkDJ[Date]=$A$4)*(CkDJ[Sort Code]=(TRIM(E$5)))*(CkDJ[Account Code]=(TRIM($B18))),CkDJ[Debit])))+(SUM(IF((CsDJ[Date]=$A$4)*(CsDJ[Sort Code]=(TRIM(E$5)))*(CsDJ[Account Code]=(TRIM($B18))),CsDJ[Debit])))+(SUM(IF((CRDJ[Date]=$A$4)*(CRDJ[Sort Code]=(TRIM(E$5)))*(CRDJ[Account Code]=(TRIM($B18))),CRDJ[Debit])))+(SUM(IF((GJ[Date]=$A$4)*(GJ[Sort Code]=(TRIM(E$5)))*(GJ[Account Code]=(TRIM($B18))),GJ[Debit]))))</f>
        <v>0</v>
      </c>
      <c r="E18" s="467">
        <f>C18+D18</f>
        <v>0</v>
      </c>
    </row>
    <row r="19" spans="1:5" hidden="1" x14ac:dyDescent="0.2">
      <c r="A19" s="475" t="s">
        <v>184</v>
      </c>
      <c r="B19" s="339" t="s">
        <v>148</v>
      </c>
      <c r="C19" s="466">
        <f t="array" ref="C19">((SUM(IF((CkDJ[Sort Code]=(TRIM(E$5)))*(CkDJ[Account Code]=(TRIM($B19)))*(CkDJ[Date]&lt;=$C$8),CkDJ[Credit])))+(SUM(IF((CsDJ[Sort Code]=(TRIM(E$5)))*(CsDJ[Account Code]=(TRIM($B19)))*(CsDJ[Date]&lt;=$C$8),CsDJ[Credit])))+(SUM(IF((CRDJ[Sort Code]=(TRIM(E$5)))*(CRDJ[Account Code]=(TRIM($B19)))*(CRDJ[Date]&lt;=$C$8),CRDJ[Credit])))+(SUM(IF((GJ[Sort Code]=(TRIM(E$5)))*(GJ[Account Code]=(TRIM($B19)))*(GJ[Date]&lt;=$C$8),GJ[Credit]))))-((SUM(IF((CkDJ[Sort Code]=(TRIM(E$5)))*(CkDJ[Account Code]=(TRIM($B19)))*(CkDJ[Date]&lt;=$C$8),CkDJ[Debit])))+(SUM(IF((CsDJ[Sort Code]=(TRIM(E$5)))*(CsDJ[Account Code]=(TRIM($B19)))*(CsDJ[Date]&lt;=$C$8),CsDJ[Debit])))+(SUM(IF((CRDJ[Sort Code]=(TRIM(E$5)))*(CRDJ[Account Code]=(TRIM($B19)))*(CRDJ[Date]&lt;=$C$8),CRDJ[Debit])))+(SUM(IF((GJ[Sort Code]=(TRIM(E$5)))*(GJ[Account Code]=(TRIM($B19)))*(GJ[Date]&lt;=$C$8),GJ[Debit]))))</f>
        <v>0</v>
      </c>
      <c r="D19" s="466">
        <f t="array" ref="D19">((SUM(IF((CkDJ[Date]=$A$4)*(CkDJ[Sort Code]=(TRIM(E$5)))*(CkDJ[Account Code]=(TRIM($B19))),CkDJ[Credit])))+(SUM(IF((CsDJ[Date]=$A$4)*(CsDJ[Sort Code]=(TRIM(E$5)))*(CsDJ[Account Code]=(TRIM($B19))),CsDJ[Credit])))+(SUM(IF((CRDJ[Date]=$A$4)*(CRDJ[Sort Code]=(TRIM(E$5)))*(CRDJ[Account Code]=(TRIM($B19))),CRDJ[Credit])))+(SUM(IF((GJ[Date]=$A$4)*(GJ[Sort Code]=(TRIM(E$5)))*(GJ[Account Code]=(TRIM($B19))),GJ[Credit]))))-((SUM(IF((CkDJ[Date]=$A$4)*(CkDJ[Sort Code]=(TRIM(E$5)))*(CkDJ[Account Code]=(TRIM($B19))),CkDJ[Debit])))+(SUM(IF((CsDJ[Date]=$A$4)*(CsDJ[Sort Code]=(TRIM(E$5)))*(CsDJ[Account Code]=(TRIM($B19))),CsDJ[Debit])))+(SUM(IF((CRDJ[Date]=$A$4)*(CRDJ[Sort Code]=(TRIM(E$5)))*(CRDJ[Account Code]=(TRIM($B19))),CRDJ[Debit])))+(SUM(IF((GJ[Date]=$A$4)*(GJ[Sort Code]=(TRIM(E$5)))*(GJ[Account Code]=(TRIM($B19))),GJ[Debit]))))</f>
        <v>0</v>
      </c>
      <c r="E19" s="467">
        <f>C19+D19</f>
        <v>0</v>
      </c>
    </row>
    <row r="20" spans="1:5" x14ac:dyDescent="0.2">
      <c r="A20" s="473" t="s">
        <v>825</v>
      </c>
      <c r="B20" s="339"/>
      <c r="C20" s="477">
        <f>SUM(C21:C22)</f>
        <v>0</v>
      </c>
      <c r="D20" s="477">
        <f>SUM(D21:D22)</f>
        <v>0</v>
      </c>
      <c r="E20" s="477">
        <f>SUM(E21:E22)</f>
        <v>0</v>
      </c>
    </row>
    <row r="21" spans="1:5" hidden="1" x14ac:dyDescent="0.2">
      <c r="A21" s="475" t="s">
        <v>821</v>
      </c>
      <c r="B21" s="339" t="s">
        <v>131</v>
      </c>
      <c r="C21" s="466">
        <f t="array" ref="C21">((SUM(IF((CkDJ[Sort Code]=(TRIM(E$5)))*(CkDJ[Account Code]=(TRIM($B21)))*(CkDJ[Date]&lt;=$C$8),CkDJ[Credit])))+(SUM(IF((CsDJ[Sort Code]=(TRIM(E$5)))*(CsDJ[Account Code]=(TRIM($B21)))*(CsDJ[Date]&lt;=$C$8),CsDJ[Credit])))+(SUM(IF((CRDJ[Sort Code]=(TRIM(E$5)))*(CRDJ[Account Code]=(TRIM($B21)))*(CRDJ[Date]&lt;=$C$8),CRDJ[Credit])))+(SUM(IF((GJ[Sort Code]=(TRIM(E$5)))*(GJ[Account Code]=(TRIM($B21)))*(GJ[Date]&lt;=$C$8),GJ[Credit]))))-((SUM(IF((CkDJ[Sort Code]=(TRIM(E$5)))*(CkDJ[Account Code]=(TRIM($B21)))*(CkDJ[Date]&lt;=$C$8),CkDJ[Debit])))+(SUM(IF((CsDJ[Sort Code]=(TRIM(E$5)))*(CsDJ[Account Code]=(TRIM($B21)))*(CsDJ[Date]&lt;=$C$8),CsDJ[Debit])))+(SUM(IF((CRDJ[Sort Code]=(TRIM(E$5)))*(CRDJ[Account Code]=(TRIM($B21)))*(CRDJ[Date]&lt;=$C$8),CRDJ[Debit])))+(SUM(IF((GJ[Sort Code]=(TRIM(E$5)))*(GJ[Account Code]=(TRIM($B21)))*(GJ[Date]&lt;=$C$8),GJ[Debit]))))</f>
        <v>0</v>
      </c>
      <c r="D21" s="466">
        <f t="array" ref="D21">((SUM(IF((CkDJ[Date]=$A$4)*(CkDJ[Sort Code]=(TRIM(E$5)))*(CkDJ[Account Code]=(TRIM($B21))),CkDJ[Credit])))+(SUM(IF((CsDJ[Date]=$A$4)*(CsDJ[Sort Code]=(TRIM(E$5)))*(CsDJ[Account Code]=(TRIM($B21))),CsDJ[Credit])))+(SUM(IF((CRDJ[Date]=$A$4)*(CRDJ[Sort Code]=(TRIM(E$5)))*(CRDJ[Account Code]=(TRIM($B21))),CRDJ[Credit])))+(SUM(IF((GJ[Date]=$A$4)*(GJ[Sort Code]=(TRIM(E$5)))*(GJ[Account Code]=(TRIM($B21))),GJ[Credit]))))-((SUM(IF((CkDJ[Date]=$A$4)*(CkDJ[Sort Code]=(TRIM(E$5)))*(CkDJ[Account Code]=(TRIM($B21))),CkDJ[Debit])))+(SUM(IF((CsDJ[Date]=$A$4)*(CsDJ[Sort Code]=(TRIM(E$5)))*(CsDJ[Account Code]=(TRIM($B21))),CsDJ[Debit])))+(SUM(IF((CRDJ[Date]=$A$4)*(CRDJ[Sort Code]=(TRIM(E$5)))*(CRDJ[Account Code]=(TRIM($B21))),CRDJ[Debit])))+(SUM(IF((GJ[Date]=$A$4)*(GJ[Sort Code]=(TRIM(E$5)))*(GJ[Account Code]=(TRIM($B21))),GJ[Debit]))))</f>
        <v>0</v>
      </c>
      <c r="E21" s="467">
        <f>C21+D21</f>
        <v>0</v>
      </c>
    </row>
    <row r="22" spans="1:5" hidden="1" x14ac:dyDescent="0.2">
      <c r="A22" s="475" t="s">
        <v>820</v>
      </c>
      <c r="B22" s="339"/>
      <c r="C22" s="466">
        <f>SUM(C23:C24)</f>
        <v>0</v>
      </c>
      <c r="D22" s="466">
        <f>SUM(D23:D24)</f>
        <v>0</v>
      </c>
      <c r="E22" s="466">
        <f>SUM(E23:E24)</f>
        <v>0</v>
      </c>
    </row>
    <row r="23" spans="1:5" hidden="1" x14ac:dyDescent="0.2">
      <c r="A23" s="476" t="s">
        <v>819</v>
      </c>
      <c r="B23" s="339" t="s">
        <v>140</v>
      </c>
      <c r="C23" s="466">
        <f t="array" ref="C23">((SUM(IF((CkDJ[Sort Code]=(TRIM(E$5)))*(CkDJ[Account Code]=(TRIM($B23)))*(CkDJ[Date]&lt;=$C$8),CkDJ[Credit])))+(SUM(IF((CsDJ[Sort Code]=(TRIM(E$5)))*(CsDJ[Account Code]=(TRIM($B23)))*(CsDJ[Date]&lt;=$C$8),CsDJ[Credit])))+(SUM(IF((CRDJ[Sort Code]=(TRIM(E$5)))*(CRDJ[Account Code]=(TRIM($B23)))*(CRDJ[Date]&lt;=$C$8),CRDJ[Credit])))+(SUM(IF((GJ[Sort Code]=(TRIM(E$5)))*(GJ[Account Code]=(TRIM($B23)))*(GJ[Date]&lt;=$C$8),GJ[Credit]))))-((SUM(IF((CkDJ[Sort Code]=(TRIM(E$5)))*(CkDJ[Account Code]=(TRIM($B23)))*(CkDJ[Date]&lt;=$C$8),CkDJ[Debit])))+(SUM(IF((CsDJ[Sort Code]=(TRIM(E$5)))*(CsDJ[Account Code]=(TRIM($B23)))*(CsDJ[Date]&lt;=$C$8),CsDJ[Debit])))+(SUM(IF((CRDJ[Sort Code]=(TRIM(E$5)))*(CRDJ[Account Code]=(TRIM($B23)))*(CRDJ[Date]&lt;=$C$8),CRDJ[Debit])))+(SUM(IF((GJ[Sort Code]=(TRIM(E$5)))*(GJ[Account Code]=(TRIM($B23)))*(GJ[Date]&lt;=$C$8),GJ[Debit]))))</f>
        <v>0</v>
      </c>
      <c r="D23" s="466">
        <f t="array" ref="D23">((SUM(IF((CkDJ[Date]=$A$4)*(CkDJ[Sort Code]=(TRIM(E$5)))*(CkDJ[Account Code]=(TRIM($B23))),CkDJ[Credit])))+(SUM(IF((CsDJ[Date]=$A$4)*(CsDJ[Sort Code]=(TRIM(E$5)))*(CsDJ[Account Code]=(TRIM($B23))),CsDJ[Credit])))+(SUM(IF((CRDJ[Date]=$A$4)*(CRDJ[Sort Code]=(TRIM(E$5)))*(CRDJ[Account Code]=(TRIM($B23))),CRDJ[Credit])))+(SUM(IF((GJ[Date]=$A$4)*(GJ[Sort Code]=(TRIM(E$5)))*(GJ[Account Code]=(TRIM($B23))),GJ[Credit]))))-((SUM(IF((CkDJ[Date]=$A$4)*(CkDJ[Sort Code]=(TRIM(E$5)))*(CkDJ[Account Code]=(TRIM($B23))),CkDJ[Debit])))+(SUM(IF((CsDJ[Date]=$A$4)*(CsDJ[Sort Code]=(TRIM(E$5)))*(CsDJ[Account Code]=(TRIM($B23))),CsDJ[Debit])))+(SUM(IF((CRDJ[Date]=$A$4)*(CRDJ[Sort Code]=(TRIM(E$5)))*(CRDJ[Account Code]=(TRIM($B23))),CRDJ[Debit])))+(SUM(IF((GJ[Date]=$A$4)*(GJ[Sort Code]=(TRIM(E$5)))*(GJ[Account Code]=(TRIM($B23))),GJ[Debit]))))</f>
        <v>0</v>
      </c>
      <c r="E23" s="467">
        <f>C23+D23</f>
        <v>0</v>
      </c>
    </row>
    <row r="24" spans="1:5" hidden="1" x14ac:dyDescent="0.2">
      <c r="A24" s="476" t="s">
        <v>818</v>
      </c>
      <c r="B24" s="339" t="s">
        <v>144</v>
      </c>
      <c r="C24" s="466">
        <f t="array" ref="C24">((SUM(IF((CkDJ[Sort Code]=(TRIM(E$5)))*(CkDJ[Account Code]=(TRIM($B24)))*(CkDJ[Date]&lt;=$C$8),CkDJ[Credit])))+(SUM(IF((CsDJ[Sort Code]=(TRIM(E$5)))*(CsDJ[Account Code]=(TRIM($B24)))*(CsDJ[Date]&lt;=$C$8),CsDJ[Credit])))+(SUM(IF((CRDJ[Sort Code]=(TRIM(E$5)))*(CRDJ[Account Code]=(TRIM($B24)))*(CRDJ[Date]&lt;=$C$8),CRDJ[Credit])))+(SUM(IF((GJ[Sort Code]=(TRIM(E$5)))*(GJ[Account Code]=(TRIM($B24)))*(GJ[Date]&lt;=$C$8),GJ[Credit]))))-((SUM(IF((CkDJ[Sort Code]=(TRIM(E$5)))*(CkDJ[Account Code]=(TRIM($B24)))*(CkDJ[Date]&lt;=$C$8),CkDJ[Debit])))+(SUM(IF((CsDJ[Sort Code]=(TRIM(E$5)))*(CsDJ[Account Code]=(TRIM($B24)))*(CsDJ[Date]&lt;=$C$8),CsDJ[Debit])))+(SUM(IF((CRDJ[Sort Code]=(TRIM(E$5)))*(CRDJ[Account Code]=(TRIM($B24)))*(CRDJ[Date]&lt;=$C$8),CRDJ[Debit])))+(SUM(IF((GJ[Sort Code]=(TRIM(E$5)))*(GJ[Account Code]=(TRIM($B24)))*(GJ[Date]&lt;=$C$8),GJ[Debit]))))</f>
        <v>0</v>
      </c>
      <c r="D24" s="466">
        <f t="array" ref="D24">((SUM(IF((CkDJ[Date]=$A$4)*(CkDJ[Sort Code]=(TRIM(E$5)))*(CkDJ[Account Code]=(TRIM($B24))),CkDJ[Credit])))+(SUM(IF((CsDJ[Date]=$A$4)*(CsDJ[Sort Code]=(TRIM(E$5)))*(CsDJ[Account Code]=(TRIM($B24))),CsDJ[Credit])))+(SUM(IF((CRDJ[Date]=$A$4)*(CRDJ[Sort Code]=(TRIM(E$5)))*(CRDJ[Account Code]=(TRIM($B24))),CRDJ[Credit])))+(SUM(IF((GJ[Date]=$A$4)*(GJ[Sort Code]=(TRIM(E$5)))*(GJ[Account Code]=(TRIM($B24))),GJ[Credit]))))-((SUM(IF((CkDJ[Date]=$A$4)*(CkDJ[Sort Code]=(TRIM(E$5)))*(CkDJ[Account Code]=(TRIM($B24))),CkDJ[Debit])))+(SUM(IF((CsDJ[Date]=$A$4)*(CsDJ[Sort Code]=(TRIM(E$5)))*(CsDJ[Account Code]=(TRIM($B24))),CsDJ[Debit])))+(SUM(IF((CRDJ[Date]=$A$4)*(CRDJ[Sort Code]=(TRIM(E$5)))*(CRDJ[Account Code]=(TRIM($B24))),CRDJ[Debit])))+(SUM(IF((GJ[Date]=$A$4)*(GJ[Sort Code]=(TRIM(E$5)))*(GJ[Account Code]=(TRIM($B24))),GJ[Debit]))))</f>
        <v>0</v>
      </c>
      <c r="E24" s="467">
        <f>C24+D24</f>
        <v>0</v>
      </c>
    </row>
    <row r="25" spans="1:5" x14ac:dyDescent="0.2">
      <c r="A25" s="473" t="s">
        <v>1163</v>
      </c>
      <c r="B25" s="339" t="s">
        <v>352</v>
      </c>
      <c r="C25" s="466">
        <f t="array" ref="C25">((SUM(IF((CkDJ[Sort Code]=(TRIM(E$5)))*(CkDJ[Account Code]=(TRIM($B25)))*(CkDJ[Date]&lt;=$C$8),CkDJ[Credit])))+(SUM(IF((CsDJ[Sort Code]=(TRIM(E$5)))*(CsDJ[Account Code]=(TRIM($B25)))*(CsDJ[Date]&lt;=$C$8),CsDJ[Credit])))+(SUM(IF((CRDJ[Sort Code]=(TRIM(E$5)))*(CRDJ[Account Code]=(TRIM($B25)))*(CRDJ[Date]&lt;=$C$8),CRDJ[Credit])))+(SUM(IF((GJ[Sort Code]=(TRIM(E$5)))*(GJ[Account Code]=(TRIM($B25)))*(GJ[Date]&lt;=$C$8),GJ[Credit]))))-((SUM(IF((CkDJ[Sort Code]=(TRIM(E$5)))*(CkDJ[Account Code]=(TRIM($B25)))*(CkDJ[Date]&lt;=$C$8),CkDJ[Debit])))+(SUM(IF((CsDJ[Sort Code]=(TRIM(E$5)))*(CsDJ[Account Code]=(TRIM($B25)))*(CsDJ[Date]&lt;=$C$8),CsDJ[Debit])))+(SUM(IF((CRDJ[Sort Code]=(TRIM(E$5)))*(CRDJ[Account Code]=(TRIM($B25)))*(CRDJ[Date]&lt;=$C$8),CRDJ[Debit])))+(SUM(IF((GJ[Sort Code]=(TRIM(E$5)))*(GJ[Account Code]=(TRIM($B25)))*(GJ[Date]&lt;=$C$8),GJ[Debit]))))</f>
        <v>0</v>
      </c>
      <c r="D25" s="466">
        <f t="array" ref="D25">((SUM(IF((CkDJ[Date]=$A$4)*(CkDJ[Sort Code]=(TRIM(E$5)))*(CkDJ[Account Code]=(TRIM($B25))),CkDJ[Credit])))+(SUM(IF((CsDJ[Date]=$A$4)*(CsDJ[Sort Code]=(TRIM(E$5)))*(CsDJ[Account Code]=(TRIM($B25))),CsDJ[Credit])))+(SUM(IF((CRDJ[Date]=$A$4)*(CRDJ[Sort Code]=(TRIM(E$5)))*(CRDJ[Account Code]=(TRIM($B25))),CRDJ[Credit])))+(SUM(IF((GJ[Date]=$A$4)*(GJ[Sort Code]=(TRIM(E$5)))*(GJ[Account Code]=(TRIM($B25))),GJ[Credit]))))-((SUM(IF((CkDJ[Date]=$A$4)*(CkDJ[Sort Code]=(TRIM(E$5)))*(CkDJ[Account Code]=(TRIM($B25))),CkDJ[Debit])))+(SUM(IF((CsDJ[Date]=$A$4)*(CsDJ[Sort Code]=(TRIM(E$5)))*(CsDJ[Account Code]=(TRIM($B25))),CsDJ[Debit])))+(SUM(IF((CRDJ[Date]=$A$4)*(CRDJ[Sort Code]=(TRIM(E$5)))*(CRDJ[Account Code]=(TRIM($B25))),CRDJ[Debit])))+(SUM(IF((GJ[Date]=$A$4)*(GJ[Sort Code]=(TRIM(E$5)))*(GJ[Account Code]=(TRIM($B25))),GJ[Debit]))))</f>
        <v>0</v>
      </c>
      <c r="E25" s="467">
        <f>C25+D25</f>
        <v>0</v>
      </c>
    </row>
    <row r="26" spans="1:5" x14ac:dyDescent="0.2">
      <c r="A26" s="473" t="s">
        <v>1164</v>
      </c>
      <c r="B26" s="339"/>
      <c r="C26" s="477">
        <f>SUM(C27:C28)</f>
        <v>0</v>
      </c>
      <c r="D26" s="477">
        <f>SUM(D27:D28)</f>
        <v>0</v>
      </c>
      <c r="E26" s="477">
        <f>SUM(E27:E28)</f>
        <v>0</v>
      </c>
    </row>
    <row r="27" spans="1:5" x14ac:dyDescent="0.2">
      <c r="A27" s="475" t="s">
        <v>821</v>
      </c>
      <c r="B27" s="339" t="s">
        <v>128</v>
      </c>
      <c r="C27" s="466">
        <f t="array" ref="C27">((SUM(IF((CkDJ[Sort Code]=(TRIM(E$5)))*(CkDJ[Account Code]=(TRIM($B27)))*(CkDJ[Date]&lt;=$C$8),CkDJ[Credit])))+(SUM(IF((CsDJ[Sort Code]=(TRIM(E$5)))*(CsDJ[Account Code]=(TRIM($B27)))*(CsDJ[Date]&lt;=$C$8),CsDJ[Credit])))+(SUM(IF((CRDJ[Sort Code]=(TRIM(E$5)))*(CRDJ[Account Code]=(TRIM($B27)))*(CRDJ[Date]&lt;=$C$8),CRDJ[Credit])))+(SUM(IF((GJ[Sort Code]=(TRIM(E$5)))*(GJ[Account Code]=(TRIM($B27)))*(GJ[Date]&lt;=$C$8),GJ[Credit]))))-((SUM(IF((CkDJ[Sort Code]=(TRIM(E$5)))*(CkDJ[Account Code]=(TRIM($B27)))*(CkDJ[Date]&lt;=$C$8),CkDJ[Debit])))+(SUM(IF((CsDJ[Sort Code]=(TRIM(E$5)))*(CsDJ[Account Code]=(TRIM($B27)))*(CsDJ[Date]&lt;=$C$8),CsDJ[Debit])))+(SUM(IF((CRDJ[Sort Code]=(TRIM(E$5)))*(CRDJ[Account Code]=(TRIM($B27)))*(CRDJ[Date]&lt;=$C$8),CRDJ[Debit])))+(SUM(IF((GJ[Sort Code]=(TRIM(E$5)))*(GJ[Account Code]=(TRIM($B27)))*(GJ[Date]&lt;=$C$8),GJ[Debit]))))</f>
        <v>0</v>
      </c>
      <c r="D27" s="466">
        <f t="array" ref="D27">((SUM(IF((CkDJ[Date]=$A$4)*(CkDJ[Sort Code]=(TRIM(E$5)))*(CkDJ[Account Code]=(TRIM($B27))),CkDJ[Credit])))+(SUM(IF((CsDJ[Date]=$A$4)*(CsDJ[Sort Code]=(TRIM(E$5)))*(CsDJ[Account Code]=(TRIM($B27))),CsDJ[Credit])))+(SUM(IF((CRDJ[Date]=$A$4)*(CRDJ[Sort Code]=(TRIM(E$5)))*(CRDJ[Account Code]=(TRIM($B27))),CRDJ[Credit])))+(SUM(IF((GJ[Date]=$A$4)*(GJ[Sort Code]=(TRIM(E$5)))*(GJ[Account Code]=(TRIM($B27))),GJ[Credit]))))-((SUM(IF((CkDJ[Date]=$A$4)*(CkDJ[Sort Code]=(TRIM(E$5)))*(CkDJ[Account Code]=(TRIM($B27))),CkDJ[Debit])))+(SUM(IF((CsDJ[Date]=$A$4)*(CsDJ[Sort Code]=(TRIM(E$5)))*(CsDJ[Account Code]=(TRIM($B27))),CsDJ[Debit])))+(SUM(IF((CRDJ[Date]=$A$4)*(CRDJ[Sort Code]=(TRIM(E$5)))*(CRDJ[Account Code]=(TRIM($B27))),CRDJ[Debit])))+(SUM(IF((GJ[Date]=$A$4)*(GJ[Sort Code]=(TRIM(E$5)))*(GJ[Account Code]=(TRIM($B27))),GJ[Debit]))))</f>
        <v>0</v>
      </c>
      <c r="E27" s="467">
        <f>C27+D27</f>
        <v>0</v>
      </c>
    </row>
    <row r="28" spans="1:5" x14ac:dyDescent="0.2">
      <c r="A28" s="475" t="s">
        <v>820</v>
      </c>
      <c r="B28" s="339"/>
      <c r="C28" s="466">
        <f>SUM(C29:C30)</f>
        <v>0</v>
      </c>
      <c r="D28" s="466">
        <f>SUM(D29:D30)</f>
        <v>0</v>
      </c>
      <c r="E28" s="466">
        <f>SUM(E29:E30)</f>
        <v>0</v>
      </c>
    </row>
    <row r="29" spans="1:5" hidden="1" x14ac:dyDescent="0.2">
      <c r="A29" s="476" t="s">
        <v>819</v>
      </c>
      <c r="B29" s="339" t="s">
        <v>129</v>
      </c>
      <c r="C29" s="466">
        <f t="array" ref="C29">((SUM(IF((CkDJ[Sort Code]=(TRIM(E$5)))*(CkDJ[Account Code]=(TRIM($B29)))*(CkDJ[Date]&lt;=$C$8),CkDJ[Credit])))+(SUM(IF((CsDJ[Sort Code]=(TRIM(E$5)))*(CsDJ[Account Code]=(TRIM($B29)))*(CsDJ[Date]&lt;=$C$8),CsDJ[Credit])))+(SUM(IF((CRDJ[Sort Code]=(TRIM(E$5)))*(CRDJ[Account Code]=(TRIM($B29)))*(CRDJ[Date]&lt;=$C$8),CRDJ[Credit])))+(SUM(IF((GJ[Sort Code]=(TRIM(E$5)))*(GJ[Account Code]=(TRIM($B29)))*(GJ[Date]&lt;=$C$8),GJ[Credit]))))-((SUM(IF((CkDJ[Sort Code]=(TRIM(E$5)))*(CkDJ[Account Code]=(TRIM($B29)))*(CkDJ[Date]&lt;=$C$8),CkDJ[Debit])))+(SUM(IF((CsDJ[Sort Code]=(TRIM(E$5)))*(CsDJ[Account Code]=(TRIM($B29)))*(CsDJ[Date]&lt;=$C$8),CsDJ[Debit])))+(SUM(IF((CRDJ[Sort Code]=(TRIM(E$5)))*(CRDJ[Account Code]=(TRIM($B29)))*(CRDJ[Date]&lt;=$C$8),CRDJ[Debit])))+(SUM(IF((GJ[Sort Code]=(TRIM(E$5)))*(GJ[Account Code]=(TRIM($B29)))*(GJ[Date]&lt;=$C$8),GJ[Debit]))))</f>
        <v>0</v>
      </c>
      <c r="D29" s="466">
        <f t="array" ref="D29">((SUM(IF((CkDJ[Date]=$A$4)*(CkDJ[Sort Code]=(TRIM(E$5)))*(CkDJ[Account Code]=(TRIM($B29))),CkDJ[Credit])))+(SUM(IF((CsDJ[Date]=$A$4)*(CsDJ[Sort Code]=(TRIM(E$5)))*(CsDJ[Account Code]=(TRIM($B29))),CsDJ[Credit])))+(SUM(IF((CRDJ[Date]=$A$4)*(CRDJ[Sort Code]=(TRIM(E$5)))*(CRDJ[Account Code]=(TRIM($B29))),CRDJ[Credit])))+(SUM(IF((GJ[Date]=$A$4)*(GJ[Sort Code]=(TRIM(E$5)))*(GJ[Account Code]=(TRIM($B29))),GJ[Credit]))))-((SUM(IF((CkDJ[Date]=$A$4)*(CkDJ[Sort Code]=(TRIM(E$5)))*(CkDJ[Account Code]=(TRIM($B29))),CkDJ[Debit])))+(SUM(IF((CsDJ[Date]=$A$4)*(CsDJ[Sort Code]=(TRIM(E$5)))*(CsDJ[Account Code]=(TRIM($B29))),CsDJ[Debit])))+(SUM(IF((CRDJ[Date]=$A$4)*(CRDJ[Sort Code]=(TRIM(E$5)))*(CRDJ[Account Code]=(TRIM($B29))),CRDJ[Debit])))+(SUM(IF((GJ[Date]=$A$4)*(GJ[Sort Code]=(TRIM(E$5)))*(GJ[Account Code]=(TRIM($B29))),GJ[Debit]))))</f>
        <v>0</v>
      </c>
      <c r="E29" s="467">
        <f>C29+D29</f>
        <v>0</v>
      </c>
    </row>
    <row r="30" spans="1:5" hidden="1" x14ac:dyDescent="0.2">
      <c r="A30" s="476" t="s">
        <v>818</v>
      </c>
      <c r="B30" s="339" t="s">
        <v>145</v>
      </c>
      <c r="C30" s="466">
        <f t="array" ref="C30">((SUM(IF((CkDJ[Sort Code]=(TRIM(E$5)))*(CkDJ[Account Code]=(TRIM($B30)))*(CkDJ[Date]&lt;=$C$8),CkDJ[Credit])))+(SUM(IF((CsDJ[Sort Code]=(TRIM(E$5)))*(CsDJ[Account Code]=(TRIM($B30)))*(CsDJ[Date]&lt;=$C$8),CsDJ[Credit])))+(SUM(IF((CRDJ[Sort Code]=(TRIM(E$5)))*(CRDJ[Account Code]=(TRIM($B30)))*(CRDJ[Date]&lt;=$C$8),CRDJ[Credit])))+(SUM(IF((GJ[Sort Code]=(TRIM(E$5)))*(GJ[Account Code]=(TRIM($B30)))*(GJ[Date]&lt;=$C$8),GJ[Credit]))))-((SUM(IF((CkDJ[Sort Code]=(TRIM(E$5)))*(CkDJ[Account Code]=(TRIM($B30)))*(CkDJ[Date]&lt;=$C$8),CkDJ[Debit])))+(SUM(IF((CsDJ[Sort Code]=(TRIM(E$5)))*(CsDJ[Account Code]=(TRIM($B30)))*(CsDJ[Date]&lt;=$C$8),CsDJ[Debit])))+(SUM(IF((CRDJ[Sort Code]=(TRIM(E$5)))*(CRDJ[Account Code]=(TRIM($B30)))*(CRDJ[Date]&lt;=$C$8),CRDJ[Debit])))+(SUM(IF((GJ[Sort Code]=(TRIM(E$5)))*(GJ[Account Code]=(TRIM($B30)))*(GJ[Date]&lt;=$C$8),GJ[Debit]))))</f>
        <v>0</v>
      </c>
      <c r="D30" s="466">
        <f t="array" ref="D30">((SUM(IF((CkDJ[Date]=$A$4)*(CkDJ[Sort Code]=(TRIM(E$5)))*(CkDJ[Account Code]=(TRIM($B30))),CkDJ[Credit])))+(SUM(IF((CsDJ[Date]=$A$4)*(CsDJ[Sort Code]=(TRIM(E$5)))*(CsDJ[Account Code]=(TRIM($B30))),CsDJ[Credit])))+(SUM(IF((CRDJ[Date]=$A$4)*(CRDJ[Sort Code]=(TRIM(E$5)))*(CRDJ[Account Code]=(TRIM($B30))),CRDJ[Credit])))+(SUM(IF((GJ[Date]=$A$4)*(GJ[Sort Code]=(TRIM(E$5)))*(GJ[Account Code]=(TRIM($B30))),GJ[Credit]))))-((SUM(IF((CkDJ[Date]=$A$4)*(CkDJ[Sort Code]=(TRIM(E$5)))*(CkDJ[Account Code]=(TRIM($B30))),CkDJ[Debit])))+(SUM(IF((CsDJ[Date]=$A$4)*(CsDJ[Sort Code]=(TRIM(E$5)))*(CsDJ[Account Code]=(TRIM($B30))),CsDJ[Debit])))+(SUM(IF((CRDJ[Date]=$A$4)*(CRDJ[Sort Code]=(TRIM(E$5)))*(CRDJ[Account Code]=(TRIM($B30))),CRDJ[Debit])))+(SUM(IF((GJ[Date]=$A$4)*(GJ[Sort Code]=(TRIM(E$5)))*(GJ[Account Code]=(TRIM($B30))),GJ[Debit]))))</f>
        <v>0</v>
      </c>
      <c r="E30" s="467">
        <f>C30+D30</f>
        <v>0</v>
      </c>
    </row>
    <row r="31" spans="1:5" x14ac:dyDescent="0.2">
      <c r="A31" s="473" t="s">
        <v>1165</v>
      </c>
      <c r="B31" s="339"/>
      <c r="C31" s="477">
        <f>SUM(C32:C34)</f>
        <v>0</v>
      </c>
      <c r="D31" s="477">
        <f>SUM(D32:D34)</f>
        <v>0</v>
      </c>
      <c r="E31" s="477">
        <f>SUM(E32:E34)</f>
        <v>0</v>
      </c>
    </row>
    <row r="32" spans="1:5" x14ac:dyDescent="0.2">
      <c r="A32" s="475" t="s">
        <v>139</v>
      </c>
      <c r="B32" s="339" t="s">
        <v>130</v>
      </c>
      <c r="C32" s="466">
        <f t="array" ref="C32">((SUM(IF((CkDJ[Sort Code]=(TRIM(E$5)))*(CkDJ[Account Code]=(TRIM($B32)))*(CkDJ[Date]&lt;=$C$8),CkDJ[Credit])))+(SUM(IF((CsDJ[Sort Code]=(TRIM(E$5)))*(CsDJ[Account Code]=(TRIM($B32)))*(CsDJ[Date]&lt;=$C$8),CsDJ[Credit])))+(SUM(IF((CRDJ[Sort Code]=(TRIM(E$5)))*(CRDJ[Account Code]=(TRIM($B32)))*(CRDJ[Date]&lt;=$C$8),CRDJ[Credit])))+(SUM(IF((GJ[Sort Code]=(TRIM(E$5)))*(GJ[Account Code]=(TRIM($B32)))*(GJ[Date]&lt;=$C$8),GJ[Credit]))))-((SUM(IF((CkDJ[Sort Code]=(TRIM(E$5)))*(CkDJ[Account Code]=(TRIM($B32)))*(CkDJ[Date]&lt;=$C$8),CkDJ[Debit])))+(SUM(IF((CsDJ[Sort Code]=(TRIM(E$5)))*(CsDJ[Account Code]=(TRIM($B32)))*(CsDJ[Date]&lt;=$C$8),CsDJ[Debit])))+(SUM(IF((CRDJ[Sort Code]=(TRIM(E$5)))*(CRDJ[Account Code]=(TRIM($B32)))*(CRDJ[Date]&lt;=$C$8),CRDJ[Debit])))+(SUM(IF((GJ[Sort Code]=(TRIM(E$5)))*(GJ[Account Code]=(TRIM($B32)))*(GJ[Date]&lt;=$C$8),GJ[Debit]))))</f>
        <v>0</v>
      </c>
      <c r="D32" s="466">
        <f t="array" ref="D32">((SUM(IF((CkDJ[Date]=$A$4)*(CkDJ[Sort Code]=(TRIM(E$5)))*(CkDJ[Account Code]=(TRIM($B32))),CkDJ[Credit])))+(SUM(IF((CsDJ[Date]=$A$4)*(CsDJ[Sort Code]=(TRIM(E$5)))*(CsDJ[Account Code]=(TRIM($B32))),CsDJ[Credit])))+(SUM(IF((CRDJ[Date]=$A$4)*(CRDJ[Sort Code]=(TRIM(E$5)))*(CRDJ[Account Code]=(TRIM($B32))),CRDJ[Credit])))+(SUM(IF((GJ[Date]=$A$4)*(GJ[Sort Code]=(TRIM(E$5)))*(GJ[Account Code]=(TRIM($B32))),GJ[Credit]))))-((SUM(IF((CkDJ[Date]=$A$4)*(CkDJ[Sort Code]=(TRIM(E$5)))*(CkDJ[Account Code]=(TRIM($B32))),CkDJ[Debit])))+(SUM(IF((CsDJ[Date]=$A$4)*(CsDJ[Sort Code]=(TRIM(E$5)))*(CsDJ[Account Code]=(TRIM($B32))),CsDJ[Debit])))+(SUM(IF((CRDJ[Date]=$A$4)*(CRDJ[Sort Code]=(TRIM(E$5)))*(CRDJ[Account Code]=(TRIM($B32))),CRDJ[Debit])))+(SUM(IF((GJ[Date]=$A$4)*(GJ[Sort Code]=(TRIM(E$5)))*(GJ[Account Code]=(TRIM($B32))),GJ[Debit]))))</f>
        <v>0</v>
      </c>
      <c r="E32" s="467">
        <f>C32+D32</f>
        <v>0</v>
      </c>
    </row>
    <row r="33" spans="1:5" x14ac:dyDescent="0.2">
      <c r="A33" s="475" t="s">
        <v>180</v>
      </c>
      <c r="B33" s="339" t="s">
        <v>141</v>
      </c>
      <c r="C33" s="466">
        <f t="array" ref="C33">((SUM(IF((CkDJ[Sort Code]=(TRIM(E$5)))*(CkDJ[Account Code]=(TRIM($B33)))*(CkDJ[Date]&lt;=$C$8),CkDJ[Credit])))+(SUM(IF((CsDJ[Sort Code]=(TRIM(E$5)))*(CsDJ[Account Code]=(TRIM($B33)))*(CsDJ[Date]&lt;=$C$8),CsDJ[Credit])))+(SUM(IF((CRDJ[Sort Code]=(TRIM(E$5)))*(CRDJ[Account Code]=(TRIM($B33)))*(CRDJ[Date]&lt;=$C$8),CRDJ[Credit])))+(SUM(IF((GJ[Sort Code]=(TRIM(E$5)))*(GJ[Account Code]=(TRIM($B33)))*(GJ[Date]&lt;=$C$8),GJ[Credit]))))-((SUM(IF((CkDJ[Sort Code]=(TRIM(E$5)))*(CkDJ[Account Code]=(TRIM($B33)))*(CkDJ[Date]&lt;=$C$8),CkDJ[Debit])))+(SUM(IF((CsDJ[Sort Code]=(TRIM(E$5)))*(CsDJ[Account Code]=(TRIM($B33)))*(CsDJ[Date]&lt;=$C$8),CsDJ[Debit])))+(SUM(IF((CRDJ[Sort Code]=(TRIM(E$5)))*(CRDJ[Account Code]=(TRIM($B33)))*(CRDJ[Date]&lt;=$C$8),CRDJ[Debit])))+(SUM(IF((GJ[Sort Code]=(TRIM(E$5)))*(GJ[Account Code]=(TRIM($B33)))*(GJ[Date]&lt;=$C$8),GJ[Debit]))))</f>
        <v>0</v>
      </c>
      <c r="D33" s="466">
        <f t="array" ref="D33">((SUM(IF((CkDJ[Date]=$A$4)*(CkDJ[Sort Code]=(TRIM(E$5)))*(CkDJ[Account Code]=(TRIM($B33))),CkDJ[Credit])))+(SUM(IF((CsDJ[Date]=$A$4)*(CsDJ[Sort Code]=(TRIM(E$5)))*(CsDJ[Account Code]=(TRIM($B33))),CsDJ[Credit])))+(SUM(IF((CRDJ[Date]=$A$4)*(CRDJ[Sort Code]=(TRIM(E$5)))*(CRDJ[Account Code]=(TRIM($B33))),CRDJ[Credit])))+(SUM(IF((GJ[Date]=$A$4)*(GJ[Sort Code]=(TRIM(E$5)))*(GJ[Account Code]=(TRIM($B33))),GJ[Credit]))))-((SUM(IF((CkDJ[Date]=$A$4)*(CkDJ[Sort Code]=(TRIM(E$5)))*(CkDJ[Account Code]=(TRIM($B33))),CkDJ[Debit])))+(SUM(IF((CsDJ[Date]=$A$4)*(CsDJ[Sort Code]=(TRIM(E$5)))*(CsDJ[Account Code]=(TRIM($B33))),CsDJ[Debit])))+(SUM(IF((CRDJ[Date]=$A$4)*(CRDJ[Sort Code]=(TRIM(E$5)))*(CRDJ[Account Code]=(TRIM($B33))),CRDJ[Debit])))+(SUM(IF((GJ[Date]=$A$4)*(GJ[Sort Code]=(TRIM(E$5)))*(GJ[Account Code]=(TRIM($B33))),GJ[Debit]))))</f>
        <v>0</v>
      </c>
      <c r="E33" s="467">
        <f>C33+D33</f>
        <v>0</v>
      </c>
    </row>
    <row r="34" spans="1:5" x14ac:dyDescent="0.2">
      <c r="A34" s="475" t="s">
        <v>181</v>
      </c>
      <c r="B34" s="339" t="s">
        <v>142</v>
      </c>
      <c r="C34" s="466">
        <f t="array" ref="C34">((SUM(IF((CkDJ[Sort Code]=(TRIM(E$5)))*(CkDJ[Account Code]=(TRIM($B34)))*(CkDJ[Date]&lt;=$C$8),CkDJ[Credit])))+(SUM(IF((CsDJ[Sort Code]=(TRIM(E$5)))*(CsDJ[Account Code]=(TRIM($B34)))*(CsDJ[Date]&lt;=$C$8),CsDJ[Credit])))+(SUM(IF((CRDJ[Sort Code]=(TRIM(E$5)))*(CRDJ[Account Code]=(TRIM($B34)))*(CRDJ[Date]&lt;=$C$8),CRDJ[Credit])))+(SUM(IF((GJ[Sort Code]=(TRIM(E$5)))*(GJ[Account Code]=(TRIM($B34)))*(GJ[Date]&lt;=$C$8),GJ[Credit]))))-((SUM(IF((CkDJ[Sort Code]=(TRIM(E$5)))*(CkDJ[Account Code]=(TRIM($B34)))*(CkDJ[Date]&lt;=$C$8),CkDJ[Debit])))+(SUM(IF((CsDJ[Sort Code]=(TRIM(E$5)))*(CsDJ[Account Code]=(TRIM($B34)))*(CsDJ[Date]&lt;=$C$8),CsDJ[Debit])))+(SUM(IF((CRDJ[Sort Code]=(TRIM(E$5)))*(CRDJ[Account Code]=(TRIM($B34)))*(CRDJ[Date]&lt;=$C$8),CRDJ[Debit])))+(SUM(IF((GJ[Sort Code]=(TRIM(E$5)))*(GJ[Account Code]=(TRIM($B34)))*(GJ[Date]&lt;=$C$8),GJ[Debit]))))</f>
        <v>0</v>
      </c>
      <c r="D34" s="466">
        <f t="array" ref="D34">((SUM(IF((CkDJ[Date]=$A$4)*(CkDJ[Sort Code]=(TRIM(E$5)))*(CkDJ[Account Code]=(TRIM($B34))),CkDJ[Credit])))+(SUM(IF((CsDJ[Date]=$A$4)*(CsDJ[Sort Code]=(TRIM(E$5)))*(CsDJ[Account Code]=(TRIM($B34))),CsDJ[Credit])))+(SUM(IF((CRDJ[Date]=$A$4)*(CRDJ[Sort Code]=(TRIM(E$5)))*(CRDJ[Account Code]=(TRIM($B34))),CRDJ[Credit])))+(SUM(IF((GJ[Date]=$A$4)*(GJ[Sort Code]=(TRIM(E$5)))*(GJ[Account Code]=(TRIM($B34))),GJ[Credit]))))-((SUM(IF((CkDJ[Date]=$A$4)*(CkDJ[Sort Code]=(TRIM(E$5)))*(CkDJ[Account Code]=(TRIM($B34))),CkDJ[Debit])))+(SUM(IF((CsDJ[Date]=$A$4)*(CsDJ[Sort Code]=(TRIM(E$5)))*(CsDJ[Account Code]=(TRIM($B34))),CsDJ[Debit])))+(SUM(IF((CRDJ[Date]=$A$4)*(CRDJ[Sort Code]=(TRIM(E$5)))*(CRDJ[Account Code]=(TRIM($B34))),CRDJ[Debit])))+(SUM(IF((GJ[Date]=$A$4)*(GJ[Sort Code]=(TRIM(E$5)))*(GJ[Account Code]=(TRIM($B34))),GJ[Debit]))))</f>
        <v>0</v>
      </c>
      <c r="E34" s="467">
        <f>C34+D34</f>
        <v>0</v>
      </c>
    </row>
    <row r="35" spans="1:5" x14ac:dyDescent="0.2">
      <c r="A35" s="473" t="s">
        <v>1166</v>
      </c>
      <c r="B35" s="339"/>
      <c r="C35" s="477">
        <f>SUM(C36:C44)</f>
        <v>0</v>
      </c>
      <c r="D35" s="477">
        <f>SUM(D36:D44)</f>
        <v>0</v>
      </c>
      <c r="E35" s="477">
        <f>SUM(E36:E44)</f>
        <v>0</v>
      </c>
    </row>
    <row r="36" spans="1:5" x14ac:dyDescent="0.2">
      <c r="A36" s="475" t="s">
        <v>186</v>
      </c>
      <c r="B36" s="339" t="s">
        <v>150</v>
      </c>
      <c r="C36" s="466">
        <f t="array" ref="C36">((SUM(IF((CkDJ[Sort Code]=(TRIM(E$5)))*(CkDJ[Account Code]=(TRIM($B36)))*(CkDJ[Date]&lt;=$C$8),CkDJ[Credit])))+(SUM(IF((CsDJ[Sort Code]=(TRIM(E$5)))*(CsDJ[Account Code]=(TRIM($B36)))*(CsDJ[Date]&lt;=$C$8),CsDJ[Credit])))+(SUM(IF((CRDJ[Sort Code]=(TRIM(E$5)))*(CRDJ[Account Code]=(TRIM($B36)))*(CRDJ[Date]&lt;=$C$8),CRDJ[Credit])))+(SUM(IF((GJ[Sort Code]=(TRIM(E$5)))*(GJ[Account Code]=(TRIM($B36)))*(GJ[Date]&lt;=$C$8),GJ[Credit]))))-((SUM(IF((CkDJ[Sort Code]=(TRIM(E$5)))*(CkDJ[Account Code]=(TRIM($B36)))*(CkDJ[Date]&lt;=$C$8),CkDJ[Debit])))+(SUM(IF((CsDJ[Sort Code]=(TRIM(E$5)))*(CsDJ[Account Code]=(TRIM($B36)))*(CsDJ[Date]&lt;=$C$8),CsDJ[Debit])))+(SUM(IF((CRDJ[Sort Code]=(TRIM(E$5)))*(CRDJ[Account Code]=(TRIM($B36)))*(CRDJ[Date]&lt;=$C$8),CRDJ[Debit])))+(SUM(IF((GJ[Sort Code]=(TRIM(E$5)))*(GJ[Account Code]=(TRIM($B36)))*(GJ[Date]&lt;=$C$8),GJ[Debit]))))</f>
        <v>0</v>
      </c>
      <c r="D36" s="466">
        <f t="array" ref="D36">((SUM(IF((CkDJ[Date]=$A$4)*(CkDJ[Sort Code]=(TRIM(E$5)))*(CkDJ[Account Code]=(TRIM($B36))),CkDJ[Credit])))+(SUM(IF((CsDJ[Date]=$A$4)*(CsDJ[Sort Code]=(TRIM(E$5)))*(CsDJ[Account Code]=(TRIM($B36))),CsDJ[Credit])))+(SUM(IF((CRDJ[Date]=$A$4)*(CRDJ[Sort Code]=(TRIM(E$5)))*(CRDJ[Account Code]=(TRIM($B36))),CRDJ[Credit])))+(SUM(IF((GJ[Date]=$A$4)*(GJ[Sort Code]=(TRIM(E$5)))*(GJ[Account Code]=(TRIM($B36))),GJ[Credit]))))-((SUM(IF((CkDJ[Date]=$A$4)*(CkDJ[Sort Code]=(TRIM(E$5)))*(CkDJ[Account Code]=(TRIM($B36))),CkDJ[Debit])))+(SUM(IF((CsDJ[Date]=$A$4)*(CsDJ[Sort Code]=(TRIM(E$5)))*(CsDJ[Account Code]=(TRIM($B36))),CsDJ[Debit])))+(SUM(IF((CRDJ[Date]=$A$4)*(CRDJ[Sort Code]=(TRIM(E$5)))*(CRDJ[Account Code]=(TRIM($B36))),CRDJ[Debit])))+(SUM(IF((GJ[Date]=$A$4)*(GJ[Sort Code]=(TRIM(E$5)))*(GJ[Account Code]=(TRIM($B36))),GJ[Debit]))))</f>
        <v>0</v>
      </c>
      <c r="E36" s="467">
        <f t="shared" ref="E36:E44" si="0">C36+D36</f>
        <v>0</v>
      </c>
    </row>
    <row r="37" spans="1:5" x14ac:dyDescent="0.2">
      <c r="A37" s="475" t="s">
        <v>187</v>
      </c>
      <c r="B37" s="339" t="s">
        <v>153</v>
      </c>
      <c r="C37" s="466">
        <f t="array" ref="C37">((SUM(IF((CkDJ[Sort Code]=(TRIM(E$5)))*(CkDJ[Account Code]=(TRIM($B37)))*(CkDJ[Date]&lt;=$C$8),CkDJ[Credit])))+(SUM(IF((CsDJ[Sort Code]=(TRIM(E$5)))*(CsDJ[Account Code]=(TRIM($B37)))*(CsDJ[Date]&lt;=$C$8),CsDJ[Credit])))+(SUM(IF((CRDJ[Sort Code]=(TRIM(E$5)))*(CRDJ[Account Code]=(TRIM($B37)))*(CRDJ[Date]&lt;=$C$8),CRDJ[Credit])))+(SUM(IF((GJ[Sort Code]=(TRIM(E$5)))*(GJ[Account Code]=(TRIM($B37)))*(GJ[Date]&lt;=$C$8),GJ[Credit]))))-((SUM(IF((CkDJ[Sort Code]=(TRIM(E$5)))*(CkDJ[Account Code]=(TRIM($B37)))*(CkDJ[Date]&lt;=$C$8),CkDJ[Debit])))+(SUM(IF((CsDJ[Sort Code]=(TRIM(E$5)))*(CsDJ[Account Code]=(TRIM($B37)))*(CsDJ[Date]&lt;=$C$8),CsDJ[Debit])))+(SUM(IF((CRDJ[Sort Code]=(TRIM(E$5)))*(CRDJ[Account Code]=(TRIM($B37)))*(CRDJ[Date]&lt;=$C$8),CRDJ[Debit])))+(SUM(IF((GJ[Sort Code]=(TRIM(E$5)))*(GJ[Account Code]=(TRIM($B37)))*(GJ[Date]&lt;=$C$8),GJ[Debit]))))</f>
        <v>0</v>
      </c>
      <c r="D37" s="466">
        <f t="array" ref="D37">((SUM(IF((CkDJ[Date]=$A$4)*(CkDJ[Sort Code]=(TRIM(E$5)))*(CkDJ[Account Code]=(TRIM($B37))),CkDJ[Credit])))+(SUM(IF((CsDJ[Date]=$A$4)*(CsDJ[Sort Code]=(TRIM(E$5)))*(CsDJ[Account Code]=(TRIM($B37))),CsDJ[Credit])))+(SUM(IF((CRDJ[Date]=$A$4)*(CRDJ[Sort Code]=(TRIM(E$5)))*(CRDJ[Account Code]=(TRIM($B37))),CRDJ[Credit])))+(SUM(IF((GJ[Date]=$A$4)*(GJ[Sort Code]=(TRIM(E$5)))*(GJ[Account Code]=(TRIM($B37))),GJ[Credit]))))-((SUM(IF((CkDJ[Date]=$A$4)*(CkDJ[Sort Code]=(TRIM(E$5)))*(CkDJ[Account Code]=(TRIM($B37))),CkDJ[Debit])))+(SUM(IF((CsDJ[Date]=$A$4)*(CsDJ[Sort Code]=(TRIM(E$5)))*(CsDJ[Account Code]=(TRIM($B37))),CsDJ[Debit])))+(SUM(IF((CRDJ[Date]=$A$4)*(CRDJ[Sort Code]=(TRIM(E$5)))*(CRDJ[Account Code]=(TRIM($B37))),CRDJ[Debit])))+(SUM(IF((GJ[Date]=$A$4)*(GJ[Sort Code]=(TRIM(E$5)))*(GJ[Account Code]=(TRIM($B37))),GJ[Debit]))))</f>
        <v>0</v>
      </c>
      <c r="E37" s="467">
        <f t="shared" si="0"/>
        <v>0</v>
      </c>
    </row>
    <row r="38" spans="1:5" x14ac:dyDescent="0.2">
      <c r="A38" s="475" t="s">
        <v>188</v>
      </c>
      <c r="B38" s="339" t="s">
        <v>154</v>
      </c>
      <c r="C38" s="466">
        <f t="array" ref="C38">((SUM(IF((CkDJ[Sort Code]=(TRIM(E$5)))*(CkDJ[Account Code]=(TRIM($B38)))*(CkDJ[Date]&lt;=$C$8),CkDJ[Credit])))+(SUM(IF((CsDJ[Sort Code]=(TRIM(E$5)))*(CsDJ[Account Code]=(TRIM($B38)))*(CsDJ[Date]&lt;=$C$8),CsDJ[Credit])))+(SUM(IF((CRDJ[Sort Code]=(TRIM(E$5)))*(CRDJ[Account Code]=(TRIM($B38)))*(CRDJ[Date]&lt;=$C$8),CRDJ[Credit])))+(SUM(IF((GJ[Sort Code]=(TRIM(E$5)))*(GJ[Account Code]=(TRIM($B38)))*(GJ[Date]&lt;=$C$8),GJ[Credit]))))-((SUM(IF((CkDJ[Sort Code]=(TRIM(E$5)))*(CkDJ[Account Code]=(TRIM($B38)))*(CkDJ[Date]&lt;=$C$8),CkDJ[Debit])))+(SUM(IF((CsDJ[Sort Code]=(TRIM(E$5)))*(CsDJ[Account Code]=(TRIM($B38)))*(CsDJ[Date]&lt;=$C$8),CsDJ[Debit])))+(SUM(IF((CRDJ[Sort Code]=(TRIM(E$5)))*(CRDJ[Account Code]=(TRIM($B38)))*(CRDJ[Date]&lt;=$C$8),CRDJ[Debit])))+(SUM(IF((GJ[Sort Code]=(TRIM(E$5)))*(GJ[Account Code]=(TRIM($B38)))*(GJ[Date]&lt;=$C$8),GJ[Debit]))))</f>
        <v>0</v>
      </c>
      <c r="D38" s="466">
        <f t="array" ref="D38">((SUM(IF((CkDJ[Date]=$A$4)*(CkDJ[Sort Code]=(TRIM(E$5)))*(CkDJ[Account Code]=(TRIM($B38))),CkDJ[Credit])))+(SUM(IF((CsDJ[Date]=$A$4)*(CsDJ[Sort Code]=(TRIM(E$5)))*(CsDJ[Account Code]=(TRIM($B38))),CsDJ[Credit])))+(SUM(IF((CRDJ[Date]=$A$4)*(CRDJ[Sort Code]=(TRIM(E$5)))*(CRDJ[Account Code]=(TRIM($B38))),CRDJ[Credit])))+(SUM(IF((GJ[Date]=$A$4)*(GJ[Sort Code]=(TRIM(E$5)))*(GJ[Account Code]=(TRIM($B38))),GJ[Credit]))))-((SUM(IF((CkDJ[Date]=$A$4)*(CkDJ[Sort Code]=(TRIM(E$5)))*(CkDJ[Account Code]=(TRIM($B38))),CkDJ[Debit])))+(SUM(IF((CsDJ[Date]=$A$4)*(CsDJ[Sort Code]=(TRIM(E$5)))*(CsDJ[Account Code]=(TRIM($B38))),CsDJ[Debit])))+(SUM(IF((CRDJ[Date]=$A$4)*(CRDJ[Sort Code]=(TRIM(E$5)))*(CRDJ[Account Code]=(TRIM($B38))),CRDJ[Debit])))+(SUM(IF((GJ[Date]=$A$4)*(GJ[Sort Code]=(TRIM(E$5)))*(GJ[Account Code]=(TRIM($B38))),GJ[Debit]))))</f>
        <v>0</v>
      </c>
      <c r="E38" s="467">
        <f t="shared" si="0"/>
        <v>0</v>
      </c>
    </row>
    <row r="39" spans="1:5" x14ac:dyDescent="0.2">
      <c r="A39" s="475" t="s">
        <v>189</v>
      </c>
      <c r="B39" s="339" t="s">
        <v>155</v>
      </c>
      <c r="C39" s="466">
        <f t="array" ref="C39">((SUM(IF((CkDJ[Sort Code]=(TRIM(E$5)))*(CkDJ[Account Code]=(TRIM($B39)))*(CkDJ[Date]&lt;=$C$8),CkDJ[Credit])))+(SUM(IF((CsDJ[Sort Code]=(TRIM(E$5)))*(CsDJ[Account Code]=(TRIM($B39)))*(CsDJ[Date]&lt;=$C$8),CsDJ[Credit])))+(SUM(IF((CRDJ[Sort Code]=(TRIM(E$5)))*(CRDJ[Account Code]=(TRIM($B39)))*(CRDJ[Date]&lt;=$C$8),CRDJ[Credit])))+(SUM(IF((GJ[Sort Code]=(TRIM(E$5)))*(GJ[Account Code]=(TRIM($B39)))*(GJ[Date]&lt;=$C$8),GJ[Credit]))))-((SUM(IF((CkDJ[Sort Code]=(TRIM(E$5)))*(CkDJ[Account Code]=(TRIM($B39)))*(CkDJ[Date]&lt;=$C$8),CkDJ[Debit])))+(SUM(IF((CsDJ[Sort Code]=(TRIM(E$5)))*(CsDJ[Account Code]=(TRIM($B39)))*(CsDJ[Date]&lt;=$C$8),CsDJ[Debit])))+(SUM(IF((CRDJ[Sort Code]=(TRIM(E$5)))*(CRDJ[Account Code]=(TRIM($B39)))*(CRDJ[Date]&lt;=$C$8),CRDJ[Debit])))+(SUM(IF((GJ[Sort Code]=(TRIM(E$5)))*(GJ[Account Code]=(TRIM($B39)))*(GJ[Date]&lt;=$C$8),GJ[Debit]))))</f>
        <v>0</v>
      </c>
      <c r="D39" s="466">
        <f t="array" ref="D39">((SUM(IF((CkDJ[Date]=$A$4)*(CkDJ[Sort Code]=(TRIM(E$5)))*(CkDJ[Account Code]=(TRIM($B39))),CkDJ[Credit])))+(SUM(IF((CsDJ[Date]=$A$4)*(CsDJ[Sort Code]=(TRIM(E$5)))*(CsDJ[Account Code]=(TRIM($B39))),CsDJ[Credit])))+(SUM(IF((CRDJ[Date]=$A$4)*(CRDJ[Sort Code]=(TRIM(E$5)))*(CRDJ[Account Code]=(TRIM($B39))),CRDJ[Credit])))+(SUM(IF((GJ[Date]=$A$4)*(GJ[Sort Code]=(TRIM(E$5)))*(GJ[Account Code]=(TRIM($B39))),GJ[Credit]))))-((SUM(IF((CkDJ[Date]=$A$4)*(CkDJ[Sort Code]=(TRIM(E$5)))*(CkDJ[Account Code]=(TRIM($B39))),CkDJ[Debit])))+(SUM(IF((CsDJ[Date]=$A$4)*(CsDJ[Sort Code]=(TRIM(E$5)))*(CsDJ[Account Code]=(TRIM($B39))),CsDJ[Debit])))+(SUM(IF((CRDJ[Date]=$A$4)*(CRDJ[Sort Code]=(TRIM(E$5)))*(CRDJ[Account Code]=(TRIM($B39))),CRDJ[Debit])))+(SUM(IF((GJ[Date]=$A$4)*(GJ[Sort Code]=(TRIM(E$5)))*(GJ[Account Code]=(TRIM($B39))),GJ[Debit]))))</f>
        <v>0</v>
      </c>
      <c r="E39" s="467">
        <f t="shared" si="0"/>
        <v>0</v>
      </c>
    </row>
    <row r="40" spans="1:5" x14ac:dyDescent="0.2">
      <c r="A40" s="475" t="s">
        <v>1271</v>
      </c>
      <c r="B40" s="339" t="s">
        <v>156</v>
      </c>
      <c r="C40" s="466">
        <f t="array" ref="C40">((SUM(IF((CkDJ[Sort Code]=(TRIM(E$5)))*(CkDJ[Account Code]=(TRIM($B40)))*(CkDJ[Date]&lt;=$C$8),CkDJ[Credit])))+(SUM(IF((CsDJ[Sort Code]=(TRIM(E$5)))*(CsDJ[Account Code]=(TRIM($B40)))*(CsDJ[Date]&lt;=$C$8),CsDJ[Credit])))+(SUM(IF((CRDJ[Sort Code]=(TRIM(E$5)))*(CRDJ[Account Code]=(TRIM($B40)))*(CRDJ[Date]&lt;=$C$8),CRDJ[Credit])))+(SUM(IF((GJ[Sort Code]=(TRIM(E$5)))*(GJ[Account Code]=(TRIM($B40)))*(GJ[Date]&lt;=$C$8),GJ[Credit]))))-((SUM(IF((CkDJ[Sort Code]=(TRIM(E$5)))*(CkDJ[Account Code]=(TRIM($B40)))*(CkDJ[Date]&lt;=$C$8),CkDJ[Debit])))+(SUM(IF((CsDJ[Sort Code]=(TRIM(E$5)))*(CsDJ[Account Code]=(TRIM($B40)))*(CsDJ[Date]&lt;=$C$8),CsDJ[Debit])))+(SUM(IF((CRDJ[Sort Code]=(TRIM(E$5)))*(CRDJ[Account Code]=(TRIM($B40)))*(CRDJ[Date]&lt;=$C$8),CRDJ[Debit])))+(SUM(IF((GJ[Sort Code]=(TRIM(E$5)))*(GJ[Account Code]=(TRIM($B40)))*(GJ[Date]&lt;=$C$8),GJ[Debit]))))</f>
        <v>0</v>
      </c>
      <c r="D40" s="466">
        <f t="array" ref="D40">((SUM(IF((CkDJ[Date]=$A$4)*(CkDJ[Sort Code]=(TRIM(E$5)))*(CkDJ[Account Code]=(TRIM($B40))),CkDJ[Credit])))+(SUM(IF((CsDJ[Date]=$A$4)*(CsDJ[Sort Code]=(TRIM(E$5)))*(CsDJ[Account Code]=(TRIM($B40))),CsDJ[Credit])))+(SUM(IF((CRDJ[Date]=$A$4)*(CRDJ[Sort Code]=(TRIM(E$5)))*(CRDJ[Account Code]=(TRIM($B40))),CRDJ[Credit])))+(SUM(IF((GJ[Date]=$A$4)*(GJ[Sort Code]=(TRIM(E$5)))*(GJ[Account Code]=(TRIM($B40))),GJ[Credit]))))-((SUM(IF((CkDJ[Date]=$A$4)*(CkDJ[Sort Code]=(TRIM(E$5)))*(CkDJ[Account Code]=(TRIM($B40))),CkDJ[Debit])))+(SUM(IF((CsDJ[Date]=$A$4)*(CsDJ[Sort Code]=(TRIM(E$5)))*(CsDJ[Account Code]=(TRIM($B40))),CsDJ[Debit])))+(SUM(IF((CRDJ[Date]=$A$4)*(CRDJ[Sort Code]=(TRIM(E$5)))*(CRDJ[Account Code]=(TRIM($B40))),CRDJ[Debit])))+(SUM(IF((GJ[Date]=$A$4)*(GJ[Sort Code]=(TRIM(E$5)))*(GJ[Account Code]=(TRIM($B40))),GJ[Debit]))))</f>
        <v>0</v>
      </c>
      <c r="E40" s="467">
        <f>C40+D40</f>
        <v>0</v>
      </c>
    </row>
    <row r="41" spans="1:5" x14ac:dyDescent="0.2">
      <c r="A41" s="475" t="s">
        <v>190</v>
      </c>
      <c r="B41" s="339" t="s">
        <v>157</v>
      </c>
      <c r="C41" s="466">
        <f t="array" ref="C41">((SUM(IF((CkDJ[Sort Code]=(TRIM(E$5)))*(CkDJ[Account Code]=(TRIM($B41)))*(CkDJ[Date]&lt;=$C$8),CkDJ[Credit])))+(SUM(IF((CsDJ[Sort Code]=(TRIM(E$5)))*(CsDJ[Account Code]=(TRIM($B41)))*(CsDJ[Date]&lt;=$C$8),CsDJ[Credit])))+(SUM(IF((CRDJ[Sort Code]=(TRIM(E$5)))*(CRDJ[Account Code]=(TRIM($B41)))*(CRDJ[Date]&lt;=$C$8),CRDJ[Credit])))+(SUM(IF((GJ[Sort Code]=(TRIM(E$5)))*(GJ[Account Code]=(TRIM($B41)))*(GJ[Date]&lt;=$C$8),GJ[Credit]))))-((SUM(IF((CkDJ[Sort Code]=(TRIM(E$5)))*(CkDJ[Account Code]=(TRIM($B41)))*(CkDJ[Date]&lt;=$C$8),CkDJ[Debit])))+(SUM(IF((CsDJ[Sort Code]=(TRIM(E$5)))*(CsDJ[Account Code]=(TRIM($B41)))*(CsDJ[Date]&lt;=$C$8),CsDJ[Debit])))+(SUM(IF((CRDJ[Sort Code]=(TRIM(E$5)))*(CRDJ[Account Code]=(TRIM($B41)))*(CRDJ[Date]&lt;=$C$8),CRDJ[Debit])))+(SUM(IF((GJ[Sort Code]=(TRIM(E$5)))*(GJ[Account Code]=(TRIM($B41)))*(GJ[Date]&lt;=$C$8),GJ[Debit]))))</f>
        <v>0</v>
      </c>
      <c r="D41" s="466">
        <f t="array" ref="D41">((SUM(IF((CkDJ[Date]=$A$4)*(CkDJ[Sort Code]=(TRIM(E$5)))*(CkDJ[Account Code]=(TRIM($B41))),CkDJ[Credit])))+(SUM(IF((CsDJ[Date]=$A$4)*(CsDJ[Sort Code]=(TRIM(E$5)))*(CsDJ[Account Code]=(TRIM($B41))),CsDJ[Credit])))+(SUM(IF((CRDJ[Date]=$A$4)*(CRDJ[Sort Code]=(TRIM(E$5)))*(CRDJ[Account Code]=(TRIM($B41))),CRDJ[Credit])))+(SUM(IF((GJ[Date]=$A$4)*(GJ[Sort Code]=(TRIM(E$5)))*(GJ[Account Code]=(TRIM($B41))),GJ[Credit]))))-((SUM(IF((CkDJ[Date]=$A$4)*(CkDJ[Sort Code]=(TRIM(E$5)))*(CkDJ[Account Code]=(TRIM($B41))),CkDJ[Debit])))+(SUM(IF((CsDJ[Date]=$A$4)*(CsDJ[Sort Code]=(TRIM(E$5)))*(CsDJ[Account Code]=(TRIM($B41))),CsDJ[Debit])))+(SUM(IF((CRDJ[Date]=$A$4)*(CRDJ[Sort Code]=(TRIM(E$5)))*(CRDJ[Account Code]=(TRIM($B41))),CRDJ[Debit])))+(SUM(IF((GJ[Date]=$A$4)*(GJ[Sort Code]=(TRIM(E$5)))*(GJ[Account Code]=(TRIM($B41))),GJ[Debit]))))</f>
        <v>0</v>
      </c>
      <c r="E41" s="467">
        <f t="shared" si="0"/>
        <v>0</v>
      </c>
    </row>
    <row r="42" spans="1:5" x14ac:dyDescent="0.2">
      <c r="A42" s="475" t="s">
        <v>192</v>
      </c>
      <c r="B42" s="339" t="s">
        <v>159</v>
      </c>
      <c r="C42" s="466">
        <f t="array" ref="C42">((SUM(IF((CkDJ[Sort Code]=(TRIM(E$5)))*(CkDJ[Account Code]=(TRIM($B42)))*(CkDJ[Date]&lt;=$C$8),CkDJ[Credit])))+(SUM(IF((CsDJ[Sort Code]=(TRIM(E$5)))*(CsDJ[Account Code]=(TRIM($B42)))*(CsDJ[Date]&lt;=$C$8),CsDJ[Credit])))+(SUM(IF((CRDJ[Sort Code]=(TRIM(E$5)))*(CRDJ[Account Code]=(TRIM($B42)))*(CRDJ[Date]&lt;=$C$8),CRDJ[Credit])))+(SUM(IF((GJ[Sort Code]=(TRIM(E$5)))*(GJ[Account Code]=(TRIM($B42)))*(GJ[Date]&lt;=$C$8),GJ[Credit]))))-((SUM(IF((CkDJ[Sort Code]=(TRIM(E$5)))*(CkDJ[Account Code]=(TRIM($B42)))*(CkDJ[Date]&lt;=$C$8),CkDJ[Debit])))+(SUM(IF((CsDJ[Sort Code]=(TRIM(E$5)))*(CsDJ[Account Code]=(TRIM($B42)))*(CsDJ[Date]&lt;=$C$8),CsDJ[Debit])))+(SUM(IF((CRDJ[Sort Code]=(TRIM(E$5)))*(CRDJ[Account Code]=(TRIM($B42)))*(CRDJ[Date]&lt;=$C$8),CRDJ[Debit])))+(SUM(IF((GJ[Sort Code]=(TRIM(E$5)))*(GJ[Account Code]=(TRIM($B42)))*(GJ[Date]&lt;=$C$8),GJ[Debit]))))</f>
        <v>0</v>
      </c>
      <c r="D42" s="466">
        <f t="array" ref="D42">((SUM(IF((CkDJ[Date]=$A$4)*(CkDJ[Sort Code]=(TRIM(E$5)))*(CkDJ[Account Code]=(TRIM($B42))),CkDJ[Credit])))+(SUM(IF((CsDJ[Date]=$A$4)*(CsDJ[Sort Code]=(TRIM(E$5)))*(CsDJ[Account Code]=(TRIM($B42))),CsDJ[Credit])))+(SUM(IF((CRDJ[Date]=$A$4)*(CRDJ[Sort Code]=(TRIM(E$5)))*(CRDJ[Account Code]=(TRIM($B42))),CRDJ[Credit])))+(SUM(IF((GJ[Date]=$A$4)*(GJ[Sort Code]=(TRIM(E$5)))*(GJ[Account Code]=(TRIM($B42))),GJ[Credit]))))-((SUM(IF((CkDJ[Date]=$A$4)*(CkDJ[Sort Code]=(TRIM(E$5)))*(CkDJ[Account Code]=(TRIM($B42))),CkDJ[Debit])))+(SUM(IF((CsDJ[Date]=$A$4)*(CsDJ[Sort Code]=(TRIM(E$5)))*(CsDJ[Account Code]=(TRIM($B42))),CsDJ[Debit])))+(SUM(IF((CRDJ[Date]=$A$4)*(CRDJ[Sort Code]=(TRIM(E$5)))*(CRDJ[Account Code]=(TRIM($B42))),CRDJ[Debit])))+(SUM(IF((GJ[Date]=$A$4)*(GJ[Sort Code]=(TRIM(E$5)))*(GJ[Account Code]=(TRIM($B42))),GJ[Debit]))))</f>
        <v>0</v>
      </c>
      <c r="E42" s="467">
        <f t="shared" si="0"/>
        <v>0</v>
      </c>
    </row>
    <row r="43" spans="1:5" x14ac:dyDescent="0.2">
      <c r="A43" s="475" t="s">
        <v>193</v>
      </c>
      <c r="B43" s="339" t="s">
        <v>160</v>
      </c>
      <c r="C43" s="466">
        <f t="array" ref="C43">((SUM(IF((CkDJ[Sort Code]=(TRIM(E$5)))*(CkDJ[Account Code]=(TRIM($B43)))*(CkDJ[Date]&lt;=$C$8),CkDJ[Credit])))+(SUM(IF((CsDJ[Sort Code]=(TRIM(E$5)))*(CsDJ[Account Code]=(TRIM($B43)))*(CsDJ[Date]&lt;=$C$8),CsDJ[Credit])))+(SUM(IF((CRDJ[Sort Code]=(TRIM(E$5)))*(CRDJ[Account Code]=(TRIM($B43)))*(CRDJ[Date]&lt;=$C$8),CRDJ[Credit])))+(SUM(IF((GJ[Sort Code]=(TRIM(E$5)))*(GJ[Account Code]=(TRIM($B43)))*(GJ[Date]&lt;=$C$8),GJ[Credit]))))-((SUM(IF((CkDJ[Sort Code]=(TRIM(E$5)))*(CkDJ[Account Code]=(TRIM($B43)))*(CkDJ[Date]&lt;=$C$8),CkDJ[Debit])))+(SUM(IF((CsDJ[Sort Code]=(TRIM(E$5)))*(CsDJ[Account Code]=(TRIM($B43)))*(CsDJ[Date]&lt;=$C$8),CsDJ[Debit])))+(SUM(IF((CRDJ[Sort Code]=(TRIM(E$5)))*(CRDJ[Account Code]=(TRIM($B43)))*(CRDJ[Date]&lt;=$C$8),CRDJ[Debit])))+(SUM(IF((GJ[Sort Code]=(TRIM(E$5)))*(GJ[Account Code]=(TRIM($B43)))*(GJ[Date]&lt;=$C$8),GJ[Debit]))))</f>
        <v>0</v>
      </c>
      <c r="D43" s="466">
        <f t="array" ref="D43">((SUM(IF((CkDJ[Date]=$A$4)*(CkDJ[Sort Code]=(TRIM(E$5)))*(CkDJ[Account Code]=(TRIM($B43))),CkDJ[Credit])))+(SUM(IF((CsDJ[Date]=$A$4)*(CsDJ[Sort Code]=(TRIM(E$5)))*(CsDJ[Account Code]=(TRIM($B43))),CsDJ[Credit])))+(SUM(IF((CRDJ[Date]=$A$4)*(CRDJ[Sort Code]=(TRIM(E$5)))*(CRDJ[Account Code]=(TRIM($B43))),CRDJ[Credit])))+(SUM(IF((GJ[Date]=$A$4)*(GJ[Sort Code]=(TRIM(E$5)))*(GJ[Account Code]=(TRIM($B43))),GJ[Credit]))))-((SUM(IF((CkDJ[Date]=$A$4)*(CkDJ[Sort Code]=(TRIM(E$5)))*(CkDJ[Account Code]=(TRIM($B43))),CkDJ[Debit])))+(SUM(IF((CsDJ[Date]=$A$4)*(CsDJ[Sort Code]=(TRIM(E$5)))*(CsDJ[Account Code]=(TRIM($B43))),CsDJ[Debit])))+(SUM(IF((CRDJ[Date]=$A$4)*(CRDJ[Sort Code]=(TRIM(E$5)))*(CRDJ[Account Code]=(TRIM($B43))),CRDJ[Debit])))+(SUM(IF((GJ[Date]=$A$4)*(GJ[Sort Code]=(TRIM(E$5)))*(GJ[Account Code]=(TRIM($B43))),GJ[Debit]))))</f>
        <v>0</v>
      </c>
      <c r="E43" s="467">
        <f t="shared" si="0"/>
        <v>0</v>
      </c>
    </row>
    <row r="44" spans="1:5" x14ac:dyDescent="0.2">
      <c r="A44" s="475" t="s">
        <v>191</v>
      </c>
      <c r="B44" s="339" t="s">
        <v>161</v>
      </c>
      <c r="C44" s="466">
        <f t="array" ref="C44">((SUM(IF((CkDJ[Sort Code]=(TRIM(E$5)))*(CkDJ[Account Code]=(TRIM($B44)))*(CkDJ[Date]&lt;=$C$8),CkDJ[Credit])))+(SUM(IF((CsDJ[Sort Code]=(TRIM(E$5)))*(CsDJ[Account Code]=(TRIM($B44)))*(CsDJ[Date]&lt;=$C$8),CsDJ[Credit])))+(SUM(IF((CRDJ[Sort Code]=(TRIM(E$5)))*(CRDJ[Account Code]=(TRIM($B44)))*(CRDJ[Date]&lt;=$C$8),CRDJ[Credit])))+(SUM(IF((GJ[Sort Code]=(TRIM(E$5)))*(GJ[Account Code]=(TRIM($B44)))*(GJ[Date]&lt;=$C$8),GJ[Credit]))))-((SUM(IF((CkDJ[Sort Code]=(TRIM(E$5)))*(CkDJ[Account Code]=(TRIM($B44)))*(CkDJ[Date]&lt;=$C$8),CkDJ[Debit])))+(SUM(IF((CsDJ[Sort Code]=(TRIM(E$5)))*(CsDJ[Account Code]=(TRIM($B44)))*(CsDJ[Date]&lt;=$C$8),CsDJ[Debit])))+(SUM(IF((CRDJ[Sort Code]=(TRIM(E$5)))*(CRDJ[Account Code]=(TRIM($B44)))*(CRDJ[Date]&lt;=$C$8),CRDJ[Debit])))+(SUM(IF((GJ[Sort Code]=(TRIM(E$5)))*(GJ[Account Code]=(TRIM($B44)))*(GJ[Date]&lt;=$C$8),GJ[Debit]))))</f>
        <v>0</v>
      </c>
      <c r="D44" s="466">
        <f t="array" ref="D44">((SUM(IF((CkDJ[Date]=$A$4)*(CkDJ[Sort Code]=(TRIM(E$5)))*(CkDJ[Account Code]=(TRIM($B44))),CkDJ[Credit])))+(SUM(IF((CsDJ[Date]=$A$4)*(CsDJ[Sort Code]=(TRIM(E$5)))*(CsDJ[Account Code]=(TRIM($B44))),CsDJ[Credit])))+(SUM(IF((CRDJ[Date]=$A$4)*(CRDJ[Sort Code]=(TRIM(E$5)))*(CRDJ[Account Code]=(TRIM($B44))),CRDJ[Credit])))+(SUM(IF((GJ[Date]=$A$4)*(GJ[Sort Code]=(TRIM(E$5)))*(GJ[Account Code]=(TRIM($B44))),GJ[Credit]))))-((SUM(IF((CkDJ[Date]=$A$4)*(CkDJ[Sort Code]=(TRIM(E$5)))*(CkDJ[Account Code]=(TRIM($B44))),CkDJ[Debit])))+(SUM(IF((CsDJ[Date]=$A$4)*(CsDJ[Sort Code]=(TRIM(E$5)))*(CsDJ[Account Code]=(TRIM($B44))),CsDJ[Debit])))+(SUM(IF((CRDJ[Date]=$A$4)*(CRDJ[Sort Code]=(TRIM(E$5)))*(CRDJ[Account Code]=(TRIM($B44))),CRDJ[Debit])))+(SUM(IF((GJ[Date]=$A$4)*(GJ[Sort Code]=(TRIM(E$5)))*(GJ[Account Code]=(TRIM($B44))),GJ[Debit]))))</f>
        <v>0</v>
      </c>
      <c r="E44" s="467">
        <f t="shared" si="0"/>
        <v>0</v>
      </c>
    </row>
    <row r="45" spans="1:5" x14ac:dyDescent="0.2">
      <c r="A45" s="468" t="s">
        <v>1171</v>
      </c>
      <c r="B45" s="469"/>
      <c r="C45" s="470">
        <f>C10+C16+C20+C25+C26+C31+C35</f>
        <v>0</v>
      </c>
      <c r="D45" s="470">
        <f>D10+D16+D20+D25+D26+D31+D35</f>
        <v>0</v>
      </c>
      <c r="E45" s="470">
        <f>E10+E16+E20+E25+E26+E31+E35</f>
        <v>0</v>
      </c>
    </row>
    <row r="46" spans="1:5" x14ac:dyDescent="0.2">
      <c r="A46" s="471" t="s">
        <v>812</v>
      </c>
      <c r="B46" s="339"/>
      <c r="C46" s="472"/>
      <c r="D46" s="472"/>
      <c r="E46" s="479"/>
    </row>
    <row r="47" spans="1:5" x14ac:dyDescent="0.2">
      <c r="A47" s="471" t="s">
        <v>811</v>
      </c>
      <c r="B47" s="339"/>
      <c r="C47" s="474">
        <f>SUM(C48:C72)</f>
        <v>0</v>
      </c>
      <c r="D47" s="474">
        <f>SUM(D48:D72)</f>
        <v>0</v>
      </c>
      <c r="E47" s="474">
        <f>SUM(E48:E72)</f>
        <v>0</v>
      </c>
    </row>
    <row r="48" spans="1:5" x14ac:dyDescent="0.2">
      <c r="A48" s="476" t="s">
        <v>194</v>
      </c>
      <c r="B48" s="339" t="s">
        <v>162</v>
      </c>
      <c r="C48" s="466">
        <f t="array" ref="C48">((SUM(IF((CkDJ[Sort Code]=(TRIM(E$5)))*(CkDJ[Account Code]=(TRIM($B48)))*(CkDJ[Date]&lt;=$C$8),CkDJ[Debit])))+(SUM(IF((CsDJ[Sort Code]=(TRIM(E$5)))*(CsDJ[Account Code]=(TRIM($B48)))*(CsDJ[Date]&lt;=$C$8),CsDJ[Debit])))+(SUM(IF((CRDJ[Sort Code]=(TRIM(E$5)))*(CRDJ[Account Code]=(TRIM($B48)))*(CRDJ[Date]&lt;=$C$8),CRDJ[Debit])))+(SUM(IF((GJ[Sort Code]=(TRIM(E$5)))*(GJ[Account Code]=(TRIM($B48)))*(GJ[Date]&lt;=$C$8),GJ[Debit]))))-((SUM(IF((CkDJ[Sort Code]=(TRIM(E$5)))*(CkDJ[Account Code]=(TRIM($B48)))*(CkDJ[Date]&lt;=$C$8),CkDJ[Credit])))+(SUM(IF((CsDJ[Sort Code]=(TRIM(E$5)))*(CsDJ[Account Code]=(TRIM($B48)))*(CsDJ[Date]&lt;=$C$8),CsDJ[Credit])))+(SUM(IF((CRDJ[Sort Code]=(TRIM(E$5)))*(CRDJ[Account Code]=(TRIM($B48)))*(CRDJ[Date]&lt;=$C$8),CRDJ[Credit])))+(SUM(IF((GJ[Sort Code]=(TRIM(E$5)))*(GJ[Account Code]=(TRIM($B48)))*(GJ[Date]&lt;=$C$8),GJ[Credit]))))</f>
        <v>0</v>
      </c>
      <c r="D48" s="466">
        <f t="array" ref="D48">((SUM(IF((CkDJ[Date]=$A$4)*(CkDJ[Sort Code]=(TRIM(E$5)))*(CkDJ[Account Code]=(TRIM($B48))),CkDJ[Debit])))+(SUM(IF((CsDJ[Date]=$A$4)*(CsDJ[Sort Code]=(TRIM(E$5)))*(CsDJ[Account Code]=(TRIM($B48))),CsDJ[Debit])))+(SUM(IF((CRDJ[Date]=$A$4)*(CRDJ[Sort Code]=(TRIM(E$5)))*(CRDJ[Account Code]=(TRIM($B48))),CRDJ[Debit])))+(SUM(IF((GJ[Date]=$A$4)*(GJ[Sort Code]=(TRIM(E$5)))*(GJ[Account Code]=(TRIM($B48))),GJ[Debit]))))-((SUM(IF((CkDJ[Date]=$A$4)*(CkDJ[Sort Code]=(TRIM(E$5)))*(CkDJ[Account Code]=(TRIM($B48))),CkDJ[Credit])))+(SUM(IF((CsDJ[Date]=$A$4)*(CsDJ[Sort Code]=(TRIM(E$5)))*(CsDJ[Account Code]=(TRIM($B48))),CsDJ[Credit])))+(SUM(IF((CRDJ[Date]=$A$4)*(CRDJ[Sort Code]=(TRIM(E$5)))*(CRDJ[Account Code]=(TRIM($B48))),CRDJ[Credit])))+(SUM(IF((GJ[Date]=$A$4)*(GJ[Sort Code]=(TRIM(E$5)))*(GJ[Account Code]=(TRIM($B48))),GJ[Credit]))))</f>
        <v>0</v>
      </c>
      <c r="E48" s="467">
        <f t="shared" ref="E48:E53" si="1">C48+D48</f>
        <v>0</v>
      </c>
    </row>
    <row r="49" spans="1:5" x14ac:dyDescent="0.2">
      <c r="A49" s="476" t="s">
        <v>195</v>
      </c>
      <c r="B49" s="339" t="s">
        <v>163</v>
      </c>
      <c r="C49" s="466">
        <f t="array" ref="C49">((SUM(IF((CkDJ[Sort Code]=(TRIM(E$5)))*(CkDJ[Account Code]=(TRIM($B49)))*(CkDJ[Date]&lt;=$C$8),CkDJ[Debit])))+(SUM(IF((CsDJ[Sort Code]=(TRIM(E$5)))*(CsDJ[Account Code]=(TRIM($B49)))*(CsDJ[Date]&lt;=$C$8),CsDJ[Debit])))+(SUM(IF((CRDJ[Sort Code]=(TRIM(E$5)))*(CRDJ[Account Code]=(TRIM($B49)))*(CRDJ[Date]&lt;=$C$8),CRDJ[Debit])))+(SUM(IF((GJ[Sort Code]=(TRIM(E$5)))*(GJ[Account Code]=(TRIM($B49)))*(GJ[Date]&lt;=$C$8),GJ[Debit]))))-((SUM(IF((CkDJ[Sort Code]=(TRIM(E$5)))*(CkDJ[Account Code]=(TRIM($B49)))*(CkDJ[Date]&lt;=$C$8),CkDJ[Credit])))+(SUM(IF((CsDJ[Sort Code]=(TRIM(E$5)))*(CsDJ[Account Code]=(TRIM($B49)))*(CsDJ[Date]&lt;=$C$8),CsDJ[Credit])))+(SUM(IF((CRDJ[Sort Code]=(TRIM(E$5)))*(CRDJ[Account Code]=(TRIM($B49)))*(CRDJ[Date]&lt;=$C$8),CRDJ[Credit])))+(SUM(IF((GJ[Sort Code]=(TRIM(E$5)))*(GJ[Account Code]=(TRIM($B49)))*(GJ[Date]&lt;=$C$8),GJ[Credit]))))</f>
        <v>0</v>
      </c>
      <c r="D49" s="466">
        <f t="array" ref="D49">((SUM(IF((CkDJ[Date]=$A$4)*(CkDJ[Sort Code]=(TRIM(E$5)))*(CkDJ[Account Code]=(TRIM($B49))),CkDJ[Debit])))+(SUM(IF((CsDJ[Date]=$A$4)*(CsDJ[Sort Code]=(TRIM(E$5)))*(CsDJ[Account Code]=(TRIM($B49))),CsDJ[Debit])))+(SUM(IF((CRDJ[Date]=$A$4)*(CRDJ[Sort Code]=(TRIM(E$5)))*(CRDJ[Account Code]=(TRIM($B49))),CRDJ[Debit])))+(SUM(IF((GJ[Date]=$A$4)*(GJ[Sort Code]=(TRIM(E$5)))*(GJ[Account Code]=(TRIM($B49))),GJ[Debit]))))-((SUM(IF((CkDJ[Date]=$A$4)*(CkDJ[Sort Code]=(TRIM(E$5)))*(CkDJ[Account Code]=(TRIM($B49))),CkDJ[Credit])))+(SUM(IF((CsDJ[Date]=$A$4)*(CsDJ[Sort Code]=(TRIM(E$5)))*(CsDJ[Account Code]=(TRIM($B49))),CsDJ[Credit])))+(SUM(IF((CRDJ[Date]=$A$4)*(CRDJ[Sort Code]=(TRIM(E$5)))*(CRDJ[Account Code]=(TRIM($B49))),CRDJ[Credit])))+(SUM(IF((GJ[Date]=$A$4)*(GJ[Sort Code]=(TRIM(E$5)))*(GJ[Account Code]=(TRIM($B49))),GJ[Credit]))))</f>
        <v>0</v>
      </c>
      <c r="E49" s="467">
        <f t="shared" si="1"/>
        <v>0</v>
      </c>
    </row>
    <row r="50" spans="1:5" x14ac:dyDescent="0.2">
      <c r="A50" s="476" t="s">
        <v>196</v>
      </c>
      <c r="B50" s="339" t="s">
        <v>1013</v>
      </c>
      <c r="C50" s="466">
        <f t="array" ref="C50">((SUM(IF((CkDJ[Sort Code]=(TRIM(E$5)))*(CkDJ[Account Code]=(TRIM($B50)))*(CkDJ[Date]&lt;=$C$8),CkDJ[Debit])))+(SUM(IF((CsDJ[Sort Code]=(TRIM(E$5)))*(CsDJ[Account Code]=(TRIM($B50)))*(CsDJ[Date]&lt;=$C$8),CsDJ[Debit])))+(SUM(IF((CRDJ[Sort Code]=(TRIM(E$5)))*(CRDJ[Account Code]=(TRIM($B50)))*(CRDJ[Date]&lt;=$C$8),CRDJ[Debit])))+(SUM(IF((GJ[Sort Code]=(TRIM(E$5)))*(GJ[Account Code]=(TRIM($B50)))*(GJ[Date]&lt;=$C$8),GJ[Debit]))))-((SUM(IF((CkDJ[Sort Code]=(TRIM(E$5)))*(CkDJ[Account Code]=(TRIM($B50)))*(CkDJ[Date]&lt;=$C$8),CkDJ[Credit])))+(SUM(IF((CsDJ[Sort Code]=(TRIM(E$5)))*(CsDJ[Account Code]=(TRIM($B50)))*(CsDJ[Date]&lt;=$C$8),CsDJ[Credit])))+(SUM(IF((CRDJ[Sort Code]=(TRIM(E$5)))*(CRDJ[Account Code]=(TRIM($B50)))*(CRDJ[Date]&lt;=$C$8),CRDJ[Credit])))+(SUM(IF((GJ[Sort Code]=(TRIM(E$5)))*(GJ[Account Code]=(TRIM($B50)))*(GJ[Date]&lt;=$C$8),GJ[Credit]))))</f>
        <v>0</v>
      </c>
      <c r="D50" s="466">
        <f t="array" ref="D50">((SUM(IF((CkDJ[Date]=$A$4)*(CkDJ[Sort Code]=(TRIM(E$5)))*(CkDJ[Account Code]=(TRIM($B50))),CkDJ[Debit])))+(SUM(IF((CsDJ[Date]=$A$4)*(CsDJ[Sort Code]=(TRIM(E$5)))*(CsDJ[Account Code]=(TRIM($B50))),CsDJ[Debit])))+(SUM(IF((CRDJ[Date]=$A$4)*(CRDJ[Sort Code]=(TRIM(E$5)))*(CRDJ[Account Code]=(TRIM($B50))),CRDJ[Debit])))+(SUM(IF((GJ[Date]=$A$4)*(GJ[Sort Code]=(TRIM(E$5)))*(GJ[Account Code]=(TRIM($B50))),GJ[Debit]))))-((SUM(IF((CkDJ[Date]=$A$4)*(CkDJ[Sort Code]=(TRIM(E$5)))*(CkDJ[Account Code]=(TRIM($B50))),CkDJ[Credit])))+(SUM(IF((CsDJ[Date]=$A$4)*(CsDJ[Sort Code]=(TRIM(E$5)))*(CsDJ[Account Code]=(TRIM($B50))),CsDJ[Credit])))+(SUM(IF((CRDJ[Date]=$A$4)*(CRDJ[Sort Code]=(TRIM(E$5)))*(CRDJ[Account Code]=(TRIM($B50))),CRDJ[Credit])))+(SUM(IF((GJ[Date]=$A$4)*(GJ[Sort Code]=(TRIM(E$5)))*(GJ[Account Code]=(TRIM($B50))),GJ[Credit]))))</f>
        <v>0</v>
      </c>
      <c r="E50" s="467">
        <f t="shared" si="1"/>
        <v>0</v>
      </c>
    </row>
    <row r="51" spans="1:5" x14ac:dyDescent="0.2">
      <c r="A51" s="476" t="s">
        <v>197</v>
      </c>
      <c r="B51" s="339" t="s">
        <v>164</v>
      </c>
      <c r="C51" s="466">
        <f t="array" ref="C51">((SUM(IF((CkDJ[Sort Code]=(TRIM(E$5)))*(CkDJ[Account Code]=(TRIM($B51)))*(CkDJ[Date]&lt;=$C$8),CkDJ[Debit])))+(SUM(IF((CsDJ[Sort Code]=(TRIM(E$5)))*(CsDJ[Account Code]=(TRIM($B51)))*(CsDJ[Date]&lt;=$C$8),CsDJ[Debit])))+(SUM(IF((CRDJ[Sort Code]=(TRIM(E$5)))*(CRDJ[Account Code]=(TRIM($B51)))*(CRDJ[Date]&lt;=$C$8),CRDJ[Debit])))+(SUM(IF((GJ[Sort Code]=(TRIM(E$5)))*(GJ[Account Code]=(TRIM($B51)))*(GJ[Date]&lt;=$C$8),GJ[Debit]))))-((SUM(IF((CkDJ[Sort Code]=(TRIM(E$5)))*(CkDJ[Account Code]=(TRIM($B51)))*(CkDJ[Date]&lt;=$C$8),CkDJ[Credit])))+(SUM(IF((CsDJ[Sort Code]=(TRIM(E$5)))*(CsDJ[Account Code]=(TRIM($B51)))*(CsDJ[Date]&lt;=$C$8),CsDJ[Credit])))+(SUM(IF((CRDJ[Sort Code]=(TRIM(E$5)))*(CRDJ[Account Code]=(TRIM($B51)))*(CRDJ[Date]&lt;=$C$8),CRDJ[Credit])))+(SUM(IF((GJ[Sort Code]=(TRIM(E$5)))*(GJ[Account Code]=(TRIM($B51)))*(GJ[Date]&lt;=$C$8),GJ[Credit]))))</f>
        <v>0</v>
      </c>
      <c r="D51" s="466">
        <f t="array" ref="D51">((SUM(IF((CkDJ[Date]=$A$4)*(CkDJ[Sort Code]=(TRIM(E$5)))*(CkDJ[Account Code]=(TRIM($B51))),CkDJ[Debit])))+(SUM(IF((CsDJ[Date]=$A$4)*(CsDJ[Sort Code]=(TRIM(E$5)))*(CsDJ[Account Code]=(TRIM($B51))),CsDJ[Debit])))+(SUM(IF((CRDJ[Date]=$A$4)*(CRDJ[Sort Code]=(TRIM(E$5)))*(CRDJ[Account Code]=(TRIM($B51))),CRDJ[Debit])))+(SUM(IF((GJ[Date]=$A$4)*(GJ[Sort Code]=(TRIM(E$5)))*(GJ[Account Code]=(TRIM($B51))),GJ[Debit]))))-((SUM(IF((CkDJ[Date]=$A$4)*(CkDJ[Sort Code]=(TRIM(E$5)))*(CkDJ[Account Code]=(TRIM($B51))),CkDJ[Credit])))+(SUM(IF((CsDJ[Date]=$A$4)*(CsDJ[Sort Code]=(TRIM(E$5)))*(CsDJ[Account Code]=(TRIM($B51))),CsDJ[Credit])))+(SUM(IF((CRDJ[Date]=$A$4)*(CRDJ[Sort Code]=(TRIM(E$5)))*(CRDJ[Account Code]=(TRIM($B51))),CRDJ[Credit])))+(SUM(IF((GJ[Date]=$A$4)*(GJ[Sort Code]=(TRIM(E$5)))*(GJ[Account Code]=(TRIM($B51))),GJ[Credit]))))</f>
        <v>0</v>
      </c>
      <c r="E51" s="467">
        <f t="shared" si="1"/>
        <v>0</v>
      </c>
    </row>
    <row r="52" spans="1:5" x14ac:dyDescent="0.2">
      <c r="A52" s="476" t="s">
        <v>198</v>
      </c>
      <c r="B52" s="339" t="s">
        <v>165</v>
      </c>
      <c r="C52" s="466">
        <f t="array" ref="C52">((SUM(IF((CkDJ[Sort Code]=(TRIM(E$5)))*(CkDJ[Account Code]=(TRIM($B52)))*(CkDJ[Date]&lt;=$C$8),CkDJ[Debit])))+(SUM(IF((CsDJ[Sort Code]=(TRIM(E$5)))*(CsDJ[Account Code]=(TRIM($B52)))*(CsDJ[Date]&lt;=$C$8),CsDJ[Debit])))+(SUM(IF((CRDJ[Sort Code]=(TRIM(E$5)))*(CRDJ[Account Code]=(TRIM($B52)))*(CRDJ[Date]&lt;=$C$8),CRDJ[Debit])))+(SUM(IF((GJ[Sort Code]=(TRIM(E$5)))*(GJ[Account Code]=(TRIM($B52)))*(GJ[Date]&lt;=$C$8),GJ[Debit]))))-((SUM(IF((CkDJ[Sort Code]=(TRIM(E$5)))*(CkDJ[Account Code]=(TRIM($B52)))*(CkDJ[Date]&lt;=$C$8),CkDJ[Credit])))+(SUM(IF((CsDJ[Sort Code]=(TRIM(E$5)))*(CsDJ[Account Code]=(TRIM($B52)))*(CsDJ[Date]&lt;=$C$8),CsDJ[Credit])))+(SUM(IF((CRDJ[Sort Code]=(TRIM(E$5)))*(CRDJ[Account Code]=(TRIM($B52)))*(CRDJ[Date]&lt;=$C$8),CRDJ[Credit])))+(SUM(IF((GJ[Sort Code]=(TRIM(E$5)))*(GJ[Account Code]=(TRIM($B52)))*(GJ[Date]&lt;=$C$8),GJ[Credit]))))</f>
        <v>0</v>
      </c>
      <c r="D52" s="466">
        <f t="array" ref="D52">((SUM(IF((CkDJ[Date]=$A$4)*(CkDJ[Sort Code]=(TRIM(E$5)))*(CkDJ[Account Code]=(TRIM($B52))),CkDJ[Debit])))+(SUM(IF((CsDJ[Date]=$A$4)*(CsDJ[Sort Code]=(TRIM(E$5)))*(CsDJ[Account Code]=(TRIM($B52))),CsDJ[Debit])))+(SUM(IF((CRDJ[Date]=$A$4)*(CRDJ[Sort Code]=(TRIM(E$5)))*(CRDJ[Account Code]=(TRIM($B52))),CRDJ[Debit])))+(SUM(IF((GJ[Date]=$A$4)*(GJ[Sort Code]=(TRIM(E$5)))*(GJ[Account Code]=(TRIM($B52))),GJ[Debit]))))-((SUM(IF((CkDJ[Date]=$A$4)*(CkDJ[Sort Code]=(TRIM(E$5)))*(CkDJ[Account Code]=(TRIM($B52))),CkDJ[Credit])))+(SUM(IF((CsDJ[Date]=$A$4)*(CsDJ[Sort Code]=(TRIM(E$5)))*(CsDJ[Account Code]=(TRIM($B52))),CsDJ[Credit])))+(SUM(IF((CRDJ[Date]=$A$4)*(CRDJ[Sort Code]=(TRIM(E$5)))*(CRDJ[Account Code]=(TRIM($B52))),CRDJ[Credit])))+(SUM(IF((GJ[Date]=$A$4)*(GJ[Sort Code]=(TRIM(E$5)))*(GJ[Account Code]=(TRIM($B52))),GJ[Credit]))))</f>
        <v>0</v>
      </c>
      <c r="E52" s="467">
        <f t="shared" si="1"/>
        <v>0</v>
      </c>
    </row>
    <row r="53" spans="1:5" x14ac:dyDescent="0.2">
      <c r="A53" s="476" t="s">
        <v>199</v>
      </c>
      <c r="B53" s="339" t="s">
        <v>166</v>
      </c>
      <c r="C53" s="466">
        <f t="array" ref="C53">((SUM(IF((CkDJ[Sort Code]=(TRIM(E$5)))*(CkDJ[Account Code]=(TRIM($B53)))*(CkDJ[Date]&lt;=$C$8),CkDJ[Debit])))+(SUM(IF((CsDJ[Sort Code]=(TRIM(E$5)))*(CsDJ[Account Code]=(TRIM($B53)))*(CsDJ[Date]&lt;=$C$8),CsDJ[Debit])))+(SUM(IF((CRDJ[Sort Code]=(TRIM(E$5)))*(CRDJ[Account Code]=(TRIM($B53)))*(CRDJ[Date]&lt;=$C$8),CRDJ[Debit])))+(SUM(IF((GJ[Sort Code]=(TRIM(E$5)))*(GJ[Account Code]=(TRIM($B53)))*(GJ[Date]&lt;=$C$8),GJ[Debit]))))-((SUM(IF((CkDJ[Sort Code]=(TRIM(E$5)))*(CkDJ[Account Code]=(TRIM($B53)))*(CkDJ[Date]&lt;=$C$8),CkDJ[Credit])))+(SUM(IF((CsDJ[Sort Code]=(TRIM(E$5)))*(CsDJ[Account Code]=(TRIM($B53)))*(CsDJ[Date]&lt;=$C$8),CsDJ[Credit])))+(SUM(IF((CRDJ[Sort Code]=(TRIM(E$5)))*(CRDJ[Account Code]=(TRIM($B53)))*(CRDJ[Date]&lt;=$C$8),CRDJ[Credit])))+(SUM(IF((GJ[Sort Code]=(TRIM(E$5)))*(GJ[Account Code]=(TRIM($B53)))*(GJ[Date]&lt;=$C$8),GJ[Credit]))))</f>
        <v>0</v>
      </c>
      <c r="D53" s="466">
        <f t="array" ref="D53">((SUM(IF((CkDJ[Date]=$A$4)*(CkDJ[Sort Code]=(TRIM(E$5)))*(CkDJ[Account Code]=(TRIM($B53))),CkDJ[Debit])))+(SUM(IF((CsDJ[Date]=$A$4)*(CsDJ[Sort Code]=(TRIM(E$5)))*(CsDJ[Account Code]=(TRIM($B53))),CsDJ[Debit])))+(SUM(IF((CRDJ[Date]=$A$4)*(CRDJ[Sort Code]=(TRIM(E$5)))*(CRDJ[Account Code]=(TRIM($B53))),CRDJ[Debit])))+(SUM(IF((GJ[Date]=$A$4)*(GJ[Sort Code]=(TRIM(E$5)))*(GJ[Account Code]=(TRIM($B53))),GJ[Debit]))))-((SUM(IF((CkDJ[Date]=$A$4)*(CkDJ[Sort Code]=(TRIM(E$5)))*(CkDJ[Account Code]=(TRIM($B53))),CkDJ[Credit])))+(SUM(IF((CsDJ[Date]=$A$4)*(CsDJ[Sort Code]=(TRIM(E$5)))*(CsDJ[Account Code]=(TRIM($B53))),CsDJ[Credit])))+(SUM(IF((CRDJ[Date]=$A$4)*(CRDJ[Sort Code]=(TRIM(E$5)))*(CRDJ[Account Code]=(TRIM($B53))),CRDJ[Credit])))+(SUM(IF((GJ[Date]=$A$4)*(GJ[Sort Code]=(TRIM(E$5)))*(GJ[Account Code]=(TRIM($B53))),GJ[Credit]))))</f>
        <v>0</v>
      </c>
      <c r="E53" s="467">
        <f t="shared" si="1"/>
        <v>0</v>
      </c>
    </row>
    <row r="54" spans="1:5" x14ac:dyDescent="0.2">
      <c r="A54" s="476" t="s">
        <v>200</v>
      </c>
      <c r="B54" s="339" t="s">
        <v>167</v>
      </c>
      <c r="C54" s="466">
        <f t="array" ref="C54">((SUM(IF((CkDJ[Sort Code]=(TRIM(E$5)))*(CkDJ[Account Code]=(TRIM($B54)))*(CkDJ[Date]&lt;=$C$8),CkDJ[Debit])))+(SUM(IF((CsDJ[Sort Code]=(TRIM(E$5)))*(CsDJ[Account Code]=(TRIM($B54)))*(CsDJ[Date]&lt;=$C$8),CsDJ[Debit])))+(SUM(IF((CRDJ[Sort Code]=(TRIM(E$5)))*(CRDJ[Account Code]=(TRIM($B54)))*(CRDJ[Date]&lt;=$C$8),CRDJ[Debit])))+(SUM(IF((GJ[Sort Code]=(TRIM(E$5)))*(GJ[Account Code]=(TRIM($B54)))*(GJ[Date]&lt;=$C$8),GJ[Debit]))))-((SUM(IF((CkDJ[Sort Code]=(TRIM(E$5)))*(CkDJ[Account Code]=(TRIM($B54)))*(CkDJ[Date]&lt;=$C$8),CkDJ[Credit])))+(SUM(IF((CsDJ[Sort Code]=(TRIM(E$5)))*(CsDJ[Account Code]=(TRIM($B54)))*(CsDJ[Date]&lt;=$C$8),CsDJ[Credit])))+(SUM(IF((CRDJ[Sort Code]=(TRIM(E$5)))*(CRDJ[Account Code]=(TRIM($B54)))*(CRDJ[Date]&lt;=$C$8),CRDJ[Credit])))+(SUM(IF((GJ[Sort Code]=(TRIM(E$5)))*(GJ[Account Code]=(TRIM($B54)))*(GJ[Date]&lt;=$C$8),GJ[Credit]))))</f>
        <v>0</v>
      </c>
      <c r="D54" s="466">
        <f t="array" ref="D54">((SUM(IF((CkDJ[Date]=$A$4)*(CkDJ[Sort Code]=(TRIM(E$5)))*(CkDJ[Account Code]=(TRIM($B54))),CkDJ[Debit])))+(SUM(IF((CsDJ[Date]=$A$4)*(CsDJ[Sort Code]=(TRIM(E$5)))*(CsDJ[Account Code]=(TRIM($B54))),CsDJ[Debit])))+(SUM(IF((CRDJ[Date]=$A$4)*(CRDJ[Sort Code]=(TRIM(E$5)))*(CRDJ[Account Code]=(TRIM($B54))),CRDJ[Debit])))+(SUM(IF((GJ[Date]=$A$4)*(GJ[Sort Code]=(TRIM(E$5)))*(GJ[Account Code]=(TRIM($B54))),GJ[Debit]))))-((SUM(IF((CkDJ[Date]=$A$4)*(CkDJ[Sort Code]=(TRIM(E$5)))*(CkDJ[Account Code]=(TRIM($B54))),CkDJ[Credit])))+(SUM(IF((CsDJ[Date]=$A$4)*(CsDJ[Sort Code]=(TRIM(E$5)))*(CsDJ[Account Code]=(TRIM($B54))),CsDJ[Credit])))+(SUM(IF((CRDJ[Date]=$A$4)*(CRDJ[Sort Code]=(TRIM(E$5)))*(CRDJ[Account Code]=(TRIM($B54))),CRDJ[Credit])))+(SUM(IF((GJ[Date]=$A$4)*(GJ[Sort Code]=(TRIM(E$5)))*(GJ[Account Code]=(TRIM($B54))),GJ[Credit]))))</f>
        <v>0</v>
      </c>
      <c r="E54" s="467">
        <f>C54+D54</f>
        <v>0</v>
      </c>
    </row>
    <row r="55" spans="1:5" x14ac:dyDescent="0.2">
      <c r="A55" s="476" t="s">
        <v>1204</v>
      </c>
      <c r="B55" s="339" t="s">
        <v>1262</v>
      </c>
      <c r="C55" s="466">
        <f t="array" ref="C55">((SUM(IF((CkDJ[Sort Code]=(TRIM(E$5)))*(CkDJ[Account Code]=(TRIM($B55)))*(CkDJ[Date]&lt;=$C$8),CkDJ[Debit])))+(SUM(IF((CsDJ[Sort Code]=(TRIM(E$5)))*(CsDJ[Account Code]=(TRIM($B55)))*(CsDJ[Date]&lt;=$C$8),CsDJ[Debit])))+(SUM(IF((CRDJ[Sort Code]=(TRIM(E$5)))*(CRDJ[Account Code]=(TRIM($B55)))*(CRDJ[Date]&lt;=$C$8),CRDJ[Debit])))+(SUM(IF((GJ[Sort Code]=(TRIM(E$5)))*(GJ[Account Code]=(TRIM($B55)))*(GJ[Date]&lt;=$C$8),GJ[Debit]))))-((SUM(IF((CkDJ[Sort Code]=(TRIM(E$5)))*(CkDJ[Account Code]=(TRIM($B55)))*(CkDJ[Date]&lt;=$C$8),CkDJ[Credit])))+(SUM(IF((CsDJ[Sort Code]=(TRIM(E$5)))*(CsDJ[Account Code]=(TRIM($B55)))*(CsDJ[Date]&lt;=$C$8),CsDJ[Credit])))+(SUM(IF((CRDJ[Sort Code]=(TRIM(E$5)))*(CRDJ[Account Code]=(TRIM($B55)))*(CRDJ[Date]&lt;=$C$8),CRDJ[Credit])))+(SUM(IF((GJ[Sort Code]=(TRIM(E$5)))*(GJ[Account Code]=(TRIM($B55)))*(GJ[Date]&lt;=$C$8),GJ[Credit]))))</f>
        <v>0</v>
      </c>
      <c r="D55" s="466">
        <f t="array" ref="D55">((SUM(IF((CkDJ[Date]=$A$4)*(CkDJ[Sort Code]=(TRIM(E$5)))*(CkDJ[Account Code]=(TRIM($B55))),CkDJ[Debit])))+(SUM(IF((CsDJ[Date]=$A$4)*(CsDJ[Sort Code]=(TRIM(E$5)))*(CsDJ[Account Code]=(TRIM($B55))),CsDJ[Debit])))+(SUM(IF((CRDJ[Date]=$A$4)*(CRDJ[Sort Code]=(TRIM(E$5)))*(CRDJ[Account Code]=(TRIM($B55))),CRDJ[Debit])))+(SUM(IF((GJ[Date]=$A$4)*(GJ[Sort Code]=(TRIM(E$5)))*(GJ[Account Code]=(TRIM($B55))),GJ[Debit]))))-((SUM(IF((CkDJ[Date]=$A$4)*(CkDJ[Sort Code]=(TRIM(E$5)))*(CkDJ[Account Code]=(TRIM($B55))),CkDJ[Credit])))+(SUM(IF((CsDJ[Date]=$A$4)*(CsDJ[Sort Code]=(TRIM(E$5)))*(CsDJ[Account Code]=(TRIM($B55))),CsDJ[Credit])))+(SUM(IF((CRDJ[Date]=$A$4)*(CRDJ[Sort Code]=(TRIM(E$5)))*(CRDJ[Account Code]=(TRIM($B55))),CRDJ[Credit])))+(SUM(IF((GJ[Date]=$A$4)*(GJ[Sort Code]=(TRIM(E$5)))*(GJ[Account Code]=(TRIM($B55))),GJ[Credit]))))</f>
        <v>0</v>
      </c>
      <c r="E55" s="467">
        <f>C55+D55</f>
        <v>0</v>
      </c>
    </row>
    <row r="56" spans="1:5" x14ac:dyDescent="0.2">
      <c r="A56" s="476" t="s">
        <v>204</v>
      </c>
      <c r="B56" s="339" t="s">
        <v>171</v>
      </c>
      <c r="C56" s="466">
        <f t="array" ref="C56">((SUM(IF((CkDJ[Sort Code]=(TRIM(E$5)))*(CkDJ[Account Code]=(TRIM($B56)))*(CkDJ[Date]&lt;=$C$8),CkDJ[Debit])))+(SUM(IF((CsDJ[Sort Code]=(TRIM(E$5)))*(CsDJ[Account Code]=(TRIM($B56)))*(CsDJ[Date]&lt;=$C$8),CsDJ[Debit])))+(SUM(IF((CRDJ[Sort Code]=(TRIM(E$5)))*(CRDJ[Account Code]=(TRIM($B56)))*(CRDJ[Date]&lt;=$C$8),CRDJ[Debit])))+(SUM(IF((GJ[Sort Code]=(TRIM(E$5)))*(GJ[Account Code]=(TRIM($B56)))*(GJ[Date]&lt;=$C$8),GJ[Debit]))))-((SUM(IF((CkDJ[Sort Code]=(TRIM(E$5)))*(CkDJ[Account Code]=(TRIM($B56)))*(CkDJ[Date]&lt;=$C$8),CkDJ[Credit])))+(SUM(IF((CsDJ[Sort Code]=(TRIM(E$5)))*(CsDJ[Account Code]=(TRIM($B56)))*(CsDJ[Date]&lt;=$C$8),CsDJ[Credit])))+(SUM(IF((CRDJ[Sort Code]=(TRIM(E$5)))*(CRDJ[Account Code]=(TRIM($B56)))*(CRDJ[Date]&lt;=$C$8),CRDJ[Credit])))+(SUM(IF((GJ[Sort Code]=(TRIM(E$5)))*(GJ[Account Code]=(TRIM($B56)))*(GJ[Date]&lt;=$C$8),GJ[Credit]))))</f>
        <v>0</v>
      </c>
      <c r="D56" s="466">
        <f t="array" ref="D56">((SUM(IF((CkDJ[Date]=$A$4)*(CkDJ[Sort Code]=(TRIM(E$5)))*(CkDJ[Account Code]=(TRIM($B56))),CkDJ[Debit])))+(SUM(IF((CsDJ[Date]=$A$4)*(CsDJ[Sort Code]=(TRIM(E$5)))*(CsDJ[Account Code]=(TRIM($B56))),CsDJ[Debit])))+(SUM(IF((CRDJ[Date]=$A$4)*(CRDJ[Sort Code]=(TRIM(E$5)))*(CRDJ[Account Code]=(TRIM($B56))),CRDJ[Debit])))+(SUM(IF((GJ[Date]=$A$4)*(GJ[Sort Code]=(TRIM(E$5)))*(GJ[Account Code]=(TRIM($B56))),GJ[Debit]))))-((SUM(IF((CkDJ[Date]=$A$4)*(CkDJ[Sort Code]=(TRIM(E$5)))*(CkDJ[Account Code]=(TRIM($B56))),CkDJ[Credit])))+(SUM(IF((CsDJ[Date]=$A$4)*(CsDJ[Sort Code]=(TRIM(E$5)))*(CsDJ[Account Code]=(TRIM($B56))),CsDJ[Credit])))+(SUM(IF((CRDJ[Date]=$A$4)*(CRDJ[Sort Code]=(TRIM(E$5)))*(CRDJ[Account Code]=(TRIM($B56))),CRDJ[Credit])))+(SUM(IF((GJ[Date]=$A$4)*(GJ[Sort Code]=(TRIM(E$5)))*(GJ[Account Code]=(TRIM($B56))),GJ[Credit]))))</f>
        <v>0</v>
      </c>
      <c r="E56" s="467">
        <f t="shared" ref="E56:E72" si="2">C56+D56</f>
        <v>0</v>
      </c>
    </row>
    <row r="57" spans="1:5" x14ac:dyDescent="0.2">
      <c r="A57" s="476" t="s">
        <v>201</v>
      </c>
      <c r="B57" s="339" t="s">
        <v>5</v>
      </c>
      <c r="C57" s="466">
        <f t="array" ref="C57">((SUM(IF((CkDJ[Sort Code]=(TRIM(E$5)))*(CkDJ[Account Code]=(TRIM($B57)))*(CkDJ[Date]&lt;=$C$8),CkDJ[Debit])))+(SUM(IF((CsDJ[Sort Code]=(TRIM(E$5)))*(CsDJ[Account Code]=(TRIM($B57)))*(CsDJ[Date]&lt;=$C$8),CsDJ[Debit])))+(SUM(IF((CRDJ[Sort Code]=(TRIM(E$5)))*(CRDJ[Account Code]=(TRIM($B57)))*(CRDJ[Date]&lt;=$C$8),CRDJ[Debit])))+(SUM(IF((GJ[Sort Code]=(TRIM(E$5)))*(GJ[Account Code]=(TRIM($B57)))*(GJ[Date]&lt;=$C$8),GJ[Debit]))))-((SUM(IF((CkDJ[Sort Code]=(TRIM(E$5)))*(CkDJ[Account Code]=(TRIM($B57)))*(CkDJ[Date]&lt;=$C$8),CkDJ[Credit])))+(SUM(IF((CsDJ[Sort Code]=(TRIM(E$5)))*(CsDJ[Account Code]=(TRIM($B57)))*(CsDJ[Date]&lt;=$C$8),CsDJ[Credit])))+(SUM(IF((CRDJ[Sort Code]=(TRIM(E$5)))*(CRDJ[Account Code]=(TRIM($B57)))*(CRDJ[Date]&lt;=$C$8),CRDJ[Credit])))+(SUM(IF((GJ[Sort Code]=(TRIM(E$5)))*(GJ[Account Code]=(TRIM($B57)))*(GJ[Date]&lt;=$C$8),GJ[Credit]))))</f>
        <v>0</v>
      </c>
      <c r="D57" s="466">
        <f t="array" ref="D57">((SUM(IF((CkDJ[Date]=$A$4)*(CkDJ[Sort Code]=(TRIM(E$5)))*(CkDJ[Account Code]=(TRIM($B57))),CkDJ[Debit])))+(SUM(IF((CsDJ[Date]=$A$4)*(CsDJ[Sort Code]=(TRIM(E$5)))*(CsDJ[Account Code]=(TRIM($B57))),CsDJ[Debit])))+(SUM(IF((CRDJ[Date]=$A$4)*(CRDJ[Sort Code]=(TRIM(E$5)))*(CRDJ[Account Code]=(TRIM($B57))),CRDJ[Debit])))+(SUM(IF((GJ[Date]=$A$4)*(GJ[Sort Code]=(TRIM(E$5)))*(GJ[Account Code]=(TRIM($B57))),GJ[Debit]))))-((SUM(IF((CkDJ[Date]=$A$4)*(CkDJ[Sort Code]=(TRIM(E$5)))*(CkDJ[Account Code]=(TRIM($B57))),CkDJ[Credit])))+(SUM(IF((CsDJ[Date]=$A$4)*(CsDJ[Sort Code]=(TRIM(E$5)))*(CsDJ[Account Code]=(TRIM($B57))),CsDJ[Credit])))+(SUM(IF((CRDJ[Date]=$A$4)*(CRDJ[Sort Code]=(TRIM(E$5)))*(CRDJ[Account Code]=(TRIM($B57))),CRDJ[Credit])))+(SUM(IF((GJ[Date]=$A$4)*(GJ[Sort Code]=(TRIM(E$5)))*(GJ[Account Code]=(TRIM($B57))),GJ[Credit]))))</f>
        <v>0</v>
      </c>
      <c r="E57" s="467">
        <f t="shared" si="2"/>
        <v>0</v>
      </c>
    </row>
    <row r="58" spans="1:5" x14ac:dyDescent="0.2">
      <c r="A58" s="476" t="s">
        <v>202</v>
      </c>
      <c r="B58" s="339" t="s">
        <v>6</v>
      </c>
      <c r="C58" s="466">
        <f t="array" ref="C58">((SUM(IF((CkDJ[Sort Code]=(TRIM(E$5)))*(CkDJ[Account Code]=(TRIM($B58)))*(CkDJ[Date]&lt;=$C$8),CkDJ[Debit])))+(SUM(IF((CsDJ[Sort Code]=(TRIM(E$5)))*(CsDJ[Account Code]=(TRIM($B58)))*(CsDJ[Date]&lt;=$C$8),CsDJ[Debit])))+(SUM(IF((CRDJ[Sort Code]=(TRIM(E$5)))*(CRDJ[Account Code]=(TRIM($B58)))*(CRDJ[Date]&lt;=$C$8),CRDJ[Debit])))+(SUM(IF((GJ[Sort Code]=(TRIM(E$5)))*(GJ[Account Code]=(TRIM($B58)))*(GJ[Date]&lt;=$C$8),GJ[Debit]))))-((SUM(IF((CkDJ[Sort Code]=(TRIM(E$5)))*(CkDJ[Account Code]=(TRIM($B58)))*(CkDJ[Date]&lt;=$C$8),CkDJ[Credit])))+(SUM(IF((CsDJ[Sort Code]=(TRIM(E$5)))*(CsDJ[Account Code]=(TRIM($B58)))*(CsDJ[Date]&lt;=$C$8),CsDJ[Credit])))+(SUM(IF((CRDJ[Sort Code]=(TRIM(E$5)))*(CRDJ[Account Code]=(TRIM($B58)))*(CRDJ[Date]&lt;=$C$8),CRDJ[Credit])))+(SUM(IF((GJ[Sort Code]=(TRIM(E$5)))*(GJ[Account Code]=(TRIM($B58)))*(GJ[Date]&lt;=$C$8),GJ[Credit]))))</f>
        <v>0</v>
      </c>
      <c r="D58" s="466">
        <f t="array" ref="D58">((SUM(IF((CkDJ[Date]=$A$4)*(CkDJ[Sort Code]=(TRIM(E$5)))*(CkDJ[Account Code]=(TRIM($B58))),CkDJ[Debit])))+(SUM(IF((CsDJ[Date]=$A$4)*(CsDJ[Sort Code]=(TRIM(E$5)))*(CsDJ[Account Code]=(TRIM($B58))),CsDJ[Debit])))+(SUM(IF((CRDJ[Date]=$A$4)*(CRDJ[Sort Code]=(TRIM(E$5)))*(CRDJ[Account Code]=(TRIM($B58))),CRDJ[Debit])))+(SUM(IF((GJ[Date]=$A$4)*(GJ[Sort Code]=(TRIM(E$5)))*(GJ[Account Code]=(TRIM($B58))),GJ[Debit]))))-((SUM(IF((CkDJ[Date]=$A$4)*(CkDJ[Sort Code]=(TRIM(E$5)))*(CkDJ[Account Code]=(TRIM($B58))),CkDJ[Credit])))+(SUM(IF((CsDJ[Date]=$A$4)*(CsDJ[Sort Code]=(TRIM(E$5)))*(CsDJ[Account Code]=(TRIM($B58))),CsDJ[Credit])))+(SUM(IF((CRDJ[Date]=$A$4)*(CRDJ[Sort Code]=(TRIM(E$5)))*(CRDJ[Account Code]=(TRIM($B58))),CRDJ[Credit])))+(SUM(IF((GJ[Date]=$A$4)*(GJ[Sort Code]=(TRIM(E$5)))*(GJ[Account Code]=(TRIM($B58))),GJ[Credit]))))</f>
        <v>0</v>
      </c>
      <c r="E58" s="467">
        <f t="shared" si="2"/>
        <v>0</v>
      </c>
    </row>
    <row r="59" spans="1:5" x14ac:dyDescent="0.2">
      <c r="A59" s="476" t="s">
        <v>203</v>
      </c>
      <c r="B59" s="339" t="s">
        <v>7</v>
      </c>
      <c r="C59" s="466">
        <f t="array" ref="C59">((SUM(IF((CkDJ[Sort Code]=(TRIM(E$5)))*(CkDJ[Account Code]=(TRIM($B59)))*(CkDJ[Date]&lt;=$C$8),CkDJ[Debit])))+(SUM(IF((CsDJ[Sort Code]=(TRIM(E$5)))*(CsDJ[Account Code]=(TRIM($B59)))*(CsDJ[Date]&lt;=$C$8),CsDJ[Debit])))+(SUM(IF((CRDJ[Sort Code]=(TRIM(E$5)))*(CRDJ[Account Code]=(TRIM($B59)))*(CRDJ[Date]&lt;=$C$8),CRDJ[Debit])))+(SUM(IF((GJ[Sort Code]=(TRIM(E$5)))*(GJ[Account Code]=(TRIM($B59)))*(GJ[Date]&lt;=$C$8),GJ[Debit]))))-((SUM(IF((CkDJ[Sort Code]=(TRIM(E$5)))*(CkDJ[Account Code]=(TRIM($B59)))*(CkDJ[Date]&lt;=$C$8),CkDJ[Credit])))+(SUM(IF((CsDJ[Sort Code]=(TRIM(E$5)))*(CsDJ[Account Code]=(TRIM($B59)))*(CsDJ[Date]&lt;=$C$8),CsDJ[Credit])))+(SUM(IF((CRDJ[Sort Code]=(TRIM(E$5)))*(CRDJ[Account Code]=(TRIM($B59)))*(CRDJ[Date]&lt;=$C$8),CRDJ[Credit])))+(SUM(IF((GJ[Sort Code]=(TRIM(E$5)))*(GJ[Account Code]=(TRIM($B59)))*(GJ[Date]&lt;=$C$8),GJ[Credit]))))</f>
        <v>0</v>
      </c>
      <c r="D59" s="466">
        <f t="array" ref="D59">((SUM(IF((CkDJ[Date]=$A$4)*(CkDJ[Sort Code]=(TRIM(E$5)))*(CkDJ[Account Code]=(TRIM($B59))),CkDJ[Debit])))+(SUM(IF((CsDJ[Date]=$A$4)*(CsDJ[Sort Code]=(TRIM(E$5)))*(CsDJ[Account Code]=(TRIM($B59))),CsDJ[Debit])))+(SUM(IF((CRDJ[Date]=$A$4)*(CRDJ[Sort Code]=(TRIM(E$5)))*(CRDJ[Account Code]=(TRIM($B59))),CRDJ[Debit])))+(SUM(IF((GJ[Date]=$A$4)*(GJ[Sort Code]=(TRIM(E$5)))*(GJ[Account Code]=(TRIM($B59))),GJ[Debit]))))-((SUM(IF((CkDJ[Date]=$A$4)*(CkDJ[Sort Code]=(TRIM(E$5)))*(CkDJ[Account Code]=(TRIM($B59))),CkDJ[Credit])))+(SUM(IF((CsDJ[Date]=$A$4)*(CsDJ[Sort Code]=(TRIM(E$5)))*(CsDJ[Account Code]=(TRIM($B59))),CsDJ[Credit])))+(SUM(IF((CRDJ[Date]=$A$4)*(CRDJ[Sort Code]=(TRIM(E$5)))*(CRDJ[Account Code]=(TRIM($B59))),CRDJ[Credit])))+(SUM(IF((GJ[Date]=$A$4)*(GJ[Sort Code]=(TRIM(E$5)))*(GJ[Account Code]=(TRIM($B59))),GJ[Credit]))))</f>
        <v>0</v>
      </c>
      <c r="E59" s="467">
        <f t="shared" si="2"/>
        <v>0</v>
      </c>
    </row>
    <row r="60" spans="1:5" x14ac:dyDescent="0.2">
      <c r="A60" s="476" t="s">
        <v>1378</v>
      </c>
      <c r="B60" s="339" t="s">
        <v>169</v>
      </c>
      <c r="C60" s="466">
        <f t="array" ref="C60">((SUM(IF((CkDJ[Sort Code]=(TRIM(E$5)))*(CkDJ[Account Code]=(TRIM($B60)))*(CkDJ[Date]&lt;=$C$8),CkDJ[Debit])))+(SUM(IF((CsDJ[Sort Code]=(TRIM(E$5)))*(CsDJ[Account Code]=(TRIM($B60)))*(CsDJ[Date]&lt;=$C$8),CsDJ[Debit])))+(SUM(IF((CRDJ[Sort Code]=(TRIM(E$5)))*(CRDJ[Account Code]=(TRIM($B60)))*(CRDJ[Date]&lt;=$C$8),CRDJ[Debit])))+(SUM(IF((GJ[Sort Code]=(TRIM(E$5)))*(GJ[Account Code]=(TRIM($B60)))*(GJ[Date]&lt;=$C$8),GJ[Debit]))))-((SUM(IF((CkDJ[Sort Code]=(TRIM(E$5)))*(CkDJ[Account Code]=(TRIM($B60)))*(CkDJ[Date]&lt;=$C$8),CkDJ[Credit])))+(SUM(IF((CsDJ[Sort Code]=(TRIM(E$5)))*(CsDJ[Account Code]=(TRIM($B60)))*(CsDJ[Date]&lt;=$C$8),CsDJ[Credit])))+(SUM(IF((CRDJ[Sort Code]=(TRIM(E$5)))*(CRDJ[Account Code]=(TRIM($B60)))*(CRDJ[Date]&lt;=$C$8),CRDJ[Credit])))+(SUM(IF((GJ[Sort Code]=(TRIM(E$5)))*(GJ[Account Code]=(TRIM($B60)))*(GJ[Date]&lt;=$C$8),GJ[Credit]))))</f>
        <v>0</v>
      </c>
      <c r="D60" s="466">
        <f t="array" ref="D60">((SUM(IF((CkDJ[Date]=$A$4)*(CkDJ[Sort Code]=(TRIM(E$5)))*(CkDJ[Account Code]=(TRIM($B60))),CkDJ[Debit])))+(SUM(IF((CsDJ[Date]=$A$4)*(CsDJ[Sort Code]=(TRIM(E$5)))*(CsDJ[Account Code]=(TRIM($B60))),CsDJ[Debit])))+(SUM(IF((CRDJ[Date]=$A$4)*(CRDJ[Sort Code]=(TRIM(E$5)))*(CRDJ[Account Code]=(TRIM($B60))),CRDJ[Debit])))+(SUM(IF((GJ[Date]=$A$4)*(GJ[Sort Code]=(TRIM(E$5)))*(GJ[Account Code]=(TRIM($B60))),GJ[Debit]))))-((SUM(IF((CkDJ[Date]=$A$4)*(CkDJ[Sort Code]=(TRIM(E$5)))*(CkDJ[Account Code]=(TRIM($B60))),CkDJ[Credit])))+(SUM(IF((CsDJ[Date]=$A$4)*(CsDJ[Sort Code]=(TRIM(E$5)))*(CsDJ[Account Code]=(TRIM($B60))),CsDJ[Credit])))+(SUM(IF((CRDJ[Date]=$A$4)*(CRDJ[Sort Code]=(TRIM(E$5)))*(CRDJ[Account Code]=(TRIM($B60))),CRDJ[Credit])))+(SUM(IF((GJ[Date]=$A$4)*(GJ[Sort Code]=(TRIM(E$5)))*(GJ[Account Code]=(TRIM($B60))),GJ[Credit]))))</f>
        <v>0</v>
      </c>
      <c r="E60" s="467">
        <f>C60+D60</f>
        <v>0</v>
      </c>
    </row>
    <row r="61" spans="1:5" x14ac:dyDescent="0.2">
      <c r="A61" s="476" t="s">
        <v>1474</v>
      </c>
      <c r="B61" s="339" t="s">
        <v>170</v>
      </c>
      <c r="C61" s="466">
        <f t="array" ref="C61">((SUM(IF((CkDJ[Sort Code]=(TRIM(E$5)))*(CkDJ[Account Code]=(TRIM($B61)))*(CkDJ[Date]&lt;=$C$8),CkDJ[Debit])))+(SUM(IF((CsDJ[Sort Code]=(TRIM(E$5)))*(CsDJ[Account Code]=(TRIM($B61)))*(CsDJ[Date]&lt;=$C$8),CsDJ[Debit])))+(SUM(IF((CRDJ[Sort Code]=(TRIM(E$5)))*(CRDJ[Account Code]=(TRIM($B61)))*(CRDJ[Date]&lt;=$C$8),CRDJ[Debit])))+(SUM(IF((GJ[Sort Code]=(TRIM(E$5)))*(GJ[Account Code]=(TRIM($B61)))*(GJ[Date]&lt;=$C$8),GJ[Debit]))))-((SUM(IF((CkDJ[Sort Code]=(TRIM(E$5)))*(CkDJ[Account Code]=(TRIM($B61)))*(CkDJ[Date]&lt;=$C$8),CkDJ[Credit])))+(SUM(IF((CsDJ[Sort Code]=(TRIM(E$5)))*(CsDJ[Account Code]=(TRIM($B61)))*(CsDJ[Date]&lt;=$C$8),CsDJ[Credit])))+(SUM(IF((CRDJ[Sort Code]=(TRIM(E$5)))*(CRDJ[Account Code]=(TRIM($B61)))*(CRDJ[Date]&lt;=$C$8),CRDJ[Credit])))+(SUM(IF((GJ[Sort Code]=(TRIM(E$5)))*(GJ[Account Code]=(TRIM($B61)))*(GJ[Date]&lt;=$C$8),GJ[Credit]))))</f>
        <v>0</v>
      </c>
      <c r="D61" s="466">
        <f t="array" ref="D61">((SUM(IF((CkDJ[Date]=$A$4)*(CkDJ[Sort Code]=(TRIM(E$5)))*(CkDJ[Account Code]=(TRIM($B61))),CkDJ[Debit])))+(SUM(IF((CsDJ[Date]=$A$4)*(CsDJ[Sort Code]=(TRIM(E$5)))*(CsDJ[Account Code]=(TRIM($B61))),CsDJ[Debit])))+(SUM(IF((CRDJ[Date]=$A$4)*(CRDJ[Sort Code]=(TRIM(E$5)))*(CRDJ[Account Code]=(TRIM($B61))),CRDJ[Debit])))+(SUM(IF((GJ[Date]=$A$4)*(GJ[Sort Code]=(TRIM(E$5)))*(GJ[Account Code]=(TRIM($B61))),GJ[Debit]))))-((SUM(IF((CkDJ[Date]=$A$4)*(CkDJ[Sort Code]=(TRIM(E$5)))*(CkDJ[Account Code]=(TRIM($B61))),CkDJ[Credit])))+(SUM(IF((CsDJ[Date]=$A$4)*(CsDJ[Sort Code]=(TRIM(E$5)))*(CsDJ[Account Code]=(TRIM($B61))),CsDJ[Credit])))+(SUM(IF((CRDJ[Date]=$A$4)*(CRDJ[Sort Code]=(TRIM(E$5)))*(CRDJ[Account Code]=(TRIM($B61))),CRDJ[Credit])))+(SUM(IF((GJ[Date]=$A$4)*(GJ[Sort Code]=(TRIM(E$5)))*(GJ[Account Code]=(TRIM($B61))),GJ[Credit]))))</f>
        <v>0</v>
      </c>
      <c r="E61" s="467">
        <f>C61+D61</f>
        <v>0</v>
      </c>
    </row>
    <row r="62" spans="1:5" x14ac:dyDescent="0.2">
      <c r="A62" s="476" t="s">
        <v>206</v>
      </c>
      <c r="B62" s="339" t="s">
        <v>173</v>
      </c>
      <c r="C62" s="466">
        <f t="array" ref="C62">((SUM(IF((CkDJ[Sort Code]=(TRIM(E$5)))*(CkDJ[Account Code]=(TRIM($B62)))*(CkDJ[Date]&lt;=$C$8),CkDJ[Debit])))+(SUM(IF((CsDJ[Sort Code]=(TRIM(E$5)))*(CsDJ[Account Code]=(TRIM($B62)))*(CsDJ[Date]&lt;=$C$8),CsDJ[Debit])))+(SUM(IF((CRDJ[Sort Code]=(TRIM(E$5)))*(CRDJ[Account Code]=(TRIM($B62)))*(CRDJ[Date]&lt;=$C$8),CRDJ[Debit])))+(SUM(IF((GJ[Sort Code]=(TRIM(E$5)))*(GJ[Account Code]=(TRIM($B62)))*(GJ[Date]&lt;=$C$8),GJ[Debit]))))-((SUM(IF((CkDJ[Sort Code]=(TRIM(E$5)))*(CkDJ[Account Code]=(TRIM($B62)))*(CkDJ[Date]&lt;=$C$8),CkDJ[Credit])))+(SUM(IF((CsDJ[Sort Code]=(TRIM(E$5)))*(CsDJ[Account Code]=(TRIM($B62)))*(CsDJ[Date]&lt;=$C$8),CsDJ[Credit])))+(SUM(IF((CRDJ[Sort Code]=(TRIM(E$5)))*(CRDJ[Account Code]=(TRIM($B62)))*(CRDJ[Date]&lt;=$C$8),CRDJ[Credit])))+(SUM(IF((GJ[Sort Code]=(TRIM(E$5)))*(GJ[Account Code]=(TRIM($B62)))*(GJ[Date]&lt;=$C$8),GJ[Credit]))))</f>
        <v>0</v>
      </c>
      <c r="D62" s="466">
        <f t="array" ref="D62">((SUM(IF((CkDJ[Date]=$A$4)*(CkDJ[Sort Code]=(TRIM(E$5)))*(CkDJ[Account Code]=(TRIM($B62))),CkDJ[Debit])))+(SUM(IF((CsDJ[Date]=$A$4)*(CsDJ[Sort Code]=(TRIM(E$5)))*(CsDJ[Account Code]=(TRIM($B62))),CsDJ[Debit])))+(SUM(IF((CRDJ[Date]=$A$4)*(CRDJ[Sort Code]=(TRIM(E$5)))*(CRDJ[Account Code]=(TRIM($B62))),CRDJ[Debit])))+(SUM(IF((GJ[Date]=$A$4)*(GJ[Sort Code]=(TRIM(E$5)))*(GJ[Account Code]=(TRIM($B62))),GJ[Debit]))))-((SUM(IF((CkDJ[Date]=$A$4)*(CkDJ[Sort Code]=(TRIM(E$5)))*(CkDJ[Account Code]=(TRIM($B62))),CkDJ[Credit])))+(SUM(IF((CsDJ[Date]=$A$4)*(CsDJ[Sort Code]=(TRIM(E$5)))*(CsDJ[Account Code]=(TRIM($B62))),CsDJ[Credit])))+(SUM(IF((CRDJ[Date]=$A$4)*(CRDJ[Sort Code]=(TRIM(E$5)))*(CRDJ[Account Code]=(TRIM($B62))),CRDJ[Credit])))+(SUM(IF((GJ[Date]=$A$4)*(GJ[Sort Code]=(TRIM(E$5)))*(GJ[Account Code]=(TRIM($B62))),GJ[Credit]))))</f>
        <v>0</v>
      </c>
      <c r="E62" s="467">
        <f t="shared" si="2"/>
        <v>0</v>
      </c>
    </row>
    <row r="63" spans="1:5" x14ac:dyDescent="0.2">
      <c r="A63" s="476" t="s">
        <v>354</v>
      </c>
      <c r="B63" s="339" t="s">
        <v>216</v>
      </c>
      <c r="C63" s="466">
        <f t="array" ref="C63">((SUM(IF((CkDJ[Sort Code]=(TRIM(E$5)))*(CkDJ[Account Code]=(TRIM($B63)))*(CkDJ[Date]&lt;=$C$8),CkDJ[Debit])))+(SUM(IF((CsDJ[Sort Code]=(TRIM(E$5)))*(CsDJ[Account Code]=(TRIM($B63)))*(CsDJ[Date]&lt;=$C$8),CsDJ[Debit])))+(SUM(IF((CRDJ[Sort Code]=(TRIM(E$5)))*(CRDJ[Account Code]=(TRIM($B63)))*(CRDJ[Date]&lt;=$C$8),CRDJ[Debit])))+(SUM(IF((GJ[Sort Code]=(TRIM(E$5)))*(GJ[Account Code]=(TRIM($B63)))*(GJ[Date]&lt;=$C$8),GJ[Debit]))))-((SUM(IF((CkDJ[Sort Code]=(TRIM(E$5)))*(CkDJ[Account Code]=(TRIM($B63)))*(CkDJ[Date]&lt;=$C$8),CkDJ[Credit])))+(SUM(IF((CsDJ[Sort Code]=(TRIM(E$5)))*(CsDJ[Account Code]=(TRIM($B63)))*(CsDJ[Date]&lt;=$C$8),CsDJ[Credit])))+(SUM(IF((CRDJ[Sort Code]=(TRIM(E$5)))*(CRDJ[Account Code]=(TRIM($B63)))*(CRDJ[Date]&lt;=$C$8),CRDJ[Credit])))+(SUM(IF((GJ[Sort Code]=(TRIM(E$5)))*(GJ[Account Code]=(TRIM($B63)))*(GJ[Date]&lt;=$C$8),GJ[Credit]))))</f>
        <v>0</v>
      </c>
      <c r="D63" s="466">
        <f t="array" ref="D63">((SUM(IF((CkDJ[Date]=$A$4)*(CkDJ[Sort Code]=(TRIM(E$5)))*(CkDJ[Account Code]=(TRIM($B63))),CkDJ[Debit])))+(SUM(IF((CsDJ[Date]=$A$4)*(CsDJ[Sort Code]=(TRIM(E$5)))*(CsDJ[Account Code]=(TRIM($B63))),CsDJ[Debit])))+(SUM(IF((CRDJ[Date]=$A$4)*(CRDJ[Sort Code]=(TRIM(E$5)))*(CRDJ[Account Code]=(TRIM($B63))),CRDJ[Debit])))+(SUM(IF((GJ[Date]=$A$4)*(GJ[Sort Code]=(TRIM(E$5)))*(GJ[Account Code]=(TRIM($B63))),GJ[Debit]))))-((SUM(IF((CkDJ[Date]=$A$4)*(CkDJ[Sort Code]=(TRIM(E$5)))*(CkDJ[Account Code]=(TRIM($B63))),CkDJ[Credit])))+(SUM(IF((CsDJ[Date]=$A$4)*(CsDJ[Sort Code]=(TRIM(E$5)))*(CsDJ[Account Code]=(TRIM($B63))),CsDJ[Credit])))+(SUM(IF((CRDJ[Date]=$A$4)*(CRDJ[Sort Code]=(TRIM(E$5)))*(CRDJ[Account Code]=(TRIM($B63))),CRDJ[Credit])))+(SUM(IF((GJ[Date]=$A$4)*(GJ[Sort Code]=(TRIM(E$5)))*(GJ[Account Code]=(TRIM($B63))),GJ[Credit]))))</f>
        <v>0</v>
      </c>
      <c r="E63" s="467">
        <f t="shared" si="2"/>
        <v>0</v>
      </c>
    </row>
    <row r="64" spans="1:5" x14ac:dyDescent="0.2">
      <c r="A64" s="476" t="s">
        <v>219</v>
      </c>
      <c r="B64" s="339" t="s">
        <v>214</v>
      </c>
      <c r="C64" s="466">
        <f t="array" ref="C64">((SUM(IF((CkDJ[Sort Code]=(TRIM(E$5)))*(CkDJ[Account Code]=(TRIM($B64)))*(CkDJ[Date]&lt;=$C$8),CkDJ[Debit])))+(SUM(IF((CsDJ[Sort Code]=(TRIM(E$5)))*(CsDJ[Account Code]=(TRIM($B64)))*(CsDJ[Date]&lt;=$C$8),CsDJ[Debit])))+(SUM(IF((CRDJ[Sort Code]=(TRIM(E$5)))*(CRDJ[Account Code]=(TRIM($B64)))*(CRDJ[Date]&lt;=$C$8),CRDJ[Debit])))+(SUM(IF((GJ[Sort Code]=(TRIM(E$5)))*(GJ[Account Code]=(TRIM($B64)))*(GJ[Date]&lt;=$C$8),GJ[Debit]))))-((SUM(IF((CkDJ[Sort Code]=(TRIM(E$5)))*(CkDJ[Account Code]=(TRIM($B64)))*(CkDJ[Date]&lt;=$C$8),CkDJ[Credit])))+(SUM(IF((CsDJ[Sort Code]=(TRIM(E$5)))*(CsDJ[Account Code]=(TRIM($B64)))*(CsDJ[Date]&lt;=$C$8),CsDJ[Credit])))+(SUM(IF((CRDJ[Sort Code]=(TRIM(E$5)))*(CRDJ[Account Code]=(TRIM($B64)))*(CRDJ[Date]&lt;=$C$8),CRDJ[Credit])))+(SUM(IF((GJ[Sort Code]=(TRIM(E$5)))*(GJ[Account Code]=(TRIM($B64)))*(GJ[Date]&lt;=$C$8),GJ[Credit]))))</f>
        <v>0</v>
      </c>
      <c r="D64" s="466">
        <f t="array" ref="D64">((SUM(IF((CkDJ[Date]=$A$4)*(CkDJ[Sort Code]=(TRIM(E$5)))*(CkDJ[Account Code]=(TRIM($B64))),CkDJ[Debit])))+(SUM(IF((CsDJ[Date]=$A$4)*(CsDJ[Sort Code]=(TRIM(E$5)))*(CsDJ[Account Code]=(TRIM($B64))),CsDJ[Debit])))+(SUM(IF((CRDJ[Date]=$A$4)*(CRDJ[Sort Code]=(TRIM(E$5)))*(CRDJ[Account Code]=(TRIM($B64))),CRDJ[Debit])))+(SUM(IF((GJ[Date]=$A$4)*(GJ[Sort Code]=(TRIM(E$5)))*(GJ[Account Code]=(TRIM($B64))),GJ[Debit]))))-((SUM(IF((CkDJ[Date]=$A$4)*(CkDJ[Sort Code]=(TRIM(E$5)))*(CkDJ[Account Code]=(TRIM($B64))),CkDJ[Credit])))+(SUM(IF((CsDJ[Date]=$A$4)*(CsDJ[Sort Code]=(TRIM(E$5)))*(CsDJ[Account Code]=(TRIM($B64))),CsDJ[Credit])))+(SUM(IF((CRDJ[Date]=$A$4)*(CRDJ[Sort Code]=(TRIM(E$5)))*(CRDJ[Account Code]=(TRIM($B64))),CRDJ[Credit])))+(SUM(IF((GJ[Date]=$A$4)*(GJ[Sort Code]=(TRIM(E$5)))*(GJ[Account Code]=(TRIM($B64))),GJ[Credit]))))</f>
        <v>0</v>
      </c>
      <c r="E64" s="467">
        <f t="shared" si="2"/>
        <v>0</v>
      </c>
    </row>
    <row r="65" spans="1:5" x14ac:dyDescent="0.2">
      <c r="A65" s="476" t="s">
        <v>205</v>
      </c>
      <c r="B65" s="339" t="s">
        <v>172</v>
      </c>
      <c r="C65" s="466">
        <f t="array" ref="C65">((SUM(IF((CkDJ[Sort Code]=(TRIM(E$5)))*(CkDJ[Account Code]=(TRIM($B65)))*(CkDJ[Date]&lt;=$C$8),CkDJ[Debit])))+(SUM(IF((CsDJ[Sort Code]=(TRIM(E$5)))*(CsDJ[Account Code]=(TRIM($B65)))*(CsDJ[Date]&lt;=$C$8),CsDJ[Debit])))+(SUM(IF((CRDJ[Sort Code]=(TRIM(E$5)))*(CRDJ[Account Code]=(TRIM($B65)))*(CRDJ[Date]&lt;=$C$8),CRDJ[Debit])))+(SUM(IF((GJ[Sort Code]=(TRIM(E$5)))*(GJ[Account Code]=(TRIM($B65)))*(GJ[Date]&lt;=$C$8),GJ[Debit]))))-((SUM(IF((CkDJ[Sort Code]=(TRIM(E$5)))*(CkDJ[Account Code]=(TRIM($B65)))*(CkDJ[Date]&lt;=$C$8),CkDJ[Credit])))+(SUM(IF((CsDJ[Sort Code]=(TRIM(E$5)))*(CsDJ[Account Code]=(TRIM($B65)))*(CsDJ[Date]&lt;=$C$8),CsDJ[Credit])))+(SUM(IF((CRDJ[Sort Code]=(TRIM(E$5)))*(CRDJ[Account Code]=(TRIM($B65)))*(CRDJ[Date]&lt;=$C$8),CRDJ[Credit])))+(SUM(IF((GJ[Sort Code]=(TRIM(E$5)))*(GJ[Account Code]=(TRIM($B65)))*(GJ[Date]&lt;=$C$8),GJ[Credit]))))</f>
        <v>0</v>
      </c>
      <c r="D65" s="466">
        <f t="array" ref="D65">((SUM(IF((CkDJ[Date]=$A$4)*(CkDJ[Sort Code]=(TRIM(E$5)))*(CkDJ[Account Code]=(TRIM($B65))),CkDJ[Debit])))+(SUM(IF((CsDJ[Date]=$A$4)*(CsDJ[Sort Code]=(TRIM(E$5)))*(CsDJ[Account Code]=(TRIM($B65))),CsDJ[Debit])))+(SUM(IF((CRDJ[Date]=$A$4)*(CRDJ[Sort Code]=(TRIM(E$5)))*(CRDJ[Account Code]=(TRIM($B65))),CRDJ[Debit])))+(SUM(IF((GJ[Date]=$A$4)*(GJ[Sort Code]=(TRIM(E$5)))*(GJ[Account Code]=(TRIM($B65))),GJ[Debit]))))-((SUM(IF((CkDJ[Date]=$A$4)*(CkDJ[Sort Code]=(TRIM(E$5)))*(CkDJ[Account Code]=(TRIM($B65))),CkDJ[Credit])))+(SUM(IF((CsDJ[Date]=$A$4)*(CsDJ[Sort Code]=(TRIM(E$5)))*(CsDJ[Account Code]=(TRIM($B65))),CsDJ[Credit])))+(SUM(IF((CRDJ[Date]=$A$4)*(CRDJ[Sort Code]=(TRIM(E$5)))*(CRDJ[Account Code]=(TRIM($B65))),CRDJ[Credit])))+(SUM(IF((GJ[Date]=$A$4)*(GJ[Sort Code]=(TRIM(E$5)))*(GJ[Account Code]=(TRIM($B65))),GJ[Credit]))))</f>
        <v>0</v>
      </c>
      <c r="E65" s="467">
        <f t="shared" si="2"/>
        <v>0</v>
      </c>
    </row>
    <row r="66" spans="1:5" x14ac:dyDescent="0.2">
      <c r="A66" s="476" t="s">
        <v>207</v>
      </c>
      <c r="B66" s="339" t="s">
        <v>174</v>
      </c>
      <c r="C66" s="466">
        <f t="array" ref="C66">((SUM(IF((CkDJ[Sort Code]=(TRIM(E$5)))*(CkDJ[Account Code]=(TRIM($B66)))*(CkDJ[Date]&lt;=$C$8),CkDJ[Debit])))+(SUM(IF((CsDJ[Sort Code]=(TRIM(E$5)))*(CsDJ[Account Code]=(TRIM($B66)))*(CsDJ[Date]&lt;=$C$8),CsDJ[Debit])))+(SUM(IF((CRDJ[Sort Code]=(TRIM(E$5)))*(CRDJ[Account Code]=(TRIM($B66)))*(CRDJ[Date]&lt;=$C$8),CRDJ[Debit])))+(SUM(IF((GJ[Sort Code]=(TRIM(E$5)))*(GJ[Account Code]=(TRIM($B66)))*(GJ[Date]&lt;=$C$8),GJ[Debit]))))-((SUM(IF((CkDJ[Sort Code]=(TRIM(E$5)))*(CkDJ[Account Code]=(TRIM($B66)))*(CkDJ[Date]&lt;=$C$8),CkDJ[Credit])))+(SUM(IF((CsDJ[Sort Code]=(TRIM(E$5)))*(CsDJ[Account Code]=(TRIM($B66)))*(CsDJ[Date]&lt;=$C$8),CsDJ[Credit])))+(SUM(IF((CRDJ[Sort Code]=(TRIM(E$5)))*(CRDJ[Account Code]=(TRIM($B66)))*(CRDJ[Date]&lt;=$C$8),CRDJ[Credit])))+(SUM(IF((GJ[Sort Code]=(TRIM(E$5)))*(GJ[Account Code]=(TRIM($B66)))*(GJ[Date]&lt;=$C$8),GJ[Credit]))))</f>
        <v>0</v>
      </c>
      <c r="D66" s="466">
        <f t="array" ref="D66">((SUM(IF((CkDJ[Date]=$A$4)*(CkDJ[Sort Code]=(TRIM(E$5)))*(CkDJ[Account Code]=(TRIM($B66))),CkDJ[Debit])))+(SUM(IF((CsDJ[Date]=$A$4)*(CsDJ[Sort Code]=(TRIM(E$5)))*(CsDJ[Account Code]=(TRIM($B66))),CsDJ[Debit])))+(SUM(IF((CRDJ[Date]=$A$4)*(CRDJ[Sort Code]=(TRIM(E$5)))*(CRDJ[Account Code]=(TRIM($B66))),CRDJ[Debit])))+(SUM(IF((GJ[Date]=$A$4)*(GJ[Sort Code]=(TRIM(E$5)))*(GJ[Account Code]=(TRIM($B66))),GJ[Debit]))))-((SUM(IF((CkDJ[Date]=$A$4)*(CkDJ[Sort Code]=(TRIM(E$5)))*(CkDJ[Account Code]=(TRIM($B66))),CkDJ[Credit])))+(SUM(IF((CsDJ[Date]=$A$4)*(CsDJ[Sort Code]=(TRIM(E$5)))*(CsDJ[Account Code]=(TRIM($B66))),CsDJ[Credit])))+(SUM(IF((CRDJ[Date]=$A$4)*(CRDJ[Sort Code]=(TRIM(E$5)))*(CRDJ[Account Code]=(TRIM($B66))),CRDJ[Credit])))+(SUM(IF((GJ[Date]=$A$4)*(GJ[Sort Code]=(TRIM(E$5)))*(GJ[Account Code]=(TRIM($B66))),GJ[Credit]))))</f>
        <v>0</v>
      </c>
      <c r="E66" s="467">
        <f t="shared" si="2"/>
        <v>0</v>
      </c>
    </row>
    <row r="67" spans="1:5" x14ac:dyDescent="0.2">
      <c r="A67" s="476" t="s">
        <v>208</v>
      </c>
      <c r="B67" s="339" t="s">
        <v>175</v>
      </c>
      <c r="C67" s="466">
        <f t="array" ref="C67">((SUM(IF((CkDJ[Sort Code]=(TRIM(E$5)))*(CkDJ[Account Code]=(TRIM($B67)))*(CkDJ[Date]&lt;=$C$8),CkDJ[Debit])))+(SUM(IF((CsDJ[Sort Code]=(TRIM(E$5)))*(CsDJ[Account Code]=(TRIM($B67)))*(CsDJ[Date]&lt;=$C$8),CsDJ[Debit])))+(SUM(IF((CRDJ[Sort Code]=(TRIM(E$5)))*(CRDJ[Account Code]=(TRIM($B67)))*(CRDJ[Date]&lt;=$C$8),CRDJ[Debit])))+(SUM(IF((GJ[Sort Code]=(TRIM(E$5)))*(GJ[Account Code]=(TRIM($B67)))*(GJ[Date]&lt;=$C$8),GJ[Debit]))))-((SUM(IF((CkDJ[Sort Code]=(TRIM(E$5)))*(CkDJ[Account Code]=(TRIM($B67)))*(CkDJ[Date]&lt;=$C$8),CkDJ[Credit])))+(SUM(IF((CsDJ[Sort Code]=(TRIM(E$5)))*(CsDJ[Account Code]=(TRIM($B67)))*(CsDJ[Date]&lt;=$C$8),CsDJ[Credit])))+(SUM(IF((CRDJ[Sort Code]=(TRIM(E$5)))*(CRDJ[Account Code]=(TRIM($B67)))*(CRDJ[Date]&lt;=$C$8),CRDJ[Credit])))+(SUM(IF((GJ[Sort Code]=(TRIM(E$5)))*(GJ[Account Code]=(TRIM($B67)))*(GJ[Date]&lt;=$C$8),GJ[Credit]))))</f>
        <v>0</v>
      </c>
      <c r="D67" s="466">
        <f t="array" ref="D67">((SUM(IF((CkDJ[Date]=$A$4)*(CkDJ[Sort Code]=(TRIM(E$5)))*(CkDJ[Account Code]=(TRIM($B67))),CkDJ[Debit])))+(SUM(IF((CsDJ[Date]=$A$4)*(CsDJ[Sort Code]=(TRIM(E$5)))*(CsDJ[Account Code]=(TRIM($B67))),CsDJ[Debit])))+(SUM(IF((CRDJ[Date]=$A$4)*(CRDJ[Sort Code]=(TRIM(E$5)))*(CRDJ[Account Code]=(TRIM($B67))),CRDJ[Debit])))+(SUM(IF((GJ[Date]=$A$4)*(GJ[Sort Code]=(TRIM(E$5)))*(GJ[Account Code]=(TRIM($B67))),GJ[Debit]))))-((SUM(IF((CkDJ[Date]=$A$4)*(CkDJ[Sort Code]=(TRIM(E$5)))*(CkDJ[Account Code]=(TRIM($B67))),CkDJ[Credit])))+(SUM(IF((CsDJ[Date]=$A$4)*(CsDJ[Sort Code]=(TRIM(E$5)))*(CsDJ[Account Code]=(TRIM($B67))),CsDJ[Credit])))+(SUM(IF((CRDJ[Date]=$A$4)*(CRDJ[Sort Code]=(TRIM(E$5)))*(CRDJ[Account Code]=(TRIM($B67))),CRDJ[Credit])))+(SUM(IF((GJ[Date]=$A$4)*(GJ[Sort Code]=(TRIM(E$5)))*(GJ[Account Code]=(TRIM($B67))),GJ[Credit]))))</f>
        <v>0</v>
      </c>
      <c r="E67" s="467">
        <f t="shared" si="2"/>
        <v>0</v>
      </c>
    </row>
    <row r="68" spans="1:5" x14ac:dyDescent="0.2">
      <c r="A68" s="476" t="s">
        <v>209</v>
      </c>
      <c r="B68" s="339" t="s">
        <v>176</v>
      </c>
      <c r="C68" s="466">
        <f t="array" ref="C68">((SUM(IF((CkDJ[Sort Code]=(TRIM(E$5)))*(CkDJ[Account Code]=(TRIM($B68)))*(CkDJ[Date]&lt;=$C$8),CkDJ[Debit])))+(SUM(IF((CsDJ[Sort Code]=(TRIM(E$5)))*(CsDJ[Account Code]=(TRIM($B68)))*(CsDJ[Date]&lt;=$C$8),CsDJ[Debit])))+(SUM(IF((CRDJ[Sort Code]=(TRIM(E$5)))*(CRDJ[Account Code]=(TRIM($B68)))*(CRDJ[Date]&lt;=$C$8),CRDJ[Debit])))+(SUM(IF((GJ[Sort Code]=(TRIM(E$5)))*(GJ[Account Code]=(TRIM($B68)))*(GJ[Date]&lt;=$C$8),GJ[Debit]))))-((SUM(IF((CkDJ[Sort Code]=(TRIM(E$5)))*(CkDJ[Account Code]=(TRIM($B68)))*(CkDJ[Date]&lt;=$C$8),CkDJ[Credit])))+(SUM(IF((CsDJ[Sort Code]=(TRIM(E$5)))*(CsDJ[Account Code]=(TRIM($B68)))*(CsDJ[Date]&lt;=$C$8),CsDJ[Credit])))+(SUM(IF((CRDJ[Sort Code]=(TRIM(E$5)))*(CRDJ[Account Code]=(TRIM($B68)))*(CRDJ[Date]&lt;=$C$8),CRDJ[Credit])))+(SUM(IF((GJ[Sort Code]=(TRIM(E$5)))*(GJ[Account Code]=(TRIM($B68)))*(GJ[Date]&lt;=$C$8),GJ[Credit]))))</f>
        <v>0</v>
      </c>
      <c r="D68" s="466">
        <f t="array" ref="D68">((SUM(IF((CkDJ[Date]=$A$4)*(CkDJ[Sort Code]=(TRIM(E$5)))*(CkDJ[Account Code]=(TRIM($B68))),CkDJ[Debit])))+(SUM(IF((CsDJ[Date]=$A$4)*(CsDJ[Sort Code]=(TRIM(E$5)))*(CsDJ[Account Code]=(TRIM($B68))),CsDJ[Debit])))+(SUM(IF((CRDJ[Date]=$A$4)*(CRDJ[Sort Code]=(TRIM(E$5)))*(CRDJ[Account Code]=(TRIM($B68))),CRDJ[Debit])))+(SUM(IF((GJ[Date]=$A$4)*(GJ[Sort Code]=(TRIM(E$5)))*(GJ[Account Code]=(TRIM($B68))),GJ[Debit]))))-((SUM(IF((CkDJ[Date]=$A$4)*(CkDJ[Sort Code]=(TRIM(E$5)))*(CkDJ[Account Code]=(TRIM($B68))),CkDJ[Credit])))+(SUM(IF((CsDJ[Date]=$A$4)*(CsDJ[Sort Code]=(TRIM(E$5)))*(CsDJ[Account Code]=(TRIM($B68))),CsDJ[Credit])))+(SUM(IF((CRDJ[Date]=$A$4)*(CRDJ[Sort Code]=(TRIM(E$5)))*(CRDJ[Account Code]=(TRIM($B68))),CRDJ[Credit])))+(SUM(IF((GJ[Date]=$A$4)*(GJ[Sort Code]=(TRIM(E$5)))*(GJ[Account Code]=(TRIM($B68))),GJ[Credit]))))</f>
        <v>0</v>
      </c>
      <c r="E68" s="467">
        <f t="shared" si="2"/>
        <v>0</v>
      </c>
    </row>
    <row r="69" spans="1:5" x14ac:dyDescent="0.2">
      <c r="A69" s="476" t="s">
        <v>210</v>
      </c>
      <c r="B69" s="339" t="s">
        <v>177</v>
      </c>
      <c r="C69" s="466">
        <f t="array" ref="C69">((SUM(IF((CkDJ[Sort Code]=(TRIM(E$5)))*(CkDJ[Account Code]=(TRIM($B69)))*(CkDJ[Date]&lt;=$C$8),CkDJ[Debit])))+(SUM(IF((CsDJ[Sort Code]=(TRIM(E$5)))*(CsDJ[Account Code]=(TRIM($B69)))*(CsDJ[Date]&lt;=$C$8),CsDJ[Debit])))+(SUM(IF((CRDJ[Sort Code]=(TRIM(E$5)))*(CRDJ[Account Code]=(TRIM($B69)))*(CRDJ[Date]&lt;=$C$8),CRDJ[Debit])))+(SUM(IF((GJ[Sort Code]=(TRIM(E$5)))*(GJ[Account Code]=(TRIM($B69)))*(GJ[Date]&lt;=$C$8),GJ[Debit]))))-((SUM(IF((CkDJ[Sort Code]=(TRIM(E$5)))*(CkDJ[Account Code]=(TRIM($B69)))*(CkDJ[Date]&lt;=$C$8),CkDJ[Credit])))+(SUM(IF((CsDJ[Sort Code]=(TRIM(E$5)))*(CsDJ[Account Code]=(TRIM($B69)))*(CsDJ[Date]&lt;=$C$8),CsDJ[Credit])))+(SUM(IF((CRDJ[Sort Code]=(TRIM(E$5)))*(CRDJ[Account Code]=(TRIM($B69)))*(CRDJ[Date]&lt;=$C$8),CRDJ[Credit])))+(SUM(IF((GJ[Sort Code]=(TRIM(E$5)))*(GJ[Account Code]=(TRIM($B69)))*(GJ[Date]&lt;=$C$8),GJ[Credit]))))</f>
        <v>0</v>
      </c>
      <c r="D69" s="466">
        <f t="array" ref="D69">((SUM(IF((CkDJ[Date]=$A$4)*(CkDJ[Sort Code]=(TRIM(E$5)))*(CkDJ[Account Code]=(TRIM($B69))),CkDJ[Debit])))+(SUM(IF((CsDJ[Date]=$A$4)*(CsDJ[Sort Code]=(TRIM(E$5)))*(CsDJ[Account Code]=(TRIM($B69))),CsDJ[Debit])))+(SUM(IF((CRDJ[Date]=$A$4)*(CRDJ[Sort Code]=(TRIM(E$5)))*(CRDJ[Account Code]=(TRIM($B69))),CRDJ[Debit])))+(SUM(IF((GJ[Date]=$A$4)*(GJ[Sort Code]=(TRIM(E$5)))*(GJ[Account Code]=(TRIM($B69))),GJ[Debit]))))-((SUM(IF((CkDJ[Date]=$A$4)*(CkDJ[Sort Code]=(TRIM(E$5)))*(CkDJ[Account Code]=(TRIM($B69))),CkDJ[Credit])))+(SUM(IF((CsDJ[Date]=$A$4)*(CsDJ[Sort Code]=(TRIM(E$5)))*(CsDJ[Account Code]=(TRIM($B69))),CsDJ[Credit])))+(SUM(IF((CRDJ[Date]=$A$4)*(CRDJ[Sort Code]=(TRIM(E$5)))*(CRDJ[Account Code]=(TRIM($B69))),CRDJ[Credit])))+(SUM(IF((GJ[Date]=$A$4)*(GJ[Sort Code]=(TRIM(E$5)))*(GJ[Account Code]=(TRIM($B69))),GJ[Credit]))))</f>
        <v>0</v>
      </c>
      <c r="E69" s="467">
        <f t="shared" si="2"/>
        <v>0</v>
      </c>
    </row>
    <row r="70" spans="1:5" x14ac:dyDescent="0.2">
      <c r="A70" s="476" t="s">
        <v>211</v>
      </c>
      <c r="B70" s="339" t="s">
        <v>178</v>
      </c>
      <c r="C70" s="466">
        <f t="array" ref="C70">((SUM(IF((CkDJ[Sort Code]=(TRIM(E$5)))*(CkDJ[Account Code]=(TRIM($B70)))*(CkDJ[Date]&lt;=$C$8),CkDJ[Debit])))+(SUM(IF((CsDJ[Sort Code]=(TRIM(E$5)))*(CsDJ[Account Code]=(TRIM($B70)))*(CsDJ[Date]&lt;=$C$8),CsDJ[Debit])))+(SUM(IF((CRDJ[Sort Code]=(TRIM(E$5)))*(CRDJ[Account Code]=(TRIM($B70)))*(CRDJ[Date]&lt;=$C$8),CRDJ[Debit])))+(SUM(IF((GJ[Sort Code]=(TRIM(E$5)))*(GJ[Account Code]=(TRIM($B70)))*(GJ[Date]&lt;=$C$8),GJ[Debit]))))-((SUM(IF((CkDJ[Sort Code]=(TRIM(E$5)))*(CkDJ[Account Code]=(TRIM($B70)))*(CkDJ[Date]&lt;=$C$8),CkDJ[Credit])))+(SUM(IF((CsDJ[Sort Code]=(TRIM(E$5)))*(CsDJ[Account Code]=(TRIM($B70)))*(CsDJ[Date]&lt;=$C$8),CsDJ[Credit])))+(SUM(IF((CRDJ[Sort Code]=(TRIM(E$5)))*(CRDJ[Account Code]=(TRIM($B70)))*(CRDJ[Date]&lt;=$C$8),CRDJ[Credit])))+(SUM(IF((GJ[Sort Code]=(TRIM(E$5)))*(GJ[Account Code]=(TRIM($B70)))*(GJ[Date]&lt;=$C$8),GJ[Credit]))))</f>
        <v>0</v>
      </c>
      <c r="D70" s="466">
        <f t="array" ref="D70">((SUM(IF((CkDJ[Date]=$A$4)*(CkDJ[Sort Code]=(TRIM(E$5)))*(CkDJ[Account Code]=(TRIM($B70))),CkDJ[Debit])))+(SUM(IF((CsDJ[Date]=$A$4)*(CsDJ[Sort Code]=(TRIM(E$5)))*(CsDJ[Account Code]=(TRIM($B70))),CsDJ[Debit])))+(SUM(IF((CRDJ[Date]=$A$4)*(CRDJ[Sort Code]=(TRIM(E$5)))*(CRDJ[Account Code]=(TRIM($B70))),CRDJ[Debit])))+(SUM(IF((GJ[Date]=$A$4)*(GJ[Sort Code]=(TRIM(E$5)))*(GJ[Account Code]=(TRIM($B70))),GJ[Debit]))))-((SUM(IF((CkDJ[Date]=$A$4)*(CkDJ[Sort Code]=(TRIM(E$5)))*(CkDJ[Account Code]=(TRIM($B70))),CkDJ[Credit])))+(SUM(IF((CsDJ[Date]=$A$4)*(CsDJ[Sort Code]=(TRIM(E$5)))*(CsDJ[Account Code]=(TRIM($B70))),CsDJ[Credit])))+(SUM(IF((CRDJ[Date]=$A$4)*(CRDJ[Sort Code]=(TRIM(E$5)))*(CRDJ[Account Code]=(TRIM($B70))),CRDJ[Credit])))+(SUM(IF((GJ[Date]=$A$4)*(GJ[Sort Code]=(TRIM(E$5)))*(GJ[Account Code]=(TRIM($B70))),GJ[Credit]))))</f>
        <v>0</v>
      </c>
      <c r="E70" s="467">
        <f t="shared" si="2"/>
        <v>0</v>
      </c>
    </row>
    <row r="71" spans="1:5" x14ac:dyDescent="0.2">
      <c r="A71" s="476" t="s">
        <v>1167</v>
      </c>
      <c r="B71" s="339" t="s">
        <v>212</v>
      </c>
      <c r="C71" s="466">
        <f t="array" ref="C71">((SUM(IF((CkDJ[Sort Code]=(TRIM(E$5)))*(CkDJ[Account Code]=(TRIM($B71)))*(CkDJ[Date]&lt;=$C$8),CkDJ[Debit])))+(SUM(IF((CsDJ[Sort Code]=(TRIM(E$5)))*(CsDJ[Account Code]=(TRIM($B71)))*(CsDJ[Date]&lt;=$C$8),CsDJ[Debit])))+(SUM(IF((CRDJ[Sort Code]=(TRIM(E$5)))*(CRDJ[Account Code]=(TRIM($B71)))*(CRDJ[Date]&lt;=$C$8),CRDJ[Debit])))+(SUM(IF((GJ[Sort Code]=(TRIM(E$5)))*(GJ[Account Code]=(TRIM($B71)))*(GJ[Date]&lt;=$C$8),GJ[Debit]))))-((SUM(IF((CkDJ[Sort Code]=(TRIM(E$5)))*(CkDJ[Account Code]=(TRIM($B71)))*(CkDJ[Date]&lt;=$C$8),CkDJ[Credit])))+(SUM(IF((CsDJ[Sort Code]=(TRIM(E$5)))*(CsDJ[Account Code]=(TRIM($B71)))*(CsDJ[Date]&lt;=$C$8),CsDJ[Credit])))+(SUM(IF((CRDJ[Sort Code]=(TRIM(E$5)))*(CRDJ[Account Code]=(TRIM($B71)))*(CRDJ[Date]&lt;=$C$8),CRDJ[Credit])))+(SUM(IF((GJ[Sort Code]=(TRIM(E$5)))*(GJ[Account Code]=(TRIM($B71)))*(GJ[Date]&lt;=$C$8),GJ[Credit]))))</f>
        <v>0</v>
      </c>
      <c r="D71" s="466">
        <f t="array" ref="D71">((SUM(IF((CkDJ[Date]=$A$4)*(CkDJ[Sort Code]=(TRIM(E$5)))*(CkDJ[Account Code]=(TRIM($B71))),CkDJ[Debit])))+(SUM(IF((CsDJ[Date]=$A$4)*(CsDJ[Sort Code]=(TRIM(E$5)))*(CsDJ[Account Code]=(TRIM($B71))),CsDJ[Debit])))+(SUM(IF((CRDJ[Date]=$A$4)*(CRDJ[Sort Code]=(TRIM(E$5)))*(CRDJ[Account Code]=(TRIM($B71))),CRDJ[Debit])))+(SUM(IF((GJ[Date]=$A$4)*(GJ[Sort Code]=(TRIM(E$5)))*(GJ[Account Code]=(TRIM($B71))),GJ[Debit]))))-((SUM(IF((CkDJ[Date]=$A$4)*(CkDJ[Sort Code]=(TRIM(E$5)))*(CkDJ[Account Code]=(TRIM($B71))),CkDJ[Credit])))+(SUM(IF((CsDJ[Date]=$A$4)*(CsDJ[Sort Code]=(TRIM(E$5)))*(CsDJ[Account Code]=(TRIM($B71))),CsDJ[Credit])))+(SUM(IF((CRDJ[Date]=$A$4)*(CRDJ[Sort Code]=(TRIM(E$5)))*(CRDJ[Account Code]=(TRIM($B71))),CRDJ[Credit])))+(SUM(IF((GJ[Date]=$A$4)*(GJ[Sort Code]=(TRIM(E$5)))*(GJ[Account Code]=(TRIM($B71))),GJ[Credit]))))</f>
        <v>0</v>
      </c>
      <c r="E71" s="467">
        <f>C71+D71</f>
        <v>0</v>
      </c>
    </row>
    <row r="72" spans="1:5" x14ac:dyDescent="0.2">
      <c r="A72" s="481" t="s">
        <v>218</v>
      </c>
      <c r="B72" s="482" t="s">
        <v>213</v>
      </c>
      <c r="C72" s="483">
        <f t="array" ref="C72">((SUM(IF((CkDJ[Sort Code]=(TRIM(E$5)))*(CkDJ[Account Code]=(TRIM($B72)))*(CkDJ[Date]&lt;=$C$8),CkDJ[Debit])))+(SUM(IF((CsDJ[Sort Code]=(TRIM(E$5)))*(CsDJ[Account Code]=(TRIM($B72)))*(CsDJ[Date]&lt;=$C$8),CsDJ[Debit])))+(SUM(IF((CRDJ[Sort Code]=(TRIM(E$5)))*(CRDJ[Account Code]=(TRIM($B72)))*(CRDJ[Date]&lt;=$C$8),CRDJ[Debit])))+(SUM(IF((GJ[Sort Code]=(TRIM(E$5)))*(GJ[Account Code]=(TRIM($B72)))*(GJ[Date]&lt;=$C$8),GJ[Debit]))))-((SUM(IF((CkDJ[Sort Code]=(TRIM(E$5)))*(CkDJ[Account Code]=(TRIM($B72)))*(CkDJ[Date]&lt;=$C$8),CkDJ[Credit])))+(SUM(IF((CsDJ[Sort Code]=(TRIM(E$5)))*(CsDJ[Account Code]=(TRIM($B72)))*(CsDJ[Date]&lt;=$C$8),CsDJ[Credit])))+(SUM(IF((CRDJ[Sort Code]=(TRIM(E$5)))*(CRDJ[Account Code]=(TRIM($B72)))*(CRDJ[Date]&lt;=$C$8),CRDJ[Credit])))+(SUM(IF((GJ[Sort Code]=(TRIM(E$5)))*(GJ[Account Code]=(TRIM($B72)))*(GJ[Date]&lt;=$C$8),GJ[Credit]))))</f>
        <v>0</v>
      </c>
      <c r="D72" s="483">
        <f t="array" ref="D72">((SUM(IF((CkDJ[Date]=$A$4)*(CkDJ[Sort Code]=(TRIM(E$5)))*(CkDJ[Account Code]=(TRIM($B72))),CkDJ[Debit])))+(SUM(IF((CsDJ[Date]=$A$4)*(CsDJ[Sort Code]=(TRIM(E$5)))*(CsDJ[Account Code]=(TRIM($B72))),CsDJ[Debit])))+(SUM(IF((CRDJ[Date]=$A$4)*(CRDJ[Sort Code]=(TRIM(E$5)))*(CRDJ[Account Code]=(TRIM($B72))),CRDJ[Debit])))+(SUM(IF((GJ[Date]=$A$4)*(GJ[Sort Code]=(TRIM(E$5)))*(GJ[Account Code]=(TRIM($B72))),GJ[Debit]))))-((SUM(IF((CkDJ[Date]=$A$4)*(CkDJ[Sort Code]=(TRIM(E$5)))*(CkDJ[Account Code]=(TRIM($B72))),CkDJ[Credit])))+(SUM(IF((CsDJ[Date]=$A$4)*(CsDJ[Sort Code]=(TRIM(E$5)))*(CsDJ[Account Code]=(TRIM($B72))),CsDJ[Credit])))+(SUM(IF((CRDJ[Date]=$A$4)*(CRDJ[Sort Code]=(TRIM(E$5)))*(CRDJ[Account Code]=(TRIM($B72))),CRDJ[Credit])))+(SUM(IF((GJ[Date]=$A$4)*(GJ[Sort Code]=(TRIM(E$5)))*(GJ[Account Code]=(TRIM($B72))),GJ[Credit]))))</f>
        <v>0</v>
      </c>
      <c r="E72" s="484">
        <f t="shared" si="2"/>
        <v>0</v>
      </c>
    </row>
    <row r="73" spans="1:5" x14ac:dyDescent="0.2">
      <c r="A73" s="476"/>
      <c r="B73" s="339"/>
      <c r="C73" s="466"/>
      <c r="D73" s="466"/>
      <c r="E73" s="467"/>
    </row>
    <row r="74" spans="1:5" x14ac:dyDescent="0.2">
      <c r="A74" s="471" t="s">
        <v>810</v>
      </c>
      <c r="B74" s="339"/>
      <c r="C74" s="480">
        <f>SUM(C75:C137)</f>
        <v>0</v>
      </c>
      <c r="D74" s="480">
        <f>SUM(D75:D137)</f>
        <v>0</v>
      </c>
      <c r="E74" s="480">
        <f>SUM(E75:E137)</f>
        <v>0</v>
      </c>
    </row>
    <row r="75" spans="1:5" x14ac:dyDescent="0.2">
      <c r="A75" s="476" t="s">
        <v>284</v>
      </c>
      <c r="B75" s="339" t="s">
        <v>223</v>
      </c>
      <c r="C75" s="466">
        <f t="array" ref="C75">((SUM(IF((CkDJ[Sort Code]=(TRIM(E$5)))*(CkDJ[Account Code]=(TRIM($B75)))*(CkDJ[Date]&lt;=$C$8),CkDJ[Debit])))+(SUM(IF((CsDJ[Sort Code]=(TRIM(E$5)))*(CsDJ[Account Code]=(TRIM($B75)))*(CsDJ[Date]&lt;=$C$8),CsDJ[Debit])))+(SUM(IF((CRDJ[Sort Code]=(TRIM(E$5)))*(CRDJ[Account Code]=(TRIM($B75)))*(CRDJ[Date]&lt;=$C$8),CRDJ[Debit])))+(SUM(IF((GJ[Sort Code]=(TRIM(E$5)))*(GJ[Account Code]=(TRIM($B75)))*(GJ[Date]&lt;=$C$8),GJ[Debit]))))-((SUM(IF((CkDJ[Sort Code]=(TRIM(E$5)))*(CkDJ[Account Code]=(TRIM($B75)))*(CkDJ[Date]&lt;=$C$8),CkDJ[Credit])))+(SUM(IF((CsDJ[Sort Code]=(TRIM(E$5)))*(CsDJ[Account Code]=(TRIM($B75)))*(CsDJ[Date]&lt;=$C$8),CsDJ[Credit])))+(SUM(IF((CRDJ[Sort Code]=(TRIM(E$5)))*(CRDJ[Account Code]=(TRIM($B75)))*(CRDJ[Date]&lt;=$C$8),CRDJ[Credit])))+(SUM(IF((GJ[Sort Code]=(TRIM(E$5)))*(GJ[Account Code]=(TRIM($B75)))*(GJ[Date]&lt;=$C$8),GJ[Credit]))))</f>
        <v>0</v>
      </c>
      <c r="D75" s="466">
        <f t="array" ref="D75">((SUM(IF((CkDJ[Date]=$A$4)*(CkDJ[Sort Code]=(TRIM(E$5)))*(CkDJ[Account Code]=(TRIM($B75))),CkDJ[Debit])))+(SUM(IF((CsDJ[Date]=$A$4)*(CsDJ[Sort Code]=(TRIM(E$5)))*(CsDJ[Account Code]=(TRIM($B75))),CsDJ[Debit])))+(SUM(IF((CRDJ[Date]=$A$4)*(CRDJ[Sort Code]=(TRIM(E$5)))*(CRDJ[Account Code]=(TRIM($B75))),CRDJ[Debit])))+(SUM(IF((GJ[Date]=$A$4)*(GJ[Sort Code]=(TRIM(E$5)))*(GJ[Account Code]=(TRIM($B75))),GJ[Debit]))))-((SUM(IF((CkDJ[Date]=$A$4)*(CkDJ[Sort Code]=(TRIM(E$5)))*(CkDJ[Account Code]=(TRIM($B75))),CkDJ[Credit])))+(SUM(IF((CsDJ[Date]=$A$4)*(CsDJ[Sort Code]=(TRIM(E$5)))*(CsDJ[Account Code]=(TRIM($B75))),CsDJ[Credit])))+(SUM(IF((CRDJ[Date]=$A$4)*(CRDJ[Sort Code]=(TRIM(E$5)))*(CRDJ[Account Code]=(TRIM($B75))),CRDJ[Credit])))+(SUM(IF((GJ[Date]=$A$4)*(GJ[Sort Code]=(TRIM(E$5)))*(GJ[Account Code]=(TRIM($B75))),GJ[Credit]))))</f>
        <v>0</v>
      </c>
      <c r="E75" s="467">
        <f t="shared" ref="E75:E117" si="3">C75+D75</f>
        <v>0</v>
      </c>
    </row>
    <row r="76" spans="1:5" x14ac:dyDescent="0.2">
      <c r="A76" s="476" t="s">
        <v>1477</v>
      </c>
      <c r="B76" s="339" t="s">
        <v>1233</v>
      </c>
      <c r="C76" s="466">
        <f t="array" ref="C76">((SUM(IF((CkDJ[Sort Code]=(TRIM(E$5)))*(CkDJ[Account Code]=(TRIM($B76)))*(CkDJ[Date]&lt;=$C$8),CkDJ[Debit])))+(SUM(IF((CsDJ[Sort Code]=(TRIM(E$5)))*(CsDJ[Account Code]=(TRIM($B76)))*(CsDJ[Date]&lt;=$C$8),CsDJ[Debit])))+(SUM(IF((CRDJ[Sort Code]=(TRIM(E$5)))*(CRDJ[Account Code]=(TRIM($B76)))*(CRDJ[Date]&lt;=$C$8),CRDJ[Debit])))+(SUM(IF((GJ[Sort Code]=(TRIM(E$5)))*(GJ[Account Code]=(TRIM($B76)))*(GJ[Date]&lt;=$C$8),GJ[Debit]))))-((SUM(IF((CkDJ[Sort Code]=(TRIM(E$5)))*(CkDJ[Account Code]=(TRIM($B76)))*(CkDJ[Date]&lt;=$C$8),CkDJ[Credit])))+(SUM(IF((CsDJ[Sort Code]=(TRIM(E$5)))*(CsDJ[Account Code]=(TRIM($B76)))*(CsDJ[Date]&lt;=$C$8),CsDJ[Credit])))+(SUM(IF((CRDJ[Sort Code]=(TRIM(E$5)))*(CRDJ[Account Code]=(TRIM($B76)))*(CRDJ[Date]&lt;=$C$8),CRDJ[Credit])))+(SUM(IF((GJ[Sort Code]=(TRIM(E$5)))*(GJ[Account Code]=(TRIM($B76)))*(GJ[Date]&lt;=$C$8),GJ[Credit]))))</f>
        <v>0</v>
      </c>
      <c r="D76" s="466">
        <f t="array" ref="D76">((SUM(IF((CkDJ[Date]=$A$4)*(CkDJ[Sort Code]=(TRIM(E$5)))*(CkDJ[Account Code]=(TRIM($B76))),CkDJ[Debit])))+(SUM(IF((CsDJ[Date]=$A$4)*(CsDJ[Sort Code]=(TRIM(E$5)))*(CsDJ[Account Code]=(TRIM($B76))),CsDJ[Debit])))+(SUM(IF((CRDJ[Date]=$A$4)*(CRDJ[Sort Code]=(TRIM(E$5)))*(CRDJ[Account Code]=(TRIM($B76))),CRDJ[Debit])))+(SUM(IF((GJ[Date]=$A$4)*(GJ[Sort Code]=(TRIM(E$5)))*(GJ[Account Code]=(TRIM($B76))),GJ[Debit]))))-((SUM(IF((CkDJ[Date]=$A$4)*(CkDJ[Sort Code]=(TRIM(E$5)))*(CkDJ[Account Code]=(TRIM($B76))),CkDJ[Credit])))+(SUM(IF((CsDJ[Date]=$A$4)*(CsDJ[Sort Code]=(TRIM(E$5)))*(CsDJ[Account Code]=(TRIM($B76))),CsDJ[Credit])))+(SUM(IF((CRDJ[Date]=$A$4)*(CRDJ[Sort Code]=(TRIM(E$5)))*(CRDJ[Account Code]=(TRIM($B76))),CRDJ[Credit])))+(SUM(IF((GJ[Date]=$A$4)*(GJ[Sort Code]=(TRIM(E$5)))*(GJ[Account Code]=(TRIM($B76))),GJ[Credit]))))</f>
        <v>0</v>
      </c>
      <c r="E76" s="467">
        <f>C76+D76</f>
        <v>0</v>
      </c>
    </row>
    <row r="77" spans="1:5" x14ac:dyDescent="0.2">
      <c r="A77" s="476" t="s">
        <v>285</v>
      </c>
      <c r="B77" s="339" t="s">
        <v>224</v>
      </c>
      <c r="C77" s="466">
        <f t="array" ref="C77">((SUM(IF((CkDJ[Sort Code]=(TRIM(E$5)))*(CkDJ[Account Code]=(TRIM($B77)))*(CkDJ[Date]&lt;=$C$8),CkDJ[Debit])))+(SUM(IF((CsDJ[Sort Code]=(TRIM(E$5)))*(CsDJ[Account Code]=(TRIM($B77)))*(CsDJ[Date]&lt;=$C$8),CsDJ[Debit])))+(SUM(IF((CRDJ[Sort Code]=(TRIM(E$5)))*(CRDJ[Account Code]=(TRIM($B77)))*(CRDJ[Date]&lt;=$C$8),CRDJ[Debit])))+(SUM(IF((GJ[Sort Code]=(TRIM(E$5)))*(GJ[Account Code]=(TRIM($B77)))*(GJ[Date]&lt;=$C$8),GJ[Debit]))))-((SUM(IF((CkDJ[Sort Code]=(TRIM(E$5)))*(CkDJ[Account Code]=(TRIM($B77)))*(CkDJ[Date]&lt;=$C$8),CkDJ[Credit])))+(SUM(IF((CsDJ[Sort Code]=(TRIM(E$5)))*(CsDJ[Account Code]=(TRIM($B77)))*(CsDJ[Date]&lt;=$C$8),CsDJ[Credit])))+(SUM(IF((CRDJ[Sort Code]=(TRIM(E$5)))*(CRDJ[Account Code]=(TRIM($B77)))*(CRDJ[Date]&lt;=$C$8),CRDJ[Credit])))+(SUM(IF((GJ[Sort Code]=(TRIM(E$5)))*(GJ[Account Code]=(TRIM($B77)))*(GJ[Date]&lt;=$C$8),GJ[Credit]))))</f>
        <v>0</v>
      </c>
      <c r="D77" s="466">
        <f t="array" ref="D77">((SUM(IF((CkDJ[Date]=$A$4)*(CkDJ[Sort Code]=(TRIM(E$5)))*(CkDJ[Account Code]=(TRIM($B77))),CkDJ[Debit])))+(SUM(IF((CsDJ[Date]=$A$4)*(CsDJ[Sort Code]=(TRIM(E$5)))*(CsDJ[Account Code]=(TRIM($B77))),CsDJ[Debit])))+(SUM(IF((CRDJ[Date]=$A$4)*(CRDJ[Sort Code]=(TRIM(E$5)))*(CRDJ[Account Code]=(TRIM($B77))),CRDJ[Debit])))+(SUM(IF((GJ[Date]=$A$4)*(GJ[Sort Code]=(TRIM(E$5)))*(GJ[Account Code]=(TRIM($B77))),GJ[Debit]))))-((SUM(IF((CkDJ[Date]=$A$4)*(CkDJ[Sort Code]=(TRIM(E$5)))*(CkDJ[Account Code]=(TRIM($B77))),CkDJ[Credit])))+(SUM(IF((CsDJ[Date]=$A$4)*(CsDJ[Sort Code]=(TRIM(E$5)))*(CsDJ[Account Code]=(TRIM($B77))),CsDJ[Credit])))+(SUM(IF((CRDJ[Date]=$A$4)*(CRDJ[Sort Code]=(TRIM(E$5)))*(CRDJ[Account Code]=(TRIM($B77))),CRDJ[Credit])))+(SUM(IF((GJ[Date]=$A$4)*(GJ[Sort Code]=(TRIM(E$5)))*(GJ[Account Code]=(TRIM($B77))),GJ[Credit]))))</f>
        <v>0</v>
      </c>
      <c r="E77" s="467">
        <f t="shared" si="3"/>
        <v>0</v>
      </c>
    </row>
    <row r="78" spans="1:5" x14ac:dyDescent="0.2">
      <c r="A78" s="476" t="s">
        <v>286</v>
      </c>
      <c r="B78" s="339" t="s">
        <v>225</v>
      </c>
      <c r="C78" s="466">
        <f t="array" ref="C78">((SUM(IF((CkDJ[Sort Code]=(TRIM(E$5)))*(CkDJ[Account Code]=(TRIM($B78)))*(CkDJ[Date]&lt;=$C$8),CkDJ[Debit])))+(SUM(IF((CsDJ[Sort Code]=(TRIM(E$5)))*(CsDJ[Account Code]=(TRIM($B78)))*(CsDJ[Date]&lt;=$C$8),CsDJ[Debit])))+(SUM(IF((CRDJ[Sort Code]=(TRIM(E$5)))*(CRDJ[Account Code]=(TRIM($B78)))*(CRDJ[Date]&lt;=$C$8),CRDJ[Debit])))+(SUM(IF((GJ[Sort Code]=(TRIM(E$5)))*(GJ[Account Code]=(TRIM($B78)))*(GJ[Date]&lt;=$C$8),GJ[Debit]))))-((SUM(IF((CkDJ[Sort Code]=(TRIM(E$5)))*(CkDJ[Account Code]=(TRIM($B78)))*(CkDJ[Date]&lt;=$C$8),CkDJ[Credit])))+(SUM(IF((CsDJ[Sort Code]=(TRIM(E$5)))*(CsDJ[Account Code]=(TRIM($B78)))*(CsDJ[Date]&lt;=$C$8),CsDJ[Credit])))+(SUM(IF((CRDJ[Sort Code]=(TRIM(E$5)))*(CRDJ[Account Code]=(TRIM($B78)))*(CRDJ[Date]&lt;=$C$8),CRDJ[Credit])))+(SUM(IF((GJ[Sort Code]=(TRIM(E$5)))*(GJ[Account Code]=(TRIM($B78)))*(GJ[Date]&lt;=$C$8),GJ[Credit]))))</f>
        <v>0</v>
      </c>
      <c r="D78" s="466">
        <f t="array" ref="D78">((SUM(IF((CkDJ[Date]=$A$4)*(CkDJ[Sort Code]=(TRIM(E$5)))*(CkDJ[Account Code]=(TRIM($B78))),CkDJ[Debit])))+(SUM(IF((CsDJ[Date]=$A$4)*(CsDJ[Sort Code]=(TRIM(E$5)))*(CsDJ[Account Code]=(TRIM($B78))),CsDJ[Debit])))+(SUM(IF((CRDJ[Date]=$A$4)*(CRDJ[Sort Code]=(TRIM(E$5)))*(CRDJ[Account Code]=(TRIM($B78))),CRDJ[Debit])))+(SUM(IF((GJ[Date]=$A$4)*(GJ[Sort Code]=(TRIM(E$5)))*(GJ[Account Code]=(TRIM($B78))),GJ[Debit]))))-((SUM(IF((CkDJ[Date]=$A$4)*(CkDJ[Sort Code]=(TRIM(E$5)))*(CkDJ[Account Code]=(TRIM($B78))),CkDJ[Credit])))+(SUM(IF((CsDJ[Date]=$A$4)*(CsDJ[Sort Code]=(TRIM(E$5)))*(CsDJ[Account Code]=(TRIM($B78))),CsDJ[Credit])))+(SUM(IF((CRDJ[Date]=$A$4)*(CRDJ[Sort Code]=(TRIM(E$5)))*(CRDJ[Account Code]=(TRIM($B78))),CRDJ[Credit])))+(SUM(IF((GJ[Date]=$A$4)*(GJ[Sort Code]=(TRIM(E$5)))*(GJ[Account Code]=(TRIM($B78))),GJ[Credit]))))</f>
        <v>0</v>
      </c>
      <c r="E78" s="467">
        <f t="shared" si="3"/>
        <v>0</v>
      </c>
    </row>
    <row r="79" spans="1:5" x14ac:dyDescent="0.2">
      <c r="A79" s="476" t="s">
        <v>287</v>
      </c>
      <c r="B79" s="339" t="s">
        <v>226</v>
      </c>
      <c r="C79" s="466">
        <f t="array" ref="C79">((SUM(IF((CkDJ[Sort Code]=(TRIM(E$5)))*(CkDJ[Account Code]=(TRIM($B79)))*(CkDJ[Date]&lt;=$C$8),CkDJ[Debit])))+(SUM(IF((CsDJ[Sort Code]=(TRIM(E$5)))*(CsDJ[Account Code]=(TRIM($B79)))*(CsDJ[Date]&lt;=$C$8),CsDJ[Debit])))+(SUM(IF((CRDJ[Sort Code]=(TRIM(E$5)))*(CRDJ[Account Code]=(TRIM($B79)))*(CRDJ[Date]&lt;=$C$8),CRDJ[Debit])))+(SUM(IF((GJ[Sort Code]=(TRIM(E$5)))*(GJ[Account Code]=(TRIM($B79)))*(GJ[Date]&lt;=$C$8),GJ[Debit]))))-((SUM(IF((CkDJ[Sort Code]=(TRIM(E$5)))*(CkDJ[Account Code]=(TRIM($B79)))*(CkDJ[Date]&lt;=$C$8),CkDJ[Credit])))+(SUM(IF((CsDJ[Sort Code]=(TRIM(E$5)))*(CsDJ[Account Code]=(TRIM($B79)))*(CsDJ[Date]&lt;=$C$8),CsDJ[Credit])))+(SUM(IF((CRDJ[Sort Code]=(TRIM(E$5)))*(CRDJ[Account Code]=(TRIM($B79)))*(CRDJ[Date]&lt;=$C$8),CRDJ[Credit])))+(SUM(IF((GJ[Sort Code]=(TRIM(E$5)))*(GJ[Account Code]=(TRIM($B79)))*(GJ[Date]&lt;=$C$8),GJ[Credit]))))</f>
        <v>0</v>
      </c>
      <c r="D79" s="466">
        <f t="array" ref="D79">((SUM(IF((CkDJ[Date]=$A$4)*(CkDJ[Sort Code]=(TRIM(E$5)))*(CkDJ[Account Code]=(TRIM($B79))),CkDJ[Debit])))+(SUM(IF((CsDJ[Date]=$A$4)*(CsDJ[Sort Code]=(TRIM(E$5)))*(CsDJ[Account Code]=(TRIM($B79))),CsDJ[Debit])))+(SUM(IF((CRDJ[Date]=$A$4)*(CRDJ[Sort Code]=(TRIM(E$5)))*(CRDJ[Account Code]=(TRIM($B79))),CRDJ[Debit])))+(SUM(IF((GJ[Date]=$A$4)*(GJ[Sort Code]=(TRIM(E$5)))*(GJ[Account Code]=(TRIM($B79))),GJ[Debit]))))-((SUM(IF((CkDJ[Date]=$A$4)*(CkDJ[Sort Code]=(TRIM(E$5)))*(CkDJ[Account Code]=(TRIM($B79))),CkDJ[Credit])))+(SUM(IF((CsDJ[Date]=$A$4)*(CsDJ[Sort Code]=(TRIM(E$5)))*(CsDJ[Account Code]=(TRIM($B79))),CsDJ[Credit])))+(SUM(IF((CRDJ[Date]=$A$4)*(CRDJ[Sort Code]=(TRIM(E$5)))*(CRDJ[Account Code]=(TRIM($B79))),CRDJ[Credit])))+(SUM(IF((GJ[Date]=$A$4)*(GJ[Sort Code]=(TRIM(E$5)))*(GJ[Account Code]=(TRIM($B79))),GJ[Credit]))))</f>
        <v>0</v>
      </c>
      <c r="E79" s="467">
        <f t="shared" si="3"/>
        <v>0</v>
      </c>
    </row>
    <row r="80" spans="1:5" x14ac:dyDescent="0.2">
      <c r="A80" s="476" t="s">
        <v>1017</v>
      </c>
      <c r="B80" s="339" t="s">
        <v>227</v>
      </c>
      <c r="C80" s="466">
        <f t="array" ref="C80">((SUM(IF((CkDJ[Sort Code]=(TRIM(E$5)))*(CkDJ[Account Code]=(TRIM($B80)))*(CkDJ[Date]&lt;=$C$8),CkDJ[Debit])))+(SUM(IF((CsDJ[Sort Code]=(TRIM(E$5)))*(CsDJ[Account Code]=(TRIM($B80)))*(CsDJ[Date]&lt;=$C$8),CsDJ[Debit])))+(SUM(IF((CRDJ[Sort Code]=(TRIM(E$5)))*(CRDJ[Account Code]=(TRIM($B80)))*(CRDJ[Date]&lt;=$C$8),CRDJ[Debit])))+(SUM(IF((GJ[Sort Code]=(TRIM(E$5)))*(GJ[Account Code]=(TRIM($B80)))*(GJ[Date]&lt;=$C$8),GJ[Debit]))))-((SUM(IF((CkDJ[Sort Code]=(TRIM(E$5)))*(CkDJ[Account Code]=(TRIM($B80)))*(CkDJ[Date]&lt;=$C$8),CkDJ[Credit])))+(SUM(IF((CsDJ[Sort Code]=(TRIM(E$5)))*(CsDJ[Account Code]=(TRIM($B80)))*(CsDJ[Date]&lt;=$C$8),CsDJ[Credit])))+(SUM(IF((CRDJ[Sort Code]=(TRIM(E$5)))*(CRDJ[Account Code]=(TRIM($B80)))*(CRDJ[Date]&lt;=$C$8),CRDJ[Credit])))+(SUM(IF((GJ[Sort Code]=(TRIM(E$5)))*(GJ[Account Code]=(TRIM($B80)))*(GJ[Date]&lt;=$C$8),GJ[Credit]))))</f>
        <v>0</v>
      </c>
      <c r="D80" s="466">
        <f t="array" ref="D80">((SUM(IF((CkDJ[Date]=$A$4)*(CkDJ[Sort Code]=(TRIM(E$5)))*(CkDJ[Account Code]=(TRIM($B80))),CkDJ[Debit])))+(SUM(IF((CsDJ[Date]=$A$4)*(CsDJ[Sort Code]=(TRIM(E$5)))*(CsDJ[Account Code]=(TRIM($B80))),CsDJ[Debit])))+(SUM(IF((CRDJ[Date]=$A$4)*(CRDJ[Sort Code]=(TRIM(E$5)))*(CRDJ[Account Code]=(TRIM($B80))),CRDJ[Debit])))+(SUM(IF((GJ[Date]=$A$4)*(GJ[Sort Code]=(TRIM(E$5)))*(GJ[Account Code]=(TRIM($B80))),GJ[Debit]))))-((SUM(IF((CkDJ[Date]=$A$4)*(CkDJ[Sort Code]=(TRIM(E$5)))*(CkDJ[Account Code]=(TRIM($B80))),CkDJ[Credit])))+(SUM(IF((CsDJ[Date]=$A$4)*(CsDJ[Sort Code]=(TRIM(E$5)))*(CsDJ[Account Code]=(TRIM($B80))),CsDJ[Credit])))+(SUM(IF((CRDJ[Date]=$A$4)*(CRDJ[Sort Code]=(TRIM(E$5)))*(CRDJ[Account Code]=(TRIM($B80))),CRDJ[Credit])))+(SUM(IF((GJ[Date]=$A$4)*(GJ[Sort Code]=(TRIM(E$5)))*(GJ[Account Code]=(TRIM($B80))),GJ[Credit]))))</f>
        <v>0</v>
      </c>
      <c r="E80" s="467">
        <f t="shared" si="3"/>
        <v>0</v>
      </c>
    </row>
    <row r="81" spans="1:5" x14ac:dyDescent="0.2">
      <c r="A81" s="476" t="s">
        <v>1018</v>
      </c>
      <c r="B81" s="339" t="s">
        <v>228</v>
      </c>
      <c r="C81" s="466">
        <f t="array" ref="C81">((SUM(IF((CkDJ[Sort Code]=(TRIM(E$5)))*(CkDJ[Account Code]=(TRIM($B81)))*(CkDJ[Date]&lt;=$C$8),CkDJ[Debit])))+(SUM(IF((CsDJ[Sort Code]=(TRIM(E$5)))*(CsDJ[Account Code]=(TRIM($B81)))*(CsDJ[Date]&lt;=$C$8),CsDJ[Debit])))+(SUM(IF((CRDJ[Sort Code]=(TRIM(E$5)))*(CRDJ[Account Code]=(TRIM($B81)))*(CRDJ[Date]&lt;=$C$8),CRDJ[Debit])))+(SUM(IF((GJ[Sort Code]=(TRIM(E$5)))*(GJ[Account Code]=(TRIM($B81)))*(GJ[Date]&lt;=$C$8),GJ[Debit]))))-((SUM(IF((CkDJ[Sort Code]=(TRIM(E$5)))*(CkDJ[Account Code]=(TRIM($B81)))*(CkDJ[Date]&lt;=$C$8),CkDJ[Credit])))+(SUM(IF((CsDJ[Sort Code]=(TRIM(E$5)))*(CsDJ[Account Code]=(TRIM($B81)))*(CsDJ[Date]&lt;=$C$8),CsDJ[Credit])))+(SUM(IF((CRDJ[Sort Code]=(TRIM(E$5)))*(CRDJ[Account Code]=(TRIM($B81)))*(CRDJ[Date]&lt;=$C$8),CRDJ[Credit])))+(SUM(IF((GJ[Sort Code]=(TRIM(E$5)))*(GJ[Account Code]=(TRIM($B81)))*(GJ[Date]&lt;=$C$8),GJ[Credit]))))</f>
        <v>0</v>
      </c>
      <c r="D81" s="466">
        <f t="array" ref="D81">((SUM(IF((CkDJ[Date]=$A$4)*(CkDJ[Sort Code]=(TRIM(E$5)))*(CkDJ[Account Code]=(TRIM($B81))),CkDJ[Debit])))+(SUM(IF((CsDJ[Date]=$A$4)*(CsDJ[Sort Code]=(TRIM(E$5)))*(CsDJ[Account Code]=(TRIM($B81))),CsDJ[Debit])))+(SUM(IF((CRDJ[Date]=$A$4)*(CRDJ[Sort Code]=(TRIM(E$5)))*(CRDJ[Account Code]=(TRIM($B81))),CRDJ[Debit])))+(SUM(IF((GJ[Date]=$A$4)*(GJ[Sort Code]=(TRIM(E$5)))*(GJ[Account Code]=(TRIM($B81))),GJ[Debit]))))-((SUM(IF((CkDJ[Date]=$A$4)*(CkDJ[Sort Code]=(TRIM(E$5)))*(CkDJ[Account Code]=(TRIM($B81))),CkDJ[Credit])))+(SUM(IF((CsDJ[Date]=$A$4)*(CsDJ[Sort Code]=(TRIM(E$5)))*(CsDJ[Account Code]=(TRIM($B81))),CsDJ[Credit])))+(SUM(IF((CRDJ[Date]=$A$4)*(CRDJ[Sort Code]=(TRIM(E$5)))*(CRDJ[Account Code]=(TRIM($B81))),CRDJ[Credit])))+(SUM(IF((GJ[Date]=$A$4)*(GJ[Sort Code]=(TRIM(E$5)))*(GJ[Account Code]=(TRIM($B81))),GJ[Credit]))))</f>
        <v>0</v>
      </c>
      <c r="E81" s="467">
        <f t="shared" si="3"/>
        <v>0</v>
      </c>
    </row>
    <row r="82" spans="1:5" x14ac:dyDescent="0.2">
      <c r="A82" s="476" t="s">
        <v>289</v>
      </c>
      <c r="B82" s="339" t="s">
        <v>229</v>
      </c>
      <c r="C82" s="466">
        <f t="array" ref="C82">((SUM(IF((CkDJ[Sort Code]=(TRIM(E$5)))*(CkDJ[Account Code]=(TRIM($B82)))*(CkDJ[Date]&lt;=$C$8),CkDJ[Debit])))+(SUM(IF((CsDJ[Sort Code]=(TRIM(E$5)))*(CsDJ[Account Code]=(TRIM($B82)))*(CsDJ[Date]&lt;=$C$8),CsDJ[Debit])))+(SUM(IF((CRDJ[Sort Code]=(TRIM(E$5)))*(CRDJ[Account Code]=(TRIM($B82)))*(CRDJ[Date]&lt;=$C$8),CRDJ[Debit])))+(SUM(IF((GJ[Sort Code]=(TRIM(E$5)))*(GJ[Account Code]=(TRIM($B82)))*(GJ[Date]&lt;=$C$8),GJ[Debit]))))-((SUM(IF((CkDJ[Sort Code]=(TRIM(E$5)))*(CkDJ[Account Code]=(TRIM($B82)))*(CkDJ[Date]&lt;=$C$8),CkDJ[Credit])))+(SUM(IF((CsDJ[Sort Code]=(TRIM(E$5)))*(CsDJ[Account Code]=(TRIM($B82)))*(CsDJ[Date]&lt;=$C$8),CsDJ[Credit])))+(SUM(IF((CRDJ[Sort Code]=(TRIM(E$5)))*(CRDJ[Account Code]=(TRIM($B82)))*(CRDJ[Date]&lt;=$C$8),CRDJ[Credit])))+(SUM(IF((GJ[Sort Code]=(TRIM(E$5)))*(GJ[Account Code]=(TRIM($B82)))*(GJ[Date]&lt;=$C$8),GJ[Credit]))))</f>
        <v>0</v>
      </c>
      <c r="D82" s="466">
        <f t="array" ref="D82">((SUM(IF((CkDJ[Date]=$A$4)*(CkDJ[Sort Code]=(TRIM(E$5)))*(CkDJ[Account Code]=(TRIM($B82))),CkDJ[Debit])))+(SUM(IF((CsDJ[Date]=$A$4)*(CsDJ[Sort Code]=(TRIM(E$5)))*(CsDJ[Account Code]=(TRIM($B82))),CsDJ[Debit])))+(SUM(IF((CRDJ[Date]=$A$4)*(CRDJ[Sort Code]=(TRIM(E$5)))*(CRDJ[Account Code]=(TRIM($B82))),CRDJ[Debit])))+(SUM(IF((GJ[Date]=$A$4)*(GJ[Sort Code]=(TRIM(E$5)))*(GJ[Account Code]=(TRIM($B82))),GJ[Debit]))))-((SUM(IF((CkDJ[Date]=$A$4)*(CkDJ[Sort Code]=(TRIM(E$5)))*(CkDJ[Account Code]=(TRIM($B82))),CkDJ[Credit])))+(SUM(IF((CsDJ[Date]=$A$4)*(CsDJ[Sort Code]=(TRIM(E$5)))*(CsDJ[Account Code]=(TRIM($B82))),CsDJ[Credit])))+(SUM(IF((CRDJ[Date]=$A$4)*(CRDJ[Sort Code]=(TRIM(E$5)))*(CRDJ[Account Code]=(TRIM($B82))),CRDJ[Credit])))+(SUM(IF((GJ[Date]=$A$4)*(GJ[Sort Code]=(TRIM(E$5)))*(GJ[Account Code]=(TRIM($B82))),GJ[Credit]))))</f>
        <v>0</v>
      </c>
      <c r="E82" s="467">
        <f t="shared" si="3"/>
        <v>0</v>
      </c>
    </row>
    <row r="83" spans="1:5" x14ac:dyDescent="0.2">
      <c r="A83" s="476" t="s">
        <v>290</v>
      </c>
      <c r="B83" s="339" t="s">
        <v>230</v>
      </c>
      <c r="C83" s="466">
        <f t="array" ref="C83">((SUM(IF((CkDJ[Sort Code]=(TRIM(E$5)))*(CkDJ[Account Code]=(TRIM($B83)))*(CkDJ[Date]&lt;=$C$8),CkDJ[Debit])))+(SUM(IF((CsDJ[Sort Code]=(TRIM(E$5)))*(CsDJ[Account Code]=(TRIM($B83)))*(CsDJ[Date]&lt;=$C$8),CsDJ[Debit])))+(SUM(IF((CRDJ[Sort Code]=(TRIM(E$5)))*(CRDJ[Account Code]=(TRIM($B83)))*(CRDJ[Date]&lt;=$C$8),CRDJ[Debit])))+(SUM(IF((GJ[Sort Code]=(TRIM(E$5)))*(GJ[Account Code]=(TRIM($B83)))*(GJ[Date]&lt;=$C$8),GJ[Debit]))))-((SUM(IF((CkDJ[Sort Code]=(TRIM(E$5)))*(CkDJ[Account Code]=(TRIM($B83)))*(CkDJ[Date]&lt;=$C$8),CkDJ[Credit])))+(SUM(IF((CsDJ[Sort Code]=(TRIM(E$5)))*(CsDJ[Account Code]=(TRIM($B83)))*(CsDJ[Date]&lt;=$C$8),CsDJ[Credit])))+(SUM(IF((CRDJ[Sort Code]=(TRIM(E$5)))*(CRDJ[Account Code]=(TRIM($B83)))*(CRDJ[Date]&lt;=$C$8),CRDJ[Credit])))+(SUM(IF((GJ[Sort Code]=(TRIM(E$5)))*(GJ[Account Code]=(TRIM($B83)))*(GJ[Date]&lt;=$C$8),GJ[Credit]))))</f>
        <v>0</v>
      </c>
      <c r="D83" s="466">
        <f t="array" ref="D83">((SUM(IF((CkDJ[Date]=$A$4)*(CkDJ[Sort Code]=(TRIM(E$5)))*(CkDJ[Account Code]=(TRIM($B83))),CkDJ[Debit])))+(SUM(IF((CsDJ[Date]=$A$4)*(CsDJ[Sort Code]=(TRIM(E$5)))*(CsDJ[Account Code]=(TRIM($B83))),CsDJ[Debit])))+(SUM(IF((CRDJ[Date]=$A$4)*(CRDJ[Sort Code]=(TRIM(E$5)))*(CRDJ[Account Code]=(TRIM($B83))),CRDJ[Debit])))+(SUM(IF((GJ[Date]=$A$4)*(GJ[Sort Code]=(TRIM(E$5)))*(GJ[Account Code]=(TRIM($B83))),GJ[Debit]))))-((SUM(IF((CkDJ[Date]=$A$4)*(CkDJ[Sort Code]=(TRIM(E$5)))*(CkDJ[Account Code]=(TRIM($B83))),CkDJ[Credit])))+(SUM(IF((CsDJ[Date]=$A$4)*(CsDJ[Sort Code]=(TRIM(E$5)))*(CsDJ[Account Code]=(TRIM($B83))),CsDJ[Credit])))+(SUM(IF((CRDJ[Date]=$A$4)*(CRDJ[Sort Code]=(TRIM(E$5)))*(CRDJ[Account Code]=(TRIM($B83))),CRDJ[Credit])))+(SUM(IF((GJ[Date]=$A$4)*(GJ[Sort Code]=(TRIM(E$5)))*(GJ[Account Code]=(TRIM($B83))),GJ[Credit]))))</f>
        <v>0</v>
      </c>
      <c r="E83" s="467">
        <f t="shared" si="3"/>
        <v>0</v>
      </c>
    </row>
    <row r="84" spans="1:5" x14ac:dyDescent="0.2">
      <c r="A84" s="476" t="s">
        <v>291</v>
      </c>
      <c r="B84" s="339" t="s">
        <v>231</v>
      </c>
      <c r="C84" s="466">
        <f t="array" ref="C84">((SUM(IF((CkDJ[Sort Code]=(TRIM(E$5)))*(CkDJ[Account Code]=(TRIM($B84)))*(CkDJ[Date]&lt;=$C$8),CkDJ[Debit])))+(SUM(IF((CsDJ[Sort Code]=(TRIM(E$5)))*(CsDJ[Account Code]=(TRIM($B84)))*(CsDJ[Date]&lt;=$C$8),CsDJ[Debit])))+(SUM(IF((CRDJ[Sort Code]=(TRIM(E$5)))*(CRDJ[Account Code]=(TRIM($B84)))*(CRDJ[Date]&lt;=$C$8),CRDJ[Debit])))+(SUM(IF((GJ[Sort Code]=(TRIM(E$5)))*(GJ[Account Code]=(TRIM($B84)))*(GJ[Date]&lt;=$C$8),GJ[Debit]))))-((SUM(IF((CkDJ[Sort Code]=(TRIM(E$5)))*(CkDJ[Account Code]=(TRIM($B84)))*(CkDJ[Date]&lt;=$C$8),CkDJ[Credit])))+(SUM(IF((CsDJ[Sort Code]=(TRIM(E$5)))*(CsDJ[Account Code]=(TRIM($B84)))*(CsDJ[Date]&lt;=$C$8),CsDJ[Credit])))+(SUM(IF((CRDJ[Sort Code]=(TRIM(E$5)))*(CRDJ[Account Code]=(TRIM($B84)))*(CRDJ[Date]&lt;=$C$8),CRDJ[Credit])))+(SUM(IF((GJ[Sort Code]=(TRIM(E$5)))*(GJ[Account Code]=(TRIM($B84)))*(GJ[Date]&lt;=$C$8),GJ[Credit]))))</f>
        <v>0</v>
      </c>
      <c r="D84" s="466">
        <f t="array" ref="D84">((SUM(IF((CkDJ[Date]=$A$4)*(CkDJ[Sort Code]=(TRIM(E$5)))*(CkDJ[Account Code]=(TRIM($B84))),CkDJ[Debit])))+(SUM(IF((CsDJ[Date]=$A$4)*(CsDJ[Sort Code]=(TRIM(E$5)))*(CsDJ[Account Code]=(TRIM($B84))),CsDJ[Debit])))+(SUM(IF((CRDJ[Date]=$A$4)*(CRDJ[Sort Code]=(TRIM(E$5)))*(CRDJ[Account Code]=(TRIM($B84))),CRDJ[Debit])))+(SUM(IF((GJ[Date]=$A$4)*(GJ[Sort Code]=(TRIM(E$5)))*(GJ[Account Code]=(TRIM($B84))),GJ[Debit]))))-((SUM(IF((CkDJ[Date]=$A$4)*(CkDJ[Sort Code]=(TRIM(E$5)))*(CkDJ[Account Code]=(TRIM($B84))),CkDJ[Credit])))+(SUM(IF((CsDJ[Date]=$A$4)*(CsDJ[Sort Code]=(TRIM(E$5)))*(CsDJ[Account Code]=(TRIM($B84))),CsDJ[Credit])))+(SUM(IF((CRDJ[Date]=$A$4)*(CRDJ[Sort Code]=(TRIM(E$5)))*(CRDJ[Account Code]=(TRIM($B84))),CRDJ[Credit])))+(SUM(IF((GJ[Date]=$A$4)*(GJ[Sort Code]=(TRIM(E$5)))*(GJ[Account Code]=(TRIM($B84))),GJ[Credit]))))</f>
        <v>0</v>
      </c>
      <c r="E84" s="467">
        <f t="shared" si="3"/>
        <v>0</v>
      </c>
    </row>
    <row r="85" spans="1:5" x14ac:dyDescent="0.2">
      <c r="A85" s="476" t="s">
        <v>292</v>
      </c>
      <c r="B85" s="339" t="s">
        <v>232</v>
      </c>
      <c r="C85" s="466">
        <f t="array" ref="C85">((SUM(IF((CkDJ[Sort Code]=(TRIM(E$5)))*(CkDJ[Account Code]=(TRIM($B85)))*(CkDJ[Date]&lt;=$C$8),CkDJ[Debit])))+(SUM(IF((CsDJ[Sort Code]=(TRIM(E$5)))*(CsDJ[Account Code]=(TRIM($B85)))*(CsDJ[Date]&lt;=$C$8),CsDJ[Debit])))+(SUM(IF((CRDJ[Sort Code]=(TRIM(E$5)))*(CRDJ[Account Code]=(TRIM($B85)))*(CRDJ[Date]&lt;=$C$8),CRDJ[Debit])))+(SUM(IF((GJ[Sort Code]=(TRIM(E$5)))*(GJ[Account Code]=(TRIM($B85)))*(GJ[Date]&lt;=$C$8),GJ[Debit]))))-((SUM(IF((CkDJ[Sort Code]=(TRIM(E$5)))*(CkDJ[Account Code]=(TRIM($B85)))*(CkDJ[Date]&lt;=$C$8),CkDJ[Credit])))+(SUM(IF((CsDJ[Sort Code]=(TRIM(E$5)))*(CsDJ[Account Code]=(TRIM($B85)))*(CsDJ[Date]&lt;=$C$8),CsDJ[Credit])))+(SUM(IF((CRDJ[Sort Code]=(TRIM(E$5)))*(CRDJ[Account Code]=(TRIM($B85)))*(CRDJ[Date]&lt;=$C$8),CRDJ[Credit])))+(SUM(IF((GJ[Sort Code]=(TRIM(E$5)))*(GJ[Account Code]=(TRIM($B85)))*(GJ[Date]&lt;=$C$8),GJ[Credit]))))</f>
        <v>0</v>
      </c>
      <c r="D85" s="466">
        <f t="array" ref="D85">((SUM(IF((CkDJ[Date]=$A$4)*(CkDJ[Sort Code]=(TRIM(E$5)))*(CkDJ[Account Code]=(TRIM($B85))),CkDJ[Debit])))+(SUM(IF((CsDJ[Date]=$A$4)*(CsDJ[Sort Code]=(TRIM(E$5)))*(CsDJ[Account Code]=(TRIM($B85))),CsDJ[Debit])))+(SUM(IF((CRDJ[Date]=$A$4)*(CRDJ[Sort Code]=(TRIM(E$5)))*(CRDJ[Account Code]=(TRIM($B85))),CRDJ[Debit])))+(SUM(IF((GJ[Date]=$A$4)*(GJ[Sort Code]=(TRIM(E$5)))*(GJ[Account Code]=(TRIM($B85))),GJ[Debit]))))-((SUM(IF((CkDJ[Date]=$A$4)*(CkDJ[Sort Code]=(TRIM(E$5)))*(CkDJ[Account Code]=(TRIM($B85))),CkDJ[Credit])))+(SUM(IF((CsDJ[Date]=$A$4)*(CsDJ[Sort Code]=(TRIM(E$5)))*(CsDJ[Account Code]=(TRIM($B85))),CsDJ[Credit])))+(SUM(IF((CRDJ[Date]=$A$4)*(CRDJ[Sort Code]=(TRIM(E$5)))*(CRDJ[Account Code]=(TRIM($B85))),CRDJ[Credit])))+(SUM(IF((GJ[Date]=$A$4)*(GJ[Sort Code]=(TRIM(E$5)))*(GJ[Account Code]=(TRIM($B85))),GJ[Credit]))))</f>
        <v>0</v>
      </c>
      <c r="E85" s="467">
        <f t="shared" si="3"/>
        <v>0</v>
      </c>
    </row>
    <row r="86" spans="1:5" x14ac:dyDescent="0.2">
      <c r="A86" s="476" t="s">
        <v>293</v>
      </c>
      <c r="B86" s="339" t="s">
        <v>233</v>
      </c>
      <c r="C86" s="466">
        <f t="array" ref="C86">((SUM(IF((CkDJ[Sort Code]=(TRIM(E$5)))*(CkDJ[Account Code]=(TRIM($B86)))*(CkDJ[Date]&lt;=$C$8),CkDJ[Debit])))+(SUM(IF((CsDJ[Sort Code]=(TRIM(E$5)))*(CsDJ[Account Code]=(TRIM($B86)))*(CsDJ[Date]&lt;=$C$8),CsDJ[Debit])))+(SUM(IF((CRDJ[Sort Code]=(TRIM(E$5)))*(CRDJ[Account Code]=(TRIM($B86)))*(CRDJ[Date]&lt;=$C$8),CRDJ[Debit])))+(SUM(IF((GJ[Sort Code]=(TRIM(E$5)))*(GJ[Account Code]=(TRIM($B86)))*(GJ[Date]&lt;=$C$8),GJ[Debit]))))-((SUM(IF((CkDJ[Sort Code]=(TRIM(E$5)))*(CkDJ[Account Code]=(TRIM($B86)))*(CkDJ[Date]&lt;=$C$8),CkDJ[Credit])))+(SUM(IF((CsDJ[Sort Code]=(TRIM(E$5)))*(CsDJ[Account Code]=(TRIM($B86)))*(CsDJ[Date]&lt;=$C$8),CsDJ[Credit])))+(SUM(IF((CRDJ[Sort Code]=(TRIM(E$5)))*(CRDJ[Account Code]=(TRIM($B86)))*(CRDJ[Date]&lt;=$C$8),CRDJ[Credit])))+(SUM(IF((GJ[Sort Code]=(TRIM(E$5)))*(GJ[Account Code]=(TRIM($B86)))*(GJ[Date]&lt;=$C$8),GJ[Credit]))))</f>
        <v>0</v>
      </c>
      <c r="D86" s="466">
        <f t="array" ref="D86">((SUM(IF((CkDJ[Date]=$A$4)*(CkDJ[Sort Code]=(TRIM(E$5)))*(CkDJ[Account Code]=(TRIM($B86))),CkDJ[Debit])))+(SUM(IF((CsDJ[Date]=$A$4)*(CsDJ[Sort Code]=(TRIM(E$5)))*(CsDJ[Account Code]=(TRIM($B86))),CsDJ[Debit])))+(SUM(IF((CRDJ[Date]=$A$4)*(CRDJ[Sort Code]=(TRIM(E$5)))*(CRDJ[Account Code]=(TRIM($B86))),CRDJ[Debit])))+(SUM(IF((GJ[Date]=$A$4)*(GJ[Sort Code]=(TRIM(E$5)))*(GJ[Account Code]=(TRIM($B86))),GJ[Debit]))))-((SUM(IF((CkDJ[Date]=$A$4)*(CkDJ[Sort Code]=(TRIM(E$5)))*(CkDJ[Account Code]=(TRIM($B86))),CkDJ[Credit])))+(SUM(IF((CsDJ[Date]=$A$4)*(CsDJ[Sort Code]=(TRIM(E$5)))*(CsDJ[Account Code]=(TRIM($B86))),CsDJ[Credit])))+(SUM(IF((CRDJ[Date]=$A$4)*(CRDJ[Sort Code]=(TRIM(E$5)))*(CRDJ[Account Code]=(TRIM($B86))),CRDJ[Credit])))+(SUM(IF((GJ[Date]=$A$4)*(GJ[Sort Code]=(TRIM(E$5)))*(GJ[Account Code]=(TRIM($B86))),GJ[Credit]))))</f>
        <v>0</v>
      </c>
      <c r="E86" s="467">
        <f t="shared" si="3"/>
        <v>0</v>
      </c>
    </row>
    <row r="87" spans="1:5" x14ac:dyDescent="0.2">
      <c r="A87" s="476" t="s">
        <v>1475</v>
      </c>
      <c r="B87" s="339" t="s">
        <v>1265</v>
      </c>
      <c r="C87" s="466">
        <f t="array" ref="C87">((SUM(IF((CkDJ[Sort Code]=(TRIM(E$5)))*(CkDJ[Account Code]=(TRIM($B87)))*(CkDJ[Date]&lt;=$C$8),CkDJ[Debit])))+(SUM(IF((CsDJ[Sort Code]=(TRIM(E$5)))*(CsDJ[Account Code]=(TRIM($B87)))*(CsDJ[Date]&lt;=$C$8),CsDJ[Debit])))+(SUM(IF((CRDJ[Sort Code]=(TRIM(E$5)))*(CRDJ[Account Code]=(TRIM($B87)))*(CRDJ[Date]&lt;=$C$8),CRDJ[Debit])))+(SUM(IF((GJ[Sort Code]=(TRIM(E$5)))*(GJ[Account Code]=(TRIM($B87)))*(GJ[Date]&lt;=$C$8),GJ[Debit]))))-((SUM(IF((CkDJ[Sort Code]=(TRIM(E$5)))*(CkDJ[Account Code]=(TRIM($B87)))*(CkDJ[Date]&lt;=$C$8),CkDJ[Credit])))+(SUM(IF((CsDJ[Sort Code]=(TRIM(E$5)))*(CsDJ[Account Code]=(TRIM($B87)))*(CsDJ[Date]&lt;=$C$8),CsDJ[Credit])))+(SUM(IF((CRDJ[Sort Code]=(TRIM(E$5)))*(CRDJ[Account Code]=(TRIM($B87)))*(CRDJ[Date]&lt;=$C$8),CRDJ[Credit])))+(SUM(IF((GJ[Sort Code]=(TRIM(E$5)))*(GJ[Account Code]=(TRIM($B87)))*(GJ[Date]&lt;=$C$8),GJ[Credit]))))</f>
        <v>0</v>
      </c>
      <c r="D87" s="466">
        <f t="array" ref="D87">((SUM(IF((CkDJ[Date]=$A$4)*(CkDJ[Sort Code]=(TRIM(E$5)))*(CkDJ[Account Code]=(TRIM($B87))),CkDJ[Debit])))+(SUM(IF((CsDJ[Date]=$A$4)*(CsDJ[Sort Code]=(TRIM(E$5)))*(CsDJ[Account Code]=(TRIM($B87))),CsDJ[Debit])))+(SUM(IF((CRDJ[Date]=$A$4)*(CRDJ[Sort Code]=(TRIM(E$5)))*(CRDJ[Account Code]=(TRIM($B87))),CRDJ[Debit])))+(SUM(IF((GJ[Date]=$A$4)*(GJ[Sort Code]=(TRIM(E$5)))*(GJ[Account Code]=(TRIM($B87))),GJ[Debit]))))-((SUM(IF((CkDJ[Date]=$A$4)*(CkDJ[Sort Code]=(TRIM(E$5)))*(CkDJ[Account Code]=(TRIM($B87))),CkDJ[Credit])))+(SUM(IF((CsDJ[Date]=$A$4)*(CsDJ[Sort Code]=(TRIM(E$5)))*(CsDJ[Account Code]=(TRIM($B87))),CsDJ[Credit])))+(SUM(IF((CRDJ[Date]=$A$4)*(CRDJ[Sort Code]=(TRIM(E$5)))*(CRDJ[Account Code]=(TRIM($B87))),CRDJ[Credit])))+(SUM(IF((GJ[Date]=$A$4)*(GJ[Sort Code]=(TRIM(E$5)))*(GJ[Account Code]=(TRIM($B87))),GJ[Credit]))))</f>
        <v>0</v>
      </c>
      <c r="E87" s="467">
        <f>C87+D87</f>
        <v>0</v>
      </c>
    </row>
    <row r="88" spans="1:5" x14ac:dyDescent="0.2">
      <c r="A88" s="476" t="s">
        <v>1475</v>
      </c>
      <c r="B88" s="339" t="s">
        <v>1266</v>
      </c>
      <c r="C88" s="466">
        <f t="array" ref="C88">((SUM(IF((CkDJ[Sort Code]=(TRIM(E$5)))*(CkDJ[Account Code]=(TRIM($B88)))*(CkDJ[Date]&lt;=$C$8),CkDJ[Debit])))+(SUM(IF((CsDJ[Sort Code]=(TRIM(E$5)))*(CsDJ[Account Code]=(TRIM($B88)))*(CsDJ[Date]&lt;=$C$8),CsDJ[Debit])))+(SUM(IF((CRDJ[Sort Code]=(TRIM(E$5)))*(CRDJ[Account Code]=(TRIM($B88)))*(CRDJ[Date]&lt;=$C$8),CRDJ[Debit])))+(SUM(IF((GJ[Sort Code]=(TRIM(E$5)))*(GJ[Account Code]=(TRIM($B88)))*(GJ[Date]&lt;=$C$8),GJ[Debit]))))-((SUM(IF((CkDJ[Sort Code]=(TRIM(E$5)))*(CkDJ[Account Code]=(TRIM($B88)))*(CkDJ[Date]&lt;=$C$8),CkDJ[Credit])))+(SUM(IF((CsDJ[Sort Code]=(TRIM(E$5)))*(CsDJ[Account Code]=(TRIM($B88)))*(CsDJ[Date]&lt;=$C$8),CsDJ[Credit])))+(SUM(IF((CRDJ[Sort Code]=(TRIM(E$5)))*(CRDJ[Account Code]=(TRIM($B88)))*(CRDJ[Date]&lt;=$C$8),CRDJ[Credit])))+(SUM(IF((GJ[Sort Code]=(TRIM(E$5)))*(GJ[Account Code]=(TRIM($B88)))*(GJ[Date]&lt;=$C$8),GJ[Credit]))))</f>
        <v>0</v>
      </c>
      <c r="D88" s="466">
        <f t="array" ref="D88">((SUM(IF((CkDJ[Date]=$A$4)*(CkDJ[Sort Code]=(TRIM(E$5)))*(CkDJ[Account Code]=(TRIM($B88))),CkDJ[Debit])))+(SUM(IF((CsDJ[Date]=$A$4)*(CsDJ[Sort Code]=(TRIM(E$5)))*(CsDJ[Account Code]=(TRIM($B88))),CsDJ[Debit])))+(SUM(IF((CRDJ[Date]=$A$4)*(CRDJ[Sort Code]=(TRIM(E$5)))*(CRDJ[Account Code]=(TRIM($B88))),CRDJ[Debit])))+(SUM(IF((GJ[Date]=$A$4)*(GJ[Sort Code]=(TRIM(E$5)))*(GJ[Account Code]=(TRIM($B88))),GJ[Debit]))))-((SUM(IF((CkDJ[Date]=$A$4)*(CkDJ[Sort Code]=(TRIM(E$5)))*(CkDJ[Account Code]=(TRIM($B88))),CkDJ[Credit])))+(SUM(IF((CsDJ[Date]=$A$4)*(CsDJ[Sort Code]=(TRIM(E$5)))*(CsDJ[Account Code]=(TRIM($B88))),CsDJ[Credit])))+(SUM(IF((CRDJ[Date]=$A$4)*(CRDJ[Sort Code]=(TRIM(E$5)))*(CRDJ[Account Code]=(TRIM($B88))),CRDJ[Credit])))+(SUM(IF((GJ[Date]=$A$4)*(GJ[Sort Code]=(TRIM(E$5)))*(GJ[Account Code]=(TRIM($B88))),GJ[Credit]))))</f>
        <v>0</v>
      </c>
      <c r="E88" s="467">
        <f>C88+D88</f>
        <v>0</v>
      </c>
    </row>
    <row r="89" spans="1:5" x14ac:dyDescent="0.2">
      <c r="A89" s="476" t="s">
        <v>294</v>
      </c>
      <c r="B89" s="339" t="s">
        <v>234</v>
      </c>
      <c r="C89" s="466">
        <f t="array" ref="C89">((SUM(IF((CkDJ[Sort Code]=(TRIM(E$5)))*(CkDJ[Account Code]=(TRIM($B89)))*(CkDJ[Date]&lt;=$C$8),CkDJ[Debit])))+(SUM(IF((CsDJ[Sort Code]=(TRIM(E$5)))*(CsDJ[Account Code]=(TRIM($B89)))*(CsDJ[Date]&lt;=$C$8),CsDJ[Debit])))+(SUM(IF((CRDJ[Sort Code]=(TRIM(E$5)))*(CRDJ[Account Code]=(TRIM($B89)))*(CRDJ[Date]&lt;=$C$8),CRDJ[Debit])))+(SUM(IF((GJ[Sort Code]=(TRIM(E$5)))*(GJ[Account Code]=(TRIM($B89)))*(GJ[Date]&lt;=$C$8),GJ[Debit]))))-((SUM(IF((CkDJ[Sort Code]=(TRIM(E$5)))*(CkDJ[Account Code]=(TRIM($B89)))*(CkDJ[Date]&lt;=$C$8),CkDJ[Credit])))+(SUM(IF((CsDJ[Sort Code]=(TRIM(E$5)))*(CsDJ[Account Code]=(TRIM($B89)))*(CsDJ[Date]&lt;=$C$8),CsDJ[Credit])))+(SUM(IF((CRDJ[Sort Code]=(TRIM(E$5)))*(CRDJ[Account Code]=(TRIM($B89)))*(CRDJ[Date]&lt;=$C$8),CRDJ[Credit])))+(SUM(IF((GJ[Sort Code]=(TRIM(E$5)))*(GJ[Account Code]=(TRIM($B89)))*(GJ[Date]&lt;=$C$8),GJ[Credit]))))</f>
        <v>0</v>
      </c>
      <c r="D89" s="466">
        <f t="array" ref="D89">((SUM(IF((CkDJ[Date]=$A$4)*(CkDJ[Sort Code]=(TRIM(E$5)))*(CkDJ[Account Code]=(TRIM($B89))),CkDJ[Debit])))+(SUM(IF((CsDJ[Date]=$A$4)*(CsDJ[Sort Code]=(TRIM(E$5)))*(CsDJ[Account Code]=(TRIM($B89))),CsDJ[Debit])))+(SUM(IF((CRDJ[Date]=$A$4)*(CRDJ[Sort Code]=(TRIM(E$5)))*(CRDJ[Account Code]=(TRIM($B89))),CRDJ[Debit])))+(SUM(IF((GJ[Date]=$A$4)*(GJ[Sort Code]=(TRIM(E$5)))*(GJ[Account Code]=(TRIM($B89))),GJ[Debit]))))-((SUM(IF((CkDJ[Date]=$A$4)*(CkDJ[Sort Code]=(TRIM(E$5)))*(CkDJ[Account Code]=(TRIM($B89))),CkDJ[Credit])))+(SUM(IF((CsDJ[Date]=$A$4)*(CsDJ[Sort Code]=(TRIM(E$5)))*(CsDJ[Account Code]=(TRIM($B89))),CsDJ[Credit])))+(SUM(IF((CRDJ[Date]=$A$4)*(CRDJ[Sort Code]=(TRIM(E$5)))*(CRDJ[Account Code]=(TRIM($B89))),CRDJ[Credit])))+(SUM(IF((GJ[Date]=$A$4)*(GJ[Sort Code]=(TRIM(E$5)))*(GJ[Account Code]=(TRIM($B89))),GJ[Credit]))))</f>
        <v>0</v>
      </c>
      <c r="E89" s="467">
        <f t="shared" si="3"/>
        <v>0</v>
      </c>
    </row>
    <row r="90" spans="1:5" x14ac:dyDescent="0.2">
      <c r="A90" s="476" t="s">
        <v>295</v>
      </c>
      <c r="B90" s="339" t="s">
        <v>235</v>
      </c>
      <c r="C90" s="466">
        <f t="array" ref="C90">((SUM(IF((CkDJ[Sort Code]=(TRIM(E$5)))*(CkDJ[Account Code]=(TRIM($B90)))*(CkDJ[Date]&lt;=$C$8),CkDJ[Debit])))+(SUM(IF((CsDJ[Sort Code]=(TRIM(E$5)))*(CsDJ[Account Code]=(TRIM($B90)))*(CsDJ[Date]&lt;=$C$8),CsDJ[Debit])))+(SUM(IF((CRDJ[Sort Code]=(TRIM(E$5)))*(CRDJ[Account Code]=(TRIM($B90)))*(CRDJ[Date]&lt;=$C$8),CRDJ[Debit])))+(SUM(IF((GJ[Sort Code]=(TRIM(E$5)))*(GJ[Account Code]=(TRIM($B90)))*(GJ[Date]&lt;=$C$8),GJ[Debit]))))-((SUM(IF((CkDJ[Sort Code]=(TRIM(E$5)))*(CkDJ[Account Code]=(TRIM($B90)))*(CkDJ[Date]&lt;=$C$8),CkDJ[Credit])))+(SUM(IF((CsDJ[Sort Code]=(TRIM(E$5)))*(CsDJ[Account Code]=(TRIM($B90)))*(CsDJ[Date]&lt;=$C$8),CsDJ[Credit])))+(SUM(IF((CRDJ[Sort Code]=(TRIM(E$5)))*(CRDJ[Account Code]=(TRIM($B90)))*(CRDJ[Date]&lt;=$C$8),CRDJ[Credit])))+(SUM(IF((GJ[Sort Code]=(TRIM(E$5)))*(GJ[Account Code]=(TRIM($B90)))*(GJ[Date]&lt;=$C$8),GJ[Credit]))))</f>
        <v>0</v>
      </c>
      <c r="D90" s="466">
        <f t="array" ref="D90">((SUM(IF((CkDJ[Date]=$A$4)*(CkDJ[Sort Code]=(TRIM(E$5)))*(CkDJ[Account Code]=(TRIM($B90))),CkDJ[Debit])))+(SUM(IF((CsDJ[Date]=$A$4)*(CsDJ[Sort Code]=(TRIM(E$5)))*(CsDJ[Account Code]=(TRIM($B90))),CsDJ[Debit])))+(SUM(IF((CRDJ[Date]=$A$4)*(CRDJ[Sort Code]=(TRIM(E$5)))*(CRDJ[Account Code]=(TRIM($B90))),CRDJ[Debit])))+(SUM(IF((GJ[Date]=$A$4)*(GJ[Sort Code]=(TRIM(E$5)))*(GJ[Account Code]=(TRIM($B90))),GJ[Debit]))))-((SUM(IF((CkDJ[Date]=$A$4)*(CkDJ[Sort Code]=(TRIM(E$5)))*(CkDJ[Account Code]=(TRIM($B90))),CkDJ[Credit])))+(SUM(IF((CsDJ[Date]=$A$4)*(CsDJ[Sort Code]=(TRIM(E$5)))*(CsDJ[Account Code]=(TRIM($B90))),CsDJ[Credit])))+(SUM(IF((CRDJ[Date]=$A$4)*(CRDJ[Sort Code]=(TRIM(E$5)))*(CRDJ[Account Code]=(TRIM($B90))),CRDJ[Credit])))+(SUM(IF((GJ[Date]=$A$4)*(GJ[Sort Code]=(TRIM(E$5)))*(GJ[Account Code]=(TRIM($B90))),GJ[Credit]))))</f>
        <v>0</v>
      </c>
      <c r="E90" s="467">
        <f t="shared" si="3"/>
        <v>0</v>
      </c>
    </row>
    <row r="91" spans="1:5" x14ac:dyDescent="0.2">
      <c r="A91" s="476" t="s">
        <v>296</v>
      </c>
      <c r="B91" s="339" t="s">
        <v>236</v>
      </c>
      <c r="C91" s="466">
        <f t="array" ref="C91">((SUM(IF((CkDJ[Sort Code]=(TRIM(E$5)))*(CkDJ[Account Code]=(TRIM($B91)))*(CkDJ[Date]&lt;=$C$8),CkDJ[Debit])))+(SUM(IF((CsDJ[Sort Code]=(TRIM(E$5)))*(CsDJ[Account Code]=(TRIM($B91)))*(CsDJ[Date]&lt;=$C$8),CsDJ[Debit])))+(SUM(IF((CRDJ[Sort Code]=(TRIM(E$5)))*(CRDJ[Account Code]=(TRIM($B91)))*(CRDJ[Date]&lt;=$C$8),CRDJ[Debit])))+(SUM(IF((GJ[Sort Code]=(TRIM(E$5)))*(GJ[Account Code]=(TRIM($B91)))*(GJ[Date]&lt;=$C$8),GJ[Debit]))))-((SUM(IF((CkDJ[Sort Code]=(TRIM(E$5)))*(CkDJ[Account Code]=(TRIM($B91)))*(CkDJ[Date]&lt;=$C$8),CkDJ[Credit])))+(SUM(IF((CsDJ[Sort Code]=(TRIM(E$5)))*(CsDJ[Account Code]=(TRIM($B91)))*(CsDJ[Date]&lt;=$C$8),CsDJ[Credit])))+(SUM(IF((CRDJ[Sort Code]=(TRIM(E$5)))*(CRDJ[Account Code]=(TRIM($B91)))*(CRDJ[Date]&lt;=$C$8),CRDJ[Credit])))+(SUM(IF((GJ[Sort Code]=(TRIM(E$5)))*(GJ[Account Code]=(TRIM($B91)))*(GJ[Date]&lt;=$C$8),GJ[Credit]))))</f>
        <v>0</v>
      </c>
      <c r="D91" s="466">
        <f t="array" ref="D91">((SUM(IF((CkDJ[Date]=$A$4)*(CkDJ[Sort Code]=(TRIM(E$5)))*(CkDJ[Account Code]=(TRIM($B91))),CkDJ[Debit])))+(SUM(IF((CsDJ[Date]=$A$4)*(CsDJ[Sort Code]=(TRIM(E$5)))*(CsDJ[Account Code]=(TRIM($B91))),CsDJ[Debit])))+(SUM(IF((CRDJ[Date]=$A$4)*(CRDJ[Sort Code]=(TRIM(E$5)))*(CRDJ[Account Code]=(TRIM($B91))),CRDJ[Debit])))+(SUM(IF((GJ[Date]=$A$4)*(GJ[Sort Code]=(TRIM(E$5)))*(GJ[Account Code]=(TRIM($B91))),GJ[Debit]))))-((SUM(IF((CkDJ[Date]=$A$4)*(CkDJ[Sort Code]=(TRIM(E$5)))*(CkDJ[Account Code]=(TRIM($B91))),CkDJ[Credit])))+(SUM(IF((CsDJ[Date]=$A$4)*(CsDJ[Sort Code]=(TRIM(E$5)))*(CsDJ[Account Code]=(TRIM($B91))),CsDJ[Credit])))+(SUM(IF((CRDJ[Date]=$A$4)*(CRDJ[Sort Code]=(TRIM(E$5)))*(CRDJ[Account Code]=(TRIM($B91))),CRDJ[Credit])))+(SUM(IF((GJ[Date]=$A$4)*(GJ[Sort Code]=(TRIM(E$5)))*(GJ[Account Code]=(TRIM($B91))),GJ[Credit]))))</f>
        <v>0</v>
      </c>
      <c r="E91" s="467">
        <f t="shared" si="3"/>
        <v>0</v>
      </c>
    </row>
    <row r="92" spans="1:5" x14ac:dyDescent="0.2">
      <c r="A92" s="476" t="s">
        <v>297</v>
      </c>
      <c r="B92" s="339" t="s">
        <v>237</v>
      </c>
      <c r="C92" s="466">
        <f t="array" ref="C92">((SUM(IF((CkDJ[Sort Code]=(TRIM(E$5)))*(CkDJ[Account Code]=(TRIM($B92)))*(CkDJ[Date]&lt;=$C$8),CkDJ[Debit])))+(SUM(IF((CsDJ[Sort Code]=(TRIM(E$5)))*(CsDJ[Account Code]=(TRIM($B92)))*(CsDJ[Date]&lt;=$C$8),CsDJ[Debit])))+(SUM(IF((CRDJ[Sort Code]=(TRIM(E$5)))*(CRDJ[Account Code]=(TRIM($B92)))*(CRDJ[Date]&lt;=$C$8),CRDJ[Debit])))+(SUM(IF((GJ[Sort Code]=(TRIM(E$5)))*(GJ[Account Code]=(TRIM($B92)))*(GJ[Date]&lt;=$C$8),GJ[Debit]))))-((SUM(IF((CkDJ[Sort Code]=(TRIM(E$5)))*(CkDJ[Account Code]=(TRIM($B92)))*(CkDJ[Date]&lt;=$C$8),CkDJ[Credit])))+(SUM(IF((CsDJ[Sort Code]=(TRIM(E$5)))*(CsDJ[Account Code]=(TRIM($B92)))*(CsDJ[Date]&lt;=$C$8),CsDJ[Credit])))+(SUM(IF((CRDJ[Sort Code]=(TRIM(E$5)))*(CRDJ[Account Code]=(TRIM($B92)))*(CRDJ[Date]&lt;=$C$8),CRDJ[Credit])))+(SUM(IF((GJ[Sort Code]=(TRIM(E$5)))*(GJ[Account Code]=(TRIM($B92)))*(GJ[Date]&lt;=$C$8),GJ[Credit]))))</f>
        <v>0</v>
      </c>
      <c r="D92" s="466">
        <f t="array" ref="D92">((SUM(IF((CkDJ[Date]=$A$4)*(CkDJ[Sort Code]=(TRIM(E$5)))*(CkDJ[Account Code]=(TRIM($B92))),CkDJ[Debit])))+(SUM(IF((CsDJ[Date]=$A$4)*(CsDJ[Sort Code]=(TRIM(E$5)))*(CsDJ[Account Code]=(TRIM($B92))),CsDJ[Debit])))+(SUM(IF((CRDJ[Date]=$A$4)*(CRDJ[Sort Code]=(TRIM(E$5)))*(CRDJ[Account Code]=(TRIM($B92))),CRDJ[Debit])))+(SUM(IF((GJ[Date]=$A$4)*(GJ[Sort Code]=(TRIM(E$5)))*(GJ[Account Code]=(TRIM($B92))),GJ[Debit]))))-((SUM(IF((CkDJ[Date]=$A$4)*(CkDJ[Sort Code]=(TRIM(E$5)))*(CkDJ[Account Code]=(TRIM($B92))),CkDJ[Credit])))+(SUM(IF((CsDJ[Date]=$A$4)*(CsDJ[Sort Code]=(TRIM(E$5)))*(CsDJ[Account Code]=(TRIM($B92))),CsDJ[Credit])))+(SUM(IF((CRDJ[Date]=$A$4)*(CRDJ[Sort Code]=(TRIM(E$5)))*(CRDJ[Account Code]=(TRIM($B92))),CRDJ[Credit])))+(SUM(IF((GJ[Date]=$A$4)*(GJ[Sort Code]=(TRIM(E$5)))*(GJ[Account Code]=(TRIM($B92))),GJ[Credit]))))</f>
        <v>0</v>
      </c>
      <c r="E92" s="467">
        <f t="shared" si="3"/>
        <v>0</v>
      </c>
    </row>
    <row r="93" spans="1:5" x14ac:dyDescent="0.2">
      <c r="A93" s="476" t="s">
        <v>298</v>
      </c>
      <c r="B93" s="339" t="s">
        <v>238</v>
      </c>
      <c r="C93" s="466">
        <f t="array" ref="C93">((SUM(IF((CkDJ[Sort Code]=(TRIM(E$5)))*(CkDJ[Account Code]=(TRIM($B93)))*(CkDJ[Date]&lt;=$C$8),CkDJ[Debit])))+(SUM(IF((CsDJ[Sort Code]=(TRIM(E$5)))*(CsDJ[Account Code]=(TRIM($B93)))*(CsDJ[Date]&lt;=$C$8),CsDJ[Debit])))+(SUM(IF((CRDJ[Sort Code]=(TRIM(E$5)))*(CRDJ[Account Code]=(TRIM($B93)))*(CRDJ[Date]&lt;=$C$8),CRDJ[Debit])))+(SUM(IF((GJ[Sort Code]=(TRIM(E$5)))*(GJ[Account Code]=(TRIM($B93)))*(GJ[Date]&lt;=$C$8),GJ[Debit]))))-((SUM(IF((CkDJ[Sort Code]=(TRIM(E$5)))*(CkDJ[Account Code]=(TRIM($B93)))*(CkDJ[Date]&lt;=$C$8),CkDJ[Credit])))+(SUM(IF((CsDJ[Sort Code]=(TRIM(E$5)))*(CsDJ[Account Code]=(TRIM($B93)))*(CsDJ[Date]&lt;=$C$8),CsDJ[Credit])))+(SUM(IF((CRDJ[Sort Code]=(TRIM(E$5)))*(CRDJ[Account Code]=(TRIM($B93)))*(CRDJ[Date]&lt;=$C$8),CRDJ[Credit])))+(SUM(IF((GJ[Sort Code]=(TRIM(E$5)))*(GJ[Account Code]=(TRIM($B93)))*(GJ[Date]&lt;=$C$8),GJ[Credit]))))</f>
        <v>0</v>
      </c>
      <c r="D93" s="466">
        <f t="array" ref="D93">((SUM(IF((CkDJ[Date]=$A$4)*(CkDJ[Sort Code]=(TRIM(E$5)))*(CkDJ[Account Code]=(TRIM($B93))),CkDJ[Debit])))+(SUM(IF((CsDJ[Date]=$A$4)*(CsDJ[Sort Code]=(TRIM(E$5)))*(CsDJ[Account Code]=(TRIM($B93))),CsDJ[Debit])))+(SUM(IF((CRDJ[Date]=$A$4)*(CRDJ[Sort Code]=(TRIM(E$5)))*(CRDJ[Account Code]=(TRIM($B93))),CRDJ[Debit])))+(SUM(IF((GJ[Date]=$A$4)*(GJ[Sort Code]=(TRIM(E$5)))*(GJ[Account Code]=(TRIM($B93))),GJ[Debit]))))-((SUM(IF((CkDJ[Date]=$A$4)*(CkDJ[Sort Code]=(TRIM(E$5)))*(CkDJ[Account Code]=(TRIM($B93))),CkDJ[Credit])))+(SUM(IF((CsDJ[Date]=$A$4)*(CsDJ[Sort Code]=(TRIM(E$5)))*(CsDJ[Account Code]=(TRIM($B93))),CsDJ[Credit])))+(SUM(IF((CRDJ[Date]=$A$4)*(CRDJ[Sort Code]=(TRIM(E$5)))*(CRDJ[Account Code]=(TRIM($B93))),CRDJ[Credit])))+(SUM(IF((GJ[Date]=$A$4)*(GJ[Sort Code]=(TRIM(E$5)))*(GJ[Account Code]=(TRIM($B93))),GJ[Credit]))))</f>
        <v>0</v>
      </c>
      <c r="E93" s="467">
        <f t="shared" si="3"/>
        <v>0</v>
      </c>
    </row>
    <row r="94" spans="1:5" x14ac:dyDescent="0.2">
      <c r="A94" s="476" t="s">
        <v>1019</v>
      </c>
      <c r="B94" s="339" t="s">
        <v>239</v>
      </c>
      <c r="C94" s="466">
        <f t="array" ref="C94">((SUM(IF((CkDJ[Sort Code]=(TRIM(E$5)))*(CkDJ[Account Code]=(TRIM($B94)))*(CkDJ[Date]&lt;=$C$8),CkDJ[Debit])))+(SUM(IF((CsDJ[Sort Code]=(TRIM(E$5)))*(CsDJ[Account Code]=(TRIM($B94)))*(CsDJ[Date]&lt;=$C$8),CsDJ[Debit])))+(SUM(IF((CRDJ[Sort Code]=(TRIM(E$5)))*(CRDJ[Account Code]=(TRIM($B94)))*(CRDJ[Date]&lt;=$C$8),CRDJ[Debit])))+(SUM(IF((GJ[Sort Code]=(TRIM(E$5)))*(GJ[Account Code]=(TRIM($B94)))*(GJ[Date]&lt;=$C$8),GJ[Debit]))))-((SUM(IF((CkDJ[Sort Code]=(TRIM(E$5)))*(CkDJ[Account Code]=(TRIM($B94)))*(CkDJ[Date]&lt;=$C$8),CkDJ[Credit])))+(SUM(IF((CsDJ[Sort Code]=(TRIM(E$5)))*(CsDJ[Account Code]=(TRIM($B94)))*(CsDJ[Date]&lt;=$C$8),CsDJ[Credit])))+(SUM(IF((CRDJ[Sort Code]=(TRIM(E$5)))*(CRDJ[Account Code]=(TRIM($B94)))*(CRDJ[Date]&lt;=$C$8),CRDJ[Credit])))+(SUM(IF((GJ[Sort Code]=(TRIM(E$5)))*(GJ[Account Code]=(TRIM($B94)))*(GJ[Date]&lt;=$C$8),GJ[Credit]))))</f>
        <v>0</v>
      </c>
      <c r="D94" s="466">
        <f t="array" ref="D94">((SUM(IF((CkDJ[Date]=$A$4)*(CkDJ[Sort Code]=(TRIM(E$5)))*(CkDJ[Account Code]=(TRIM($B94))),CkDJ[Debit])))+(SUM(IF((CsDJ[Date]=$A$4)*(CsDJ[Sort Code]=(TRIM(E$5)))*(CsDJ[Account Code]=(TRIM($B94))),CsDJ[Debit])))+(SUM(IF((CRDJ[Date]=$A$4)*(CRDJ[Sort Code]=(TRIM(E$5)))*(CRDJ[Account Code]=(TRIM($B94))),CRDJ[Debit])))+(SUM(IF((GJ[Date]=$A$4)*(GJ[Sort Code]=(TRIM(E$5)))*(GJ[Account Code]=(TRIM($B94))),GJ[Debit]))))-((SUM(IF((CkDJ[Date]=$A$4)*(CkDJ[Sort Code]=(TRIM(E$5)))*(CkDJ[Account Code]=(TRIM($B94))),CkDJ[Credit])))+(SUM(IF((CsDJ[Date]=$A$4)*(CsDJ[Sort Code]=(TRIM(E$5)))*(CsDJ[Account Code]=(TRIM($B94))),CsDJ[Credit])))+(SUM(IF((CRDJ[Date]=$A$4)*(CRDJ[Sort Code]=(TRIM(E$5)))*(CRDJ[Account Code]=(TRIM($B94))),CRDJ[Credit])))+(SUM(IF((GJ[Date]=$A$4)*(GJ[Sort Code]=(TRIM(E$5)))*(GJ[Account Code]=(TRIM($B94))),GJ[Credit]))))</f>
        <v>0</v>
      </c>
      <c r="E94" s="467">
        <f t="shared" si="3"/>
        <v>0</v>
      </c>
    </row>
    <row r="95" spans="1:5" x14ac:dyDescent="0.2">
      <c r="A95" s="476" t="s">
        <v>1020</v>
      </c>
      <c r="B95" s="339" t="s">
        <v>240</v>
      </c>
      <c r="C95" s="466">
        <f t="array" ref="C95">((SUM(IF((CkDJ[Sort Code]=(TRIM(E$5)))*(CkDJ[Account Code]=(TRIM($B95)))*(CkDJ[Date]&lt;=$C$8),CkDJ[Debit])))+(SUM(IF((CsDJ[Sort Code]=(TRIM(E$5)))*(CsDJ[Account Code]=(TRIM($B95)))*(CsDJ[Date]&lt;=$C$8),CsDJ[Debit])))+(SUM(IF((CRDJ[Sort Code]=(TRIM(E$5)))*(CRDJ[Account Code]=(TRIM($B95)))*(CRDJ[Date]&lt;=$C$8),CRDJ[Debit])))+(SUM(IF((GJ[Sort Code]=(TRIM(E$5)))*(GJ[Account Code]=(TRIM($B95)))*(GJ[Date]&lt;=$C$8),GJ[Debit]))))-((SUM(IF((CkDJ[Sort Code]=(TRIM(E$5)))*(CkDJ[Account Code]=(TRIM($B95)))*(CkDJ[Date]&lt;=$C$8),CkDJ[Credit])))+(SUM(IF((CsDJ[Sort Code]=(TRIM(E$5)))*(CsDJ[Account Code]=(TRIM($B95)))*(CsDJ[Date]&lt;=$C$8),CsDJ[Credit])))+(SUM(IF((CRDJ[Sort Code]=(TRIM(E$5)))*(CRDJ[Account Code]=(TRIM($B95)))*(CRDJ[Date]&lt;=$C$8),CRDJ[Credit])))+(SUM(IF((GJ[Sort Code]=(TRIM(E$5)))*(GJ[Account Code]=(TRIM($B95)))*(GJ[Date]&lt;=$C$8),GJ[Credit]))))</f>
        <v>0</v>
      </c>
      <c r="D95" s="466">
        <f t="array" ref="D95">((SUM(IF((CkDJ[Date]=$A$4)*(CkDJ[Sort Code]=(TRIM(E$5)))*(CkDJ[Account Code]=(TRIM($B95))),CkDJ[Debit])))+(SUM(IF((CsDJ[Date]=$A$4)*(CsDJ[Sort Code]=(TRIM(E$5)))*(CsDJ[Account Code]=(TRIM($B95))),CsDJ[Debit])))+(SUM(IF((CRDJ[Date]=$A$4)*(CRDJ[Sort Code]=(TRIM(E$5)))*(CRDJ[Account Code]=(TRIM($B95))),CRDJ[Debit])))+(SUM(IF((GJ[Date]=$A$4)*(GJ[Sort Code]=(TRIM(E$5)))*(GJ[Account Code]=(TRIM($B95))),GJ[Debit]))))-((SUM(IF((CkDJ[Date]=$A$4)*(CkDJ[Sort Code]=(TRIM(E$5)))*(CkDJ[Account Code]=(TRIM($B95))),CkDJ[Credit])))+(SUM(IF((CsDJ[Date]=$A$4)*(CsDJ[Sort Code]=(TRIM(E$5)))*(CsDJ[Account Code]=(TRIM($B95))),CsDJ[Credit])))+(SUM(IF((CRDJ[Date]=$A$4)*(CRDJ[Sort Code]=(TRIM(E$5)))*(CRDJ[Account Code]=(TRIM($B95))),CRDJ[Credit])))+(SUM(IF((GJ[Date]=$A$4)*(GJ[Sort Code]=(TRIM(E$5)))*(GJ[Account Code]=(TRIM($B95))),GJ[Credit]))))</f>
        <v>0</v>
      </c>
      <c r="E95" s="467">
        <f t="shared" si="3"/>
        <v>0</v>
      </c>
    </row>
    <row r="96" spans="1:5" x14ac:dyDescent="0.2">
      <c r="A96" s="476" t="s">
        <v>299</v>
      </c>
      <c r="B96" s="339" t="s">
        <v>241</v>
      </c>
      <c r="C96" s="466">
        <f t="array" ref="C96">((SUM(IF((CkDJ[Sort Code]=(TRIM(E$5)))*(CkDJ[Account Code]=(TRIM($B96)))*(CkDJ[Date]&lt;=$C$8),CkDJ[Debit])))+(SUM(IF((CsDJ[Sort Code]=(TRIM(E$5)))*(CsDJ[Account Code]=(TRIM($B96)))*(CsDJ[Date]&lt;=$C$8),CsDJ[Debit])))+(SUM(IF((CRDJ[Sort Code]=(TRIM(E$5)))*(CRDJ[Account Code]=(TRIM($B96)))*(CRDJ[Date]&lt;=$C$8),CRDJ[Debit])))+(SUM(IF((GJ[Sort Code]=(TRIM(E$5)))*(GJ[Account Code]=(TRIM($B96)))*(GJ[Date]&lt;=$C$8),GJ[Debit]))))-((SUM(IF((CkDJ[Sort Code]=(TRIM(E$5)))*(CkDJ[Account Code]=(TRIM($B96)))*(CkDJ[Date]&lt;=$C$8),CkDJ[Credit])))+(SUM(IF((CsDJ[Sort Code]=(TRIM(E$5)))*(CsDJ[Account Code]=(TRIM($B96)))*(CsDJ[Date]&lt;=$C$8),CsDJ[Credit])))+(SUM(IF((CRDJ[Sort Code]=(TRIM(E$5)))*(CRDJ[Account Code]=(TRIM($B96)))*(CRDJ[Date]&lt;=$C$8),CRDJ[Credit])))+(SUM(IF((GJ[Sort Code]=(TRIM(E$5)))*(GJ[Account Code]=(TRIM($B96)))*(GJ[Date]&lt;=$C$8),GJ[Credit]))))</f>
        <v>0</v>
      </c>
      <c r="D96" s="466">
        <f t="array" ref="D96">((SUM(IF((CkDJ[Date]=$A$4)*(CkDJ[Sort Code]=(TRIM(E$5)))*(CkDJ[Account Code]=(TRIM($B96))),CkDJ[Debit])))+(SUM(IF((CsDJ[Date]=$A$4)*(CsDJ[Sort Code]=(TRIM(E$5)))*(CsDJ[Account Code]=(TRIM($B96))),CsDJ[Debit])))+(SUM(IF((CRDJ[Date]=$A$4)*(CRDJ[Sort Code]=(TRIM(E$5)))*(CRDJ[Account Code]=(TRIM($B96))),CRDJ[Debit])))+(SUM(IF((GJ[Date]=$A$4)*(GJ[Sort Code]=(TRIM(E$5)))*(GJ[Account Code]=(TRIM($B96))),GJ[Debit]))))-((SUM(IF((CkDJ[Date]=$A$4)*(CkDJ[Sort Code]=(TRIM(E$5)))*(CkDJ[Account Code]=(TRIM($B96))),CkDJ[Credit])))+(SUM(IF((CsDJ[Date]=$A$4)*(CsDJ[Sort Code]=(TRIM(E$5)))*(CsDJ[Account Code]=(TRIM($B96))),CsDJ[Credit])))+(SUM(IF((CRDJ[Date]=$A$4)*(CRDJ[Sort Code]=(TRIM(E$5)))*(CRDJ[Account Code]=(TRIM($B96))),CRDJ[Credit])))+(SUM(IF((GJ[Date]=$A$4)*(GJ[Sort Code]=(TRIM(E$5)))*(GJ[Account Code]=(TRIM($B96))),GJ[Credit]))))</f>
        <v>0</v>
      </c>
      <c r="E96" s="467">
        <f t="shared" si="3"/>
        <v>0</v>
      </c>
    </row>
    <row r="97" spans="1:5" x14ac:dyDescent="0.2">
      <c r="A97" s="476" t="s">
        <v>300</v>
      </c>
      <c r="B97" s="339" t="s">
        <v>242</v>
      </c>
      <c r="C97" s="466">
        <f t="array" ref="C97">((SUM(IF((CkDJ[Sort Code]=(TRIM(E$5)))*(CkDJ[Account Code]=(TRIM($B97)))*(CkDJ[Date]&lt;=$C$8),CkDJ[Debit])))+(SUM(IF((CsDJ[Sort Code]=(TRIM(E$5)))*(CsDJ[Account Code]=(TRIM($B97)))*(CsDJ[Date]&lt;=$C$8),CsDJ[Debit])))+(SUM(IF((CRDJ[Sort Code]=(TRIM(E$5)))*(CRDJ[Account Code]=(TRIM($B97)))*(CRDJ[Date]&lt;=$C$8),CRDJ[Debit])))+(SUM(IF((GJ[Sort Code]=(TRIM(E$5)))*(GJ[Account Code]=(TRIM($B97)))*(GJ[Date]&lt;=$C$8),GJ[Debit]))))-((SUM(IF((CkDJ[Sort Code]=(TRIM(E$5)))*(CkDJ[Account Code]=(TRIM($B97)))*(CkDJ[Date]&lt;=$C$8),CkDJ[Credit])))+(SUM(IF((CsDJ[Sort Code]=(TRIM(E$5)))*(CsDJ[Account Code]=(TRIM($B97)))*(CsDJ[Date]&lt;=$C$8),CsDJ[Credit])))+(SUM(IF((CRDJ[Sort Code]=(TRIM(E$5)))*(CRDJ[Account Code]=(TRIM($B97)))*(CRDJ[Date]&lt;=$C$8),CRDJ[Credit])))+(SUM(IF((GJ[Sort Code]=(TRIM(E$5)))*(GJ[Account Code]=(TRIM($B97)))*(GJ[Date]&lt;=$C$8),GJ[Credit]))))</f>
        <v>0</v>
      </c>
      <c r="D97" s="466">
        <f t="array" ref="D97">((SUM(IF((CkDJ[Date]=$A$4)*(CkDJ[Sort Code]=(TRIM(E$5)))*(CkDJ[Account Code]=(TRIM($B97))),CkDJ[Debit])))+(SUM(IF((CsDJ[Date]=$A$4)*(CsDJ[Sort Code]=(TRIM(E$5)))*(CsDJ[Account Code]=(TRIM($B97))),CsDJ[Debit])))+(SUM(IF((CRDJ[Date]=$A$4)*(CRDJ[Sort Code]=(TRIM(E$5)))*(CRDJ[Account Code]=(TRIM($B97))),CRDJ[Debit])))+(SUM(IF((GJ[Date]=$A$4)*(GJ[Sort Code]=(TRIM(E$5)))*(GJ[Account Code]=(TRIM($B97))),GJ[Debit]))))-((SUM(IF((CkDJ[Date]=$A$4)*(CkDJ[Sort Code]=(TRIM(E$5)))*(CkDJ[Account Code]=(TRIM($B97))),CkDJ[Credit])))+(SUM(IF((CsDJ[Date]=$A$4)*(CsDJ[Sort Code]=(TRIM(E$5)))*(CsDJ[Account Code]=(TRIM($B97))),CsDJ[Credit])))+(SUM(IF((CRDJ[Date]=$A$4)*(CRDJ[Sort Code]=(TRIM(E$5)))*(CRDJ[Account Code]=(TRIM($B97))),CRDJ[Credit])))+(SUM(IF((GJ[Date]=$A$4)*(GJ[Sort Code]=(TRIM(E$5)))*(GJ[Account Code]=(TRIM($B97))),GJ[Credit]))))</f>
        <v>0</v>
      </c>
      <c r="E97" s="467">
        <f t="shared" si="3"/>
        <v>0</v>
      </c>
    </row>
    <row r="98" spans="1:5" x14ac:dyDescent="0.2">
      <c r="A98" s="476" t="s">
        <v>301</v>
      </c>
      <c r="B98" s="339" t="s">
        <v>243</v>
      </c>
      <c r="C98" s="466">
        <f t="array" ref="C98">((SUM(IF((CkDJ[Sort Code]=(TRIM(E$5)))*(CkDJ[Account Code]=(TRIM($B98)))*(CkDJ[Date]&lt;=$C$8),CkDJ[Debit])))+(SUM(IF((CsDJ[Sort Code]=(TRIM(E$5)))*(CsDJ[Account Code]=(TRIM($B98)))*(CsDJ[Date]&lt;=$C$8),CsDJ[Debit])))+(SUM(IF((CRDJ[Sort Code]=(TRIM(E$5)))*(CRDJ[Account Code]=(TRIM($B98)))*(CRDJ[Date]&lt;=$C$8),CRDJ[Debit])))+(SUM(IF((GJ[Sort Code]=(TRIM(E$5)))*(GJ[Account Code]=(TRIM($B98)))*(GJ[Date]&lt;=$C$8),GJ[Debit]))))-((SUM(IF((CkDJ[Sort Code]=(TRIM(E$5)))*(CkDJ[Account Code]=(TRIM($B98)))*(CkDJ[Date]&lt;=$C$8),CkDJ[Credit])))+(SUM(IF((CsDJ[Sort Code]=(TRIM(E$5)))*(CsDJ[Account Code]=(TRIM($B98)))*(CsDJ[Date]&lt;=$C$8),CsDJ[Credit])))+(SUM(IF((CRDJ[Sort Code]=(TRIM(E$5)))*(CRDJ[Account Code]=(TRIM($B98)))*(CRDJ[Date]&lt;=$C$8),CRDJ[Credit])))+(SUM(IF((GJ[Sort Code]=(TRIM(E$5)))*(GJ[Account Code]=(TRIM($B98)))*(GJ[Date]&lt;=$C$8),GJ[Credit]))))</f>
        <v>0</v>
      </c>
      <c r="D98" s="466">
        <f t="array" ref="D98">((SUM(IF((CkDJ[Date]=$A$4)*(CkDJ[Sort Code]=(TRIM(E$5)))*(CkDJ[Account Code]=(TRIM($B98))),CkDJ[Debit])))+(SUM(IF((CsDJ[Date]=$A$4)*(CsDJ[Sort Code]=(TRIM(E$5)))*(CsDJ[Account Code]=(TRIM($B98))),CsDJ[Debit])))+(SUM(IF((CRDJ[Date]=$A$4)*(CRDJ[Sort Code]=(TRIM(E$5)))*(CRDJ[Account Code]=(TRIM($B98))),CRDJ[Debit])))+(SUM(IF((GJ[Date]=$A$4)*(GJ[Sort Code]=(TRIM(E$5)))*(GJ[Account Code]=(TRIM($B98))),GJ[Debit]))))-((SUM(IF((CkDJ[Date]=$A$4)*(CkDJ[Sort Code]=(TRIM(E$5)))*(CkDJ[Account Code]=(TRIM($B98))),CkDJ[Credit])))+(SUM(IF((CsDJ[Date]=$A$4)*(CsDJ[Sort Code]=(TRIM(E$5)))*(CsDJ[Account Code]=(TRIM($B98))),CsDJ[Credit])))+(SUM(IF((CRDJ[Date]=$A$4)*(CRDJ[Sort Code]=(TRIM(E$5)))*(CRDJ[Account Code]=(TRIM($B98))),CRDJ[Credit])))+(SUM(IF((GJ[Date]=$A$4)*(GJ[Sort Code]=(TRIM(E$5)))*(GJ[Account Code]=(TRIM($B98))),GJ[Credit]))))</f>
        <v>0</v>
      </c>
      <c r="E98" s="467">
        <f t="shared" si="3"/>
        <v>0</v>
      </c>
    </row>
    <row r="99" spans="1:5" x14ac:dyDescent="0.2">
      <c r="A99" s="476" t="s">
        <v>302</v>
      </c>
      <c r="B99" s="339" t="s">
        <v>244</v>
      </c>
      <c r="C99" s="466">
        <f t="array" ref="C99">((SUM(IF((CkDJ[Sort Code]=(TRIM(E$5)))*(CkDJ[Account Code]=(TRIM($B99)))*(CkDJ[Date]&lt;=$C$8),CkDJ[Debit])))+(SUM(IF((CsDJ[Sort Code]=(TRIM(E$5)))*(CsDJ[Account Code]=(TRIM($B99)))*(CsDJ[Date]&lt;=$C$8),CsDJ[Debit])))+(SUM(IF((CRDJ[Sort Code]=(TRIM(E$5)))*(CRDJ[Account Code]=(TRIM($B99)))*(CRDJ[Date]&lt;=$C$8),CRDJ[Debit])))+(SUM(IF((GJ[Sort Code]=(TRIM(E$5)))*(GJ[Account Code]=(TRIM($B99)))*(GJ[Date]&lt;=$C$8),GJ[Debit]))))-((SUM(IF((CkDJ[Sort Code]=(TRIM(E$5)))*(CkDJ[Account Code]=(TRIM($B99)))*(CkDJ[Date]&lt;=$C$8),CkDJ[Credit])))+(SUM(IF((CsDJ[Sort Code]=(TRIM(E$5)))*(CsDJ[Account Code]=(TRIM($B99)))*(CsDJ[Date]&lt;=$C$8),CsDJ[Credit])))+(SUM(IF((CRDJ[Sort Code]=(TRIM(E$5)))*(CRDJ[Account Code]=(TRIM($B99)))*(CRDJ[Date]&lt;=$C$8),CRDJ[Credit])))+(SUM(IF((GJ[Sort Code]=(TRIM(E$5)))*(GJ[Account Code]=(TRIM($B99)))*(GJ[Date]&lt;=$C$8),GJ[Credit]))))</f>
        <v>0</v>
      </c>
      <c r="D99" s="466">
        <f t="array" ref="D99">((SUM(IF((CkDJ[Date]=$A$4)*(CkDJ[Sort Code]=(TRIM(E$5)))*(CkDJ[Account Code]=(TRIM($B99))),CkDJ[Debit])))+(SUM(IF((CsDJ[Date]=$A$4)*(CsDJ[Sort Code]=(TRIM(E$5)))*(CsDJ[Account Code]=(TRIM($B99))),CsDJ[Debit])))+(SUM(IF((CRDJ[Date]=$A$4)*(CRDJ[Sort Code]=(TRIM(E$5)))*(CRDJ[Account Code]=(TRIM($B99))),CRDJ[Debit])))+(SUM(IF((GJ[Date]=$A$4)*(GJ[Sort Code]=(TRIM(E$5)))*(GJ[Account Code]=(TRIM($B99))),GJ[Debit]))))-((SUM(IF((CkDJ[Date]=$A$4)*(CkDJ[Sort Code]=(TRIM(E$5)))*(CkDJ[Account Code]=(TRIM($B99))),CkDJ[Credit])))+(SUM(IF((CsDJ[Date]=$A$4)*(CsDJ[Sort Code]=(TRIM(E$5)))*(CsDJ[Account Code]=(TRIM($B99))),CsDJ[Credit])))+(SUM(IF((CRDJ[Date]=$A$4)*(CRDJ[Sort Code]=(TRIM(E$5)))*(CRDJ[Account Code]=(TRIM($B99))),CRDJ[Credit])))+(SUM(IF((GJ[Date]=$A$4)*(GJ[Sort Code]=(TRIM(E$5)))*(GJ[Account Code]=(TRIM($B99))),GJ[Credit]))))</f>
        <v>0</v>
      </c>
      <c r="E99" s="467">
        <f t="shared" si="3"/>
        <v>0</v>
      </c>
    </row>
    <row r="100" spans="1:5" x14ac:dyDescent="0.2">
      <c r="A100" s="476" t="s">
        <v>347</v>
      </c>
      <c r="B100" s="339" t="s">
        <v>338</v>
      </c>
      <c r="C100" s="466">
        <f t="array" ref="C100">((SUM(IF((CkDJ[Sort Code]=(TRIM(E$5)))*(CkDJ[Account Code]=(TRIM($B100)))*(CkDJ[Date]&lt;=$C$8),CkDJ[Debit])))+(SUM(IF((CsDJ[Sort Code]=(TRIM(E$5)))*(CsDJ[Account Code]=(TRIM($B100)))*(CsDJ[Date]&lt;=$C$8),CsDJ[Debit])))+(SUM(IF((CRDJ[Sort Code]=(TRIM(E$5)))*(CRDJ[Account Code]=(TRIM($B100)))*(CRDJ[Date]&lt;=$C$8),CRDJ[Debit])))+(SUM(IF((GJ[Sort Code]=(TRIM(E$5)))*(GJ[Account Code]=(TRIM($B100)))*(GJ[Date]&lt;=$C$8),GJ[Debit]))))-((SUM(IF((CkDJ[Sort Code]=(TRIM(E$5)))*(CkDJ[Account Code]=(TRIM($B100)))*(CkDJ[Date]&lt;=$C$8),CkDJ[Credit])))+(SUM(IF((CsDJ[Sort Code]=(TRIM(E$5)))*(CsDJ[Account Code]=(TRIM($B100)))*(CsDJ[Date]&lt;=$C$8),CsDJ[Credit])))+(SUM(IF((CRDJ[Sort Code]=(TRIM(E$5)))*(CRDJ[Account Code]=(TRIM($B100)))*(CRDJ[Date]&lt;=$C$8),CRDJ[Credit])))+(SUM(IF((GJ[Sort Code]=(TRIM(E$5)))*(GJ[Account Code]=(TRIM($B100)))*(GJ[Date]&lt;=$C$8),GJ[Credit]))))</f>
        <v>0</v>
      </c>
      <c r="D100" s="466">
        <f t="array" ref="D100">((SUM(IF((CkDJ[Date]=$A$4)*(CkDJ[Sort Code]=(TRIM(E$5)))*(CkDJ[Account Code]=(TRIM($B100))),CkDJ[Debit])))+(SUM(IF((CsDJ[Date]=$A$4)*(CsDJ[Sort Code]=(TRIM(E$5)))*(CsDJ[Account Code]=(TRIM($B100))),CsDJ[Debit])))+(SUM(IF((CRDJ[Date]=$A$4)*(CRDJ[Sort Code]=(TRIM(E$5)))*(CRDJ[Account Code]=(TRIM($B100))),CRDJ[Debit])))+(SUM(IF((GJ[Date]=$A$4)*(GJ[Sort Code]=(TRIM(E$5)))*(GJ[Account Code]=(TRIM($B100))),GJ[Debit]))))-((SUM(IF((CkDJ[Date]=$A$4)*(CkDJ[Sort Code]=(TRIM(E$5)))*(CkDJ[Account Code]=(TRIM($B100))),CkDJ[Credit])))+(SUM(IF((CsDJ[Date]=$A$4)*(CsDJ[Sort Code]=(TRIM(E$5)))*(CsDJ[Account Code]=(TRIM($B100))),CsDJ[Credit])))+(SUM(IF((CRDJ[Date]=$A$4)*(CRDJ[Sort Code]=(TRIM(E$5)))*(CRDJ[Account Code]=(TRIM($B100))),CRDJ[Credit])))+(SUM(IF((GJ[Date]=$A$4)*(GJ[Sort Code]=(TRIM(E$5)))*(GJ[Account Code]=(TRIM($B100))),GJ[Credit]))))</f>
        <v>0</v>
      </c>
      <c r="E100" s="467">
        <f t="shared" si="3"/>
        <v>0</v>
      </c>
    </row>
    <row r="101" spans="1:5" x14ac:dyDescent="0.2">
      <c r="A101" s="476" t="s">
        <v>348</v>
      </c>
      <c r="B101" s="339" t="s">
        <v>339</v>
      </c>
      <c r="C101" s="466">
        <f t="array" ref="C101">((SUM(IF((CkDJ[Sort Code]=(TRIM(E$5)))*(CkDJ[Account Code]=(TRIM($B101)))*(CkDJ[Date]&lt;=$C$8),CkDJ[Debit])))+(SUM(IF((CsDJ[Sort Code]=(TRIM(E$5)))*(CsDJ[Account Code]=(TRIM($B101)))*(CsDJ[Date]&lt;=$C$8),CsDJ[Debit])))+(SUM(IF((CRDJ[Sort Code]=(TRIM(E$5)))*(CRDJ[Account Code]=(TRIM($B101)))*(CRDJ[Date]&lt;=$C$8),CRDJ[Debit])))+(SUM(IF((GJ[Sort Code]=(TRIM(E$5)))*(GJ[Account Code]=(TRIM($B101)))*(GJ[Date]&lt;=$C$8),GJ[Debit]))))-((SUM(IF((CkDJ[Sort Code]=(TRIM(E$5)))*(CkDJ[Account Code]=(TRIM($B101)))*(CkDJ[Date]&lt;=$C$8),CkDJ[Credit])))+(SUM(IF((CsDJ[Sort Code]=(TRIM(E$5)))*(CsDJ[Account Code]=(TRIM($B101)))*(CsDJ[Date]&lt;=$C$8),CsDJ[Credit])))+(SUM(IF((CRDJ[Sort Code]=(TRIM(E$5)))*(CRDJ[Account Code]=(TRIM($B101)))*(CRDJ[Date]&lt;=$C$8),CRDJ[Credit])))+(SUM(IF((GJ[Sort Code]=(TRIM(E$5)))*(GJ[Account Code]=(TRIM($B101)))*(GJ[Date]&lt;=$C$8),GJ[Credit]))))</f>
        <v>0</v>
      </c>
      <c r="D101" s="466">
        <f t="array" ref="D101">((SUM(IF((CkDJ[Date]=$A$4)*(CkDJ[Sort Code]=(TRIM(E$5)))*(CkDJ[Account Code]=(TRIM($B101))),CkDJ[Debit])))+(SUM(IF((CsDJ[Date]=$A$4)*(CsDJ[Sort Code]=(TRIM(E$5)))*(CsDJ[Account Code]=(TRIM($B101))),CsDJ[Debit])))+(SUM(IF((CRDJ[Date]=$A$4)*(CRDJ[Sort Code]=(TRIM(E$5)))*(CRDJ[Account Code]=(TRIM($B101))),CRDJ[Debit])))+(SUM(IF((GJ[Date]=$A$4)*(GJ[Sort Code]=(TRIM(E$5)))*(GJ[Account Code]=(TRIM($B101))),GJ[Debit]))))-((SUM(IF((CkDJ[Date]=$A$4)*(CkDJ[Sort Code]=(TRIM(E$5)))*(CkDJ[Account Code]=(TRIM($B101))),CkDJ[Credit])))+(SUM(IF((CsDJ[Date]=$A$4)*(CsDJ[Sort Code]=(TRIM(E$5)))*(CsDJ[Account Code]=(TRIM($B101))),CsDJ[Credit])))+(SUM(IF((CRDJ[Date]=$A$4)*(CRDJ[Sort Code]=(TRIM(E$5)))*(CRDJ[Account Code]=(TRIM($B101))),CRDJ[Credit])))+(SUM(IF((GJ[Date]=$A$4)*(GJ[Sort Code]=(TRIM(E$5)))*(GJ[Account Code]=(TRIM($B101))),GJ[Credit]))))</f>
        <v>0</v>
      </c>
      <c r="E101" s="467">
        <f t="shared" si="3"/>
        <v>0</v>
      </c>
    </row>
    <row r="102" spans="1:5" x14ac:dyDescent="0.2">
      <c r="A102" s="476" t="s">
        <v>1021</v>
      </c>
      <c r="B102" s="339" t="s">
        <v>245</v>
      </c>
      <c r="C102" s="466">
        <f t="array" ref="C102">((SUM(IF((CkDJ[Sort Code]=(TRIM(E$5)))*(CkDJ[Account Code]=(TRIM($B102)))*(CkDJ[Date]&lt;=$C$8),CkDJ[Debit])))+(SUM(IF((CsDJ[Sort Code]=(TRIM(E$5)))*(CsDJ[Account Code]=(TRIM($B102)))*(CsDJ[Date]&lt;=$C$8),CsDJ[Debit])))+(SUM(IF((CRDJ[Sort Code]=(TRIM(E$5)))*(CRDJ[Account Code]=(TRIM($B102)))*(CRDJ[Date]&lt;=$C$8),CRDJ[Debit])))+(SUM(IF((GJ[Sort Code]=(TRIM(E$5)))*(GJ[Account Code]=(TRIM($B102)))*(GJ[Date]&lt;=$C$8),GJ[Debit]))))-((SUM(IF((CkDJ[Sort Code]=(TRIM(E$5)))*(CkDJ[Account Code]=(TRIM($B102)))*(CkDJ[Date]&lt;=$C$8),CkDJ[Credit])))+(SUM(IF((CsDJ[Sort Code]=(TRIM(E$5)))*(CsDJ[Account Code]=(TRIM($B102)))*(CsDJ[Date]&lt;=$C$8),CsDJ[Credit])))+(SUM(IF((CRDJ[Sort Code]=(TRIM(E$5)))*(CRDJ[Account Code]=(TRIM($B102)))*(CRDJ[Date]&lt;=$C$8),CRDJ[Credit])))+(SUM(IF((GJ[Sort Code]=(TRIM(E$5)))*(GJ[Account Code]=(TRIM($B102)))*(GJ[Date]&lt;=$C$8),GJ[Credit]))))</f>
        <v>0</v>
      </c>
      <c r="D102" s="466">
        <f t="array" ref="D102">((SUM(IF((CkDJ[Date]=$A$4)*(CkDJ[Sort Code]=(TRIM(E$5)))*(CkDJ[Account Code]=(TRIM($B102))),CkDJ[Debit])))+(SUM(IF((CsDJ[Date]=$A$4)*(CsDJ[Sort Code]=(TRIM(E$5)))*(CsDJ[Account Code]=(TRIM($B102))),CsDJ[Debit])))+(SUM(IF((CRDJ[Date]=$A$4)*(CRDJ[Sort Code]=(TRIM(E$5)))*(CRDJ[Account Code]=(TRIM($B102))),CRDJ[Debit])))+(SUM(IF((GJ[Date]=$A$4)*(GJ[Sort Code]=(TRIM(E$5)))*(GJ[Account Code]=(TRIM($B102))),GJ[Debit]))))-((SUM(IF((CkDJ[Date]=$A$4)*(CkDJ[Sort Code]=(TRIM(E$5)))*(CkDJ[Account Code]=(TRIM($B102))),CkDJ[Credit])))+(SUM(IF((CsDJ[Date]=$A$4)*(CsDJ[Sort Code]=(TRIM(E$5)))*(CsDJ[Account Code]=(TRIM($B102))),CsDJ[Credit])))+(SUM(IF((CRDJ[Date]=$A$4)*(CRDJ[Sort Code]=(TRIM(E$5)))*(CRDJ[Account Code]=(TRIM($B102))),CRDJ[Credit])))+(SUM(IF((GJ[Date]=$A$4)*(GJ[Sort Code]=(TRIM(E$5)))*(GJ[Account Code]=(TRIM($B102))),GJ[Credit]))))</f>
        <v>0</v>
      </c>
      <c r="E102" s="467">
        <f t="shared" si="3"/>
        <v>0</v>
      </c>
    </row>
    <row r="103" spans="1:5" x14ac:dyDescent="0.2">
      <c r="A103" s="476" t="s">
        <v>1022</v>
      </c>
      <c r="B103" s="339" t="s">
        <v>246</v>
      </c>
      <c r="C103" s="466">
        <f t="array" ref="C103">((SUM(IF((CkDJ[Sort Code]=(TRIM(E$5)))*(CkDJ[Account Code]=(TRIM($B103)))*(CkDJ[Date]&lt;=$C$8),CkDJ[Debit])))+(SUM(IF((CsDJ[Sort Code]=(TRIM(E$5)))*(CsDJ[Account Code]=(TRIM($B103)))*(CsDJ[Date]&lt;=$C$8),CsDJ[Debit])))+(SUM(IF((CRDJ[Sort Code]=(TRIM(E$5)))*(CRDJ[Account Code]=(TRIM($B103)))*(CRDJ[Date]&lt;=$C$8),CRDJ[Debit])))+(SUM(IF((GJ[Sort Code]=(TRIM(E$5)))*(GJ[Account Code]=(TRIM($B103)))*(GJ[Date]&lt;=$C$8),GJ[Debit]))))-((SUM(IF((CkDJ[Sort Code]=(TRIM(E$5)))*(CkDJ[Account Code]=(TRIM($B103)))*(CkDJ[Date]&lt;=$C$8),CkDJ[Credit])))+(SUM(IF((CsDJ[Sort Code]=(TRIM(E$5)))*(CsDJ[Account Code]=(TRIM($B103)))*(CsDJ[Date]&lt;=$C$8),CsDJ[Credit])))+(SUM(IF((CRDJ[Sort Code]=(TRIM(E$5)))*(CRDJ[Account Code]=(TRIM($B103)))*(CRDJ[Date]&lt;=$C$8),CRDJ[Credit])))+(SUM(IF((GJ[Sort Code]=(TRIM(E$5)))*(GJ[Account Code]=(TRIM($B103)))*(GJ[Date]&lt;=$C$8),GJ[Credit]))))</f>
        <v>0</v>
      </c>
      <c r="D103" s="466">
        <f t="array" ref="D103">((SUM(IF((CkDJ[Date]=$A$4)*(CkDJ[Sort Code]=(TRIM(E$5)))*(CkDJ[Account Code]=(TRIM($B103))),CkDJ[Debit])))+(SUM(IF((CsDJ[Date]=$A$4)*(CsDJ[Sort Code]=(TRIM(E$5)))*(CsDJ[Account Code]=(TRIM($B103))),CsDJ[Debit])))+(SUM(IF((CRDJ[Date]=$A$4)*(CRDJ[Sort Code]=(TRIM(E$5)))*(CRDJ[Account Code]=(TRIM($B103))),CRDJ[Debit])))+(SUM(IF((GJ[Date]=$A$4)*(GJ[Sort Code]=(TRIM(E$5)))*(GJ[Account Code]=(TRIM($B103))),GJ[Debit]))))-((SUM(IF((CkDJ[Date]=$A$4)*(CkDJ[Sort Code]=(TRIM(E$5)))*(CkDJ[Account Code]=(TRIM($B103))),CkDJ[Credit])))+(SUM(IF((CsDJ[Date]=$A$4)*(CsDJ[Sort Code]=(TRIM(E$5)))*(CsDJ[Account Code]=(TRIM($B103))),CsDJ[Credit])))+(SUM(IF((CRDJ[Date]=$A$4)*(CRDJ[Sort Code]=(TRIM(E$5)))*(CRDJ[Account Code]=(TRIM($B103))),CRDJ[Credit])))+(SUM(IF((GJ[Date]=$A$4)*(GJ[Sort Code]=(TRIM(E$5)))*(GJ[Account Code]=(TRIM($B103))),GJ[Credit]))))</f>
        <v>0</v>
      </c>
      <c r="E103" s="467">
        <f t="shared" si="3"/>
        <v>0</v>
      </c>
    </row>
    <row r="104" spans="1:5" x14ac:dyDescent="0.2">
      <c r="A104" s="476" t="s">
        <v>304</v>
      </c>
      <c r="B104" s="339" t="s">
        <v>222</v>
      </c>
      <c r="C104" s="466">
        <f t="array" ref="C104">((SUM(IF((CkDJ[Sort Code]=(TRIM(E$5)))*(CkDJ[Account Code]=(TRIM($B104)))*(CkDJ[Date]&lt;=$C$8),CkDJ[Debit])))+(SUM(IF((CsDJ[Sort Code]=(TRIM(E$5)))*(CsDJ[Account Code]=(TRIM($B104)))*(CsDJ[Date]&lt;=$C$8),CsDJ[Debit])))+(SUM(IF((CRDJ[Sort Code]=(TRIM(E$5)))*(CRDJ[Account Code]=(TRIM($B104)))*(CRDJ[Date]&lt;=$C$8),CRDJ[Debit])))+(SUM(IF((GJ[Sort Code]=(TRIM(E$5)))*(GJ[Account Code]=(TRIM($B104)))*(GJ[Date]&lt;=$C$8),GJ[Debit]))))-((SUM(IF((CkDJ[Sort Code]=(TRIM(E$5)))*(CkDJ[Account Code]=(TRIM($B104)))*(CkDJ[Date]&lt;=$C$8),CkDJ[Credit])))+(SUM(IF((CsDJ[Sort Code]=(TRIM(E$5)))*(CsDJ[Account Code]=(TRIM($B104)))*(CsDJ[Date]&lt;=$C$8),CsDJ[Credit])))+(SUM(IF((CRDJ[Sort Code]=(TRIM(E$5)))*(CRDJ[Account Code]=(TRIM($B104)))*(CRDJ[Date]&lt;=$C$8),CRDJ[Credit])))+(SUM(IF((GJ[Sort Code]=(TRIM(E$5)))*(GJ[Account Code]=(TRIM($B104)))*(GJ[Date]&lt;=$C$8),GJ[Credit]))))</f>
        <v>0</v>
      </c>
      <c r="D104" s="466">
        <f t="array" ref="D104">((SUM(IF((CkDJ[Date]=$A$4)*(CkDJ[Sort Code]=(TRIM(E$5)))*(CkDJ[Account Code]=(TRIM($B104))),CkDJ[Debit])))+(SUM(IF((CsDJ[Date]=$A$4)*(CsDJ[Sort Code]=(TRIM(E$5)))*(CsDJ[Account Code]=(TRIM($B104))),CsDJ[Debit])))+(SUM(IF((CRDJ[Date]=$A$4)*(CRDJ[Sort Code]=(TRIM(E$5)))*(CRDJ[Account Code]=(TRIM($B104))),CRDJ[Debit])))+(SUM(IF((GJ[Date]=$A$4)*(GJ[Sort Code]=(TRIM(E$5)))*(GJ[Account Code]=(TRIM($B104))),GJ[Debit]))))-((SUM(IF((CkDJ[Date]=$A$4)*(CkDJ[Sort Code]=(TRIM(E$5)))*(CkDJ[Account Code]=(TRIM($B104))),CkDJ[Credit])))+(SUM(IF((CsDJ[Date]=$A$4)*(CsDJ[Sort Code]=(TRIM(E$5)))*(CsDJ[Account Code]=(TRIM($B104))),CsDJ[Credit])))+(SUM(IF((CRDJ[Date]=$A$4)*(CRDJ[Sort Code]=(TRIM(E$5)))*(CRDJ[Account Code]=(TRIM($B104))),CRDJ[Credit])))+(SUM(IF((GJ[Date]=$A$4)*(GJ[Sort Code]=(TRIM(E$5)))*(GJ[Account Code]=(TRIM($B104))),GJ[Credit]))))</f>
        <v>0</v>
      </c>
      <c r="E104" s="467">
        <f t="shared" si="3"/>
        <v>0</v>
      </c>
    </row>
    <row r="105" spans="1:5" x14ac:dyDescent="0.2">
      <c r="A105" s="476" t="s">
        <v>1023</v>
      </c>
      <c r="B105" s="339" t="s">
        <v>247</v>
      </c>
      <c r="C105" s="466">
        <f t="array" ref="C105">((SUM(IF((CkDJ[Sort Code]=(TRIM(E$5)))*(CkDJ[Account Code]=(TRIM($B105)))*(CkDJ[Date]&lt;=$C$8),CkDJ[Debit])))+(SUM(IF((CsDJ[Sort Code]=(TRIM(E$5)))*(CsDJ[Account Code]=(TRIM($B105)))*(CsDJ[Date]&lt;=$C$8),CsDJ[Debit])))+(SUM(IF((CRDJ[Sort Code]=(TRIM(E$5)))*(CRDJ[Account Code]=(TRIM($B105)))*(CRDJ[Date]&lt;=$C$8),CRDJ[Debit])))+(SUM(IF((GJ[Sort Code]=(TRIM(E$5)))*(GJ[Account Code]=(TRIM($B105)))*(GJ[Date]&lt;=$C$8),GJ[Debit]))))-((SUM(IF((CkDJ[Sort Code]=(TRIM(E$5)))*(CkDJ[Account Code]=(TRIM($B105)))*(CkDJ[Date]&lt;=$C$8),CkDJ[Credit])))+(SUM(IF((CsDJ[Sort Code]=(TRIM(E$5)))*(CsDJ[Account Code]=(TRIM($B105)))*(CsDJ[Date]&lt;=$C$8),CsDJ[Credit])))+(SUM(IF((CRDJ[Sort Code]=(TRIM(E$5)))*(CRDJ[Account Code]=(TRIM($B105)))*(CRDJ[Date]&lt;=$C$8),CRDJ[Credit])))+(SUM(IF((GJ[Sort Code]=(TRIM(E$5)))*(GJ[Account Code]=(TRIM($B105)))*(GJ[Date]&lt;=$C$8),GJ[Credit]))))</f>
        <v>0</v>
      </c>
      <c r="D105" s="466">
        <f t="array" ref="D105">((SUM(IF((CkDJ[Date]=$A$4)*(CkDJ[Sort Code]=(TRIM(E$5)))*(CkDJ[Account Code]=(TRIM($B105))),CkDJ[Debit])))+(SUM(IF((CsDJ[Date]=$A$4)*(CsDJ[Sort Code]=(TRIM(E$5)))*(CsDJ[Account Code]=(TRIM($B105))),CsDJ[Debit])))+(SUM(IF((CRDJ[Date]=$A$4)*(CRDJ[Sort Code]=(TRIM(E$5)))*(CRDJ[Account Code]=(TRIM($B105))),CRDJ[Debit])))+(SUM(IF((GJ[Date]=$A$4)*(GJ[Sort Code]=(TRIM(E$5)))*(GJ[Account Code]=(TRIM($B105))),GJ[Debit]))))-((SUM(IF((CkDJ[Date]=$A$4)*(CkDJ[Sort Code]=(TRIM(E$5)))*(CkDJ[Account Code]=(TRIM($B105))),CkDJ[Credit])))+(SUM(IF((CsDJ[Date]=$A$4)*(CsDJ[Sort Code]=(TRIM(E$5)))*(CsDJ[Account Code]=(TRIM($B105))),CsDJ[Credit])))+(SUM(IF((CRDJ[Date]=$A$4)*(CRDJ[Sort Code]=(TRIM(E$5)))*(CRDJ[Account Code]=(TRIM($B105))),CRDJ[Credit])))+(SUM(IF((GJ[Date]=$A$4)*(GJ[Sort Code]=(TRIM(E$5)))*(GJ[Account Code]=(TRIM($B105))),GJ[Credit]))))</f>
        <v>0</v>
      </c>
      <c r="E105" s="467">
        <f t="shared" si="3"/>
        <v>0</v>
      </c>
    </row>
    <row r="106" spans="1:5" x14ac:dyDescent="0.2">
      <c r="A106" s="476" t="s">
        <v>1024</v>
      </c>
      <c r="B106" s="339" t="s">
        <v>248</v>
      </c>
      <c r="C106" s="466">
        <f t="array" ref="C106">((SUM(IF((CkDJ[Sort Code]=(TRIM(E$5)))*(CkDJ[Account Code]=(TRIM($B106)))*(CkDJ[Date]&lt;=$C$8),CkDJ[Debit])))+(SUM(IF((CsDJ[Sort Code]=(TRIM(E$5)))*(CsDJ[Account Code]=(TRIM($B106)))*(CsDJ[Date]&lt;=$C$8),CsDJ[Debit])))+(SUM(IF((CRDJ[Sort Code]=(TRIM(E$5)))*(CRDJ[Account Code]=(TRIM($B106)))*(CRDJ[Date]&lt;=$C$8),CRDJ[Debit])))+(SUM(IF((GJ[Sort Code]=(TRIM(E$5)))*(GJ[Account Code]=(TRIM($B106)))*(GJ[Date]&lt;=$C$8),GJ[Debit]))))-((SUM(IF((CkDJ[Sort Code]=(TRIM(E$5)))*(CkDJ[Account Code]=(TRIM($B106)))*(CkDJ[Date]&lt;=$C$8),CkDJ[Credit])))+(SUM(IF((CsDJ[Sort Code]=(TRIM(E$5)))*(CsDJ[Account Code]=(TRIM($B106)))*(CsDJ[Date]&lt;=$C$8),CsDJ[Credit])))+(SUM(IF((CRDJ[Sort Code]=(TRIM(E$5)))*(CRDJ[Account Code]=(TRIM($B106)))*(CRDJ[Date]&lt;=$C$8),CRDJ[Credit])))+(SUM(IF((GJ[Sort Code]=(TRIM(E$5)))*(GJ[Account Code]=(TRIM($B106)))*(GJ[Date]&lt;=$C$8),GJ[Credit]))))</f>
        <v>0</v>
      </c>
      <c r="D106" s="466">
        <f t="array" ref="D106">((SUM(IF((CkDJ[Date]=$A$4)*(CkDJ[Sort Code]=(TRIM(E$5)))*(CkDJ[Account Code]=(TRIM($B106))),CkDJ[Debit])))+(SUM(IF((CsDJ[Date]=$A$4)*(CsDJ[Sort Code]=(TRIM(E$5)))*(CsDJ[Account Code]=(TRIM($B106))),CsDJ[Debit])))+(SUM(IF((CRDJ[Date]=$A$4)*(CRDJ[Sort Code]=(TRIM(E$5)))*(CRDJ[Account Code]=(TRIM($B106))),CRDJ[Debit])))+(SUM(IF((GJ[Date]=$A$4)*(GJ[Sort Code]=(TRIM(E$5)))*(GJ[Account Code]=(TRIM($B106))),GJ[Debit]))))-((SUM(IF((CkDJ[Date]=$A$4)*(CkDJ[Sort Code]=(TRIM(E$5)))*(CkDJ[Account Code]=(TRIM($B106))),CkDJ[Credit])))+(SUM(IF((CsDJ[Date]=$A$4)*(CsDJ[Sort Code]=(TRIM(E$5)))*(CsDJ[Account Code]=(TRIM($B106))),CsDJ[Credit])))+(SUM(IF((CRDJ[Date]=$A$4)*(CRDJ[Sort Code]=(TRIM(E$5)))*(CRDJ[Account Code]=(TRIM($B106))),CRDJ[Credit])))+(SUM(IF((GJ[Date]=$A$4)*(GJ[Sort Code]=(TRIM(E$5)))*(GJ[Account Code]=(TRIM($B106))),GJ[Credit]))))</f>
        <v>0</v>
      </c>
      <c r="E106" s="467">
        <f t="shared" si="3"/>
        <v>0</v>
      </c>
    </row>
    <row r="107" spans="1:5" x14ac:dyDescent="0.2">
      <c r="A107" s="476" t="s">
        <v>1025</v>
      </c>
      <c r="B107" s="339" t="s">
        <v>249</v>
      </c>
      <c r="C107" s="466">
        <f t="array" ref="C107">((SUM(IF((CkDJ[Sort Code]=(TRIM(E$5)))*(CkDJ[Account Code]=(TRIM($B107)))*(CkDJ[Date]&lt;=$C$8),CkDJ[Debit])))+(SUM(IF((CsDJ[Sort Code]=(TRIM(E$5)))*(CsDJ[Account Code]=(TRIM($B107)))*(CsDJ[Date]&lt;=$C$8),CsDJ[Debit])))+(SUM(IF((CRDJ[Sort Code]=(TRIM(E$5)))*(CRDJ[Account Code]=(TRIM($B107)))*(CRDJ[Date]&lt;=$C$8),CRDJ[Debit])))+(SUM(IF((GJ[Sort Code]=(TRIM(E$5)))*(GJ[Account Code]=(TRIM($B107)))*(GJ[Date]&lt;=$C$8),GJ[Debit]))))-((SUM(IF((CkDJ[Sort Code]=(TRIM(E$5)))*(CkDJ[Account Code]=(TRIM($B107)))*(CkDJ[Date]&lt;=$C$8),CkDJ[Credit])))+(SUM(IF((CsDJ[Sort Code]=(TRIM(E$5)))*(CsDJ[Account Code]=(TRIM($B107)))*(CsDJ[Date]&lt;=$C$8),CsDJ[Credit])))+(SUM(IF((CRDJ[Sort Code]=(TRIM(E$5)))*(CRDJ[Account Code]=(TRIM($B107)))*(CRDJ[Date]&lt;=$C$8),CRDJ[Credit])))+(SUM(IF((GJ[Sort Code]=(TRIM(E$5)))*(GJ[Account Code]=(TRIM($B107)))*(GJ[Date]&lt;=$C$8),GJ[Credit]))))</f>
        <v>0</v>
      </c>
      <c r="D107" s="466">
        <f t="array" ref="D107">((SUM(IF((CkDJ[Date]=$A$4)*(CkDJ[Sort Code]=(TRIM(E$5)))*(CkDJ[Account Code]=(TRIM($B107))),CkDJ[Debit])))+(SUM(IF((CsDJ[Date]=$A$4)*(CsDJ[Sort Code]=(TRIM(E$5)))*(CsDJ[Account Code]=(TRIM($B107))),CsDJ[Debit])))+(SUM(IF((CRDJ[Date]=$A$4)*(CRDJ[Sort Code]=(TRIM(E$5)))*(CRDJ[Account Code]=(TRIM($B107))),CRDJ[Debit])))+(SUM(IF((GJ[Date]=$A$4)*(GJ[Sort Code]=(TRIM(E$5)))*(GJ[Account Code]=(TRIM($B107))),GJ[Debit]))))-((SUM(IF((CkDJ[Date]=$A$4)*(CkDJ[Sort Code]=(TRIM(E$5)))*(CkDJ[Account Code]=(TRIM($B107))),CkDJ[Credit])))+(SUM(IF((CsDJ[Date]=$A$4)*(CsDJ[Sort Code]=(TRIM(E$5)))*(CsDJ[Account Code]=(TRIM($B107))),CsDJ[Credit])))+(SUM(IF((CRDJ[Date]=$A$4)*(CRDJ[Sort Code]=(TRIM(E$5)))*(CRDJ[Account Code]=(TRIM($B107))),CRDJ[Credit])))+(SUM(IF((GJ[Date]=$A$4)*(GJ[Sort Code]=(TRIM(E$5)))*(GJ[Account Code]=(TRIM($B107))),GJ[Credit]))))</f>
        <v>0</v>
      </c>
      <c r="E107" s="467">
        <f t="shared" si="3"/>
        <v>0</v>
      </c>
    </row>
    <row r="108" spans="1:5" x14ac:dyDescent="0.2">
      <c r="A108" s="476" t="s">
        <v>302</v>
      </c>
      <c r="B108" s="339" t="s">
        <v>250</v>
      </c>
      <c r="C108" s="466">
        <f t="array" ref="C108">((SUM(IF((CkDJ[Sort Code]=(TRIM(E$5)))*(CkDJ[Account Code]=(TRIM($B108)))*(CkDJ[Date]&lt;=$C$8),CkDJ[Debit])))+(SUM(IF((CsDJ[Sort Code]=(TRIM(E$5)))*(CsDJ[Account Code]=(TRIM($B108)))*(CsDJ[Date]&lt;=$C$8),CsDJ[Debit])))+(SUM(IF((CRDJ[Sort Code]=(TRIM(E$5)))*(CRDJ[Account Code]=(TRIM($B108)))*(CRDJ[Date]&lt;=$C$8),CRDJ[Debit])))+(SUM(IF((GJ[Sort Code]=(TRIM(E$5)))*(GJ[Account Code]=(TRIM($B108)))*(GJ[Date]&lt;=$C$8),GJ[Debit]))))-((SUM(IF((CkDJ[Sort Code]=(TRIM(E$5)))*(CkDJ[Account Code]=(TRIM($B108)))*(CkDJ[Date]&lt;=$C$8),CkDJ[Credit])))+(SUM(IF((CsDJ[Sort Code]=(TRIM(E$5)))*(CsDJ[Account Code]=(TRIM($B108)))*(CsDJ[Date]&lt;=$C$8),CsDJ[Credit])))+(SUM(IF((CRDJ[Sort Code]=(TRIM(E$5)))*(CRDJ[Account Code]=(TRIM($B108)))*(CRDJ[Date]&lt;=$C$8),CRDJ[Credit])))+(SUM(IF((GJ[Sort Code]=(TRIM(E$5)))*(GJ[Account Code]=(TRIM($B108)))*(GJ[Date]&lt;=$C$8),GJ[Credit]))))</f>
        <v>0</v>
      </c>
      <c r="D108" s="466">
        <f t="array" ref="D108">((SUM(IF((CkDJ[Date]=$A$4)*(CkDJ[Sort Code]=(TRIM(E$5)))*(CkDJ[Account Code]=(TRIM($B108))),CkDJ[Debit])))+(SUM(IF((CsDJ[Date]=$A$4)*(CsDJ[Sort Code]=(TRIM(E$5)))*(CsDJ[Account Code]=(TRIM($B108))),CsDJ[Debit])))+(SUM(IF((CRDJ[Date]=$A$4)*(CRDJ[Sort Code]=(TRIM(E$5)))*(CRDJ[Account Code]=(TRIM($B108))),CRDJ[Debit])))+(SUM(IF((GJ[Date]=$A$4)*(GJ[Sort Code]=(TRIM(E$5)))*(GJ[Account Code]=(TRIM($B108))),GJ[Debit]))))-((SUM(IF((CkDJ[Date]=$A$4)*(CkDJ[Sort Code]=(TRIM(E$5)))*(CkDJ[Account Code]=(TRIM($B108))),CkDJ[Credit])))+(SUM(IF((CsDJ[Date]=$A$4)*(CsDJ[Sort Code]=(TRIM(E$5)))*(CsDJ[Account Code]=(TRIM($B108))),CsDJ[Credit])))+(SUM(IF((CRDJ[Date]=$A$4)*(CRDJ[Sort Code]=(TRIM(E$5)))*(CRDJ[Account Code]=(TRIM($B108))),CRDJ[Credit])))+(SUM(IF((GJ[Date]=$A$4)*(GJ[Sort Code]=(TRIM(E$5)))*(GJ[Account Code]=(TRIM($B108))),GJ[Credit]))))</f>
        <v>0</v>
      </c>
      <c r="E108" s="467">
        <f t="shared" si="3"/>
        <v>0</v>
      </c>
    </row>
    <row r="109" spans="1:5" x14ac:dyDescent="0.2">
      <c r="A109" s="476" t="s">
        <v>841</v>
      </c>
      <c r="B109" s="339" t="s">
        <v>251</v>
      </c>
      <c r="C109" s="466">
        <f t="array" ref="C109">((SUM(IF((CkDJ[Sort Code]=(TRIM(E$5)))*(CkDJ[Account Code]=(TRIM($B109)))*(CkDJ[Date]&lt;=$C$8),CkDJ[Debit])))+(SUM(IF((CsDJ[Sort Code]=(TRIM(E$5)))*(CsDJ[Account Code]=(TRIM($B109)))*(CsDJ[Date]&lt;=$C$8),CsDJ[Debit])))+(SUM(IF((CRDJ[Sort Code]=(TRIM(E$5)))*(CRDJ[Account Code]=(TRIM($B109)))*(CRDJ[Date]&lt;=$C$8),CRDJ[Debit])))+(SUM(IF((GJ[Sort Code]=(TRIM(E$5)))*(GJ[Account Code]=(TRIM($B109)))*(GJ[Date]&lt;=$C$8),GJ[Debit]))))-((SUM(IF((CkDJ[Sort Code]=(TRIM(E$5)))*(CkDJ[Account Code]=(TRIM($B109)))*(CkDJ[Date]&lt;=$C$8),CkDJ[Credit])))+(SUM(IF((CsDJ[Sort Code]=(TRIM(E$5)))*(CsDJ[Account Code]=(TRIM($B109)))*(CsDJ[Date]&lt;=$C$8),CsDJ[Credit])))+(SUM(IF((CRDJ[Sort Code]=(TRIM(E$5)))*(CRDJ[Account Code]=(TRIM($B109)))*(CRDJ[Date]&lt;=$C$8),CRDJ[Credit])))+(SUM(IF((GJ[Sort Code]=(TRIM(E$5)))*(GJ[Account Code]=(TRIM($B109)))*(GJ[Date]&lt;=$C$8),GJ[Credit]))))</f>
        <v>0</v>
      </c>
      <c r="D109" s="466">
        <f t="array" ref="D109">((SUM(IF((CkDJ[Date]=$A$4)*(CkDJ[Sort Code]=(TRIM(E$5)))*(CkDJ[Account Code]=(TRIM($B109))),CkDJ[Debit])))+(SUM(IF((CsDJ[Date]=$A$4)*(CsDJ[Sort Code]=(TRIM(E$5)))*(CsDJ[Account Code]=(TRIM($B109))),CsDJ[Debit])))+(SUM(IF((CRDJ[Date]=$A$4)*(CRDJ[Sort Code]=(TRIM(E$5)))*(CRDJ[Account Code]=(TRIM($B109))),CRDJ[Debit])))+(SUM(IF((GJ[Date]=$A$4)*(GJ[Sort Code]=(TRIM(E$5)))*(GJ[Account Code]=(TRIM($B109))),GJ[Debit]))))-((SUM(IF((CkDJ[Date]=$A$4)*(CkDJ[Sort Code]=(TRIM(E$5)))*(CkDJ[Account Code]=(TRIM($B109))),CkDJ[Credit])))+(SUM(IF((CsDJ[Date]=$A$4)*(CsDJ[Sort Code]=(TRIM(E$5)))*(CsDJ[Account Code]=(TRIM($B109))),CsDJ[Credit])))+(SUM(IF((CRDJ[Date]=$A$4)*(CRDJ[Sort Code]=(TRIM(E$5)))*(CRDJ[Account Code]=(TRIM($B109))),CRDJ[Credit])))+(SUM(IF((GJ[Date]=$A$4)*(GJ[Sort Code]=(TRIM(E$5)))*(GJ[Account Code]=(TRIM($B109))),GJ[Credit]))))</f>
        <v>0</v>
      </c>
      <c r="E109" s="467">
        <f t="shared" si="3"/>
        <v>0</v>
      </c>
    </row>
    <row r="110" spans="1:5" x14ac:dyDescent="0.2">
      <c r="A110" s="476" t="s">
        <v>1026</v>
      </c>
      <c r="B110" s="339" t="s">
        <v>252</v>
      </c>
      <c r="C110" s="466">
        <f t="array" ref="C110">((SUM(IF((CkDJ[Sort Code]=(TRIM(E$5)))*(CkDJ[Account Code]=(TRIM($B110)))*(CkDJ[Date]&lt;=$C$8),CkDJ[Debit])))+(SUM(IF((CsDJ[Sort Code]=(TRIM(E$5)))*(CsDJ[Account Code]=(TRIM($B110)))*(CsDJ[Date]&lt;=$C$8),CsDJ[Debit])))+(SUM(IF((CRDJ[Sort Code]=(TRIM(E$5)))*(CRDJ[Account Code]=(TRIM($B110)))*(CRDJ[Date]&lt;=$C$8),CRDJ[Debit])))+(SUM(IF((GJ[Sort Code]=(TRIM(E$5)))*(GJ[Account Code]=(TRIM($B110)))*(GJ[Date]&lt;=$C$8),GJ[Debit]))))-((SUM(IF((CkDJ[Sort Code]=(TRIM(E$5)))*(CkDJ[Account Code]=(TRIM($B110)))*(CkDJ[Date]&lt;=$C$8),CkDJ[Credit])))+(SUM(IF((CsDJ[Sort Code]=(TRIM(E$5)))*(CsDJ[Account Code]=(TRIM($B110)))*(CsDJ[Date]&lt;=$C$8),CsDJ[Credit])))+(SUM(IF((CRDJ[Sort Code]=(TRIM(E$5)))*(CRDJ[Account Code]=(TRIM($B110)))*(CRDJ[Date]&lt;=$C$8),CRDJ[Credit])))+(SUM(IF((GJ[Sort Code]=(TRIM(E$5)))*(GJ[Account Code]=(TRIM($B110)))*(GJ[Date]&lt;=$C$8),GJ[Credit]))))</f>
        <v>0</v>
      </c>
      <c r="D110" s="466">
        <f t="array" ref="D110">((SUM(IF((CkDJ[Date]=$A$4)*(CkDJ[Sort Code]=(TRIM(E$5)))*(CkDJ[Account Code]=(TRIM($B110))),CkDJ[Debit])))+(SUM(IF((CsDJ[Date]=$A$4)*(CsDJ[Sort Code]=(TRIM(E$5)))*(CsDJ[Account Code]=(TRIM($B110))),CsDJ[Debit])))+(SUM(IF((CRDJ[Date]=$A$4)*(CRDJ[Sort Code]=(TRIM(E$5)))*(CRDJ[Account Code]=(TRIM($B110))),CRDJ[Debit])))+(SUM(IF((GJ[Date]=$A$4)*(GJ[Sort Code]=(TRIM(E$5)))*(GJ[Account Code]=(TRIM($B110))),GJ[Debit]))))-((SUM(IF((CkDJ[Date]=$A$4)*(CkDJ[Sort Code]=(TRIM(E$5)))*(CkDJ[Account Code]=(TRIM($B110))),CkDJ[Credit])))+(SUM(IF((CsDJ[Date]=$A$4)*(CsDJ[Sort Code]=(TRIM(E$5)))*(CsDJ[Account Code]=(TRIM($B110))),CsDJ[Credit])))+(SUM(IF((CRDJ[Date]=$A$4)*(CRDJ[Sort Code]=(TRIM(E$5)))*(CRDJ[Account Code]=(TRIM($B110))),CRDJ[Credit])))+(SUM(IF((GJ[Date]=$A$4)*(GJ[Sort Code]=(TRIM(E$5)))*(GJ[Account Code]=(TRIM($B110))),GJ[Credit]))))</f>
        <v>0</v>
      </c>
      <c r="E110" s="467">
        <f t="shared" si="3"/>
        <v>0</v>
      </c>
    </row>
    <row r="111" spans="1:5" x14ac:dyDescent="0.2">
      <c r="A111" s="476" t="s">
        <v>307</v>
      </c>
      <c r="B111" s="339" t="s">
        <v>253</v>
      </c>
      <c r="C111" s="466">
        <f t="array" ref="C111">((SUM(IF((CkDJ[Sort Code]=(TRIM(E$5)))*(CkDJ[Account Code]=(TRIM($B111)))*(CkDJ[Date]&lt;=$C$8),CkDJ[Debit])))+(SUM(IF((CsDJ[Sort Code]=(TRIM(E$5)))*(CsDJ[Account Code]=(TRIM($B111)))*(CsDJ[Date]&lt;=$C$8),CsDJ[Debit])))+(SUM(IF((CRDJ[Sort Code]=(TRIM(E$5)))*(CRDJ[Account Code]=(TRIM($B111)))*(CRDJ[Date]&lt;=$C$8),CRDJ[Debit])))+(SUM(IF((GJ[Sort Code]=(TRIM(E$5)))*(GJ[Account Code]=(TRIM($B111)))*(GJ[Date]&lt;=$C$8),GJ[Debit]))))-((SUM(IF((CkDJ[Sort Code]=(TRIM(E$5)))*(CkDJ[Account Code]=(TRIM($B111)))*(CkDJ[Date]&lt;=$C$8),CkDJ[Credit])))+(SUM(IF((CsDJ[Sort Code]=(TRIM(E$5)))*(CsDJ[Account Code]=(TRIM($B111)))*(CsDJ[Date]&lt;=$C$8),CsDJ[Credit])))+(SUM(IF((CRDJ[Sort Code]=(TRIM(E$5)))*(CRDJ[Account Code]=(TRIM($B111)))*(CRDJ[Date]&lt;=$C$8),CRDJ[Credit])))+(SUM(IF((GJ[Sort Code]=(TRIM(E$5)))*(GJ[Account Code]=(TRIM($B111)))*(GJ[Date]&lt;=$C$8),GJ[Credit]))))</f>
        <v>0</v>
      </c>
      <c r="D111" s="466">
        <f t="array" ref="D111">((SUM(IF((CkDJ[Date]=$A$4)*(CkDJ[Sort Code]=(TRIM(E$5)))*(CkDJ[Account Code]=(TRIM($B111))),CkDJ[Debit])))+(SUM(IF((CsDJ[Date]=$A$4)*(CsDJ[Sort Code]=(TRIM(E$5)))*(CsDJ[Account Code]=(TRIM($B111))),CsDJ[Debit])))+(SUM(IF((CRDJ[Date]=$A$4)*(CRDJ[Sort Code]=(TRIM(E$5)))*(CRDJ[Account Code]=(TRIM($B111))),CRDJ[Debit])))+(SUM(IF((GJ[Date]=$A$4)*(GJ[Sort Code]=(TRIM(E$5)))*(GJ[Account Code]=(TRIM($B111))),GJ[Debit]))))-((SUM(IF((CkDJ[Date]=$A$4)*(CkDJ[Sort Code]=(TRIM(E$5)))*(CkDJ[Account Code]=(TRIM($B111))),CkDJ[Credit])))+(SUM(IF((CsDJ[Date]=$A$4)*(CsDJ[Sort Code]=(TRIM(E$5)))*(CsDJ[Account Code]=(TRIM($B111))),CsDJ[Credit])))+(SUM(IF((CRDJ[Date]=$A$4)*(CRDJ[Sort Code]=(TRIM(E$5)))*(CRDJ[Account Code]=(TRIM($B111))),CRDJ[Credit])))+(SUM(IF((GJ[Date]=$A$4)*(GJ[Sort Code]=(TRIM(E$5)))*(GJ[Account Code]=(TRIM($B111))),GJ[Credit]))))</f>
        <v>0</v>
      </c>
      <c r="E111" s="467">
        <f t="shared" si="3"/>
        <v>0</v>
      </c>
    </row>
    <row r="112" spans="1:5" x14ac:dyDescent="0.2">
      <c r="A112" s="476" t="s">
        <v>308</v>
      </c>
      <c r="B112" s="339" t="s">
        <v>256</v>
      </c>
      <c r="C112" s="466">
        <f t="array" ref="C112">((SUM(IF((CkDJ[Sort Code]=(TRIM(E$5)))*(CkDJ[Account Code]=(TRIM($B112)))*(CkDJ[Date]&lt;=$C$8),CkDJ[Debit])))+(SUM(IF((CsDJ[Sort Code]=(TRIM(E$5)))*(CsDJ[Account Code]=(TRIM($B112)))*(CsDJ[Date]&lt;=$C$8),CsDJ[Debit])))+(SUM(IF((CRDJ[Sort Code]=(TRIM(E$5)))*(CRDJ[Account Code]=(TRIM($B112)))*(CRDJ[Date]&lt;=$C$8),CRDJ[Debit])))+(SUM(IF((GJ[Sort Code]=(TRIM(E$5)))*(GJ[Account Code]=(TRIM($B112)))*(GJ[Date]&lt;=$C$8),GJ[Debit]))))-((SUM(IF((CkDJ[Sort Code]=(TRIM(E$5)))*(CkDJ[Account Code]=(TRIM($B112)))*(CkDJ[Date]&lt;=$C$8),CkDJ[Credit])))+(SUM(IF((CsDJ[Sort Code]=(TRIM(E$5)))*(CsDJ[Account Code]=(TRIM($B112)))*(CsDJ[Date]&lt;=$C$8),CsDJ[Credit])))+(SUM(IF((CRDJ[Sort Code]=(TRIM(E$5)))*(CRDJ[Account Code]=(TRIM($B112)))*(CRDJ[Date]&lt;=$C$8),CRDJ[Credit])))+(SUM(IF((GJ[Sort Code]=(TRIM(E$5)))*(GJ[Account Code]=(TRIM($B112)))*(GJ[Date]&lt;=$C$8),GJ[Credit]))))</f>
        <v>0</v>
      </c>
      <c r="D112" s="466">
        <f t="array" ref="D112">((SUM(IF((CkDJ[Date]=$A$4)*(CkDJ[Sort Code]=(TRIM(E$5)))*(CkDJ[Account Code]=(TRIM($B112))),CkDJ[Debit])))+(SUM(IF((CsDJ[Date]=$A$4)*(CsDJ[Sort Code]=(TRIM(E$5)))*(CsDJ[Account Code]=(TRIM($B112))),CsDJ[Debit])))+(SUM(IF((CRDJ[Date]=$A$4)*(CRDJ[Sort Code]=(TRIM(E$5)))*(CRDJ[Account Code]=(TRIM($B112))),CRDJ[Debit])))+(SUM(IF((GJ[Date]=$A$4)*(GJ[Sort Code]=(TRIM(E$5)))*(GJ[Account Code]=(TRIM($B112))),GJ[Debit]))))-((SUM(IF((CkDJ[Date]=$A$4)*(CkDJ[Sort Code]=(TRIM(E$5)))*(CkDJ[Account Code]=(TRIM($B112))),CkDJ[Credit])))+(SUM(IF((CsDJ[Date]=$A$4)*(CsDJ[Sort Code]=(TRIM(E$5)))*(CsDJ[Account Code]=(TRIM($B112))),CsDJ[Credit])))+(SUM(IF((CRDJ[Date]=$A$4)*(CRDJ[Sort Code]=(TRIM(E$5)))*(CRDJ[Account Code]=(TRIM($B112))),CRDJ[Credit])))+(SUM(IF((GJ[Date]=$A$4)*(GJ[Sort Code]=(TRIM(E$5)))*(GJ[Account Code]=(TRIM($B112))),GJ[Credit]))))</f>
        <v>0</v>
      </c>
      <c r="E112" s="467">
        <f t="shared" si="3"/>
        <v>0</v>
      </c>
    </row>
    <row r="113" spans="1:5" x14ac:dyDescent="0.2">
      <c r="A113" s="476" t="s">
        <v>309</v>
      </c>
      <c r="B113" s="339" t="s">
        <v>258</v>
      </c>
      <c r="C113" s="466">
        <f t="array" ref="C113">((SUM(IF((CkDJ[Sort Code]=(TRIM(E$5)))*(CkDJ[Account Code]=(TRIM($B113)))*(CkDJ[Date]&lt;=$C$8),CkDJ[Debit])))+(SUM(IF((CsDJ[Sort Code]=(TRIM(E$5)))*(CsDJ[Account Code]=(TRIM($B113)))*(CsDJ[Date]&lt;=$C$8),CsDJ[Debit])))+(SUM(IF((CRDJ[Sort Code]=(TRIM(E$5)))*(CRDJ[Account Code]=(TRIM($B113)))*(CRDJ[Date]&lt;=$C$8),CRDJ[Debit])))+(SUM(IF((GJ[Sort Code]=(TRIM(E$5)))*(GJ[Account Code]=(TRIM($B113)))*(GJ[Date]&lt;=$C$8),GJ[Debit]))))-((SUM(IF((CkDJ[Sort Code]=(TRIM(E$5)))*(CkDJ[Account Code]=(TRIM($B113)))*(CkDJ[Date]&lt;=$C$8),CkDJ[Credit])))+(SUM(IF((CsDJ[Sort Code]=(TRIM(E$5)))*(CsDJ[Account Code]=(TRIM($B113)))*(CsDJ[Date]&lt;=$C$8),CsDJ[Credit])))+(SUM(IF((CRDJ[Sort Code]=(TRIM(E$5)))*(CRDJ[Account Code]=(TRIM($B113)))*(CRDJ[Date]&lt;=$C$8),CRDJ[Credit])))+(SUM(IF((GJ[Sort Code]=(TRIM(E$5)))*(GJ[Account Code]=(TRIM($B113)))*(GJ[Date]&lt;=$C$8),GJ[Credit]))))</f>
        <v>0</v>
      </c>
      <c r="D113" s="466">
        <f t="array" ref="D113">((SUM(IF((CkDJ[Date]=$A$4)*(CkDJ[Sort Code]=(TRIM(E$5)))*(CkDJ[Account Code]=(TRIM($B113))),CkDJ[Debit])))+(SUM(IF((CsDJ[Date]=$A$4)*(CsDJ[Sort Code]=(TRIM(E$5)))*(CsDJ[Account Code]=(TRIM($B113))),CsDJ[Debit])))+(SUM(IF((CRDJ[Date]=$A$4)*(CRDJ[Sort Code]=(TRIM(E$5)))*(CRDJ[Account Code]=(TRIM($B113))),CRDJ[Debit])))+(SUM(IF((GJ[Date]=$A$4)*(GJ[Sort Code]=(TRIM(E$5)))*(GJ[Account Code]=(TRIM($B113))),GJ[Debit]))))-((SUM(IF((CkDJ[Date]=$A$4)*(CkDJ[Sort Code]=(TRIM(E$5)))*(CkDJ[Account Code]=(TRIM($B113))),CkDJ[Credit])))+(SUM(IF((CsDJ[Date]=$A$4)*(CsDJ[Sort Code]=(TRIM(E$5)))*(CsDJ[Account Code]=(TRIM($B113))),CsDJ[Credit])))+(SUM(IF((CRDJ[Date]=$A$4)*(CRDJ[Sort Code]=(TRIM(E$5)))*(CRDJ[Account Code]=(TRIM($B113))),CRDJ[Credit])))+(SUM(IF((GJ[Date]=$A$4)*(GJ[Sort Code]=(TRIM(E$5)))*(GJ[Account Code]=(TRIM($B113))),GJ[Credit]))))</f>
        <v>0</v>
      </c>
      <c r="E113" s="467">
        <f t="shared" si="3"/>
        <v>0</v>
      </c>
    </row>
    <row r="114" spans="1:5" x14ac:dyDescent="0.2">
      <c r="A114" s="476" t="s">
        <v>310</v>
      </c>
      <c r="B114" s="339" t="s">
        <v>261</v>
      </c>
      <c r="C114" s="466">
        <f t="array" ref="C114">((SUM(IF((CkDJ[Sort Code]=(TRIM(E$5)))*(CkDJ[Account Code]=(TRIM($B114)))*(CkDJ[Date]&lt;=$C$8),CkDJ[Debit])))+(SUM(IF((CsDJ[Sort Code]=(TRIM(E$5)))*(CsDJ[Account Code]=(TRIM($B114)))*(CsDJ[Date]&lt;=$C$8),CsDJ[Debit])))+(SUM(IF((CRDJ[Sort Code]=(TRIM(E$5)))*(CRDJ[Account Code]=(TRIM($B114)))*(CRDJ[Date]&lt;=$C$8),CRDJ[Debit])))+(SUM(IF((GJ[Sort Code]=(TRIM(E$5)))*(GJ[Account Code]=(TRIM($B114)))*(GJ[Date]&lt;=$C$8),GJ[Debit]))))-((SUM(IF((CkDJ[Sort Code]=(TRIM(E$5)))*(CkDJ[Account Code]=(TRIM($B114)))*(CkDJ[Date]&lt;=$C$8),CkDJ[Credit])))+(SUM(IF((CsDJ[Sort Code]=(TRIM(E$5)))*(CsDJ[Account Code]=(TRIM($B114)))*(CsDJ[Date]&lt;=$C$8),CsDJ[Credit])))+(SUM(IF((CRDJ[Sort Code]=(TRIM(E$5)))*(CRDJ[Account Code]=(TRIM($B114)))*(CRDJ[Date]&lt;=$C$8),CRDJ[Credit])))+(SUM(IF((GJ[Sort Code]=(TRIM(E$5)))*(GJ[Account Code]=(TRIM($B114)))*(GJ[Date]&lt;=$C$8),GJ[Credit]))))</f>
        <v>0</v>
      </c>
      <c r="D114" s="466">
        <f t="array" ref="D114">((SUM(IF((CkDJ[Date]=$A$4)*(CkDJ[Sort Code]=(TRIM(E$5)))*(CkDJ[Account Code]=(TRIM($B114))),CkDJ[Debit])))+(SUM(IF((CsDJ[Date]=$A$4)*(CsDJ[Sort Code]=(TRIM(E$5)))*(CsDJ[Account Code]=(TRIM($B114))),CsDJ[Debit])))+(SUM(IF((CRDJ[Date]=$A$4)*(CRDJ[Sort Code]=(TRIM(E$5)))*(CRDJ[Account Code]=(TRIM($B114))),CRDJ[Debit])))+(SUM(IF((GJ[Date]=$A$4)*(GJ[Sort Code]=(TRIM(E$5)))*(GJ[Account Code]=(TRIM($B114))),GJ[Debit]))))-((SUM(IF((CkDJ[Date]=$A$4)*(CkDJ[Sort Code]=(TRIM(E$5)))*(CkDJ[Account Code]=(TRIM($B114))),CkDJ[Credit])))+(SUM(IF((CsDJ[Date]=$A$4)*(CsDJ[Sort Code]=(TRIM(E$5)))*(CsDJ[Account Code]=(TRIM($B114))),CsDJ[Credit])))+(SUM(IF((CRDJ[Date]=$A$4)*(CRDJ[Sort Code]=(TRIM(E$5)))*(CRDJ[Account Code]=(TRIM($B114))),CRDJ[Credit])))+(SUM(IF((GJ[Date]=$A$4)*(GJ[Sort Code]=(TRIM(E$5)))*(GJ[Account Code]=(TRIM($B114))),GJ[Credit]))))</f>
        <v>0</v>
      </c>
      <c r="E114" s="467">
        <f t="shared" si="3"/>
        <v>0</v>
      </c>
    </row>
    <row r="115" spans="1:5" x14ac:dyDescent="0.2">
      <c r="A115" s="476" t="s">
        <v>311</v>
      </c>
      <c r="B115" s="339" t="s">
        <v>262</v>
      </c>
      <c r="C115" s="466">
        <f t="array" ref="C115">((SUM(IF((CkDJ[Sort Code]=(TRIM(E$5)))*(CkDJ[Account Code]=(TRIM($B115)))*(CkDJ[Date]&lt;=$C$8),CkDJ[Debit])))+(SUM(IF((CsDJ[Sort Code]=(TRIM(E$5)))*(CsDJ[Account Code]=(TRIM($B115)))*(CsDJ[Date]&lt;=$C$8),CsDJ[Debit])))+(SUM(IF((CRDJ[Sort Code]=(TRIM(E$5)))*(CRDJ[Account Code]=(TRIM($B115)))*(CRDJ[Date]&lt;=$C$8),CRDJ[Debit])))+(SUM(IF((GJ[Sort Code]=(TRIM(E$5)))*(GJ[Account Code]=(TRIM($B115)))*(GJ[Date]&lt;=$C$8),GJ[Debit]))))-((SUM(IF((CkDJ[Sort Code]=(TRIM(E$5)))*(CkDJ[Account Code]=(TRIM($B115)))*(CkDJ[Date]&lt;=$C$8),CkDJ[Credit])))+(SUM(IF((CsDJ[Sort Code]=(TRIM(E$5)))*(CsDJ[Account Code]=(TRIM($B115)))*(CsDJ[Date]&lt;=$C$8),CsDJ[Credit])))+(SUM(IF((CRDJ[Sort Code]=(TRIM(E$5)))*(CRDJ[Account Code]=(TRIM($B115)))*(CRDJ[Date]&lt;=$C$8),CRDJ[Credit])))+(SUM(IF((GJ[Sort Code]=(TRIM(E$5)))*(GJ[Account Code]=(TRIM($B115)))*(GJ[Date]&lt;=$C$8),GJ[Credit]))))</f>
        <v>0</v>
      </c>
      <c r="D115" s="466">
        <f t="array" ref="D115">((SUM(IF((CkDJ[Date]=$A$4)*(CkDJ[Sort Code]=(TRIM(E$5)))*(CkDJ[Account Code]=(TRIM($B115))),CkDJ[Debit])))+(SUM(IF((CsDJ[Date]=$A$4)*(CsDJ[Sort Code]=(TRIM(E$5)))*(CsDJ[Account Code]=(TRIM($B115))),CsDJ[Debit])))+(SUM(IF((CRDJ[Date]=$A$4)*(CRDJ[Sort Code]=(TRIM(E$5)))*(CRDJ[Account Code]=(TRIM($B115))),CRDJ[Debit])))+(SUM(IF((GJ[Date]=$A$4)*(GJ[Sort Code]=(TRIM(E$5)))*(GJ[Account Code]=(TRIM($B115))),GJ[Debit]))))-((SUM(IF((CkDJ[Date]=$A$4)*(CkDJ[Sort Code]=(TRIM(E$5)))*(CkDJ[Account Code]=(TRIM($B115))),CkDJ[Credit])))+(SUM(IF((CsDJ[Date]=$A$4)*(CsDJ[Sort Code]=(TRIM(E$5)))*(CsDJ[Account Code]=(TRIM($B115))),CsDJ[Credit])))+(SUM(IF((CRDJ[Date]=$A$4)*(CRDJ[Sort Code]=(TRIM(E$5)))*(CRDJ[Account Code]=(TRIM($B115))),CRDJ[Credit])))+(SUM(IF((GJ[Date]=$A$4)*(GJ[Sort Code]=(TRIM(E$5)))*(GJ[Account Code]=(TRIM($B115))),GJ[Credit]))))</f>
        <v>0</v>
      </c>
      <c r="E115" s="467">
        <f t="shared" si="3"/>
        <v>0</v>
      </c>
    </row>
    <row r="116" spans="1:5" x14ac:dyDescent="0.2">
      <c r="A116" s="476" t="s">
        <v>312</v>
      </c>
      <c r="B116" s="339" t="s">
        <v>264</v>
      </c>
      <c r="C116" s="466">
        <f t="array" ref="C116">((SUM(IF((CkDJ[Sort Code]=(TRIM(E$5)))*(CkDJ[Account Code]=(TRIM($B116)))*(CkDJ[Date]&lt;=$C$8),CkDJ[Debit])))+(SUM(IF((CsDJ[Sort Code]=(TRIM(E$5)))*(CsDJ[Account Code]=(TRIM($B116)))*(CsDJ[Date]&lt;=$C$8),CsDJ[Debit])))+(SUM(IF((CRDJ[Sort Code]=(TRIM(E$5)))*(CRDJ[Account Code]=(TRIM($B116)))*(CRDJ[Date]&lt;=$C$8),CRDJ[Debit])))+(SUM(IF((GJ[Sort Code]=(TRIM(E$5)))*(GJ[Account Code]=(TRIM($B116)))*(GJ[Date]&lt;=$C$8),GJ[Debit]))))-((SUM(IF((CkDJ[Sort Code]=(TRIM(E$5)))*(CkDJ[Account Code]=(TRIM($B116)))*(CkDJ[Date]&lt;=$C$8),CkDJ[Credit])))+(SUM(IF((CsDJ[Sort Code]=(TRIM(E$5)))*(CsDJ[Account Code]=(TRIM($B116)))*(CsDJ[Date]&lt;=$C$8),CsDJ[Credit])))+(SUM(IF((CRDJ[Sort Code]=(TRIM(E$5)))*(CRDJ[Account Code]=(TRIM($B116)))*(CRDJ[Date]&lt;=$C$8),CRDJ[Credit])))+(SUM(IF((GJ[Sort Code]=(TRIM(E$5)))*(GJ[Account Code]=(TRIM($B116)))*(GJ[Date]&lt;=$C$8),GJ[Credit]))))</f>
        <v>0</v>
      </c>
      <c r="D116" s="466">
        <f t="array" ref="D116">((SUM(IF((CkDJ[Date]=$A$4)*(CkDJ[Sort Code]=(TRIM(E$5)))*(CkDJ[Account Code]=(TRIM($B116))),CkDJ[Debit])))+(SUM(IF((CsDJ[Date]=$A$4)*(CsDJ[Sort Code]=(TRIM(E$5)))*(CsDJ[Account Code]=(TRIM($B116))),CsDJ[Debit])))+(SUM(IF((CRDJ[Date]=$A$4)*(CRDJ[Sort Code]=(TRIM(E$5)))*(CRDJ[Account Code]=(TRIM($B116))),CRDJ[Debit])))+(SUM(IF((GJ[Date]=$A$4)*(GJ[Sort Code]=(TRIM(E$5)))*(GJ[Account Code]=(TRIM($B116))),GJ[Debit]))))-((SUM(IF((CkDJ[Date]=$A$4)*(CkDJ[Sort Code]=(TRIM(E$5)))*(CkDJ[Account Code]=(TRIM($B116))),CkDJ[Credit])))+(SUM(IF((CsDJ[Date]=$A$4)*(CsDJ[Sort Code]=(TRIM(E$5)))*(CsDJ[Account Code]=(TRIM($B116))),CsDJ[Credit])))+(SUM(IF((CRDJ[Date]=$A$4)*(CRDJ[Sort Code]=(TRIM(E$5)))*(CRDJ[Account Code]=(TRIM($B116))),CRDJ[Credit])))+(SUM(IF((GJ[Date]=$A$4)*(GJ[Sort Code]=(TRIM(E$5)))*(GJ[Account Code]=(TRIM($B116))),GJ[Credit]))))</f>
        <v>0</v>
      </c>
      <c r="E116" s="467">
        <f t="shared" si="3"/>
        <v>0</v>
      </c>
    </row>
    <row r="117" spans="1:5" x14ac:dyDescent="0.2">
      <c r="A117" s="476" t="s">
        <v>313</v>
      </c>
      <c r="B117" s="339" t="s">
        <v>265</v>
      </c>
      <c r="C117" s="466">
        <f t="array" ref="C117">((SUM(IF((CkDJ[Sort Code]=(TRIM(E$5)))*(CkDJ[Account Code]=(TRIM($B117)))*(CkDJ[Date]&lt;=$C$8),CkDJ[Debit])))+(SUM(IF((CsDJ[Sort Code]=(TRIM(E$5)))*(CsDJ[Account Code]=(TRIM($B117)))*(CsDJ[Date]&lt;=$C$8),CsDJ[Debit])))+(SUM(IF((CRDJ[Sort Code]=(TRIM(E$5)))*(CRDJ[Account Code]=(TRIM($B117)))*(CRDJ[Date]&lt;=$C$8),CRDJ[Debit])))+(SUM(IF((GJ[Sort Code]=(TRIM(E$5)))*(GJ[Account Code]=(TRIM($B117)))*(GJ[Date]&lt;=$C$8),GJ[Debit]))))-((SUM(IF((CkDJ[Sort Code]=(TRIM(E$5)))*(CkDJ[Account Code]=(TRIM($B117)))*(CkDJ[Date]&lt;=$C$8),CkDJ[Credit])))+(SUM(IF((CsDJ[Sort Code]=(TRIM(E$5)))*(CsDJ[Account Code]=(TRIM($B117)))*(CsDJ[Date]&lt;=$C$8),CsDJ[Credit])))+(SUM(IF((CRDJ[Sort Code]=(TRIM(E$5)))*(CRDJ[Account Code]=(TRIM($B117)))*(CRDJ[Date]&lt;=$C$8),CRDJ[Credit])))+(SUM(IF((GJ[Sort Code]=(TRIM(E$5)))*(GJ[Account Code]=(TRIM($B117)))*(GJ[Date]&lt;=$C$8),GJ[Credit]))))</f>
        <v>0</v>
      </c>
      <c r="D117" s="466">
        <f t="array" ref="D117">((SUM(IF((CkDJ[Date]=$A$4)*(CkDJ[Sort Code]=(TRIM(E$5)))*(CkDJ[Account Code]=(TRIM($B117))),CkDJ[Debit])))+(SUM(IF((CsDJ[Date]=$A$4)*(CsDJ[Sort Code]=(TRIM(E$5)))*(CsDJ[Account Code]=(TRIM($B117))),CsDJ[Debit])))+(SUM(IF((CRDJ[Date]=$A$4)*(CRDJ[Sort Code]=(TRIM(E$5)))*(CRDJ[Account Code]=(TRIM($B117))),CRDJ[Debit])))+(SUM(IF((GJ[Date]=$A$4)*(GJ[Sort Code]=(TRIM(E$5)))*(GJ[Account Code]=(TRIM($B117))),GJ[Debit]))))-((SUM(IF((CkDJ[Date]=$A$4)*(CkDJ[Sort Code]=(TRIM(E$5)))*(CkDJ[Account Code]=(TRIM($B117))),CkDJ[Credit])))+(SUM(IF((CsDJ[Date]=$A$4)*(CsDJ[Sort Code]=(TRIM(E$5)))*(CsDJ[Account Code]=(TRIM($B117))),CsDJ[Credit])))+(SUM(IF((CRDJ[Date]=$A$4)*(CRDJ[Sort Code]=(TRIM(E$5)))*(CRDJ[Account Code]=(TRIM($B117))),CRDJ[Credit])))+(SUM(IF((GJ[Date]=$A$4)*(GJ[Sort Code]=(TRIM(E$5)))*(GJ[Account Code]=(TRIM($B117))),GJ[Credit]))))</f>
        <v>0</v>
      </c>
      <c r="E117" s="467">
        <f t="shared" si="3"/>
        <v>0</v>
      </c>
    </row>
    <row r="118" spans="1:5" x14ac:dyDescent="0.2">
      <c r="A118" s="476" t="s">
        <v>790</v>
      </c>
      <c r="B118" s="339" t="s">
        <v>267</v>
      </c>
      <c r="C118" s="466">
        <f t="array" ref="C118">((SUM(IF((CkDJ[Sort Code]=(TRIM(E$5)))*(CkDJ[Account Code]=(TRIM($B118)))*(CkDJ[Date]&lt;=$C$8),CkDJ[Debit])))+(SUM(IF((CsDJ[Sort Code]=(TRIM(E$5)))*(CsDJ[Account Code]=(TRIM($B118)))*(CsDJ[Date]&lt;=$C$8),CsDJ[Debit])))+(SUM(IF((CRDJ[Sort Code]=(TRIM(E$5)))*(CRDJ[Account Code]=(TRIM($B118)))*(CRDJ[Date]&lt;=$C$8),CRDJ[Debit])))+(SUM(IF((GJ[Sort Code]=(TRIM(E$5)))*(GJ[Account Code]=(TRIM($B118)))*(GJ[Date]&lt;=$C$8),GJ[Debit]))))-((SUM(IF((CkDJ[Sort Code]=(TRIM(E$5)))*(CkDJ[Account Code]=(TRIM($B118)))*(CkDJ[Date]&lt;=$C$8),CkDJ[Credit])))+(SUM(IF((CsDJ[Sort Code]=(TRIM(E$5)))*(CsDJ[Account Code]=(TRIM($B118)))*(CsDJ[Date]&lt;=$C$8),CsDJ[Credit])))+(SUM(IF((CRDJ[Sort Code]=(TRIM(E$5)))*(CRDJ[Account Code]=(TRIM($B118)))*(CRDJ[Date]&lt;=$C$8),CRDJ[Credit])))+(SUM(IF((GJ[Sort Code]=(TRIM(E$5)))*(GJ[Account Code]=(TRIM($B118)))*(GJ[Date]&lt;=$C$8),GJ[Credit]))))</f>
        <v>0</v>
      </c>
      <c r="D118" s="466">
        <f t="array" ref="D118">((SUM(IF((CkDJ[Date]=$A$4)*(CkDJ[Sort Code]=(TRIM(E$5)))*(CkDJ[Account Code]=(TRIM($B118))),CkDJ[Debit])))+(SUM(IF((CsDJ[Date]=$A$4)*(CsDJ[Sort Code]=(TRIM(E$5)))*(CsDJ[Account Code]=(TRIM($B118))),CsDJ[Debit])))+(SUM(IF((CRDJ[Date]=$A$4)*(CRDJ[Sort Code]=(TRIM(E$5)))*(CRDJ[Account Code]=(TRIM($B118))),CRDJ[Debit])))+(SUM(IF((GJ[Date]=$A$4)*(GJ[Sort Code]=(TRIM(E$5)))*(GJ[Account Code]=(TRIM($B118))),GJ[Debit]))))-((SUM(IF((CkDJ[Date]=$A$4)*(CkDJ[Sort Code]=(TRIM(E$5)))*(CkDJ[Account Code]=(TRIM($B118))),CkDJ[Credit])))+(SUM(IF((CsDJ[Date]=$A$4)*(CsDJ[Sort Code]=(TRIM(E$5)))*(CsDJ[Account Code]=(TRIM($B118))),CsDJ[Credit])))+(SUM(IF((CRDJ[Date]=$A$4)*(CRDJ[Sort Code]=(TRIM(E$5)))*(CRDJ[Account Code]=(TRIM($B118))),CRDJ[Credit])))+(SUM(IF((GJ[Date]=$A$4)*(GJ[Sort Code]=(TRIM(E$5)))*(GJ[Account Code]=(TRIM($B118))),GJ[Credit]))))</f>
        <v>0</v>
      </c>
      <c r="E118" s="467">
        <f>C118+D118</f>
        <v>0</v>
      </c>
    </row>
    <row r="119" spans="1:5" x14ac:dyDescent="0.2">
      <c r="A119" s="476" t="s">
        <v>1027</v>
      </c>
      <c r="B119" s="339" t="s">
        <v>269</v>
      </c>
      <c r="C119" s="466">
        <f t="array" ref="C119">((SUM(IF((CkDJ[Sort Code]=(TRIM(E$5)))*(CkDJ[Account Code]=(TRIM($B119)))*(CkDJ[Date]&lt;=$C$8),CkDJ[Debit])))+(SUM(IF((CsDJ[Sort Code]=(TRIM(E$5)))*(CsDJ[Account Code]=(TRIM($B119)))*(CsDJ[Date]&lt;=$C$8),CsDJ[Debit])))+(SUM(IF((CRDJ[Sort Code]=(TRIM(E$5)))*(CRDJ[Account Code]=(TRIM($B119)))*(CRDJ[Date]&lt;=$C$8),CRDJ[Debit])))+(SUM(IF((GJ[Sort Code]=(TRIM(E$5)))*(GJ[Account Code]=(TRIM($B119)))*(GJ[Date]&lt;=$C$8),GJ[Debit]))))-((SUM(IF((CkDJ[Sort Code]=(TRIM(E$5)))*(CkDJ[Account Code]=(TRIM($B119)))*(CkDJ[Date]&lt;=$C$8),CkDJ[Credit])))+(SUM(IF((CsDJ[Sort Code]=(TRIM(E$5)))*(CsDJ[Account Code]=(TRIM($B119)))*(CsDJ[Date]&lt;=$C$8),CsDJ[Credit])))+(SUM(IF((CRDJ[Sort Code]=(TRIM(E$5)))*(CRDJ[Account Code]=(TRIM($B119)))*(CRDJ[Date]&lt;=$C$8),CRDJ[Credit])))+(SUM(IF((GJ[Sort Code]=(TRIM(E$5)))*(GJ[Account Code]=(TRIM($B119)))*(GJ[Date]&lt;=$C$8),GJ[Credit]))))</f>
        <v>0</v>
      </c>
      <c r="D119" s="466">
        <f t="array" ref="D119">((SUM(IF((CkDJ[Date]=$A$4)*(CkDJ[Sort Code]=(TRIM(E$5)))*(CkDJ[Account Code]=(TRIM($B119))),CkDJ[Debit])))+(SUM(IF((CsDJ[Date]=$A$4)*(CsDJ[Sort Code]=(TRIM(E$5)))*(CsDJ[Account Code]=(TRIM($B119))),CsDJ[Debit])))+(SUM(IF((CRDJ[Date]=$A$4)*(CRDJ[Sort Code]=(TRIM(E$5)))*(CRDJ[Account Code]=(TRIM($B119))),CRDJ[Debit])))+(SUM(IF((GJ[Date]=$A$4)*(GJ[Sort Code]=(TRIM(E$5)))*(GJ[Account Code]=(TRIM($B119))),GJ[Debit]))))-((SUM(IF((CkDJ[Date]=$A$4)*(CkDJ[Sort Code]=(TRIM(E$5)))*(CkDJ[Account Code]=(TRIM($B119))),CkDJ[Credit])))+(SUM(IF((CsDJ[Date]=$A$4)*(CsDJ[Sort Code]=(TRIM(E$5)))*(CsDJ[Account Code]=(TRIM($B119))),CsDJ[Credit])))+(SUM(IF((CRDJ[Date]=$A$4)*(CRDJ[Sort Code]=(TRIM(E$5)))*(CRDJ[Account Code]=(TRIM($B119))),CRDJ[Credit])))+(SUM(IF((GJ[Date]=$A$4)*(GJ[Sort Code]=(TRIM(E$5)))*(GJ[Account Code]=(TRIM($B119))),GJ[Credit]))))</f>
        <v>0</v>
      </c>
      <c r="E119" s="467">
        <f t="shared" ref="E119:E136" si="4">C119+D119</f>
        <v>0</v>
      </c>
    </row>
    <row r="120" spans="1:5" x14ac:dyDescent="0.2">
      <c r="A120" s="476" t="s">
        <v>409</v>
      </c>
      <c r="B120" s="339" t="s">
        <v>408</v>
      </c>
      <c r="C120" s="466">
        <f t="array" ref="C120">((SUM(IF((CkDJ[Sort Code]=(TRIM(E$5)))*(CkDJ[Account Code]=(TRIM($B120)))*(CkDJ[Date]&lt;=$C$8),CkDJ[Debit])))+(SUM(IF((CsDJ[Sort Code]=(TRIM(E$5)))*(CsDJ[Account Code]=(TRIM($B120)))*(CsDJ[Date]&lt;=$C$8),CsDJ[Debit])))+(SUM(IF((CRDJ[Sort Code]=(TRIM(E$5)))*(CRDJ[Account Code]=(TRIM($B120)))*(CRDJ[Date]&lt;=$C$8),CRDJ[Debit])))+(SUM(IF((GJ[Sort Code]=(TRIM(E$5)))*(GJ[Account Code]=(TRIM($B120)))*(GJ[Date]&lt;=$C$8),GJ[Debit]))))-((SUM(IF((CkDJ[Sort Code]=(TRIM(E$5)))*(CkDJ[Account Code]=(TRIM($B120)))*(CkDJ[Date]&lt;=$C$8),CkDJ[Credit])))+(SUM(IF((CsDJ[Sort Code]=(TRIM(E$5)))*(CsDJ[Account Code]=(TRIM($B120)))*(CsDJ[Date]&lt;=$C$8),CsDJ[Credit])))+(SUM(IF((CRDJ[Sort Code]=(TRIM(E$5)))*(CRDJ[Account Code]=(TRIM($B120)))*(CRDJ[Date]&lt;=$C$8),CRDJ[Credit])))+(SUM(IF((GJ[Sort Code]=(TRIM(E$5)))*(GJ[Account Code]=(TRIM($B120)))*(GJ[Date]&lt;=$C$8),GJ[Credit]))))</f>
        <v>0</v>
      </c>
      <c r="D120" s="466">
        <f t="array" ref="D120">((SUM(IF((CkDJ[Date]=$A$4)*(CkDJ[Sort Code]=(TRIM(E$5)))*(CkDJ[Account Code]=(TRIM($B120))),CkDJ[Debit])))+(SUM(IF((CsDJ[Date]=$A$4)*(CsDJ[Sort Code]=(TRIM(E$5)))*(CsDJ[Account Code]=(TRIM($B120))),CsDJ[Debit])))+(SUM(IF((CRDJ[Date]=$A$4)*(CRDJ[Sort Code]=(TRIM(E$5)))*(CRDJ[Account Code]=(TRIM($B120))),CRDJ[Debit])))+(SUM(IF((GJ[Date]=$A$4)*(GJ[Sort Code]=(TRIM(E$5)))*(GJ[Account Code]=(TRIM($B120))),GJ[Debit]))))-((SUM(IF((CkDJ[Date]=$A$4)*(CkDJ[Sort Code]=(TRIM(E$5)))*(CkDJ[Account Code]=(TRIM($B120))),CkDJ[Credit])))+(SUM(IF((CsDJ[Date]=$A$4)*(CsDJ[Sort Code]=(TRIM(E$5)))*(CsDJ[Account Code]=(TRIM($B120))),CsDJ[Credit])))+(SUM(IF((CRDJ[Date]=$A$4)*(CRDJ[Sort Code]=(TRIM(E$5)))*(CRDJ[Account Code]=(TRIM($B120))),CRDJ[Credit])))+(SUM(IF((GJ[Date]=$A$4)*(GJ[Sort Code]=(TRIM(E$5)))*(GJ[Account Code]=(TRIM($B120))),GJ[Credit]))))</f>
        <v>0</v>
      </c>
      <c r="E120" s="467">
        <f>C120+D120</f>
        <v>0</v>
      </c>
    </row>
    <row r="121" spans="1:5" x14ac:dyDescent="0.2">
      <c r="A121" s="476" t="s">
        <v>315</v>
      </c>
      <c r="B121" s="339" t="s">
        <v>270</v>
      </c>
      <c r="C121" s="466">
        <f t="array" ref="C121">((SUM(IF((CkDJ[Sort Code]=(TRIM(E$5)))*(CkDJ[Account Code]=(TRIM($B121)))*(CkDJ[Date]&lt;=$C$8),CkDJ[Debit])))+(SUM(IF((CsDJ[Sort Code]=(TRIM(E$5)))*(CsDJ[Account Code]=(TRIM($B121)))*(CsDJ[Date]&lt;=$C$8),CsDJ[Debit])))+(SUM(IF((CRDJ[Sort Code]=(TRIM(E$5)))*(CRDJ[Account Code]=(TRIM($B121)))*(CRDJ[Date]&lt;=$C$8),CRDJ[Debit])))+(SUM(IF((GJ[Sort Code]=(TRIM(E$5)))*(GJ[Account Code]=(TRIM($B121)))*(GJ[Date]&lt;=$C$8),GJ[Debit]))))-((SUM(IF((CkDJ[Sort Code]=(TRIM(E$5)))*(CkDJ[Account Code]=(TRIM($B121)))*(CkDJ[Date]&lt;=$C$8),CkDJ[Credit])))+(SUM(IF((CsDJ[Sort Code]=(TRIM(E$5)))*(CsDJ[Account Code]=(TRIM($B121)))*(CsDJ[Date]&lt;=$C$8),CsDJ[Credit])))+(SUM(IF((CRDJ[Sort Code]=(TRIM(E$5)))*(CRDJ[Account Code]=(TRIM($B121)))*(CRDJ[Date]&lt;=$C$8),CRDJ[Credit])))+(SUM(IF((GJ[Sort Code]=(TRIM(E$5)))*(GJ[Account Code]=(TRIM($B121)))*(GJ[Date]&lt;=$C$8),GJ[Credit]))))</f>
        <v>0</v>
      </c>
      <c r="D121" s="466">
        <f t="array" ref="D121">((SUM(IF((CkDJ[Date]=$A$4)*(CkDJ[Sort Code]=(TRIM(E$5)))*(CkDJ[Account Code]=(TRIM($B121))),CkDJ[Debit])))+(SUM(IF((CsDJ[Date]=$A$4)*(CsDJ[Sort Code]=(TRIM(E$5)))*(CsDJ[Account Code]=(TRIM($B121))),CsDJ[Debit])))+(SUM(IF((CRDJ[Date]=$A$4)*(CRDJ[Sort Code]=(TRIM(E$5)))*(CRDJ[Account Code]=(TRIM($B121))),CRDJ[Debit])))+(SUM(IF((GJ[Date]=$A$4)*(GJ[Sort Code]=(TRIM(E$5)))*(GJ[Account Code]=(TRIM($B121))),GJ[Debit]))))-((SUM(IF((CkDJ[Date]=$A$4)*(CkDJ[Sort Code]=(TRIM(E$5)))*(CkDJ[Account Code]=(TRIM($B121))),CkDJ[Credit])))+(SUM(IF((CsDJ[Date]=$A$4)*(CsDJ[Sort Code]=(TRIM(E$5)))*(CsDJ[Account Code]=(TRIM($B121))),CsDJ[Credit])))+(SUM(IF((CRDJ[Date]=$A$4)*(CRDJ[Sort Code]=(TRIM(E$5)))*(CRDJ[Account Code]=(TRIM($B121))),CRDJ[Credit])))+(SUM(IF((GJ[Date]=$A$4)*(GJ[Sort Code]=(TRIM(E$5)))*(GJ[Account Code]=(TRIM($B121))),GJ[Credit]))))</f>
        <v>0</v>
      </c>
      <c r="E121" s="467">
        <f>C121+D121</f>
        <v>0</v>
      </c>
    </row>
    <row r="122" spans="1:5" x14ac:dyDescent="0.2">
      <c r="A122" s="476" t="s">
        <v>368</v>
      </c>
      <c r="B122" s="339" t="s">
        <v>271</v>
      </c>
      <c r="C122" s="466">
        <f t="array" ref="C122">((SUM(IF((CkDJ[Sort Code]=(TRIM(E$5)))*(CkDJ[Account Code]=(TRIM($B122)))*(CkDJ[Date]&lt;=$C$8),CkDJ[Debit])))+(SUM(IF((CsDJ[Sort Code]=(TRIM(E$5)))*(CsDJ[Account Code]=(TRIM($B122)))*(CsDJ[Date]&lt;=$C$8),CsDJ[Debit])))+(SUM(IF((CRDJ[Sort Code]=(TRIM(E$5)))*(CRDJ[Account Code]=(TRIM($B122)))*(CRDJ[Date]&lt;=$C$8),CRDJ[Debit])))+(SUM(IF((GJ[Sort Code]=(TRIM(E$5)))*(GJ[Account Code]=(TRIM($B122)))*(GJ[Date]&lt;=$C$8),GJ[Debit]))))-((SUM(IF((CkDJ[Sort Code]=(TRIM(E$5)))*(CkDJ[Account Code]=(TRIM($B122)))*(CkDJ[Date]&lt;=$C$8),CkDJ[Credit])))+(SUM(IF((CsDJ[Sort Code]=(TRIM(E$5)))*(CsDJ[Account Code]=(TRIM($B122)))*(CsDJ[Date]&lt;=$C$8),CsDJ[Credit])))+(SUM(IF((CRDJ[Sort Code]=(TRIM(E$5)))*(CRDJ[Account Code]=(TRIM($B122)))*(CRDJ[Date]&lt;=$C$8),CRDJ[Credit])))+(SUM(IF((GJ[Sort Code]=(TRIM(E$5)))*(GJ[Account Code]=(TRIM($B122)))*(GJ[Date]&lt;=$C$8),GJ[Credit]))))</f>
        <v>0</v>
      </c>
      <c r="D122" s="466">
        <f t="array" ref="D122">((SUM(IF((CkDJ[Date]=$A$4)*(CkDJ[Sort Code]=(TRIM(E$5)))*(CkDJ[Account Code]=(TRIM($B122))),CkDJ[Debit])))+(SUM(IF((CsDJ[Date]=$A$4)*(CsDJ[Sort Code]=(TRIM(E$5)))*(CsDJ[Account Code]=(TRIM($B122))),CsDJ[Debit])))+(SUM(IF((CRDJ[Date]=$A$4)*(CRDJ[Sort Code]=(TRIM(E$5)))*(CRDJ[Account Code]=(TRIM($B122))),CRDJ[Debit])))+(SUM(IF((GJ[Date]=$A$4)*(GJ[Sort Code]=(TRIM(E$5)))*(GJ[Account Code]=(TRIM($B122))),GJ[Debit]))))-((SUM(IF((CkDJ[Date]=$A$4)*(CkDJ[Sort Code]=(TRIM(E$5)))*(CkDJ[Account Code]=(TRIM($B122))),CkDJ[Credit])))+(SUM(IF((CsDJ[Date]=$A$4)*(CsDJ[Sort Code]=(TRIM(E$5)))*(CsDJ[Account Code]=(TRIM($B122))),CsDJ[Credit])))+(SUM(IF((CRDJ[Date]=$A$4)*(CRDJ[Sort Code]=(TRIM(E$5)))*(CRDJ[Account Code]=(TRIM($B122))),CRDJ[Credit])))+(SUM(IF((GJ[Date]=$A$4)*(GJ[Sort Code]=(TRIM(E$5)))*(GJ[Account Code]=(TRIM($B122))),GJ[Credit]))))</f>
        <v>0</v>
      </c>
      <c r="E122" s="467">
        <f t="shared" si="4"/>
        <v>0</v>
      </c>
    </row>
    <row r="123" spans="1:5" x14ac:dyDescent="0.2">
      <c r="A123" s="476" t="s">
        <v>316</v>
      </c>
      <c r="B123" s="339" t="s">
        <v>272</v>
      </c>
      <c r="C123" s="466">
        <f t="array" ref="C123">((SUM(IF((CkDJ[Sort Code]=(TRIM(E$5)))*(CkDJ[Account Code]=(TRIM($B123)))*(CkDJ[Date]&lt;=$C$8),CkDJ[Debit])))+(SUM(IF((CsDJ[Sort Code]=(TRIM(E$5)))*(CsDJ[Account Code]=(TRIM($B123)))*(CsDJ[Date]&lt;=$C$8),CsDJ[Debit])))+(SUM(IF((CRDJ[Sort Code]=(TRIM(E$5)))*(CRDJ[Account Code]=(TRIM($B123)))*(CRDJ[Date]&lt;=$C$8),CRDJ[Debit])))+(SUM(IF((GJ[Sort Code]=(TRIM(E$5)))*(GJ[Account Code]=(TRIM($B123)))*(GJ[Date]&lt;=$C$8),GJ[Debit]))))-((SUM(IF((CkDJ[Sort Code]=(TRIM(E$5)))*(CkDJ[Account Code]=(TRIM($B123)))*(CkDJ[Date]&lt;=$C$8),CkDJ[Credit])))+(SUM(IF((CsDJ[Sort Code]=(TRIM(E$5)))*(CsDJ[Account Code]=(TRIM($B123)))*(CsDJ[Date]&lt;=$C$8),CsDJ[Credit])))+(SUM(IF((CRDJ[Sort Code]=(TRIM(E$5)))*(CRDJ[Account Code]=(TRIM($B123)))*(CRDJ[Date]&lt;=$C$8),CRDJ[Credit])))+(SUM(IF((GJ[Sort Code]=(TRIM(E$5)))*(GJ[Account Code]=(TRIM($B123)))*(GJ[Date]&lt;=$C$8),GJ[Credit]))))</f>
        <v>0</v>
      </c>
      <c r="D123" s="466">
        <f t="array" ref="D123">((SUM(IF((CkDJ[Date]=$A$4)*(CkDJ[Sort Code]=(TRIM(E$5)))*(CkDJ[Account Code]=(TRIM($B123))),CkDJ[Debit])))+(SUM(IF((CsDJ[Date]=$A$4)*(CsDJ[Sort Code]=(TRIM(E$5)))*(CsDJ[Account Code]=(TRIM($B123))),CsDJ[Debit])))+(SUM(IF((CRDJ[Date]=$A$4)*(CRDJ[Sort Code]=(TRIM(E$5)))*(CRDJ[Account Code]=(TRIM($B123))),CRDJ[Debit])))+(SUM(IF((GJ[Date]=$A$4)*(GJ[Sort Code]=(TRIM(E$5)))*(GJ[Account Code]=(TRIM($B123))),GJ[Debit]))))-((SUM(IF((CkDJ[Date]=$A$4)*(CkDJ[Sort Code]=(TRIM(E$5)))*(CkDJ[Account Code]=(TRIM($B123))),CkDJ[Credit])))+(SUM(IF((CsDJ[Date]=$A$4)*(CsDJ[Sort Code]=(TRIM(E$5)))*(CsDJ[Account Code]=(TRIM($B123))),CsDJ[Credit])))+(SUM(IF((CRDJ[Date]=$A$4)*(CRDJ[Sort Code]=(TRIM(E$5)))*(CRDJ[Account Code]=(TRIM($B123))),CRDJ[Credit])))+(SUM(IF((GJ[Date]=$A$4)*(GJ[Sort Code]=(TRIM(E$5)))*(GJ[Account Code]=(TRIM($B123))),GJ[Credit]))))</f>
        <v>0</v>
      </c>
      <c r="E123" s="467">
        <f t="shared" si="4"/>
        <v>0</v>
      </c>
    </row>
    <row r="124" spans="1:5" x14ac:dyDescent="0.2">
      <c r="A124" s="476" t="s">
        <v>317</v>
      </c>
      <c r="B124" s="339" t="s">
        <v>273</v>
      </c>
      <c r="C124" s="466">
        <f t="array" ref="C124">((SUM(IF((CkDJ[Sort Code]=(TRIM(E$5)))*(CkDJ[Account Code]=(TRIM($B124)))*(CkDJ[Date]&lt;=$C$8),CkDJ[Debit])))+(SUM(IF((CsDJ[Sort Code]=(TRIM(E$5)))*(CsDJ[Account Code]=(TRIM($B124)))*(CsDJ[Date]&lt;=$C$8),CsDJ[Debit])))+(SUM(IF((CRDJ[Sort Code]=(TRIM(E$5)))*(CRDJ[Account Code]=(TRIM($B124)))*(CRDJ[Date]&lt;=$C$8),CRDJ[Debit])))+(SUM(IF((GJ[Sort Code]=(TRIM(E$5)))*(GJ[Account Code]=(TRIM($B124)))*(GJ[Date]&lt;=$C$8),GJ[Debit]))))-((SUM(IF((CkDJ[Sort Code]=(TRIM(E$5)))*(CkDJ[Account Code]=(TRIM($B124)))*(CkDJ[Date]&lt;=$C$8),CkDJ[Credit])))+(SUM(IF((CsDJ[Sort Code]=(TRIM(E$5)))*(CsDJ[Account Code]=(TRIM($B124)))*(CsDJ[Date]&lt;=$C$8),CsDJ[Credit])))+(SUM(IF((CRDJ[Sort Code]=(TRIM(E$5)))*(CRDJ[Account Code]=(TRIM($B124)))*(CRDJ[Date]&lt;=$C$8),CRDJ[Credit])))+(SUM(IF((GJ[Sort Code]=(TRIM(E$5)))*(GJ[Account Code]=(TRIM($B124)))*(GJ[Date]&lt;=$C$8),GJ[Credit]))))</f>
        <v>0</v>
      </c>
      <c r="D124" s="466">
        <f t="array" ref="D124">((SUM(IF((CkDJ[Date]=$A$4)*(CkDJ[Sort Code]=(TRIM(E$5)))*(CkDJ[Account Code]=(TRIM($B124))),CkDJ[Debit])))+(SUM(IF((CsDJ[Date]=$A$4)*(CsDJ[Sort Code]=(TRIM(E$5)))*(CsDJ[Account Code]=(TRIM($B124))),CsDJ[Debit])))+(SUM(IF((CRDJ[Date]=$A$4)*(CRDJ[Sort Code]=(TRIM(E$5)))*(CRDJ[Account Code]=(TRIM($B124))),CRDJ[Debit])))+(SUM(IF((GJ[Date]=$A$4)*(GJ[Sort Code]=(TRIM(E$5)))*(GJ[Account Code]=(TRIM($B124))),GJ[Debit]))))-((SUM(IF((CkDJ[Date]=$A$4)*(CkDJ[Sort Code]=(TRIM(E$5)))*(CkDJ[Account Code]=(TRIM($B124))),CkDJ[Credit])))+(SUM(IF((CsDJ[Date]=$A$4)*(CsDJ[Sort Code]=(TRIM(E$5)))*(CsDJ[Account Code]=(TRIM($B124))),CsDJ[Credit])))+(SUM(IF((CRDJ[Date]=$A$4)*(CRDJ[Sort Code]=(TRIM(E$5)))*(CRDJ[Account Code]=(TRIM($B124))),CRDJ[Credit])))+(SUM(IF((GJ[Date]=$A$4)*(GJ[Sort Code]=(TRIM(E$5)))*(GJ[Account Code]=(TRIM($B124))),GJ[Credit]))))</f>
        <v>0</v>
      </c>
      <c r="E124" s="467">
        <f t="shared" si="4"/>
        <v>0</v>
      </c>
    </row>
    <row r="125" spans="1:5" x14ac:dyDescent="0.2">
      <c r="A125" s="476" t="s">
        <v>318</v>
      </c>
      <c r="B125" s="339" t="s">
        <v>274</v>
      </c>
      <c r="C125" s="466">
        <f t="array" ref="C125">((SUM(IF((CkDJ[Sort Code]=(TRIM(E$5)))*(CkDJ[Account Code]=(TRIM($B125)))*(CkDJ[Date]&lt;=$C$8),CkDJ[Debit])))+(SUM(IF((CsDJ[Sort Code]=(TRIM(E$5)))*(CsDJ[Account Code]=(TRIM($B125)))*(CsDJ[Date]&lt;=$C$8),CsDJ[Debit])))+(SUM(IF((CRDJ[Sort Code]=(TRIM(E$5)))*(CRDJ[Account Code]=(TRIM($B125)))*(CRDJ[Date]&lt;=$C$8),CRDJ[Debit])))+(SUM(IF((GJ[Sort Code]=(TRIM(E$5)))*(GJ[Account Code]=(TRIM($B125)))*(GJ[Date]&lt;=$C$8),GJ[Debit]))))-((SUM(IF((CkDJ[Sort Code]=(TRIM(E$5)))*(CkDJ[Account Code]=(TRIM($B125)))*(CkDJ[Date]&lt;=$C$8),CkDJ[Credit])))+(SUM(IF((CsDJ[Sort Code]=(TRIM(E$5)))*(CsDJ[Account Code]=(TRIM($B125)))*(CsDJ[Date]&lt;=$C$8),CsDJ[Credit])))+(SUM(IF((CRDJ[Sort Code]=(TRIM(E$5)))*(CRDJ[Account Code]=(TRIM($B125)))*(CRDJ[Date]&lt;=$C$8),CRDJ[Credit])))+(SUM(IF((GJ[Sort Code]=(TRIM(E$5)))*(GJ[Account Code]=(TRIM($B125)))*(GJ[Date]&lt;=$C$8),GJ[Credit]))))</f>
        <v>0</v>
      </c>
      <c r="D125" s="466">
        <f t="array" ref="D125">((SUM(IF((CkDJ[Date]=$A$4)*(CkDJ[Sort Code]=(TRIM(E$5)))*(CkDJ[Account Code]=(TRIM($B125))),CkDJ[Debit])))+(SUM(IF((CsDJ[Date]=$A$4)*(CsDJ[Sort Code]=(TRIM(E$5)))*(CsDJ[Account Code]=(TRIM($B125))),CsDJ[Debit])))+(SUM(IF((CRDJ[Date]=$A$4)*(CRDJ[Sort Code]=(TRIM(E$5)))*(CRDJ[Account Code]=(TRIM($B125))),CRDJ[Debit])))+(SUM(IF((GJ[Date]=$A$4)*(GJ[Sort Code]=(TRIM(E$5)))*(GJ[Account Code]=(TRIM($B125))),GJ[Debit]))))-((SUM(IF((CkDJ[Date]=$A$4)*(CkDJ[Sort Code]=(TRIM(E$5)))*(CkDJ[Account Code]=(TRIM($B125))),CkDJ[Credit])))+(SUM(IF((CsDJ[Date]=$A$4)*(CsDJ[Sort Code]=(TRIM(E$5)))*(CsDJ[Account Code]=(TRIM($B125))),CsDJ[Credit])))+(SUM(IF((CRDJ[Date]=$A$4)*(CRDJ[Sort Code]=(TRIM(E$5)))*(CRDJ[Account Code]=(TRIM($B125))),CRDJ[Credit])))+(SUM(IF((GJ[Date]=$A$4)*(GJ[Sort Code]=(TRIM(E$5)))*(GJ[Account Code]=(TRIM($B125))),GJ[Credit]))))</f>
        <v>0</v>
      </c>
      <c r="E125" s="467">
        <f t="shared" si="4"/>
        <v>0</v>
      </c>
    </row>
    <row r="126" spans="1:5" x14ac:dyDescent="0.2">
      <c r="A126" s="476" t="s">
        <v>796</v>
      </c>
      <c r="B126" s="339" t="s">
        <v>331</v>
      </c>
      <c r="C126" s="466">
        <f t="array" ref="C126">((SUM(IF((CkDJ[Sort Code]=(TRIM(E$5)))*(CkDJ[Account Code]=(TRIM($B126)))*(CkDJ[Date]&lt;=$C$8),CkDJ[Debit])))+(SUM(IF((CsDJ[Sort Code]=(TRIM(E$5)))*(CsDJ[Account Code]=(TRIM($B126)))*(CsDJ[Date]&lt;=$C$8),CsDJ[Debit])))+(SUM(IF((CRDJ[Sort Code]=(TRIM(E$5)))*(CRDJ[Account Code]=(TRIM($B126)))*(CRDJ[Date]&lt;=$C$8),CRDJ[Debit])))+(SUM(IF((GJ[Sort Code]=(TRIM(E$5)))*(GJ[Account Code]=(TRIM($B126)))*(GJ[Date]&lt;=$C$8),GJ[Debit]))))-((SUM(IF((CkDJ[Sort Code]=(TRIM(E$5)))*(CkDJ[Account Code]=(TRIM($B126)))*(CkDJ[Date]&lt;=$C$8),CkDJ[Credit])))+(SUM(IF((CsDJ[Sort Code]=(TRIM(E$5)))*(CsDJ[Account Code]=(TRIM($B126)))*(CsDJ[Date]&lt;=$C$8),CsDJ[Credit])))+(SUM(IF((CRDJ[Sort Code]=(TRIM(E$5)))*(CRDJ[Account Code]=(TRIM($B126)))*(CRDJ[Date]&lt;=$C$8),CRDJ[Credit])))+(SUM(IF((GJ[Sort Code]=(TRIM(E$5)))*(GJ[Account Code]=(TRIM($B126)))*(GJ[Date]&lt;=$C$8),GJ[Credit]))))</f>
        <v>0</v>
      </c>
      <c r="D126" s="466">
        <f t="array" ref="D126">((SUM(IF((CkDJ[Date]=$A$4)*(CkDJ[Sort Code]=(TRIM(E$5)))*(CkDJ[Account Code]=(TRIM($B126))),CkDJ[Debit])))+(SUM(IF((CsDJ[Date]=$A$4)*(CsDJ[Sort Code]=(TRIM(E$5)))*(CsDJ[Account Code]=(TRIM($B126))),CsDJ[Debit])))+(SUM(IF((CRDJ[Date]=$A$4)*(CRDJ[Sort Code]=(TRIM(E$5)))*(CRDJ[Account Code]=(TRIM($B126))),CRDJ[Debit])))+(SUM(IF((GJ[Date]=$A$4)*(GJ[Sort Code]=(TRIM(E$5)))*(GJ[Account Code]=(TRIM($B126))),GJ[Debit]))))-((SUM(IF((CkDJ[Date]=$A$4)*(CkDJ[Sort Code]=(TRIM(E$5)))*(CkDJ[Account Code]=(TRIM($B126))),CkDJ[Credit])))+(SUM(IF((CsDJ[Date]=$A$4)*(CsDJ[Sort Code]=(TRIM(E$5)))*(CsDJ[Account Code]=(TRIM($B126))),CsDJ[Credit])))+(SUM(IF((CRDJ[Date]=$A$4)*(CRDJ[Sort Code]=(TRIM(E$5)))*(CRDJ[Account Code]=(TRIM($B126))),CRDJ[Credit])))+(SUM(IF((GJ[Date]=$A$4)*(GJ[Sort Code]=(TRIM(E$5)))*(GJ[Account Code]=(TRIM($B126))),GJ[Credit]))))</f>
        <v>0</v>
      </c>
      <c r="E126" s="467">
        <f t="shared" si="4"/>
        <v>0</v>
      </c>
    </row>
    <row r="127" spans="1:5" x14ac:dyDescent="0.2">
      <c r="A127" s="476" t="s">
        <v>1028</v>
      </c>
      <c r="B127" s="339" t="s">
        <v>332</v>
      </c>
      <c r="C127" s="466">
        <f t="array" ref="C127">((SUM(IF((CkDJ[Sort Code]=(TRIM(E$5)))*(CkDJ[Account Code]=(TRIM($B127)))*(CkDJ[Date]&lt;=$C$8),CkDJ[Debit])))+(SUM(IF((CsDJ[Sort Code]=(TRIM(E$5)))*(CsDJ[Account Code]=(TRIM($B127)))*(CsDJ[Date]&lt;=$C$8),CsDJ[Debit])))+(SUM(IF((CRDJ[Sort Code]=(TRIM(E$5)))*(CRDJ[Account Code]=(TRIM($B127)))*(CRDJ[Date]&lt;=$C$8),CRDJ[Debit])))+(SUM(IF((GJ[Sort Code]=(TRIM(E$5)))*(GJ[Account Code]=(TRIM($B127)))*(GJ[Date]&lt;=$C$8),GJ[Debit]))))-((SUM(IF((CkDJ[Sort Code]=(TRIM(E$5)))*(CkDJ[Account Code]=(TRIM($B127)))*(CkDJ[Date]&lt;=$C$8),CkDJ[Credit])))+(SUM(IF((CsDJ[Sort Code]=(TRIM(E$5)))*(CsDJ[Account Code]=(TRIM($B127)))*(CsDJ[Date]&lt;=$C$8),CsDJ[Credit])))+(SUM(IF((CRDJ[Sort Code]=(TRIM(E$5)))*(CRDJ[Account Code]=(TRIM($B127)))*(CRDJ[Date]&lt;=$C$8),CRDJ[Credit])))+(SUM(IF((GJ[Sort Code]=(TRIM(E$5)))*(GJ[Account Code]=(TRIM($B127)))*(GJ[Date]&lt;=$C$8),GJ[Credit]))))</f>
        <v>0</v>
      </c>
      <c r="D127" s="466">
        <f t="array" ref="D127">((SUM(IF((CkDJ[Date]=$A$4)*(CkDJ[Sort Code]=(TRIM(E$5)))*(CkDJ[Account Code]=(TRIM($B127))),CkDJ[Debit])))+(SUM(IF((CsDJ[Date]=$A$4)*(CsDJ[Sort Code]=(TRIM(E$5)))*(CsDJ[Account Code]=(TRIM($B127))),CsDJ[Debit])))+(SUM(IF((CRDJ[Date]=$A$4)*(CRDJ[Sort Code]=(TRIM(E$5)))*(CRDJ[Account Code]=(TRIM($B127))),CRDJ[Debit])))+(SUM(IF((GJ[Date]=$A$4)*(GJ[Sort Code]=(TRIM(E$5)))*(GJ[Account Code]=(TRIM($B127))),GJ[Debit]))))-((SUM(IF((CkDJ[Date]=$A$4)*(CkDJ[Sort Code]=(TRIM(E$5)))*(CkDJ[Account Code]=(TRIM($B127))),CkDJ[Credit])))+(SUM(IF((CsDJ[Date]=$A$4)*(CsDJ[Sort Code]=(TRIM(E$5)))*(CsDJ[Account Code]=(TRIM($B127))),CsDJ[Credit])))+(SUM(IF((CRDJ[Date]=$A$4)*(CRDJ[Sort Code]=(TRIM(E$5)))*(CRDJ[Account Code]=(TRIM($B127))),CRDJ[Credit])))+(SUM(IF((GJ[Date]=$A$4)*(GJ[Sort Code]=(TRIM(E$5)))*(GJ[Account Code]=(TRIM($B127))),GJ[Credit]))))</f>
        <v>0</v>
      </c>
      <c r="E127" s="467">
        <f t="shared" si="4"/>
        <v>0</v>
      </c>
    </row>
    <row r="128" spans="1:5" x14ac:dyDescent="0.2">
      <c r="A128" s="476" t="s">
        <v>343</v>
      </c>
      <c r="B128" s="339" t="s">
        <v>334</v>
      </c>
      <c r="C128" s="466">
        <f t="array" ref="C128">((SUM(IF((CkDJ[Sort Code]=(TRIM(E$5)))*(CkDJ[Account Code]=(TRIM($B128)))*(CkDJ[Date]&lt;=$C$8),CkDJ[Debit])))+(SUM(IF((CsDJ[Sort Code]=(TRIM(E$5)))*(CsDJ[Account Code]=(TRIM($B128)))*(CsDJ[Date]&lt;=$C$8),CsDJ[Debit])))+(SUM(IF((CRDJ[Sort Code]=(TRIM(E$5)))*(CRDJ[Account Code]=(TRIM($B128)))*(CRDJ[Date]&lt;=$C$8),CRDJ[Debit])))+(SUM(IF((GJ[Sort Code]=(TRIM(E$5)))*(GJ[Account Code]=(TRIM($B128)))*(GJ[Date]&lt;=$C$8),GJ[Debit]))))-((SUM(IF((CkDJ[Sort Code]=(TRIM(E$5)))*(CkDJ[Account Code]=(TRIM($B128)))*(CkDJ[Date]&lt;=$C$8),CkDJ[Credit])))+(SUM(IF((CsDJ[Sort Code]=(TRIM(E$5)))*(CsDJ[Account Code]=(TRIM($B128)))*(CsDJ[Date]&lt;=$C$8),CsDJ[Credit])))+(SUM(IF((CRDJ[Sort Code]=(TRIM(E$5)))*(CRDJ[Account Code]=(TRIM($B128)))*(CRDJ[Date]&lt;=$C$8),CRDJ[Credit])))+(SUM(IF((GJ[Sort Code]=(TRIM(E$5)))*(GJ[Account Code]=(TRIM($B128)))*(GJ[Date]&lt;=$C$8),GJ[Credit]))))</f>
        <v>0</v>
      </c>
      <c r="D128" s="466">
        <f t="array" ref="D128">((SUM(IF((CkDJ[Date]=$A$4)*(CkDJ[Sort Code]=(TRIM(E$5)))*(CkDJ[Account Code]=(TRIM($B128))),CkDJ[Debit])))+(SUM(IF((CsDJ[Date]=$A$4)*(CsDJ[Sort Code]=(TRIM(E$5)))*(CsDJ[Account Code]=(TRIM($B128))),CsDJ[Debit])))+(SUM(IF((CRDJ[Date]=$A$4)*(CRDJ[Sort Code]=(TRIM(E$5)))*(CRDJ[Account Code]=(TRIM($B128))),CRDJ[Debit])))+(SUM(IF((GJ[Date]=$A$4)*(GJ[Sort Code]=(TRIM(E$5)))*(GJ[Account Code]=(TRIM($B128))),GJ[Debit]))))-((SUM(IF((CkDJ[Date]=$A$4)*(CkDJ[Sort Code]=(TRIM(E$5)))*(CkDJ[Account Code]=(TRIM($B128))),CkDJ[Credit])))+(SUM(IF((CsDJ[Date]=$A$4)*(CsDJ[Sort Code]=(TRIM(E$5)))*(CsDJ[Account Code]=(TRIM($B128))),CsDJ[Credit])))+(SUM(IF((CRDJ[Date]=$A$4)*(CRDJ[Sort Code]=(TRIM(E$5)))*(CRDJ[Account Code]=(TRIM($B128))),CRDJ[Credit])))+(SUM(IF((GJ[Date]=$A$4)*(GJ[Sort Code]=(TRIM(E$5)))*(GJ[Account Code]=(TRIM($B128))),GJ[Credit]))))</f>
        <v>0</v>
      </c>
      <c r="E128" s="467">
        <f t="shared" si="4"/>
        <v>0</v>
      </c>
    </row>
    <row r="129" spans="1:5" x14ac:dyDescent="0.2">
      <c r="A129" s="476" t="s">
        <v>344</v>
      </c>
      <c r="B129" s="339" t="s">
        <v>335</v>
      </c>
      <c r="C129" s="466">
        <f t="array" ref="C129">((SUM(IF((CkDJ[Sort Code]=(TRIM(E$5)))*(CkDJ[Account Code]=(TRIM($B129)))*(CkDJ[Date]&lt;=$C$8),CkDJ[Debit])))+(SUM(IF((CsDJ[Sort Code]=(TRIM(E$5)))*(CsDJ[Account Code]=(TRIM($B129)))*(CsDJ[Date]&lt;=$C$8),CsDJ[Debit])))+(SUM(IF((CRDJ[Sort Code]=(TRIM(E$5)))*(CRDJ[Account Code]=(TRIM($B129)))*(CRDJ[Date]&lt;=$C$8),CRDJ[Debit])))+(SUM(IF((GJ[Sort Code]=(TRIM(E$5)))*(GJ[Account Code]=(TRIM($B129)))*(GJ[Date]&lt;=$C$8),GJ[Debit]))))-((SUM(IF((CkDJ[Sort Code]=(TRIM(E$5)))*(CkDJ[Account Code]=(TRIM($B129)))*(CkDJ[Date]&lt;=$C$8),CkDJ[Credit])))+(SUM(IF((CsDJ[Sort Code]=(TRIM(E$5)))*(CsDJ[Account Code]=(TRIM($B129)))*(CsDJ[Date]&lt;=$C$8),CsDJ[Credit])))+(SUM(IF((CRDJ[Sort Code]=(TRIM(E$5)))*(CRDJ[Account Code]=(TRIM($B129)))*(CRDJ[Date]&lt;=$C$8),CRDJ[Credit])))+(SUM(IF((GJ[Sort Code]=(TRIM(E$5)))*(GJ[Account Code]=(TRIM($B129)))*(GJ[Date]&lt;=$C$8),GJ[Credit]))))</f>
        <v>0</v>
      </c>
      <c r="D129" s="466">
        <f t="array" ref="D129">((SUM(IF((CkDJ[Date]=$A$4)*(CkDJ[Sort Code]=(TRIM(E$5)))*(CkDJ[Account Code]=(TRIM($B129))),CkDJ[Debit])))+(SUM(IF((CsDJ[Date]=$A$4)*(CsDJ[Sort Code]=(TRIM(E$5)))*(CsDJ[Account Code]=(TRIM($B129))),CsDJ[Debit])))+(SUM(IF((CRDJ[Date]=$A$4)*(CRDJ[Sort Code]=(TRIM(E$5)))*(CRDJ[Account Code]=(TRIM($B129))),CRDJ[Debit])))+(SUM(IF((GJ[Date]=$A$4)*(GJ[Sort Code]=(TRIM(E$5)))*(GJ[Account Code]=(TRIM($B129))),GJ[Debit]))))-((SUM(IF((CkDJ[Date]=$A$4)*(CkDJ[Sort Code]=(TRIM(E$5)))*(CkDJ[Account Code]=(TRIM($B129))),CkDJ[Credit])))+(SUM(IF((CsDJ[Date]=$A$4)*(CsDJ[Sort Code]=(TRIM(E$5)))*(CsDJ[Account Code]=(TRIM($B129))),CsDJ[Credit])))+(SUM(IF((CRDJ[Date]=$A$4)*(CRDJ[Sort Code]=(TRIM(E$5)))*(CRDJ[Account Code]=(TRIM($B129))),CRDJ[Credit])))+(SUM(IF((GJ[Date]=$A$4)*(GJ[Sort Code]=(TRIM(E$5)))*(GJ[Account Code]=(TRIM($B129))),GJ[Credit]))))</f>
        <v>0</v>
      </c>
      <c r="E129" s="467">
        <f t="shared" si="4"/>
        <v>0</v>
      </c>
    </row>
    <row r="130" spans="1:5" x14ac:dyDescent="0.2">
      <c r="A130" s="476" t="s">
        <v>368</v>
      </c>
      <c r="B130" s="339" t="s">
        <v>405</v>
      </c>
      <c r="C130" s="466">
        <f t="array" ref="C130">((SUM(IF((CkDJ[Sort Code]=(TRIM(E$5)))*(CkDJ[Account Code]=(TRIM($B130)))*(CkDJ[Date]&lt;=$C$8),CkDJ[Debit])))+(SUM(IF((CsDJ[Sort Code]=(TRIM(E$5)))*(CsDJ[Account Code]=(TRIM($B130)))*(CsDJ[Date]&lt;=$C$8),CsDJ[Debit])))+(SUM(IF((CRDJ[Sort Code]=(TRIM(E$5)))*(CRDJ[Account Code]=(TRIM($B130)))*(CRDJ[Date]&lt;=$C$8),CRDJ[Debit])))+(SUM(IF((GJ[Sort Code]=(TRIM(E$5)))*(GJ[Account Code]=(TRIM($B130)))*(GJ[Date]&lt;=$C$8),GJ[Debit]))))-((SUM(IF((CkDJ[Sort Code]=(TRIM(E$5)))*(CkDJ[Account Code]=(TRIM($B130)))*(CkDJ[Date]&lt;=$C$8),CkDJ[Credit])))+(SUM(IF((CsDJ[Sort Code]=(TRIM(E$5)))*(CsDJ[Account Code]=(TRIM($B130)))*(CsDJ[Date]&lt;=$C$8),CsDJ[Credit])))+(SUM(IF((CRDJ[Sort Code]=(TRIM(E$5)))*(CRDJ[Account Code]=(TRIM($B130)))*(CRDJ[Date]&lt;=$C$8),CRDJ[Credit])))+(SUM(IF((GJ[Sort Code]=(TRIM(E$5)))*(GJ[Account Code]=(TRIM($B130)))*(GJ[Date]&lt;=$C$8),GJ[Credit]))))</f>
        <v>0</v>
      </c>
      <c r="D130" s="466">
        <f t="array" ref="D130">((SUM(IF((CkDJ[Date]=$A$4)*(CkDJ[Sort Code]=(TRIM(E$5)))*(CkDJ[Account Code]=(TRIM($B130))),CkDJ[Debit])))+(SUM(IF((CsDJ[Date]=$A$4)*(CsDJ[Sort Code]=(TRIM(E$5)))*(CsDJ[Account Code]=(TRIM($B130))),CsDJ[Debit])))+(SUM(IF((CRDJ[Date]=$A$4)*(CRDJ[Sort Code]=(TRIM(E$5)))*(CRDJ[Account Code]=(TRIM($B130))),CRDJ[Debit])))+(SUM(IF((GJ[Date]=$A$4)*(GJ[Sort Code]=(TRIM(E$5)))*(GJ[Account Code]=(TRIM($B130))),GJ[Debit]))))-((SUM(IF((CkDJ[Date]=$A$4)*(CkDJ[Sort Code]=(TRIM(E$5)))*(CkDJ[Account Code]=(TRIM($B130))),CkDJ[Credit])))+(SUM(IF((CsDJ[Date]=$A$4)*(CsDJ[Sort Code]=(TRIM(E$5)))*(CsDJ[Account Code]=(TRIM($B130))),CsDJ[Credit])))+(SUM(IF((CRDJ[Date]=$A$4)*(CRDJ[Sort Code]=(TRIM(E$5)))*(CRDJ[Account Code]=(TRIM($B130))),CRDJ[Credit])))+(SUM(IF((GJ[Date]=$A$4)*(GJ[Sort Code]=(TRIM(E$5)))*(GJ[Account Code]=(TRIM($B130))),GJ[Credit]))))</f>
        <v>0</v>
      </c>
      <c r="E130" s="467">
        <f t="shared" si="4"/>
        <v>0</v>
      </c>
    </row>
    <row r="131" spans="1:5" x14ac:dyDescent="0.2">
      <c r="A131" s="476" t="s">
        <v>345</v>
      </c>
      <c r="B131" s="339" t="s">
        <v>336</v>
      </c>
      <c r="C131" s="466">
        <f t="array" ref="C131">((SUM(IF((CkDJ[Sort Code]=(TRIM(E$5)))*(CkDJ[Account Code]=(TRIM($B131)))*(CkDJ[Date]&lt;=$C$8),CkDJ[Debit])))+(SUM(IF((CsDJ[Sort Code]=(TRIM(E$5)))*(CsDJ[Account Code]=(TRIM($B131)))*(CsDJ[Date]&lt;=$C$8),CsDJ[Debit])))+(SUM(IF((CRDJ[Sort Code]=(TRIM(E$5)))*(CRDJ[Account Code]=(TRIM($B131)))*(CRDJ[Date]&lt;=$C$8),CRDJ[Debit])))+(SUM(IF((GJ[Sort Code]=(TRIM(E$5)))*(GJ[Account Code]=(TRIM($B131)))*(GJ[Date]&lt;=$C$8),GJ[Debit]))))-((SUM(IF((CkDJ[Sort Code]=(TRIM(E$5)))*(CkDJ[Account Code]=(TRIM($B131)))*(CkDJ[Date]&lt;=$C$8),CkDJ[Credit])))+(SUM(IF((CsDJ[Sort Code]=(TRIM(E$5)))*(CsDJ[Account Code]=(TRIM($B131)))*(CsDJ[Date]&lt;=$C$8),CsDJ[Credit])))+(SUM(IF((CRDJ[Sort Code]=(TRIM(E$5)))*(CRDJ[Account Code]=(TRIM($B131)))*(CRDJ[Date]&lt;=$C$8),CRDJ[Credit])))+(SUM(IF((GJ[Sort Code]=(TRIM(E$5)))*(GJ[Account Code]=(TRIM($B131)))*(GJ[Date]&lt;=$C$8),GJ[Credit]))))</f>
        <v>0</v>
      </c>
      <c r="D131" s="466">
        <f t="array" ref="D131">((SUM(IF((CkDJ[Date]=$A$4)*(CkDJ[Sort Code]=(TRIM(E$5)))*(CkDJ[Account Code]=(TRIM($B131))),CkDJ[Debit])))+(SUM(IF((CsDJ[Date]=$A$4)*(CsDJ[Sort Code]=(TRIM(E$5)))*(CsDJ[Account Code]=(TRIM($B131))),CsDJ[Debit])))+(SUM(IF((CRDJ[Date]=$A$4)*(CRDJ[Sort Code]=(TRIM(E$5)))*(CRDJ[Account Code]=(TRIM($B131))),CRDJ[Debit])))+(SUM(IF((GJ[Date]=$A$4)*(GJ[Sort Code]=(TRIM(E$5)))*(GJ[Account Code]=(TRIM($B131))),GJ[Debit]))))-((SUM(IF((CkDJ[Date]=$A$4)*(CkDJ[Sort Code]=(TRIM(E$5)))*(CkDJ[Account Code]=(TRIM($B131))),CkDJ[Credit])))+(SUM(IF((CsDJ[Date]=$A$4)*(CsDJ[Sort Code]=(TRIM(E$5)))*(CsDJ[Account Code]=(TRIM($B131))),CsDJ[Credit])))+(SUM(IF((CRDJ[Date]=$A$4)*(CRDJ[Sort Code]=(TRIM(E$5)))*(CRDJ[Account Code]=(TRIM($B131))),CRDJ[Credit])))+(SUM(IF((GJ[Date]=$A$4)*(GJ[Sort Code]=(TRIM(E$5)))*(GJ[Account Code]=(TRIM($B131))),GJ[Credit]))))</f>
        <v>0</v>
      </c>
      <c r="E131" s="467">
        <f t="shared" si="4"/>
        <v>0</v>
      </c>
    </row>
    <row r="132" spans="1:5" x14ac:dyDescent="0.2">
      <c r="A132" s="476" t="s">
        <v>346</v>
      </c>
      <c r="B132" s="339" t="s">
        <v>337</v>
      </c>
      <c r="C132" s="466">
        <f t="array" ref="C132">((SUM(IF((CkDJ[Sort Code]=(TRIM(E$5)))*(CkDJ[Account Code]=(TRIM($B132)))*(CkDJ[Date]&lt;=$C$8),CkDJ[Debit])))+(SUM(IF((CsDJ[Sort Code]=(TRIM(E$5)))*(CsDJ[Account Code]=(TRIM($B132)))*(CsDJ[Date]&lt;=$C$8),CsDJ[Debit])))+(SUM(IF((CRDJ[Sort Code]=(TRIM(E$5)))*(CRDJ[Account Code]=(TRIM($B132)))*(CRDJ[Date]&lt;=$C$8),CRDJ[Debit])))+(SUM(IF((GJ[Sort Code]=(TRIM(E$5)))*(GJ[Account Code]=(TRIM($B132)))*(GJ[Date]&lt;=$C$8),GJ[Debit]))))-((SUM(IF((CkDJ[Sort Code]=(TRIM(E$5)))*(CkDJ[Account Code]=(TRIM($B132)))*(CkDJ[Date]&lt;=$C$8),CkDJ[Credit])))+(SUM(IF((CsDJ[Sort Code]=(TRIM(E$5)))*(CsDJ[Account Code]=(TRIM($B132)))*(CsDJ[Date]&lt;=$C$8),CsDJ[Credit])))+(SUM(IF((CRDJ[Sort Code]=(TRIM(E$5)))*(CRDJ[Account Code]=(TRIM($B132)))*(CRDJ[Date]&lt;=$C$8),CRDJ[Credit])))+(SUM(IF((GJ[Sort Code]=(TRIM(E$5)))*(GJ[Account Code]=(TRIM($B132)))*(GJ[Date]&lt;=$C$8),GJ[Credit]))))</f>
        <v>0</v>
      </c>
      <c r="D132" s="466">
        <f t="array" ref="D132">((SUM(IF((CkDJ[Date]=$A$4)*(CkDJ[Sort Code]=(TRIM(E$5)))*(CkDJ[Account Code]=(TRIM($B132))),CkDJ[Debit])))+(SUM(IF((CsDJ[Date]=$A$4)*(CsDJ[Sort Code]=(TRIM(E$5)))*(CsDJ[Account Code]=(TRIM($B132))),CsDJ[Debit])))+(SUM(IF((CRDJ[Date]=$A$4)*(CRDJ[Sort Code]=(TRIM(E$5)))*(CRDJ[Account Code]=(TRIM($B132))),CRDJ[Debit])))+(SUM(IF((GJ[Date]=$A$4)*(GJ[Sort Code]=(TRIM(E$5)))*(GJ[Account Code]=(TRIM($B132))),GJ[Debit]))))-((SUM(IF((CkDJ[Date]=$A$4)*(CkDJ[Sort Code]=(TRIM(E$5)))*(CkDJ[Account Code]=(TRIM($B132))),CkDJ[Credit])))+(SUM(IF((CsDJ[Date]=$A$4)*(CsDJ[Sort Code]=(TRIM(E$5)))*(CsDJ[Account Code]=(TRIM($B132))),CsDJ[Credit])))+(SUM(IF((CRDJ[Date]=$A$4)*(CRDJ[Sort Code]=(TRIM(E$5)))*(CRDJ[Account Code]=(TRIM($B132))),CRDJ[Credit])))+(SUM(IF((GJ[Date]=$A$4)*(GJ[Sort Code]=(TRIM(E$5)))*(GJ[Account Code]=(TRIM($B132))),GJ[Credit]))))</f>
        <v>0</v>
      </c>
      <c r="E132" s="467">
        <f t="shared" si="4"/>
        <v>0</v>
      </c>
    </row>
    <row r="133" spans="1:5" x14ac:dyDescent="0.2">
      <c r="A133" s="476" t="s">
        <v>1030</v>
      </c>
      <c r="B133" s="339" t="s">
        <v>986</v>
      </c>
      <c r="C133" s="466">
        <f t="array" ref="C133">((SUM(IF((CkDJ[Sort Code]=(TRIM(E$5)))*(CkDJ[Account Code]=(TRIM($B133)))*(CkDJ[Date]&lt;=$C$8),CkDJ[Debit])))+(SUM(IF((CsDJ[Sort Code]=(TRIM(E$5)))*(CsDJ[Account Code]=(TRIM($B133)))*(CsDJ[Date]&lt;=$C$8),CsDJ[Debit])))+(SUM(IF((CRDJ[Sort Code]=(TRIM(E$5)))*(CRDJ[Account Code]=(TRIM($B133)))*(CRDJ[Date]&lt;=$C$8),CRDJ[Debit])))+(SUM(IF((GJ[Sort Code]=(TRIM(E$5)))*(GJ[Account Code]=(TRIM($B133)))*(GJ[Date]&lt;=$C$8),GJ[Debit]))))-((SUM(IF((CkDJ[Sort Code]=(TRIM(E$5)))*(CkDJ[Account Code]=(TRIM($B133)))*(CkDJ[Date]&lt;=$C$8),CkDJ[Credit])))+(SUM(IF((CsDJ[Sort Code]=(TRIM(E$5)))*(CsDJ[Account Code]=(TRIM($B133)))*(CsDJ[Date]&lt;=$C$8),CsDJ[Credit])))+(SUM(IF((CRDJ[Sort Code]=(TRIM(E$5)))*(CRDJ[Account Code]=(TRIM($B133)))*(CRDJ[Date]&lt;=$C$8),CRDJ[Credit])))+(SUM(IF((GJ[Sort Code]=(TRIM(E$5)))*(GJ[Account Code]=(TRIM($B133)))*(GJ[Date]&lt;=$C$8),GJ[Credit]))))</f>
        <v>0</v>
      </c>
      <c r="D133" s="466">
        <f t="array" ref="D133">((SUM(IF((CkDJ[Date]=$A$4)*(CkDJ[Sort Code]=(TRIM(E$5)))*(CkDJ[Account Code]=(TRIM($B133))),CkDJ[Debit])))+(SUM(IF((CsDJ[Date]=$A$4)*(CsDJ[Sort Code]=(TRIM(E$5)))*(CsDJ[Account Code]=(TRIM($B133))),CsDJ[Debit])))+(SUM(IF((CRDJ[Date]=$A$4)*(CRDJ[Sort Code]=(TRIM(E$5)))*(CRDJ[Account Code]=(TRIM($B133))),CRDJ[Debit])))+(SUM(IF((GJ[Date]=$A$4)*(GJ[Sort Code]=(TRIM(E$5)))*(GJ[Account Code]=(TRIM($B133))),GJ[Debit]))))-((SUM(IF((CkDJ[Date]=$A$4)*(CkDJ[Sort Code]=(TRIM(E$5)))*(CkDJ[Account Code]=(TRIM($B133))),CkDJ[Credit])))+(SUM(IF((CsDJ[Date]=$A$4)*(CsDJ[Sort Code]=(TRIM(E$5)))*(CsDJ[Account Code]=(TRIM($B133))),CsDJ[Credit])))+(SUM(IF((CRDJ[Date]=$A$4)*(CRDJ[Sort Code]=(TRIM(E$5)))*(CRDJ[Account Code]=(TRIM($B133))),CRDJ[Credit])))+(SUM(IF((GJ[Date]=$A$4)*(GJ[Sort Code]=(TRIM(E$5)))*(GJ[Account Code]=(TRIM($B133))),GJ[Credit]))))</f>
        <v>0</v>
      </c>
      <c r="E133" s="467">
        <f t="shared" si="4"/>
        <v>0</v>
      </c>
    </row>
    <row r="134" spans="1:5" x14ac:dyDescent="0.2">
      <c r="A134" s="476" t="s">
        <v>1029</v>
      </c>
      <c r="B134" s="339" t="s">
        <v>987</v>
      </c>
      <c r="C134" s="466">
        <f t="array" ref="C134">((SUM(IF((CkDJ[Sort Code]=(TRIM(E$5)))*(CkDJ[Account Code]=(TRIM($B134)))*(CkDJ[Date]&lt;=$C$8),CkDJ[Debit])))+(SUM(IF((CsDJ[Sort Code]=(TRIM(E$5)))*(CsDJ[Account Code]=(TRIM($B134)))*(CsDJ[Date]&lt;=$C$8),CsDJ[Debit])))+(SUM(IF((CRDJ[Sort Code]=(TRIM(E$5)))*(CRDJ[Account Code]=(TRIM($B134)))*(CRDJ[Date]&lt;=$C$8),CRDJ[Debit])))+(SUM(IF((GJ[Sort Code]=(TRIM(E$5)))*(GJ[Account Code]=(TRIM($B134)))*(GJ[Date]&lt;=$C$8),GJ[Debit]))))-((SUM(IF((CkDJ[Sort Code]=(TRIM(E$5)))*(CkDJ[Account Code]=(TRIM($B134)))*(CkDJ[Date]&lt;=$C$8),CkDJ[Credit])))+(SUM(IF((CsDJ[Sort Code]=(TRIM(E$5)))*(CsDJ[Account Code]=(TRIM($B134)))*(CsDJ[Date]&lt;=$C$8),CsDJ[Credit])))+(SUM(IF((CRDJ[Sort Code]=(TRIM(E$5)))*(CRDJ[Account Code]=(TRIM($B134)))*(CRDJ[Date]&lt;=$C$8),CRDJ[Credit])))+(SUM(IF((GJ[Sort Code]=(TRIM(E$5)))*(GJ[Account Code]=(TRIM($B134)))*(GJ[Date]&lt;=$C$8),GJ[Credit]))))</f>
        <v>0</v>
      </c>
      <c r="D134" s="466">
        <f t="array" ref="D134">((SUM(IF((CkDJ[Date]=$A$4)*(CkDJ[Sort Code]=(TRIM(E$5)))*(CkDJ[Account Code]=(TRIM($B134))),CkDJ[Debit])))+(SUM(IF((CsDJ[Date]=$A$4)*(CsDJ[Sort Code]=(TRIM(E$5)))*(CsDJ[Account Code]=(TRIM($B134))),CsDJ[Debit])))+(SUM(IF((CRDJ[Date]=$A$4)*(CRDJ[Sort Code]=(TRIM(E$5)))*(CRDJ[Account Code]=(TRIM($B134))),CRDJ[Debit])))+(SUM(IF((GJ[Date]=$A$4)*(GJ[Sort Code]=(TRIM(E$5)))*(GJ[Account Code]=(TRIM($B134))),GJ[Debit]))))-((SUM(IF((CkDJ[Date]=$A$4)*(CkDJ[Sort Code]=(TRIM(E$5)))*(CkDJ[Account Code]=(TRIM($B134))),CkDJ[Credit])))+(SUM(IF((CsDJ[Date]=$A$4)*(CsDJ[Sort Code]=(TRIM(E$5)))*(CsDJ[Account Code]=(TRIM($B134))),CsDJ[Credit])))+(SUM(IF((CRDJ[Date]=$A$4)*(CRDJ[Sort Code]=(TRIM(E$5)))*(CRDJ[Account Code]=(TRIM($B134))),CRDJ[Credit])))+(SUM(IF((GJ[Date]=$A$4)*(GJ[Sort Code]=(TRIM(E$5)))*(GJ[Account Code]=(TRIM($B134))),GJ[Credit]))))</f>
        <v>0</v>
      </c>
      <c r="E134" s="467">
        <f t="shared" si="4"/>
        <v>0</v>
      </c>
    </row>
    <row r="135" spans="1:5" x14ac:dyDescent="0.2">
      <c r="A135" s="476" t="s">
        <v>990</v>
      </c>
      <c r="B135" s="339" t="s">
        <v>988</v>
      </c>
      <c r="C135" s="466">
        <f t="array" ref="C135">((SUM(IF((CkDJ[Sort Code]=(TRIM(E$5)))*(CkDJ[Account Code]=(TRIM($B135)))*(CkDJ[Date]&lt;=$C$8),CkDJ[Debit])))+(SUM(IF((CsDJ[Sort Code]=(TRIM(E$5)))*(CsDJ[Account Code]=(TRIM($B135)))*(CsDJ[Date]&lt;=$C$8),CsDJ[Debit])))+(SUM(IF((CRDJ[Sort Code]=(TRIM(E$5)))*(CRDJ[Account Code]=(TRIM($B135)))*(CRDJ[Date]&lt;=$C$8),CRDJ[Debit])))+(SUM(IF((GJ[Sort Code]=(TRIM(E$5)))*(GJ[Account Code]=(TRIM($B135)))*(GJ[Date]&lt;=$C$8),GJ[Debit]))))-((SUM(IF((CkDJ[Sort Code]=(TRIM(E$5)))*(CkDJ[Account Code]=(TRIM($B135)))*(CkDJ[Date]&lt;=$C$8),CkDJ[Credit])))+(SUM(IF((CsDJ[Sort Code]=(TRIM(E$5)))*(CsDJ[Account Code]=(TRIM($B135)))*(CsDJ[Date]&lt;=$C$8),CsDJ[Credit])))+(SUM(IF((CRDJ[Sort Code]=(TRIM(E$5)))*(CRDJ[Account Code]=(TRIM($B135)))*(CRDJ[Date]&lt;=$C$8),CRDJ[Credit])))+(SUM(IF((GJ[Sort Code]=(TRIM(E$5)))*(GJ[Account Code]=(TRIM($B135)))*(GJ[Date]&lt;=$C$8),GJ[Credit]))))</f>
        <v>0</v>
      </c>
      <c r="D135" s="466">
        <f t="array" ref="D135">((SUM(IF((CkDJ[Date]=$A$4)*(CkDJ[Sort Code]=(TRIM(E$5)))*(CkDJ[Account Code]=(TRIM($B135))),CkDJ[Debit])))+(SUM(IF((CsDJ[Date]=$A$4)*(CsDJ[Sort Code]=(TRIM(E$5)))*(CsDJ[Account Code]=(TRIM($B135))),CsDJ[Debit])))+(SUM(IF((CRDJ[Date]=$A$4)*(CRDJ[Sort Code]=(TRIM(E$5)))*(CRDJ[Account Code]=(TRIM($B135))),CRDJ[Debit])))+(SUM(IF((GJ[Date]=$A$4)*(GJ[Sort Code]=(TRIM(E$5)))*(GJ[Account Code]=(TRIM($B135))),GJ[Debit]))))-((SUM(IF((CkDJ[Date]=$A$4)*(CkDJ[Sort Code]=(TRIM(E$5)))*(CkDJ[Account Code]=(TRIM($B135))),CkDJ[Credit])))+(SUM(IF((CsDJ[Date]=$A$4)*(CsDJ[Sort Code]=(TRIM(E$5)))*(CsDJ[Account Code]=(TRIM($B135))),CsDJ[Credit])))+(SUM(IF((CRDJ[Date]=$A$4)*(CRDJ[Sort Code]=(TRIM(E$5)))*(CRDJ[Account Code]=(TRIM($B135))),CRDJ[Credit])))+(SUM(IF((GJ[Date]=$A$4)*(GJ[Sort Code]=(TRIM(E$5)))*(GJ[Account Code]=(TRIM($B135))),GJ[Credit]))))</f>
        <v>0</v>
      </c>
      <c r="E135" s="467">
        <f t="shared" si="4"/>
        <v>0</v>
      </c>
    </row>
    <row r="136" spans="1:5" x14ac:dyDescent="0.2">
      <c r="A136" s="476" t="s">
        <v>349</v>
      </c>
      <c r="B136" s="339" t="s">
        <v>340</v>
      </c>
      <c r="C136" s="466">
        <f t="array" ref="C136">((SUM(IF((CkDJ[Sort Code]=(TRIM(E$5)))*(CkDJ[Account Code]=(TRIM($B136)))*(CkDJ[Date]&lt;=$C$8),CkDJ[Debit])))+(SUM(IF((CsDJ[Sort Code]=(TRIM(E$5)))*(CsDJ[Account Code]=(TRIM($B136)))*(CsDJ[Date]&lt;=$C$8),CsDJ[Debit])))+(SUM(IF((CRDJ[Sort Code]=(TRIM(E$5)))*(CRDJ[Account Code]=(TRIM($B136)))*(CRDJ[Date]&lt;=$C$8),CRDJ[Debit])))+(SUM(IF((GJ[Sort Code]=(TRIM(E$5)))*(GJ[Account Code]=(TRIM($B136)))*(GJ[Date]&lt;=$C$8),GJ[Debit]))))-((SUM(IF((CkDJ[Sort Code]=(TRIM(E$5)))*(CkDJ[Account Code]=(TRIM($B136)))*(CkDJ[Date]&lt;=$C$8),CkDJ[Credit])))+(SUM(IF((CsDJ[Sort Code]=(TRIM(E$5)))*(CsDJ[Account Code]=(TRIM($B136)))*(CsDJ[Date]&lt;=$C$8),CsDJ[Credit])))+(SUM(IF((CRDJ[Sort Code]=(TRIM(E$5)))*(CRDJ[Account Code]=(TRIM($B136)))*(CRDJ[Date]&lt;=$C$8),CRDJ[Credit])))+(SUM(IF((GJ[Sort Code]=(TRIM(E$5)))*(GJ[Account Code]=(TRIM($B136)))*(GJ[Date]&lt;=$C$8),GJ[Credit]))))</f>
        <v>0</v>
      </c>
      <c r="D136" s="466">
        <f t="array" ref="D136">((SUM(IF((CkDJ[Date]=$A$4)*(CkDJ[Sort Code]=(TRIM(E$5)))*(CkDJ[Account Code]=(TRIM($B136))),CkDJ[Debit])))+(SUM(IF((CsDJ[Date]=$A$4)*(CsDJ[Sort Code]=(TRIM(E$5)))*(CsDJ[Account Code]=(TRIM($B136))),CsDJ[Debit])))+(SUM(IF((CRDJ[Date]=$A$4)*(CRDJ[Sort Code]=(TRIM(E$5)))*(CRDJ[Account Code]=(TRIM($B136))),CRDJ[Debit])))+(SUM(IF((GJ[Date]=$A$4)*(GJ[Sort Code]=(TRIM(E$5)))*(GJ[Account Code]=(TRIM($B136))),GJ[Debit]))))-((SUM(IF((CkDJ[Date]=$A$4)*(CkDJ[Sort Code]=(TRIM(E$5)))*(CkDJ[Account Code]=(TRIM($B136))),CkDJ[Credit])))+(SUM(IF((CsDJ[Date]=$A$4)*(CsDJ[Sort Code]=(TRIM(E$5)))*(CsDJ[Account Code]=(TRIM($B136))),CsDJ[Credit])))+(SUM(IF((CRDJ[Date]=$A$4)*(CRDJ[Sort Code]=(TRIM(E$5)))*(CRDJ[Account Code]=(TRIM($B136))),CRDJ[Credit])))+(SUM(IF((GJ[Date]=$A$4)*(GJ[Sort Code]=(TRIM(E$5)))*(GJ[Account Code]=(TRIM($B136))),GJ[Credit]))))</f>
        <v>0</v>
      </c>
      <c r="E136" s="467">
        <f t="shared" si="4"/>
        <v>0</v>
      </c>
    </row>
    <row r="137" spans="1:5" x14ac:dyDescent="0.2">
      <c r="A137" s="476" t="s">
        <v>342</v>
      </c>
      <c r="B137" s="339" t="s">
        <v>333</v>
      </c>
      <c r="C137" s="466">
        <f t="array" ref="C137">((SUM(IF((CkDJ[Sort Code]=(TRIM(E$5)))*(CkDJ[Account Code]=(TRIM($B137)))*(CkDJ[Date]&lt;=$C$8),CkDJ[Debit])))+(SUM(IF((CsDJ[Sort Code]=(TRIM(E$5)))*(CsDJ[Account Code]=(TRIM($B137)))*(CsDJ[Date]&lt;=$C$8),CsDJ[Debit])))+(SUM(IF((CRDJ[Sort Code]=(TRIM(E$5)))*(CRDJ[Account Code]=(TRIM($B137)))*(CRDJ[Date]&lt;=$C$8),CRDJ[Debit])))+(SUM(IF((GJ[Sort Code]=(TRIM(E$5)))*(GJ[Account Code]=(TRIM($B137)))*(GJ[Date]&lt;=$C$8),GJ[Debit]))))-((SUM(IF((CkDJ[Sort Code]=(TRIM(E$5)))*(CkDJ[Account Code]=(TRIM($B137)))*(CkDJ[Date]&lt;=$C$8),CkDJ[Credit])))+(SUM(IF((CsDJ[Sort Code]=(TRIM(E$5)))*(CsDJ[Account Code]=(TRIM($B137)))*(CsDJ[Date]&lt;=$C$8),CsDJ[Credit])))+(SUM(IF((CRDJ[Sort Code]=(TRIM(E$5)))*(CRDJ[Account Code]=(TRIM($B137)))*(CRDJ[Date]&lt;=$C$8),CRDJ[Credit])))+(SUM(IF((GJ[Sort Code]=(TRIM(E$5)))*(GJ[Account Code]=(TRIM($B137)))*(GJ[Date]&lt;=$C$8),GJ[Credit]))))</f>
        <v>0</v>
      </c>
      <c r="D137" s="466">
        <f t="array" ref="D137">((SUM(IF((CkDJ[Date]=$A$4)*(CkDJ[Sort Code]=(TRIM(E$5)))*(CkDJ[Account Code]=(TRIM($B137))),CkDJ[Debit])))+(SUM(IF((CsDJ[Date]=$A$4)*(CsDJ[Sort Code]=(TRIM(E$5)))*(CsDJ[Account Code]=(TRIM($B137))),CsDJ[Debit])))+(SUM(IF((CRDJ[Date]=$A$4)*(CRDJ[Sort Code]=(TRIM(E$5)))*(CRDJ[Account Code]=(TRIM($B137))),CRDJ[Debit])))+(SUM(IF((GJ[Date]=$A$4)*(GJ[Sort Code]=(TRIM(E$5)))*(GJ[Account Code]=(TRIM($B137))),GJ[Debit]))))-((SUM(IF((CkDJ[Date]=$A$4)*(CkDJ[Sort Code]=(TRIM(E$5)))*(CkDJ[Account Code]=(TRIM($B137))),CkDJ[Credit])))+(SUM(IF((CsDJ[Date]=$A$4)*(CsDJ[Sort Code]=(TRIM(E$5)))*(CsDJ[Account Code]=(TRIM($B137))),CsDJ[Credit])))+(SUM(IF((CRDJ[Date]=$A$4)*(CRDJ[Sort Code]=(TRIM(E$5)))*(CRDJ[Account Code]=(TRIM($B137))),CRDJ[Credit])))+(SUM(IF((GJ[Date]=$A$4)*(GJ[Sort Code]=(TRIM(E$5)))*(GJ[Account Code]=(TRIM($B137))),GJ[Credit]))))</f>
        <v>0</v>
      </c>
      <c r="E137" s="467">
        <f>C137+D137</f>
        <v>0</v>
      </c>
    </row>
    <row r="138" spans="1:5" x14ac:dyDescent="0.2">
      <c r="A138" s="468" t="s">
        <v>804</v>
      </c>
      <c r="B138" s="469"/>
      <c r="C138" s="470">
        <f>C47+C74</f>
        <v>0</v>
      </c>
      <c r="D138" s="470">
        <f>D47+D74</f>
        <v>0</v>
      </c>
      <c r="E138" s="470">
        <f>E47+E74</f>
        <v>0</v>
      </c>
    </row>
    <row r="139" spans="1:5" x14ac:dyDescent="0.2">
      <c r="A139" s="468" t="s">
        <v>785</v>
      </c>
      <c r="B139" s="469"/>
      <c r="C139" s="470">
        <f>C45-C138</f>
        <v>0</v>
      </c>
      <c r="D139" s="470">
        <f>D45-D138</f>
        <v>0</v>
      </c>
      <c r="E139" s="470">
        <f>E45-E138</f>
        <v>0</v>
      </c>
    </row>
    <row r="140" spans="1:5" x14ac:dyDescent="0.2">
      <c r="A140" s="468"/>
      <c r="B140" s="469"/>
      <c r="C140" s="470"/>
      <c r="D140" s="470"/>
      <c r="E140" s="470"/>
    </row>
    <row r="141" spans="1:5" x14ac:dyDescent="0.2">
      <c r="A141" s="468" t="s">
        <v>1168</v>
      </c>
      <c r="B141" s="469"/>
      <c r="C141" s="470">
        <v>0</v>
      </c>
      <c r="D141" s="470">
        <v>0</v>
      </c>
      <c r="E141" s="470">
        <v>0</v>
      </c>
    </row>
    <row r="142" spans="1:5" x14ac:dyDescent="0.2">
      <c r="A142" s="468"/>
      <c r="B142" s="469"/>
      <c r="C142" s="470"/>
      <c r="D142" s="470"/>
      <c r="E142" s="470"/>
    </row>
    <row r="143" spans="1:5" x14ac:dyDescent="0.2">
      <c r="A143" s="468" t="s">
        <v>1169</v>
      </c>
      <c r="B143" s="469"/>
      <c r="C143" s="470">
        <f>C139-C141</f>
        <v>0</v>
      </c>
      <c r="D143" s="470">
        <f>D139-D141</f>
        <v>0</v>
      </c>
      <c r="E143" s="470">
        <f>E139-E141</f>
        <v>0</v>
      </c>
    </row>
  </sheetData>
  <mergeCells count="5">
    <mergeCell ref="A6:A8"/>
    <mergeCell ref="B6:B8"/>
    <mergeCell ref="C6:C7"/>
    <mergeCell ref="D6:D8"/>
    <mergeCell ref="E6:E8"/>
  </mergeCells>
  <printOptions horizontalCentered="1"/>
  <pageMargins left="0.25" right="0.25" top="0.75" bottom="1.5" header="0.3" footer="0.3"/>
  <pageSetup paperSize="5" scale="80" orientation="portrait" r:id="rId1"/>
  <rowBreaks count="1" manualBreakCount="1">
    <brk id="72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663300"/>
  </sheetPr>
  <dimension ref="A1:E143"/>
  <sheetViews>
    <sheetView workbookViewId="0"/>
  </sheetViews>
  <sheetFormatPr defaultColWidth="9" defaultRowHeight="14.25" x14ac:dyDescent="0.2"/>
  <cols>
    <col min="1" max="1" width="63.625" style="233" bestFit="1" customWidth="1"/>
    <col min="2" max="2" width="10" style="336" hidden="1" customWidth="1"/>
    <col min="3" max="3" width="17.5" style="236" hidden="1" customWidth="1"/>
    <col min="4" max="4" width="17.125" style="237" hidden="1" customWidth="1"/>
    <col min="5" max="5" width="18" style="236" customWidth="1"/>
    <col min="6" max="16384" width="9" style="233"/>
  </cols>
  <sheetData>
    <row r="1" spans="1:5" x14ac:dyDescent="0.2">
      <c r="A1" s="232" t="s">
        <v>355</v>
      </c>
      <c r="B1" s="335"/>
      <c r="C1" s="232"/>
      <c r="D1" s="232"/>
      <c r="E1" s="232"/>
    </row>
    <row r="2" spans="1:5" x14ac:dyDescent="0.2">
      <c r="A2" s="232" t="s">
        <v>400</v>
      </c>
      <c r="B2" s="335"/>
      <c r="C2" s="232"/>
      <c r="D2" s="232"/>
      <c r="E2" s="232"/>
    </row>
    <row r="3" spans="1:5" x14ac:dyDescent="0.2">
      <c r="A3" s="232" t="s">
        <v>1162</v>
      </c>
      <c r="B3" s="335"/>
      <c r="C3" s="232"/>
      <c r="D3" s="232"/>
      <c r="E3" s="232"/>
    </row>
    <row r="4" spans="1:5" x14ac:dyDescent="0.2">
      <c r="A4" s="234">
        <f>Account!G2</f>
        <v>44500</v>
      </c>
      <c r="B4" s="335"/>
      <c r="C4" s="232"/>
      <c r="D4" s="232"/>
      <c r="E4" s="232"/>
    </row>
    <row r="5" spans="1:5" x14ac:dyDescent="0.2">
      <c r="A5" s="235" t="s">
        <v>1172</v>
      </c>
      <c r="E5" s="331"/>
    </row>
    <row r="6" spans="1:5" ht="14.25" customHeight="1" x14ac:dyDescent="0.2">
      <c r="A6" s="1299" t="s">
        <v>440</v>
      </c>
      <c r="B6" s="1302" t="s">
        <v>370</v>
      </c>
      <c r="C6" s="1303" t="s">
        <v>832</v>
      </c>
      <c r="D6" s="1305">
        <f>A4</f>
        <v>44500</v>
      </c>
      <c r="E6" s="1303" t="s">
        <v>831</v>
      </c>
    </row>
    <row r="7" spans="1:5" x14ac:dyDescent="0.2">
      <c r="A7" s="1300"/>
      <c r="B7" s="1302"/>
      <c r="C7" s="1304"/>
      <c r="D7" s="1306"/>
      <c r="E7" s="1304"/>
    </row>
    <row r="8" spans="1:5" x14ac:dyDescent="0.2">
      <c r="A8" s="1301"/>
      <c r="B8" s="1302"/>
      <c r="C8" s="465">
        <f>'REVGEN (1)'!E7</f>
        <v>43373</v>
      </c>
      <c r="D8" s="1307"/>
      <c r="E8" s="1308"/>
    </row>
    <row r="9" spans="1:5" x14ac:dyDescent="0.2">
      <c r="A9" s="471" t="s">
        <v>1170</v>
      </c>
      <c r="B9" s="339"/>
      <c r="C9" s="472"/>
      <c r="D9" s="472"/>
      <c r="E9" s="472"/>
    </row>
    <row r="10" spans="1:5" x14ac:dyDescent="0.2">
      <c r="A10" s="473" t="s">
        <v>829</v>
      </c>
      <c r="B10" s="339"/>
      <c r="C10" s="474">
        <f>C11+C12</f>
        <v>0</v>
      </c>
      <c r="D10" s="474">
        <f>D11+D12</f>
        <v>0</v>
      </c>
      <c r="E10" s="474">
        <f>E11+E12</f>
        <v>0</v>
      </c>
    </row>
    <row r="11" spans="1:5" x14ac:dyDescent="0.2">
      <c r="A11" s="475" t="s">
        <v>821</v>
      </c>
      <c r="B11" s="339" t="s">
        <v>125</v>
      </c>
      <c r="C11" s="466">
        <f t="array" ref="C11">((SUM(IF((CkDJ[Account Code]=(TRIM($B11)))*(CkDJ[Date]&lt;=$C$8),CkDJ[Credit])))+(SUM(IF((CsDJ[Account Code]=(TRIM($B11)))*(CsDJ[Date]&lt;=$C$8),CsDJ[Credit])))+(SUM(IF((CRDJ[Account Code]=(TRIM($B11)))*(CRDJ[Date]&lt;=$C$8),CRDJ[Credit])))+(SUM(IF((GJ[Account Code]=(TRIM($B11)))*(GJ[Date]&lt;=$C$8),GJ[Credit]))))-((SUM(IF((CkDJ[Account Code]=(TRIM($B11)))*(CkDJ[Date]&lt;=$C$8),CkDJ[Debit])))+(SUM(IF((CsDJ[Account Code]=(TRIM($B11)))*(CsDJ[Date]&lt;=$C$8),CsDJ[Debit])))+(SUM(IF((CRDJ[Account Code]=(TRIM($B11)))*(CRDJ[Date]&lt;=$C$8),CRDJ[Debit])))+(SUM(IF((GJ[Account Code]=(TRIM($B11)))*(GJ[Date]&lt;=$C$8),GJ[Debit]))))</f>
        <v>0</v>
      </c>
      <c r="D11" s="466">
        <f t="array" ref="D11">((SUM(IF((CkDJ[Date]=$A$4)*(CkDJ[Account Code]=(TRIM($B11))),CkDJ[Credit])))+(SUM(IF((CsDJ[Date]=$A$4)*(CsDJ[Account Code]=(TRIM($B11))),CsDJ[Credit])))+(SUM(IF((CRDJ[Date]=$A$4)*(CRDJ[Account Code]=(TRIM($B11))),CRDJ[Credit])))+(SUM(IF((GJ[Date]=$A$4)*(GJ[Account Code]=(TRIM($B11))),GJ[Credit]))))-((SUM(IF((CkDJ[Date]=$A$4)*(CkDJ[Account Code]=(TRIM($B11))),CkDJ[Debit])))+(SUM(IF((CsDJ[Date]=$A$4)*(CsDJ[Account Code]=(TRIM($B11))),CsDJ[Debit])))+(SUM(IF((CRDJ[Date]=$A$4)*(CRDJ[Account Code]=(TRIM($B11))),CRDJ[Debit])))+(SUM(IF((GJ[Date]=$A$4)*(GJ[Account Code]=(TRIM($B11))),GJ[Debit]))))</f>
        <v>0</v>
      </c>
      <c r="E11" s="467">
        <f>C11+D11</f>
        <v>0</v>
      </c>
    </row>
    <row r="12" spans="1:5" x14ac:dyDescent="0.2">
      <c r="A12" s="475" t="s">
        <v>820</v>
      </c>
      <c r="B12" s="339"/>
      <c r="C12" s="466">
        <f>SUM(C13:C15)</f>
        <v>0</v>
      </c>
      <c r="D12" s="466">
        <f>SUM(D13:D15)</f>
        <v>0</v>
      </c>
      <c r="E12" s="467">
        <f>SUM(E13:E15)</f>
        <v>0</v>
      </c>
    </row>
    <row r="13" spans="1:5" x14ac:dyDescent="0.2">
      <c r="A13" s="476" t="s">
        <v>809</v>
      </c>
      <c r="B13" s="339" t="s">
        <v>126</v>
      </c>
      <c r="C13" s="466">
        <f t="array" ref="C13">((SUM(IF((CkDJ[Account Code]=(TRIM($B13)))*(CkDJ[Date]&lt;=$C$8),CkDJ[Credit])))+(SUM(IF((CsDJ[Account Code]=(TRIM($B13)))*(CsDJ[Date]&lt;=$C$8),CsDJ[Credit])))+(SUM(IF((CRDJ[Account Code]=(TRIM($B13)))*(CRDJ[Date]&lt;=$C$8),CRDJ[Credit])))+(SUM(IF((GJ[Account Code]=(TRIM($B13)))*(GJ[Date]&lt;=$C$8),GJ[Credit]))))-((SUM(IF((CkDJ[Account Code]=(TRIM($B13)))*(CkDJ[Date]&lt;=$C$8),CkDJ[Debit])))+(SUM(IF((CsDJ[Account Code]=(TRIM($B13)))*(CsDJ[Date]&lt;=$C$8),CsDJ[Debit])))+(SUM(IF((CRDJ[Account Code]=(TRIM($B13)))*(CRDJ[Date]&lt;=$C$8),CRDJ[Debit])))+(SUM(IF((GJ[Account Code]=(TRIM($B13)))*(GJ[Date]&lt;=$C$8),GJ[Debit]))))</f>
        <v>0</v>
      </c>
      <c r="D13" s="466">
        <f t="array" ref="D13">((SUM(IF((CkDJ[Date]=$A$4)*(CkDJ[Account Code]=(TRIM($B13))),CkDJ[Credit])))+(SUM(IF((CsDJ[Date]=$A$4)*(CsDJ[Account Code]=(TRIM($B13))),CsDJ[Credit])))+(SUM(IF((CRDJ[Date]=$A$4)*(CRDJ[Account Code]=(TRIM($B13))),CRDJ[Credit])))+(SUM(IF((GJ[Date]=$A$4)*(GJ[Account Code]=(TRIM($B13))),GJ[Credit]))))-((SUM(IF((CkDJ[Date]=$A$4)*(CkDJ[Account Code]=(TRIM($B13))),CkDJ[Debit])))+(SUM(IF((CsDJ[Date]=$A$4)*(CsDJ[Account Code]=(TRIM($B13))),CsDJ[Debit])))+(SUM(IF((CRDJ[Date]=$A$4)*(CRDJ[Account Code]=(TRIM($B13))),CRDJ[Debit])))+(SUM(IF((GJ[Date]=$A$4)*(GJ[Account Code]=(TRIM($B13))),GJ[Debit]))))</f>
        <v>0</v>
      </c>
      <c r="E13" s="467">
        <f>C13+D13</f>
        <v>0</v>
      </c>
    </row>
    <row r="14" spans="1:5" x14ac:dyDescent="0.2">
      <c r="A14" s="476" t="s">
        <v>828</v>
      </c>
      <c r="B14" s="339" t="s">
        <v>721</v>
      </c>
      <c r="C14" s="466">
        <f t="array" ref="C14">((SUM(IF((CkDJ[Account Code]=(TRIM($B14)))*(CkDJ[Date]&lt;=$C$8),CkDJ[Credit])))+(SUM(IF((CsDJ[Account Code]=(TRIM($B14)))*(CsDJ[Date]&lt;=$C$8),CsDJ[Credit])))+(SUM(IF((CRDJ[Account Code]=(TRIM($B14)))*(CRDJ[Date]&lt;=$C$8),CRDJ[Credit])))+(SUM(IF((GJ[Account Code]=(TRIM($B14)))*(GJ[Date]&lt;=$C$8),GJ[Credit]))))-((SUM(IF((CkDJ[Account Code]=(TRIM($B14)))*(CkDJ[Date]&lt;=$C$8),CkDJ[Debit])))+(SUM(IF((CsDJ[Account Code]=(TRIM($B14)))*(CsDJ[Date]&lt;=$C$8),CsDJ[Debit])))+(SUM(IF((CRDJ[Account Code]=(TRIM($B14)))*(CRDJ[Date]&lt;=$C$8),CRDJ[Debit])))+(SUM(IF((GJ[Account Code]=(TRIM($B14)))*(GJ[Date]&lt;=$C$8),GJ[Debit]))))</f>
        <v>0</v>
      </c>
      <c r="D14" s="466">
        <f t="array" ref="D14">((SUM(IF((CkDJ[Date]=$A$4)*(CkDJ[Account Code]=(TRIM($B14))),CkDJ[Credit])))+(SUM(IF((CsDJ[Date]=$A$4)*(CsDJ[Account Code]=(TRIM($B14))),CsDJ[Credit])))+(SUM(IF((CRDJ[Date]=$A$4)*(CRDJ[Account Code]=(TRIM($B14))),CRDJ[Credit])))+(SUM(IF((GJ[Date]=$A$4)*(GJ[Account Code]=(TRIM($B14))),GJ[Credit]))))-((SUM(IF((CkDJ[Date]=$A$4)*(CkDJ[Account Code]=(TRIM($B14))),CkDJ[Debit])))+(SUM(IF((CsDJ[Date]=$A$4)*(CsDJ[Account Code]=(TRIM($B14))),CsDJ[Debit])))+(SUM(IF((CRDJ[Date]=$A$4)*(CRDJ[Account Code]=(TRIM($B14))),CRDJ[Debit])))+(SUM(IF((GJ[Date]=$A$4)*(GJ[Account Code]=(TRIM($B14))),GJ[Debit]))))</f>
        <v>0</v>
      </c>
      <c r="E14" s="467">
        <f>C14+D14</f>
        <v>0</v>
      </c>
    </row>
    <row r="15" spans="1:5" x14ac:dyDescent="0.2">
      <c r="A15" s="476" t="s">
        <v>827</v>
      </c>
      <c r="B15" s="339" t="s">
        <v>143</v>
      </c>
      <c r="C15" s="466">
        <f t="array" ref="C15">((SUM(IF((CkDJ[Account Code]=(TRIM($B15)))*(CkDJ[Date]&lt;=$C$8),CkDJ[Credit])))+(SUM(IF((CsDJ[Account Code]=(TRIM($B15)))*(CsDJ[Date]&lt;=$C$8),CsDJ[Credit])))+(SUM(IF((CRDJ[Account Code]=(TRIM($B15)))*(CRDJ[Date]&lt;=$C$8),CRDJ[Credit])))+(SUM(IF((GJ[Account Code]=(TRIM($B15)))*(GJ[Date]&lt;=$C$8),GJ[Credit]))))-((SUM(IF((CkDJ[Account Code]=(TRIM($B15)))*(CkDJ[Date]&lt;=$C$8),CkDJ[Debit])))+(SUM(IF((CsDJ[Account Code]=(TRIM($B15)))*(CsDJ[Date]&lt;=$C$8),CsDJ[Debit])))+(SUM(IF((CRDJ[Account Code]=(TRIM($B15)))*(CRDJ[Date]&lt;=$C$8),CRDJ[Debit])))+(SUM(IF((GJ[Account Code]=(TRIM($B15)))*(GJ[Date]&lt;=$C$8),GJ[Debit]))))</f>
        <v>0</v>
      </c>
      <c r="D15" s="466">
        <f t="array" ref="D15">((SUM(IF((CkDJ[Date]=$A$4)*(CkDJ[Account Code]=(TRIM($B15))),CkDJ[Credit])))+(SUM(IF((CsDJ[Date]=$A$4)*(CsDJ[Account Code]=(TRIM($B15))),CsDJ[Credit])))+(SUM(IF((CRDJ[Date]=$A$4)*(CRDJ[Account Code]=(TRIM($B15))),CRDJ[Credit])))+(SUM(IF((GJ[Date]=$A$4)*(GJ[Account Code]=(TRIM($B15))),GJ[Credit]))))-((SUM(IF((CkDJ[Date]=$A$4)*(CkDJ[Account Code]=(TRIM($B15))),CkDJ[Debit])))+(SUM(IF((CsDJ[Date]=$A$4)*(CsDJ[Account Code]=(TRIM($B15))),CsDJ[Debit])))+(SUM(IF((CRDJ[Date]=$A$4)*(CRDJ[Account Code]=(TRIM($B15))),CRDJ[Debit])))+(SUM(IF((GJ[Date]=$A$4)*(GJ[Account Code]=(TRIM($B15))),GJ[Debit]))))</f>
        <v>0</v>
      </c>
      <c r="E15" s="467">
        <f>C15+D15</f>
        <v>0</v>
      </c>
    </row>
    <row r="16" spans="1:5" x14ac:dyDescent="0.2">
      <c r="A16" s="473" t="s">
        <v>826</v>
      </c>
      <c r="B16" s="339"/>
      <c r="C16" s="477">
        <f>SUM(C17:C19)</f>
        <v>0</v>
      </c>
      <c r="D16" s="477">
        <f>SUM(D17:D19)</f>
        <v>0</v>
      </c>
      <c r="E16" s="477">
        <f>SUM(E17:E19)</f>
        <v>0</v>
      </c>
    </row>
    <row r="17" spans="1:5" x14ac:dyDescent="0.2">
      <c r="A17" s="475" t="s">
        <v>182</v>
      </c>
      <c r="B17" s="339" t="s">
        <v>146</v>
      </c>
      <c r="C17" s="466">
        <f t="array" ref="C17">((SUM(IF((CkDJ[Account Code]=(TRIM($B17)))*(CkDJ[Date]&lt;=$C$8),CkDJ[Credit])))+(SUM(IF((CsDJ[Account Code]=(TRIM($B17)))*(CsDJ[Date]&lt;=$C$8),CsDJ[Credit])))+(SUM(IF((CRDJ[Account Code]=(TRIM($B17)))*(CRDJ[Date]&lt;=$C$8),CRDJ[Credit])))+(SUM(IF((GJ[Account Code]=(TRIM($B17)))*(GJ[Date]&lt;=$C$8),GJ[Credit]))))-((SUM(IF((CkDJ[Account Code]=(TRIM($B17)))*(CkDJ[Date]&lt;=$C$8),CkDJ[Debit])))+(SUM(IF((CsDJ[Account Code]=(TRIM($B17)))*(CsDJ[Date]&lt;=$C$8),CsDJ[Debit])))+(SUM(IF((CRDJ[Account Code]=(TRIM($B17)))*(CRDJ[Date]&lt;=$C$8),CRDJ[Debit])))+(SUM(IF((GJ[Account Code]=(TRIM($B17)))*(GJ[Date]&lt;=$C$8),GJ[Debit]))))</f>
        <v>0</v>
      </c>
      <c r="D17" s="466">
        <f t="array" ref="D17">((SUM(IF((CkDJ[Date]=$A$4)*(CkDJ[Account Code]=(TRIM($B17))),CkDJ[Credit])))+(SUM(IF((CsDJ[Date]=$A$4)*(CsDJ[Account Code]=(TRIM($B17))),CsDJ[Credit])))+(SUM(IF((CRDJ[Date]=$A$4)*(CRDJ[Account Code]=(TRIM($B17))),CRDJ[Credit])))+(SUM(IF((GJ[Date]=$A$4)*(GJ[Account Code]=(TRIM($B17))),GJ[Credit]))))-((SUM(IF((CkDJ[Date]=$A$4)*(CkDJ[Account Code]=(TRIM($B17))),CkDJ[Debit])))+(SUM(IF((CsDJ[Date]=$A$4)*(CsDJ[Account Code]=(TRIM($B17))),CsDJ[Debit])))+(SUM(IF((CRDJ[Date]=$A$4)*(CRDJ[Account Code]=(TRIM($B17))),CRDJ[Debit])))+(SUM(IF((GJ[Date]=$A$4)*(GJ[Account Code]=(TRIM($B17))),GJ[Debit]))))</f>
        <v>0</v>
      </c>
      <c r="E17" s="467">
        <f>C17+D17</f>
        <v>0</v>
      </c>
    </row>
    <row r="18" spans="1:5" x14ac:dyDescent="0.2">
      <c r="A18" s="475" t="s">
        <v>183</v>
      </c>
      <c r="B18" s="339" t="s">
        <v>147</v>
      </c>
      <c r="C18" s="466">
        <f t="array" ref="C18">((SUM(IF((CkDJ[Account Code]=(TRIM($B18)))*(CkDJ[Date]&lt;=$C$8),CkDJ[Credit])))+(SUM(IF((CsDJ[Account Code]=(TRIM($B18)))*(CsDJ[Date]&lt;=$C$8),CsDJ[Credit])))+(SUM(IF((CRDJ[Account Code]=(TRIM($B18)))*(CRDJ[Date]&lt;=$C$8),CRDJ[Credit])))+(SUM(IF((GJ[Account Code]=(TRIM($B18)))*(GJ[Date]&lt;=$C$8),GJ[Credit]))))-((SUM(IF((CkDJ[Account Code]=(TRIM($B18)))*(CkDJ[Date]&lt;=$C$8),CkDJ[Debit])))+(SUM(IF((CsDJ[Account Code]=(TRIM($B18)))*(CsDJ[Date]&lt;=$C$8),CsDJ[Debit])))+(SUM(IF((CRDJ[Account Code]=(TRIM($B18)))*(CRDJ[Date]&lt;=$C$8),CRDJ[Debit])))+(SUM(IF((GJ[Account Code]=(TRIM($B18)))*(GJ[Date]&lt;=$C$8),GJ[Debit]))))</f>
        <v>0</v>
      </c>
      <c r="D18" s="466">
        <f t="array" ref="D18">((SUM(IF((CkDJ[Date]=$A$4)*(CkDJ[Account Code]=(TRIM($B18))),CkDJ[Credit])))+(SUM(IF((CsDJ[Date]=$A$4)*(CsDJ[Account Code]=(TRIM($B18))),CsDJ[Credit])))+(SUM(IF((CRDJ[Date]=$A$4)*(CRDJ[Account Code]=(TRIM($B18))),CRDJ[Credit])))+(SUM(IF((GJ[Date]=$A$4)*(GJ[Account Code]=(TRIM($B18))),GJ[Credit]))))-((SUM(IF((CkDJ[Date]=$A$4)*(CkDJ[Account Code]=(TRIM($B18))),CkDJ[Debit])))+(SUM(IF((CsDJ[Date]=$A$4)*(CsDJ[Account Code]=(TRIM($B18))),CsDJ[Debit])))+(SUM(IF((CRDJ[Date]=$A$4)*(CRDJ[Account Code]=(TRIM($B18))),CRDJ[Debit])))+(SUM(IF((GJ[Date]=$A$4)*(GJ[Account Code]=(TRIM($B18))),GJ[Debit]))))</f>
        <v>0</v>
      </c>
      <c r="E18" s="467">
        <f>C18+D18</f>
        <v>0</v>
      </c>
    </row>
    <row r="19" spans="1:5" hidden="1" x14ac:dyDescent="0.2">
      <c r="A19" s="475" t="s">
        <v>184</v>
      </c>
      <c r="B19" s="339" t="s">
        <v>148</v>
      </c>
      <c r="C19" s="466">
        <f t="array" ref="C19">((SUM(IF((CkDJ[Account Code]=(TRIM($B19)))*(CkDJ[Date]&lt;=$C$8),CkDJ[Credit])))+(SUM(IF((CsDJ[Account Code]=(TRIM($B19)))*(CsDJ[Date]&lt;=$C$8),CsDJ[Credit])))+(SUM(IF((CRDJ[Account Code]=(TRIM($B19)))*(CRDJ[Date]&lt;=$C$8),CRDJ[Credit])))+(SUM(IF((GJ[Account Code]=(TRIM($B19)))*(GJ[Date]&lt;=$C$8),GJ[Credit]))))-((SUM(IF((CkDJ[Account Code]=(TRIM($B19)))*(CkDJ[Date]&lt;=$C$8),CkDJ[Debit])))+(SUM(IF((CsDJ[Account Code]=(TRIM($B19)))*(CsDJ[Date]&lt;=$C$8),CsDJ[Debit])))+(SUM(IF((CRDJ[Account Code]=(TRIM($B19)))*(CRDJ[Date]&lt;=$C$8),CRDJ[Debit])))+(SUM(IF((GJ[Account Code]=(TRIM($B19)))*(GJ[Date]&lt;=$C$8),GJ[Debit]))))</f>
        <v>0</v>
      </c>
      <c r="D19" s="466">
        <f t="array" ref="D19">((SUM(IF((CkDJ[Date]=$A$4)*(CkDJ[Account Code]=(TRIM($B19))),CkDJ[Credit])))+(SUM(IF((CsDJ[Date]=$A$4)*(CsDJ[Account Code]=(TRIM($B19))),CsDJ[Credit])))+(SUM(IF((CRDJ[Date]=$A$4)*(CRDJ[Account Code]=(TRIM($B19))),CRDJ[Credit])))+(SUM(IF((GJ[Date]=$A$4)*(GJ[Account Code]=(TRIM($B19))),GJ[Credit]))))-((SUM(IF((CkDJ[Date]=$A$4)*(CkDJ[Account Code]=(TRIM($B19))),CkDJ[Debit])))+(SUM(IF((CsDJ[Date]=$A$4)*(CsDJ[Account Code]=(TRIM($B19))),CsDJ[Debit])))+(SUM(IF((CRDJ[Date]=$A$4)*(CRDJ[Account Code]=(TRIM($B19))),CRDJ[Debit])))+(SUM(IF((GJ[Date]=$A$4)*(GJ[Account Code]=(TRIM($B19))),GJ[Debit]))))</f>
        <v>0</v>
      </c>
      <c r="E19" s="467">
        <f>C19+D19</f>
        <v>0</v>
      </c>
    </row>
    <row r="20" spans="1:5" x14ac:dyDescent="0.2">
      <c r="A20" s="473" t="s">
        <v>825</v>
      </c>
      <c r="B20" s="339"/>
      <c r="C20" s="477">
        <f>SUM(C21:C22)</f>
        <v>0</v>
      </c>
      <c r="D20" s="477">
        <f>SUM(D21:D22)</f>
        <v>0</v>
      </c>
      <c r="E20" s="477">
        <f>SUM(E21:E22)</f>
        <v>0</v>
      </c>
    </row>
    <row r="21" spans="1:5" hidden="1" x14ac:dyDescent="0.2">
      <c r="A21" s="475" t="s">
        <v>821</v>
      </c>
      <c r="B21" s="339" t="s">
        <v>131</v>
      </c>
      <c r="C21" s="466">
        <f t="array" ref="C21">((SUM(IF((CkDJ[Account Code]=(TRIM($B21)))*(CkDJ[Date]&lt;=$C$8),CkDJ[Credit])))+(SUM(IF((CsDJ[Account Code]=(TRIM($B21)))*(CsDJ[Date]&lt;=$C$8),CsDJ[Credit])))+(SUM(IF((CRDJ[Account Code]=(TRIM($B21)))*(CRDJ[Date]&lt;=$C$8),CRDJ[Credit])))+(SUM(IF((GJ[Account Code]=(TRIM($B21)))*(GJ[Date]&lt;=$C$8),GJ[Credit]))))-((SUM(IF((CkDJ[Account Code]=(TRIM($B21)))*(CkDJ[Date]&lt;=$C$8),CkDJ[Debit])))+(SUM(IF((CsDJ[Account Code]=(TRIM($B21)))*(CsDJ[Date]&lt;=$C$8),CsDJ[Debit])))+(SUM(IF((CRDJ[Account Code]=(TRIM($B21)))*(CRDJ[Date]&lt;=$C$8),CRDJ[Debit])))+(SUM(IF((GJ[Account Code]=(TRIM($B21)))*(GJ[Date]&lt;=$C$8),GJ[Debit]))))</f>
        <v>0</v>
      </c>
      <c r="D21" s="466">
        <f t="array" ref="D21">((SUM(IF((CkDJ[Date]=$A$4)*(CkDJ[Account Code]=(TRIM($B21))),CkDJ[Credit])))+(SUM(IF((CsDJ[Date]=$A$4)*(CsDJ[Account Code]=(TRIM($B21))),CsDJ[Credit])))+(SUM(IF((CRDJ[Date]=$A$4)*(CRDJ[Account Code]=(TRIM($B21))),CRDJ[Credit])))+(SUM(IF((GJ[Date]=$A$4)*(GJ[Account Code]=(TRIM($B21))),GJ[Credit]))))-((SUM(IF((CkDJ[Date]=$A$4)*(CkDJ[Account Code]=(TRIM($B21))),CkDJ[Debit])))+(SUM(IF((CsDJ[Date]=$A$4)*(CsDJ[Account Code]=(TRIM($B21))),CsDJ[Debit])))+(SUM(IF((CRDJ[Date]=$A$4)*(CRDJ[Account Code]=(TRIM($B21))),CRDJ[Debit])))+(SUM(IF((GJ[Date]=$A$4)*(GJ[Account Code]=(TRIM($B21))),GJ[Debit]))))</f>
        <v>0</v>
      </c>
      <c r="E21" s="467">
        <f>C21+D21</f>
        <v>0</v>
      </c>
    </row>
    <row r="22" spans="1:5" hidden="1" x14ac:dyDescent="0.2">
      <c r="A22" s="475" t="s">
        <v>820</v>
      </c>
      <c r="B22" s="339"/>
      <c r="C22" s="466">
        <f>SUM(C23:C24)</f>
        <v>0</v>
      </c>
      <c r="D22" s="466">
        <f>SUM(D23:D24)</f>
        <v>0</v>
      </c>
      <c r="E22" s="466">
        <f>SUM(E23:E24)</f>
        <v>0</v>
      </c>
    </row>
    <row r="23" spans="1:5" hidden="1" x14ac:dyDescent="0.2">
      <c r="A23" s="476" t="s">
        <v>819</v>
      </c>
      <c r="B23" s="339" t="s">
        <v>140</v>
      </c>
      <c r="C23" s="466">
        <f t="array" ref="C23">((SUM(IF((CkDJ[Account Code]=(TRIM($B23)))*(CkDJ[Date]&lt;=$C$8),CkDJ[Credit])))+(SUM(IF((CsDJ[Account Code]=(TRIM($B23)))*(CsDJ[Date]&lt;=$C$8),CsDJ[Credit])))+(SUM(IF((CRDJ[Account Code]=(TRIM($B23)))*(CRDJ[Date]&lt;=$C$8),CRDJ[Credit])))+(SUM(IF((GJ[Account Code]=(TRIM($B23)))*(GJ[Date]&lt;=$C$8),GJ[Credit]))))-((SUM(IF((CkDJ[Account Code]=(TRIM($B23)))*(CkDJ[Date]&lt;=$C$8),CkDJ[Debit])))+(SUM(IF((CsDJ[Account Code]=(TRIM($B23)))*(CsDJ[Date]&lt;=$C$8),CsDJ[Debit])))+(SUM(IF((CRDJ[Account Code]=(TRIM($B23)))*(CRDJ[Date]&lt;=$C$8),CRDJ[Debit])))+(SUM(IF((GJ[Account Code]=(TRIM($B23)))*(GJ[Date]&lt;=$C$8),GJ[Debit]))))</f>
        <v>0</v>
      </c>
      <c r="D23" s="466">
        <f t="array" ref="D23">((SUM(IF((CkDJ[Date]=$A$4)*(CkDJ[Account Code]=(TRIM($B23))),CkDJ[Credit])))+(SUM(IF((CsDJ[Date]=$A$4)*(CsDJ[Account Code]=(TRIM($B23))),CsDJ[Credit])))+(SUM(IF((CRDJ[Date]=$A$4)*(CRDJ[Account Code]=(TRIM($B23))),CRDJ[Credit])))+(SUM(IF((GJ[Date]=$A$4)*(GJ[Account Code]=(TRIM($B23))),GJ[Credit]))))-((SUM(IF((CkDJ[Date]=$A$4)*(CkDJ[Account Code]=(TRIM($B23))),CkDJ[Debit])))+(SUM(IF((CsDJ[Date]=$A$4)*(CsDJ[Account Code]=(TRIM($B23))),CsDJ[Debit])))+(SUM(IF((CRDJ[Date]=$A$4)*(CRDJ[Account Code]=(TRIM($B23))),CRDJ[Debit])))+(SUM(IF((GJ[Date]=$A$4)*(GJ[Account Code]=(TRIM($B23))),GJ[Debit]))))</f>
        <v>0</v>
      </c>
      <c r="E23" s="467">
        <f>C23+D23</f>
        <v>0</v>
      </c>
    </row>
    <row r="24" spans="1:5" hidden="1" x14ac:dyDescent="0.2">
      <c r="A24" s="476" t="s">
        <v>818</v>
      </c>
      <c r="B24" s="339" t="s">
        <v>144</v>
      </c>
      <c r="C24" s="466">
        <f t="array" ref="C24">((SUM(IF((CkDJ[Account Code]=(TRIM($B24)))*(CkDJ[Date]&lt;=$C$8),CkDJ[Credit])))+(SUM(IF((CsDJ[Account Code]=(TRIM($B24)))*(CsDJ[Date]&lt;=$C$8),CsDJ[Credit])))+(SUM(IF((CRDJ[Account Code]=(TRIM($B24)))*(CRDJ[Date]&lt;=$C$8),CRDJ[Credit])))+(SUM(IF((GJ[Account Code]=(TRIM($B24)))*(GJ[Date]&lt;=$C$8),GJ[Credit]))))-((SUM(IF((CkDJ[Account Code]=(TRIM($B24)))*(CkDJ[Date]&lt;=$C$8),CkDJ[Debit])))+(SUM(IF((CsDJ[Account Code]=(TRIM($B24)))*(CsDJ[Date]&lt;=$C$8),CsDJ[Debit])))+(SUM(IF((CRDJ[Account Code]=(TRIM($B24)))*(CRDJ[Date]&lt;=$C$8),CRDJ[Debit])))+(SUM(IF((GJ[Account Code]=(TRIM($B24)))*(GJ[Date]&lt;=$C$8),GJ[Debit]))))</f>
        <v>0</v>
      </c>
      <c r="D24" s="466">
        <f t="array" ref="D24">((SUM(IF((CkDJ[Date]=$A$4)*(CkDJ[Account Code]=(TRIM($B24))),CkDJ[Credit])))+(SUM(IF((CsDJ[Date]=$A$4)*(CsDJ[Account Code]=(TRIM($B24))),CsDJ[Credit])))+(SUM(IF((CRDJ[Date]=$A$4)*(CRDJ[Account Code]=(TRIM($B24))),CRDJ[Credit])))+(SUM(IF((GJ[Date]=$A$4)*(GJ[Account Code]=(TRIM($B24))),GJ[Credit]))))-((SUM(IF((CkDJ[Date]=$A$4)*(CkDJ[Account Code]=(TRIM($B24))),CkDJ[Debit])))+(SUM(IF((CsDJ[Date]=$A$4)*(CsDJ[Account Code]=(TRIM($B24))),CsDJ[Debit])))+(SUM(IF((CRDJ[Date]=$A$4)*(CRDJ[Account Code]=(TRIM($B24))),CRDJ[Debit])))+(SUM(IF((GJ[Date]=$A$4)*(GJ[Account Code]=(TRIM($B24))),GJ[Debit]))))</f>
        <v>0</v>
      </c>
      <c r="E24" s="467">
        <f>C24+D24</f>
        <v>0</v>
      </c>
    </row>
    <row r="25" spans="1:5" x14ac:dyDescent="0.2">
      <c r="A25" s="473" t="s">
        <v>1163</v>
      </c>
      <c r="B25" s="339" t="s">
        <v>352</v>
      </c>
      <c r="C25" s="477">
        <f t="array" ref="C25">((SUM(IF((CkDJ[Account Code]=(TRIM($B25)))*(CkDJ[Date]&lt;=$C$8),CkDJ[Credit])))+(SUM(IF((CsDJ[Account Code]=(TRIM($B25)))*(CsDJ[Date]&lt;=$C$8),CsDJ[Credit])))+(SUM(IF((CRDJ[Account Code]=(TRIM($B25)))*(CRDJ[Date]&lt;=$C$8),CRDJ[Credit])))+(SUM(IF((GJ[Account Code]=(TRIM($B25)))*(GJ[Date]&lt;=$C$8),GJ[Credit]))))-((SUM(IF((CkDJ[Account Code]=(TRIM($B25)))*(CkDJ[Date]&lt;=$C$8),CkDJ[Debit])))+(SUM(IF((CsDJ[Account Code]=(TRIM($B25)))*(CsDJ[Date]&lt;=$C$8),CsDJ[Debit])))+(SUM(IF((CRDJ[Account Code]=(TRIM($B25)))*(CRDJ[Date]&lt;=$C$8),CRDJ[Debit])))+(SUM(IF((GJ[Account Code]=(TRIM($B25)))*(GJ[Date]&lt;=$C$8),GJ[Debit]))))</f>
        <v>0</v>
      </c>
      <c r="D25" s="477">
        <f t="array" ref="D25">((SUM(IF((CkDJ[Date]=$A$4)*(CkDJ[Account Code]=(TRIM($B25))),CkDJ[Credit])))+(SUM(IF((CsDJ[Date]=$A$4)*(CsDJ[Account Code]=(TRIM($B25))),CsDJ[Credit])))+(SUM(IF((CRDJ[Date]=$A$4)*(CRDJ[Account Code]=(TRIM($B25))),CRDJ[Credit])))+(SUM(IF((GJ[Date]=$A$4)*(GJ[Account Code]=(TRIM($B25))),GJ[Credit]))))-((SUM(IF((CkDJ[Date]=$A$4)*(CkDJ[Account Code]=(TRIM($B25))),CkDJ[Debit])))+(SUM(IF((CsDJ[Date]=$A$4)*(CsDJ[Account Code]=(TRIM($B25))),CsDJ[Debit])))+(SUM(IF((CRDJ[Date]=$A$4)*(CRDJ[Account Code]=(TRIM($B25))),CRDJ[Debit])))+(SUM(IF((GJ[Date]=$A$4)*(GJ[Account Code]=(TRIM($B25))),GJ[Debit]))))</f>
        <v>0</v>
      </c>
      <c r="E25" s="478">
        <f>C25+D25</f>
        <v>0</v>
      </c>
    </row>
    <row r="26" spans="1:5" x14ac:dyDescent="0.2">
      <c r="A26" s="473" t="s">
        <v>1164</v>
      </c>
      <c r="B26" s="339"/>
      <c r="C26" s="477">
        <f>SUM(C27:C28)</f>
        <v>0</v>
      </c>
      <c r="D26" s="477">
        <f>SUM(D27:D28)</f>
        <v>0</v>
      </c>
      <c r="E26" s="477">
        <f>SUM(E27:E28)</f>
        <v>0</v>
      </c>
    </row>
    <row r="27" spans="1:5" x14ac:dyDescent="0.2">
      <c r="A27" s="475" t="s">
        <v>821</v>
      </c>
      <c r="B27" s="339" t="s">
        <v>128</v>
      </c>
      <c r="C27" s="466">
        <f t="array" ref="C27">((SUM(IF((CkDJ[Account Code]=(TRIM($B27)))*(CkDJ[Date]&lt;=$C$8),CkDJ[Credit])))+(SUM(IF((CsDJ[Account Code]=(TRIM($B27)))*(CsDJ[Date]&lt;=$C$8),CsDJ[Credit])))+(SUM(IF((CRDJ[Account Code]=(TRIM($B27)))*(CRDJ[Date]&lt;=$C$8),CRDJ[Credit])))+(SUM(IF((GJ[Account Code]=(TRIM($B27)))*(GJ[Date]&lt;=$C$8),GJ[Credit]))))-((SUM(IF((CkDJ[Account Code]=(TRIM($B27)))*(CkDJ[Date]&lt;=$C$8),CkDJ[Debit])))+(SUM(IF((CsDJ[Account Code]=(TRIM($B27)))*(CsDJ[Date]&lt;=$C$8),CsDJ[Debit])))+(SUM(IF((CRDJ[Account Code]=(TRIM($B27)))*(CRDJ[Date]&lt;=$C$8),CRDJ[Debit])))+(SUM(IF((GJ[Account Code]=(TRIM($B27)))*(GJ[Date]&lt;=$C$8),GJ[Debit]))))</f>
        <v>0</v>
      </c>
      <c r="D27" s="466">
        <f t="array" ref="D27">((SUM(IF((CkDJ[Date]=$A$4)*(CkDJ[Account Code]=(TRIM($B27))),CkDJ[Credit])))+(SUM(IF((CsDJ[Date]=$A$4)*(CsDJ[Account Code]=(TRIM($B27))),CsDJ[Credit])))+(SUM(IF((CRDJ[Date]=$A$4)*(CRDJ[Account Code]=(TRIM($B27))),CRDJ[Credit])))+(SUM(IF((GJ[Date]=$A$4)*(GJ[Account Code]=(TRIM($B27))),GJ[Credit]))))-((SUM(IF((CkDJ[Date]=$A$4)*(CkDJ[Account Code]=(TRIM($B27))),CkDJ[Debit])))+(SUM(IF((CsDJ[Date]=$A$4)*(CsDJ[Account Code]=(TRIM($B27))),CsDJ[Debit])))+(SUM(IF((CRDJ[Date]=$A$4)*(CRDJ[Account Code]=(TRIM($B27))),CRDJ[Debit])))+(SUM(IF((GJ[Date]=$A$4)*(GJ[Account Code]=(TRIM($B27))),GJ[Debit]))))</f>
        <v>0</v>
      </c>
      <c r="E27" s="467">
        <f>C27+D27</f>
        <v>0</v>
      </c>
    </row>
    <row r="28" spans="1:5" x14ac:dyDescent="0.2">
      <c r="A28" s="475" t="s">
        <v>820</v>
      </c>
      <c r="B28" s="339"/>
      <c r="C28" s="466">
        <f>SUM(C29:C30)</f>
        <v>0</v>
      </c>
      <c r="D28" s="466">
        <f>SUM(D29:D30)</f>
        <v>0</v>
      </c>
      <c r="E28" s="466">
        <f>SUM(E29:E30)</f>
        <v>0</v>
      </c>
    </row>
    <row r="29" spans="1:5" hidden="1" x14ac:dyDescent="0.2">
      <c r="A29" s="476" t="s">
        <v>819</v>
      </c>
      <c r="B29" s="339" t="s">
        <v>129</v>
      </c>
      <c r="C29" s="466">
        <f t="array" ref="C29">((SUM(IF((CkDJ[Account Code]=(TRIM($B29)))*(CkDJ[Date]&lt;=$C$8),CkDJ[Credit])))+(SUM(IF((CsDJ[Account Code]=(TRIM($B29)))*(CsDJ[Date]&lt;=$C$8),CsDJ[Credit])))+(SUM(IF((CRDJ[Account Code]=(TRIM($B29)))*(CRDJ[Date]&lt;=$C$8),CRDJ[Credit])))+(SUM(IF((GJ[Account Code]=(TRIM($B29)))*(GJ[Date]&lt;=$C$8),GJ[Credit]))))-((SUM(IF((CkDJ[Account Code]=(TRIM($B29)))*(CkDJ[Date]&lt;=$C$8),CkDJ[Debit])))+(SUM(IF((CsDJ[Account Code]=(TRIM($B29)))*(CsDJ[Date]&lt;=$C$8),CsDJ[Debit])))+(SUM(IF((CRDJ[Account Code]=(TRIM($B29)))*(CRDJ[Date]&lt;=$C$8),CRDJ[Debit])))+(SUM(IF((GJ[Account Code]=(TRIM($B29)))*(GJ[Date]&lt;=$C$8),GJ[Debit]))))</f>
        <v>0</v>
      </c>
      <c r="D29" s="466">
        <f t="array" ref="D29">((SUM(IF((CkDJ[Date]=$A$4)*(CkDJ[Account Code]=(TRIM($B29))),CkDJ[Credit])))+(SUM(IF((CsDJ[Date]=$A$4)*(CsDJ[Account Code]=(TRIM($B29))),CsDJ[Credit])))+(SUM(IF((CRDJ[Date]=$A$4)*(CRDJ[Account Code]=(TRIM($B29))),CRDJ[Credit])))+(SUM(IF((GJ[Date]=$A$4)*(GJ[Account Code]=(TRIM($B29))),GJ[Credit]))))-((SUM(IF((CkDJ[Date]=$A$4)*(CkDJ[Account Code]=(TRIM($B29))),CkDJ[Debit])))+(SUM(IF((CsDJ[Date]=$A$4)*(CsDJ[Account Code]=(TRIM($B29))),CsDJ[Debit])))+(SUM(IF((CRDJ[Date]=$A$4)*(CRDJ[Account Code]=(TRIM($B29))),CRDJ[Debit])))+(SUM(IF((GJ[Date]=$A$4)*(GJ[Account Code]=(TRIM($B29))),GJ[Debit]))))</f>
        <v>0</v>
      </c>
      <c r="E29" s="467">
        <f>C29+D29</f>
        <v>0</v>
      </c>
    </row>
    <row r="30" spans="1:5" hidden="1" x14ac:dyDescent="0.2">
      <c r="A30" s="476" t="s">
        <v>818</v>
      </c>
      <c r="B30" s="339" t="s">
        <v>145</v>
      </c>
      <c r="C30" s="466">
        <f t="array" ref="C30">((SUM(IF((CkDJ[Account Code]=(TRIM($B30)))*(CkDJ[Date]&lt;=$C$8),CkDJ[Credit])))+(SUM(IF((CsDJ[Account Code]=(TRIM($B30)))*(CsDJ[Date]&lt;=$C$8),CsDJ[Credit])))+(SUM(IF((CRDJ[Account Code]=(TRIM($B30)))*(CRDJ[Date]&lt;=$C$8),CRDJ[Credit])))+(SUM(IF((GJ[Account Code]=(TRIM($B30)))*(GJ[Date]&lt;=$C$8),GJ[Credit]))))-((SUM(IF((CkDJ[Account Code]=(TRIM($B30)))*(CkDJ[Date]&lt;=$C$8),CkDJ[Debit])))+(SUM(IF((CsDJ[Account Code]=(TRIM($B30)))*(CsDJ[Date]&lt;=$C$8),CsDJ[Debit])))+(SUM(IF((CRDJ[Account Code]=(TRIM($B30)))*(CRDJ[Date]&lt;=$C$8),CRDJ[Debit])))+(SUM(IF((GJ[Account Code]=(TRIM($B30)))*(GJ[Date]&lt;=$C$8),GJ[Debit]))))</f>
        <v>0</v>
      </c>
      <c r="D30" s="466">
        <f t="array" ref="D30">((SUM(IF((CkDJ[Date]=$A$4)*(CkDJ[Account Code]=(TRIM($B30))),CkDJ[Credit])))+(SUM(IF((CsDJ[Date]=$A$4)*(CsDJ[Account Code]=(TRIM($B30))),CsDJ[Credit])))+(SUM(IF((CRDJ[Date]=$A$4)*(CRDJ[Account Code]=(TRIM($B30))),CRDJ[Credit])))+(SUM(IF((GJ[Date]=$A$4)*(GJ[Account Code]=(TRIM($B30))),GJ[Credit]))))-((SUM(IF((CkDJ[Date]=$A$4)*(CkDJ[Account Code]=(TRIM($B30))),CkDJ[Debit])))+(SUM(IF((CsDJ[Date]=$A$4)*(CsDJ[Account Code]=(TRIM($B30))),CsDJ[Debit])))+(SUM(IF((CRDJ[Date]=$A$4)*(CRDJ[Account Code]=(TRIM($B30))),CRDJ[Debit])))+(SUM(IF((GJ[Date]=$A$4)*(GJ[Account Code]=(TRIM($B30))),GJ[Debit]))))</f>
        <v>0</v>
      </c>
      <c r="E30" s="467">
        <f>C30+D30</f>
        <v>0</v>
      </c>
    </row>
    <row r="31" spans="1:5" x14ac:dyDescent="0.2">
      <c r="A31" s="473" t="s">
        <v>1165</v>
      </c>
      <c r="B31" s="339"/>
      <c r="C31" s="477">
        <f>SUM(C32:C34)</f>
        <v>0</v>
      </c>
      <c r="D31" s="477">
        <f>SUM(D32:D34)</f>
        <v>0</v>
      </c>
      <c r="E31" s="477">
        <f>SUM(E32:E34)</f>
        <v>0</v>
      </c>
    </row>
    <row r="32" spans="1:5" x14ac:dyDescent="0.2">
      <c r="A32" s="475" t="s">
        <v>139</v>
      </c>
      <c r="B32" s="339" t="s">
        <v>130</v>
      </c>
      <c r="C32" s="466">
        <f t="array" ref="C32">((SUM(IF((CkDJ[Account Code]=(TRIM($B32)))*(CkDJ[Date]&lt;=$C$8),CkDJ[Credit])))+(SUM(IF((CsDJ[Account Code]=(TRIM($B32)))*(CsDJ[Date]&lt;=$C$8),CsDJ[Credit])))+(SUM(IF((CRDJ[Account Code]=(TRIM($B32)))*(CRDJ[Date]&lt;=$C$8),CRDJ[Credit])))+(SUM(IF((GJ[Account Code]=(TRIM($B32)))*(GJ[Date]&lt;=$C$8),GJ[Credit]))))-((SUM(IF((CkDJ[Account Code]=(TRIM($B32)))*(CkDJ[Date]&lt;=$C$8),CkDJ[Debit])))+(SUM(IF((CsDJ[Account Code]=(TRIM($B32)))*(CsDJ[Date]&lt;=$C$8),CsDJ[Debit])))+(SUM(IF((CRDJ[Account Code]=(TRIM($B32)))*(CRDJ[Date]&lt;=$C$8),CRDJ[Debit])))+(SUM(IF((GJ[Account Code]=(TRIM($B32)))*(GJ[Date]&lt;=$C$8),GJ[Debit]))))</f>
        <v>0</v>
      </c>
      <c r="D32" s="466">
        <f t="array" ref="D32">((SUM(IF((CkDJ[Date]=$A$4)*(CkDJ[Account Code]=(TRIM($B32))),CkDJ[Credit])))+(SUM(IF((CsDJ[Date]=$A$4)*(CsDJ[Account Code]=(TRIM($B32))),CsDJ[Credit])))+(SUM(IF((CRDJ[Date]=$A$4)*(CRDJ[Account Code]=(TRIM($B32))),CRDJ[Credit])))+(SUM(IF((GJ[Date]=$A$4)*(GJ[Account Code]=(TRIM($B32))),GJ[Credit]))))-((SUM(IF((CkDJ[Date]=$A$4)*(CkDJ[Account Code]=(TRIM($B32))),CkDJ[Debit])))+(SUM(IF((CsDJ[Date]=$A$4)*(CsDJ[Account Code]=(TRIM($B32))),CsDJ[Debit])))+(SUM(IF((CRDJ[Date]=$A$4)*(CRDJ[Account Code]=(TRIM($B32))),CRDJ[Debit])))+(SUM(IF((GJ[Date]=$A$4)*(GJ[Account Code]=(TRIM($B32))),GJ[Debit]))))</f>
        <v>0</v>
      </c>
      <c r="E32" s="467">
        <f>C32+D32</f>
        <v>0</v>
      </c>
    </row>
    <row r="33" spans="1:5" x14ac:dyDescent="0.2">
      <c r="A33" s="475" t="s">
        <v>180</v>
      </c>
      <c r="B33" s="339" t="s">
        <v>141</v>
      </c>
      <c r="C33" s="466">
        <f t="array" ref="C33">((SUM(IF((CkDJ[Account Code]=(TRIM($B33)))*(CkDJ[Date]&lt;=$C$8),CkDJ[Credit])))+(SUM(IF((CsDJ[Account Code]=(TRIM($B33)))*(CsDJ[Date]&lt;=$C$8),CsDJ[Credit])))+(SUM(IF((CRDJ[Account Code]=(TRIM($B33)))*(CRDJ[Date]&lt;=$C$8),CRDJ[Credit])))+(SUM(IF((GJ[Account Code]=(TRIM($B33)))*(GJ[Date]&lt;=$C$8),GJ[Credit]))))-((SUM(IF((CkDJ[Account Code]=(TRIM($B33)))*(CkDJ[Date]&lt;=$C$8),CkDJ[Debit])))+(SUM(IF((CsDJ[Account Code]=(TRIM($B33)))*(CsDJ[Date]&lt;=$C$8),CsDJ[Debit])))+(SUM(IF((CRDJ[Account Code]=(TRIM($B33)))*(CRDJ[Date]&lt;=$C$8),CRDJ[Debit])))+(SUM(IF((GJ[Account Code]=(TRIM($B33)))*(GJ[Date]&lt;=$C$8),GJ[Debit]))))</f>
        <v>0</v>
      </c>
      <c r="D33" s="466">
        <f t="array" ref="D33">((SUM(IF((CkDJ[Date]=$A$4)*(CkDJ[Account Code]=(TRIM($B33))),CkDJ[Credit])))+(SUM(IF((CsDJ[Date]=$A$4)*(CsDJ[Account Code]=(TRIM($B33))),CsDJ[Credit])))+(SUM(IF((CRDJ[Date]=$A$4)*(CRDJ[Account Code]=(TRIM($B33))),CRDJ[Credit])))+(SUM(IF((GJ[Date]=$A$4)*(GJ[Account Code]=(TRIM($B33))),GJ[Credit]))))-((SUM(IF((CkDJ[Date]=$A$4)*(CkDJ[Account Code]=(TRIM($B33))),CkDJ[Debit])))+(SUM(IF((CsDJ[Date]=$A$4)*(CsDJ[Account Code]=(TRIM($B33))),CsDJ[Debit])))+(SUM(IF((CRDJ[Date]=$A$4)*(CRDJ[Account Code]=(TRIM($B33))),CRDJ[Debit])))+(SUM(IF((GJ[Date]=$A$4)*(GJ[Account Code]=(TRIM($B33))),GJ[Debit]))))</f>
        <v>0</v>
      </c>
      <c r="E33" s="467">
        <f>C33+D33</f>
        <v>0</v>
      </c>
    </row>
    <row r="34" spans="1:5" x14ac:dyDescent="0.2">
      <c r="A34" s="475" t="s">
        <v>181</v>
      </c>
      <c r="B34" s="339" t="s">
        <v>142</v>
      </c>
      <c r="C34" s="466">
        <f t="array" ref="C34">((SUM(IF((CkDJ[Account Code]=(TRIM($B34)))*(CkDJ[Date]&lt;=$C$8),CkDJ[Credit])))+(SUM(IF((CsDJ[Account Code]=(TRIM($B34)))*(CsDJ[Date]&lt;=$C$8),CsDJ[Credit])))+(SUM(IF((CRDJ[Account Code]=(TRIM($B34)))*(CRDJ[Date]&lt;=$C$8),CRDJ[Credit])))+(SUM(IF((GJ[Account Code]=(TRIM($B34)))*(GJ[Date]&lt;=$C$8),GJ[Credit]))))-((SUM(IF((CkDJ[Account Code]=(TRIM($B34)))*(CkDJ[Date]&lt;=$C$8),CkDJ[Debit])))+(SUM(IF((CsDJ[Account Code]=(TRIM($B34)))*(CsDJ[Date]&lt;=$C$8),CsDJ[Debit])))+(SUM(IF((CRDJ[Account Code]=(TRIM($B34)))*(CRDJ[Date]&lt;=$C$8),CRDJ[Debit])))+(SUM(IF((GJ[Account Code]=(TRIM($B34)))*(GJ[Date]&lt;=$C$8),GJ[Debit]))))</f>
        <v>0</v>
      </c>
      <c r="D34" s="466">
        <f t="array" ref="D34">((SUM(IF((CkDJ[Date]=$A$4)*(CkDJ[Account Code]=(TRIM($B34))),CkDJ[Credit])))+(SUM(IF((CsDJ[Date]=$A$4)*(CsDJ[Account Code]=(TRIM($B34))),CsDJ[Credit])))+(SUM(IF((CRDJ[Date]=$A$4)*(CRDJ[Account Code]=(TRIM($B34))),CRDJ[Credit])))+(SUM(IF((GJ[Date]=$A$4)*(GJ[Account Code]=(TRIM($B34))),GJ[Credit]))))-((SUM(IF((CkDJ[Date]=$A$4)*(CkDJ[Account Code]=(TRIM($B34))),CkDJ[Debit])))+(SUM(IF((CsDJ[Date]=$A$4)*(CsDJ[Account Code]=(TRIM($B34))),CsDJ[Debit])))+(SUM(IF((CRDJ[Date]=$A$4)*(CRDJ[Account Code]=(TRIM($B34))),CRDJ[Debit])))+(SUM(IF((GJ[Date]=$A$4)*(GJ[Account Code]=(TRIM($B34))),GJ[Debit]))))</f>
        <v>0</v>
      </c>
      <c r="E34" s="467">
        <f>C34+D34</f>
        <v>0</v>
      </c>
    </row>
    <row r="35" spans="1:5" x14ac:dyDescent="0.2">
      <c r="A35" s="473" t="s">
        <v>1166</v>
      </c>
      <c r="B35" s="339"/>
      <c r="C35" s="477">
        <f>SUM(C36:C44)</f>
        <v>0</v>
      </c>
      <c r="D35" s="477">
        <f>SUM(D36:D44)</f>
        <v>0</v>
      </c>
      <c r="E35" s="477">
        <f>SUM(E36:E44)</f>
        <v>0</v>
      </c>
    </row>
    <row r="36" spans="1:5" x14ac:dyDescent="0.2">
      <c r="A36" s="475" t="s">
        <v>186</v>
      </c>
      <c r="B36" s="339" t="s">
        <v>150</v>
      </c>
      <c r="C36" s="466">
        <f t="array" ref="C36">((SUM(IF((CkDJ[Account Code]=(TRIM($B36)))*(CkDJ[Date]&lt;=$C$8),CkDJ[Credit])))+(SUM(IF((CsDJ[Account Code]=(TRIM($B36)))*(CsDJ[Date]&lt;=$C$8),CsDJ[Credit])))+(SUM(IF((CRDJ[Account Code]=(TRIM($B36)))*(CRDJ[Date]&lt;=$C$8),CRDJ[Credit])))+(SUM(IF((GJ[Account Code]=(TRIM($B36)))*(GJ[Date]&lt;=$C$8),GJ[Credit]))))-((SUM(IF((CkDJ[Account Code]=(TRIM($B36)))*(CkDJ[Date]&lt;=$C$8),CkDJ[Debit])))+(SUM(IF((CsDJ[Account Code]=(TRIM($B36)))*(CsDJ[Date]&lt;=$C$8),CsDJ[Debit])))+(SUM(IF((CRDJ[Account Code]=(TRIM($B36)))*(CRDJ[Date]&lt;=$C$8),CRDJ[Debit])))+(SUM(IF((GJ[Account Code]=(TRIM($B36)))*(GJ[Date]&lt;=$C$8),GJ[Debit]))))</f>
        <v>0</v>
      </c>
      <c r="D36" s="466">
        <f t="array" ref="D36">((SUM(IF((CkDJ[Date]=$A$4)*(CkDJ[Account Code]=(TRIM($B36))),CkDJ[Credit])))+(SUM(IF((CsDJ[Date]=$A$4)*(CsDJ[Account Code]=(TRIM($B36))),CsDJ[Credit])))+(SUM(IF((CRDJ[Date]=$A$4)*(CRDJ[Account Code]=(TRIM($B36))),CRDJ[Credit])))+(SUM(IF((GJ[Date]=$A$4)*(GJ[Account Code]=(TRIM($B36))),GJ[Credit]))))-((SUM(IF((CkDJ[Date]=$A$4)*(CkDJ[Account Code]=(TRIM($B36))),CkDJ[Debit])))+(SUM(IF((CsDJ[Date]=$A$4)*(CsDJ[Account Code]=(TRIM($B36))),CsDJ[Debit])))+(SUM(IF((CRDJ[Date]=$A$4)*(CRDJ[Account Code]=(TRIM($B36))),CRDJ[Debit])))+(SUM(IF((GJ[Date]=$A$4)*(GJ[Account Code]=(TRIM($B36))),GJ[Debit]))))</f>
        <v>0</v>
      </c>
      <c r="E36" s="467">
        <f t="shared" ref="E36:E44" si="0">C36+D36</f>
        <v>0</v>
      </c>
    </row>
    <row r="37" spans="1:5" x14ac:dyDescent="0.2">
      <c r="A37" s="475" t="s">
        <v>187</v>
      </c>
      <c r="B37" s="339" t="s">
        <v>153</v>
      </c>
      <c r="C37" s="466">
        <f t="array" ref="C37">((SUM(IF((CkDJ[Account Code]=(TRIM($B37)))*(CkDJ[Date]&lt;=$C$8),CkDJ[Credit])))+(SUM(IF((CsDJ[Account Code]=(TRIM($B37)))*(CsDJ[Date]&lt;=$C$8),CsDJ[Credit])))+(SUM(IF((CRDJ[Account Code]=(TRIM($B37)))*(CRDJ[Date]&lt;=$C$8),CRDJ[Credit])))+(SUM(IF((GJ[Account Code]=(TRIM($B37)))*(GJ[Date]&lt;=$C$8),GJ[Credit]))))-((SUM(IF((CkDJ[Account Code]=(TRIM($B37)))*(CkDJ[Date]&lt;=$C$8),CkDJ[Debit])))+(SUM(IF((CsDJ[Account Code]=(TRIM($B37)))*(CsDJ[Date]&lt;=$C$8),CsDJ[Debit])))+(SUM(IF((CRDJ[Account Code]=(TRIM($B37)))*(CRDJ[Date]&lt;=$C$8),CRDJ[Debit])))+(SUM(IF((GJ[Account Code]=(TRIM($B37)))*(GJ[Date]&lt;=$C$8),GJ[Debit]))))</f>
        <v>0</v>
      </c>
      <c r="D37" s="466">
        <f t="array" ref="D37">((SUM(IF((CkDJ[Date]=$A$4)*(CkDJ[Account Code]=(TRIM($B37))),CkDJ[Credit])))+(SUM(IF((CsDJ[Date]=$A$4)*(CsDJ[Account Code]=(TRIM($B37))),CsDJ[Credit])))+(SUM(IF((CRDJ[Date]=$A$4)*(CRDJ[Account Code]=(TRIM($B37))),CRDJ[Credit])))+(SUM(IF((GJ[Date]=$A$4)*(GJ[Account Code]=(TRIM($B37))),GJ[Credit]))))-((SUM(IF((CkDJ[Date]=$A$4)*(CkDJ[Account Code]=(TRIM($B37))),CkDJ[Debit])))+(SUM(IF((CsDJ[Date]=$A$4)*(CsDJ[Account Code]=(TRIM($B37))),CsDJ[Debit])))+(SUM(IF((CRDJ[Date]=$A$4)*(CRDJ[Account Code]=(TRIM($B37))),CRDJ[Debit])))+(SUM(IF((GJ[Date]=$A$4)*(GJ[Account Code]=(TRIM($B37))),GJ[Debit]))))</f>
        <v>0</v>
      </c>
      <c r="E37" s="467">
        <f t="shared" si="0"/>
        <v>0</v>
      </c>
    </row>
    <row r="38" spans="1:5" x14ac:dyDescent="0.2">
      <c r="A38" s="475" t="s">
        <v>188</v>
      </c>
      <c r="B38" s="339" t="s">
        <v>154</v>
      </c>
      <c r="C38" s="466">
        <f t="array" ref="C38">((SUM(IF((CkDJ[Account Code]=(TRIM($B38)))*(CkDJ[Date]&lt;=$C$8),CkDJ[Credit])))+(SUM(IF((CsDJ[Account Code]=(TRIM($B38)))*(CsDJ[Date]&lt;=$C$8),CsDJ[Credit])))+(SUM(IF((CRDJ[Account Code]=(TRIM($B38)))*(CRDJ[Date]&lt;=$C$8),CRDJ[Credit])))+(SUM(IF((GJ[Account Code]=(TRIM($B38)))*(GJ[Date]&lt;=$C$8),GJ[Credit]))))-((SUM(IF((CkDJ[Account Code]=(TRIM($B38)))*(CkDJ[Date]&lt;=$C$8),CkDJ[Debit])))+(SUM(IF((CsDJ[Account Code]=(TRIM($B38)))*(CsDJ[Date]&lt;=$C$8),CsDJ[Debit])))+(SUM(IF((CRDJ[Account Code]=(TRIM($B38)))*(CRDJ[Date]&lt;=$C$8),CRDJ[Debit])))+(SUM(IF((GJ[Account Code]=(TRIM($B38)))*(GJ[Date]&lt;=$C$8),GJ[Debit]))))</f>
        <v>0</v>
      </c>
      <c r="D38" s="466">
        <f t="array" ref="D38">((SUM(IF((CkDJ[Date]=$A$4)*(CkDJ[Account Code]=(TRIM($B38))),CkDJ[Credit])))+(SUM(IF((CsDJ[Date]=$A$4)*(CsDJ[Account Code]=(TRIM($B38))),CsDJ[Credit])))+(SUM(IF((CRDJ[Date]=$A$4)*(CRDJ[Account Code]=(TRIM($B38))),CRDJ[Credit])))+(SUM(IF((GJ[Date]=$A$4)*(GJ[Account Code]=(TRIM($B38))),GJ[Credit]))))-((SUM(IF((CkDJ[Date]=$A$4)*(CkDJ[Account Code]=(TRIM($B38))),CkDJ[Debit])))+(SUM(IF((CsDJ[Date]=$A$4)*(CsDJ[Account Code]=(TRIM($B38))),CsDJ[Debit])))+(SUM(IF((CRDJ[Date]=$A$4)*(CRDJ[Account Code]=(TRIM($B38))),CRDJ[Debit])))+(SUM(IF((GJ[Date]=$A$4)*(GJ[Account Code]=(TRIM($B38))),GJ[Debit]))))</f>
        <v>0</v>
      </c>
      <c r="E38" s="467">
        <f t="shared" si="0"/>
        <v>0</v>
      </c>
    </row>
    <row r="39" spans="1:5" x14ac:dyDescent="0.2">
      <c r="A39" s="475" t="s">
        <v>189</v>
      </c>
      <c r="B39" s="339" t="s">
        <v>155</v>
      </c>
      <c r="C39" s="466">
        <f t="array" ref="C39">((SUM(IF((CkDJ[Account Code]=(TRIM($B39)))*(CkDJ[Date]&lt;=$C$8),CkDJ[Credit])))+(SUM(IF((CsDJ[Account Code]=(TRIM($B39)))*(CsDJ[Date]&lt;=$C$8),CsDJ[Credit])))+(SUM(IF((CRDJ[Account Code]=(TRIM($B39)))*(CRDJ[Date]&lt;=$C$8),CRDJ[Credit])))+(SUM(IF((GJ[Account Code]=(TRIM($B39)))*(GJ[Date]&lt;=$C$8),GJ[Credit]))))-((SUM(IF((CkDJ[Account Code]=(TRIM($B39)))*(CkDJ[Date]&lt;=$C$8),CkDJ[Debit])))+(SUM(IF((CsDJ[Account Code]=(TRIM($B39)))*(CsDJ[Date]&lt;=$C$8),CsDJ[Debit])))+(SUM(IF((CRDJ[Account Code]=(TRIM($B39)))*(CRDJ[Date]&lt;=$C$8),CRDJ[Debit])))+(SUM(IF((GJ[Account Code]=(TRIM($B39)))*(GJ[Date]&lt;=$C$8),GJ[Debit]))))</f>
        <v>0</v>
      </c>
      <c r="D39" s="466">
        <f t="array" ref="D39">((SUM(IF((CkDJ[Date]=$A$4)*(CkDJ[Account Code]=(TRIM($B39))),CkDJ[Credit])))+(SUM(IF((CsDJ[Date]=$A$4)*(CsDJ[Account Code]=(TRIM($B39))),CsDJ[Credit])))+(SUM(IF((CRDJ[Date]=$A$4)*(CRDJ[Account Code]=(TRIM($B39))),CRDJ[Credit])))+(SUM(IF((GJ[Date]=$A$4)*(GJ[Account Code]=(TRIM($B39))),GJ[Credit]))))-((SUM(IF((CkDJ[Date]=$A$4)*(CkDJ[Account Code]=(TRIM($B39))),CkDJ[Debit])))+(SUM(IF((CsDJ[Date]=$A$4)*(CsDJ[Account Code]=(TRIM($B39))),CsDJ[Debit])))+(SUM(IF((CRDJ[Date]=$A$4)*(CRDJ[Account Code]=(TRIM($B39))),CRDJ[Debit])))+(SUM(IF((GJ[Date]=$A$4)*(GJ[Account Code]=(TRIM($B39))),GJ[Debit]))))</f>
        <v>0</v>
      </c>
      <c r="E39" s="467">
        <f t="shared" si="0"/>
        <v>0</v>
      </c>
    </row>
    <row r="40" spans="1:5" x14ac:dyDescent="0.2">
      <c r="A40" s="475" t="s">
        <v>1271</v>
      </c>
      <c r="B40" s="339" t="s">
        <v>156</v>
      </c>
      <c r="C40" s="466">
        <f t="array" ref="C40">((SUM(IF((CkDJ[Account Code]=(TRIM($B40)))*(CkDJ[Date]&lt;=$C$8),CkDJ[Credit])))+(SUM(IF((CsDJ[Account Code]=(TRIM($B40)))*(CsDJ[Date]&lt;=$C$8),CsDJ[Credit])))+(SUM(IF((CRDJ[Account Code]=(TRIM($B40)))*(CRDJ[Date]&lt;=$C$8),CRDJ[Credit])))+(SUM(IF((GJ[Account Code]=(TRIM($B40)))*(GJ[Date]&lt;=$C$8),GJ[Credit]))))-((SUM(IF((CkDJ[Account Code]=(TRIM($B40)))*(CkDJ[Date]&lt;=$C$8),CkDJ[Debit])))+(SUM(IF((CsDJ[Account Code]=(TRIM($B40)))*(CsDJ[Date]&lt;=$C$8),CsDJ[Debit])))+(SUM(IF((CRDJ[Account Code]=(TRIM($B40)))*(CRDJ[Date]&lt;=$C$8),CRDJ[Debit])))+(SUM(IF((GJ[Account Code]=(TRIM($B40)))*(GJ[Date]&lt;=$C$8),GJ[Debit]))))</f>
        <v>0</v>
      </c>
      <c r="D40" s="466">
        <f t="array" ref="D40">((SUM(IF((CkDJ[Date]=$A$4)*(CkDJ[Account Code]=(TRIM($B40))),CkDJ[Credit])))+(SUM(IF((CsDJ[Date]=$A$4)*(CsDJ[Account Code]=(TRIM($B40))),CsDJ[Credit])))+(SUM(IF((CRDJ[Date]=$A$4)*(CRDJ[Account Code]=(TRIM($B40))),CRDJ[Credit])))+(SUM(IF((GJ[Date]=$A$4)*(GJ[Account Code]=(TRIM($B40))),GJ[Credit]))))-((SUM(IF((CkDJ[Date]=$A$4)*(CkDJ[Account Code]=(TRIM($B40))),CkDJ[Debit])))+(SUM(IF((CsDJ[Date]=$A$4)*(CsDJ[Account Code]=(TRIM($B40))),CsDJ[Debit])))+(SUM(IF((CRDJ[Date]=$A$4)*(CRDJ[Account Code]=(TRIM($B40))),CRDJ[Debit])))+(SUM(IF((GJ[Date]=$A$4)*(GJ[Account Code]=(TRIM($B40))),GJ[Debit]))))</f>
        <v>0</v>
      </c>
      <c r="E40" s="467">
        <f>C40+D40</f>
        <v>0</v>
      </c>
    </row>
    <row r="41" spans="1:5" x14ac:dyDescent="0.2">
      <c r="A41" s="475" t="s">
        <v>190</v>
      </c>
      <c r="B41" s="339" t="s">
        <v>157</v>
      </c>
      <c r="C41" s="466">
        <f t="array" ref="C41">((SUM(IF((CkDJ[Account Code]=(TRIM($B41)))*(CkDJ[Date]&lt;=$C$8),CkDJ[Credit])))+(SUM(IF((CsDJ[Account Code]=(TRIM($B41)))*(CsDJ[Date]&lt;=$C$8),CsDJ[Credit])))+(SUM(IF((CRDJ[Account Code]=(TRIM($B41)))*(CRDJ[Date]&lt;=$C$8),CRDJ[Credit])))+(SUM(IF((GJ[Account Code]=(TRIM($B41)))*(GJ[Date]&lt;=$C$8),GJ[Credit]))))-((SUM(IF((CkDJ[Account Code]=(TRIM($B41)))*(CkDJ[Date]&lt;=$C$8),CkDJ[Debit])))+(SUM(IF((CsDJ[Account Code]=(TRIM($B41)))*(CsDJ[Date]&lt;=$C$8),CsDJ[Debit])))+(SUM(IF((CRDJ[Account Code]=(TRIM($B41)))*(CRDJ[Date]&lt;=$C$8),CRDJ[Debit])))+(SUM(IF((GJ[Account Code]=(TRIM($B41)))*(GJ[Date]&lt;=$C$8),GJ[Debit]))))</f>
        <v>0</v>
      </c>
      <c r="D41" s="466">
        <f t="array" ref="D41">((SUM(IF((CkDJ[Date]=$A$4)*(CkDJ[Account Code]=(TRIM($B41))),CkDJ[Credit])))+(SUM(IF((CsDJ[Date]=$A$4)*(CsDJ[Account Code]=(TRIM($B41))),CsDJ[Credit])))+(SUM(IF((CRDJ[Date]=$A$4)*(CRDJ[Account Code]=(TRIM($B41))),CRDJ[Credit])))+(SUM(IF((GJ[Date]=$A$4)*(GJ[Account Code]=(TRIM($B41))),GJ[Credit]))))-((SUM(IF((CkDJ[Date]=$A$4)*(CkDJ[Account Code]=(TRIM($B41))),CkDJ[Debit])))+(SUM(IF((CsDJ[Date]=$A$4)*(CsDJ[Account Code]=(TRIM($B41))),CsDJ[Debit])))+(SUM(IF((CRDJ[Date]=$A$4)*(CRDJ[Account Code]=(TRIM($B41))),CRDJ[Debit])))+(SUM(IF((GJ[Date]=$A$4)*(GJ[Account Code]=(TRIM($B41))),GJ[Debit]))))</f>
        <v>0</v>
      </c>
      <c r="E41" s="467">
        <f t="shared" si="0"/>
        <v>0</v>
      </c>
    </row>
    <row r="42" spans="1:5" x14ac:dyDescent="0.2">
      <c r="A42" s="475" t="s">
        <v>192</v>
      </c>
      <c r="B42" s="339" t="s">
        <v>159</v>
      </c>
      <c r="C42" s="466">
        <f t="array" ref="C42">((SUM(IF((CkDJ[Account Code]=(TRIM($B42)))*(CkDJ[Date]&lt;=$C$8),CkDJ[Credit])))+(SUM(IF((CsDJ[Account Code]=(TRIM($B42)))*(CsDJ[Date]&lt;=$C$8),CsDJ[Credit])))+(SUM(IF((CRDJ[Account Code]=(TRIM($B42)))*(CRDJ[Date]&lt;=$C$8),CRDJ[Credit])))+(SUM(IF((GJ[Account Code]=(TRIM($B42)))*(GJ[Date]&lt;=$C$8),GJ[Credit]))))-((SUM(IF((CkDJ[Account Code]=(TRIM($B42)))*(CkDJ[Date]&lt;=$C$8),CkDJ[Debit])))+(SUM(IF((CsDJ[Account Code]=(TRIM($B42)))*(CsDJ[Date]&lt;=$C$8),CsDJ[Debit])))+(SUM(IF((CRDJ[Account Code]=(TRIM($B42)))*(CRDJ[Date]&lt;=$C$8),CRDJ[Debit])))+(SUM(IF((GJ[Account Code]=(TRIM($B42)))*(GJ[Date]&lt;=$C$8),GJ[Debit]))))</f>
        <v>0</v>
      </c>
      <c r="D42" s="466">
        <f t="array" ref="D42">((SUM(IF((CkDJ[Date]=$A$4)*(CkDJ[Account Code]=(TRIM($B42))),CkDJ[Credit])))+(SUM(IF((CsDJ[Date]=$A$4)*(CsDJ[Account Code]=(TRIM($B42))),CsDJ[Credit])))+(SUM(IF((CRDJ[Date]=$A$4)*(CRDJ[Account Code]=(TRIM($B42))),CRDJ[Credit])))+(SUM(IF((GJ[Date]=$A$4)*(GJ[Account Code]=(TRIM($B42))),GJ[Credit]))))-((SUM(IF((CkDJ[Date]=$A$4)*(CkDJ[Account Code]=(TRIM($B42))),CkDJ[Debit])))+(SUM(IF((CsDJ[Date]=$A$4)*(CsDJ[Account Code]=(TRIM($B42))),CsDJ[Debit])))+(SUM(IF((CRDJ[Date]=$A$4)*(CRDJ[Account Code]=(TRIM($B42))),CRDJ[Debit])))+(SUM(IF((GJ[Date]=$A$4)*(GJ[Account Code]=(TRIM($B42))),GJ[Debit]))))</f>
        <v>0</v>
      </c>
      <c r="E42" s="467">
        <f t="shared" si="0"/>
        <v>0</v>
      </c>
    </row>
    <row r="43" spans="1:5" x14ac:dyDescent="0.2">
      <c r="A43" s="475" t="s">
        <v>193</v>
      </c>
      <c r="B43" s="339" t="s">
        <v>160</v>
      </c>
      <c r="C43" s="466">
        <f t="array" ref="C43">((SUM(IF((CkDJ[Account Code]=(TRIM($B43)))*(CkDJ[Date]&lt;=$C$8),CkDJ[Credit])))+(SUM(IF((CsDJ[Account Code]=(TRIM($B43)))*(CsDJ[Date]&lt;=$C$8),CsDJ[Credit])))+(SUM(IF((CRDJ[Account Code]=(TRIM($B43)))*(CRDJ[Date]&lt;=$C$8),CRDJ[Credit])))+(SUM(IF((GJ[Account Code]=(TRIM($B43)))*(GJ[Date]&lt;=$C$8),GJ[Credit]))))-((SUM(IF((CkDJ[Account Code]=(TRIM($B43)))*(CkDJ[Date]&lt;=$C$8),CkDJ[Debit])))+(SUM(IF((CsDJ[Account Code]=(TRIM($B43)))*(CsDJ[Date]&lt;=$C$8),CsDJ[Debit])))+(SUM(IF((CRDJ[Account Code]=(TRIM($B43)))*(CRDJ[Date]&lt;=$C$8),CRDJ[Debit])))+(SUM(IF((GJ[Account Code]=(TRIM($B43)))*(GJ[Date]&lt;=$C$8),GJ[Debit]))))</f>
        <v>0</v>
      </c>
      <c r="D43" s="466">
        <f t="array" ref="D43">((SUM(IF((CkDJ[Date]=$A$4)*(CkDJ[Account Code]=(TRIM($B43))),CkDJ[Credit])))+(SUM(IF((CsDJ[Date]=$A$4)*(CsDJ[Account Code]=(TRIM($B43))),CsDJ[Credit])))+(SUM(IF((CRDJ[Date]=$A$4)*(CRDJ[Account Code]=(TRIM($B43))),CRDJ[Credit])))+(SUM(IF((GJ[Date]=$A$4)*(GJ[Account Code]=(TRIM($B43))),GJ[Credit]))))-((SUM(IF((CkDJ[Date]=$A$4)*(CkDJ[Account Code]=(TRIM($B43))),CkDJ[Debit])))+(SUM(IF((CsDJ[Date]=$A$4)*(CsDJ[Account Code]=(TRIM($B43))),CsDJ[Debit])))+(SUM(IF((CRDJ[Date]=$A$4)*(CRDJ[Account Code]=(TRIM($B43))),CRDJ[Debit])))+(SUM(IF((GJ[Date]=$A$4)*(GJ[Account Code]=(TRIM($B43))),GJ[Debit]))))</f>
        <v>0</v>
      </c>
      <c r="E43" s="467">
        <f t="shared" si="0"/>
        <v>0</v>
      </c>
    </row>
    <row r="44" spans="1:5" x14ac:dyDescent="0.2">
      <c r="A44" s="475" t="s">
        <v>191</v>
      </c>
      <c r="B44" s="339" t="s">
        <v>161</v>
      </c>
      <c r="C44" s="466">
        <f t="array" ref="C44">((SUM(IF((CkDJ[Account Code]=(TRIM($B44)))*(CkDJ[Date]&lt;=$C$8),CkDJ[Credit])))+(SUM(IF((CsDJ[Account Code]=(TRIM($B44)))*(CsDJ[Date]&lt;=$C$8),CsDJ[Credit])))+(SUM(IF((CRDJ[Account Code]=(TRIM($B44)))*(CRDJ[Date]&lt;=$C$8),CRDJ[Credit])))+(SUM(IF((GJ[Account Code]=(TRIM($B44)))*(GJ[Date]&lt;=$C$8),GJ[Credit]))))-((SUM(IF((CkDJ[Account Code]=(TRIM($B44)))*(CkDJ[Date]&lt;=$C$8),CkDJ[Debit])))+(SUM(IF((CsDJ[Account Code]=(TRIM($B44)))*(CsDJ[Date]&lt;=$C$8),CsDJ[Debit])))+(SUM(IF((CRDJ[Account Code]=(TRIM($B44)))*(CRDJ[Date]&lt;=$C$8),CRDJ[Debit])))+(SUM(IF((GJ[Account Code]=(TRIM($B44)))*(GJ[Date]&lt;=$C$8),GJ[Debit]))))</f>
        <v>0</v>
      </c>
      <c r="D44" s="466">
        <f t="array" ref="D44">((SUM(IF((CkDJ[Date]=$A$4)*(CkDJ[Account Code]=(TRIM($B44))),CkDJ[Credit])))+(SUM(IF((CsDJ[Date]=$A$4)*(CsDJ[Account Code]=(TRIM($B44))),CsDJ[Credit])))+(SUM(IF((CRDJ[Date]=$A$4)*(CRDJ[Account Code]=(TRIM($B44))),CRDJ[Credit])))+(SUM(IF((GJ[Date]=$A$4)*(GJ[Account Code]=(TRIM($B44))),GJ[Credit]))))-((SUM(IF((CkDJ[Date]=$A$4)*(CkDJ[Account Code]=(TRIM($B44))),CkDJ[Debit])))+(SUM(IF((CsDJ[Date]=$A$4)*(CsDJ[Account Code]=(TRIM($B44))),CsDJ[Debit])))+(SUM(IF((CRDJ[Date]=$A$4)*(CRDJ[Account Code]=(TRIM($B44))),CRDJ[Debit])))+(SUM(IF((GJ[Date]=$A$4)*(GJ[Account Code]=(TRIM($B44))),GJ[Debit]))))</f>
        <v>0</v>
      </c>
      <c r="E44" s="467">
        <f t="shared" si="0"/>
        <v>0</v>
      </c>
    </row>
    <row r="45" spans="1:5" x14ac:dyDescent="0.2">
      <c r="A45" s="468" t="s">
        <v>1171</v>
      </c>
      <c r="B45" s="469"/>
      <c r="C45" s="470">
        <f>C10+C16+C20+C25+C26+C31+C35</f>
        <v>0</v>
      </c>
      <c r="D45" s="470">
        <f>D10+D16+D20+D25+D26+D31+D35</f>
        <v>0</v>
      </c>
      <c r="E45" s="470">
        <f>E10+E16+E20+E25+E26+E31+E35</f>
        <v>0</v>
      </c>
    </row>
    <row r="46" spans="1:5" x14ac:dyDescent="0.2">
      <c r="A46" s="471" t="s">
        <v>812</v>
      </c>
      <c r="B46" s="339"/>
      <c r="C46" s="472"/>
      <c r="D46" s="472"/>
      <c r="E46" s="479"/>
    </row>
    <row r="47" spans="1:5" x14ac:dyDescent="0.2">
      <c r="A47" s="471" t="s">
        <v>811</v>
      </c>
      <c r="B47" s="339"/>
      <c r="C47" s="474">
        <f>SUM(C48:C72)</f>
        <v>0</v>
      </c>
      <c r="D47" s="474">
        <f>SUM(D48:D72)</f>
        <v>0</v>
      </c>
      <c r="E47" s="474">
        <f>SUM(E48:E72)</f>
        <v>0</v>
      </c>
    </row>
    <row r="48" spans="1:5" x14ac:dyDescent="0.2">
      <c r="A48" s="476" t="s">
        <v>194</v>
      </c>
      <c r="B48" s="339" t="s">
        <v>162</v>
      </c>
      <c r="C48" s="466">
        <f t="array" ref="C48">((SUM(IF((CkDJ[Account Code]=(TRIM($B48)))*(CkDJ[Date]&lt;=$C$8),CkDJ[Debit])))+(SUM(IF((CsDJ[Account Code]=(TRIM($B48)))*(CsDJ[Date]&lt;=$C$8),CsDJ[Debit])))+(SUM(IF((CRDJ[Account Code]=(TRIM($B48)))*(CRDJ[Date]&lt;=$C$8),CRDJ[Debit])))+(SUM(IF((GJ[Account Code]=(TRIM($B48)))*(GJ[Date]&lt;=$C$8),GJ[Debit]))))-((SUM(IF((CkDJ[Account Code]=(TRIM($B48)))*(CkDJ[Date]&lt;=$C$8),CkDJ[Credit])))+(SUM(IF((CsDJ[Account Code]=(TRIM($B48)))*(CsDJ[Date]&lt;=$C$8),CsDJ[Credit])))+(SUM(IF((CRDJ[Account Code]=(TRIM($B48)))*(CRDJ[Date]&lt;=$C$8),CRDJ[Credit])))+(SUM(IF((GJ[Account Code]=(TRIM($B48)))*(GJ[Date]&lt;=$C$8),GJ[Credit]))))</f>
        <v>0</v>
      </c>
      <c r="D48" s="466">
        <f t="array" ref="D48">((SUM(IF((CkDJ[Date]=$A$4)*(CkDJ[Account Code]=(TRIM($B48))),CkDJ[Debit])))+(SUM(IF((CsDJ[Date]=$A$4)*(CsDJ[Account Code]=(TRIM($B48))),CsDJ[Debit])))+(SUM(IF((CRDJ[Date]=$A$4)*(CRDJ[Account Code]=(TRIM($B48))),CRDJ[Debit])))+(SUM(IF((GJ[Date]=$A$4)*(GJ[Account Code]=(TRIM($B48))),GJ[Debit]))))-((SUM(IF((CkDJ[Date]=$A$4)*(CkDJ[Account Code]=(TRIM($B48))),CkDJ[Credit])))+(SUM(IF((CsDJ[Date]=$A$4)*(CsDJ[Account Code]=(TRIM($B48))),CsDJ[Credit])))+(SUM(IF((CRDJ[Date]=$A$4)*(CRDJ[Account Code]=(TRIM($B48))),CRDJ[Credit])))+(SUM(IF((GJ[Date]=$A$4)*(GJ[Account Code]=(TRIM($B48))),GJ[Credit]))))</f>
        <v>0</v>
      </c>
      <c r="E48" s="467">
        <f t="shared" ref="E48:E69" si="1">C48+D48</f>
        <v>0</v>
      </c>
    </row>
    <row r="49" spans="1:5" x14ac:dyDescent="0.2">
      <c r="A49" s="476" t="s">
        <v>195</v>
      </c>
      <c r="B49" s="339" t="s">
        <v>163</v>
      </c>
      <c r="C49" s="466">
        <f t="array" ref="C49">((SUM(IF((CkDJ[Account Code]=(TRIM($B49)))*(CkDJ[Date]&lt;=$C$8),CkDJ[Debit])))+(SUM(IF((CsDJ[Account Code]=(TRIM($B49)))*(CsDJ[Date]&lt;=$C$8),CsDJ[Debit])))+(SUM(IF((CRDJ[Account Code]=(TRIM($B49)))*(CRDJ[Date]&lt;=$C$8),CRDJ[Debit])))+(SUM(IF((GJ[Account Code]=(TRIM($B49)))*(GJ[Date]&lt;=$C$8),GJ[Debit]))))-((SUM(IF((CkDJ[Account Code]=(TRIM($B49)))*(CkDJ[Date]&lt;=$C$8),CkDJ[Credit])))+(SUM(IF((CsDJ[Account Code]=(TRIM($B49)))*(CsDJ[Date]&lt;=$C$8),CsDJ[Credit])))+(SUM(IF((CRDJ[Account Code]=(TRIM($B49)))*(CRDJ[Date]&lt;=$C$8),CRDJ[Credit])))+(SUM(IF((GJ[Account Code]=(TRIM($B49)))*(GJ[Date]&lt;=$C$8),GJ[Credit]))))</f>
        <v>0</v>
      </c>
      <c r="D49" s="466">
        <f t="array" ref="D49">((SUM(IF((CkDJ[Date]=$A$4)*(CkDJ[Account Code]=(TRIM($B49))),CkDJ[Debit])))+(SUM(IF((CsDJ[Date]=$A$4)*(CsDJ[Account Code]=(TRIM($B49))),CsDJ[Debit])))+(SUM(IF((CRDJ[Date]=$A$4)*(CRDJ[Account Code]=(TRIM($B49))),CRDJ[Debit])))+(SUM(IF((GJ[Date]=$A$4)*(GJ[Account Code]=(TRIM($B49))),GJ[Debit]))))-((SUM(IF((CkDJ[Date]=$A$4)*(CkDJ[Account Code]=(TRIM($B49))),CkDJ[Credit])))+(SUM(IF((CsDJ[Date]=$A$4)*(CsDJ[Account Code]=(TRIM($B49))),CsDJ[Credit])))+(SUM(IF((CRDJ[Date]=$A$4)*(CRDJ[Account Code]=(TRIM($B49))),CRDJ[Credit])))+(SUM(IF((GJ[Date]=$A$4)*(GJ[Account Code]=(TRIM($B49))),GJ[Credit]))))</f>
        <v>0</v>
      </c>
      <c r="E49" s="467">
        <f t="shared" si="1"/>
        <v>0</v>
      </c>
    </row>
    <row r="50" spans="1:5" x14ac:dyDescent="0.2">
      <c r="A50" s="476" t="s">
        <v>196</v>
      </c>
      <c r="B50" s="339" t="s">
        <v>1013</v>
      </c>
      <c r="C50" s="466">
        <f t="array" ref="C50">((SUM(IF((CkDJ[Account Code]=(TRIM($B50)))*(CkDJ[Date]&lt;=$C$8),CkDJ[Debit])))+(SUM(IF((CsDJ[Account Code]=(TRIM($B50)))*(CsDJ[Date]&lt;=$C$8),CsDJ[Debit])))+(SUM(IF((CRDJ[Account Code]=(TRIM($B50)))*(CRDJ[Date]&lt;=$C$8),CRDJ[Debit])))+(SUM(IF((GJ[Account Code]=(TRIM($B50)))*(GJ[Date]&lt;=$C$8),GJ[Debit]))))-((SUM(IF((CkDJ[Account Code]=(TRIM($B50)))*(CkDJ[Date]&lt;=$C$8),CkDJ[Credit])))+(SUM(IF((CsDJ[Account Code]=(TRIM($B50)))*(CsDJ[Date]&lt;=$C$8),CsDJ[Credit])))+(SUM(IF((CRDJ[Account Code]=(TRIM($B50)))*(CRDJ[Date]&lt;=$C$8),CRDJ[Credit])))+(SUM(IF((GJ[Account Code]=(TRIM($B50)))*(GJ[Date]&lt;=$C$8),GJ[Credit]))))</f>
        <v>0</v>
      </c>
      <c r="D50" s="466">
        <f t="array" ref="D50">((SUM(IF((CkDJ[Date]=$A$4)*(CkDJ[Account Code]=(TRIM($B50))),CkDJ[Debit])))+(SUM(IF((CsDJ[Date]=$A$4)*(CsDJ[Account Code]=(TRIM($B50))),CsDJ[Debit])))+(SUM(IF((CRDJ[Date]=$A$4)*(CRDJ[Account Code]=(TRIM($B50))),CRDJ[Debit])))+(SUM(IF((GJ[Date]=$A$4)*(GJ[Account Code]=(TRIM($B50))),GJ[Debit]))))-((SUM(IF((CkDJ[Date]=$A$4)*(CkDJ[Account Code]=(TRIM($B50))),CkDJ[Credit])))+(SUM(IF((CsDJ[Date]=$A$4)*(CsDJ[Account Code]=(TRIM($B50))),CsDJ[Credit])))+(SUM(IF((CRDJ[Date]=$A$4)*(CRDJ[Account Code]=(TRIM($B50))),CRDJ[Credit])))+(SUM(IF((GJ[Date]=$A$4)*(GJ[Account Code]=(TRIM($B50))),GJ[Credit]))))</f>
        <v>0</v>
      </c>
      <c r="E50" s="467">
        <f t="shared" si="1"/>
        <v>0</v>
      </c>
    </row>
    <row r="51" spans="1:5" x14ac:dyDescent="0.2">
      <c r="A51" s="476" t="s">
        <v>197</v>
      </c>
      <c r="B51" s="339" t="s">
        <v>164</v>
      </c>
      <c r="C51" s="466">
        <f t="array" ref="C51">((SUM(IF((CkDJ[Account Code]=(TRIM($B51)))*(CkDJ[Date]&lt;=$C$8),CkDJ[Debit])))+(SUM(IF((CsDJ[Account Code]=(TRIM($B51)))*(CsDJ[Date]&lt;=$C$8),CsDJ[Debit])))+(SUM(IF((CRDJ[Account Code]=(TRIM($B51)))*(CRDJ[Date]&lt;=$C$8),CRDJ[Debit])))+(SUM(IF((GJ[Account Code]=(TRIM($B51)))*(GJ[Date]&lt;=$C$8),GJ[Debit]))))-((SUM(IF((CkDJ[Account Code]=(TRIM($B51)))*(CkDJ[Date]&lt;=$C$8),CkDJ[Credit])))+(SUM(IF((CsDJ[Account Code]=(TRIM($B51)))*(CsDJ[Date]&lt;=$C$8),CsDJ[Credit])))+(SUM(IF((CRDJ[Account Code]=(TRIM($B51)))*(CRDJ[Date]&lt;=$C$8),CRDJ[Credit])))+(SUM(IF((GJ[Account Code]=(TRIM($B51)))*(GJ[Date]&lt;=$C$8),GJ[Credit]))))</f>
        <v>0</v>
      </c>
      <c r="D51" s="466">
        <f t="array" ref="D51">((SUM(IF((CkDJ[Date]=$A$4)*(CkDJ[Account Code]=(TRIM($B51))),CkDJ[Debit])))+(SUM(IF((CsDJ[Date]=$A$4)*(CsDJ[Account Code]=(TRIM($B51))),CsDJ[Debit])))+(SUM(IF((CRDJ[Date]=$A$4)*(CRDJ[Account Code]=(TRIM($B51))),CRDJ[Debit])))+(SUM(IF((GJ[Date]=$A$4)*(GJ[Account Code]=(TRIM($B51))),GJ[Debit]))))-((SUM(IF((CkDJ[Date]=$A$4)*(CkDJ[Account Code]=(TRIM($B51))),CkDJ[Credit])))+(SUM(IF((CsDJ[Date]=$A$4)*(CsDJ[Account Code]=(TRIM($B51))),CsDJ[Credit])))+(SUM(IF((CRDJ[Date]=$A$4)*(CRDJ[Account Code]=(TRIM($B51))),CRDJ[Credit])))+(SUM(IF((GJ[Date]=$A$4)*(GJ[Account Code]=(TRIM($B51))),GJ[Credit]))))</f>
        <v>0</v>
      </c>
      <c r="E51" s="467">
        <f t="shared" si="1"/>
        <v>0</v>
      </c>
    </row>
    <row r="52" spans="1:5" x14ac:dyDescent="0.2">
      <c r="A52" s="476" t="s">
        <v>198</v>
      </c>
      <c r="B52" s="339" t="s">
        <v>165</v>
      </c>
      <c r="C52" s="466">
        <f t="array" ref="C52">((SUM(IF((CkDJ[Account Code]=(TRIM($B52)))*(CkDJ[Date]&lt;=$C$8),CkDJ[Debit])))+(SUM(IF((CsDJ[Account Code]=(TRIM($B52)))*(CsDJ[Date]&lt;=$C$8),CsDJ[Debit])))+(SUM(IF((CRDJ[Account Code]=(TRIM($B52)))*(CRDJ[Date]&lt;=$C$8),CRDJ[Debit])))+(SUM(IF((GJ[Account Code]=(TRIM($B52)))*(GJ[Date]&lt;=$C$8),GJ[Debit]))))-((SUM(IF((CkDJ[Account Code]=(TRIM($B52)))*(CkDJ[Date]&lt;=$C$8),CkDJ[Credit])))+(SUM(IF((CsDJ[Account Code]=(TRIM($B52)))*(CsDJ[Date]&lt;=$C$8),CsDJ[Credit])))+(SUM(IF((CRDJ[Account Code]=(TRIM($B52)))*(CRDJ[Date]&lt;=$C$8),CRDJ[Credit])))+(SUM(IF((GJ[Account Code]=(TRIM($B52)))*(GJ[Date]&lt;=$C$8),GJ[Credit]))))</f>
        <v>0</v>
      </c>
      <c r="D52" s="466">
        <f t="array" ref="D52">((SUM(IF((CkDJ[Date]=$A$4)*(CkDJ[Account Code]=(TRIM($B52))),CkDJ[Debit])))+(SUM(IF((CsDJ[Date]=$A$4)*(CsDJ[Account Code]=(TRIM($B52))),CsDJ[Debit])))+(SUM(IF((CRDJ[Date]=$A$4)*(CRDJ[Account Code]=(TRIM($B52))),CRDJ[Debit])))+(SUM(IF((GJ[Date]=$A$4)*(GJ[Account Code]=(TRIM($B52))),GJ[Debit]))))-((SUM(IF((CkDJ[Date]=$A$4)*(CkDJ[Account Code]=(TRIM($B52))),CkDJ[Credit])))+(SUM(IF((CsDJ[Date]=$A$4)*(CsDJ[Account Code]=(TRIM($B52))),CsDJ[Credit])))+(SUM(IF((CRDJ[Date]=$A$4)*(CRDJ[Account Code]=(TRIM($B52))),CRDJ[Credit])))+(SUM(IF((GJ[Date]=$A$4)*(GJ[Account Code]=(TRIM($B52))),GJ[Credit]))))</f>
        <v>0</v>
      </c>
      <c r="E52" s="467">
        <f t="shared" si="1"/>
        <v>0</v>
      </c>
    </row>
    <row r="53" spans="1:5" x14ac:dyDescent="0.2">
      <c r="A53" s="476" t="s">
        <v>199</v>
      </c>
      <c r="B53" s="339" t="s">
        <v>166</v>
      </c>
      <c r="C53" s="466">
        <f t="array" ref="C53">((SUM(IF((CkDJ[Account Code]=(TRIM($B53)))*(CkDJ[Date]&lt;=$C$8),CkDJ[Debit])))+(SUM(IF((CsDJ[Account Code]=(TRIM($B53)))*(CsDJ[Date]&lt;=$C$8),CsDJ[Debit])))+(SUM(IF((CRDJ[Account Code]=(TRIM($B53)))*(CRDJ[Date]&lt;=$C$8),CRDJ[Debit])))+(SUM(IF((GJ[Account Code]=(TRIM($B53)))*(GJ[Date]&lt;=$C$8),GJ[Debit]))))-((SUM(IF((CkDJ[Account Code]=(TRIM($B53)))*(CkDJ[Date]&lt;=$C$8),CkDJ[Credit])))+(SUM(IF((CsDJ[Account Code]=(TRIM($B53)))*(CsDJ[Date]&lt;=$C$8),CsDJ[Credit])))+(SUM(IF((CRDJ[Account Code]=(TRIM($B53)))*(CRDJ[Date]&lt;=$C$8),CRDJ[Credit])))+(SUM(IF((GJ[Account Code]=(TRIM($B53)))*(GJ[Date]&lt;=$C$8),GJ[Credit]))))</f>
        <v>0</v>
      </c>
      <c r="D53" s="466">
        <f t="array" ref="D53">((SUM(IF((CkDJ[Date]=$A$4)*(CkDJ[Account Code]=(TRIM($B53))),CkDJ[Debit])))+(SUM(IF((CsDJ[Date]=$A$4)*(CsDJ[Account Code]=(TRIM($B53))),CsDJ[Debit])))+(SUM(IF((CRDJ[Date]=$A$4)*(CRDJ[Account Code]=(TRIM($B53))),CRDJ[Debit])))+(SUM(IF((GJ[Date]=$A$4)*(GJ[Account Code]=(TRIM($B53))),GJ[Debit]))))-((SUM(IF((CkDJ[Date]=$A$4)*(CkDJ[Account Code]=(TRIM($B53))),CkDJ[Credit])))+(SUM(IF((CsDJ[Date]=$A$4)*(CsDJ[Account Code]=(TRIM($B53))),CsDJ[Credit])))+(SUM(IF((CRDJ[Date]=$A$4)*(CRDJ[Account Code]=(TRIM($B53))),CRDJ[Credit])))+(SUM(IF((GJ[Date]=$A$4)*(GJ[Account Code]=(TRIM($B53))),GJ[Credit]))))</f>
        <v>0</v>
      </c>
      <c r="E53" s="467">
        <f t="shared" si="1"/>
        <v>0</v>
      </c>
    </row>
    <row r="54" spans="1:5" x14ac:dyDescent="0.2">
      <c r="A54" s="476" t="s">
        <v>200</v>
      </c>
      <c r="B54" s="339" t="s">
        <v>167</v>
      </c>
      <c r="C54" s="466">
        <f t="array" ref="C54">((SUM(IF((CkDJ[Account Code]=(TRIM($B54)))*(CkDJ[Date]&lt;=$C$8),CkDJ[Debit])))+(SUM(IF((CsDJ[Account Code]=(TRIM($B54)))*(CsDJ[Date]&lt;=$C$8),CsDJ[Debit])))+(SUM(IF((CRDJ[Account Code]=(TRIM($B54)))*(CRDJ[Date]&lt;=$C$8),CRDJ[Debit])))+(SUM(IF((GJ[Account Code]=(TRIM($B54)))*(GJ[Date]&lt;=$C$8),GJ[Debit]))))-((SUM(IF((CkDJ[Account Code]=(TRIM($B54)))*(CkDJ[Date]&lt;=$C$8),CkDJ[Credit])))+(SUM(IF((CsDJ[Account Code]=(TRIM($B54)))*(CsDJ[Date]&lt;=$C$8),CsDJ[Credit])))+(SUM(IF((CRDJ[Account Code]=(TRIM($B54)))*(CRDJ[Date]&lt;=$C$8),CRDJ[Credit])))+(SUM(IF((GJ[Account Code]=(TRIM($B54)))*(GJ[Date]&lt;=$C$8),GJ[Credit]))))</f>
        <v>0</v>
      </c>
      <c r="D54" s="466">
        <f t="array" ref="D54">((SUM(IF((CkDJ[Date]=$A$4)*(CkDJ[Account Code]=(TRIM($B54))),CkDJ[Debit])))+(SUM(IF((CsDJ[Date]=$A$4)*(CsDJ[Account Code]=(TRIM($B54))),CsDJ[Debit])))+(SUM(IF((CRDJ[Date]=$A$4)*(CRDJ[Account Code]=(TRIM($B54))),CRDJ[Debit])))+(SUM(IF((GJ[Date]=$A$4)*(GJ[Account Code]=(TRIM($B54))),GJ[Debit]))))-((SUM(IF((CkDJ[Date]=$A$4)*(CkDJ[Account Code]=(TRIM($B54))),CkDJ[Credit])))+(SUM(IF((CsDJ[Date]=$A$4)*(CsDJ[Account Code]=(TRIM($B54))),CsDJ[Credit])))+(SUM(IF((CRDJ[Date]=$A$4)*(CRDJ[Account Code]=(TRIM($B54))),CRDJ[Credit])))+(SUM(IF((GJ[Date]=$A$4)*(GJ[Account Code]=(TRIM($B54))),GJ[Credit]))))</f>
        <v>0</v>
      </c>
      <c r="E54" s="467">
        <f t="shared" si="1"/>
        <v>0</v>
      </c>
    </row>
    <row r="55" spans="1:5" x14ac:dyDescent="0.2">
      <c r="A55" s="476" t="s">
        <v>1204</v>
      </c>
      <c r="B55" s="339" t="s">
        <v>1262</v>
      </c>
      <c r="C55" s="466">
        <f t="array" ref="C55">((SUM(IF((CkDJ[Account Code]=(TRIM($B55)))*(CkDJ[Date]&lt;=$C$8),CkDJ[Debit])))+(SUM(IF((CsDJ[Account Code]=(TRIM($B55)))*(CsDJ[Date]&lt;=$C$8),CsDJ[Debit])))+(SUM(IF((CRDJ[Account Code]=(TRIM($B55)))*(CRDJ[Date]&lt;=$C$8),CRDJ[Debit])))+(SUM(IF((GJ[Account Code]=(TRIM($B55)))*(GJ[Date]&lt;=$C$8),GJ[Debit]))))-((SUM(IF((CkDJ[Account Code]=(TRIM($B55)))*(CkDJ[Date]&lt;=$C$8),CkDJ[Credit])))+(SUM(IF((CsDJ[Account Code]=(TRIM($B55)))*(CsDJ[Date]&lt;=$C$8),CsDJ[Credit])))+(SUM(IF((CRDJ[Account Code]=(TRIM($B55)))*(CRDJ[Date]&lt;=$C$8),CRDJ[Credit])))+(SUM(IF((GJ[Account Code]=(TRIM($B55)))*(GJ[Date]&lt;=$C$8),GJ[Credit]))))</f>
        <v>0</v>
      </c>
      <c r="D55" s="466">
        <f t="array" ref="D55">((SUM(IF((CkDJ[Date]=$A$4)*(CkDJ[Account Code]=(TRIM($B55))),CkDJ[Debit])))+(SUM(IF((CsDJ[Date]=$A$4)*(CsDJ[Account Code]=(TRIM($B55))),CsDJ[Debit])))+(SUM(IF((CRDJ[Date]=$A$4)*(CRDJ[Account Code]=(TRIM($B55))),CRDJ[Debit])))+(SUM(IF((GJ[Date]=$A$4)*(GJ[Account Code]=(TRIM($B55))),GJ[Debit]))))-((SUM(IF((CkDJ[Date]=$A$4)*(CkDJ[Account Code]=(TRIM($B55))),CkDJ[Credit])))+(SUM(IF((CsDJ[Date]=$A$4)*(CsDJ[Account Code]=(TRIM($B55))),CsDJ[Credit])))+(SUM(IF((CRDJ[Date]=$A$4)*(CRDJ[Account Code]=(TRIM($B55))),CRDJ[Credit])))+(SUM(IF((GJ[Date]=$A$4)*(GJ[Account Code]=(TRIM($B55))),GJ[Credit]))))</f>
        <v>0</v>
      </c>
      <c r="E55" s="467">
        <f>C55+D55</f>
        <v>0</v>
      </c>
    </row>
    <row r="56" spans="1:5" x14ac:dyDescent="0.2">
      <c r="A56" s="476" t="s">
        <v>204</v>
      </c>
      <c r="B56" s="339" t="s">
        <v>171</v>
      </c>
      <c r="C56" s="466">
        <f t="array" ref="C56">((SUM(IF((CkDJ[Account Code]=(TRIM($B56)))*(CkDJ[Date]&lt;=$C$8),CkDJ[Debit])))+(SUM(IF((CsDJ[Account Code]=(TRIM($B56)))*(CsDJ[Date]&lt;=$C$8),CsDJ[Debit])))+(SUM(IF((CRDJ[Account Code]=(TRIM($B56)))*(CRDJ[Date]&lt;=$C$8),CRDJ[Debit])))+(SUM(IF((GJ[Account Code]=(TRIM($B56)))*(GJ[Date]&lt;=$C$8),GJ[Debit]))))-((SUM(IF((CkDJ[Account Code]=(TRIM($B56)))*(CkDJ[Date]&lt;=$C$8),CkDJ[Credit])))+(SUM(IF((CsDJ[Account Code]=(TRIM($B56)))*(CsDJ[Date]&lt;=$C$8),CsDJ[Credit])))+(SUM(IF((CRDJ[Account Code]=(TRIM($B56)))*(CRDJ[Date]&lt;=$C$8),CRDJ[Credit])))+(SUM(IF((GJ[Account Code]=(TRIM($B56)))*(GJ[Date]&lt;=$C$8),GJ[Credit]))))</f>
        <v>0</v>
      </c>
      <c r="D56" s="466">
        <f t="array" ref="D56">((SUM(IF((CkDJ[Date]=$A$4)*(CkDJ[Account Code]=(TRIM($B56))),CkDJ[Debit])))+(SUM(IF((CsDJ[Date]=$A$4)*(CsDJ[Account Code]=(TRIM($B56))),CsDJ[Debit])))+(SUM(IF((CRDJ[Date]=$A$4)*(CRDJ[Account Code]=(TRIM($B56))),CRDJ[Debit])))+(SUM(IF((GJ[Date]=$A$4)*(GJ[Account Code]=(TRIM($B56))),GJ[Debit]))))-((SUM(IF((CkDJ[Date]=$A$4)*(CkDJ[Account Code]=(TRIM($B56))),CkDJ[Credit])))+(SUM(IF((CsDJ[Date]=$A$4)*(CsDJ[Account Code]=(TRIM($B56))),CsDJ[Credit])))+(SUM(IF((CRDJ[Date]=$A$4)*(CRDJ[Account Code]=(TRIM($B56))),CRDJ[Credit])))+(SUM(IF((GJ[Date]=$A$4)*(GJ[Account Code]=(TRIM($B56))),GJ[Credit]))))</f>
        <v>0</v>
      </c>
      <c r="E56" s="467">
        <f t="shared" si="1"/>
        <v>0</v>
      </c>
    </row>
    <row r="57" spans="1:5" x14ac:dyDescent="0.2">
      <c r="A57" s="476" t="s">
        <v>201</v>
      </c>
      <c r="B57" s="339" t="s">
        <v>5</v>
      </c>
      <c r="C57" s="466">
        <f t="array" ref="C57">((SUM(IF((CkDJ[Account Code]=(TRIM($B57)))*(CkDJ[Date]&lt;=$C$8),CkDJ[Debit])))+(SUM(IF((CsDJ[Account Code]=(TRIM($B57)))*(CsDJ[Date]&lt;=$C$8),CsDJ[Debit])))+(SUM(IF((CRDJ[Account Code]=(TRIM($B57)))*(CRDJ[Date]&lt;=$C$8),CRDJ[Debit])))+(SUM(IF((GJ[Account Code]=(TRIM($B57)))*(GJ[Date]&lt;=$C$8),GJ[Debit]))))-((SUM(IF((CkDJ[Account Code]=(TRIM($B57)))*(CkDJ[Date]&lt;=$C$8),CkDJ[Credit])))+(SUM(IF((CsDJ[Account Code]=(TRIM($B57)))*(CsDJ[Date]&lt;=$C$8),CsDJ[Credit])))+(SUM(IF((CRDJ[Account Code]=(TRIM($B57)))*(CRDJ[Date]&lt;=$C$8),CRDJ[Credit])))+(SUM(IF((GJ[Account Code]=(TRIM($B57)))*(GJ[Date]&lt;=$C$8),GJ[Credit]))))</f>
        <v>0</v>
      </c>
      <c r="D57" s="466">
        <f t="array" ref="D57">((SUM(IF((CkDJ[Date]=$A$4)*(CkDJ[Account Code]=(TRIM($B57))),CkDJ[Debit])))+(SUM(IF((CsDJ[Date]=$A$4)*(CsDJ[Account Code]=(TRIM($B57))),CsDJ[Debit])))+(SUM(IF((CRDJ[Date]=$A$4)*(CRDJ[Account Code]=(TRIM($B57))),CRDJ[Debit])))+(SUM(IF((GJ[Date]=$A$4)*(GJ[Account Code]=(TRIM($B57))),GJ[Debit]))))-((SUM(IF((CkDJ[Date]=$A$4)*(CkDJ[Account Code]=(TRIM($B57))),CkDJ[Credit])))+(SUM(IF((CsDJ[Date]=$A$4)*(CsDJ[Account Code]=(TRIM($B57))),CsDJ[Credit])))+(SUM(IF((CRDJ[Date]=$A$4)*(CRDJ[Account Code]=(TRIM($B57))),CRDJ[Credit])))+(SUM(IF((GJ[Date]=$A$4)*(GJ[Account Code]=(TRIM($B57))),GJ[Credit]))))</f>
        <v>0</v>
      </c>
      <c r="E57" s="467">
        <f t="shared" si="1"/>
        <v>0</v>
      </c>
    </row>
    <row r="58" spans="1:5" x14ac:dyDescent="0.2">
      <c r="A58" s="476" t="s">
        <v>202</v>
      </c>
      <c r="B58" s="339" t="s">
        <v>6</v>
      </c>
      <c r="C58" s="466">
        <f t="array" ref="C58">((SUM(IF((CkDJ[Account Code]=(TRIM($B58)))*(CkDJ[Date]&lt;=$C$8),CkDJ[Debit])))+(SUM(IF((CsDJ[Account Code]=(TRIM($B58)))*(CsDJ[Date]&lt;=$C$8),CsDJ[Debit])))+(SUM(IF((CRDJ[Account Code]=(TRIM($B58)))*(CRDJ[Date]&lt;=$C$8),CRDJ[Debit])))+(SUM(IF((GJ[Account Code]=(TRIM($B58)))*(GJ[Date]&lt;=$C$8),GJ[Debit]))))-((SUM(IF((CkDJ[Account Code]=(TRIM($B58)))*(CkDJ[Date]&lt;=$C$8),CkDJ[Credit])))+(SUM(IF((CsDJ[Account Code]=(TRIM($B58)))*(CsDJ[Date]&lt;=$C$8),CsDJ[Credit])))+(SUM(IF((CRDJ[Account Code]=(TRIM($B58)))*(CRDJ[Date]&lt;=$C$8),CRDJ[Credit])))+(SUM(IF((GJ[Account Code]=(TRIM($B58)))*(GJ[Date]&lt;=$C$8),GJ[Credit]))))</f>
        <v>0</v>
      </c>
      <c r="D58" s="466">
        <f t="array" ref="D58">((SUM(IF((CkDJ[Date]=$A$4)*(CkDJ[Account Code]=(TRIM($B58))),CkDJ[Debit])))+(SUM(IF((CsDJ[Date]=$A$4)*(CsDJ[Account Code]=(TRIM($B58))),CsDJ[Debit])))+(SUM(IF((CRDJ[Date]=$A$4)*(CRDJ[Account Code]=(TRIM($B58))),CRDJ[Debit])))+(SUM(IF((GJ[Date]=$A$4)*(GJ[Account Code]=(TRIM($B58))),GJ[Debit]))))-((SUM(IF((CkDJ[Date]=$A$4)*(CkDJ[Account Code]=(TRIM($B58))),CkDJ[Credit])))+(SUM(IF((CsDJ[Date]=$A$4)*(CsDJ[Account Code]=(TRIM($B58))),CsDJ[Credit])))+(SUM(IF((CRDJ[Date]=$A$4)*(CRDJ[Account Code]=(TRIM($B58))),CRDJ[Credit])))+(SUM(IF((GJ[Date]=$A$4)*(GJ[Account Code]=(TRIM($B58))),GJ[Credit]))))</f>
        <v>0</v>
      </c>
      <c r="E58" s="467">
        <f t="shared" si="1"/>
        <v>0</v>
      </c>
    </row>
    <row r="59" spans="1:5" x14ac:dyDescent="0.2">
      <c r="A59" s="476" t="s">
        <v>203</v>
      </c>
      <c r="B59" s="339" t="s">
        <v>7</v>
      </c>
      <c r="C59" s="466">
        <f t="array" ref="C59">((SUM(IF((CkDJ[Account Code]=(TRIM($B59)))*(CkDJ[Date]&lt;=$C$8),CkDJ[Debit])))+(SUM(IF((CsDJ[Account Code]=(TRIM($B59)))*(CsDJ[Date]&lt;=$C$8),CsDJ[Debit])))+(SUM(IF((CRDJ[Account Code]=(TRIM($B59)))*(CRDJ[Date]&lt;=$C$8),CRDJ[Debit])))+(SUM(IF((GJ[Account Code]=(TRIM($B59)))*(GJ[Date]&lt;=$C$8),GJ[Debit]))))-((SUM(IF((CkDJ[Account Code]=(TRIM($B59)))*(CkDJ[Date]&lt;=$C$8),CkDJ[Credit])))+(SUM(IF((CsDJ[Account Code]=(TRIM($B59)))*(CsDJ[Date]&lt;=$C$8),CsDJ[Credit])))+(SUM(IF((CRDJ[Account Code]=(TRIM($B59)))*(CRDJ[Date]&lt;=$C$8),CRDJ[Credit])))+(SUM(IF((GJ[Account Code]=(TRIM($B59)))*(GJ[Date]&lt;=$C$8),GJ[Credit]))))</f>
        <v>0</v>
      </c>
      <c r="D59" s="466">
        <f t="array" ref="D59">((SUM(IF((CkDJ[Date]=$A$4)*(CkDJ[Account Code]=(TRIM($B59))),CkDJ[Debit])))+(SUM(IF((CsDJ[Date]=$A$4)*(CsDJ[Account Code]=(TRIM($B59))),CsDJ[Debit])))+(SUM(IF((CRDJ[Date]=$A$4)*(CRDJ[Account Code]=(TRIM($B59))),CRDJ[Debit])))+(SUM(IF((GJ[Date]=$A$4)*(GJ[Account Code]=(TRIM($B59))),GJ[Debit]))))-((SUM(IF((CkDJ[Date]=$A$4)*(CkDJ[Account Code]=(TRIM($B59))),CkDJ[Credit])))+(SUM(IF((CsDJ[Date]=$A$4)*(CsDJ[Account Code]=(TRIM($B59))),CsDJ[Credit])))+(SUM(IF((CRDJ[Date]=$A$4)*(CRDJ[Account Code]=(TRIM($B59))),CRDJ[Credit])))+(SUM(IF((GJ[Date]=$A$4)*(GJ[Account Code]=(TRIM($B59))),GJ[Credit]))))</f>
        <v>0</v>
      </c>
      <c r="E59" s="467">
        <f t="shared" si="1"/>
        <v>0</v>
      </c>
    </row>
    <row r="60" spans="1:5" x14ac:dyDescent="0.2">
      <c r="A60" s="476" t="s">
        <v>1378</v>
      </c>
      <c r="B60" s="339" t="s">
        <v>169</v>
      </c>
      <c r="C60" s="466">
        <f t="array" ref="C60">((SUM(IF((CkDJ[Account Code]=(TRIM($B60)))*(CkDJ[Date]&lt;=$C$8),CkDJ[Debit])))+(SUM(IF((CsDJ[Account Code]=(TRIM($B60)))*(CsDJ[Date]&lt;=$C$8),CsDJ[Debit])))+(SUM(IF((CRDJ[Account Code]=(TRIM($B60)))*(CRDJ[Date]&lt;=$C$8),CRDJ[Debit])))+(SUM(IF((GJ[Account Code]=(TRIM($B60)))*(GJ[Date]&lt;=$C$8),GJ[Debit]))))-((SUM(IF((CkDJ[Account Code]=(TRIM($B60)))*(CkDJ[Date]&lt;=$C$8),CkDJ[Credit])))+(SUM(IF((CsDJ[Account Code]=(TRIM($B60)))*(CsDJ[Date]&lt;=$C$8),CsDJ[Credit])))+(SUM(IF((CRDJ[Account Code]=(TRIM($B60)))*(CRDJ[Date]&lt;=$C$8),CRDJ[Credit])))+(SUM(IF((GJ[Account Code]=(TRIM($B60)))*(GJ[Date]&lt;=$C$8),GJ[Credit]))))</f>
        <v>0</v>
      </c>
      <c r="D60" s="466">
        <f t="array" ref="D60">((SUM(IF((CkDJ[Date]=$A$4)*(CkDJ[Account Code]=(TRIM($B60))),CkDJ[Debit])))+(SUM(IF((CsDJ[Date]=$A$4)*(CsDJ[Account Code]=(TRIM($B60))),CsDJ[Debit])))+(SUM(IF((CRDJ[Date]=$A$4)*(CRDJ[Account Code]=(TRIM($B60))),CRDJ[Debit])))+(SUM(IF((GJ[Date]=$A$4)*(GJ[Account Code]=(TRIM($B60))),GJ[Debit]))))-((SUM(IF((CkDJ[Date]=$A$4)*(CkDJ[Account Code]=(TRIM($B60))),CkDJ[Credit])))+(SUM(IF((CsDJ[Date]=$A$4)*(CsDJ[Account Code]=(TRIM($B60))),CsDJ[Credit])))+(SUM(IF((CRDJ[Date]=$A$4)*(CRDJ[Account Code]=(TRIM($B60))),CRDJ[Credit])))+(SUM(IF((GJ[Date]=$A$4)*(GJ[Account Code]=(TRIM($B60))),GJ[Credit]))))</f>
        <v>0</v>
      </c>
      <c r="E60" s="467">
        <f t="shared" si="1"/>
        <v>0</v>
      </c>
    </row>
    <row r="61" spans="1:5" x14ac:dyDescent="0.2">
      <c r="A61" s="476" t="s">
        <v>1474</v>
      </c>
      <c r="B61" s="339" t="s">
        <v>170</v>
      </c>
      <c r="C61" s="466">
        <f t="array" ref="C61">((SUM(IF((CkDJ[Account Code]=(TRIM($B61)))*(CkDJ[Date]&lt;=$C$8),CkDJ[Debit])))+(SUM(IF((CsDJ[Account Code]=(TRIM($B61)))*(CsDJ[Date]&lt;=$C$8),CsDJ[Debit])))+(SUM(IF((CRDJ[Account Code]=(TRIM($B61)))*(CRDJ[Date]&lt;=$C$8),CRDJ[Debit])))+(SUM(IF((GJ[Account Code]=(TRIM($B61)))*(GJ[Date]&lt;=$C$8),GJ[Debit]))))-((SUM(IF((CkDJ[Account Code]=(TRIM($B61)))*(CkDJ[Date]&lt;=$C$8),CkDJ[Credit])))+(SUM(IF((CsDJ[Account Code]=(TRIM($B61)))*(CsDJ[Date]&lt;=$C$8),CsDJ[Credit])))+(SUM(IF((CRDJ[Account Code]=(TRIM($B61)))*(CRDJ[Date]&lt;=$C$8),CRDJ[Credit])))+(SUM(IF((GJ[Account Code]=(TRIM($B61)))*(GJ[Date]&lt;=$C$8),GJ[Credit]))))</f>
        <v>0</v>
      </c>
      <c r="D61" s="466">
        <f t="array" ref="D61">((SUM(IF((CkDJ[Date]=$A$4)*(CkDJ[Account Code]=(TRIM($B61))),CkDJ[Debit])))+(SUM(IF((CsDJ[Date]=$A$4)*(CsDJ[Account Code]=(TRIM($B61))),CsDJ[Debit])))+(SUM(IF((CRDJ[Date]=$A$4)*(CRDJ[Account Code]=(TRIM($B61))),CRDJ[Debit])))+(SUM(IF((GJ[Date]=$A$4)*(GJ[Account Code]=(TRIM($B61))),GJ[Debit]))))-((SUM(IF((CkDJ[Date]=$A$4)*(CkDJ[Account Code]=(TRIM($B61))),CkDJ[Credit])))+(SUM(IF((CsDJ[Date]=$A$4)*(CsDJ[Account Code]=(TRIM($B61))),CsDJ[Credit])))+(SUM(IF((CRDJ[Date]=$A$4)*(CRDJ[Account Code]=(TRIM($B61))),CRDJ[Credit])))+(SUM(IF((GJ[Date]=$A$4)*(GJ[Account Code]=(TRIM($B61))),GJ[Credit]))))</f>
        <v>0</v>
      </c>
      <c r="E61" s="467">
        <f>C61+D61</f>
        <v>0</v>
      </c>
    </row>
    <row r="62" spans="1:5" x14ac:dyDescent="0.2">
      <c r="A62" s="476" t="s">
        <v>206</v>
      </c>
      <c r="B62" s="339" t="s">
        <v>173</v>
      </c>
      <c r="C62" s="466">
        <f t="array" ref="C62">((SUM(IF((CkDJ[Account Code]=(TRIM($B62)))*(CkDJ[Date]&lt;=$C$8),CkDJ[Debit])))+(SUM(IF((CsDJ[Account Code]=(TRIM($B62)))*(CsDJ[Date]&lt;=$C$8),CsDJ[Debit])))+(SUM(IF((CRDJ[Account Code]=(TRIM($B62)))*(CRDJ[Date]&lt;=$C$8),CRDJ[Debit])))+(SUM(IF((GJ[Account Code]=(TRIM($B62)))*(GJ[Date]&lt;=$C$8),GJ[Debit]))))-((SUM(IF((CkDJ[Account Code]=(TRIM($B62)))*(CkDJ[Date]&lt;=$C$8),CkDJ[Credit])))+(SUM(IF((CsDJ[Account Code]=(TRIM($B62)))*(CsDJ[Date]&lt;=$C$8),CsDJ[Credit])))+(SUM(IF((CRDJ[Account Code]=(TRIM($B62)))*(CRDJ[Date]&lt;=$C$8),CRDJ[Credit])))+(SUM(IF((GJ[Account Code]=(TRIM($B62)))*(GJ[Date]&lt;=$C$8),GJ[Credit]))))</f>
        <v>0</v>
      </c>
      <c r="D62" s="466">
        <f t="array" ref="D62">((SUM(IF((CkDJ[Date]=$A$4)*(CkDJ[Account Code]=(TRIM($B62))),CkDJ[Debit])))+(SUM(IF((CsDJ[Date]=$A$4)*(CsDJ[Account Code]=(TRIM($B62))),CsDJ[Debit])))+(SUM(IF((CRDJ[Date]=$A$4)*(CRDJ[Account Code]=(TRIM($B62))),CRDJ[Debit])))+(SUM(IF((GJ[Date]=$A$4)*(GJ[Account Code]=(TRIM($B62))),GJ[Debit]))))-((SUM(IF((CkDJ[Date]=$A$4)*(CkDJ[Account Code]=(TRIM($B62))),CkDJ[Credit])))+(SUM(IF((CsDJ[Date]=$A$4)*(CsDJ[Account Code]=(TRIM($B62))),CsDJ[Credit])))+(SUM(IF((CRDJ[Date]=$A$4)*(CRDJ[Account Code]=(TRIM($B62))),CRDJ[Credit])))+(SUM(IF((GJ[Date]=$A$4)*(GJ[Account Code]=(TRIM($B62))),GJ[Credit]))))</f>
        <v>0</v>
      </c>
      <c r="E62" s="467">
        <f t="shared" si="1"/>
        <v>0</v>
      </c>
    </row>
    <row r="63" spans="1:5" x14ac:dyDescent="0.2">
      <c r="A63" s="476" t="s">
        <v>354</v>
      </c>
      <c r="B63" s="339" t="s">
        <v>216</v>
      </c>
      <c r="C63" s="466">
        <f t="array" ref="C63">((SUM(IF((CkDJ[Account Code]=(TRIM($B63)))*(CkDJ[Date]&lt;=$C$8),CkDJ[Debit])))+(SUM(IF((CsDJ[Account Code]=(TRIM($B63)))*(CsDJ[Date]&lt;=$C$8),CsDJ[Debit])))+(SUM(IF((CRDJ[Account Code]=(TRIM($B63)))*(CRDJ[Date]&lt;=$C$8),CRDJ[Debit])))+(SUM(IF((GJ[Account Code]=(TRIM($B63)))*(GJ[Date]&lt;=$C$8),GJ[Debit]))))-((SUM(IF((CkDJ[Account Code]=(TRIM($B63)))*(CkDJ[Date]&lt;=$C$8),CkDJ[Credit])))+(SUM(IF((CsDJ[Account Code]=(TRIM($B63)))*(CsDJ[Date]&lt;=$C$8),CsDJ[Credit])))+(SUM(IF((CRDJ[Account Code]=(TRIM($B63)))*(CRDJ[Date]&lt;=$C$8),CRDJ[Credit])))+(SUM(IF((GJ[Account Code]=(TRIM($B63)))*(GJ[Date]&lt;=$C$8),GJ[Credit]))))</f>
        <v>0</v>
      </c>
      <c r="D63" s="466">
        <f t="array" ref="D63">((SUM(IF((CkDJ[Date]=$A$4)*(CkDJ[Account Code]=(TRIM($B63))),CkDJ[Debit])))+(SUM(IF((CsDJ[Date]=$A$4)*(CsDJ[Account Code]=(TRIM($B63))),CsDJ[Debit])))+(SUM(IF((CRDJ[Date]=$A$4)*(CRDJ[Account Code]=(TRIM($B63))),CRDJ[Debit])))+(SUM(IF((GJ[Date]=$A$4)*(GJ[Account Code]=(TRIM($B63))),GJ[Debit]))))-((SUM(IF((CkDJ[Date]=$A$4)*(CkDJ[Account Code]=(TRIM($B63))),CkDJ[Credit])))+(SUM(IF((CsDJ[Date]=$A$4)*(CsDJ[Account Code]=(TRIM($B63))),CsDJ[Credit])))+(SUM(IF((CRDJ[Date]=$A$4)*(CRDJ[Account Code]=(TRIM($B63))),CRDJ[Credit])))+(SUM(IF((GJ[Date]=$A$4)*(GJ[Account Code]=(TRIM($B63))),GJ[Credit]))))</f>
        <v>0</v>
      </c>
      <c r="E63" s="467">
        <f>C63+D63</f>
        <v>0</v>
      </c>
    </row>
    <row r="64" spans="1:5" x14ac:dyDescent="0.2">
      <c r="A64" s="476" t="s">
        <v>219</v>
      </c>
      <c r="B64" s="339" t="s">
        <v>214</v>
      </c>
      <c r="C64" s="466">
        <f t="array" ref="C64">((SUM(IF((CkDJ[Account Code]=(TRIM($B64)))*(CkDJ[Date]&lt;=$C$8),CkDJ[Debit])))+(SUM(IF((CsDJ[Account Code]=(TRIM($B64)))*(CsDJ[Date]&lt;=$C$8),CsDJ[Debit])))+(SUM(IF((CRDJ[Account Code]=(TRIM($B64)))*(CRDJ[Date]&lt;=$C$8),CRDJ[Debit])))+(SUM(IF((GJ[Account Code]=(TRIM($B64)))*(GJ[Date]&lt;=$C$8),GJ[Debit]))))-((SUM(IF((CkDJ[Account Code]=(TRIM($B64)))*(CkDJ[Date]&lt;=$C$8),CkDJ[Credit])))+(SUM(IF((CsDJ[Account Code]=(TRIM($B64)))*(CsDJ[Date]&lt;=$C$8),CsDJ[Credit])))+(SUM(IF((CRDJ[Account Code]=(TRIM($B64)))*(CRDJ[Date]&lt;=$C$8),CRDJ[Credit])))+(SUM(IF((GJ[Account Code]=(TRIM($B64)))*(GJ[Date]&lt;=$C$8),GJ[Credit]))))</f>
        <v>0</v>
      </c>
      <c r="D64" s="466">
        <f t="array" ref="D64">((SUM(IF((CkDJ[Date]=$A$4)*(CkDJ[Account Code]=(TRIM($B64))),CkDJ[Debit])))+(SUM(IF((CsDJ[Date]=$A$4)*(CsDJ[Account Code]=(TRIM($B64))),CsDJ[Debit])))+(SUM(IF((CRDJ[Date]=$A$4)*(CRDJ[Account Code]=(TRIM($B64))),CRDJ[Debit])))+(SUM(IF((GJ[Date]=$A$4)*(GJ[Account Code]=(TRIM($B64))),GJ[Debit]))))-((SUM(IF((CkDJ[Date]=$A$4)*(CkDJ[Account Code]=(TRIM($B64))),CkDJ[Credit])))+(SUM(IF((CsDJ[Date]=$A$4)*(CsDJ[Account Code]=(TRIM($B64))),CsDJ[Credit])))+(SUM(IF((CRDJ[Date]=$A$4)*(CRDJ[Account Code]=(TRIM($B64))),CRDJ[Credit])))+(SUM(IF((GJ[Date]=$A$4)*(GJ[Account Code]=(TRIM($B64))),GJ[Credit]))))</f>
        <v>0</v>
      </c>
      <c r="E64" s="467">
        <f t="shared" si="1"/>
        <v>0</v>
      </c>
    </row>
    <row r="65" spans="1:5" x14ac:dyDescent="0.2">
      <c r="A65" s="476" t="s">
        <v>205</v>
      </c>
      <c r="B65" s="339" t="s">
        <v>172</v>
      </c>
      <c r="C65" s="466">
        <f t="array" ref="C65">((SUM(IF((CkDJ[Account Code]=(TRIM($B65)))*(CkDJ[Date]&lt;=$C$8),CkDJ[Debit])))+(SUM(IF((CsDJ[Account Code]=(TRIM($B65)))*(CsDJ[Date]&lt;=$C$8),CsDJ[Debit])))+(SUM(IF((CRDJ[Account Code]=(TRIM($B65)))*(CRDJ[Date]&lt;=$C$8),CRDJ[Debit])))+(SUM(IF((GJ[Account Code]=(TRIM($B65)))*(GJ[Date]&lt;=$C$8),GJ[Debit]))))-((SUM(IF((CkDJ[Account Code]=(TRIM($B65)))*(CkDJ[Date]&lt;=$C$8),CkDJ[Credit])))+(SUM(IF((CsDJ[Account Code]=(TRIM($B65)))*(CsDJ[Date]&lt;=$C$8),CsDJ[Credit])))+(SUM(IF((CRDJ[Account Code]=(TRIM($B65)))*(CRDJ[Date]&lt;=$C$8),CRDJ[Credit])))+(SUM(IF((GJ[Account Code]=(TRIM($B65)))*(GJ[Date]&lt;=$C$8),GJ[Credit]))))</f>
        <v>0</v>
      </c>
      <c r="D65" s="466">
        <f t="array" ref="D65">((SUM(IF((CkDJ[Date]=$A$4)*(CkDJ[Account Code]=(TRIM($B65))),CkDJ[Debit])))+(SUM(IF((CsDJ[Date]=$A$4)*(CsDJ[Account Code]=(TRIM($B65))),CsDJ[Debit])))+(SUM(IF((CRDJ[Date]=$A$4)*(CRDJ[Account Code]=(TRIM($B65))),CRDJ[Debit])))+(SUM(IF((GJ[Date]=$A$4)*(GJ[Account Code]=(TRIM($B65))),GJ[Debit]))))-((SUM(IF((CkDJ[Date]=$A$4)*(CkDJ[Account Code]=(TRIM($B65))),CkDJ[Credit])))+(SUM(IF((CsDJ[Date]=$A$4)*(CsDJ[Account Code]=(TRIM($B65))),CsDJ[Credit])))+(SUM(IF((CRDJ[Date]=$A$4)*(CRDJ[Account Code]=(TRIM($B65))),CRDJ[Credit])))+(SUM(IF((GJ[Date]=$A$4)*(GJ[Account Code]=(TRIM($B65))),GJ[Credit]))))</f>
        <v>0</v>
      </c>
      <c r="E65" s="467">
        <f t="shared" si="1"/>
        <v>0</v>
      </c>
    </row>
    <row r="66" spans="1:5" x14ac:dyDescent="0.2">
      <c r="A66" s="476" t="s">
        <v>207</v>
      </c>
      <c r="B66" s="339" t="s">
        <v>174</v>
      </c>
      <c r="C66" s="466">
        <f t="array" ref="C66">((SUM(IF((CkDJ[Account Code]=(TRIM($B66)))*(CkDJ[Date]&lt;=$C$8),CkDJ[Debit])))+(SUM(IF((CsDJ[Account Code]=(TRIM($B66)))*(CsDJ[Date]&lt;=$C$8),CsDJ[Debit])))+(SUM(IF((CRDJ[Account Code]=(TRIM($B66)))*(CRDJ[Date]&lt;=$C$8),CRDJ[Debit])))+(SUM(IF((GJ[Account Code]=(TRIM($B66)))*(GJ[Date]&lt;=$C$8),GJ[Debit]))))-((SUM(IF((CkDJ[Account Code]=(TRIM($B66)))*(CkDJ[Date]&lt;=$C$8),CkDJ[Credit])))+(SUM(IF((CsDJ[Account Code]=(TRIM($B66)))*(CsDJ[Date]&lt;=$C$8),CsDJ[Credit])))+(SUM(IF((CRDJ[Account Code]=(TRIM($B66)))*(CRDJ[Date]&lt;=$C$8),CRDJ[Credit])))+(SUM(IF((GJ[Account Code]=(TRIM($B66)))*(GJ[Date]&lt;=$C$8),GJ[Credit]))))</f>
        <v>0</v>
      </c>
      <c r="D66" s="466">
        <f t="array" ref="D66">((SUM(IF((CkDJ[Date]=$A$4)*(CkDJ[Account Code]=(TRIM($B66))),CkDJ[Debit])))+(SUM(IF((CsDJ[Date]=$A$4)*(CsDJ[Account Code]=(TRIM($B66))),CsDJ[Debit])))+(SUM(IF((CRDJ[Date]=$A$4)*(CRDJ[Account Code]=(TRIM($B66))),CRDJ[Debit])))+(SUM(IF((GJ[Date]=$A$4)*(GJ[Account Code]=(TRIM($B66))),GJ[Debit]))))-((SUM(IF((CkDJ[Date]=$A$4)*(CkDJ[Account Code]=(TRIM($B66))),CkDJ[Credit])))+(SUM(IF((CsDJ[Date]=$A$4)*(CsDJ[Account Code]=(TRIM($B66))),CsDJ[Credit])))+(SUM(IF((CRDJ[Date]=$A$4)*(CRDJ[Account Code]=(TRIM($B66))),CRDJ[Credit])))+(SUM(IF((GJ[Date]=$A$4)*(GJ[Account Code]=(TRIM($B66))),GJ[Credit]))))</f>
        <v>0</v>
      </c>
      <c r="E66" s="467">
        <f t="shared" si="1"/>
        <v>0</v>
      </c>
    </row>
    <row r="67" spans="1:5" x14ac:dyDescent="0.2">
      <c r="A67" s="476" t="s">
        <v>208</v>
      </c>
      <c r="B67" s="339" t="s">
        <v>175</v>
      </c>
      <c r="C67" s="466">
        <f t="array" ref="C67">((SUM(IF((CkDJ[Account Code]=(TRIM($B67)))*(CkDJ[Date]&lt;=$C$8),CkDJ[Debit])))+(SUM(IF((CsDJ[Account Code]=(TRIM($B67)))*(CsDJ[Date]&lt;=$C$8),CsDJ[Debit])))+(SUM(IF((CRDJ[Account Code]=(TRIM($B67)))*(CRDJ[Date]&lt;=$C$8),CRDJ[Debit])))+(SUM(IF((GJ[Account Code]=(TRIM($B67)))*(GJ[Date]&lt;=$C$8),GJ[Debit]))))-((SUM(IF((CkDJ[Account Code]=(TRIM($B67)))*(CkDJ[Date]&lt;=$C$8),CkDJ[Credit])))+(SUM(IF((CsDJ[Account Code]=(TRIM($B67)))*(CsDJ[Date]&lt;=$C$8),CsDJ[Credit])))+(SUM(IF((CRDJ[Account Code]=(TRIM($B67)))*(CRDJ[Date]&lt;=$C$8),CRDJ[Credit])))+(SUM(IF((GJ[Account Code]=(TRIM($B67)))*(GJ[Date]&lt;=$C$8),GJ[Credit]))))</f>
        <v>0</v>
      </c>
      <c r="D67" s="466">
        <f t="array" ref="D67">((SUM(IF((CkDJ[Date]=$A$4)*(CkDJ[Account Code]=(TRIM($B67))),CkDJ[Debit])))+(SUM(IF((CsDJ[Date]=$A$4)*(CsDJ[Account Code]=(TRIM($B67))),CsDJ[Debit])))+(SUM(IF((CRDJ[Date]=$A$4)*(CRDJ[Account Code]=(TRIM($B67))),CRDJ[Debit])))+(SUM(IF((GJ[Date]=$A$4)*(GJ[Account Code]=(TRIM($B67))),GJ[Debit]))))-((SUM(IF((CkDJ[Date]=$A$4)*(CkDJ[Account Code]=(TRIM($B67))),CkDJ[Credit])))+(SUM(IF((CsDJ[Date]=$A$4)*(CsDJ[Account Code]=(TRIM($B67))),CsDJ[Credit])))+(SUM(IF((CRDJ[Date]=$A$4)*(CRDJ[Account Code]=(TRIM($B67))),CRDJ[Credit])))+(SUM(IF((GJ[Date]=$A$4)*(GJ[Account Code]=(TRIM($B67))),GJ[Credit]))))</f>
        <v>0</v>
      </c>
      <c r="E67" s="467">
        <f t="shared" si="1"/>
        <v>0</v>
      </c>
    </row>
    <row r="68" spans="1:5" x14ac:dyDescent="0.2">
      <c r="A68" s="476" t="s">
        <v>209</v>
      </c>
      <c r="B68" s="339" t="s">
        <v>176</v>
      </c>
      <c r="C68" s="466">
        <f t="array" ref="C68">((SUM(IF((CkDJ[Account Code]=(TRIM($B68)))*(CkDJ[Date]&lt;=$C$8),CkDJ[Debit])))+(SUM(IF((CsDJ[Account Code]=(TRIM($B68)))*(CsDJ[Date]&lt;=$C$8),CsDJ[Debit])))+(SUM(IF((CRDJ[Account Code]=(TRIM($B68)))*(CRDJ[Date]&lt;=$C$8),CRDJ[Debit])))+(SUM(IF((GJ[Account Code]=(TRIM($B68)))*(GJ[Date]&lt;=$C$8),GJ[Debit]))))-((SUM(IF((CkDJ[Account Code]=(TRIM($B68)))*(CkDJ[Date]&lt;=$C$8),CkDJ[Credit])))+(SUM(IF((CsDJ[Account Code]=(TRIM($B68)))*(CsDJ[Date]&lt;=$C$8),CsDJ[Credit])))+(SUM(IF((CRDJ[Account Code]=(TRIM($B68)))*(CRDJ[Date]&lt;=$C$8),CRDJ[Credit])))+(SUM(IF((GJ[Account Code]=(TRIM($B68)))*(GJ[Date]&lt;=$C$8),GJ[Credit]))))</f>
        <v>0</v>
      </c>
      <c r="D68" s="466">
        <f t="array" ref="D68">((SUM(IF((CkDJ[Date]=$A$4)*(CkDJ[Account Code]=(TRIM($B68))),CkDJ[Debit])))+(SUM(IF((CsDJ[Date]=$A$4)*(CsDJ[Account Code]=(TRIM($B68))),CsDJ[Debit])))+(SUM(IF((CRDJ[Date]=$A$4)*(CRDJ[Account Code]=(TRIM($B68))),CRDJ[Debit])))+(SUM(IF((GJ[Date]=$A$4)*(GJ[Account Code]=(TRIM($B68))),GJ[Debit]))))-((SUM(IF((CkDJ[Date]=$A$4)*(CkDJ[Account Code]=(TRIM($B68))),CkDJ[Credit])))+(SUM(IF((CsDJ[Date]=$A$4)*(CsDJ[Account Code]=(TRIM($B68))),CsDJ[Credit])))+(SUM(IF((CRDJ[Date]=$A$4)*(CRDJ[Account Code]=(TRIM($B68))),CRDJ[Credit])))+(SUM(IF((GJ[Date]=$A$4)*(GJ[Account Code]=(TRIM($B68))),GJ[Credit]))))</f>
        <v>0</v>
      </c>
      <c r="E68" s="467">
        <f t="shared" si="1"/>
        <v>0</v>
      </c>
    </row>
    <row r="69" spans="1:5" x14ac:dyDescent="0.2">
      <c r="A69" s="476" t="s">
        <v>210</v>
      </c>
      <c r="B69" s="339" t="s">
        <v>177</v>
      </c>
      <c r="C69" s="466">
        <f t="array" ref="C69">((SUM(IF((CkDJ[Account Code]=(TRIM($B69)))*(CkDJ[Date]&lt;=$C$8),CkDJ[Debit])))+(SUM(IF((CsDJ[Account Code]=(TRIM($B69)))*(CsDJ[Date]&lt;=$C$8),CsDJ[Debit])))+(SUM(IF((CRDJ[Account Code]=(TRIM($B69)))*(CRDJ[Date]&lt;=$C$8),CRDJ[Debit])))+(SUM(IF((GJ[Account Code]=(TRIM($B69)))*(GJ[Date]&lt;=$C$8),GJ[Debit]))))-((SUM(IF((CkDJ[Account Code]=(TRIM($B69)))*(CkDJ[Date]&lt;=$C$8),CkDJ[Credit])))+(SUM(IF((CsDJ[Account Code]=(TRIM($B69)))*(CsDJ[Date]&lt;=$C$8),CsDJ[Credit])))+(SUM(IF((CRDJ[Account Code]=(TRIM($B69)))*(CRDJ[Date]&lt;=$C$8),CRDJ[Credit])))+(SUM(IF((GJ[Account Code]=(TRIM($B69)))*(GJ[Date]&lt;=$C$8),GJ[Credit]))))</f>
        <v>0</v>
      </c>
      <c r="D69" s="466">
        <f t="array" ref="D69">((SUM(IF((CkDJ[Date]=$A$4)*(CkDJ[Account Code]=(TRIM($B69))),CkDJ[Debit])))+(SUM(IF((CsDJ[Date]=$A$4)*(CsDJ[Account Code]=(TRIM($B69))),CsDJ[Debit])))+(SUM(IF((CRDJ[Date]=$A$4)*(CRDJ[Account Code]=(TRIM($B69))),CRDJ[Debit])))+(SUM(IF((GJ[Date]=$A$4)*(GJ[Account Code]=(TRIM($B69))),GJ[Debit]))))-((SUM(IF((CkDJ[Date]=$A$4)*(CkDJ[Account Code]=(TRIM($B69))),CkDJ[Credit])))+(SUM(IF((CsDJ[Date]=$A$4)*(CsDJ[Account Code]=(TRIM($B69))),CsDJ[Credit])))+(SUM(IF((CRDJ[Date]=$A$4)*(CRDJ[Account Code]=(TRIM($B69))),CRDJ[Credit])))+(SUM(IF((GJ[Date]=$A$4)*(GJ[Account Code]=(TRIM($B69))),GJ[Credit]))))</f>
        <v>0</v>
      </c>
      <c r="E69" s="467">
        <f t="shared" si="1"/>
        <v>0</v>
      </c>
    </row>
    <row r="70" spans="1:5" x14ac:dyDescent="0.2">
      <c r="A70" s="476" t="s">
        <v>211</v>
      </c>
      <c r="B70" s="339" t="s">
        <v>178</v>
      </c>
      <c r="C70" s="466">
        <f t="array" ref="C70">((SUM(IF((CkDJ[Account Code]=(TRIM($B70)))*(CkDJ[Date]&lt;=$C$8),CkDJ[Debit])))+(SUM(IF((CsDJ[Account Code]=(TRIM($B70)))*(CsDJ[Date]&lt;=$C$8),CsDJ[Debit])))+(SUM(IF((CRDJ[Account Code]=(TRIM($B70)))*(CRDJ[Date]&lt;=$C$8),CRDJ[Debit])))+(SUM(IF((GJ[Account Code]=(TRIM($B70)))*(GJ[Date]&lt;=$C$8),GJ[Debit]))))-((SUM(IF((CkDJ[Account Code]=(TRIM($B70)))*(CkDJ[Date]&lt;=$C$8),CkDJ[Credit])))+(SUM(IF((CsDJ[Account Code]=(TRIM($B70)))*(CsDJ[Date]&lt;=$C$8),CsDJ[Credit])))+(SUM(IF((CRDJ[Account Code]=(TRIM($B70)))*(CRDJ[Date]&lt;=$C$8),CRDJ[Credit])))+(SUM(IF((GJ[Account Code]=(TRIM($B70)))*(GJ[Date]&lt;=$C$8),GJ[Credit]))))</f>
        <v>0</v>
      </c>
      <c r="D70" s="466">
        <f t="array" ref="D70">((SUM(IF((CkDJ[Date]=$A$4)*(CkDJ[Account Code]=(TRIM($B70))),CkDJ[Debit])))+(SUM(IF((CsDJ[Date]=$A$4)*(CsDJ[Account Code]=(TRIM($B70))),CsDJ[Debit])))+(SUM(IF((CRDJ[Date]=$A$4)*(CRDJ[Account Code]=(TRIM($B70))),CRDJ[Debit])))+(SUM(IF((GJ[Date]=$A$4)*(GJ[Account Code]=(TRIM($B70))),GJ[Debit]))))-((SUM(IF((CkDJ[Date]=$A$4)*(CkDJ[Account Code]=(TRIM($B70))),CkDJ[Credit])))+(SUM(IF((CsDJ[Date]=$A$4)*(CsDJ[Account Code]=(TRIM($B70))),CsDJ[Credit])))+(SUM(IF((CRDJ[Date]=$A$4)*(CRDJ[Account Code]=(TRIM($B70))),CRDJ[Credit])))+(SUM(IF((GJ[Date]=$A$4)*(GJ[Account Code]=(TRIM($B70))),GJ[Credit]))))</f>
        <v>0</v>
      </c>
      <c r="E70" s="467">
        <f>C70+D70</f>
        <v>0</v>
      </c>
    </row>
    <row r="71" spans="1:5" x14ac:dyDescent="0.2">
      <c r="A71" s="476" t="s">
        <v>211</v>
      </c>
      <c r="B71" s="339" t="s">
        <v>212</v>
      </c>
      <c r="C71" s="466">
        <f t="array" ref="C71">((SUM(IF((CkDJ[Account Code]=(TRIM($B71)))*(CkDJ[Date]&lt;=$C$8),CkDJ[Debit])))+(SUM(IF((CsDJ[Account Code]=(TRIM($B71)))*(CsDJ[Date]&lt;=$C$8),CsDJ[Debit])))+(SUM(IF((CRDJ[Account Code]=(TRIM($B71)))*(CRDJ[Date]&lt;=$C$8),CRDJ[Debit])))+(SUM(IF((GJ[Account Code]=(TRIM($B71)))*(GJ[Date]&lt;=$C$8),GJ[Debit]))))-((SUM(IF((CkDJ[Account Code]=(TRIM($B71)))*(CkDJ[Date]&lt;=$C$8),CkDJ[Credit])))+(SUM(IF((CsDJ[Account Code]=(TRIM($B71)))*(CsDJ[Date]&lt;=$C$8),CsDJ[Credit])))+(SUM(IF((CRDJ[Account Code]=(TRIM($B71)))*(CRDJ[Date]&lt;=$C$8),CRDJ[Credit])))+(SUM(IF((GJ[Account Code]=(TRIM($B71)))*(GJ[Date]&lt;=$C$8),GJ[Credit]))))</f>
        <v>0</v>
      </c>
      <c r="D71" s="466">
        <f t="array" ref="D71">((SUM(IF((CkDJ[Date]=$A$4)*(CkDJ[Account Code]=(TRIM($B71))),CkDJ[Debit])))+(SUM(IF((CsDJ[Date]=$A$4)*(CsDJ[Account Code]=(TRIM($B71))),CsDJ[Debit])))+(SUM(IF((CRDJ[Date]=$A$4)*(CRDJ[Account Code]=(TRIM($B71))),CRDJ[Debit])))+(SUM(IF((GJ[Date]=$A$4)*(GJ[Account Code]=(TRIM($B71))),GJ[Debit]))))-((SUM(IF((CkDJ[Date]=$A$4)*(CkDJ[Account Code]=(TRIM($B71))),CkDJ[Credit])))+(SUM(IF((CsDJ[Date]=$A$4)*(CsDJ[Account Code]=(TRIM($B71))),CsDJ[Credit])))+(SUM(IF((CRDJ[Date]=$A$4)*(CRDJ[Account Code]=(TRIM($B71))),CRDJ[Credit])))+(SUM(IF((GJ[Date]=$A$4)*(GJ[Account Code]=(TRIM($B71))),GJ[Credit]))))</f>
        <v>0</v>
      </c>
      <c r="E71" s="467">
        <f>C71+D71</f>
        <v>0</v>
      </c>
    </row>
    <row r="72" spans="1:5" x14ac:dyDescent="0.2">
      <c r="A72" s="481" t="s">
        <v>218</v>
      </c>
      <c r="B72" s="482" t="s">
        <v>213</v>
      </c>
      <c r="C72" s="483">
        <f t="array" ref="C72">((SUM(IF((CkDJ[Account Code]=(TRIM($B72)))*(CkDJ[Date]&lt;=$C$8),CkDJ[Debit])))+(SUM(IF((CsDJ[Account Code]=(TRIM($B72)))*(CsDJ[Date]&lt;=$C$8),CsDJ[Debit])))+(SUM(IF((CRDJ[Account Code]=(TRIM($B72)))*(CRDJ[Date]&lt;=$C$8),CRDJ[Debit])))+(SUM(IF((GJ[Account Code]=(TRIM($B72)))*(GJ[Date]&lt;=$C$8),GJ[Debit]))))-((SUM(IF((CkDJ[Account Code]=(TRIM($B72)))*(CkDJ[Date]&lt;=$C$8),CkDJ[Credit])))+(SUM(IF((CsDJ[Account Code]=(TRIM($B72)))*(CsDJ[Date]&lt;=$C$8),CsDJ[Credit])))+(SUM(IF((CRDJ[Account Code]=(TRIM($B72)))*(CRDJ[Date]&lt;=$C$8),CRDJ[Credit])))+(SUM(IF((GJ[Account Code]=(TRIM($B72)))*(GJ[Date]&lt;=$C$8),GJ[Credit]))))</f>
        <v>0</v>
      </c>
      <c r="D72" s="483">
        <f t="array" ref="D72">((SUM(IF((CkDJ[Date]=$A$4)*(CkDJ[Account Code]=(TRIM($B72))),CkDJ[Debit])))+(SUM(IF((CsDJ[Date]=$A$4)*(CsDJ[Account Code]=(TRIM($B72))),CsDJ[Debit])))+(SUM(IF((CRDJ[Date]=$A$4)*(CRDJ[Account Code]=(TRIM($B72))),CRDJ[Debit])))+(SUM(IF((GJ[Date]=$A$4)*(GJ[Account Code]=(TRIM($B72))),GJ[Debit]))))-((SUM(IF((CkDJ[Date]=$A$4)*(CkDJ[Account Code]=(TRIM($B72))),CkDJ[Credit])))+(SUM(IF((CsDJ[Date]=$A$4)*(CsDJ[Account Code]=(TRIM($B72))),CsDJ[Credit])))+(SUM(IF((CRDJ[Date]=$A$4)*(CRDJ[Account Code]=(TRIM($B72))),CRDJ[Credit])))+(SUM(IF((GJ[Date]=$A$4)*(GJ[Account Code]=(TRIM($B72))),GJ[Credit]))))</f>
        <v>0</v>
      </c>
      <c r="E72" s="484">
        <f>C72+D72</f>
        <v>0</v>
      </c>
    </row>
    <row r="73" spans="1:5" x14ac:dyDescent="0.2">
      <c r="A73" s="476"/>
      <c r="B73" s="339"/>
      <c r="C73" s="466"/>
      <c r="D73" s="466"/>
      <c r="E73" s="467"/>
    </row>
    <row r="74" spans="1:5" x14ac:dyDescent="0.2">
      <c r="A74" s="471" t="s">
        <v>810</v>
      </c>
      <c r="B74" s="339"/>
      <c r="C74" s="480">
        <f>SUM(C75:C137)</f>
        <v>0</v>
      </c>
      <c r="D74" s="480">
        <f>SUM(D75:D137)</f>
        <v>0</v>
      </c>
      <c r="E74" s="480">
        <f>SUM(E75:E137)</f>
        <v>0</v>
      </c>
    </row>
    <row r="75" spans="1:5" x14ac:dyDescent="0.2">
      <c r="A75" s="476" t="s">
        <v>284</v>
      </c>
      <c r="B75" s="339" t="s">
        <v>223</v>
      </c>
      <c r="C75" s="466">
        <f t="array" ref="C75">((SUM(IF((CkDJ[Account Code]=(TRIM($B75)))*(CkDJ[Date]&lt;=$C$8),CkDJ[Debit])))+(SUM(IF((CsDJ[Account Code]=(TRIM($B75)))*(CsDJ[Date]&lt;=$C$8),CsDJ[Debit])))+(SUM(IF((CRDJ[Account Code]=(TRIM($B75)))*(CRDJ[Date]&lt;=$C$8),CRDJ[Debit])))+(SUM(IF((GJ[Account Code]=(TRIM($B75)))*(GJ[Date]&lt;=$C$8),GJ[Debit]))))-((SUM(IF((CkDJ[Account Code]=(TRIM($B75)))*(CkDJ[Date]&lt;=$C$8),CkDJ[Credit])))+(SUM(IF((CsDJ[Account Code]=(TRIM($B75)))*(CsDJ[Date]&lt;=$C$8),CsDJ[Credit])))+(SUM(IF((CRDJ[Account Code]=(TRIM($B75)))*(CRDJ[Date]&lt;=$C$8),CRDJ[Credit])))+(SUM(IF((GJ[Account Code]=(TRIM($B75)))*(GJ[Date]&lt;=$C$8),GJ[Credit]))))</f>
        <v>0</v>
      </c>
      <c r="D75" s="466">
        <f t="array" ref="D75">((SUM(IF((CkDJ[Date]=$A$4)*(CkDJ[Account Code]=(TRIM($B75))),CkDJ[Debit])))+(SUM(IF((CsDJ[Date]=$A$4)*(CsDJ[Account Code]=(TRIM($B75))),CsDJ[Debit])))+(SUM(IF((CRDJ[Date]=$A$4)*(CRDJ[Account Code]=(TRIM($B75))),CRDJ[Debit])))+(SUM(IF((GJ[Date]=$A$4)*(GJ[Account Code]=(TRIM($B75))),GJ[Debit]))))-((SUM(IF((CkDJ[Date]=$A$4)*(CkDJ[Account Code]=(TRIM($B75))),CkDJ[Credit])))+(SUM(IF((CsDJ[Date]=$A$4)*(CsDJ[Account Code]=(TRIM($B75))),CsDJ[Credit])))+(SUM(IF((CRDJ[Date]=$A$4)*(CRDJ[Account Code]=(TRIM($B75))),CRDJ[Credit])))+(SUM(IF((GJ[Date]=$A$4)*(GJ[Account Code]=(TRIM($B75))),GJ[Credit]))))</f>
        <v>0</v>
      </c>
      <c r="E75" s="467">
        <f t="shared" ref="E75:E136" si="2">C75+D75</f>
        <v>0</v>
      </c>
    </row>
    <row r="76" spans="1:5" x14ac:dyDescent="0.2">
      <c r="A76" s="476" t="s">
        <v>1477</v>
      </c>
      <c r="B76" s="339" t="s">
        <v>1233</v>
      </c>
      <c r="C76" s="466">
        <f t="array" ref="C76">((SUM(IF((CkDJ[Account Code]=(TRIM($B76)))*(CkDJ[Date]&lt;=$C$8),CkDJ[Debit])))+(SUM(IF((CsDJ[Account Code]=(TRIM($B76)))*(CsDJ[Date]&lt;=$C$8),CsDJ[Debit])))+(SUM(IF((CRDJ[Account Code]=(TRIM($B76)))*(CRDJ[Date]&lt;=$C$8),CRDJ[Debit])))+(SUM(IF((GJ[Account Code]=(TRIM($B76)))*(GJ[Date]&lt;=$C$8),GJ[Debit]))))-((SUM(IF((CkDJ[Account Code]=(TRIM($B76)))*(CkDJ[Date]&lt;=$C$8),CkDJ[Credit])))+(SUM(IF((CsDJ[Account Code]=(TRIM($B76)))*(CsDJ[Date]&lt;=$C$8),CsDJ[Credit])))+(SUM(IF((CRDJ[Account Code]=(TRIM($B76)))*(CRDJ[Date]&lt;=$C$8),CRDJ[Credit])))+(SUM(IF((GJ[Account Code]=(TRIM($B76)))*(GJ[Date]&lt;=$C$8),GJ[Credit]))))</f>
        <v>0</v>
      </c>
      <c r="D76" s="466">
        <f t="array" ref="D76">((SUM(IF((CkDJ[Date]=$A$4)*(CkDJ[Account Code]=(TRIM($B76))),CkDJ[Debit])))+(SUM(IF((CsDJ[Date]=$A$4)*(CsDJ[Account Code]=(TRIM($B76))),CsDJ[Debit])))+(SUM(IF((CRDJ[Date]=$A$4)*(CRDJ[Account Code]=(TRIM($B76))),CRDJ[Debit])))+(SUM(IF((GJ[Date]=$A$4)*(GJ[Account Code]=(TRIM($B76))),GJ[Debit]))))-((SUM(IF((CkDJ[Date]=$A$4)*(CkDJ[Account Code]=(TRIM($B76))),CkDJ[Credit])))+(SUM(IF((CsDJ[Date]=$A$4)*(CsDJ[Account Code]=(TRIM($B76))),CsDJ[Credit])))+(SUM(IF((CRDJ[Date]=$A$4)*(CRDJ[Account Code]=(TRIM($B76))),CRDJ[Credit])))+(SUM(IF((GJ[Date]=$A$4)*(GJ[Account Code]=(TRIM($B76))),GJ[Credit]))))</f>
        <v>0</v>
      </c>
      <c r="E76" s="467">
        <f>C76+D76</f>
        <v>0</v>
      </c>
    </row>
    <row r="77" spans="1:5" x14ac:dyDescent="0.2">
      <c r="A77" s="476" t="s">
        <v>285</v>
      </c>
      <c r="B77" s="339" t="s">
        <v>224</v>
      </c>
      <c r="C77" s="466">
        <f t="array" ref="C77">((SUM(IF((CkDJ[Account Code]=(TRIM($B77)))*(CkDJ[Date]&lt;=$C$8),CkDJ[Debit])))+(SUM(IF((CsDJ[Account Code]=(TRIM($B77)))*(CsDJ[Date]&lt;=$C$8),CsDJ[Debit])))+(SUM(IF((CRDJ[Account Code]=(TRIM($B77)))*(CRDJ[Date]&lt;=$C$8),CRDJ[Debit])))+(SUM(IF((GJ[Account Code]=(TRIM($B77)))*(GJ[Date]&lt;=$C$8),GJ[Debit]))))-((SUM(IF((CkDJ[Account Code]=(TRIM($B77)))*(CkDJ[Date]&lt;=$C$8),CkDJ[Credit])))+(SUM(IF((CsDJ[Account Code]=(TRIM($B77)))*(CsDJ[Date]&lt;=$C$8),CsDJ[Credit])))+(SUM(IF((CRDJ[Account Code]=(TRIM($B77)))*(CRDJ[Date]&lt;=$C$8),CRDJ[Credit])))+(SUM(IF((GJ[Account Code]=(TRIM($B77)))*(GJ[Date]&lt;=$C$8),GJ[Credit]))))</f>
        <v>0</v>
      </c>
      <c r="D77" s="466">
        <f t="array" ref="D77">((SUM(IF((CkDJ[Date]=$A$4)*(CkDJ[Account Code]=(TRIM($B77))),CkDJ[Debit])))+(SUM(IF((CsDJ[Date]=$A$4)*(CsDJ[Account Code]=(TRIM($B77))),CsDJ[Debit])))+(SUM(IF((CRDJ[Date]=$A$4)*(CRDJ[Account Code]=(TRIM($B77))),CRDJ[Debit])))+(SUM(IF((GJ[Date]=$A$4)*(GJ[Account Code]=(TRIM($B77))),GJ[Debit]))))-((SUM(IF((CkDJ[Date]=$A$4)*(CkDJ[Account Code]=(TRIM($B77))),CkDJ[Credit])))+(SUM(IF((CsDJ[Date]=$A$4)*(CsDJ[Account Code]=(TRIM($B77))),CsDJ[Credit])))+(SUM(IF((CRDJ[Date]=$A$4)*(CRDJ[Account Code]=(TRIM($B77))),CRDJ[Credit])))+(SUM(IF((GJ[Date]=$A$4)*(GJ[Account Code]=(TRIM($B77))),GJ[Credit]))))</f>
        <v>0</v>
      </c>
      <c r="E77" s="467">
        <f t="shared" si="2"/>
        <v>0</v>
      </c>
    </row>
    <row r="78" spans="1:5" x14ac:dyDescent="0.2">
      <c r="A78" s="476" t="s">
        <v>286</v>
      </c>
      <c r="B78" s="339" t="s">
        <v>225</v>
      </c>
      <c r="C78" s="466">
        <f t="array" ref="C78">((SUM(IF((CkDJ[Account Code]=(TRIM($B78)))*(CkDJ[Date]&lt;=$C$8),CkDJ[Debit])))+(SUM(IF((CsDJ[Account Code]=(TRIM($B78)))*(CsDJ[Date]&lt;=$C$8),CsDJ[Debit])))+(SUM(IF((CRDJ[Account Code]=(TRIM($B78)))*(CRDJ[Date]&lt;=$C$8),CRDJ[Debit])))+(SUM(IF((GJ[Account Code]=(TRIM($B78)))*(GJ[Date]&lt;=$C$8),GJ[Debit]))))-((SUM(IF((CkDJ[Account Code]=(TRIM($B78)))*(CkDJ[Date]&lt;=$C$8),CkDJ[Credit])))+(SUM(IF((CsDJ[Account Code]=(TRIM($B78)))*(CsDJ[Date]&lt;=$C$8),CsDJ[Credit])))+(SUM(IF((CRDJ[Account Code]=(TRIM($B78)))*(CRDJ[Date]&lt;=$C$8),CRDJ[Credit])))+(SUM(IF((GJ[Account Code]=(TRIM($B78)))*(GJ[Date]&lt;=$C$8),GJ[Credit]))))</f>
        <v>0</v>
      </c>
      <c r="D78" s="466">
        <f t="array" ref="D78">((SUM(IF((CkDJ[Date]=$A$4)*(CkDJ[Account Code]=(TRIM($B78))),CkDJ[Debit])))+(SUM(IF((CsDJ[Date]=$A$4)*(CsDJ[Account Code]=(TRIM($B78))),CsDJ[Debit])))+(SUM(IF((CRDJ[Date]=$A$4)*(CRDJ[Account Code]=(TRIM($B78))),CRDJ[Debit])))+(SUM(IF((GJ[Date]=$A$4)*(GJ[Account Code]=(TRIM($B78))),GJ[Debit]))))-((SUM(IF((CkDJ[Date]=$A$4)*(CkDJ[Account Code]=(TRIM($B78))),CkDJ[Credit])))+(SUM(IF((CsDJ[Date]=$A$4)*(CsDJ[Account Code]=(TRIM($B78))),CsDJ[Credit])))+(SUM(IF((CRDJ[Date]=$A$4)*(CRDJ[Account Code]=(TRIM($B78))),CRDJ[Credit])))+(SUM(IF((GJ[Date]=$A$4)*(GJ[Account Code]=(TRIM($B78))),GJ[Credit]))))</f>
        <v>0</v>
      </c>
      <c r="E78" s="467">
        <f t="shared" si="2"/>
        <v>0</v>
      </c>
    </row>
    <row r="79" spans="1:5" x14ac:dyDescent="0.2">
      <c r="A79" s="476" t="s">
        <v>287</v>
      </c>
      <c r="B79" s="339" t="s">
        <v>226</v>
      </c>
      <c r="C79" s="466">
        <f t="array" ref="C79">((SUM(IF((CkDJ[Account Code]=(TRIM($B79)))*(CkDJ[Date]&lt;=$C$8),CkDJ[Debit])))+(SUM(IF((CsDJ[Account Code]=(TRIM($B79)))*(CsDJ[Date]&lt;=$C$8),CsDJ[Debit])))+(SUM(IF((CRDJ[Account Code]=(TRIM($B79)))*(CRDJ[Date]&lt;=$C$8),CRDJ[Debit])))+(SUM(IF((GJ[Account Code]=(TRIM($B79)))*(GJ[Date]&lt;=$C$8),GJ[Debit]))))-((SUM(IF((CkDJ[Account Code]=(TRIM($B79)))*(CkDJ[Date]&lt;=$C$8),CkDJ[Credit])))+(SUM(IF((CsDJ[Account Code]=(TRIM($B79)))*(CsDJ[Date]&lt;=$C$8),CsDJ[Credit])))+(SUM(IF((CRDJ[Account Code]=(TRIM($B79)))*(CRDJ[Date]&lt;=$C$8),CRDJ[Credit])))+(SUM(IF((GJ[Account Code]=(TRIM($B79)))*(GJ[Date]&lt;=$C$8),GJ[Credit]))))</f>
        <v>0</v>
      </c>
      <c r="D79" s="466">
        <f t="array" ref="D79">((SUM(IF((CkDJ[Date]=$A$4)*(CkDJ[Account Code]=(TRIM($B79))),CkDJ[Debit])))+(SUM(IF((CsDJ[Date]=$A$4)*(CsDJ[Account Code]=(TRIM($B79))),CsDJ[Debit])))+(SUM(IF((CRDJ[Date]=$A$4)*(CRDJ[Account Code]=(TRIM($B79))),CRDJ[Debit])))+(SUM(IF((GJ[Date]=$A$4)*(GJ[Account Code]=(TRIM($B79))),GJ[Debit]))))-((SUM(IF((CkDJ[Date]=$A$4)*(CkDJ[Account Code]=(TRIM($B79))),CkDJ[Credit])))+(SUM(IF((CsDJ[Date]=$A$4)*(CsDJ[Account Code]=(TRIM($B79))),CsDJ[Credit])))+(SUM(IF((CRDJ[Date]=$A$4)*(CRDJ[Account Code]=(TRIM($B79))),CRDJ[Credit])))+(SUM(IF((GJ[Date]=$A$4)*(GJ[Account Code]=(TRIM($B79))),GJ[Credit]))))</f>
        <v>0</v>
      </c>
      <c r="E79" s="467">
        <f t="shared" si="2"/>
        <v>0</v>
      </c>
    </row>
    <row r="80" spans="1:5" x14ac:dyDescent="0.2">
      <c r="A80" s="476" t="s">
        <v>1017</v>
      </c>
      <c r="B80" s="339" t="s">
        <v>227</v>
      </c>
      <c r="C80" s="466">
        <f t="array" ref="C80">((SUM(IF((CkDJ[Account Code]=(TRIM($B80)))*(CkDJ[Date]&lt;=$C$8),CkDJ[Debit])))+(SUM(IF((CsDJ[Account Code]=(TRIM($B80)))*(CsDJ[Date]&lt;=$C$8),CsDJ[Debit])))+(SUM(IF((CRDJ[Account Code]=(TRIM($B80)))*(CRDJ[Date]&lt;=$C$8),CRDJ[Debit])))+(SUM(IF((GJ[Account Code]=(TRIM($B80)))*(GJ[Date]&lt;=$C$8),GJ[Debit]))))-((SUM(IF((CkDJ[Account Code]=(TRIM($B80)))*(CkDJ[Date]&lt;=$C$8),CkDJ[Credit])))+(SUM(IF((CsDJ[Account Code]=(TRIM($B80)))*(CsDJ[Date]&lt;=$C$8),CsDJ[Credit])))+(SUM(IF((CRDJ[Account Code]=(TRIM($B80)))*(CRDJ[Date]&lt;=$C$8),CRDJ[Credit])))+(SUM(IF((GJ[Account Code]=(TRIM($B80)))*(GJ[Date]&lt;=$C$8),GJ[Credit]))))</f>
        <v>0</v>
      </c>
      <c r="D80" s="466">
        <f t="array" ref="D80">((SUM(IF((CkDJ[Date]=$A$4)*(CkDJ[Account Code]=(TRIM($B80))),CkDJ[Debit])))+(SUM(IF((CsDJ[Date]=$A$4)*(CsDJ[Account Code]=(TRIM($B80))),CsDJ[Debit])))+(SUM(IF((CRDJ[Date]=$A$4)*(CRDJ[Account Code]=(TRIM($B80))),CRDJ[Debit])))+(SUM(IF((GJ[Date]=$A$4)*(GJ[Account Code]=(TRIM($B80))),GJ[Debit]))))-((SUM(IF((CkDJ[Date]=$A$4)*(CkDJ[Account Code]=(TRIM($B80))),CkDJ[Credit])))+(SUM(IF((CsDJ[Date]=$A$4)*(CsDJ[Account Code]=(TRIM($B80))),CsDJ[Credit])))+(SUM(IF((CRDJ[Date]=$A$4)*(CRDJ[Account Code]=(TRIM($B80))),CRDJ[Credit])))+(SUM(IF((GJ[Date]=$A$4)*(GJ[Account Code]=(TRIM($B80))),GJ[Credit]))))</f>
        <v>0</v>
      </c>
      <c r="E80" s="467">
        <f t="shared" si="2"/>
        <v>0</v>
      </c>
    </row>
    <row r="81" spans="1:5" x14ac:dyDescent="0.2">
      <c r="A81" s="476" t="s">
        <v>1018</v>
      </c>
      <c r="B81" s="339" t="s">
        <v>228</v>
      </c>
      <c r="C81" s="466">
        <f t="array" ref="C81">((SUM(IF((CkDJ[Account Code]=(TRIM($B81)))*(CkDJ[Date]&lt;=$C$8),CkDJ[Debit])))+(SUM(IF((CsDJ[Account Code]=(TRIM($B81)))*(CsDJ[Date]&lt;=$C$8),CsDJ[Debit])))+(SUM(IF((CRDJ[Account Code]=(TRIM($B81)))*(CRDJ[Date]&lt;=$C$8),CRDJ[Debit])))+(SUM(IF((GJ[Account Code]=(TRIM($B81)))*(GJ[Date]&lt;=$C$8),GJ[Debit]))))-((SUM(IF((CkDJ[Account Code]=(TRIM($B81)))*(CkDJ[Date]&lt;=$C$8),CkDJ[Credit])))+(SUM(IF((CsDJ[Account Code]=(TRIM($B81)))*(CsDJ[Date]&lt;=$C$8),CsDJ[Credit])))+(SUM(IF((CRDJ[Account Code]=(TRIM($B81)))*(CRDJ[Date]&lt;=$C$8),CRDJ[Credit])))+(SUM(IF((GJ[Account Code]=(TRIM($B81)))*(GJ[Date]&lt;=$C$8),GJ[Credit]))))</f>
        <v>0</v>
      </c>
      <c r="D81" s="466">
        <f t="array" ref="D81">((SUM(IF((CkDJ[Date]=$A$4)*(CkDJ[Account Code]=(TRIM($B81))),CkDJ[Debit])))+(SUM(IF((CsDJ[Date]=$A$4)*(CsDJ[Account Code]=(TRIM($B81))),CsDJ[Debit])))+(SUM(IF((CRDJ[Date]=$A$4)*(CRDJ[Account Code]=(TRIM($B81))),CRDJ[Debit])))+(SUM(IF((GJ[Date]=$A$4)*(GJ[Account Code]=(TRIM($B81))),GJ[Debit]))))-((SUM(IF((CkDJ[Date]=$A$4)*(CkDJ[Account Code]=(TRIM($B81))),CkDJ[Credit])))+(SUM(IF((CsDJ[Date]=$A$4)*(CsDJ[Account Code]=(TRIM($B81))),CsDJ[Credit])))+(SUM(IF((CRDJ[Date]=$A$4)*(CRDJ[Account Code]=(TRIM($B81))),CRDJ[Credit])))+(SUM(IF((GJ[Date]=$A$4)*(GJ[Account Code]=(TRIM($B81))),GJ[Credit]))))</f>
        <v>0</v>
      </c>
      <c r="E81" s="467">
        <f t="shared" si="2"/>
        <v>0</v>
      </c>
    </row>
    <row r="82" spans="1:5" x14ac:dyDescent="0.2">
      <c r="A82" s="476" t="s">
        <v>289</v>
      </c>
      <c r="B82" s="339" t="s">
        <v>229</v>
      </c>
      <c r="C82" s="466">
        <f t="array" ref="C82">((SUM(IF((CkDJ[Account Code]=(TRIM($B82)))*(CkDJ[Date]&lt;=$C$8),CkDJ[Debit])))+(SUM(IF((CsDJ[Account Code]=(TRIM($B82)))*(CsDJ[Date]&lt;=$C$8),CsDJ[Debit])))+(SUM(IF((CRDJ[Account Code]=(TRIM($B82)))*(CRDJ[Date]&lt;=$C$8),CRDJ[Debit])))+(SUM(IF((GJ[Account Code]=(TRIM($B82)))*(GJ[Date]&lt;=$C$8),GJ[Debit]))))-((SUM(IF((CkDJ[Account Code]=(TRIM($B82)))*(CkDJ[Date]&lt;=$C$8),CkDJ[Credit])))+(SUM(IF((CsDJ[Account Code]=(TRIM($B82)))*(CsDJ[Date]&lt;=$C$8),CsDJ[Credit])))+(SUM(IF((CRDJ[Account Code]=(TRIM($B82)))*(CRDJ[Date]&lt;=$C$8),CRDJ[Credit])))+(SUM(IF((GJ[Account Code]=(TRIM($B82)))*(GJ[Date]&lt;=$C$8),GJ[Credit]))))</f>
        <v>0</v>
      </c>
      <c r="D82" s="466">
        <f t="array" ref="D82">((SUM(IF((CkDJ[Date]=$A$4)*(CkDJ[Account Code]=(TRIM($B82))),CkDJ[Debit])))+(SUM(IF((CsDJ[Date]=$A$4)*(CsDJ[Account Code]=(TRIM($B82))),CsDJ[Debit])))+(SUM(IF((CRDJ[Date]=$A$4)*(CRDJ[Account Code]=(TRIM($B82))),CRDJ[Debit])))+(SUM(IF((GJ[Date]=$A$4)*(GJ[Account Code]=(TRIM($B82))),GJ[Debit]))))-((SUM(IF((CkDJ[Date]=$A$4)*(CkDJ[Account Code]=(TRIM($B82))),CkDJ[Credit])))+(SUM(IF((CsDJ[Date]=$A$4)*(CsDJ[Account Code]=(TRIM($B82))),CsDJ[Credit])))+(SUM(IF((CRDJ[Date]=$A$4)*(CRDJ[Account Code]=(TRIM($B82))),CRDJ[Credit])))+(SUM(IF((GJ[Date]=$A$4)*(GJ[Account Code]=(TRIM($B82))),GJ[Credit]))))</f>
        <v>0</v>
      </c>
      <c r="E82" s="467">
        <f t="shared" si="2"/>
        <v>0</v>
      </c>
    </row>
    <row r="83" spans="1:5" x14ac:dyDescent="0.2">
      <c r="A83" s="476" t="s">
        <v>290</v>
      </c>
      <c r="B83" s="339" t="s">
        <v>230</v>
      </c>
      <c r="C83" s="466">
        <f t="array" ref="C83">((SUM(IF((CkDJ[Account Code]=(TRIM($B83)))*(CkDJ[Date]&lt;=$C$8),CkDJ[Debit])))+(SUM(IF((CsDJ[Account Code]=(TRIM($B83)))*(CsDJ[Date]&lt;=$C$8),CsDJ[Debit])))+(SUM(IF((CRDJ[Account Code]=(TRIM($B83)))*(CRDJ[Date]&lt;=$C$8),CRDJ[Debit])))+(SUM(IF((GJ[Account Code]=(TRIM($B83)))*(GJ[Date]&lt;=$C$8),GJ[Debit]))))-((SUM(IF((CkDJ[Account Code]=(TRIM($B83)))*(CkDJ[Date]&lt;=$C$8),CkDJ[Credit])))+(SUM(IF((CsDJ[Account Code]=(TRIM($B83)))*(CsDJ[Date]&lt;=$C$8),CsDJ[Credit])))+(SUM(IF((CRDJ[Account Code]=(TRIM($B83)))*(CRDJ[Date]&lt;=$C$8),CRDJ[Credit])))+(SUM(IF((GJ[Account Code]=(TRIM($B83)))*(GJ[Date]&lt;=$C$8),GJ[Credit]))))</f>
        <v>0</v>
      </c>
      <c r="D83" s="466">
        <f t="array" ref="D83">((SUM(IF((CkDJ[Date]=$A$4)*(CkDJ[Account Code]=(TRIM($B83))),CkDJ[Debit])))+(SUM(IF((CsDJ[Date]=$A$4)*(CsDJ[Account Code]=(TRIM($B83))),CsDJ[Debit])))+(SUM(IF((CRDJ[Date]=$A$4)*(CRDJ[Account Code]=(TRIM($B83))),CRDJ[Debit])))+(SUM(IF((GJ[Date]=$A$4)*(GJ[Account Code]=(TRIM($B83))),GJ[Debit]))))-((SUM(IF((CkDJ[Date]=$A$4)*(CkDJ[Account Code]=(TRIM($B83))),CkDJ[Credit])))+(SUM(IF((CsDJ[Date]=$A$4)*(CsDJ[Account Code]=(TRIM($B83))),CsDJ[Credit])))+(SUM(IF((CRDJ[Date]=$A$4)*(CRDJ[Account Code]=(TRIM($B83))),CRDJ[Credit])))+(SUM(IF((GJ[Date]=$A$4)*(GJ[Account Code]=(TRIM($B83))),GJ[Credit]))))</f>
        <v>0</v>
      </c>
      <c r="E83" s="467">
        <f t="shared" si="2"/>
        <v>0</v>
      </c>
    </row>
    <row r="84" spans="1:5" x14ac:dyDescent="0.2">
      <c r="A84" s="476" t="s">
        <v>291</v>
      </c>
      <c r="B84" s="339" t="s">
        <v>231</v>
      </c>
      <c r="C84" s="466">
        <f t="array" ref="C84">((SUM(IF((CkDJ[Account Code]=(TRIM($B84)))*(CkDJ[Date]&lt;=$C$8),CkDJ[Debit])))+(SUM(IF((CsDJ[Account Code]=(TRIM($B84)))*(CsDJ[Date]&lt;=$C$8),CsDJ[Debit])))+(SUM(IF((CRDJ[Account Code]=(TRIM($B84)))*(CRDJ[Date]&lt;=$C$8),CRDJ[Debit])))+(SUM(IF((GJ[Account Code]=(TRIM($B84)))*(GJ[Date]&lt;=$C$8),GJ[Debit]))))-((SUM(IF((CkDJ[Account Code]=(TRIM($B84)))*(CkDJ[Date]&lt;=$C$8),CkDJ[Credit])))+(SUM(IF((CsDJ[Account Code]=(TRIM($B84)))*(CsDJ[Date]&lt;=$C$8),CsDJ[Credit])))+(SUM(IF((CRDJ[Account Code]=(TRIM($B84)))*(CRDJ[Date]&lt;=$C$8),CRDJ[Credit])))+(SUM(IF((GJ[Account Code]=(TRIM($B84)))*(GJ[Date]&lt;=$C$8),GJ[Credit]))))</f>
        <v>0</v>
      </c>
      <c r="D84" s="466">
        <f t="array" ref="D84">((SUM(IF((CkDJ[Date]=$A$4)*(CkDJ[Account Code]=(TRIM($B84))),CkDJ[Debit])))+(SUM(IF((CsDJ[Date]=$A$4)*(CsDJ[Account Code]=(TRIM($B84))),CsDJ[Debit])))+(SUM(IF((CRDJ[Date]=$A$4)*(CRDJ[Account Code]=(TRIM($B84))),CRDJ[Debit])))+(SUM(IF((GJ[Date]=$A$4)*(GJ[Account Code]=(TRIM($B84))),GJ[Debit]))))-((SUM(IF((CkDJ[Date]=$A$4)*(CkDJ[Account Code]=(TRIM($B84))),CkDJ[Credit])))+(SUM(IF((CsDJ[Date]=$A$4)*(CsDJ[Account Code]=(TRIM($B84))),CsDJ[Credit])))+(SUM(IF((CRDJ[Date]=$A$4)*(CRDJ[Account Code]=(TRIM($B84))),CRDJ[Credit])))+(SUM(IF((GJ[Date]=$A$4)*(GJ[Account Code]=(TRIM($B84))),GJ[Credit]))))</f>
        <v>0</v>
      </c>
      <c r="E84" s="467">
        <f t="shared" si="2"/>
        <v>0</v>
      </c>
    </row>
    <row r="85" spans="1:5" x14ac:dyDescent="0.2">
      <c r="A85" s="476" t="s">
        <v>292</v>
      </c>
      <c r="B85" s="339" t="s">
        <v>232</v>
      </c>
      <c r="C85" s="466">
        <f t="array" ref="C85">((SUM(IF((CkDJ[Account Code]=(TRIM($B85)))*(CkDJ[Date]&lt;=$C$8),CkDJ[Debit])))+(SUM(IF((CsDJ[Account Code]=(TRIM($B85)))*(CsDJ[Date]&lt;=$C$8),CsDJ[Debit])))+(SUM(IF((CRDJ[Account Code]=(TRIM($B85)))*(CRDJ[Date]&lt;=$C$8),CRDJ[Debit])))+(SUM(IF((GJ[Account Code]=(TRIM($B85)))*(GJ[Date]&lt;=$C$8),GJ[Debit]))))-((SUM(IF((CkDJ[Account Code]=(TRIM($B85)))*(CkDJ[Date]&lt;=$C$8),CkDJ[Credit])))+(SUM(IF((CsDJ[Account Code]=(TRIM($B85)))*(CsDJ[Date]&lt;=$C$8),CsDJ[Credit])))+(SUM(IF((CRDJ[Account Code]=(TRIM($B85)))*(CRDJ[Date]&lt;=$C$8),CRDJ[Credit])))+(SUM(IF((GJ[Account Code]=(TRIM($B85)))*(GJ[Date]&lt;=$C$8),GJ[Credit]))))</f>
        <v>0</v>
      </c>
      <c r="D85" s="466">
        <f t="array" ref="D85">((SUM(IF((CkDJ[Date]=$A$4)*(CkDJ[Account Code]=(TRIM($B85))),CkDJ[Debit])))+(SUM(IF((CsDJ[Date]=$A$4)*(CsDJ[Account Code]=(TRIM($B85))),CsDJ[Debit])))+(SUM(IF((CRDJ[Date]=$A$4)*(CRDJ[Account Code]=(TRIM($B85))),CRDJ[Debit])))+(SUM(IF((GJ[Date]=$A$4)*(GJ[Account Code]=(TRIM($B85))),GJ[Debit]))))-((SUM(IF((CkDJ[Date]=$A$4)*(CkDJ[Account Code]=(TRIM($B85))),CkDJ[Credit])))+(SUM(IF((CsDJ[Date]=$A$4)*(CsDJ[Account Code]=(TRIM($B85))),CsDJ[Credit])))+(SUM(IF((CRDJ[Date]=$A$4)*(CRDJ[Account Code]=(TRIM($B85))),CRDJ[Credit])))+(SUM(IF((GJ[Date]=$A$4)*(GJ[Account Code]=(TRIM($B85))),GJ[Credit]))))</f>
        <v>0</v>
      </c>
      <c r="E85" s="467">
        <f t="shared" si="2"/>
        <v>0</v>
      </c>
    </row>
    <row r="86" spans="1:5" x14ac:dyDescent="0.2">
      <c r="A86" s="476" t="s">
        <v>293</v>
      </c>
      <c r="B86" s="339" t="s">
        <v>233</v>
      </c>
      <c r="C86" s="466">
        <f t="array" ref="C86">((SUM(IF((CkDJ[Account Code]=(TRIM($B86)))*(CkDJ[Date]&lt;=$C$8),CkDJ[Debit])))+(SUM(IF((CsDJ[Account Code]=(TRIM($B86)))*(CsDJ[Date]&lt;=$C$8),CsDJ[Debit])))+(SUM(IF((CRDJ[Account Code]=(TRIM($B86)))*(CRDJ[Date]&lt;=$C$8),CRDJ[Debit])))+(SUM(IF((GJ[Account Code]=(TRIM($B86)))*(GJ[Date]&lt;=$C$8),GJ[Debit]))))-((SUM(IF((CkDJ[Account Code]=(TRIM($B86)))*(CkDJ[Date]&lt;=$C$8),CkDJ[Credit])))+(SUM(IF((CsDJ[Account Code]=(TRIM($B86)))*(CsDJ[Date]&lt;=$C$8),CsDJ[Credit])))+(SUM(IF((CRDJ[Account Code]=(TRIM($B86)))*(CRDJ[Date]&lt;=$C$8),CRDJ[Credit])))+(SUM(IF((GJ[Account Code]=(TRIM($B86)))*(GJ[Date]&lt;=$C$8),GJ[Credit]))))</f>
        <v>0</v>
      </c>
      <c r="D86" s="466">
        <f t="array" ref="D86">((SUM(IF((CkDJ[Date]=$A$4)*(CkDJ[Account Code]=(TRIM($B86))),CkDJ[Debit])))+(SUM(IF((CsDJ[Date]=$A$4)*(CsDJ[Account Code]=(TRIM($B86))),CsDJ[Debit])))+(SUM(IF((CRDJ[Date]=$A$4)*(CRDJ[Account Code]=(TRIM($B86))),CRDJ[Debit])))+(SUM(IF((GJ[Date]=$A$4)*(GJ[Account Code]=(TRIM($B86))),GJ[Debit]))))-((SUM(IF((CkDJ[Date]=$A$4)*(CkDJ[Account Code]=(TRIM($B86))),CkDJ[Credit])))+(SUM(IF((CsDJ[Date]=$A$4)*(CsDJ[Account Code]=(TRIM($B86))),CsDJ[Credit])))+(SUM(IF((CRDJ[Date]=$A$4)*(CRDJ[Account Code]=(TRIM($B86))),CRDJ[Credit])))+(SUM(IF((GJ[Date]=$A$4)*(GJ[Account Code]=(TRIM($B86))),GJ[Credit]))))</f>
        <v>0</v>
      </c>
      <c r="E86" s="467">
        <f t="shared" si="2"/>
        <v>0</v>
      </c>
    </row>
    <row r="87" spans="1:5" x14ac:dyDescent="0.2">
      <c r="A87" s="476" t="s">
        <v>1475</v>
      </c>
      <c r="B87" s="339" t="s">
        <v>1265</v>
      </c>
      <c r="C87" s="466">
        <f t="array" ref="C87">((SUM(IF((CkDJ[Account Code]=(TRIM($B87)))*(CkDJ[Date]&lt;=$C$8),CkDJ[Debit])))+(SUM(IF((CsDJ[Account Code]=(TRIM($B87)))*(CsDJ[Date]&lt;=$C$8),CsDJ[Debit])))+(SUM(IF((CRDJ[Account Code]=(TRIM($B87)))*(CRDJ[Date]&lt;=$C$8),CRDJ[Debit])))+(SUM(IF((GJ[Account Code]=(TRIM($B87)))*(GJ[Date]&lt;=$C$8),GJ[Debit]))))-((SUM(IF((CkDJ[Account Code]=(TRIM($B87)))*(CkDJ[Date]&lt;=$C$8),CkDJ[Credit])))+(SUM(IF((CsDJ[Account Code]=(TRIM($B87)))*(CsDJ[Date]&lt;=$C$8),CsDJ[Credit])))+(SUM(IF((CRDJ[Account Code]=(TRIM($B87)))*(CRDJ[Date]&lt;=$C$8),CRDJ[Credit])))+(SUM(IF((GJ[Account Code]=(TRIM($B87)))*(GJ[Date]&lt;=$C$8),GJ[Credit]))))</f>
        <v>0</v>
      </c>
      <c r="D87" s="466">
        <f t="array" ref="D87">((SUM(IF((CkDJ[Date]=$A$4)*(CkDJ[Account Code]=(TRIM($B87))),CkDJ[Debit])))+(SUM(IF((CsDJ[Date]=$A$4)*(CsDJ[Account Code]=(TRIM($B87))),CsDJ[Debit])))+(SUM(IF((CRDJ[Date]=$A$4)*(CRDJ[Account Code]=(TRIM($B87))),CRDJ[Debit])))+(SUM(IF((GJ[Date]=$A$4)*(GJ[Account Code]=(TRIM($B87))),GJ[Debit]))))-((SUM(IF((CkDJ[Date]=$A$4)*(CkDJ[Account Code]=(TRIM($B87))),CkDJ[Credit])))+(SUM(IF((CsDJ[Date]=$A$4)*(CsDJ[Account Code]=(TRIM($B87))),CsDJ[Credit])))+(SUM(IF((CRDJ[Date]=$A$4)*(CRDJ[Account Code]=(TRIM($B87))),CRDJ[Credit])))+(SUM(IF((GJ[Date]=$A$4)*(GJ[Account Code]=(TRIM($B87))),GJ[Credit]))))</f>
        <v>0</v>
      </c>
      <c r="E87" s="467">
        <f>C87+D87</f>
        <v>0</v>
      </c>
    </row>
    <row r="88" spans="1:5" x14ac:dyDescent="0.2">
      <c r="A88" s="476" t="s">
        <v>1475</v>
      </c>
      <c r="B88" s="339" t="s">
        <v>1266</v>
      </c>
      <c r="C88" s="466">
        <f t="array" ref="C88">((SUM(IF((CkDJ[Account Code]=(TRIM($B88)))*(CkDJ[Date]&lt;=$C$8),CkDJ[Debit])))+(SUM(IF((CsDJ[Account Code]=(TRIM($B88)))*(CsDJ[Date]&lt;=$C$8),CsDJ[Debit])))+(SUM(IF((CRDJ[Account Code]=(TRIM($B88)))*(CRDJ[Date]&lt;=$C$8),CRDJ[Debit])))+(SUM(IF((GJ[Account Code]=(TRIM($B88)))*(GJ[Date]&lt;=$C$8),GJ[Debit]))))-((SUM(IF((CkDJ[Account Code]=(TRIM($B88)))*(CkDJ[Date]&lt;=$C$8),CkDJ[Credit])))+(SUM(IF((CsDJ[Account Code]=(TRIM($B88)))*(CsDJ[Date]&lt;=$C$8),CsDJ[Credit])))+(SUM(IF((CRDJ[Account Code]=(TRIM($B88)))*(CRDJ[Date]&lt;=$C$8),CRDJ[Credit])))+(SUM(IF((GJ[Account Code]=(TRIM($B88)))*(GJ[Date]&lt;=$C$8),GJ[Credit]))))</f>
        <v>0</v>
      </c>
      <c r="D88" s="466">
        <f t="array" ref="D88">((SUM(IF((CkDJ[Date]=$A$4)*(CkDJ[Account Code]=(TRIM($B88))),CkDJ[Debit])))+(SUM(IF((CsDJ[Date]=$A$4)*(CsDJ[Account Code]=(TRIM($B88))),CsDJ[Debit])))+(SUM(IF((CRDJ[Date]=$A$4)*(CRDJ[Account Code]=(TRIM($B88))),CRDJ[Debit])))+(SUM(IF((GJ[Date]=$A$4)*(GJ[Account Code]=(TRIM($B88))),GJ[Debit]))))-((SUM(IF((CkDJ[Date]=$A$4)*(CkDJ[Account Code]=(TRIM($B88))),CkDJ[Credit])))+(SUM(IF((CsDJ[Date]=$A$4)*(CsDJ[Account Code]=(TRIM($B88))),CsDJ[Credit])))+(SUM(IF((CRDJ[Date]=$A$4)*(CRDJ[Account Code]=(TRIM($B88))),CRDJ[Credit])))+(SUM(IF((GJ[Date]=$A$4)*(GJ[Account Code]=(TRIM($B88))),GJ[Credit]))))</f>
        <v>0</v>
      </c>
      <c r="E88" s="467">
        <f>C88+D88</f>
        <v>0</v>
      </c>
    </row>
    <row r="89" spans="1:5" x14ac:dyDescent="0.2">
      <c r="A89" s="476" t="s">
        <v>294</v>
      </c>
      <c r="B89" s="339" t="s">
        <v>234</v>
      </c>
      <c r="C89" s="466">
        <f t="array" ref="C89">((SUM(IF((CkDJ[Account Code]=(TRIM($B89)))*(CkDJ[Date]&lt;=$C$8),CkDJ[Debit])))+(SUM(IF((CsDJ[Account Code]=(TRIM($B89)))*(CsDJ[Date]&lt;=$C$8),CsDJ[Debit])))+(SUM(IF((CRDJ[Account Code]=(TRIM($B89)))*(CRDJ[Date]&lt;=$C$8),CRDJ[Debit])))+(SUM(IF((GJ[Account Code]=(TRIM($B89)))*(GJ[Date]&lt;=$C$8),GJ[Debit]))))-((SUM(IF((CkDJ[Account Code]=(TRIM($B89)))*(CkDJ[Date]&lt;=$C$8),CkDJ[Credit])))+(SUM(IF((CsDJ[Account Code]=(TRIM($B89)))*(CsDJ[Date]&lt;=$C$8),CsDJ[Credit])))+(SUM(IF((CRDJ[Account Code]=(TRIM($B89)))*(CRDJ[Date]&lt;=$C$8),CRDJ[Credit])))+(SUM(IF((GJ[Account Code]=(TRIM($B89)))*(GJ[Date]&lt;=$C$8),GJ[Credit]))))</f>
        <v>0</v>
      </c>
      <c r="D89" s="466">
        <f t="array" ref="D89">((SUM(IF((CkDJ[Date]=$A$4)*(CkDJ[Account Code]=(TRIM($B89))),CkDJ[Debit])))+(SUM(IF((CsDJ[Date]=$A$4)*(CsDJ[Account Code]=(TRIM($B89))),CsDJ[Debit])))+(SUM(IF((CRDJ[Date]=$A$4)*(CRDJ[Account Code]=(TRIM($B89))),CRDJ[Debit])))+(SUM(IF((GJ[Date]=$A$4)*(GJ[Account Code]=(TRIM($B89))),GJ[Debit]))))-((SUM(IF((CkDJ[Date]=$A$4)*(CkDJ[Account Code]=(TRIM($B89))),CkDJ[Credit])))+(SUM(IF((CsDJ[Date]=$A$4)*(CsDJ[Account Code]=(TRIM($B89))),CsDJ[Credit])))+(SUM(IF((CRDJ[Date]=$A$4)*(CRDJ[Account Code]=(TRIM($B89))),CRDJ[Credit])))+(SUM(IF((GJ[Date]=$A$4)*(GJ[Account Code]=(TRIM($B89))),GJ[Credit]))))</f>
        <v>0</v>
      </c>
      <c r="E89" s="467">
        <f t="shared" si="2"/>
        <v>0</v>
      </c>
    </row>
    <row r="90" spans="1:5" x14ac:dyDescent="0.2">
      <c r="A90" s="476" t="s">
        <v>295</v>
      </c>
      <c r="B90" s="339" t="s">
        <v>235</v>
      </c>
      <c r="C90" s="466">
        <f t="array" ref="C90">((SUM(IF((CkDJ[Account Code]=(TRIM($B90)))*(CkDJ[Date]&lt;=$C$8),CkDJ[Debit])))+(SUM(IF((CsDJ[Account Code]=(TRIM($B90)))*(CsDJ[Date]&lt;=$C$8),CsDJ[Debit])))+(SUM(IF((CRDJ[Account Code]=(TRIM($B90)))*(CRDJ[Date]&lt;=$C$8),CRDJ[Debit])))+(SUM(IF((GJ[Account Code]=(TRIM($B90)))*(GJ[Date]&lt;=$C$8),GJ[Debit]))))-((SUM(IF((CkDJ[Account Code]=(TRIM($B90)))*(CkDJ[Date]&lt;=$C$8),CkDJ[Credit])))+(SUM(IF((CsDJ[Account Code]=(TRIM($B90)))*(CsDJ[Date]&lt;=$C$8),CsDJ[Credit])))+(SUM(IF((CRDJ[Account Code]=(TRIM($B90)))*(CRDJ[Date]&lt;=$C$8),CRDJ[Credit])))+(SUM(IF((GJ[Account Code]=(TRIM($B90)))*(GJ[Date]&lt;=$C$8),GJ[Credit]))))</f>
        <v>0</v>
      </c>
      <c r="D90" s="466">
        <f t="array" ref="D90">((SUM(IF((CkDJ[Date]=$A$4)*(CkDJ[Account Code]=(TRIM($B90))),CkDJ[Debit])))+(SUM(IF((CsDJ[Date]=$A$4)*(CsDJ[Account Code]=(TRIM($B90))),CsDJ[Debit])))+(SUM(IF((CRDJ[Date]=$A$4)*(CRDJ[Account Code]=(TRIM($B90))),CRDJ[Debit])))+(SUM(IF((GJ[Date]=$A$4)*(GJ[Account Code]=(TRIM($B90))),GJ[Debit]))))-((SUM(IF((CkDJ[Date]=$A$4)*(CkDJ[Account Code]=(TRIM($B90))),CkDJ[Credit])))+(SUM(IF((CsDJ[Date]=$A$4)*(CsDJ[Account Code]=(TRIM($B90))),CsDJ[Credit])))+(SUM(IF((CRDJ[Date]=$A$4)*(CRDJ[Account Code]=(TRIM($B90))),CRDJ[Credit])))+(SUM(IF((GJ[Date]=$A$4)*(GJ[Account Code]=(TRIM($B90))),GJ[Credit]))))</f>
        <v>0</v>
      </c>
      <c r="E90" s="467">
        <f t="shared" si="2"/>
        <v>0</v>
      </c>
    </row>
    <row r="91" spans="1:5" x14ac:dyDescent="0.2">
      <c r="A91" s="476" t="s">
        <v>296</v>
      </c>
      <c r="B91" s="339" t="s">
        <v>236</v>
      </c>
      <c r="C91" s="466">
        <f t="array" ref="C91">((SUM(IF((CkDJ[Account Code]=(TRIM($B91)))*(CkDJ[Date]&lt;=$C$8),CkDJ[Debit])))+(SUM(IF((CsDJ[Account Code]=(TRIM($B91)))*(CsDJ[Date]&lt;=$C$8),CsDJ[Debit])))+(SUM(IF((CRDJ[Account Code]=(TRIM($B91)))*(CRDJ[Date]&lt;=$C$8),CRDJ[Debit])))+(SUM(IF((GJ[Account Code]=(TRIM($B91)))*(GJ[Date]&lt;=$C$8),GJ[Debit]))))-((SUM(IF((CkDJ[Account Code]=(TRIM($B91)))*(CkDJ[Date]&lt;=$C$8),CkDJ[Credit])))+(SUM(IF((CsDJ[Account Code]=(TRIM($B91)))*(CsDJ[Date]&lt;=$C$8),CsDJ[Credit])))+(SUM(IF((CRDJ[Account Code]=(TRIM($B91)))*(CRDJ[Date]&lt;=$C$8),CRDJ[Credit])))+(SUM(IF((GJ[Account Code]=(TRIM($B91)))*(GJ[Date]&lt;=$C$8),GJ[Credit]))))</f>
        <v>0</v>
      </c>
      <c r="D91" s="466">
        <f t="array" ref="D91">((SUM(IF((CkDJ[Date]=$A$4)*(CkDJ[Account Code]=(TRIM($B91))),CkDJ[Debit])))+(SUM(IF((CsDJ[Date]=$A$4)*(CsDJ[Account Code]=(TRIM($B91))),CsDJ[Debit])))+(SUM(IF((CRDJ[Date]=$A$4)*(CRDJ[Account Code]=(TRIM($B91))),CRDJ[Debit])))+(SUM(IF((GJ[Date]=$A$4)*(GJ[Account Code]=(TRIM($B91))),GJ[Debit]))))-((SUM(IF((CkDJ[Date]=$A$4)*(CkDJ[Account Code]=(TRIM($B91))),CkDJ[Credit])))+(SUM(IF((CsDJ[Date]=$A$4)*(CsDJ[Account Code]=(TRIM($B91))),CsDJ[Credit])))+(SUM(IF((CRDJ[Date]=$A$4)*(CRDJ[Account Code]=(TRIM($B91))),CRDJ[Credit])))+(SUM(IF((GJ[Date]=$A$4)*(GJ[Account Code]=(TRIM($B91))),GJ[Credit]))))</f>
        <v>0</v>
      </c>
      <c r="E91" s="467">
        <f t="shared" si="2"/>
        <v>0</v>
      </c>
    </row>
    <row r="92" spans="1:5" x14ac:dyDescent="0.2">
      <c r="A92" s="476" t="s">
        <v>297</v>
      </c>
      <c r="B92" s="339" t="s">
        <v>237</v>
      </c>
      <c r="C92" s="466">
        <f t="array" ref="C92">((SUM(IF((CkDJ[Account Code]=(TRIM($B92)))*(CkDJ[Date]&lt;=$C$8),CkDJ[Debit])))+(SUM(IF((CsDJ[Account Code]=(TRIM($B92)))*(CsDJ[Date]&lt;=$C$8),CsDJ[Debit])))+(SUM(IF((CRDJ[Account Code]=(TRIM($B92)))*(CRDJ[Date]&lt;=$C$8),CRDJ[Debit])))+(SUM(IF((GJ[Account Code]=(TRIM($B92)))*(GJ[Date]&lt;=$C$8),GJ[Debit]))))-((SUM(IF((CkDJ[Account Code]=(TRIM($B92)))*(CkDJ[Date]&lt;=$C$8),CkDJ[Credit])))+(SUM(IF((CsDJ[Account Code]=(TRIM($B92)))*(CsDJ[Date]&lt;=$C$8),CsDJ[Credit])))+(SUM(IF((CRDJ[Account Code]=(TRIM($B92)))*(CRDJ[Date]&lt;=$C$8),CRDJ[Credit])))+(SUM(IF((GJ[Account Code]=(TRIM($B92)))*(GJ[Date]&lt;=$C$8),GJ[Credit]))))</f>
        <v>0</v>
      </c>
      <c r="D92" s="466">
        <f t="array" ref="D92">((SUM(IF((CkDJ[Date]=$A$4)*(CkDJ[Account Code]=(TRIM($B92))),CkDJ[Debit])))+(SUM(IF((CsDJ[Date]=$A$4)*(CsDJ[Account Code]=(TRIM($B92))),CsDJ[Debit])))+(SUM(IF((CRDJ[Date]=$A$4)*(CRDJ[Account Code]=(TRIM($B92))),CRDJ[Debit])))+(SUM(IF((GJ[Date]=$A$4)*(GJ[Account Code]=(TRIM($B92))),GJ[Debit]))))-((SUM(IF((CkDJ[Date]=$A$4)*(CkDJ[Account Code]=(TRIM($B92))),CkDJ[Credit])))+(SUM(IF((CsDJ[Date]=$A$4)*(CsDJ[Account Code]=(TRIM($B92))),CsDJ[Credit])))+(SUM(IF((CRDJ[Date]=$A$4)*(CRDJ[Account Code]=(TRIM($B92))),CRDJ[Credit])))+(SUM(IF((GJ[Date]=$A$4)*(GJ[Account Code]=(TRIM($B92))),GJ[Credit]))))</f>
        <v>0</v>
      </c>
      <c r="E92" s="467">
        <f t="shared" si="2"/>
        <v>0</v>
      </c>
    </row>
    <row r="93" spans="1:5" x14ac:dyDescent="0.2">
      <c r="A93" s="476" t="s">
        <v>298</v>
      </c>
      <c r="B93" s="339" t="s">
        <v>238</v>
      </c>
      <c r="C93" s="466">
        <f t="array" ref="C93">((SUM(IF((CkDJ[Account Code]=(TRIM($B93)))*(CkDJ[Date]&lt;=$C$8),CkDJ[Debit])))+(SUM(IF((CsDJ[Account Code]=(TRIM($B93)))*(CsDJ[Date]&lt;=$C$8),CsDJ[Debit])))+(SUM(IF((CRDJ[Account Code]=(TRIM($B93)))*(CRDJ[Date]&lt;=$C$8),CRDJ[Debit])))+(SUM(IF((GJ[Account Code]=(TRIM($B93)))*(GJ[Date]&lt;=$C$8),GJ[Debit]))))-((SUM(IF((CkDJ[Account Code]=(TRIM($B93)))*(CkDJ[Date]&lt;=$C$8),CkDJ[Credit])))+(SUM(IF((CsDJ[Account Code]=(TRIM($B93)))*(CsDJ[Date]&lt;=$C$8),CsDJ[Credit])))+(SUM(IF((CRDJ[Account Code]=(TRIM($B93)))*(CRDJ[Date]&lt;=$C$8),CRDJ[Credit])))+(SUM(IF((GJ[Account Code]=(TRIM($B93)))*(GJ[Date]&lt;=$C$8),GJ[Credit]))))</f>
        <v>0</v>
      </c>
      <c r="D93" s="466">
        <f t="array" ref="D93">((SUM(IF((CkDJ[Date]=$A$4)*(CkDJ[Account Code]=(TRIM($B93))),CkDJ[Debit])))+(SUM(IF((CsDJ[Date]=$A$4)*(CsDJ[Account Code]=(TRIM($B93))),CsDJ[Debit])))+(SUM(IF((CRDJ[Date]=$A$4)*(CRDJ[Account Code]=(TRIM($B93))),CRDJ[Debit])))+(SUM(IF((GJ[Date]=$A$4)*(GJ[Account Code]=(TRIM($B93))),GJ[Debit]))))-((SUM(IF((CkDJ[Date]=$A$4)*(CkDJ[Account Code]=(TRIM($B93))),CkDJ[Credit])))+(SUM(IF((CsDJ[Date]=$A$4)*(CsDJ[Account Code]=(TRIM($B93))),CsDJ[Credit])))+(SUM(IF((CRDJ[Date]=$A$4)*(CRDJ[Account Code]=(TRIM($B93))),CRDJ[Credit])))+(SUM(IF((GJ[Date]=$A$4)*(GJ[Account Code]=(TRIM($B93))),GJ[Credit]))))</f>
        <v>0</v>
      </c>
      <c r="E93" s="467">
        <f t="shared" si="2"/>
        <v>0</v>
      </c>
    </row>
    <row r="94" spans="1:5" x14ac:dyDescent="0.2">
      <c r="A94" s="476" t="s">
        <v>1019</v>
      </c>
      <c r="B94" s="339" t="s">
        <v>239</v>
      </c>
      <c r="C94" s="466">
        <f t="array" ref="C94">((SUM(IF((CkDJ[Account Code]=(TRIM($B94)))*(CkDJ[Date]&lt;=$C$8),CkDJ[Debit])))+(SUM(IF((CsDJ[Account Code]=(TRIM($B94)))*(CsDJ[Date]&lt;=$C$8),CsDJ[Debit])))+(SUM(IF((CRDJ[Account Code]=(TRIM($B94)))*(CRDJ[Date]&lt;=$C$8),CRDJ[Debit])))+(SUM(IF((GJ[Account Code]=(TRIM($B94)))*(GJ[Date]&lt;=$C$8),GJ[Debit]))))-((SUM(IF((CkDJ[Account Code]=(TRIM($B94)))*(CkDJ[Date]&lt;=$C$8),CkDJ[Credit])))+(SUM(IF((CsDJ[Account Code]=(TRIM($B94)))*(CsDJ[Date]&lt;=$C$8),CsDJ[Credit])))+(SUM(IF((CRDJ[Account Code]=(TRIM($B94)))*(CRDJ[Date]&lt;=$C$8),CRDJ[Credit])))+(SUM(IF((GJ[Account Code]=(TRIM($B94)))*(GJ[Date]&lt;=$C$8),GJ[Credit]))))</f>
        <v>0</v>
      </c>
      <c r="D94" s="466">
        <f t="array" ref="D94">((SUM(IF((CkDJ[Date]=$A$4)*(CkDJ[Account Code]=(TRIM($B94))),CkDJ[Debit])))+(SUM(IF((CsDJ[Date]=$A$4)*(CsDJ[Account Code]=(TRIM($B94))),CsDJ[Debit])))+(SUM(IF((CRDJ[Date]=$A$4)*(CRDJ[Account Code]=(TRIM($B94))),CRDJ[Debit])))+(SUM(IF((GJ[Date]=$A$4)*(GJ[Account Code]=(TRIM($B94))),GJ[Debit]))))-((SUM(IF((CkDJ[Date]=$A$4)*(CkDJ[Account Code]=(TRIM($B94))),CkDJ[Credit])))+(SUM(IF((CsDJ[Date]=$A$4)*(CsDJ[Account Code]=(TRIM($B94))),CsDJ[Credit])))+(SUM(IF((CRDJ[Date]=$A$4)*(CRDJ[Account Code]=(TRIM($B94))),CRDJ[Credit])))+(SUM(IF((GJ[Date]=$A$4)*(GJ[Account Code]=(TRIM($B94))),GJ[Credit]))))</f>
        <v>0</v>
      </c>
      <c r="E94" s="467">
        <f t="shared" si="2"/>
        <v>0</v>
      </c>
    </row>
    <row r="95" spans="1:5" x14ac:dyDescent="0.2">
      <c r="A95" s="476" t="s">
        <v>1020</v>
      </c>
      <c r="B95" s="339" t="s">
        <v>240</v>
      </c>
      <c r="C95" s="466">
        <f t="array" ref="C95">((SUM(IF((CkDJ[Account Code]=(TRIM($B95)))*(CkDJ[Date]&lt;=$C$8),CkDJ[Debit])))+(SUM(IF((CsDJ[Account Code]=(TRIM($B95)))*(CsDJ[Date]&lt;=$C$8),CsDJ[Debit])))+(SUM(IF((CRDJ[Account Code]=(TRIM($B95)))*(CRDJ[Date]&lt;=$C$8),CRDJ[Debit])))+(SUM(IF((GJ[Account Code]=(TRIM($B95)))*(GJ[Date]&lt;=$C$8),GJ[Debit]))))-((SUM(IF((CkDJ[Account Code]=(TRIM($B95)))*(CkDJ[Date]&lt;=$C$8),CkDJ[Credit])))+(SUM(IF((CsDJ[Account Code]=(TRIM($B95)))*(CsDJ[Date]&lt;=$C$8),CsDJ[Credit])))+(SUM(IF((CRDJ[Account Code]=(TRIM($B95)))*(CRDJ[Date]&lt;=$C$8),CRDJ[Credit])))+(SUM(IF((GJ[Account Code]=(TRIM($B95)))*(GJ[Date]&lt;=$C$8),GJ[Credit]))))</f>
        <v>0</v>
      </c>
      <c r="D95" s="466">
        <f t="array" ref="D95">((SUM(IF((CkDJ[Date]=$A$4)*(CkDJ[Account Code]=(TRIM($B95))),CkDJ[Debit])))+(SUM(IF((CsDJ[Date]=$A$4)*(CsDJ[Account Code]=(TRIM($B95))),CsDJ[Debit])))+(SUM(IF((CRDJ[Date]=$A$4)*(CRDJ[Account Code]=(TRIM($B95))),CRDJ[Debit])))+(SUM(IF((GJ[Date]=$A$4)*(GJ[Account Code]=(TRIM($B95))),GJ[Debit]))))-((SUM(IF((CkDJ[Date]=$A$4)*(CkDJ[Account Code]=(TRIM($B95))),CkDJ[Credit])))+(SUM(IF((CsDJ[Date]=$A$4)*(CsDJ[Account Code]=(TRIM($B95))),CsDJ[Credit])))+(SUM(IF((CRDJ[Date]=$A$4)*(CRDJ[Account Code]=(TRIM($B95))),CRDJ[Credit])))+(SUM(IF((GJ[Date]=$A$4)*(GJ[Account Code]=(TRIM($B95))),GJ[Credit]))))</f>
        <v>0</v>
      </c>
      <c r="E95" s="467">
        <f t="shared" si="2"/>
        <v>0</v>
      </c>
    </row>
    <row r="96" spans="1:5" x14ac:dyDescent="0.2">
      <c r="A96" s="476" t="s">
        <v>299</v>
      </c>
      <c r="B96" s="339" t="s">
        <v>241</v>
      </c>
      <c r="C96" s="466">
        <f t="array" ref="C96">((SUM(IF((CkDJ[Account Code]=(TRIM($B96)))*(CkDJ[Date]&lt;=$C$8),CkDJ[Debit])))+(SUM(IF((CsDJ[Account Code]=(TRIM($B96)))*(CsDJ[Date]&lt;=$C$8),CsDJ[Debit])))+(SUM(IF((CRDJ[Account Code]=(TRIM($B96)))*(CRDJ[Date]&lt;=$C$8),CRDJ[Debit])))+(SUM(IF((GJ[Account Code]=(TRIM($B96)))*(GJ[Date]&lt;=$C$8),GJ[Debit]))))-((SUM(IF((CkDJ[Account Code]=(TRIM($B96)))*(CkDJ[Date]&lt;=$C$8),CkDJ[Credit])))+(SUM(IF((CsDJ[Account Code]=(TRIM($B96)))*(CsDJ[Date]&lt;=$C$8),CsDJ[Credit])))+(SUM(IF((CRDJ[Account Code]=(TRIM($B96)))*(CRDJ[Date]&lt;=$C$8),CRDJ[Credit])))+(SUM(IF((GJ[Account Code]=(TRIM($B96)))*(GJ[Date]&lt;=$C$8),GJ[Credit]))))</f>
        <v>0</v>
      </c>
      <c r="D96" s="466">
        <f t="array" ref="D96">((SUM(IF((CkDJ[Date]=$A$4)*(CkDJ[Account Code]=(TRIM($B96))),CkDJ[Debit])))+(SUM(IF((CsDJ[Date]=$A$4)*(CsDJ[Account Code]=(TRIM($B96))),CsDJ[Debit])))+(SUM(IF((CRDJ[Date]=$A$4)*(CRDJ[Account Code]=(TRIM($B96))),CRDJ[Debit])))+(SUM(IF((GJ[Date]=$A$4)*(GJ[Account Code]=(TRIM($B96))),GJ[Debit]))))-((SUM(IF((CkDJ[Date]=$A$4)*(CkDJ[Account Code]=(TRIM($B96))),CkDJ[Credit])))+(SUM(IF((CsDJ[Date]=$A$4)*(CsDJ[Account Code]=(TRIM($B96))),CsDJ[Credit])))+(SUM(IF((CRDJ[Date]=$A$4)*(CRDJ[Account Code]=(TRIM($B96))),CRDJ[Credit])))+(SUM(IF((GJ[Date]=$A$4)*(GJ[Account Code]=(TRIM($B96))),GJ[Credit]))))</f>
        <v>0</v>
      </c>
      <c r="E96" s="467">
        <f t="shared" si="2"/>
        <v>0</v>
      </c>
    </row>
    <row r="97" spans="1:5" x14ac:dyDescent="0.2">
      <c r="A97" s="476" t="s">
        <v>300</v>
      </c>
      <c r="B97" s="339" t="s">
        <v>242</v>
      </c>
      <c r="C97" s="466">
        <f t="array" ref="C97">((SUM(IF((CkDJ[Account Code]=(TRIM($B97)))*(CkDJ[Date]&lt;=$C$8),CkDJ[Debit])))+(SUM(IF((CsDJ[Account Code]=(TRIM($B97)))*(CsDJ[Date]&lt;=$C$8),CsDJ[Debit])))+(SUM(IF((CRDJ[Account Code]=(TRIM($B97)))*(CRDJ[Date]&lt;=$C$8),CRDJ[Debit])))+(SUM(IF((GJ[Account Code]=(TRIM($B97)))*(GJ[Date]&lt;=$C$8),GJ[Debit]))))-((SUM(IF((CkDJ[Account Code]=(TRIM($B97)))*(CkDJ[Date]&lt;=$C$8),CkDJ[Credit])))+(SUM(IF((CsDJ[Account Code]=(TRIM($B97)))*(CsDJ[Date]&lt;=$C$8),CsDJ[Credit])))+(SUM(IF((CRDJ[Account Code]=(TRIM($B97)))*(CRDJ[Date]&lt;=$C$8),CRDJ[Credit])))+(SUM(IF((GJ[Account Code]=(TRIM($B97)))*(GJ[Date]&lt;=$C$8),GJ[Credit]))))</f>
        <v>0</v>
      </c>
      <c r="D97" s="466">
        <f t="array" ref="D97">((SUM(IF((CkDJ[Date]=$A$4)*(CkDJ[Account Code]=(TRIM($B97))),CkDJ[Debit])))+(SUM(IF((CsDJ[Date]=$A$4)*(CsDJ[Account Code]=(TRIM($B97))),CsDJ[Debit])))+(SUM(IF((CRDJ[Date]=$A$4)*(CRDJ[Account Code]=(TRIM($B97))),CRDJ[Debit])))+(SUM(IF((GJ[Date]=$A$4)*(GJ[Account Code]=(TRIM($B97))),GJ[Debit]))))-((SUM(IF((CkDJ[Date]=$A$4)*(CkDJ[Account Code]=(TRIM($B97))),CkDJ[Credit])))+(SUM(IF((CsDJ[Date]=$A$4)*(CsDJ[Account Code]=(TRIM($B97))),CsDJ[Credit])))+(SUM(IF((CRDJ[Date]=$A$4)*(CRDJ[Account Code]=(TRIM($B97))),CRDJ[Credit])))+(SUM(IF((GJ[Date]=$A$4)*(GJ[Account Code]=(TRIM($B97))),GJ[Credit]))))</f>
        <v>0</v>
      </c>
      <c r="E97" s="467">
        <f t="shared" si="2"/>
        <v>0</v>
      </c>
    </row>
    <row r="98" spans="1:5" x14ac:dyDescent="0.2">
      <c r="A98" s="476" t="s">
        <v>301</v>
      </c>
      <c r="B98" s="339" t="s">
        <v>243</v>
      </c>
      <c r="C98" s="466">
        <f t="array" ref="C98">((SUM(IF((CkDJ[Account Code]=(TRIM($B98)))*(CkDJ[Date]&lt;=$C$8),CkDJ[Debit])))+(SUM(IF((CsDJ[Account Code]=(TRIM($B98)))*(CsDJ[Date]&lt;=$C$8),CsDJ[Debit])))+(SUM(IF((CRDJ[Account Code]=(TRIM($B98)))*(CRDJ[Date]&lt;=$C$8),CRDJ[Debit])))+(SUM(IF((GJ[Account Code]=(TRIM($B98)))*(GJ[Date]&lt;=$C$8),GJ[Debit]))))-((SUM(IF((CkDJ[Account Code]=(TRIM($B98)))*(CkDJ[Date]&lt;=$C$8),CkDJ[Credit])))+(SUM(IF((CsDJ[Account Code]=(TRIM($B98)))*(CsDJ[Date]&lt;=$C$8),CsDJ[Credit])))+(SUM(IF((CRDJ[Account Code]=(TRIM($B98)))*(CRDJ[Date]&lt;=$C$8),CRDJ[Credit])))+(SUM(IF((GJ[Account Code]=(TRIM($B98)))*(GJ[Date]&lt;=$C$8),GJ[Credit]))))</f>
        <v>0</v>
      </c>
      <c r="D98" s="466">
        <f t="array" ref="D98">((SUM(IF((CkDJ[Date]=$A$4)*(CkDJ[Account Code]=(TRIM($B98))),CkDJ[Debit])))+(SUM(IF((CsDJ[Date]=$A$4)*(CsDJ[Account Code]=(TRIM($B98))),CsDJ[Debit])))+(SUM(IF((CRDJ[Date]=$A$4)*(CRDJ[Account Code]=(TRIM($B98))),CRDJ[Debit])))+(SUM(IF((GJ[Date]=$A$4)*(GJ[Account Code]=(TRIM($B98))),GJ[Debit]))))-((SUM(IF((CkDJ[Date]=$A$4)*(CkDJ[Account Code]=(TRIM($B98))),CkDJ[Credit])))+(SUM(IF((CsDJ[Date]=$A$4)*(CsDJ[Account Code]=(TRIM($B98))),CsDJ[Credit])))+(SUM(IF((CRDJ[Date]=$A$4)*(CRDJ[Account Code]=(TRIM($B98))),CRDJ[Credit])))+(SUM(IF((GJ[Date]=$A$4)*(GJ[Account Code]=(TRIM($B98))),GJ[Credit]))))</f>
        <v>0</v>
      </c>
      <c r="E98" s="467">
        <f t="shared" si="2"/>
        <v>0</v>
      </c>
    </row>
    <row r="99" spans="1:5" x14ac:dyDescent="0.2">
      <c r="A99" s="476" t="s">
        <v>302</v>
      </c>
      <c r="B99" s="339" t="s">
        <v>244</v>
      </c>
      <c r="C99" s="466">
        <f t="array" ref="C99">((SUM(IF((CkDJ[Account Code]=(TRIM($B99)))*(CkDJ[Date]&lt;=$C$8),CkDJ[Debit])))+(SUM(IF((CsDJ[Account Code]=(TRIM($B99)))*(CsDJ[Date]&lt;=$C$8),CsDJ[Debit])))+(SUM(IF((CRDJ[Account Code]=(TRIM($B99)))*(CRDJ[Date]&lt;=$C$8),CRDJ[Debit])))+(SUM(IF((GJ[Account Code]=(TRIM($B99)))*(GJ[Date]&lt;=$C$8),GJ[Debit]))))-((SUM(IF((CkDJ[Account Code]=(TRIM($B99)))*(CkDJ[Date]&lt;=$C$8),CkDJ[Credit])))+(SUM(IF((CsDJ[Account Code]=(TRIM($B99)))*(CsDJ[Date]&lt;=$C$8),CsDJ[Credit])))+(SUM(IF((CRDJ[Account Code]=(TRIM($B99)))*(CRDJ[Date]&lt;=$C$8),CRDJ[Credit])))+(SUM(IF((GJ[Account Code]=(TRIM($B99)))*(GJ[Date]&lt;=$C$8),GJ[Credit]))))</f>
        <v>0</v>
      </c>
      <c r="D99" s="466">
        <f t="array" ref="D99">((SUM(IF((CkDJ[Date]=$A$4)*(CkDJ[Account Code]=(TRIM($B99))),CkDJ[Debit])))+(SUM(IF((CsDJ[Date]=$A$4)*(CsDJ[Account Code]=(TRIM($B99))),CsDJ[Debit])))+(SUM(IF((CRDJ[Date]=$A$4)*(CRDJ[Account Code]=(TRIM($B99))),CRDJ[Debit])))+(SUM(IF((GJ[Date]=$A$4)*(GJ[Account Code]=(TRIM($B99))),GJ[Debit]))))-((SUM(IF((CkDJ[Date]=$A$4)*(CkDJ[Account Code]=(TRIM($B99))),CkDJ[Credit])))+(SUM(IF((CsDJ[Date]=$A$4)*(CsDJ[Account Code]=(TRIM($B99))),CsDJ[Credit])))+(SUM(IF((CRDJ[Date]=$A$4)*(CRDJ[Account Code]=(TRIM($B99))),CRDJ[Credit])))+(SUM(IF((GJ[Date]=$A$4)*(GJ[Account Code]=(TRIM($B99))),GJ[Credit]))))</f>
        <v>0</v>
      </c>
      <c r="E99" s="467">
        <f t="shared" si="2"/>
        <v>0</v>
      </c>
    </row>
    <row r="100" spans="1:5" x14ac:dyDescent="0.2">
      <c r="A100" s="476" t="s">
        <v>347</v>
      </c>
      <c r="B100" s="339" t="s">
        <v>338</v>
      </c>
      <c r="C100" s="466">
        <f t="array" ref="C100">((SUM(IF((CkDJ[Account Code]=(TRIM($B100)))*(CkDJ[Date]&lt;=$C$8),CkDJ[Debit])))+(SUM(IF((CsDJ[Account Code]=(TRIM($B100)))*(CsDJ[Date]&lt;=$C$8),CsDJ[Debit])))+(SUM(IF((CRDJ[Account Code]=(TRIM($B100)))*(CRDJ[Date]&lt;=$C$8),CRDJ[Debit])))+(SUM(IF((GJ[Account Code]=(TRIM($B100)))*(GJ[Date]&lt;=$C$8),GJ[Debit]))))-((SUM(IF((CkDJ[Account Code]=(TRIM($B100)))*(CkDJ[Date]&lt;=$C$8),CkDJ[Credit])))+(SUM(IF((CsDJ[Account Code]=(TRIM($B100)))*(CsDJ[Date]&lt;=$C$8),CsDJ[Credit])))+(SUM(IF((CRDJ[Account Code]=(TRIM($B100)))*(CRDJ[Date]&lt;=$C$8),CRDJ[Credit])))+(SUM(IF((GJ[Account Code]=(TRIM($B100)))*(GJ[Date]&lt;=$C$8),GJ[Credit]))))</f>
        <v>0</v>
      </c>
      <c r="D100" s="466">
        <f t="array" ref="D100">((SUM(IF((CkDJ[Date]=$A$4)*(CkDJ[Account Code]=(TRIM($B100))),CkDJ[Debit])))+(SUM(IF((CsDJ[Date]=$A$4)*(CsDJ[Account Code]=(TRIM($B100))),CsDJ[Debit])))+(SUM(IF((CRDJ[Date]=$A$4)*(CRDJ[Account Code]=(TRIM($B100))),CRDJ[Debit])))+(SUM(IF((GJ[Date]=$A$4)*(GJ[Account Code]=(TRIM($B100))),GJ[Debit]))))-((SUM(IF((CkDJ[Date]=$A$4)*(CkDJ[Account Code]=(TRIM($B100))),CkDJ[Credit])))+(SUM(IF((CsDJ[Date]=$A$4)*(CsDJ[Account Code]=(TRIM($B100))),CsDJ[Credit])))+(SUM(IF((CRDJ[Date]=$A$4)*(CRDJ[Account Code]=(TRIM($B100))),CRDJ[Credit])))+(SUM(IF((GJ[Date]=$A$4)*(GJ[Account Code]=(TRIM($B100))),GJ[Credit]))))</f>
        <v>0</v>
      </c>
      <c r="E100" s="467">
        <f t="shared" si="2"/>
        <v>0</v>
      </c>
    </row>
    <row r="101" spans="1:5" x14ac:dyDescent="0.2">
      <c r="A101" s="476" t="s">
        <v>348</v>
      </c>
      <c r="B101" s="339" t="s">
        <v>339</v>
      </c>
      <c r="C101" s="466">
        <f t="array" ref="C101">((SUM(IF((CkDJ[Account Code]=(TRIM($B101)))*(CkDJ[Date]&lt;=$C$8),CkDJ[Debit])))+(SUM(IF((CsDJ[Account Code]=(TRIM($B101)))*(CsDJ[Date]&lt;=$C$8),CsDJ[Debit])))+(SUM(IF((CRDJ[Account Code]=(TRIM($B101)))*(CRDJ[Date]&lt;=$C$8),CRDJ[Debit])))+(SUM(IF((GJ[Account Code]=(TRIM($B101)))*(GJ[Date]&lt;=$C$8),GJ[Debit]))))-((SUM(IF((CkDJ[Account Code]=(TRIM($B101)))*(CkDJ[Date]&lt;=$C$8),CkDJ[Credit])))+(SUM(IF((CsDJ[Account Code]=(TRIM($B101)))*(CsDJ[Date]&lt;=$C$8),CsDJ[Credit])))+(SUM(IF((CRDJ[Account Code]=(TRIM($B101)))*(CRDJ[Date]&lt;=$C$8),CRDJ[Credit])))+(SUM(IF((GJ[Account Code]=(TRIM($B101)))*(GJ[Date]&lt;=$C$8),GJ[Credit]))))</f>
        <v>0</v>
      </c>
      <c r="D101" s="466">
        <f t="array" ref="D101">((SUM(IF((CkDJ[Date]=$A$4)*(CkDJ[Account Code]=(TRIM($B101))),CkDJ[Debit])))+(SUM(IF((CsDJ[Date]=$A$4)*(CsDJ[Account Code]=(TRIM($B101))),CsDJ[Debit])))+(SUM(IF((CRDJ[Date]=$A$4)*(CRDJ[Account Code]=(TRIM($B101))),CRDJ[Debit])))+(SUM(IF((GJ[Date]=$A$4)*(GJ[Account Code]=(TRIM($B101))),GJ[Debit]))))-((SUM(IF((CkDJ[Date]=$A$4)*(CkDJ[Account Code]=(TRIM($B101))),CkDJ[Credit])))+(SUM(IF((CsDJ[Date]=$A$4)*(CsDJ[Account Code]=(TRIM($B101))),CsDJ[Credit])))+(SUM(IF((CRDJ[Date]=$A$4)*(CRDJ[Account Code]=(TRIM($B101))),CRDJ[Credit])))+(SUM(IF((GJ[Date]=$A$4)*(GJ[Account Code]=(TRIM($B101))),GJ[Credit]))))</f>
        <v>0</v>
      </c>
      <c r="E101" s="467">
        <f t="shared" si="2"/>
        <v>0</v>
      </c>
    </row>
    <row r="102" spans="1:5" x14ac:dyDescent="0.2">
      <c r="A102" s="476" t="s">
        <v>1021</v>
      </c>
      <c r="B102" s="339" t="s">
        <v>245</v>
      </c>
      <c r="C102" s="466">
        <f t="array" ref="C102">((SUM(IF((CkDJ[Account Code]=(TRIM($B102)))*(CkDJ[Date]&lt;=$C$8),CkDJ[Debit])))+(SUM(IF((CsDJ[Account Code]=(TRIM($B102)))*(CsDJ[Date]&lt;=$C$8),CsDJ[Debit])))+(SUM(IF((CRDJ[Account Code]=(TRIM($B102)))*(CRDJ[Date]&lt;=$C$8),CRDJ[Debit])))+(SUM(IF((GJ[Account Code]=(TRIM($B102)))*(GJ[Date]&lt;=$C$8),GJ[Debit]))))-((SUM(IF((CkDJ[Account Code]=(TRIM($B102)))*(CkDJ[Date]&lt;=$C$8),CkDJ[Credit])))+(SUM(IF((CsDJ[Account Code]=(TRIM($B102)))*(CsDJ[Date]&lt;=$C$8),CsDJ[Credit])))+(SUM(IF((CRDJ[Account Code]=(TRIM($B102)))*(CRDJ[Date]&lt;=$C$8),CRDJ[Credit])))+(SUM(IF((GJ[Account Code]=(TRIM($B102)))*(GJ[Date]&lt;=$C$8),GJ[Credit]))))</f>
        <v>0</v>
      </c>
      <c r="D102" s="466">
        <f t="array" ref="D102">((SUM(IF((CkDJ[Date]=$A$4)*(CkDJ[Account Code]=(TRIM($B102))),CkDJ[Debit])))+(SUM(IF((CsDJ[Date]=$A$4)*(CsDJ[Account Code]=(TRIM($B102))),CsDJ[Debit])))+(SUM(IF((CRDJ[Date]=$A$4)*(CRDJ[Account Code]=(TRIM($B102))),CRDJ[Debit])))+(SUM(IF((GJ[Date]=$A$4)*(GJ[Account Code]=(TRIM($B102))),GJ[Debit]))))-((SUM(IF((CkDJ[Date]=$A$4)*(CkDJ[Account Code]=(TRIM($B102))),CkDJ[Credit])))+(SUM(IF((CsDJ[Date]=$A$4)*(CsDJ[Account Code]=(TRIM($B102))),CsDJ[Credit])))+(SUM(IF((CRDJ[Date]=$A$4)*(CRDJ[Account Code]=(TRIM($B102))),CRDJ[Credit])))+(SUM(IF((GJ[Date]=$A$4)*(GJ[Account Code]=(TRIM($B102))),GJ[Credit]))))</f>
        <v>0</v>
      </c>
      <c r="E102" s="467">
        <f t="shared" si="2"/>
        <v>0</v>
      </c>
    </row>
    <row r="103" spans="1:5" x14ac:dyDescent="0.2">
      <c r="A103" s="476" t="s">
        <v>1022</v>
      </c>
      <c r="B103" s="339" t="s">
        <v>246</v>
      </c>
      <c r="C103" s="466">
        <f t="array" ref="C103">((SUM(IF((CkDJ[Account Code]=(TRIM($B103)))*(CkDJ[Date]&lt;=$C$8),CkDJ[Debit])))+(SUM(IF((CsDJ[Account Code]=(TRIM($B103)))*(CsDJ[Date]&lt;=$C$8),CsDJ[Debit])))+(SUM(IF((CRDJ[Account Code]=(TRIM($B103)))*(CRDJ[Date]&lt;=$C$8),CRDJ[Debit])))+(SUM(IF((GJ[Account Code]=(TRIM($B103)))*(GJ[Date]&lt;=$C$8),GJ[Debit]))))-((SUM(IF((CkDJ[Account Code]=(TRIM($B103)))*(CkDJ[Date]&lt;=$C$8),CkDJ[Credit])))+(SUM(IF((CsDJ[Account Code]=(TRIM($B103)))*(CsDJ[Date]&lt;=$C$8),CsDJ[Credit])))+(SUM(IF((CRDJ[Account Code]=(TRIM($B103)))*(CRDJ[Date]&lt;=$C$8),CRDJ[Credit])))+(SUM(IF((GJ[Account Code]=(TRIM($B103)))*(GJ[Date]&lt;=$C$8),GJ[Credit]))))</f>
        <v>0</v>
      </c>
      <c r="D103" s="466">
        <f t="array" ref="D103">((SUM(IF((CkDJ[Date]=$A$4)*(CkDJ[Account Code]=(TRIM($B103))),CkDJ[Debit])))+(SUM(IF((CsDJ[Date]=$A$4)*(CsDJ[Account Code]=(TRIM($B103))),CsDJ[Debit])))+(SUM(IF((CRDJ[Date]=$A$4)*(CRDJ[Account Code]=(TRIM($B103))),CRDJ[Debit])))+(SUM(IF((GJ[Date]=$A$4)*(GJ[Account Code]=(TRIM($B103))),GJ[Debit]))))-((SUM(IF((CkDJ[Date]=$A$4)*(CkDJ[Account Code]=(TRIM($B103))),CkDJ[Credit])))+(SUM(IF((CsDJ[Date]=$A$4)*(CsDJ[Account Code]=(TRIM($B103))),CsDJ[Credit])))+(SUM(IF((CRDJ[Date]=$A$4)*(CRDJ[Account Code]=(TRIM($B103))),CRDJ[Credit])))+(SUM(IF((GJ[Date]=$A$4)*(GJ[Account Code]=(TRIM($B103))),GJ[Credit]))))</f>
        <v>0</v>
      </c>
      <c r="E103" s="467">
        <f t="shared" si="2"/>
        <v>0</v>
      </c>
    </row>
    <row r="104" spans="1:5" x14ac:dyDescent="0.2">
      <c r="A104" s="476" t="s">
        <v>304</v>
      </c>
      <c r="B104" s="339" t="s">
        <v>222</v>
      </c>
      <c r="C104" s="466">
        <f t="array" ref="C104">((SUM(IF((CkDJ[Account Code]=(TRIM($B104)))*(CkDJ[Date]&lt;=$C$8),CkDJ[Debit])))+(SUM(IF((CsDJ[Account Code]=(TRIM($B104)))*(CsDJ[Date]&lt;=$C$8),CsDJ[Debit])))+(SUM(IF((CRDJ[Account Code]=(TRIM($B104)))*(CRDJ[Date]&lt;=$C$8),CRDJ[Debit])))+(SUM(IF((GJ[Account Code]=(TRIM($B104)))*(GJ[Date]&lt;=$C$8),GJ[Debit]))))-((SUM(IF((CkDJ[Account Code]=(TRIM($B104)))*(CkDJ[Date]&lt;=$C$8),CkDJ[Credit])))+(SUM(IF((CsDJ[Account Code]=(TRIM($B104)))*(CsDJ[Date]&lt;=$C$8),CsDJ[Credit])))+(SUM(IF((CRDJ[Account Code]=(TRIM($B104)))*(CRDJ[Date]&lt;=$C$8),CRDJ[Credit])))+(SUM(IF((GJ[Account Code]=(TRIM($B104)))*(GJ[Date]&lt;=$C$8),GJ[Credit]))))</f>
        <v>0</v>
      </c>
      <c r="D104" s="466">
        <f t="array" ref="D104">((SUM(IF((CkDJ[Date]=$A$4)*(CkDJ[Account Code]=(TRIM($B104))),CkDJ[Debit])))+(SUM(IF((CsDJ[Date]=$A$4)*(CsDJ[Account Code]=(TRIM($B104))),CsDJ[Debit])))+(SUM(IF((CRDJ[Date]=$A$4)*(CRDJ[Account Code]=(TRIM($B104))),CRDJ[Debit])))+(SUM(IF((GJ[Date]=$A$4)*(GJ[Account Code]=(TRIM($B104))),GJ[Debit]))))-((SUM(IF((CkDJ[Date]=$A$4)*(CkDJ[Account Code]=(TRIM($B104))),CkDJ[Credit])))+(SUM(IF((CsDJ[Date]=$A$4)*(CsDJ[Account Code]=(TRIM($B104))),CsDJ[Credit])))+(SUM(IF((CRDJ[Date]=$A$4)*(CRDJ[Account Code]=(TRIM($B104))),CRDJ[Credit])))+(SUM(IF((GJ[Date]=$A$4)*(GJ[Account Code]=(TRIM($B104))),GJ[Credit]))))</f>
        <v>0</v>
      </c>
      <c r="E104" s="467">
        <f t="shared" si="2"/>
        <v>0</v>
      </c>
    </row>
    <row r="105" spans="1:5" x14ac:dyDescent="0.2">
      <c r="A105" s="476" t="s">
        <v>1023</v>
      </c>
      <c r="B105" s="339" t="s">
        <v>247</v>
      </c>
      <c r="C105" s="466">
        <f t="array" ref="C105">((SUM(IF((CkDJ[Account Code]=(TRIM($B105)))*(CkDJ[Date]&lt;=$C$8),CkDJ[Debit])))+(SUM(IF((CsDJ[Account Code]=(TRIM($B105)))*(CsDJ[Date]&lt;=$C$8),CsDJ[Debit])))+(SUM(IF((CRDJ[Account Code]=(TRIM($B105)))*(CRDJ[Date]&lt;=$C$8),CRDJ[Debit])))+(SUM(IF((GJ[Account Code]=(TRIM($B105)))*(GJ[Date]&lt;=$C$8),GJ[Debit]))))-((SUM(IF((CkDJ[Account Code]=(TRIM($B105)))*(CkDJ[Date]&lt;=$C$8),CkDJ[Credit])))+(SUM(IF((CsDJ[Account Code]=(TRIM($B105)))*(CsDJ[Date]&lt;=$C$8),CsDJ[Credit])))+(SUM(IF((CRDJ[Account Code]=(TRIM($B105)))*(CRDJ[Date]&lt;=$C$8),CRDJ[Credit])))+(SUM(IF((GJ[Account Code]=(TRIM($B105)))*(GJ[Date]&lt;=$C$8),GJ[Credit]))))</f>
        <v>0</v>
      </c>
      <c r="D105" s="466">
        <f t="array" ref="D105">((SUM(IF((CkDJ[Date]=$A$4)*(CkDJ[Account Code]=(TRIM($B105))),CkDJ[Debit])))+(SUM(IF((CsDJ[Date]=$A$4)*(CsDJ[Account Code]=(TRIM($B105))),CsDJ[Debit])))+(SUM(IF((CRDJ[Date]=$A$4)*(CRDJ[Account Code]=(TRIM($B105))),CRDJ[Debit])))+(SUM(IF((GJ[Date]=$A$4)*(GJ[Account Code]=(TRIM($B105))),GJ[Debit]))))-((SUM(IF((CkDJ[Date]=$A$4)*(CkDJ[Account Code]=(TRIM($B105))),CkDJ[Credit])))+(SUM(IF((CsDJ[Date]=$A$4)*(CsDJ[Account Code]=(TRIM($B105))),CsDJ[Credit])))+(SUM(IF((CRDJ[Date]=$A$4)*(CRDJ[Account Code]=(TRIM($B105))),CRDJ[Credit])))+(SUM(IF((GJ[Date]=$A$4)*(GJ[Account Code]=(TRIM($B105))),GJ[Credit]))))</f>
        <v>0</v>
      </c>
      <c r="E105" s="467">
        <f t="shared" si="2"/>
        <v>0</v>
      </c>
    </row>
    <row r="106" spans="1:5" x14ac:dyDescent="0.2">
      <c r="A106" s="476" t="s">
        <v>1024</v>
      </c>
      <c r="B106" s="339" t="s">
        <v>248</v>
      </c>
      <c r="C106" s="466">
        <f t="array" ref="C106">((SUM(IF((CkDJ[Account Code]=(TRIM($B106)))*(CkDJ[Date]&lt;=$C$8),CkDJ[Debit])))+(SUM(IF((CsDJ[Account Code]=(TRIM($B106)))*(CsDJ[Date]&lt;=$C$8),CsDJ[Debit])))+(SUM(IF((CRDJ[Account Code]=(TRIM($B106)))*(CRDJ[Date]&lt;=$C$8),CRDJ[Debit])))+(SUM(IF((GJ[Account Code]=(TRIM($B106)))*(GJ[Date]&lt;=$C$8),GJ[Debit]))))-((SUM(IF((CkDJ[Account Code]=(TRIM($B106)))*(CkDJ[Date]&lt;=$C$8),CkDJ[Credit])))+(SUM(IF((CsDJ[Account Code]=(TRIM($B106)))*(CsDJ[Date]&lt;=$C$8),CsDJ[Credit])))+(SUM(IF((CRDJ[Account Code]=(TRIM($B106)))*(CRDJ[Date]&lt;=$C$8),CRDJ[Credit])))+(SUM(IF((GJ[Account Code]=(TRIM($B106)))*(GJ[Date]&lt;=$C$8),GJ[Credit]))))</f>
        <v>0</v>
      </c>
      <c r="D106" s="466">
        <f t="array" ref="D106">((SUM(IF((CkDJ[Date]=$A$4)*(CkDJ[Account Code]=(TRIM($B106))),CkDJ[Debit])))+(SUM(IF((CsDJ[Date]=$A$4)*(CsDJ[Account Code]=(TRIM($B106))),CsDJ[Debit])))+(SUM(IF((CRDJ[Date]=$A$4)*(CRDJ[Account Code]=(TRIM($B106))),CRDJ[Debit])))+(SUM(IF((GJ[Date]=$A$4)*(GJ[Account Code]=(TRIM($B106))),GJ[Debit]))))-((SUM(IF((CkDJ[Date]=$A$4)*(CkDJ[Account Code]=(TRIM($B106))),CkDJ[Credit])))+(SUM(IF((CsDJ[Date]=$A$4)*(CsDJ[Account Code]=(TRIM($B106))),CsDJ[Credit])))+(SUM(IF((CRDJ[Date]=$A$4)*(CRDJ[Account Code]=(TRIM($B106))),CRDJ[Credit])))+(SUM(IF((GJ[Date]=$A$4)*(GJ[Account Code]=(TRIM($B106))),GJ[Credit]))))</f>
        <v>0</v>
      </c>
      <c r="E106" s="467">
        <f t="shared" si="2"/>
        <v>0</v>
      </c>
    </row>
    <row r="107" spans="1:5" x14ac:dyDescent="0.2">
      <c r="A107" s="476" t="s">
        <v>1025</v>
      </c>
      <c r="B107" s="339" t="s">
        <v>249</v>
      </c>
      <c r="C107" s="466">
        <f t="array" ref="C107">((SUM(IF((CkDJ[Account Code]=(TRIM($B107)))*(CkDJ[Date]&lt;=$C$8),CkDJ[Debit])))+(SUM(IF((CsDJ[Account Code]=(TRIM($B107)))*(CsDJ[Date]&lt;=$C$8),CsDJ[Debit])))+(SUM(IF((CRDJ[Account Code]=(TRIM($B107)))*(CRDJ[Date]&lt;=$C$8),CRDJ[Debit])))+(SUM(IF((GJ[Account Code]=(TRIM($B107)))*(GJ[Date]&lt;=$C$8),GJ[Debit]))))-((SUM(IF((CkDJ[Account Code]=(TRIM($B107)))*(CkDJ[Date]&lt;=$C$8),CkDJ[Credit])))+(SUM(IF((CsDJ[Account Code]=(TRIM($B107)))*(CsDJ[Date]&lt;=$C$8),CsDJ[Credit])))+(SUM(IF((CRDJ[Account Code]=(TRIM($B107)))*(CRDJ[Date]&lt;=$C$8),CRDJ[Credit])))+(SUM(IF((GJ[Account Code]=(TRIM($B107)))*(GJ[Date]&lt;=$C$8),GJ[Credit]))))</f>
        <v>0</v>
      </c>
      <c r="D107" s="466">
        <f t="array" ref="D107">((SUM(IF((CkDJ[Date]=$A$4)*(CkDJ[Account Code]=(TRIM($B107))),CkDJ[Debit])))+(SUM(IF((CsDJ[Date]=$A$4)*(CsDJ[Account Code]=(TRIM($B107))),CsDJ[Debit])))+(SUM(IF((CRDJ[Date]=$A$4)*(CRDJ[Account Code]=(TRIM($B107))),CRDJ[Debit])))+(SUM(IF((GJ[Date]=$A$4)*(GJ[Account Code]=(TRIM($B107))),GJ[Debit]))))-((SUM(IF((CkDJ[Date]=$A$4)*(CkDJ[Account Code]=(TRIM($B107))),CkDJ[Credit])))+(SUM(IF((CsDJ[Date]=$A$4)*(CsDJ[Account Code]=(TRIM($B107))),CsDJ[Credit])))+(SUM(IF((CRDJ[Date]=$A$4)*(CRDJ[Account Code]=(TRIM($B107))),CRDJ[Credit])))+(SUM(IF((GJ[Date]=$A$4)*(GJ[Account Code]=(TRIM($B107))),GJ[Credit]))))</f>
        <v>0</v>
      </c>
      <c r="E107" s="467">
        <f t="shared" si="2"/>
        <v>0</v>
      </c>
    </row>
    <row r="108" spans="1:5" x14ac:dyDescent="0.2">
      <c r="A108" s="476" t="s">
        <v>302</v>
      </c>
      <c r="B108" s="339" t="s">
        <v>250</v>
      </c>
      <c r="C108" s="466">
        <f t="array" ref="C108">((SUM(IF((CkDJ[Account Code]=(TRIM($B108)))*(CkDJ[Date]&lt;=$C$8),CkDJ[Debit])))+(SUM(IF((CsDJ[Account Code]=(TRIM($B108)))*(CsDJ[Date]&lt;=$C$8),CsDJ[Debit])))+(SUM(IF((CRDJ[Account Code]=(TRIM($B108)))*(CRDJ[Date]&lt;=$C$8),CRDJ[Debit])))+(SUM(IF((GJ[Account Code]=(TRIM($B108)))*(GJ[Date]&lt;=$C$8),GJ[Debit]))))-((SUM(IF((CkDJ[Account Code]=(TRIM($B108)))*(CkDJ[Date]&lt;=$C$8),CkDJ[Credit])))+(SUM(IF((CsDJ[Account Code]=(TRIM($B108)))*(CsDJ[Date]&lt;=$C$8),CsDJ[Credit])))+(SUM(IF((CRDJ[Account Code]=(TRIM($B108)))*(CRDJ[Date]&lt;=$C$8),CRDJ[Credit])))+(SUM(IF((GJ[Account Code]=(TRIM($B108)))*(GJ[Date]&lt;=$C$8),GJ[Credit]))))</f>
        <v>0</v>
      </c>
      <c r="D108" s="466">
        <f t="array" ref="D108">((SUM(IF((CkDJ[Date]=$A$4)*(CkDJ[Account Code]=(TRIM($B108))),CkDJ[Debit])))+(SUM(IF((CsDJ[Date]=$A$4)*(CsDJ[Account Code]=(TRIM($B108))),CsDJ[Debit])))+(SUM(IF((CRDJ[Date]=$A$4)*(CRDJ[Account Code]=(TRIM($B108))),CRDJ[Debit])))+(SUM(IF((GJ[Date]=$A$4)*(GJ[Account Code]=(TRIM($B108))),GJ[Debit]))))-((SUM(IF((CkDJ[Date]=$A$4)*(CkDJ[Account Code]=(TRIM($B108))),CkDJ[Credit])))+(SUM(IF((CsDJ[Date]=$A$4)*(CsDJ[Account Code]=(TRIM($B108))),CsDJ[Credit])))+(SUM(IF((CRDJ[Date]=$A$4)*(CRDJ[Account Code]=(TRIM($B108))),CRDJ[Credit])))+(SUM(IF((GJ[Date]=$A$4)*(GJ[Account Code]=(TRIM($B108))),GJ[Credit]))))</f>
        <v>0</v>
      </c>
      <c r="E108" s="467">
        <f t="shared" si="2"/>
        <v>0</v>
      </c>
    </row>
    <row r="109" spans="1:5" x14ac:dyDescent="0.2">
      <c r="A109" s="476" t="s">
        <v>841</v>
      </c>
      <c r="B109" s="339" t="s">
        <v>251</v>
      </c>
      <c r="C109" s="466">
        <f t="array" ref="C109">((SUM(IF((CkDJ[Account Code]=(TRIM($B109)))*(CkDJ[Date]&lt;=$C$8),CkDJ[Debit])))+(SUM(IF((CsDJ[Account Code]=(TRIM($B109)))*(CsDJ[Date]&lt;=$C$8),CsDJ[Debit])))+(SUM(IF((CRDJ[Account Code]=(TRIM($B109)))*(CRDJ[Date]&lt;=$C$8),CRDJ[Debit])))+(SUM(IF((GJ[Account Code]=(TRIM($B109)))*(GJ[Date]&lt;=$C$8),GJ[Debit]))))-((SUM(IF((CkDJ[Account Code]=(TRIM($B109)))*(CkDJ[Date]&lt;=$C$8),CkDJ[Credit])))+(SUM(IF((CsDJ[Account Code]=(TRIM($B109)))*(CsDJ[Date]&lt;=$C$8),CsDJ[Credit])))+(SUM(IF((CRDJ[Account Code]=(TRIM($B109)))*(CRDJ[Date]&lt;=$C$8),CRDJ[Credit])))+(SUM(IF((GJ[Account Code]=(TRIM($B109)))*(GJ[Date]&lt;=$C$8),GJ[Credit]))))</f>
        <v>0</v>
      </c>
      <c r="D109" s="466">
        <f t="array" ref="D109">((SUM(IF((CkDJ[Date]=$A$4)*(CkDJ[Account Code]=(TRIM($B109))),CkDJ[Debit])))+(SUM(IF((CsDJ[Date]=$A$4)*(CsDJ[Account Code]=(TRIM($B109))),CsDJ[Debit])))+(SUM(IF((CRDJ[Date]=$A$4)*(CRDJ[Account Code]=(TRIM($B109))),CRDJ[Debit])))+(SUM(IF((GJ[Date]=$A$4)*(GJ[Account Code]=(TRIM($B109))),GJ[Debit]))))-((SUM(IF((CkDJ[Date]=$A$4)*(CkDJ[Account Code]=(TRIM($B109))),CkDJ[Credit])))+(SUM(IF((CsDJ[Date]=$A$4)*(CsDJ[Account Code]=(TRIM($B109))),CsDJ[Credit])))+(SUM(IF((CRDJ[Date]=$A$4)*(CRDJ[Account Code]=(TRIM($B109))),CRDJ[Credit])))+(SUM(IF((GJ[Date]=$A$4)*(GJ[Account Code]=(TRIM($B109))),GJ[Credit]))))</f>
        <v>0</v>
      </c>
      <c r="E109" s="467">
        <f t="shared" si="2"/>
        <v>0</v>
      </c>
    </row>
    <row r="110" spans="1:5" x14ac:dyDescent="0.2">
      <c r="A110" s="476" t="s">
        <v>1026</v>
      </c>
      <c r="B110" s="339" t="s">
        <v>252</v>
      </c>
      <c r="C110" s="466">
        <f t="array" ref="C110">((SUM(IF((CkDJ[Account Code]=(TRIM($B110)))*(CkDJ[Date]&lt;=$C$8),CkDJ[Debit])))+(SUM(IF((CsDJ[Account Code]=(TRIM($B110)))*(CsDJ[Date]&lt;=$C$8),CsDJ[Debit])))+(SUM(IF((CRDJ[Account Code]=(TRIM($B110)))*(CRDJ[Date]&lt;=$C$8),CRDJ[Debit])))+(SUM(IF((GJ[Account Code]=(TRIM($B110)))*(GJ[Date]&lt;=$C$8),GJ[Debit]))))-((SUM(IF((CkDJ[Account Code]=(TRIM($B110)))*(CkDJ[Date]&lt;=$C$8),CkDJ[Credit])))+(SUM(IF((CsDJ[Account Code]=(TRIM($B110)))*(CsDJ[Date]&lt;=$C$8),CsDJ[Credit])))+(SUM(IF((CRDJ[Account Code]=(TRIM($B110)))*(CRDJ[Date]&lt;=$C$8),CRDJ[Credit])))+(SUM(IF((GJ[Account Code]=(TRIM($B110)))*(GJ[Date]&lt;=$C$8),GJ[Credit]))))</f>
        <v>0</v>
      </c>
      <c r="D110" s="466">
        <f t="array" ref="D110">((SUM(IF((CkDJ[Date]=$A$4)*(CkDJ[Account Code]=(TRIM($B110))),CkDJ[Debit])))+(SUM(IF((CsDJ[Date]=$A$4)*(CsDJ[Account Code]=(TRIM($B110))),CsDJ[Debit])))+(SUM(IF((CRDJ[Date]=$A$4)*(CRDJ[Account Code]=(TRIM($B110))),CRDJ[Debit])))+(SUM(IF((GJ[Date]=$A$4)*(GJ[Account Code]=(TRIM($B110))),GJ[Debit]))))-((SUM(IF((CkDJ[Date]=$A$4)*(CkDJ[Account Code]=(TRIM($B110))),CkDJ[Credit])))+(SUM(IF((CsDJ[Date]=$A$4)*(CsDJ[Account Code]=(TRIM($B110))),CsDJ[Credit])))+(SUM(IF((CRDJ[Date]=$A$4)*(CRDJ[Account Code]=(TRIM($B110))),CRDJ[Credit])))+(SUM(IF((GJ[Date]=$A$4)*(GJ[Account Code]=(TRIM($B110))),GJ[Credit]))))</f>
        <v>0</v>
      </c>
      <c r="E110" s="467">
        <f t="shared" si="2"/>
        <v>0</v>
      </c>
    </row>
    <row r="111" spans="1:5" x14ac:dyDescent="0.2">
      <c r="A111" s="476" t="s">
        <v>307</v>
      </c>
      <c r="B111" s="339" t="s">
        <v>253</v>
      </c>
      <c r="C111" s="466">
        <f t="array" ref="C111">((SUM(IF((CkDJ[Account Code]=(TRIM($B111)))*(CkDJ[Date]&lt;=$C$8),CkDJ[Debit])))+(SUM(IF((CsDJ[Account Code]=(TRIM($B111)))*(CsDJ[Date]&lt;=$C$8),CsDJ[Debit])))+(SUM(IF((CRDJ[Account Code]=(TRIM($B111)))*(CRDJ[Date]&lt;=$C$8),CRDJ[Debit])))+(SUM(IF((GJ[Account Code]=(TRIM($B111)))*(GJ[Date]&lt;=$C$8),GJ[Debit]))))-((SUM(IF((CkDJ[Account Code]=(TRIM($B111)))*(CkDJ[Date]&lt;=$C$8),CkDJ[Credit])))+(SUM(IF((CsDJ[Account Code]=(TRIM($B111)))*(CsDJ[Date]&lt;=$C$8),CsDJ[Credit])))+(SUM(IF((CRDJ[Account Code]=(TRIM($B111)))*(CRDJ[Date]&lt;=$C$8),CRDJ[Credit])))+(SUM(IF((GJ[Account Code]=(TRIM($B111)))*(GJ[Date]&lt;=$C$8),GJ[Credit]))))</f>
        <v>0</v>
      </c>
      <c r="D111" s="466">
        <f t="array" ref="D111">((SUM(IF((CkDJ[Date]=$A$4)*(CkDJ[Account Code]=(TRIM($B111))),CkDJ[Debit])))+(SUM(IF((CsDJ[Date]=$A$4)*(CsDJ[Account Code]=(TRIM($B111))),CsDJ[Debit])))+(SUM(IF((CRDJ[Date]=$A$4)*(CRDJ[Account Code]=(TRIM($B111))),CRDJ[Debit])))+(SUM(IF((GJ[Date]=$A$4)*(GJ[Account Code]=(TRIM($B111))),GJ[Debit]))))-((SUM(IF((CkDJ[Date]=$A$4)*(CkDJ[Account Code]=(TRIM($B111))),CkDJ[Credit])))+(SUM(IF((CsDJ[Date]=$A$4)*(CsDJ[Account Code]=(TRIM($B111))),CsDJ[Credit])))+(SUM(IF((CRDJ[Date]=$A$4)*(CRDJ[Account Code]=(TRIM($B111))),CRDJ[Credit])))+(SUM(IF((GJ[Date]=$A$4)*(GJ[Account Code]=(TRIM($B111))),GJ[Credit]))))</f>
        <v>0</v>
      </c>
      <c r="E111" s="467">
        <f t="shared" si="2"/>
        <v>0</v>
      </c>
    </row>
    <row r="112" spans="1:5" x14ac:dyDescent="0.2">
      <c r="A112" s="476" t="s">
        <v>308</v>
      </c>
      <c r="B112" s="339" t="s">
        <v>256</v>
      </c>
      <c r="C112" s="466">
        <f t="array" ref="C112">((SUM(IF((CkDJ[Account Code]=(TRIM($B112)))*(CkDJ[Date]&lt;=$C$8),CkDJ[Debit])))+(SUM(IF((CsDJ[Account Code]=(TRIM($B112)))*(CsDJ[Date]&lt;=$C$8),CsDJ[Debit])))+(SUM(IF((CRDJ[Account Code]=(TRIM($B112)))*(CRDJ[Date]&lt;=$C$8),CRDJ[Debit])))+(SUM(IF((GJ[Account Code]=(TRIM($B112)))*(GJ[Date]&lt;=$C$8),GJ[Debit]))))-((SUM(IF((CkDJ[Account Code]=(TRIM($B112)))*(CkDJ[Date]&lt;=$C$8),CkDJ[Credit])))+(SUM(IF((CsDJ[Account Code]=(TRIM($B112)))*(CsDJ[Date]&lt;=$C$8),CsDJ[Credit])))+(SUM(IF((CRDJ[Account Code]=(TRIM($B112)))*(CRDJ[Date]&lt;=$C$8),CRDJ[Credit])))+(SUM(IF((GJ[Account Code]=(TRIM($B112)))*(GJ[Date]&lt;=$C$8),GJ[Credit]))))</f>
        <v>0</v>
      </c>
      <c r="D112" s="466">
        <f t="array" ref="D112">((SUM(IF((CkDJ[Date]=$A$4)*(CkDJ[Account Code]=(TRIM($B112))),CkDJ[Debit])))+(SUM(IF((CsDJ[Date]=$A$4)*(CsDJ[Account Code]=(TRIM($B112))),CsDJ[Debit])))+(SUM(IF((CRDJ[Date]=$A$4)*(CRDJ[Account Code]=(TRIM($B112))),CRDJ[Debit])))+(SUM(IF((GJ[Date]=$A$4)*(GJ[Account Code]=(TRIM($B112))),GJ[Debit]))))-((SUM(IF((CkDJ[Date]=$A$4)*(CkDJ[Account Code]=(TRIM($B112))),CkDJ[Credit])))+(SUM(IF((CsDJ[Date]=$A$4)*(CsDJ[Account Code]=(TRIM($B112))),CsDJ[Credit])))+(SUM(IF((CRDJ[Date]=$A$4)*(CRDJ[Account Code]=(TRIM($B112))),CRDJ[Credit])))+(SUM(IF((GJ[Date]=$A$4)*(GJ[Account Code]=(TRIM($B112))),GJ[Credit]))))</f>
        <v>0</v>
      </c>
      <c r="E112" s="467">
        <f t="shared" si="2"/>
        <v>0</v>
      </c>
    </row>
    <row r="113" spans="1:5" x14ac:dyDescent="0.2">
      <c r="A113" s="476" t="s">
        <v>309</v>
      </c>
      <c r="B113" s="339" t="s">
        <v>258</v>
      </c>
      <c r="C113" s="466">
        <f t="array" ref="C113">((SUM(IF((CkDJ[Account Code]=(TRIM($B113)))*(CkDJ[Date]&lt;=$C$8),CkDJ[Debit])))+(SUM(IF((CsDJ[Account Code]=(TRIM($B113)))*(CsDJ[Date]&lt;=$C$8),CsDJ[Debit])))+(SUM(IF((CRDJ[Account Code]=(TRIM($B113)))*(CRDJ[Date]&lt;=$C$8),CRDJ[Debit])))+(SUM(IF((GJ[Account Code]=(TRIM($B113)))*(GJ[Date]&lt;=$C$8),GJ[Debit]))))-((SUM(IF((CkDJ[Account Code]=(TRIM($B113)))*(CkDJ[Date]&lt;=$C$8),CkDJ[Credit])))+(SUM(IF((CsDJ[Account Code]=(TRIM($B113)))*(CsDJ[Date]&lt;=$C$8),CsDJ[Credit])))+(SUM(IF((CRDJ[Account Code]=(TRIM($B113)))*(CRDJ[Date]&lt;=$C$8),CRDJ[Credit])))+(SUM(IF((GJ[Account Code]=(TRIM($B113)))*(GJ[Date]&lt;=$C$8),GJ[Credit]))))</f>
        <v>0</v>
      </c>
      <c r="D113" s="466">
        <f t="array" ref="D113">((SUM(IF((CkDJ[Date]=$A$4)*(CkDJ[Account Code]=(TRIM($B113))),CkDJ[Debit])))+(SUM(IF((CsDJ[Date]=$A$4)*(CsDJ[Account Code]=(TRIM($B113))),CsDJ[Debit])))+(SUM(IF((CRDJ[Date]=$A$4)*(CRDJ[Account Code]=(TRIM($B113))),CRDJ[Debit])))+(SUM(IF((GJ[Date]=$A$4)*(GJ[Account Code]=(TRIM($B113))),GJ[Debit]))))-((SUM(IF((CkDJ[Date]=$A$4)*(CkDJ[Account Code]=(TRIM($B113))),CkDJ[Credit])))+(SUM(IF((CsDJ[Date]=$A$4)*(CsDJ[Account Code]=(TRIM($B113))),CsDJ[Credit])))+(SUM(IF((CRDJ[Date]=$A$4)*(CRDJ[Account Code]=(TRIM($B113))),CRDJ[Credit])))+(SUM(IF((GJ[Date]=$A$4)*(GJ[Account Code]=(TRIM($B113))),GJ[Credit]))))</f>
        <v>0</v>
      </c>
      <c r="E113" s="467">
        <f t="shared" si="2"/>
        <v>0</v>
      </c>
    </row>
    <row r="114" spans="1:5" x14ac:dyDescent="0.2">
      <c r="A114" s="476" t="s">
        <v>310</v>
      </c>
      <c r="B114" s="339" t="s">
        <v>261</v>
      </c>
      <c r="C114" s="466">
        <f t="array" ref="C114">((SUM(IF((CkDJ[Account Code]=(TRIM($B114)))*(CkDJ[Date]&lt;=$C$8),CkDJ[Debit])))+(SUM(IF((CsDJ[Account Code]=(TRIM($B114)))*(CsDJ[Date]&lt;=$C$8),CsDJ[Debit])))+(SUM(IF((CRDJ[Account Code]=(TRIM($B114)))*(CRDJ[Date]&lt;=$C$8),CRDJ[Debit])))+(SUM(IF((GJ[Account Code]=(TRIM($B114)))*(GJ[Date]&lt;=$C$8),GJ[Debit]))))-((SUM(IF((CkDJ[Account Code]=(TRIM($B114)))*(CkDJ[Date]&lt;=$C$8),CkDJ[Credit])))+(SUM(IF((CsDJ[Account Code]=(TRIM($B114)))*(CsDJ[Date]&lt;=$C$8),CsDJ[Credit])))+(SUM(IF((CRDJ[Account Code]=(TRIM($B114)))*(CRDJ[Date]&lt;=$C$8),CRDJ[Credit])))+(SUM(IF((GJ[Account Code]=(TRIM($B114)))*(GJ[Date]&lt;=$C$8),GJ[Credit]))))</f>
        <v>0</v>
      </c>
      <c r="D114" s="466">
        <f t="array" ref="D114">((SUM(IF((CkDJ[Date]=$A$4)*(CkDJ[Account Code]=(TRIM($B114))),CkDJ[Debit])))+(SUM(IF((CsDJ[Date]=$A$4)*(CsDJ[Account Code]=(TRIM($B114))),CsDJ[Debit])))+(SUM(IF((CRDJ[Date]=$A$4)*(CRDJ[Account Code]=(TRIM($B114))),CRDJ[Debit])))+(SUM(IF((GJ[Date]=$A$4)*(GJ[Account Code]=(TRIM($B114))),GJ[Debit]))))-((SUM(IF((CkDJ[Date]=$A$4)*(CkDJ[Account Code]=(TRIM($B114))),CkDJ[Credit])))+(SUM(IF((CsDJ[Date]=$A$4)*(CsDJ[Account Code]=(TRIM($B114))),CsDJ[Credit])))+(SUM(IF((CRDJ[Date]=$A$4)*(CRDJ[Account Code]=(TRIM($B114))),CRDJ[Credit])))+(SUM(IF((GJ[Date]=$A$4)*(GJ[Account Code]=(TRIM($B114))),GJ[Credit]))))</f>
        <v>0</v>
      </c>
      <c r="E114" s="467">
        <f t="shared" si="2"/>
        <v>0</v>
      </c>
    </row>
    <row r="115" spans="1:5" x14ac:dyDescent="0.2">
      <c r="A115" s="476" t="s">
        <v>311</v>
      </c>
      <c r="B115" s="339" t="s">
        <v>262</v>
      </c>
      <c r="C115" s="466">
        <f t="array" ref="C115">((SUM(IF((CkDJ[Account Code]=(TRIM($B115)))*(CkDJ[Date]&lt;=$C$8),CkDJ[Debit])))+(SUM(IF((CsDJ[Account Code]=(TRIM($B115)))*(CsDJ[Date]&lt;=$C$8),CsDJ[Debit])))+(SUM(IF((CRDJ[Account Code]=(TRIM($B115)))*(CRDJ[Date]&lt;=$C$8),CRDJ[Debit])))+(SUM(IF((GJ[Account Code]=(TRIM($B115)))*(GJ[Date]&lt;=$C$8),GJ[Debit]))))-((SUM(IF((CkDJ[Account Code]=(TRIM($B115)))*(CkDJ[Date]&lt;=$C$8),CkDJ[Credit])))+(SUM(IF((CsDJ[Account Code]=(TRIM($B115)))*(CsDJ[Date]&lt;=$C$8),CsDJ[Credit])))+(SUM(IF((CRDJ[Account Code]=(TRIM($B115)))*(CRDJ[Date]&lt;=$C$8),CRDJ[Credit])))+(SUM(IF((GJ[Account Code]=(TRIM($B115)))*(GJ[Date]&lt;=$C$8),GJ[Credit]))))</f>
        <v>0</v>
      </c>
      <c r="D115" s="466">
        <f t="array" ref="D115">((SUM(IF((CkDJ[Date]=$A$4)*(CkDJ[Account Code]=(TRIM($B115))),CkDJ[Debit])))+(SUM(IF((CsDJ[Date]=$A$4)*(CsDJ[Account Code]=(TRIM($B115))),CsDJ[Debit])))+(SUM(IF((CRDJ[Date]=$A$4)*(CRDJ[Account Code]=(TRIM($B115))),CRDJ[Debit])))+(SUM(IF((GJ[Date]=$A$4)*(GJ[Account Code]=(TRIM($B115))),GJ[Debit]))))-((SUM(IF((CkDJ[Date]=$A$4)*(CkDJ[Account Code]=(TRIM($B115))),CkDJ[Credit])))+(SUM(IF((CsDJ[Date]=$A$4)*(CsDJ[Account Code]=(TRIM($B115))),CsDJ[Credit])))+(SUM(IF((CRDJ[Date]=$A$4)*(CRDJ[Account Code]=(TRIM($B115))),CRDJ[Credit])))+(SUM(IF((GJ[Date]=$A$4)*(GJ[Account Code]=(TRIM($B115))),GJ[Credit]))))</f>
        <v>0</v>
      </c>
      <c r="E115" s="467">
        <f t="shared" si="2"/>
        <v>0</v>
      </c>
    </row>
    <row r="116" spans="1:5" x14ac:dyDescent="0.2">
      <c r="A116" s="476" t="s">
        <v>312</v>
      </c>
      <c r="B116" s="339" t="s">
        <v>264</v>
      </c>
      <c r="C116" s="466">
        <f t="array" ref="C116">((SUM(IF((CkDJ[Account Code]=(TRIM($B116)))*(CkDJ[Date]&lt;=$C$8),CkDJ[Debit])))+(SUM(IF((CsDJ[Account Code]=(TRIM($B116)))*(CsDJ[Date]&lt;=$C$8),CsDJ[Debit])))+(SUM(IF((CRDJ[Account Code]=(TRIM($B116)))*(CRDJ[Date]&lt;=$C$8),CRDJ[Debit])))+(SUM(IF((GJ[Account Code]=(TRIM($B116)))*(GJ[Date]&lt;=$C$8),GJ[Debit]))))-((SUM(IF((CkDJ[Account Code]=(TRIM($B116)))*(CkDJ[Date]&lt;=$C$8),CkDJ[Credit])))+(SUM(IF((CsDJ[Account Code]=(TRIM($B116)))*(CsDJ[Date]&lt;=$C$8),CsDJ[Credit])))+(SUM(IF((CRDJ[Account Code]=(TRIM($B116)))*(CRDJ[Date]&lt;=$C$8),CRDJ[Credit])))+(SUM(IF((GJ[Account Code]=(TRIM($B116)))*(GJ[Date]&lt;=$C$8),GJ[Credit]))))</f>
        <v>0</v>
      </c>
      <c r="D116" s="466">
        <f t="array" ref="D116">((SUM(IF((CkDJ[Date]=$A$4)*(CkDJ[Account Code]=(TRIM($B116))),CkDJ[Debit])))+(SUM(IF((CsDJ[Date]=$A$4)*(CsDJ[Account Code]=(TRIM($B116))),CsDJ[Debit])))+(SUM(IF((CRDJ[Date]=$A$4)*(CRDJ[Account Code]=(TRIM($B116))),CRDJ[Debit])))+(SUM(IF((GJ[Date]=$A$4)*(GJ[Account Code]=(TRIM($B116))),GJ[Debit]))))-((SUM(IF((CkDJ[Date]=$A$4)*(CkDJ[Account Code]=(TRIM($B116))),CkDJ[Credit])))+(SUM(IF((CsDJ[Date]=$A$4)*(CsDJ[Account Code]=(TRIM($B116))),CsDJ[Credit])))+(SUM(IF((CRDJ[Date]=$A$4)*(CRDJ[Account Code]=(TRIM($B116))),CRDJ[Credit])))+(SUM(IF((GJ[Date]=$A$4)*(GJ[Account Code]=(TRIM($B116))),GJ[Credit]))))</f>
        <v>0</v>
      </c>
      <c r="E116" s="467">
        <f t="shared" si="2"/>
        <v>0</v>
      </c>
    </row>
    <row r="117" spans="1:5" x14ac:dyDescent="0.2">
      <c r="A117" s="476" t="s">
        <v>313</v>
      </c>
      <c r="B117" s="339" t="s">
        <v>265</v>
      </c>
      <c r="C117" s="466">
        <f t="array" ref="C117">((SUM(IF((CkDJ[Account Code]=(TRIM($B117)))*(CkDJ[Date]&lt;=$C$8),CkDJ[Debit])))+(SUM(IF((CsDJ[Account Code]=(TRIM($B117)))*(CsDJ[Date]&lt;=$C$8),CsDJ[Debit])))+(SUM(IF((CRDJ[Account Code]=(TRIM($B117)))*(CRDJ[Date]&lt;=$C$8),CRDJ[Debit])))+(SUM(IF((GJ[Account Code]=(TRIM($B117)))*(GJ[Date]&lt;=$C$8),GJ[Debit]))))-((SUM(IF((CkDJ[Account Code]=(TRIM($B117)))*(CkDJ[Date]&lt;=$C$8),CkDJ[Credit])))+(SUM(IF((CsDJ[Account Code]=(TRIM($B117)))*(CsDJ[Date]&lt;=$C$8),CsDJ[Credit])))+(SUM(IF((CRDJ[Account Code]=(TRIM($B117)))*(CRDJ[Date]&lt;=$C$8),CRDJ[Credit])))+(SUM(IF((GJ[Account Code]=(TRIM($B117)))*(GJ[Date]&lt;=$C$8),GJ[Credit]))))</f>
        <v>0</v>
      </c>
      <c r="D117" s="466">
        <f t="array" ref="D117">((SUM(IF((CkDJ[Date]=$A$4)*(CkDJ[Account Code]=(TRIM($B117))),CkDJ[Debit])))+(SUM(IF((CsDJ[Date]=$A$4)*(CsDJ[Account Code]=(TRIM($B117))),CsDJ[Debit])))+(SUM(IF((CRDJ[Date]=$A$4)*(CRDJ[Account Code]=(TRIM($B117))),CRDJ[Debit])))+(SUM(IF((GJ[Date]=$A$4)*(GJ[Account Code]=(TRIM($B117))),GJ[Debit]))))-((SUM(IF((CkDJ[Date]=$A$4)*(CkDJ[Account Code]=(TRIM($B117))),CkDJ[Credit])))+(SUM(IF((CsDJ[Date]=$A$4)*(CsDJ[Account Code]=(TRIM($B117))),CsDJ[Credit])))+(SUM(IF((CRDJ[Date]=$A$4)*(CRDJ[Account Code]=(TRIM($B117))),CRDJ[Credit])))+(SUM(IF((GJ[Date]=$A$4)*(GJ[Account Code]=(TRIM($B117))),GJ[Credit]))))</f>
        <v>0</v>
      </c>
      <c r="E117" s="467">
        <f t="shared" si="2"/>
        <v>0</v>
      </c>
    </row>
    <row r="118" spans="1:5" x14ac:dyDescent="0.2">
      <c r="A118" s="476" t="s">
        <v>790</v>
      </c>
      <c r="B118" s="339" t="s">
        <v>267</v>
      </c>
      <c r="C118" s="466">
        <f t="array" ref="C118">((SUM(IF((CkDJ[Account Code]=(TRIM($B118)))*(CkDJ[Date]&lt;=$C$8),CkDJ[Debit])))+(SUM(IF((CsDJ[Account Code]=(TRIM($B118)))*(CsDJ[Date]&lt;=$C$8),CsDJ[Debit])))+(SUM(IF((CRDJ[Account Code]=(TRIM($B118)))*(CRDJ[Date]&lt;=$C$8),CRDJ[Debit])))+(SUM(IF((GJ[Account Code]=(TRIM($B118)))*(GJ[Date]&lt;=$C$8),GJ[Debit]))))-((SUM(IF((CkDJ[Account Code]=(TRIM($B118)))*(CkDJ[Date]&lt;=$C$8),CkDJ[Credit])))+(SUM(IF((CsDJ[Account Code]=(TRIM($B118)))*(CsDJ[Date]&lt;=$C$8),CsDJ[Credit])))+(SUM(IF((CRDJ[Account Code]=(TRIM($B118)))*(CRDJ[Date]&lt;=$C$8),CRDJ[Credit])))+(SUM(IF((GJ[Account Code]=(TRIM($B118)))*(GJ[Date]&lt;=$C$8),GJ[Credit]))))</f>
        <v>0</v>
      </c>
      <c r="D118" s="466">
        <f t="array" ref="D118">((SUM(IF((CkDJ[Date]=$A$4)*(CkDJ[Account Code]=(TRIM($B118))),CkDJ[Debit])))+(SUM(IF((CsDJ[Date]=$A$4)*(CsDJ[Account Code]=(TRIM($B118))),CsDJ[Debit])))+(SUM(IF((CRDJ[Date]=$A$4)*(CRDJ[Account Code]=(TRIM($B118))),CRDJ[Debit])))+(SUM(IF((GJ[Date]=$A$4)*(GJ[Account Code]=(TRIM($B118))),GJ[Debit]))))-((SUM(IF((CkDJ[Date]=$A$4)*(CkDJ[Account Code]=(TRIM($B118))),CkDJ[Credit])))+(SUM(IF((CsDJ[Date]=$A$4)*(CsDJ[Account Code]=(TRIM($B118))),CsDJ[Credit])))+(SUM(IF((CRDJ[Date]=$A$4)*(CRDJ[Account Code]=(TRIM($B118))),CRDJ[Credit])))+(SUM(IF((GJ[Date]=$A$4)*(GJ[Account Code]=(TRIM($B118))),GJ[Credit]))))</f>
        <v>0</v>
      </c>
      <c r="E118" s="467">
        <f t="shared" si="2"/>
        <v>0</v>
      </c>
    </row>
    <row r="119" spans="1:5" x14ac:dyDescent="0.2">
      <c r="A119" s="476" t="s">
        <v>1027</v>
      </c>
      <c r="B119" s="339" t="s">
        <v>269</v>
      </c>
      <c r="C119" s="466">
        <f t="array" ref="C119">((SUM(IF((CkDJ[Account Code]=(TRIM($B119)))*(CkDJ[Date]&lt;=$C$8),CkDJ[Debit])))+(SUM(IF((CsDJ[Account Code]=(TRIM($B119)))*(CsDJ[Date]&lt;=$C$8),CsDJ[Debit])))+(SUM(IF((CRDJ[Account Code]=(TRIM($B119)))*(CRDJ[Date]&lt;=$C$8),CRDJ[Debit])))+(SUM(IF((GJ[Account Code]=(TRIM($B119)))*(GJ[Date]&lt;=$C$8),GJ[Debit]))))-((SUM(IF((CkDJ[Account Code]=(TRIM($B119)))*(CkDJ[Date]&lt;=$C$8),CkDJ[Credit])))+(SUM(IF((CsDJ[Account Code]=(TRIM($B119)))*(CsDJ[Date]&lt;=$C$8),CsDJ[Credit])))+(SUM(IF((CRDJ[Account Code]=(TRIM($B119)))*(CRDJ[Date]&lt;=$C$8),CRDJ[Credit])))+(SUM(IF((GJ[Account Code]=(TRIM($B119)))*(GJ[Date]&lt;=$C$8),GJ[Credit]))))</f>
        <v>0</v>
      </c>
      <c r="D119" s="466">
        <f t="array" ref="D119">((SUM(IF((CkDJ[Date]=$A$4)*(CkDJ[Account Code]=(TRIM($B119))),CkDJ[Debit])))+(SUM(IF((CsDJ[Date]=$A$4)*(CsDJ[Account Code]=(TRIM($B119))),CsDJ[Debit])))+(SUM(IF((CRDJ[Date]=$A$4)*(CRDJ[Account Code]=(TRIM($B119))),CRDJ[Debit])))+(SUM(IF((GJ[Date]=$A$4)*(GJ[Account Code]=(TRIM($B119))),GJ[Debit]))))-((SUM(IF((CkDJ[Date]=$A$4)*(CkDJ[Account Code]=(TRIM($B119))),CkDJ[Credit])))+(SUM(IF((CsDJ[Date]=$A$4)*(CsDJ[Account Code]=(TRIM($B119))),CsDJ[Credit])))+(SUM(IF((CRDJ[Date]=$A$4)*(CRDJ[Account Code]=(TRIM($B119))),CRDJ[Credit])))+(SUM(IF((GJ[Date]=$A$4)*(GJ[Account Code]=(TRIM($B119))),GJ[Credit]))))</f>
        <v>0</v>
      </c>
      <c r="E119" s="467">
        <f t="shared" si="2"/>
        <v>0</v>
      </c>
    </row>
    <row r="120" spans="1:5" x14ac:dyDescent="0.2">
      <c r="A120" s="476" t="s">
        <v>409</v>
      </c>
      <c r="B120" s="339" t="s">
        <v>408</v>
      </c>
      <c r="C120" s="466">
        <f t="array" ref="C120">((SUM(IF((CkDJ[Account Code]=(TRIM($B120)))*(CkDJ[Date]&lt;=$C$8),CkDJ[Debit])))+(SUM(IF((CsDJ[Account Code]=(TRIM($B120)))*(CsDJ[Date]&lt;=$C$8),CsDJ[Debit])))+(SUM(IF((CRDJ[Account Code]=(TRIM($B120)))*(CRDJ[Date]&lt;=$C$8),CRDJ[Debit])))+(SUM(IF((GJ[Account Code]=(TRIM($B120)))*(GJ[Date]&lt;=$C$8),GJ[Debit]))))-((SUM(IF((CkDJ[Account Code]=(TRIM($B120)))*(CkDJ[Date]&lt;=$C$8),CkDJ[Credit])))+(SUM(IF((CsDJ[Account Code]=(TRIM($B120)))*(CsDJ[Date]&lt;=$C$8),CsDJ[Credit])))+(SUM(IF((CRDJ[Account Code]=(TRIM($B120)))*(CRDJ[Date]&lt;=$C$8),CRDJ[Credit])))+(SUM(IF((GJ[Account Code]=(TRIM($B120)))*(GJ[Date]&lt;=$C$8),GJ[Credit]))))</f>
        <v>0</v>
      </c>
      <c r="D120" s="466">
        <f t="array" ref="D120">((SUM(IF((CkDJ[Date]=$A$4)*(CkDJ[Account Code]=(TRIM($B120))),CkDJ[Debit])))+(SUM(IF((CsDJ[Date]=$A$4)*(CsDJ[Account Code]=(TRIM($B120))),CsDJ[Debit])))+(SUM(IF((CRDJ[Date]=$A$4)*(CRDJ[Account Code]=(TRIM($B120))),CRDJ[Debit])))+(SUM(IF((GJ[Date]=$A$4)*(GJ[Account Code]=(TRIM($B120))),GJ[Debit]))))-((SUM(IF((CkDJ[Date]=$A$4)*(CkDJ[Account Code]=(TRIM($B120))),CkDJ[Credit])))+(SUM(IF((CsDJ[Date]=$A$4)*(CsDJ[Account Code]=(TRIM($B120))),CsDJ[Credit])))+(SUM(IF((CRDJ[Date]=$A$4)*(CRDJ[Account Code]=(TRIM($B120))),CRDJ[Credit])))+(SUM(IF((GJ[Date]=$A$4)*(GJ[Account Code]=(TRIM($B120))),GJ[Credit]))))</f>
        <v>0</v>
      </c>
      <c r="E120" s="467">
        <f>C120+D120</f>
        <v>0</v>
      </c>
    </row>
    <row r="121" spans="1:5" x14ac:dyDescent="0.2">
      <c r="A121" s="476" t="s">
        <v>315</v>
      </c>
      <c r="B121" s="339" t="s">
        <v>270</v>
      </c>
      <c r="C121" s="466">
        <f t="array" ref="C121">((SUM(IF((CkDJ[Account Code]=(TRIM($B121)))*(CkDJ[Date]&lt;=$C$8),CkDJ[Debit])))+(SUM(IF((CsDJ[Account Code]=(TRIM($B121)))*(CsDJ[Date]&lt;=$C$8),CsDJ[Debit])))+(SUM(IF((CRDJ[Account Code]=(TRIM($B121)))*(CRDJ[Date]&lt;=$C$8),CRDJ[Debit])))+(SUM(IF((GJ[Account Code]=(TRIM($B121)))*(GJ[Date]&lt;=$C$8),GJ[Debit]))))-((SUM(IF((CkDJ[Account Code]=(TRIM($B121)))*(CkDJ[Date]&lt;=$C$8),CkDJ[Credit])))+(SUM(IF((CsDJ[Account Code]=(TRIM($B121)))*(CsDJ[Date]&lt;=$C$8),CsDJ[Credit])))+(SUM(IF((CRDJ[Account Code]=(TRIM($B121)))*(CRDJ[Date]&lt;=$C$8),CRDJ[Credit])))+(SUM(IF((GJ[Account Code]=(TRIM($B121)))*(GJ[Date]&lt;=$C$8),GJ[Credit]))))</f>
        <v>0</v>
      </c>
      <c r="D121" s="466">
        <f t="array" ref="D121">((SUM(IF((CkDJ[Date]=$A$4)*(CkDJ[Account Code]=(TRIM($B121))),CkDJ[Debit])))+(SUM(IF((CsDJ[Date]=$A$4)*(CsDJ[Account Code]=(TRIM($B121))),CsDJ[Debit])))+(SUM(IF((CRDJ[Date]=$A$4)*(CRDJ[Account Code]=(TRIM($B121))),CRDJ[Debit])))+(SUM(IF((GJ[Date]=$A$4)*(GJ[Account Code]=(TRIM($B121))),GJ[Debit]))))-((SUM(IF((CkDJ[Date]=$A$4)*(CkDJ[Account Code]=(TRIM($B121))),CkDJ[Credit])))+(SUM(IF((CsDJ[Date]=$A$4)*(CsDJ[Account Code]=(TRIM($B121))),CsDJ[Credit])))+(SUM(IF((CRDJ[Date]=$A$4)*(CRDJ[Account Code]=(TRIM($B121))),CRDJ[Credit])))+(SUM(IF((GJ[Date]=$A$4)*(GJ[Account Code]=(TRIM($B121))),GJ[Credit]))))</f>
        <v>0</v>
      </c>
      <c r="E121" s="467">
        <f>C121+D121</f>
        <v>0</v>
      </c>
    </row>
    <row r="122" spans="1:5" x14ac:dyDescent="0.2">
      <c r="A122" s="476" t="s">
        <v>368</v>
      </c>
      <c r="B122" s="339" t="s">
        <v>271</v>
      </c>
      <c r="C122" s="466">
        <f t="array" ref="C122">((SUM(IF((CkDJ[Account Code]=(TRIM($B122)))*(CkDJ[Date]&lt;=$C$8),CkDJ[Debit])))+(SUM(IF((CsDJ[Account Code]=(TRIM($B122)))*(CsDJ[Date]&lt;=$C$8),CsDJ[Debit])))+(SUM(IF((CRDJ[Account Code]=(TRIM($B122)))*(CRDJ[Date]&lt;=$C$8),CRDJ[Debit])))+(SUM(IF((GJ[Account Code]=(TRIM($B122)))*(GJ[Date]&lt;=$C$8),GJ[Debit]))))-((SUM(IF((CkDJ[Account Code]=(TRIM($B122)))*(CkDJ[Date]&lt;=$C$8),CkDJ[Credit])))+(SUM(IF((CsDJ[Account Code]=(TRIM($B122)))*(CsDJ[Date]&lt;=$C$8),CsDJ[Credit])))+(SUM(IF((CRDJ[Account Code]=(TRIM($B122)))*(CRDJ[Date]&lt;=$C$8),CRDJ[Credit])))+(SUM(IF((GJ[Account Code]=(TRIM($B122)))*(GJ[Date]&lt;=$C$8),GJ[Credit]))))</f>
        <v>0</v>
      </c>
      <c r="D122" s="466">
        <f t="array" ref="D122">((SUM(IF((CkDJ[Date]=$A$4)*(CkDJ[Account Code]=(TRIM($B122))),CkDJ[Debit])))+(SUM(IF((CsDJ[Date]=$A$4)*(CsDJ[Account Code]=(TRIM($B122))),CsDJ[Debit])))+(SUM(IF((CRDJ[Date]=$A$4)*(CRDJ[Account Code]=(TRIM($B122))),CRDJ[Debit])))+(SUM(IF((GJ[Date]=$A$4)*(GJ[Account Code]=(TRIM($B122))),GJ[Debit]))))-((SUM(IF((CkDJ[Date]=$A$4)*(CkDJ[Account Code]=(TRIM($B122))),CkDJ[Credit])))+(SUM(IF((CsDJ[Date]=$A$4)*(CsDJ[Account Code]=(TRIM($B122))),CsDJ[Credit])))+(SUM(IF((CRDJ[Date]=$A$4)*(CRDJ[Account Code]=(TRIM($B122))),CRDJ[Credit])))+(SUM(IF((GJ[Date]=$A$4)*(GJ[Account Code]=(TRIM($B122))),GJ[Credit]))))</f>
        <v>0</v>
      </c>
      <c r="E122" s="467">
        <f t="shared" si="2"/>
        <v>0</v>
      </c>
    </row>
    <row r="123" spans="1:5" x14ac:dyDescent="0.2">
      <c r="A123" s="476" t="s">
        <v>316</v>
      </c>
      <c r="B123" s="339" t="s">
        <v>272</v>
      </c>
      <c r="C123" s="466">
        <f t="array" ref="C123">((SUM(IF((CkDJ[Account Code]=(TRIM($B123)))*(CkDJ[Date]&lt;=$C$8),CkDJ[Debit])))+(SUM(IF((CsDJ[Account Code]=(TRIM($B123)))*(CsDJ[Date]&lt;=$C$8),CsDJ[Debit])))+(SUM(IF((CRDJ[Account Code]=(TRIM($B123)))*(CRDJ[Date]&lt;=$C$8),CRDJ[Debit])))+(SUM(IF((GJ[Account Code]=(TRIM($B123)))*(GJ[Date]&lt;=$C$8),GJ[Debit]))))-((SUM(IF((CkDJ[Account Code]=(TRIM($B123)))*(CkDJ[Date]&lt;=$C$8),CkDJ[Credit])))+(SUM(IF((CsDJ[Account Code]=(TRIM($B123)))*(CsDJ[Date]&lt;=$C$8),CsDJ[Credit])))+(SUM(IF((CRDJ[Account Code]=(TRIM($B123)))*(CRDJ[Date]&lt;=$C$8),CRDJ[Credit])))+(SUM(IF((GJ[Account Code]=(TRIM($B123)))*(GJ[Date]&lt;=$C$8),GJ[Credit]))))</f>
        <v>0</v>
      </c>
      <c r="D123" s="466">
        <f t="array" ref="D123">((SUM(IF((CkDJ[Date]=$A$4)*(CkDJ[Account Code]=(TRIM($B123))),CkDJ[Debit])))+(SUM(IF((CsDJ[Date]=$A$4)*(CsDJ[Account Code]=(TRIM($B123))),CsDJ[Debit])))+(SUM(IF((CRDJ[Date]=$A$4)*(CRDJ[Account Code]=(TRIM($B123))),CRDJ[Debit])))+(SUM(IF((GJ[Date]=$A$4)*(GJ[Account Code]=(TRIM($B123))),GJ[Debit]))))-((SUM(IF((CkDJ[Date]=$A$4)*(CkDJ[Account Code]=(TRIM($B123))),CkDJ[Credit])))+(SUM(IF((CsDJ[Date]=$A$4)*(CsDJ[Account Code]=(TRIM($B123))),CsDJ[Credit])))+(SUM(IF((CRDJ[Date]=$A$4)*(CRDJ[Account Code]=(TRIM($B123))),CRDJ[Credit])))+(SUM(IF((GJ[Date]=$A$4)*(GJ[Account Code]=(TRIM($B123))),GJ[Credit]))))</f>
        <v>0</v>
      </c>
      <c r="E123" s="467">
        <f t="shared" si="2"/>
        <v>0</v>
      </c>
    </row>
    <row r="124" spans="1:5" x14ac:dyDescent="0.2">
      <c r="A124" s="476" t="s">
        <v>317</v>
      </c>
      <c r="B124" s="339" t="s">
        <v>273</v>
      </c>
      <c r="C124" s="466">
        <f t="array" ref="C124">((SUM(IF((CkDJ[Account Code]=(TRIM($B124)))*(CkDJ[Date]&lt;=$C$8),CkDJ[Debit])))+(SUM(IF((CsDJ[Account Code]=(TRIM($B124)))*(CsDJ[Date]&lt;=$C$8),CsDJ[Debit])))+(SUM(IF((CRDJ[Account Code]=(TRIM($B124)))*(CRDJ[Date]&lt;=$C$8),CRDJ[Debit])))+(SUM(IF((GJ[Account Code]=(TRIM($B124)))*(GJ[Date]&lt;=$C$8),GJ[Debit]))))-((SUM(IF((CkDJ[Account Code]=(TRIM($B124)))*(CkDJ[Date]&lt;=$C$8),CkDJ[Credit])))+(SUM(IF((CsDJ[Account Code]=(TRIM($B124)))*(CsDJ[Date]&lt;=$C$8),CsDJ[Credit])))+(SUM(IF((CRDJ[Account Code]=(TRIM($B124)))*(CRDJ[Date]&lt;=$C$8),CRDJ[Credit])))+(SUM(IF((GJ[Account Code]=(TRIM($B124)))*(GJ[Date]&lt;=$C$8),GJ[Credit]))))</f>
        <v>0</v>
      </c>
      <c r="D124" s="466">
        <f t="array" ref="D124">((SUM(IF((CkDJ[Date]=$A$4)*(CkDJ[Account Code]=(TRIM($B124))),CkDJ[Debit])))+(SUM(IF((CsDJ[Date]=$A$4)*(CsDJ[Account Code]=(TRIM($B124))),CsDJ[Debit])))+(SUM(IF((CRDJ[Date]=$A$4)*(CRDJ[Account Code]=(TRIM($B124))),CRDJ[Debit])))+(SUM(IF((GJ[Date]=$A$4)*(GJ[Account Code]=(TRIM($B124))),GJ[Debit]))))-((SUM(IF((CkDJ[Date]=$A$4)*(CkDJ[Account Code]=(TRIM($B124))),CkDJ[Credit])))+(SUM(IF((CsDJ[Date]=$A$4)*(CsDJ[Account Code]=(TRIM($B124))),CsDJ[Credit])))+(SUM(IF((CRDJ[Date]=$A$4)*(CRDJ[Account Code]=(TRIM($B124))),CRDJ[Credit])))+(SUM(IF((GJ[Date]=$A$4)*(GJ[Account Code]=(TRIM($B124))),GJ[Credit]))))</f>
        <v>0</v>
      </c>
      <c r="E124" s="467">
        <f t="shared" si="2"/>
        <v>0</v>
      </c>
    </row>
    <row r="125" spans="1:5" x14ac:dyDescent="0.2">
      <c r="A125" s="476" t="s">
        <v>318</v>
      </c>
      <c r="B125" s="339" t="s">
        <v>274</v>
      </c>
      <c r="C125" s="466">
        <f t="array" ref="C125">((SUM(IF((CkDJ[Account Code]=(TRIM($B125)))*(CkDJ[Date]&lt;=$C$8),CkDJ[Debit])))+(SUM(IF((CsDJ[Account Code]=(TRIM($B125)))*(CsDJ[Date]&lt;=$C$8),CsDJ[Debit])))+(SUM(IF((CRDJ[Account Code]=(TRIM($B125)))*(CRDJ[Date]&lt;=$C$8),CRDJ[Debit])))+(SUM(IF((GJ[Account Code]=(TRIM($B125)))*(GJ[Date]&lt;=$C$8),GJ[Debit]))))-((SUM(IF((CkDJ[Account Code]=(TRIM($B125)))*(CkDJ[Date]&lt;=$C$8),CkDJ[Credit])))+(SUM(IF((CsDJ[Account Code]=(TRIM($B125)))*(CsDJ[Date]&lt;=$C$8),CsDJ[Credit])))+(SUM(IF((CRDJ[Account Code]=(TRIM($B125)))*(CRDJ[Date]&lt;=$C$8),CRDJ[Credit])))+(SUM(IF((GJ[Account Code]=(TRIM($B125)))*(GJ[Date]&lt;=$C$8),GJ[Credit]))))</f>
        <v>0</v>
      </c>
      <c r="D125" s="466">
        <f t="array" ref="D125">((SUM(IF((CkDJ[Date]=$A$4)*(CkDJ[Account Code]=(TRIM($B125))),CkDJ[Debit])))+(SUM(IF((CsDJ[Date]=$A$4)*(CsDJ[Account Code]=(TRIM($B125))),CsDJ[Debit])))+(SUM(IF((CRDJ[Date]=$A$4)*(CRDJ[Account Code]=(TRIM($B125))),CRDJ[Debit])))+(SUM(IF((GJ[Date]=$A$4)*(GJ[Account Code]=(TRIM($B125))),GJ[Debit]))))-((SUM(IF((CkDJ[Date]=$A$4)*(CkDJ[Account Code]=(TRIM($B125))),CkDJ[Credit])))+(SUM(IF((CsDJ[Date]=$A$4)*(CsDJ[Account Code]=(TRIM($B125))),CsDJ[Credit])))+(SUM(IF((CRDJ[Date]=$A$4)*(CRDJ[Account Code]=(TRIM($B125))),CRDJ[Credit])))+(SUM(IF((GJ[Date]=$A$4)*(GJ[Account Code]=(TRIM($B125))),GJ[Credit]))))</f>
        <v>0</v>
      </c>
      <c r="E125" s="467">
        <f t="shared" si="2"/>
        <v>0</v>
      </c>
    </row>
    <row r="126" spans="1:5" x14ac:dyDescent="0.2">
      <c r="A126" s="476" t="s">
        <v>796</v>
      </c>
      <c r="B126" s="339" t="s">
        <v>331</v>
      </c>
      <c r="C126" s="466">
        <f t="array" ref="C126">((SUM(IF((CkDJ[Account Code]=(TRIM($B126)))*(CkDJ[Date]&lt;=$C$8),CkDJ[Debit])))+(SUM(IF((CsDJ[Account Code]=(TRIM($B126)))*(CsDJ[Date]&lt;=$C$8),CsDJ[Debit])))+(SUM(IF((CRDJ[Account Code]=(TRIM($B126)))*(CRDJ[Date]&lt;=$C$8),CRDJ[Debit])))+(SUM(IF((GJ[Account Code]=(TRIM($B126)))*(GJ[Date]&lt;=$C$8),GJ[Debit]))))-((SUM(IF((CkDJ[Account Code]=(TRIM($B126)))*(CkDJ[Date]&lt;=$C$8),CkDJ[Credit])))+(SUM(IF((CsDJ[Account Code]=(TRIM($B126)))*(CsDJ[Date]&lt;=$C$8),CsDJ[Credit])))+(SUM(IF((CRDJ[Account Code]=(TRIM($B126)))*(CRDJ[Date]&lt;=$C$8),CRDJ[Credit])))+(SUM(IF((GJ[Account Code]=(TRIM($B126)))*(GJ[Date]&lt;=$C$8),GJ[Credit]))))</f>
        <v>0</v>
      </c>
      <c r="D126" s="466">
        <f t="array" ref="D126">((SUM(IF((CkDJ[Date]=$A$4)*(CkDJ[Account Code]=(TRIM($B126))),CkDJ[Debit])))+(SUM(IF((CsDJ[Date]=$A$4)*(CsDJ[Account Code]=(TRIM($B126))),CsDJ[Debit])))+(SUM(IF((CRDJ[Date]=$A$4)*(CRDJ[Account Code]=(TRIM($B126))),CRDJ[Debit])))+(SUM(IF((GJ[Date]=$A$4)*(GJ[Account Code]=(TRIM($B126))),GJ[Debit]))))-((SUM(IF((CkDJ[Date]=$A$4)*(CkDJ[Account Code]=(TRIM($B126))),CkDJ[Credit])))+(SUM(IF((CsDJ[Date]=$A$4)*(CsDJ[Account Code]=(TRIM($B126))),CsDJ[Credit])))+(SUM(IF((CRDJ[Date]=$A$4)*(CRDJ[Account Code]=(TRIM($B126))),CRDJ[Credit])))+(SUM(IF((GJ[Date]=$A$4)*(GJ[Account Code]=(TRIM($B126))),GJ[Credit]))))</f>
        <v>0</v>
      </c>
      <c r="E126" s="467">
        <f t="shared" si="2"/>
        <v>0</v>
      </c>
    </row>
    <row r="127" spans="1:5" x14ac:dyDescent="0.2">
      <c r="A127" s="476" t="s">
        <v>1028</v>
      </c>
      <c r="B127" s="339" t="s">
        <v>332</v>
      </c>
      <c r="C127" s="466">
        <f t="array" ref="C127">((SUM(IF((CkDJ[Account Code]=(TRIM($B127)))*(CkDJ[Date]&lt;=$C$8),CkDJ[Debit])))+(SUM(IF((CsDJ[Account Code]=(TRIM($B127)))*(CsDJ[Date]&lt;=$C$8),CsDJ[Debit])))+(SUM(IF((CRDJ[Account Code]=(TRIM($B127)))*(CRDJ[Date]&lt;=$C$8),CRDJ[Debit])))+(SUM(IF((GJ[Account Code]=(TRIM($B127)))*(GJ[Date]&lt;=$C$8),GJ[Debit]))))-((SUM(IF((CkDJ[Account Code]=(TRIM($B127)))*(CkDJ[Date]&lt;=$C$8),CkDJ[Credit])))+(SUM(IF((CsDJ[Account Code]=(TRIM($B127)))*(CsDJ[Date]&lt;=$C$8),CsDJ[Credit])))+(SUM(IF((CRDJ[Account Code]=(TRIM($B127)))*(CRDJ[Date]&lt;=$C$8),CRDJ[Credit])))+(SUM(IF((GJ[Account Code]=(TRIM($B127)))*(GJ[Date]&lt;=$C$8),GJ[Credit]))))</f>
        <v>0</v>
      </c>
      <c r="D127" s="466">
        <f t="array" ref="D127">((SUM(IF((CkDJ[Date]=$A$4)*(CkDJ[Account Code]=(TRIM($B127))),CkDJ[Debit])))+(SUM(IF((CsDJ[Date]=$A$4)*(CsDJ[Account Code]=(TRIM($B127))),CsDJ[Debit])))+(SUM(IF((CRDJ[Date]=$A$4)*(CRDJ[Account Code]=(TRIM($B127))),CRDJ[Debit])))+(SUM(IF((GJ[Date]=$A$4)*(GJ[Account Code]=(TRIM($B127))),GJ[Debit]))))-((SUM(IF((CkDJ[Date]=$A$4)*(CkDJ[Account Code]=(TRIM($B127))),CkDJ[Credit])))+(SUM(IF((CsDJ[Date]=$A$4)*(CsDJ[Account Code]=(TRIM($B127))),CsDJ[Credit])))+(SUM(IF((CRDJ[Date]=$A$4)*(CRDJ[Account Code]=(TRIM($B127))),CRDJ[Credit])))+(SUM(IF((GJ[Date]=$A$4)*(GJ[Account Code]=(TRIM($B127))),GJ[Credit]))))</f>
        <v>0</v>
      </c>
      <c r="E127" s="467">
        <f t="shared" si="2"/>
        <v>0</v>
      </c>
    </row>
    <row r="128" spans="1:5" x14ac:dyDescent="0.2">
      <c r="A128" s="476" t="s">
        <v>343</v>
      </c>
      <c r="B128" s="339" t="s">
        <v>334</v>
      </c>
      <c r="C128" s="466">
        <f t="array" ref="C128">((SUM(IF((CkDJ[Account Code]=(TRIM($B128)))*(CkDJ[Date]&lt;=$C$8),CkDJ[Debit])))+(SUM(IF((CsDJ[Account Code]=(TRIM($B128)))*(CsDJ[Date]&lt;=$C$8),CsDJ[Debit])))+(SUM(IF((CRDJ[Account Code]=(TRIM($B128)))*(CRDJ[Date]&lt;=$C$8),CRDJ[Debit])))+(SUM(IF((GJ[Account Code]=(TRIM($B128)))*(GJ[Date]&lt;=$C$8),GJ[Debit]))))-((SUM(IF((CkDJ[Account Code]=(TRIM($B128)))*(CkDJ[Date]&lt;=$C$8),CkDJ[Credit])))+(SUM(IF((CsDJ[Account Code]=(TRIM($B128)))*(CsDJ[Date]&lt;=$C$8),CsDJ[Credit])))+(SUM(IF((CRDJ[Account Code]=(TRIM($B128)))*(CRDJ[Date]&lt;=$C$8),CRDJ[Credit])))+(SUM(IF((GJ[Account Code]=(TRIM($B128)))*(GJ[Date]&lt;=$C$8),GJ[Credit]))))</f>
        <v>0</v>
      </c>
      <c r="D128" s="466">
        <f t="array" ref="D128">((SUM(IF((CkDJ[Date]=$A$4)*(CkDJ[Account Code]=(TRIM($B128))),CkDJ[Debit])))+(SUM(IF((CsDJ[Date]=$A$4)*(CsDJ[Account Code]=(TRIM($B128))),CsDJ[Debit])))+(SUM(IF((CRDJ[Date]=$A$4)*(CRDJ[Account Code]=(TRIM($B128))),CRDJ[Debit])))+(SUM(IF((GJ[Date]=$A$4)*(GJ[Account Code]=(TRIM($B128))),GJ[Debit]))))-((SUM(IF((CkDJ[Date]=$A$4)*(CkDJ[Account Code]=(TRIM($B128))),CkDJ[Credit])))+(SUM(IF((CsDJ[Date]=$A$4)*(CsDJ[Account Code]=(TRIM($B128))),CsDJ[Credit])))+(SUM(IF((CRDJ[Date]=$A$4)*(CRDJ[Account Code]=(TRIM($B128))),CRDJ[Credit])))+(SUM(IF((GJ[Date]=$A$4)*(GJ[Account Code]=(TRIM($B128))),GJ[Credit]))))</f>
        <v>0</v>
      </c>
      <c r="E128" s="467">
        <f t="shared" si="2"/>
        <v>0</v>
      </c>
    </row>
    <row r="129" spans="1:5" x14ac:dyDescent="0.2">
      <c r="A129" s="476" t="s">
        <v>344</v>
      </c>
      <c r="B129" s="339" t="s">
        <v>335</v>
      </c>
      <c r="C129" s="466">
        <f t="array" ref="C129">((SUM(IF((CkDJ[Account Code]=(TRIM($B129)))*(CkDJ[Date]&lt;=$C$8),CkDJ[Debit])))+(SUM(IF((CsDJ[Account Code]=(TRIM($B129)))*(CsDJ[Date]&lt;=$C$8),CsDJ[Debit])))+(SUM(IF((CRDJ[Account Code]=(TRIM($B129)))*(CRDJ[Date]&lt;=$C$8),CRDJ[Debit])))+(SUM(IF((GJ[Account Code]=(TRIM($B129)))*(GJ[Date]&lt;=$C$8),GJ[Debit]))))-((SUM(IF((CkDJ[Account Code]=(TRIM($B129)))*(CkDJ[Date]&lt;=$C$8),CkDJ[Credit])))+(SUM(IF((CsDJ[Account Code]=(TRIM($B129)))*(CsDJ[Date]&lt;=$C$8),CsDJ[Credit])))+(SUM(IF((CRDJ[Account Code]=(TRIM($B129)))*(CRDJ[Date]&lt;=$C$8),CRDJ[Credit])))+(SUM(IF((GJ[Account Code]=(TRIM($B129)))*(GJ[Date]&lt;=$C$8),GJ[Credit]))))</f>
        <v>0</v>
      </c>
      <c r="D129" s="466">
        <f t="array" ref="D129">((SUM(IF((CkDJ[Date]=$A$4)*(CkDJ[Account Code]=(TRIM($B129))),CkDJ[Debit])))+(SUM(IF((CsDJ[Date]=$A$4)*(CsDJ[Account Code]=(TRIM($B129))),CsDJ[Debit])))+(SUM(IF((CRDJ[Date]=$A$4)*(CRDJ[Account Code]=(TRIM($B129))),CRDJ[Debit])))+(SUM(IF((GJ[Date]=$A$4)*(GJ[Account Code]=(TRIM($B129))),GJ[Debit]))))-((SUM(IF((CkDJ[Date]=$A$4)*(CkDJ[Account Code]=(TRIM($B129))),CkDJ[Credit])))+(SUM(IF((CsDJ[Date]=$A$4)*(CsDJ[Account Code]=(TRIM($B129))),CsDJ[Credit])))+(SUM(IF((CRDJ[Date]=$A$4)*(CRDJ[Account Code]=(TRIM($B129))),CRDJ[Credit])))+(SUM(IF((GJ[Date]=$A$4)*(GJ[Account Code]=(TRIM($B129))),GJ[Credit]))))</f>
        <v>0</v>
      </c>
      <c r="E129" s="467">
        <f t="shared" si="2"/>
        <v>0</v>
      </c>
    </row>
    <row r="130" spans="1:5" x14ac:dyDescent="0.2">
      <c r="A130" s="476" t="s">
        <v>368</v>
      </c>
      <c r="B130" s="339" t="s">
        <v>405</v>
      </c>
      <c r="C130" s="466">
        <f t="array" ref="C130">((SUM(IF((CkDJ[Account Code]=(TRIM($B130)))*(CkDJ[Date]&lt;=$C$8),CkDJ[Debit])))+(SUM(IF((CsDJ[Account Code]=(TRIM($B130)))*(CsDJ[Date]&lt;=$C$8),CsDJ[Debit])))+(SUM(IF((CRDJ[Account Code]=(TRIM($B130)))*(CRDJ[Date]&lt;=$C$8),CRDJ[Debit])))+(SUM(IF((GJ[Account Code]=(TRIM($B130)))*(GJ[Date]&lt;=$C$8),GJ[Debit]))))-((SUM(IF((CkDJ[Account Code]=(TRIM($B130)))*(CkDJ[Date]&lt;=$C$8),CkDJ[Credit])))+(SUM(IF((CsDJ[Account Code]=(TRIM($B130)))*(CsDJ[Date]&lt;=$C$8),CsDJ[Credit])))+(SUM(IF((CRDJ[Account Code]=(TRIM($B130)))*(CRDJ[Date]&lt;=$C$8),CRDJ[Credit])))+(SUM(IF((GJ[Account Code]=(TRIM($B130)))*(GJ[Date]&lt;=$C$8),GJ[Credit]))))</f>
        <v>0</v>
      </c>
      <c r="D130" s="466">
        <f t="array" ref="D130">((SUM(IF((CkDJ[Date]=$A$4)*(CkDJ[Account Code]=(TRIM($B130))),CkDJ[Debit])))+(SUM(IF((CsDJ[Date]=$A$4)*(CsDJ[Account Code]=(TRIM($B130))),CsDJ[Debit])))+(SUM(IF((CRDJ[Date]=$A$4)*(CRDJ[Account Code]=(TRIM($B130))),CRDJ[Debit])))+(SUM(IF((GJ[Date]=$A$4)*(GJ[Account Code]=(TRIM($B130))),GJ[Debit]))))-((SUM(IF((CkDJ[Date]=$A$4)*(CkDJ[Account Code]=(TRIM($B130))),CkDJ[Credit])))+(SUM(IF((CsDJ[Date]=$A$4)*(CsDJ[Account Code]=(TRIM($B130))),CsDJ[Credit])))+(SUM(IF((CRDJ[Date]=$A$4)*(CRDJ[Account Code]=(TRIM($B130))),CRDJ[Credit])))+(SUM(IF((GJ[Date]=$A$4)*(GJ[Account Code]=(TRIM($B130))),GJ[Credit]))))</f>
        <v>0</v>
      </c>
      <c r="E130" s="467">
        <f t="shared" si="2"/>
        <v>0</v>
      </c>
    </row>
    <row r="131" spans="1:5" x14ac:dyDescent="0.2">
      <c r="A131" s="476" t="s">
        <v>345</v>
      </c>
      <c r="B131" s="339" t="s">
        <v>336</v>
      </c>
      <c r="C131" s="466">
        <f t="array" ref="C131">((SUM(IF((CkDJ[Account Code]=(TRIM($B131)))*(CkDJ[Date]&lt;=$C$8),CkDJ[Debit])))+(SUM(IF((CsDJ[Account Code]=(TRIM($B131)))*(CsDJ[Date]&lt;=$C$8),CsDJ[Debit])))+(SUM(IF((CRDJ[Account Code]=(TRIM($B131)))*(CRDJ[Date]&lt;=$C$8),CRDJ[Debit])))+(SUM(IF((GJ[Account Code]=(TRIM($B131)))*(GJ[Date]&lt;=$C$8),GJ[Debit]))))-((SUM(IF((CkDJ[Account Code]=(TRIM($B131)))*(CkDJ[Date]&lt;=$C$8),CkDJ[Credit])))+(SUM(IF((CsDJ[Account Code]=(TRIM($B131)))*(CsDJ[Date]&lt;=$C$8),CsDJ[Credit])))+(SUM(IF((CRDJ[Account Code]=(TRIM($B131)))*(CRDJ[Date]&lt;=$C$8),CRDJ[Credit])))+(SUM(IF((GJ[Account Code]=(TRIM($B131)))*(GJ[Date]&lt;=$C$8),GJ[Credit]))))</f>
        <v>0</v>
      </c>
      <c r="D131" s="466">
        <f t="array" ref="D131">((SUM(IF((CkDJ[Date]=$A$4)*(CkDJ[Account Code]=(TRIM($B131))),CkDJ[Debit])))+(SUM(IF((CsDJ[Date]=$A$4)*(CsDJ[Account Code]=(TRIM($B131))),CsDJ[Debit])))+(SUM(IF((CRDJ[Date]=$A$4)*(CRDJ[Account Code]=(TRIM($B131))),CRDJ[Debit])))+(SUM(IF((GJ[Date]=$A$4)*(GJ[Account Code]=(TRIM($B131))),GJ[Debit]))))-((SUM(IF((CkDJ[Date]=$A$4)*(CkDJ[Account Code]=(TRIM($B131))),CkDJ[Credit])))+(SUM(IF((CsDJ[Date]=$A$4)*(CsDJ[Account Code]=(TRIM($B131))),CsDJ[Credit])))+(SUM(IF((CRDJ[Date]=$A$4)*(CRDJ[Account Code]=(TRIM($B131))),CRDJ[Credit])))+(SUM(IF((GJ[Date]=$A$4)*(GJ[Account Code]=(TRIM($B131))),GJ[Credit]))))</f>
        <v>0</v>
      </c>
      <c r="E131" s="467">
        <f t="shared" si="2"/>
        <v>0</v>
      </c>
    </row>
    <row r="132" spans="1:5" x14ac:dyDescent="0.2">
      <c r="A132" s="476" t="s">
        <v>346</v>
      </c>
      <c r="B132" s="339" t="s">
        <v>337</v>
      </c>
      <c r="C132" s="466">
        <f t="array" ref="C132">((SUM(IF((CkDJ[Account Code]=(TRIM($B132)))*(CkDJ[Date]&lt;=$C$8),CkDJ[Debit])))+(SUM(IF((CsDJ[Account Code]=(TRIM($B132)))*(CsDJ[Date]&lt;=$C$8),CsDJ[Debit])))+(SUM(IF((CRDJ[Account Code]=(TRIM($B132)))*(CRDJ[Date]&lt;=$C$8),CRDJ[Debit])))+(SUM(IF((GJ[Account Code]=(TRIM($B132)))*(GJ[Date]&lt;=$C$8),GJ[Debit]))))-((SUM(IF((CkDJ[Account Code]=(TRIM($B132)))*(CkDJ[Date]&lt;=$C$8),CkDJ[Credit])))+(SUM(IF((CsDJ[Account Code]=(TRIM($B132)))*(CsDJ[Date]&lt;=$C$8),CsDJ[Credit])))+(SUM(IF((CRDJ[Account Code]=(TRIM($B132)))*(CRDJ[Date]&lt;=$C$8),CRDJ[Credit])))+(SUM(IF((GJ[Account Code]=(TRIM($B132)))*(GJ[Date]&lt;=$C$8),GJ[Credit]))))</f>
        <v>0</v>
      </c>
      <c r="D132" s="466">
        <f t="array" ref="D132">((SUM(IF((CkDJ[Date]=$A$4)*(CkDJ[Account Code]=(TRIM($B132))),CkDJ[Debit])))+(SUM(IF((CsDJ[Date]=$A$4)*(CsDJ[Account Code]=(TRIM($B132))),CsDJ[Debit])))+(SUM(IF((CRDJ[Date]=$A$4)*(CRDJ[Account Code]=(TRIM($B132))),CRDJ[Debit])))+(SUM(IF((GJ[Date]=$A$4)*(GJ[Account Code]=(TRIM($B132))),GJ[Debit]))))-((SUM(IF((CkDJ[Date]=$A$4)*(CkDJ[Account Code]=(TRIM($B132))),CkDJ[Credit])))+(SUM(IF((CsDJ[Date]=$A$4)*(CsDJ[Account Code]=(TRIM($B132))),CsDJ[Credit])))+(SUM(IF((CRDJ[Date]=$A$4)*(CRDJ[Account Code]=(TRIM($B132))),CRDJ[Credit])))+(SUM(IF((GJ[Date]=$A$4)*(GJ[Account Code]=(TRIM($B132))),GJ[Credit]))))</f>
        <v>0</v>
      </c>
      <c r="E132" s="467">
        <f t="shared" si="2"/>
        <v>0</v>
      </c>
    </row>
    <row r="133" spans="1:5" x14ac:dyDescent="0.2">
      <c r="A133" s="476" t="s">
        <v>1030</v>
      </c>
      <c r="B133" s="339" t="s">
        <v>986</v>
      </c>
      <c r="C133" s="466">
        <f t="array" ref="C133">((SUM(IF((CkDJ[Account Code]=(TRIM($B133)))*(CkDJ[Date]&lt;=$C$8),CkDJ[Debit])))+(SUM(IF((CsDJ[Account Code]=(TRIM($B133)))*(CsDJ[Date]&lt;=$C$8),CsDJ[Debit])))+(SUM(IF((CRDJ[Account Code]=(TRIM($B133)))*(CRDJ[Date]&lt;=$C$8),CRDJ[Debit])))+(SUM(IF((GJ[Account Code]=(TRIM($B133)))*(GJ[Date]&lt;=$C$8),GJ[Debit]))))-((SUM(IF((CkDJ[Account Code]=(TRIM($B133)))*(CkDJ[Date]&lt;=$C$8),CkDJ[Credit])))+(SUM(IF((CsDJ[Account Code]=(TRIM($B133)))*(CsDJ[Date]&lt;=$C$8),CsDJ[Credit])))+(SUM(IF((CRDJ[Account Code]=(TRIM($B133)))*(CRDJ[Date]&lt;=$C$8),CRDJ[Credit])))+(SUM(IF((GJ[Account Code]=(TRIM($B133)))*(GJ[Date]&lt;=$C$8),GJ[Credit]))))</f>
        <v>0</v>
      </c>
      <c r="D133" s="466">
        <f t="array" ref="D133">((SUM(IF((CkDJ[Date]=$A$4)*(CkDJ[Account Code]=(TRIM($B133))),CkDJ[Debit])))+(SUM(IF((CsDJ[Date]=$A$4)*(CsDJ[Account Code]=(TRIM($B133))),CsDJ[Debit])))+(SUM(IF((CRDJ[Date]=$A$4)*(CRDJ[Account Code]=(TRIM($B133))),CRDJ[Debit])))+(SUM(IF((GJ[Date]=$A$4)*(GJ[Account Code]=(TRIM($B133))),GJ[Debit]))))-((SUM(IF((CkDJ[Date]=$A$4)*(CkDJ[Account Code]=(TRIM($B133))),CkDJ[Credit])))+(SUM(IF((CsDJ[Date]=$A$4)*(CsDJ[Account Code]=(TRIM($B133))),CsDJ[Credit])))+(SUM(IF((CRDJ[Date]=$A$4)*(CRDJ[Account Code]=(TRIM($B133))),CRDJ[Credit])))+(SUM(IF((GJ[Date]=$A$4)*(GJ[Account Code]=(TRIM($B133))),GJ[Credit]))))</f>
        <v>0</v>
      </c>
      <c r="E133" s="467">
        <f t="shared" si="2"/>
        <v>0</v>
      </c>
    </row>
    <row r="134" spans="1:5" x14ac:dyDescent="0.2">
      <c r="A134" s="476" t="s">
        <v>1029</v>
      </c>
      <c r="B134" s="339" t="s">
        <v>987</v>
      </c>
      <c r="C134" s="466">
        <f t="array" ref="C134">((SUM(IF((CkDJ[Account Code]=(TRIM($B134)))*(CkDJ[Date]&lt;=$C$8),CkDJ[Debit])))+(SUM(IF((CsDJ[Account Code]=(TRIM($B134)))*(CsDJ[Date]&lt;=$C$8),CsDJ[Debit])))+(SUM(IF((CRDJ[Account Code]=(TRIM($B134)))*(CRDJ[Date]&lt;=$C$8),CRDJ[Debit])))+(SUM(IF((GJ[Account Code]=(TRIM($B134)))*(GJ[Date]&lt;=$C$8),GJ[Debit]))))-((SUM(IF((CkDJ[Account Code]=(TRIM($B134)))*(CkDJ[Date]&lt;=$C$8),CkDJ[Credit])))+(SUM(IF((CsDJ[Account Code]=(TRIM($B134)))*(CsDJ[Date]&lt;=$C$8),CsDJ[Credit])))+(SUM(IF((CRDJ[Account Code]=(TRIM($B134)))*(CRDJ[Date]&lt;=$C$8),CRDJ[Credit])))+(SUM(IF((GJ[Account Code]=(TRIM($B134)))*(GJ[Date]&lt;=$C$8),GJ[Credit]))))</f>
        <v>0</v>
      </c>
      <c r="D134" s="466">
        <f t="array" ref="D134">((SUM(IF((CkDJ[Date]=$A$4)*(CkDJ[Account Code]=(TRIM($B134))),CkDJ[Debit])))+(SUM(IF((CsDJ[Date]=$A$4)*(CsDJ[Account Code]=(TRIM($B134))),CsDJ[Debit])))+(SUM(IF((CRDJ[Date]=$A$4)*(CRDJ[Account Code]=(TRIM($B134))),CRDJ[Debit])))+(SUM(IF((GJ[Date]=$A$4)*(GJ[Account Code]=(TRIM($B134))),GJ[Debit]))))-((SUM(IF((CkDJ[Date]=$A$4)*(CkDJ[Account Code]=(TRIM($B134))),CkDJ[Credit])))+(SUM(IF((CsDJ[Date]=$A$4)*(CsDJ[Account Code]=(TRIM($B134))),CsDJ[Credit])))+(SUM(IF((CRDJ[Date]=$A$4)*(CRDJ[Account Code]=(TRIM($B134))),CRDJ[Credit])))+(SUM(IF((GJ[Date]=$A$4)*(GJ[Account Code]=(TRIM($B134))),GJ[Credit]))))</f>
        <v>0</v>
      </c>
      <c r="E134" s="467">
        <f t="shared" si="2"/>
        <v>0</v>
      </c>
    </row>
    <row r="135" spans="1:5" x14ac:dyDescent="0.2">
      <c r="A135" s="476" t="s">
        <v>990</v>
      </c>
      <c r="B135" s="339" t="s">
        <v>988</v>
      </c>
      <c r="C135" s="466">
        <f t="array" ref="C135">((SUM(IF((CkDJ[Account Code]=(TRIM($B135)))*(CkDJ[Date]&lt;=$C$8),CkDJ[Debit])))+(SUM(IF((CsDJ[Account Code]=(TRIM($B135)))*(CsDJ[Date]&lt;=$C$8),CsDJ[Debit])))+(SUM(IF((CRDJ[Account Code]=(TRIM($B135)))*(CRDJ[Date]&lt;=$C$8),CRDJ[Debit])))+(SUM(IF((GJ[Account Code]=(TRIM($B135)))*(GJ[Date]&lt;=$C$8),GJ[Debit]))))-((SUM(IF((CkDJ[Account Code]=(TRIM($B135)))*(CkDJ[Date]&lt;=$C$8),CkDJ[Credit])))+(SUM(IF((CsDJ[Account Code]=(TRIM($B135)))*(CsDJ[Date]&lt;=$C$8),CsDJ[Credit])))+(SUM(IF((CRDJ[Account Code]=(TRIM($B135)))*(CRDJ[Date]&lt;=$C$8),CRDJ[Credit])))+(SUM(IF((GJ[Account Code]=(TRIM($B135)))*(GJ[Date]&lt;=$C$8),GJ[Credit]))))</f>
        <v>0</v>
      </c>
      <c r="D135" s="466">
        <f t="array" ref="D135">((SUM(IF((CkDJ[Date]=$A$4)*(CkDJ[Account Code]=(TRIM($B135))),CkDJ[Debit])))+(SUM(IF((CsDJ[Date]=$A$4)*(CsDJ[Account Code]=(TRIM($B135))),CsDJ[Debit])))+(SUM(IF((CRDJ[Date]=$A$4)*(CRDJ[Account Code]=(TRIM($B135))),CRDJ[Debit])))+(SUM(IF((GJ[Date]=$A$4)*(GJ[Account Code]=(TRIM($B135))),GJ[Debit]))))-((SUM(IF((CkDJ[Date]=$A$4)*(CkDJ[Account Code]=(TRIM($B135))),CkDJ[Credit])))+(SUM(IF((CsDJ[Date]=$A$4)*(CsDJ[Account Code]=(TRIM($B135))),CsDJ[Credit])))+(SUM(IF((CRDJ[Date]=$A$4)*(CRDJ[Account Code]=(TRIM($B135))),CRDJ[Credit])))+(SUM(IF((GJ[Date]=$A$4)*(GJ[Account Code]=(TRIM($B135))),GJ[Credit]))))</f>
        <v>0</v>
      </c>
      <c r="E135" s="467">
        <f t="shared" si="2"/>
        <v>0</v>
      </c>
    </row>
    <row r="136" spans="1:5" x14ac:dyDescent="0.2">
      <c r="A136" s="476" t="s">
        <v>349</v>
      </c>
      <c r="B136" s="339" t="s">
        <v>340</v>
      </c>
      <c r="C136" s="466">
        <f t="array" ref="C136">((SUM(IF((CkDJ[Account Code]=(TRIM($B136)))*(CkDJ[Date]&lt;=$C$8),CkDJ[Debit])))+(SUM(IF((CsDJ[Account Code]=(TRIM($B136)))*(CsDJ[Date]&lt;=$C$8),CsDJ[Debit])))+(SUM(IF((CRDJ[Account Code]=(TRIM($B136)))*(CRDJ[Date]&lt;=$C$8),CRDJ[Debit])))+(SUM(IF((GJ[Account Code]=(TRIM($B136)))*(GJ[Date]&lt;=$C$8),GJ[Debit]))))-((SUM(IF((CkDJ[Account Code]=(TRIM($B136)))*(CkDJ[Date]&lt;=$C$8),CkDJ[Credit])))+(SUM(IF((CsDJ[Account Code]=(TRIM($B136)))*(CsDJ[Date]&lt;=$C$8),CsDJ[Credit])))+(SUM(IF((CRDJ[Account Code]=(TRIM($B136)))*(CRDJ[Date]&lt;=$C$8),CRDJ[Credit])))+(SUM(IF((GJ[Account Code]=(TRIM($B136)))*(GJ[Date]&lt;=$C$8),GJ[Credit]))))</f>
        <v>0</v>
      </c>
      <c r="D136" s="466">
        <f t="array" ref="D136">((SUM(IF((CkDJ[Date]=$A$4)*(CkDJ[Account Code]=(TRIM($B136))),CkDJ[Debit])))+(SUM(IF((CsDJ[Date]=$A$4)*(CsDJ[Account Code]=(TRIM($B136))),CsDJ[Debit])))+(SUM(IF((CRDJ[Date]=$A$4)*(CRDJ[Account Code]=(TRIM($B136))),CRDJ[Debit])))+(SUM(IF((GJ[Date]=$A$4)*(GJ[Account Code]=(TRIM($B136))),GJ[Debit]))))-((SUM(IF((CkDJ[Date]=$A$4)*(CkDJ[Account Code]=(TRIM($B136))),CkDJ[Credit])))+(SUM(IF((CsDJ[Date]=$A$4)*(CsDJ[Account Code]=(TRIM($B136))),CsDJ[Credit])))+(SUM(IF((CRDJ[Date]=$A$4)*(CRDJ[Account Code]=(TRIM($B136))),CRDJ[Credit])))+(SUM(IF((GJ[Date]=$A$4)*(GJ[Account Code]=(TRIM($B136))),GJ[Credit]))))</f>
        <v>0</v>
      </c>
      <c r="E136" s="467">
        <f t="shared" si="2"/>
        <v>0</v>
      </c>
    </row>
    <row r="137" spans="1:5" x14ac:dyDescent="0.2">
      <c r="A137" s="476" t="s">
        <v>342</v>
      </c>
      <c r="B137" s="339" t="s">
        <v>333</v>
      </c>
      <c r="C137" s="466">
        <f t="array" ref="C137">((SUM(IF((CkDJ[Account Code]=(TRIM($B137)))*(CkDJ[Date]&lt;=$C$8),CkDJ[Debit])))+(SUM(IF((CsDJ[Account Code]=(TRIM($B137)))*(CsDJ[Date]&lt;=$C$8),CsDJ[Debit])))+(SUM(IF((CRDJ[Account Code]=(TRIM($B137)))*(CRDJ[Date]&lt;=$C$8),CRDJ[Debit])))+(SUM(IF((GJ[Account Code]=(TRIM($B137)))*(GJ[Date]&lt;=$C$8),GJ[Debit]))))-((SUM(IF((CkDJ[Account Code]=(TRIM($B137)))*(CkDJ[Date]&lt;=$C$8),CkDJ[Credit])))+(SUM(IF((CsDJ[Account Code]=(TRIM($B137)))*(CsDJ[Date]&lt;=$C$8),CsDJ[Credit])))+(SUM(IF((CRDJ[Account Code]=(TRIM($B137)))*(CRDJ[Date]&lt;=$C$8),CRDJ[Credit])))+(SUM(IF((GJ[Account Code]=(TRIM($B137)))*(GJ[Date]&lt;=$C$8),GJ[Credit]))))</f>
        <v>0</v>
      </c>
      <c r="D137" s="466">
        <f t="array" ref="D137">((SUM(IF((CkDJ[Date]=$A$4)*(CkDJ[Account Code]=(TRIM($B137))),CkDJ[Debit])))+(SUM(IF((CsDJ[Date]=$A$4)*(CsDJ[Account Code]=(TRIM($B137))),CsDJ[Debit])))+(SUM(IF((CRDJ[Date]=$A$4)*(CRDJ[Account Code]=(TRIM($B137))),CRDJ[Debit])))+(SUM(IF((GJ[Date]=$A$4)*(GJ[Account Code]=(TRIM($B137))),GJ[Debit]))))-((SUM(IF((CkDJ[Date]=$A$4)*(CkDJ[Account Code]=(TRIM($B137))),CkDJ[Credit])))+(SUM(IF((CsDJ[Date]=$A$4)*(CsDJ[Account Code]=(TRIM($B137))),CsDJ[Credit])))+(SUM(IF((CRDJ[Date]=$A$4)*(CRDJ[Account Code]=(TRIM($B137))),CRDJ[Credit])))+(SUM(IF((GJ[Date]=$A$4)*(GJ[Account Code]=(TRIM($B137))),GJ[Credit]))))</f>
        <v>0</v>
      </c>
      <c r="E137" s="467">
        <f>C137+D137</f>
        <v>0</v>
      </c>
    </row>
    <row r="138" spans="1:5" x14ac:dyDescent="0.2">
      <c r="A138" s="468" t="s">
        <v>804</v>
      </c>
      <c r="B138" s="469"/>
      <c r="C138" s="470">
        <f>C47+C74</f>
        <v>0</v>
      </c>
      <c r="D138" s="470">
        <f>D47+D74</f>
        <v>0</v>
      </c>
      <c r="E138" s="470">
        <f>E47+E74</f>
        <v>0</v>
      </c>
    </row>
    <row r="139" spans="1:5" x14ac:dyDescent="0.2">
      <c r="A139" s="468" t="s">
        <v>785</v>
      </c>
      <c r="B139" s="469"/>
      <c r="C139" s="470">
        <f>C45-C138</f>
        <v>0</v>
      </c>
      <c r="D139" s="470">
        <f>D45-D138</f>
        <v>0</v>
      </c>
      <c r="E139" s="470">
        <f>E45-E138</f>
        <v>0</v>
      </c>
    </row>
    <row r="140" spans="1:5" x14ac:dyDescent="0.2">
      <c r="A140" s="468"/>
      <c r="B140" s="469"/>
      <c r="C140" s="470"/>
      <c r="D140" s="470"/>
      <c r="E140" s="470"/>
    </row>
    <row r="141" spans="1:5" x14ac:dyDescent="0.2">
      <c r="A141" s="468" t="s">
        <v>1168</v>
      </c>
      <c r="B141" s="469"/>
      <c r="C141" s="470">
        <v>0</v>
      </c>
      <c r="D141" s="470">
        <v>0</v>
      </c>
      <c r="E141" s="470">
        <v>0</v>
      </c>
    </row>
    <row r="142" spans="1:5" x14ac:dyDescent="0.2">
      <c r="A142" s="468"/>
      <c r="B142" s="469"/>
      <c r="C142" s="470"/>
      <c r="D142" s="470"/>
      <c r="E142" s="470"/>
    </row>
    <row r="143" spans="1:5" x14ac:dyDescent="0.2">
      <c r="A143" s="468" t="s">
        <v>1169</v>
      </c>
      <c r="B143" s="469"/>
      <c r="C143" s="470">
        <f>C139-C141</f>
        <v>0</v>
      </c>
      <c r="D143" s="470">
        <f>D139-D141</f>
        <v>0</v>
      </c>
      <c r="E143" s="470">
        <f>E139-E141</f>
        <v>0</v>
      </c>
    </row>
  </sheetData>
  <mergeCells count="5">
    <mergeCell ref="C6:C7"/>
    <mergeCell ref="D6:D8"/>
    <mergeCell ref="E6:E8"/>
    <mergeCell ref="A6:A8"/>
    <mergeCell ref="B6:B8"/>
  </mergeCells>
  <printOptions horizontalCentered="1"/>
  <pageMargins left="0.25" right="0.25" top="0.75" bottom="1.5" header="0.3" footer="0.3"/>
  <pageSetup paperSize="5" scale="80" orientation="portrait" r:id="rId1"/>
  <rowBreaks count="1" manualBreakCount="1">
    <brk id="72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Y169"/>
  <sheetViews>
    <sheetView workbookViewId="0"/>
  </sheetViews>
  <sheetFormatPr defaultColWidth="9" defaultRowHeight="15.75" x14ac:dyDescent="0.25"/>
  <cols>
    <col min="1" max="1" width="64.125" style="25" bestFit="1" customWidth="1"/>
    <col min="2" max="2" width="8" style="315" customWidth="1"/>
    <col min="3" max="16" width="16.125" style="25" customWidth="1"/>
    <col min="17" max="16384" width="9" style="25"/>
  </cols>
  <sheetData>
    <row r="1" spans="1:16" ht="22.5" x14ac:dyDescent="0.5">
      <c r="A1" s="313" t="s">
        <v>355</v>
      </c>
    </row>
    <row r="2" spans="1:16" x14ac:dyDescent="0.25">
      <c r="A2" s="167" t="s">
        <v>400</v>
      </c>
      <c r="C2" s="102"/>
      <c r="D2" s="102"/>
      <c r="E2" s="102"/>
      <c r="F2" s="52"/>
      <c r="G2" s="52"/>
      <c r="H2" s="52"/>
      <c r="I2" s="102"/>
      <c r="J2" s="102"/>
      <c r="K2" s="102"/>
      <c r="L2" s="102"/>
      <c r="M2" s="102"/>
      <c r="N2" s="102"/>
      <c r="O2" s="102"/>
      <c r="P2" s="102"/>
    </row>
    <row r="3" spans="1:16" x14ac:dyDescent="0.25">
      <c r="A3" s="171" t="s">
        <v>995</v>
      </c>
    </row>
    <row r="4" spans="1:16" x14ac:dyDescent="0.25">
      <c r="A4" s="171" t="s">
        <v>996</v>
      </c>
      <c r="C4" s="52"/>
      <c r="D4" s="52"/>
      <c r="E4" s="52"/>
      <c r="F4" s="52"/>
      <c r="G4" s="102"/>
      <c r="H4" s="52"/>
      <c r="I4" s="52"/>
      <c r="J4" s="52"/>
      <c r="K4" s="102"/>
      <c r="L4" s="102"/>
      <c r="M4" s="102"/>
      <c r="N4" s="102"/>
      <c r="O4" s="102"/>
      <c r="P4" s="102"/>
    </row>
    <row r="5" spans="1:16" x14ac:dyDescent="0.25">
      <c r="A5" s="314" t="str">
        <f>IF(B6=0,,VLOOKUP((TRIM(B6)),SortCode,2,))</f>
        <v>Ilocos Norte PIO</v>
      </c>
      <c r="D5" s="329"/>
    </row>
    <row r="6" spans="1:16" x14ac:dyDescent="0.25">
      <c r="A6" s="167"/>
      <c r="B6" s="315" t="s">
        <v>487</v>
      </c>
    </row>
    <row r="7" spans="1:16" x14ac:dyDescent="0.25">
      <c r="A7" s="316" t="s">
        <v>855</v>
      </c>
      <c r="B7" s="317" t="s">
        <v>994</v>
      </c>
      <c r="C7" s="318">
        <v>2017</v>
      </c>
      <c r="D7" s="328">
        <f>Account!G12</f>
        <v>44592</v>
      </c>
      <c r="E7" s="328">
        <f>Account!G13</f>
        <v>44620</v>
      </c>
      <c r="F7" s="328">
        <f>Account!G14</f>
        <v>44651</v>
      </c>
      <c r="G7" s="328">
        <f>Account!G15</f>
        <v>44681</v>
      </c>
      <c r="H7" s="328">
        <f>Account!G16</f>
        <v>44712</v>
      </c>
      <c r="I7" s="328">
        <f>Account!G17</f>
        <v>44742</v>
      </c>
      <c r="J7" s="328">
        <f>Account!G18</f>
        <v>44773</v>
      </c>
      <c r="K7" s="328">
        <f>Account!G19</f>
        <v>44804</v>
      </c>
      <c r="L7" s="328">
        <f>Account!G20</f>
        <v>44834</v>
      </c>
      <c r="M7" s="328">
        <f>Account!G21</f>
        <v>44865</v>
      </c>
      <c r="N7" s="328">
        <f>Account!G22</f>
        <v>44895</v>
      </c>
      <c r="O7" s="328">
        <f>Account!G23</f>
        <v>44926</v>
      </c>
      <c r="P7" s="318" t="s">
        <v>831</v>
      </c>
    </row>
    <row r="8" spans="1:16" x14ac:dyDescent="0.25">
      <c r="A8" s="14"/>
      <c r="B8" s="317"/>
      <c r="C8" s="319"/>
      <c r="D8" s="319"/>
      <c r="E8" s="319"/>
      <c r="F8" s="319"/>
      <c r="G8" s="319"/>
      <c r="H8" s="319"/>
      <c r="I8" s="319"/>
      <c r="J8" s="319"/>
      <c r="K8" s="319"/>
      <c r="L8" s="319"/>
      <c r="M8" s="319"/>
      <c r="N8" s="319"/>
      <c r="O8" s="319"/>
      <c r="P8" s="319"/>
    </row>
    <row r="9" spans="1:16" x14ac:dyDescent="0.25">
      <c r="A9" s="320" t="s">
        <v>856</v>
      </c>
      <c r="B9" s="317"/>
      <c r="C9" s="319"/>
      <c r="D9" s="319"/>
      <c r="E9" s="319"/>
      <c r="F9" s="319"/>
      <c r="G9" s="319"/>
      <c r="H9" s="319"/>
      <c r="I9" s="319"/>
      <c r="J9" s="319"/>
      <c r="K9" s="319"/>
      <c r="L9" s="319"/>
      <c r="M9" s="319"/>
      <c r="N9" s="319"/>
      <c r="O9" s="319"/>
      <c r="P9" s="319"/>
    </row>
    <row r="10" spans="1:16" x14ac:dyDescent="0.25">
      <c r="A10" s="320" t="s">
        <v>857</v>
      </c>
      <c r="B10" s="317"/>
      <c r="C10" s="319"/>
      <c r="D10" s="319"/>
      <c r="E10" s="319"/>
      <c r="F10" s="319"/>
      <c r="G10" s="319"/>
      <c r="H10" s="319"/>
      <c r="I10" s="319"/>
      <c r="J10" s="319"/>
      <c r="K10" s="319"/>
      <c r="L10" s="319"/>
      <c r="M10" s="319"/>
      <c r="N10" s="319"/>
      <c r="O10" s="319"/>
      <c r="P10" s="319"/>
    </row>
    <row r="11" spans="1:16" s="171" customFormat="1" x14ac:dyDescent="0.25">
      <c r="A11" s="321" t="s">
        <v>1007</v>
      </c>
      <c r="B11" s="317"/>
      <c r="C11" s="322">
        <f t="shared" ref="C11:C44" si="0">SUM(D11:O11)</f>
        <v>0</v>
      </c>
      <c r="D11" s="322">
        <f>D12+D13</f>
        <v>0</v>
      </c>
      <c r="E11" s="322">
        <f t="shared" ref="E11:O11" si="1">E12+E13</f>
        <v>0</v>
      </c>
      <c r="F11" s="322">
        <f t="shared" si="1"/>
        <v>0</v>
      </c>
      <c r="G11" s="322">
        <f t="shared" si="1"/>
        <v>0</v>
      </c>
      <c r="H11" s="322">
        <f t="shared" si="1"/>
        <v>0</v>
      </c>
      <c r="I11" s="322">
        <f t="shared" si="1"/>
        <v>0</v>
      </c>
      <c r="J11" s="322">
        <f t="shared" si="1"/>
        <v>0</v>
      </c>
      <c r="K11" s="322">
        <f t="shared" si="1"/>
        <v>0</v>
      </c>
      <c r="L11" s="322">
        <f t="shared" si="1"/>
        <v>0</v>
      </c>
      <c r="M11" s="322">
        <f t="shared" si="1"/>
        <v>0</v>
      </c>
      <c r="N11" s="322">
        <f t="shared" si="1"/>
        <v>0</v>
      </c>
      <c r="O11" s="322">
        <f t="shared" si="1"/>
        <v>0</v>
      </c>
      <c r="P11" s="322">
        <f>C11</f>
        <v>0</v>
      </c>
    </row>
    <row r="12" spans="1:16" x14ac:dyDescent="0.25">
      <c r="A12" s="323" t="s">
        <v>858</v>
      </c>
      <c r="B12" s="317" t="s">
        <v>125</v>
      </c>
      <c r="C12" s="319">
        <f t="shared" si="0"/>
        <v>0</v>
      </c>
      <c r="D12" s="319">
        <f t="array" ref="D12">SUM(IF((Budget[Ofc Code]=$B$6)*(Budget[Account Code]=$B12)*(Budget[Date]=D$7),Budget[Amount]))</f>
        <v>0</v>
      </c>
      <c r="E12" s="319">
        <f t="array" ref="E12">SUM(IF((Budget[Ofc Code]=$B$6)*(Budget[Account Code]=$B12)*(Budget[Date]=E$7),Budget[Amount]))</f>
        <v>0</v>
      </c>
      <c r="F12" s="319">
        <f t="array" ref="F12">SUM(IF((Budget[Ofc Code]=$B$6)*(Budget[Account Code]=$B12)*(Budget[Date]=F$7),Budget[Amount]))</f>
        <v>0</v>
      </c>
      <c r="G12" s="319">
        <f t="array" ref="G12">SUM(IF((Budget[Ofc Code]=$B$6)*(Budget[Account Code]=$B12)*(Budget[Date]=G$7),Budget[Amount]))</f>
        <v>0</v>
      </c>
      <c r="H12" s="319">
        <f t="array" ref="H12">SUM(IF((Budget[Ofc Code]=$B$6)*(Budget[Account Code]=$B12)*(Budget[Date]=H$7),Budget[Amount]))</f>
        <v>0</v>
      </c>
      <c r="I12" s="319">
        <f t="array" ref="I12">SUM(IF((Budget[Ofc Code]=$B$6)*(Budget[Account Code]=$B12)*(Budget[Date]=I$7),Budget[Amount]))</f>
        <v>0</v>
      </c>
      <c r="J12" s="319">
        <f t="array" ref="J12">SUM(IF((Budget[Ofc Code]=$B$6)*(Budget[Account Code]=$B12)*(Budget[Date]=J$7),Budget[Amount]))</f>
        <v>0</v>
      </c>
      <c r="K12" s="319">
        <f t="array" ref="K12">SUM(IF((Budget[Ofc Code]=$B$6)*(Budget[Account Code]=$B12)*(Budget[Date]=K$7),Budget[Amount]))</f>
        <v>0</v>
      </c>
      <c r="L12" s="319">
        <f t="array" ref="L12">SUM(IF((Budget[Ofc Code]=$B$6)*(Budget[Account Code]=$B12)*(Budget[Date]=L$7),Budget[Amount]))</f>
        <v>0</v>
      </c>
      <c r="M12" s="319">
        <f t="array" ref="M12">SUM(IF((Budget[Ofc Code]=$B$6)*(Budget[Account Code]=$B12)*(Budget[Date]=M$7),Budget[Amount]))</f>
        <v>0</v>
      </c>
      <c r="N12" s="319">
        <f t="array" ref="N12">SUM(IF((Budget[Ofc Code]=$B$6)*(Budget[Account Code]=$B12)*(Budget[Date]=N$7),Budget[Amount]))</f>
        <v>0</v>
      </c>
      <c r="O12" s="319">
        <f t="array" ref="O12">SUM(IF((Budget[Ofc Code]=$B$6)*(Budget[Account Code]=$B12)*(Budget[Date]=O$7),Budget[Amount]))</f>
        <v>0</v>
      </c>
      <c r="P12" s="319">
        <f t="shared" ref="P12:P75" si="2">C12</f>
        <v>0</v>
      </c>
    </row>
    <row r="13" spans="1:16" x14ac:dyDescent="0.25">
      <c r="A13" s="323" t="s">
        <v>819</v>
      </c>
      <c r="B13" s="317"/>
      <c r="C13" s="319">
        <f t="shared" si="0"/>
        <v>0</v>
      </c>
      <c r="D13" s="319">
        <f>D14+D15+D16</f>
        <v>0</v>
      </c>
      <c r="E13" s="319">
        <f t="shared" ref="E13:O13" si="3">E14+E15+E16</f>
        <v>0</v>
      </c>
      <c r="F13" s="319">
        <f t="shared" si="3"/>
        <v>0</v>
      </c>
      <c r="G13" s="319">
        <f t="shared" si="3"/>
        <v>0</v>
      </c>
      <c r="H13" s="319">
        <f t="shared" si="3"/>
        <v>0</v>
      </c>
      <c r="I13" s="319">
        <f t="shared" si="3"/>
        <v>0</v>
      </c>
      <c r="J13" s="319">
        <f t="shared" si="3"/>
        <v>0</v>
      </c>
      <c r="K13" s="319">
        <f t="shared" si="3"/>
        <v>0</v>
      </c>
      <c r="L13" s="319">
        <f t="shared" si="3"/>
        <v>0</v>
      </c>
      <c r="M13" s="319">
        <f t="shared" si="3"/>
        <v>0</v>
      </c>
      <c r="N13" s="319">
        <f t="shared" si="3"/>
        <v>0</v>
      </c>
      <c r="O13" s="319">
        <f t="shared" si="3"/>
        <v>0</v>
      </c>
      <c r="P13" s="319">
        <f t="shared" si="2"/>
        <v>0</v>
      </c>
    </row>
    <row r="14" spans="1:16" x14ac:dyDescent="0.25">
      <c r="A14" s="323" t="s">
        <v>859</v>
      </c>
      <c r="B14" s="317" t="s">
        <v>126</v>
      </c>
      <c r="C14" s="319">
        <f t="shared" si="0"/>
        <v>0</v>
      </c>
      <c r="D14" s="319">
        <f t="array" ref="D14">SUM(IF((Budget[Ofc Code]=$B$6)*(Budget[Account Code]=$B14)*(Budget[Date]=D$7),Budget[Amount]))</f>
        <v>0</v>
      </c>
      <c r="E14" s="319">
        <f t="array" ref="E14">SUM(IF((Budget[Ofc Code]=$B$6)*(Budget[Account Code]=$B14)*(Budget[Date]=E$7),Budget[Amount]))</f>
        <v>0</v>
      </c>
      <c r="F14" s="319">
        <f t="array" ref="F14">SUM(IF((Budget[Ofc Code]=$B$6)*(Budget[Account Code]=$B14)*(Budget[Date]=F$7),Budget[Amount]))</f>
        <v>0</v>
      </c>
      <c r="G14" s="319">
        <f t="array" ref="G14">SUM(IF((Budget[Ofc Code]=$B$6)*(Budget[Account Code]=$B14)*(Budget[Date]=G$7),Budget[Amount]))</f>
        <v>0</v>
      </c>
      <c r="H14" s="319">
        <f t="array" ref="H14">SUM(IF((Budget[Ofc Code]=$B$6)*(Budget[Account Code]=$B14)*(Budget[Date]=H$7),Budget[Amount]))</f>
        <v>0</v>
      </c>
      <c r="I14" s="319">
        <f t="array" ref="I14">SUM(IF((Budget[Ofc Code]=$B$6)*(Budget[Account Code]=$B14)*(Budget[Date]=I$7),Budget[Amount]))</f>
        <v>0</v>
      </c>
      <c r="J14" s="319">
        <f t="array" ref="J14">SUM(IF((Budget[Ofc Code]=$B$6)*(Budget[Account Code]=$B14)*(Budget[Date]=J$7),Budget[Amount]))</f>
        <v>0</v>
      </c>
      <c r="K14" s="319">
        <f t="array" ref="K14">SUM(IF((Budget[Ofc Code]=$B$6)*(Budget[Account Code]=$B14)*(Budget[Date]=K$7),Budget[Amount]))</f>
        <v>0</v>
      </c>
      <c r="L14" s="319">
        <f t="array" ref="L14">SUM(IF((Budget[Ofc Code]=$B$6)*(Budget[Account Code]=$B14)*(Budget[Date]=L$7),Budget[Amount]))</f>
        <v>0</v>
      </c>
      <c r="M14" s="319">
        <f t="array" ref="M14">SUM(IF((Budget[Ofc Code]=$B$6)*(Budget[Account Code]=$B14)*(Budget[Date]=M$7),Budget[Amount]))</f>
        <v>0</v>
      </c>
      <c r="N14" s="319">
        <f t="array" ref="N14">SUM(IF((Budget[Ofc Code]=$B$6)*(Budget[Account Code]=$B14)*(Budget[Date]=N$7),Budget[Amount]))</f>
        <v>0</v>
      </c>
      <c r="O14" s="319">
        <f t="array" ref="O14">SUM(IF((Budget[Ofc Code]=$B$6)*(Budget[Account Code]=$B14)*(Budget[Date]=O$7),Budget[Amount]))</f>
        <v>0</v>
      </c>
      <c r="P14" s="319">
        <f t="shared" si="2"/>
        <v>0</v>
      </c>
    </row>
    <row r="15" spans="1:16" x14ac:dyDescent="0.25">
      <c r="A15" s="323" t="s">
        <v>860</v>
      </c>
      <c r="B15" s="317" t="s">
        <v>721</v>
      </c>
      <c r="C15" s="319">
        <f t="shared" si="0"/>
        <v>0</v>
      </c>
      <c r="D15" s="319">
        <f t="array" ref="D15">SUM(IF((Budget[Ofc Code]=$B$6)*(Budget[Account Code]=$B15)*(Budget[Date]=D$7),Budget[Amount]))</f>
        <v>0</v>
      </c>
      <c r="E15" s="319">
        <f t="array" ref="E15">SUM(IF((Budget[Ofc Code]=$B$6)*(Budget[Account Code]=$B15)*(Budget[Date]=E$7),Budget[Amount]))</f>
        <v>0</v>
      </c>
      <c r="F15" s="319">
        <f t="array" ref="F15">SUM(IF((Budget[Ofc Code]=$B$6)*(Budget[Account Code]=$B15)*(Budget[Date]=F$7),Budget[Amount]))</f>
        <v>0</v>
      </c>
      <c r="G15" s="319">
        <f t="array" ref="G15">SUM(IF((Budget[Ofc Code]=$B$6)*(Budget[Account Code]=$B15)*(Budget[Date]=G$7),Budget[Amount]))</f>
        <v>0</v>
      </c>
      <c r="H15" s="319">
        <f t="array" ref="H15">SUM(IF((Budget[Ofc Code]=$B$6)*(Budget[Account Code]=$B15)*(Budget[Date]=H$7),Budget[Amount]))</f>
        <v>0</v>
      </c>
      <c r="I15" s="319">
        <f t="array" ref="I15">SUM(IF((Budget[Ofc Code]=$B$6)*(Budget[Account Code]=$B15)*(Budget[Date]=I$7),Budget[Amount]))</f>
        <v>0</v>
      </c>
      <c r="J15" s="319">
        <f t="array" ref="J15">SUM(IF((Budget[Ofc Code]=$B$6)*(Budget[Account Code]=$B15)*(Budget[Date]=J$7),Budget[Amount]))</f>
        <v>0</v>
      </c>
      <c r="K15" s="319">
        <f t="array" ref="K15">SUM(IF((Budget[Ofc Code]=$B$6)*(Budget[Account Code]=$B15)*(Budget[Date]=K$7),Budget[Amount]))</f>
        <v>0</v>
      </c>
      <c r="L15" s="319">
        <f t="array" ref="L15">SUM(IF((Budget[Ofc Code]=$B$6)*(Budget[Account Code]=$B15)*(Budget[Date]=L$7),Budget[Amount]))</f>
        <v>0</v>
      </c>
      <c r="M15" s="319">
        <f t="array" ref="M15">SUM(IF((Budget[Ofc Code]=$B$6)*(Budget[Account Code]=$B15)*(Budget[Date]=M$7),Budget[Amount]))</f>
        <v>0</v>
      </c>
      <c r="N15" s="319">
        <f t="array" ref="N15">SUM(IF((Budget[Ofc Code]=$B$6)*(Budget[Account Code]=$B15)*(Budget[Date]=N$7),Budget[Amount]))</f>
        <v>0</v>
      </c>
      <c r="O15" s="319">
        <f t="array" ref="O15">SUM(IF((Budget[Ofc Code]=$B$6)*(Budget[Account Code]=$B15)*(Budget[Date]=O$7),Budget[Amount]))</f>
        <v>0</v>
      </c>
      <c r="P15" s="319">
        <f t="shared" si="2"/>
        <v>0</v>
      </c>
    </row>
    <row r="16" spans="1:16" x14ac:dyDescent="0.25">
      <c r="A16" s="323" t="s">
        <v>861</v>
      </c>
      <c r="B16" s="317" t="s">
        <v>143</v>
      </c>
      <c r="C16" s="319">
        <f t="shared" si="0"/>
        <v>0</v>
      </c>
      <c r="D16" s="319">
        <f t="array" ref="D16">SUM(IF((Budget[Ofc Code]=$B$6)*(Budget[Account Code]=$B16)*(Budget[Date]=D$7),Budget[Amount]))</f>
        <v>0</v>
      </c>
      <c r="E16" s="319">
        <f t="array" ref="E16">SUM(IF((Budget[Ofc Code]=$B$6)*(Budget[Account Code]=$B16)*(Budget[Date]=E$7),Budget[Amount]))</f>
        <v>0</v>
      </c>
      <c r="F16" s="319">
        <f t="array" ref="F16">SUM(IF((Budget[Ofc Code]=$B$6)*(Budget[Account Code]=$B16)*(Budget[Date]=F$7),Budget[Amount]))</f>
        <v>0</v>
      </c>
      <c r="G16" s="319">
        <f t="array" ref="G16">SUM(IF((Budget[Ofc Code]=$B$6)*(Budget[Account Code]=$B16)*(Budget[Date]=G$7),Budget[Amount]))</f>
        <v>0</v>
      </c>
      <c r="H16" s="319">
        <f t="array" ref="H16">SUM(IF((Budget[Ofc Code]=$B$6)*(Budget[Account Code]=$B16)*(Budget[Date]=H$7),Budget[Amount]))</f>
        <v>0</v>
      </c>
      <c r="I16" s="319">
        <f t="array" ref="I16">SUM(IF((Budget[Ofc Code]=$B$6)*(Budget[Account Code]=$B16)*(Budget[Date]=I$7),Budget[Amount]))</f>
        <v>0</v>
      </c>
      <c r="J16" s="319">
        <f t="array" ref="J16">SUM(IF((Budget[Ofc Code]=$B$6)*(Budget[Account Code]=$B16)*(Budget[Date]=J$7),Budget[Amount]))</f>
        <v>0</v>
      </c>
      <c r="K16" s="319">
        <f t="array" ref="K16">SUM(IF((Budget[Ofc Code]=$B$6)*(Budget[Account Code]=$B16)*(Budget[Date]=K$7),Budget[Amount]))</f>
        <v>0</v>
      </c>
      <c r="L16" s="319">
        <f t="array" ref="L16">SUM(IF((Budget[Ofc Code]=$B$6)*(Budget[Account Code]=$B16)*(Budget[Date]=L$7),Budget[Amount]))</f>
        <v>0</v>
      </c>
      <c r="M16" s="319">
        <f t="array" ref="M16">SUM(IF((Budget[Ofc Code]=$B$6)*(Budget[Account Code]=$B16)*(Budget[Date]=M$7),Budget[Amount]))</f>
        <v>0</v>
      </c>
      <c r="N16" s="319">
        <f t="array" ref="N16">SUM(IF((Budget[Ofc Code]=$B$6)*(Budget[Account Code]=$B16)*(Budget[Date]=N$7),Budget[Amount]))</f>
        <v>0</v>
      </c>
      <c r="O16" s="319">
        <f t="array" ref="O16">SUM(IF((Budget[Ofc Code]=$B$6)*(Budget[Account Code]=$B16)*(Budget[Date]=O$7),Budget[Amount]))</f>
        <v>0</v>
      </c>
      <c r="P16" s="319">
        <f t="shared" si="2"/>
        <v>0</v>
      </c>
    </row>
    <row r="17" spans="1:16" s="171" customFormat="1" x14ac:dyDescent="0.25">
      <c r="A17" s="321" t="s">
        <v>862</v>
      </c>
      <c r="B17" s="317"/>
      <c r="C17" s="322">
        <f t="shared" si="0"/>
        <v>0</v>
      </c>
      <c r="D17" s="322">
        <f>D18+D19</f>
        <v>0</v>
      </c>
      <c r="E17" s="322">
        <f t="shared" ref="E17:O17" si="4">E18+E19</f>
        <v>0</v>
      </c>
      <c r="F17" s="322">
        <f t="shared" si="4"/>
        <v>0</v>
      </c>
      <c r="G17" s="322">
        <f t="shared" si="4"/>
        <v>0</v>
      </c>
      <c r="H17" s="322">
        <f t="shared" si="4"/>
        <v>0</v>
      </c>
      <c r="I17" s="322">
        <f t="shared" si="4"/>
        <v>0</v>
      </c>
      <c r="J17" s="322">
        <f t="shared" si="4"/>
        <v>0</v>
      </c>
      <c r="K17" s="322">
        <f t="shared" si="4"/>
        <v>0</v>
      </c>
      <c r="L17" s="322">
        <f t="shared" si="4"/>
        <v>0</v>
      </c>
      <c r="M17" s="322">
        <f t="shared" si="4"/>
        <v>0</v>
      </c>
      <c r="N17" s="322">
        <f t="shared" si="4"/>
        <v>0</v>
      </c>
      <c r="O17" s="322">
        <f t="shared" si="4"/>
        <v>0</v>
      </c>
      <c r="P17" s="322">
        <f t="shared" si="2"/>
        <v>0</v>
      </c>
    </row>
    <row r="18" spans="1:16" x14ac:dyDescent="0.25">
      <c r="A18" s="323" t="s">
        <v>863</v>
      </c>
      <c r="B18" s="317" t="s">
        <v>146</v>
      </c>
      <c r="C18" s="319">
        <f t="shared" si="0"/>
        <v>0</v>
      </c>
      <c r="D18" s="319">
        <f t="array" ref="D18">SUM(IF((Budget[Ofc Code]=$B$6)*(Budget[Account Code]=$B18)*(Budget[Date]=D$7),Budget[Amount]))</f>
        <v>0</v>
      </c>
      <c r="E18" s="319">
        <f t="array" ref="E18">SUM(IF((Budget[Ofc Code]=$B$6)*(Budget[Account Code]=$B18)*(Budget[Date]=E$7),Budget[Amount]))</f>
        <v>0</v>
      </c>
      <c r="F18" s="319">
        <f t="array" ref="F18">SUM(IF((Budget[Ofc Code]=$B$6)*(Budget[Account Code]=$B18)*(Budget[Date]=F$7),Budget[Amount]))</f>
        <v>0</v>
      </c>
      <c r="G18" s="319">
        <f t="array" ref="G18">SUM(IF((Budget[Ofc Code]=$B$6)*(Budget[Account Code]=$B18)*(Budget[Date]=G$7),Budget[Amount]))</f>
        <v>0</v>
      </c>
      <c r="H18" s="319">
        <f t="array" ref="H18">SUM(IF((Budget[Ofc Code]=$B$6)*(Budget[Account Code]=$B18)*(Budget[Date]=H$7),Budget[Amount]))</f>
        <v>0</v>
      </c>
      <c r="I18" s="319">
        <f t="array" ref="I18">SUM(IF((Budget[Ofc Code]=$B$6)*(Budget[Account Code]=$B18)*(Budget[Date]=I$7),Budget[Amount]))</f>
        <v>0</v>
      </c>
      <c r="J18" s="319">
        <f t="array" ref="J18">SUM(IF((Budget[Ofc Code]=$B$6)*(Budget[Account Code]=$B18)*(Budget[Date]=J$7),Budget[Amount]))</f>
        <v>0</v>
      </c>
      <c r="K18" s="319">
        <f t="array" ref="K18">SUM(IF((Budget[Ofc Code]=$B$6)*(Budget[Account Code]=$B18)*(Budget[Date]=K$7),Budget[Amount]))</f>
        <v>0</v>
      </c>
      <c r="L18" s="319">
        <f t="array" ref="L18">SUM(IF((Budget[Ofc Code]=$B$6)*(Budget[Account Code]=$B18)*(Budget[Date]=L$7),Budget[Amount]))</f>
        <v>0</v>
      </c>
      <c r="M18" s="319">
        <f t="array" ref="M18">SUM(IF((Budget[Ofc Code]=$B$6)*(Budget[Account Code]=$B18)*(Budget[Date]=M$7),Budget[Amount]))</f>
        <v>0</v>
      </c>
      <c r="N18" s="319">
        <f t="array" ref="N18">SUM(IF((Budget[Ofc Code]=$B$6)*(Budget[Account Code]=$B18)*(Budget[Date]=N$7),Budget[Amount]))</f>
        <v>0</v>
      </c>
      <c r="O18" s="319">
        <f t="array" ref="O18">SUM(IF((Budget[Ofc Code]=$B$6)*(Budget[Account Code]=$B18)*(Budget[Date]=O$7),Budget[Amount]))</f>
        <v>0</v>
      </c>
      <c r="P18" s="319">
        <f t="shared" si="2"/>
        <v>0</v>
      </c>
    </row>
    <row r="19" spans="1:16" x14ac:dyDescent="0.25">
      <c r="A19" s="323" t="s">
        <v>864</v>
      </c>
      <c r="B19" s="317" t="s">
        <v>147</v>
      </c>
      <c r="C19" s="319">
        <f t="shared" si="0"/>
        <v>0</v>
      </c>
      <c r="D19" s="319">
        <f t="array" ref="D19">SUM(IF((Budget[Ofc Code]=$B$6)*(Budget[Account Code]=$B19)*(Budget[Date]=D$7),Budget[Amount]))</f>
        <v>0</v>
      </c>
      <c r="E19" s="319">
        <f t="array" ref="E19">SUM(IF((Budget[Ofc Code]=$B$6)*(Budget[Account Code]=$B19)*(Budget[Date]=E$7),Budget[Amount]))</f>
        <v>0</v>
      </c>
      <c r="F19" s="319">
        <f t="array" ref="F19">SUM(IF((Budget[Ofc Code]=$B$6)*(Budget[Account Code]=$B19)*(Budget[Date]=F$7),Budget[Amount]))</f>
        <v>0</v>
      </c>
      <c r="G19" s="319">
        <f t="array" ref="G19">SUM(IF((Budget[Ofc Code]=$B$6)*(Budget[Account Code]=$B19)*(Budget[Date]=G$7),Budget[Amount]))</f>
        <v>0</v>
      </c>
      <c r="H19" s="319">
        <f t="array" ref="H19">SUM(IF((Budget[Ofc Code]=$B$6)*(Budget[Account Code]=$B19)*(Budget[Date]=H$7),Budget[Amount]))</f>
        <v>0</v>
      </c>
      <c r="I19" s="319">
        <f t="array" ref="I19">SUM(IF((Budget[Ofc Code]=$B$6)*(Budget[Account Code]=$B19)*(Budget[Date]=I$7),Budget[Amount]))</f>
        <v>0</v>
      </c>
      <c r="J19" s="319">
        <f t="array" ref="J19">SUM(IF((Budget[Ofc Code]=$B$6)*(Budget[Account Code]=$B19)*(Budget[Date]=J$7),Budget[Amount]))</f>
        <v>0</v>
      </c>
      <c r="K19" s="319">
        <f t="array" ref="K19">SUM(IF((Budget[Ofc Code]=$B$6)*(Budget[Account Code]=$B19)*(Budget[Date]=K$7),Budget[Amount]))</f>
        <v>0</v>
      </c>
      <c r="L19" s="319">
        <f t="array" ref="L19">SUM(IF((Budget[Ofc Code]=$B$6)*(Budget[Account Code]=$B19)*(Budget[Date]=L$7),Budget[Amount]))</f>
        <v>0</v>
      </c>
      <c r="M19" s="319">
        <f t="array" ref="M19">SUM(IF((Budget[Ofc Code]=$B$6)*(Budget[Account Code]=$B19)*(Budget[Date]=M$7),Budget[Amount]))</f>
        <v>0</v>
      </c>
      <c r="N19" s="319">
        <f t="array" ref="N19">SUM(IF((Budget[Ofc Code]=$B$6)*(Budget[Account Code]=$B19)*(Budget[Date]=N$7),Budget[Amount]))</f>
        <v>0</v>
      </c>
      <c r="O19" s="319">
        <f t="array" ref="O19">SUM(IF((Budget[Ofc Code]=$B$6)*(Budget[Account Code]=$B19)*(Budget[Date]=O$7),Budget[Amount]))</f>
        <v>0</v>
      </c>
      <c r="P19" s="319">
        <f t="shared" si="2"/>
        <v>0</v>
      </c>
    </row>
    <row r="20" spans="1:16" s="171" customFormat="1" x14ac:dyDescent="0.25">
      <c r="A20" s="321" t="s">
        <v>825</v>
      </c>
      <c r="B20" s="317"/>
      <c r="C20" s="322">
        <f t="shared" si="0"/>
        <v>0</v>
      </c>
      <c r="D20" s="322">
        <f>D21+D22</f>
        <v>0</v>
      </c>
      <c r="E20" s="322">
        <f t="shared" ref="E20:O20" si="5">E21+E22</f>
        <v>0</v>
      </c>
      <c r="F20" s="322">
        <f t="shared" si="5"/>
        <v>0</v>
      </c>
      <c r="G20" s="322">
        <f t="shared" si="5"/>
        <v>0</v>
      </c>
      <c r="H20" s="322">
        <f t="shared" si="5"/>
        <v>0</v>
      </c>
      <c r="I20" s="322">
        <f t="shared" si="5"/>
        <v>0</v>
      </c>
      <c r="J20" s="322">
        <f t="shared" si="5"/>
        <v>0</v>
      </c>
      <c r="K20" s="322">
        <f t="shared" si="5"/>
        <v>0</v>
      </c>
      <c r="L20" s="322">
        <f t="shared" si="5"/>
        <v>0</v>
      </c>
      <c r="M20" s="322">
        <f t="shared" si="5"/>
        <v>0</v>
      </c>
      <c r="N20" s="322">
        <f t="shared" si="5"/>
        <v>0</v>
      </c>
      <c r="O20" s="322">
        <f t="shared" si="5"/>
        <v>0</v>
      </c>
      <c r="P20" s="322">
        <f t="shared" si="2"/>
        <v>0</v>
      </c>
    </row>
    <row r="21" spans="1:16" x14ac:dyDescent="0.25">
      <c r="A21" s="323" t="s">
        <v>858</v>
      </c>
      <c r="B21" s="317" t="s">
        <v>131</v>
      </c>
      <c r="C21" s="319">
        <f t="shared" si="0"/>
        <v>0</v>
      </c>
      <c r="D21" s="319">
        <f t="array" ref="D21">SUM(IF((Budget[Ofc Code]=$B$6)*(Budget[Account Code]=$B21)*(Budget[Date]=D$7),Budget[Amount]))</f>
        <v>0</v>
      </c>
      <c r="E21" s="319">
        <f t="array" ref="E21">SUM(IF((Budget[Ofc Code]=$B$6)*(Budget[Account Code]=$B21)*(Budget[Date]=E$7),Budget[Amount]))</f>
        <v>0</v>
      </c>
      <c r="F21" s="319">
        <f t="array" ref="F21">SUM(IF((Budget[Ofc Code]=$B$6)*(Budget[Account Code]=$B21)*(Budget[Date]=F$7),Budget[Amount]))</f>
        <v>0</v>
      </c>
      <c r="G21" s="319">
        <f t="array" ref="G21">SUM(IF((Budget[Ofc Code]=$B$6)*(Budget[Account Code]=$B21)*(Budget[Date]=G$7),Budget[Amount]))</f>
        <v>0</v>
      </c>
      <c r="H21" s="319">
        <f t="array" ref="H21">SUM(IF((Budget[Ofc Code]=$B$6)*(Budget[Account Code]=$B21)*(Budget[Date]=H$7),Budget[Amount]))</f>
        <v>0</v>
      </c>
      <c r="I21" s="319">
        <f t="array" ref="I21">SUM(IF((Budget[Ofc Code]=$B$6)*(Budget[Account Code]=$B21)*(Budget[Date]=I$7),Budget[Amount]))</f>
        <v>0</v>
      </c>
      <c r="J21" s="319">
        <f t="array" ref="J21">SUM(IF((Budget[Ofc Code]=$B$6)*(Budget[Account Code]=$B21)*(Budget[Date]=J$7),Budget[Amount]))</f>
        <v>0</v>
      </c>
      <c r="K21" s="319">
        <f t="array" ref="K21">SUM(IF((Budget[Ofc Code]=$B$6)*(Budget[Account Code]=$B21)*(Budget[Date]=K$7),Budget[Amount]))</f>
        <v>0</v>
      </c>
      <c r="L21" s="319">
        <f t="array" ref="L21">SUM(IF((Budget[Ofc Code]=$B$6)*(Budget[Account Code]=$B21)*(Budget[Date]=L$7),Budget[Amount]))</f>
        <v>0</v>
      </c>
      <c r="M21" s="319">
        <f t="array" ref="M21">SUM(IF((Budget[Ofc Code]=$B$6)*(Budget[Account Code]=$B21)*(Budget[Date]=M$7),Budget[Amount]))</f>
        <v>0</v>
      </c>
      <c r="N21" s="319">
        <f t="array" ref="N21">SUM(IF((Budget[Ofc Code]=$B$6)*(Budget[Account Code]=$B21)*(Budget[Date]=N$7),Budget[Amount]))</f>
        <v>0</v>
      </c>
      <c r="O21" s="319">
        <f t="array" ref="O21">SUM(IF((Budget[Ofc Code]=$B$6)*(Budget[Account Code]=$B21)*(Budget[Date]=O$7),Budget[Amount]))</f>
        <v>0</v>
      </c>
      <c r="P21" s="319">
        <f t="shared" si="2"/>
        <v>0</v>
      </c>
    </row>
    <row r="22" spans="1:16" x14ac:dyDescent="0.25">
      <c r="A22" s="323" t="s">
        <v>819</v>
      </c>
      <c r="B22" s="317"/>
      <c r="C22" s="319">
        <f t="shared" si="0"/>
        <v>0</v>
      </c>
      <c r="D22" s="319">
        <f t="array" ref="D22">SUM(IF((Budget[Ofc Code]=$B$6)*(Budget[Account Code]=$B22)*(Budget[Date]=D$7),Budget[Amount]))</f>
        <v>0</v>
      </c>
      <c r="E22" s="319">
        <f t="array" ref="E22">SUM(IF((Budget[Ofc Code]=$B$6)*(Budget[Account Code]=$B22)*(Budget[Date]=E$7),Budget[Amount]))</f>
        <v>0</v>
      </c>
      <c r="F22" s="319">
        <f t="array" ref="F22">SUM(IF((Budget[Ofc Code]=$B$6)*(Budget[Account Code]=$B22)*(Budget[Date]=F$7),Budget[Amount]))</f>
        <v>0</v>
      </c>
      <c r="G22" s="319">
        <f t="array" ref="G22">SUM(IF((Budget[Ofc Code]=$B$6)*(Budget[Account Code]=$B22)*(Budget[Date]=G$7),Budget[Amount]))</f>
        <v>0</v>
      </c>
      <c r="H22" s="319">
        <f t="array" ref="H22">SUM(IF((Budget[Ofc Code]=$B$6)*(Budget[Account Code]=$B22)*(Budget[Date]=H$7),Budget[Amount]))</f>
        <v>0</v>
      </c>
      <c r="I22" s="319">
        <f t="array" ref="I22">SUM(IF((Budget[Ofc Code]=$B$6)*(Budget[Account Code]=$B22)*(Budget[Date]=I$7),Budget[Amount]))</f>
        <v>0</v>
      </c>
      <c r="J22" s="319">
        <f t="array" ref="J22">SUM(IF((Budget[Ofc Code]=$B$6)*(Budget[Account Code]=$B22)*(Budget[Date]=J$7),Budget[Amount]))</f>
        <v>0</v>
      </c>
      <c r="K22" s="319">
        <f t="array" ref="K22">SUM(IF((Budget[Ofc Code]=$B$6)*(Budget[Account Code]=$B22)*(Budget[Date]=K$7),Budget[Amount]))</f>
        <v>0</v>
      </c>
      <c r="L22" s="319">
        <f t="array" ref="L22">SUM(IF((Budget[Ofc Code]=$B$6)*(Budget[Account Code]=$B22)*(Budget[Date]=L$7),Budget[Amount]))</f>
        <v>0</v>
      </c>
      <c r="M22" s="319">
        <f t="array" ref="M22">SUM(IF((Budget[Ofc Code]=$B$6)*(Budget[Account Code]=$B22)*(Budget[Date]=M$7),Budget[Amount]))</f>
        <v>0</v>
      </c>
      <c r="N22" s="319">
        <f t="array" ref="N22">SUM(IF((Budget[Ofc Code]=$B$6)*(Budget[Account Code]=$B22)*(Budget[Date]=N$7),Budget[Amount]))</f>
        <v>0</v>
      </c>
      <c r="O22" s="319">
        <f t="array" ref="O22">SUM(IF((Budget[Ofc Code]=$B$6)*(Budget[Account Code]=$B22)*(Budget[Date]=O$7),Budget[Amount]))</f>
        <v>0</v>
      </c>
      <c r="P22" s="319">
        <f t="shared" si="2"/>
        <v>0</v>
      </c>
    </row>
    <row r="23" spans="1:16" x14ac:dyDescent="0.25">
      <c r="A23" s="319" t="s">
        <v>831</v>
      </c>
      <c r="B23" s="324"/>
      <c r="C23" s="319">
        <f t="shared" si="0"/>
        <v>0</v>
      </c>
      <c r="D23" s="319">
        <f t="shared" ref="D23:O23" si="6">D11+D17+D20</f>
        <v>0</v>
      </c>
      <c r="E23" s="319">
        <f t="shared" si="6"/>
        <v>0</v>
      </c>
      <c r="F23" s="319">
        <f t="shared" si="6"/>
        <v>0</v>
      </c>
      <c r="G23" s="319">
        <f t="shared" si="6"/>
        <v>0</v>
      </c>
      <c r="H23" s="319">
        <f t="shared" si="6"/>
        <v>0</v>
      </c>
      <c r="I23" s="319">
        <f t="shared" si="6"/>
        <v>0</v>
      </c>
      <c r="J23" s="319">
        <f t="shared" si="6"/>
        <v>0</v>
      </c>
      <c r="K23" s="319">
        <f t="shared" si="6"/>
        <v>0</v>
      </c>
      <c r="L23" s="319">
        <f t="shared" si="6"/>
        <v>0</v>
      </c>
      <c r="M23" s="319">
        <f t="shared" si="6"/>
        <v>0</v>
      </c>
      <c r="N23" s="319">
        <f t="shared" si="6"/>
        <v>0</v>
      </c>
      <c r="O23" s="319">
        <f t="shared" si="6"/>
        <v>0</v>
      </c>
      <c r="P23" s="319">
        <f t="shared" si="2"/>
        <v>0</v>
      </c>
    </row>
    <row r="24" spans="1:16" x14ac:dyDescent="0.25">
      <c r="A24" s="320" t="s">
        <v>865</v>
      </c>
      <c r="B24" s="317"/>
      <c r="C24" s="319"/>
      <c r="D24" s="319"/>
      <c r="E24" s="319"/>
      <c r="F24" s="319"/>
      <c r="G24" s="319"/>
      <c r="H24" s="319"/>
      <c r="I24" s="319"/>
      <c r="J24" s="319"/>
      <c r="K24" s="319"/>
      <c r="L24" s="319"/>
      <c r="M24" s="319"/>
      <c r="N24" s="319"/>
      <c r="O24" s="319"/>
      <c r="P24" s="319">
        <f t="shared" si="2"/>
        <v>0</v>
      </c>
    </row>
    <row r="25" spans="1:16" s="171" customFormat="1" x14ac:dyDescent="0.25">
      <c r="A25" s="321" t="s">
        <v>866</v>
      </c>
      <c r="B25" s="317"/>
      <c r="C25" s="322">
        <f t="shared" si="0"/>
        <v>0</v>
      </c>
      <c r="D25" s="322">
        <v>0</v>
      </c>
      <c r="E25" s="322">
        <v>0</v>
      </c>
      <c r="F25" s="322">
        <v>0</v>
      </c>
      <c r="G25" s="322">
        <v>0</v>
      </c>
      <c r="H25" s="322">
        <v>0</v>
      </c>
      <c r="I25" s="322">
        <v>0</v>
      </c>
      <c r="J25" s="322">
        <v>0</v>
      </c>
      <c r="K25" s="322">
        <v>0</v>
      </c>
      <c r="L25" s="322">
        <v>0</v>
      </c>
      <c r="M25" s="322">
        <v>0</v>
      </c>
      <c r="N25" s="322">
        <v>0</v>
      </c>
      <c r="O25" s="322">
        <v>0</v>
      </c>
      <c r="P25" s="322">
        <f t="shared" si="2"/>
        <v>0</v>
      </c>
    </row>
    <row r="26" spans="1:16" s="171" customFormat="1" x14ac:dyDescent="0.25">
      <c r="A26" s="321" t="s">
        <v>867</v>
      </c>
      <c r="B26" s="317"/>
      <c r="C26" s="322">
        <f t="shared" si="0"/>
        <v>0</v>
      </c>
      <c r="D26" s="322">
        <v>0</v>
      </c>
      <c r="E26" s="322">
        <v>0</v>
      </c>
      <c r="F26" s="322">
        <v>0</v>
      </c>
      <c r="G26" s="322">
        <v>0</v>
      </c>
      <c r="H26" s="322">
        <v>0</v>
      </c>
      <c r="I26" s="322">
        <v>0</v>
      </c>
      <c r="J26" s="322">
        <v>0</v>
      </c>
      <c r="K26" s="322">
        <v>0</v>
      </c>
      <c r="L26" s="322">
        <v>0</v>
      </c>
      <c r="M26" s="322">
        <v>0</v>
      </c>
      <c r="N26" s="322">
        <v>0</v>
      </c>
      <c r="O26" s="322">
        <v>0</v>
      </c>
      <c r="P26" s="322">
        <f t="shared" si="2"/>
        <v>0</v>
      </c>
    </row>
    <row r="27" spans="1:16" s="171" customFormat="1" x14ac:dyDescent="0.25">
      <c r="A27" s="321" t="s">
        <v>997</v>
      </c>
      <c r="B27" s="317"/>
      <c r="C27" s="322">
        <f t="shared" si="0"/>
        <v>0</v>
      </c>
      <c r="D27" s="322">
        <v>0</v>
      </c>
      <c r="E27" s="322">
        <v>0</v>
      </c>
      <c r="F27" s="322">
        <v>0</v>
      </c>
      <c r="G27" s="322">
        <v>0</v>
      </c>
      <c r="H27" s="322">
        <v>0</v>
      </c>
      <c r="I27" s="322">
        <v>0</v>
      </c>
      <c r="J27" s="322">
        <v>0</v>
      </c>
      <c r="K27" s="322">
        <v>0</v>
      </c>
      <c r="L27" s="322">
        <v>0</v>
      </c>
      <c r="M27" s="322">
        <v>0</v>
      </c>
      <c r="N27" s="322">
        <v>0</v>
      </c>
      <c r="O27" s="322">
        <v>0</v>
      </c>
      <c r="P27" s="322">
        <f t="shared" si="2"/>
        <v>0</v>
      </c>
    </row>
    <row r="28" spans="1:16" s="171" customFormat="1" x14ac:dyDescent="0.25">
      <c r="A28" s="321" t="s">
        <v>998</v>
      </c>
      <c r="B28" s="317"/>
      <c r="C28" s="322">
        <f t="shared" si="0"/>
        <v>0</v>
      </c>
      <c r="D28" s="322">
        <v>0</v>
      </c>
      <c r="E28" s="322">
        <v>0</v>
      </c>
      <c r="F28" s="322">
        <v>0</v>
      </c>
      <c r="G28" s="322">
        <v>0</v>
      </c>
      <c r="H28" s="322">
        <v>0</v>
      </c>
      <c r="I28" s="322">
        <v>0</v>
      </c>
      <c r="J28" s="322">
        <v>0</v>
      </c>
      <c r="K28" s="322">
        <v>0</v>
      </c>
      <c r="L28" s="322">
        <v>0</v>
      </c>
      <c r="M28" s="322">
        <v>0</v>
      </c>
      <c r="N28" s="322">
        <v>0</v>
      </c>
      <c r="O28" s="322">
        <v>0</v>
      </c>
      <c r="P28" s="322">
        <f t="shared" si="2"/>
        <v>0</v>
      </c>
    </row>
    <row r="29" spans="1:16" s="171" customFormat="1" x14ac:dyDescent="0.25">
      <c r="A29" s="321" t="s">
        <v>868</v>
      </c>
      <c r="B29" s="317"/>
      <c r="C29" s="322">
        <f t="shared" si="0"/>
        <v>0</v>
      </c>
      <c r="D29" s="322">
        <v>0</v>
      </c>
      <c r="E29" s="322">
        <v>0</v>
      </c>
      <c r="F29" s="322">
        <v>0</v>
      </c>
      <c r="G29" s="322">
        <v>0</v>
      </c>
      <c r="H29" s="322">
        <v>0</v>
      </c>
      <c r="I29" s="322">
        <v>0</v>
      </c>
      <c r="J29" s="322">
        <v>0</v>
      </c>
      <c r="K29" s="322">
        <v>0</v>
      </c>
      <c r="L29" s="322">
        <v>0</v>
      </c>
      <c r="M29" s="322">
        <v>0</v>
      </c>
      <c r="N29" s="322">
        <v>0</v>
      </c>
      <c r="O29" s="322">
        <v>0</v>
      </c>
      <c r="P29" s="322">
        <f t="shared" si="2"/>
        <v>0</v>
      </c>
    </row>
    <row r="30" spans="1:16" s="171" customFormat="1" x14ac:dyDescent="0.25">
      <c r="A30" s="321" t="s">
        <v>999</v>
      </c>
      <c r="B30" s="317"/>
      <c r="C30" s="322">
        <f t="shared" si="0"/>
        <v>0</v>
      </c>
      <c r="D30" s="322">
        <f>D31+D32</f>
        <v>0</v>
      </c>
      <c r="E30" s="322">
        <f t="shared" ref="E30:O30" si="7">E31+E32</f>
        <v>0</v>
      </c>
      <c r="F30" s="322">
        <f t="shared" si="7"/>
        <v>0</v>
      </c>
      <c r="G30" s="322">
        <f t="shared" si="7"/>
        <v>0</v>
      </c>
      <c r="H30" s="322">
        <f t="shared" si="7"/>
        <v>0</v>
      </c>
      <c r="I30" s="322">
        <f t="shared" si="7"/>
        <v>0</v>
      </c>
      <c r="J30" s="322">
        <f t="shared" si="7"/>
        <v>0</v>
      </c>
      <c r="K30" s="322">
        <f t="shared" si="7"/>
        <v>0</v>
      </c>
      <c r="L30" s="322">
        <f t="shared" si="7"/>
        <v>0</v>
      </c>
      <c r="M30" s="322">
        <f t="shared" si="7"/>
        <v>0</v>
      </c>
      <c r="N30" s="322">
        <f t="shared" si="7"/>
        <v>0</v>
      </c>
      <c r="O30" s="322">
        <f t="shared" si="7"/>
        <v>0</v>
      </c>
      <c r="P30" s="322">
        <f t="shared" si="2"/>
        <v>0</v>
      </c>
    </row>
    <row r="31" spans="1:16" x14ac:dyDescent="0.25">
      <c r="A31" s="323" t="s">
        <v>858</v>
      </c>
      <c r="B31" s="317" t="s">
        <v>128</v>
      </c>
      <c r="C31" s="319">
        <f t="shared" si="0"/>
        <v>0</v>
      </c>
      <c r="D31" s="319">
        <f t="array" ref="D31">SUM(IF((Budget[Ofc Code]=$B$6)*(Budget[Account Code]=$B31)*(Budget[Date]=D$7),Budget[Amount]))</f>
        <v>0</v>
      </c>
      <c r="E31" s="319">
        <f t="array" ref="E31">SUM(IF((Budget[Ofc Code]=$B$6)*(Budget[Account Code]=$B31)*(Budget[Date]=E$7),Budget[Amount]))</f>
        <v>0</v>
      </c>
      <c r="F31" s="319">
        <f t="array" ref="F31">SUM(IF((Budget[Ofc Code]=$B$6)*(Budget[Account Code]=$B31)*(Budget[Date]=F$7),Budget[Amount]))</f>
        <v>0</v>
      </c>
      <c r="G31" s="319">
        <f t="array" ref="G31">SUM(IF((Budget[Ofc Code]=$B$6)*(Budget[Account Code]=$B31)*(Budget[Date]=G$7),Budget[Amount]))</f>
        <v>0</v>
      </c>
      <c r="H31" s="319">
        <f t="array" ref="H31">SUM(IF((Budget[Ofc Code]=$B$6)*(Budget[Account Code]=$B31)*(Budget[Date]=H$7),Budget[Amount]))</f>
        <v>0</v>
      </c>
      <c r="I31" s="319">
        <f t="array" ref="I31">SUM(IF((Budget[Ofc Code]=$B$6)*(Budget[Account Code]=$B31)*(Budget[Date]=I$7),Budget[Amount]))</f>
        <v>0</v>
      </c>
      <c r="J31" s="319">
        <f t="array" ref="J31">SUM(IF((Budget[Ofc Code]=$B$6)*(Budget[Account Code]=$B31)*(Budget[Date]=J$7),Budget[Amount]))</f>
        <v>0</v>
      </c>
      <c r="K31" s="319">
        <f t="array" ref="K31">SUM(IF((Budget[Ofc Code]=$B$6)*(Budget[Account Code]=$B31)*(Budget[Date]=K$7),Budget[Amount]))</f>
        <v>0</v>
      </c>
      <c r="L31" s="319">
        <f t="array" ref="L31">SUM(IF((Budget[Ofc Code]=$B$6)*(Budget[Account Code]=$B31)*(Budget[Date]=L$7),Budget[Amount]))</f>
        <v>0</v>
      </c>
      <c r="M31" s="319">
        <f t="array" ref="M31">SUM(IF((Budget[Ofc Code]=$B$6)*(Budget[Account Code]=$B31)*(Budget[Date]=M$7),Budget[Amount]))</f>
        <v>0</v>
      </c>
      <c r="N31" s="319">
        <f t="array" ref="N31">SUM(IF((Budget[Ofc Code]=$B$6)*(Budget[Account Code]=$B31)*(Budget[Date]=N$7),Budget[Amount]))</f>
        <v>0</v>
      </c>
      <c r="O31" s="319">
        <f t="array" ref="O31">SUM(IF((Budget[Ofc Code]=$B$6)*(Budget[Account Code]=$B31)*(Budget[Date]=O$7),Budget[Amount]))</f>
        <v>0</v>
      </c>
      <c r="P31" s="319">
        <f t="shared" si="2"/>
        <v>0</v>
      </c>
    </row>
    <row r="32" spans="1:16" x14ac:dyDescent="0.25">
      <c r="A32" s="323" t="s">
        <v>819</v>
      </c>
      <c r="B32" s="317"/>
      <c r="C32" s="319">
        <f t="shared" si="0"/>
        <v>0</v>
      </c>
      <c r="D32" s="319">
        <f t="array" ref="D32">SUM(IF((Budget[Ofc Code]=$B$6)*(Budget[Account Code]=$B32)*(Budget[Date]=D$7),Budget[Amount]))</f>
        <v>0</v>
      </c>
      <c r="E32" s="319">
        <f t="array" ref="E32">SUM(IF((Budget[Ofc Code]=$B$6)*(Budget[Account Code]=$B32)*(Budget[Date]=E$7),Budget[Amount]))</f>
        <v>0</v>
      </c>
      <c r="F32" s="319">
        <f t="array" ref="F32">SUM(IF((Budget[Ofc Code]=$B$6)*(Budget[Account Code]=$B32)*(Budget[Date]=F$7),Budget[Amount]))</f>
        <v>0</v>
      </c>
      <c r="G32" s="319">
        <f t="array" ref="G32">SUM(IF((Budget[Ofc Code]=$B$6)*(Budget[Account Code]=$B32)*(Budget[Date]=G$7),Budget[Amount]))</f>
        <v>0</v>
      </c>
      <c r="H32" s="319">
        <f t="array" ref="H32">SUM(IF((Budget[Ofc Code]=$B$6)*(Budget[Account Code]=$B32)*(Budget[Date]=H$7),Budget[Amount]))</f>
        <v>0</v>
      </c>
      <c r="I32" s="319">
        <f t="array" ref="I32">SUM(IF((Budget[Ofc Code]=$B$6)*(Budget[Account Code]=$B32)*(Budget[Date]=I$7),Budget[Amount]))</f>
        <v>0</v>
      </c>
      <c r="J32" s="319">
        <f t="array" ref="J32">SUM(IF((Budget[Ofc Code]=$B$6)*(Budget[Account Code]=$B32)*(Budget[Date]=J$7),Budget[Amount]))</f>
        <v>0</v>
      </c>
      <c r="K32" s="319">
        <f t="array" ref="K32">SUM(IF((Budget[Ofc Code]=$B$6)*(Budget[Account Code]=$B32)*(Budget[Date]=K$7),Budget[Amount]))</f>
        <v>0</v>
      </c>
      <c r="L32" s="319">
        <f t="array" ref="L32">SUM(IF((Budget[Ofc Code]=$B$6)*(Budget[Account Code]=$B32)*(Budget[Date]=L$7),Budget[Amount]))</f>
        <v>0</v>
      </c>
      <c r="M32" s="319">
        <f t="array" ref="M32">SUM(IF((Budget[Ofc Code]=$B$6)*(Budget[Account Code]=$B32)*(Budget[Date]=M$7),Budget[Amount]))</f>
        <v>0</v>
      </c>
      <c r="N32" s="319">
        <f t="array" ref="N32">SUM(IF((Budget[Ofc Code]=$B$6)*(Budget[Account Code]=$B32)*(Budget[Date]=N$7),Budget[Amount]))</f>
        <v>0</v>
      </c>
      <c r="O32" s="319">
        <f t="array" ref="O32">SUM(IF((Budget[Ofc Code]=$B$6)*(Budget[Account Code]=$B32)*(Budget[Date]=O$7),Budget[Amount]))</f>
        <v>0</v>
      </c>
      <c r="P32" s="319">
        <f t="shared" si="2"/>
        <v>0</v>
      </c>
    </row>
    <row r="33" spans="1:16" s="171" customFormat="1" x14ac:dyDescent="0.25">
      <c r="A33" s="321" t="s">
        <v>1000</v>
      </c>
      <c r="B33" s="317" t="s">
        <v>130</v>
      </c>
      <c r="C33" s="322">
        <f t="shared" si="0"/>
        <v>0</v>
      </c>
      <c r="D33" s="319">
        <f t="array" ref="D33">SUM(IF((Budget[Ofc Code]=$B$6)*(Budget[Account Code]=$B33)*(Budget[Date]=D$7),Budget[Amount]))</f>
        <v>0</v>
      </c>
      <c r="E33" s="319">
        <f t="array" ref="E33">SUM(IF((Budget[Ofc Code]=$B$6)*(Budget[Account Code]=$B33)*(Budget[Date]=E$7),Budget[Amount]))</f>
        <v>0</v>
      </c>
      <c r="F33" s="319">
        <f t="array" ref="F33">SUM(IF((Budget[Ofc Code]=$B$6)*(Budget[Account Code]=$B33)*(Budget[Date]=F$7),Budget[Amount]))</f>
        <v>0</v>
      </c>
      <c r="G33" s="319">
        <f t="array" ref="G33">SUM(IF((Budget[Ofc Code]=$B$6)*(Budget[Account Code]=$B33)*(Budget[Date]=G$7),Budget[Amount]))</f>
        <v>0</v>
      </c>
      <c r="H33" s="319">
        <f t="array" ref="H33">SUM(IF((Budget[Ofc Code]=$B$6)*(Budget[Account Code]=$B33)*(Budget[Date]=H$7),Budget[Amount]))</f>
        <v>0</v>
      </c>
      <c r="I33" s="319">
        <f t="array" ref="I33">SUM(IF((Budget[Ofc Code]=$B$6)*(Budget[Account Code]=$B33)*(Budget[Date]=I$7),Budget[Amount]))</f>
        <v>0</v>
      </c>
      <c r="J33" s="319">
        <f t="array" ref="J33">SUM(IF((Budget[Ofc Code]=$B$6)*(Budget[Account Code]=$B33)*(Budget[Date]=J$7),Budget[Amount]))</f>
        <v>0</v>
      </c>
      <c r="K33" s="319">
        <f t="array" ref="K33">SUM(IF((Budget[Ofc Code]=$B$6)*(Budget[Account Code]=$B33)*(Budget[Date]=K$7),Budget[Amount]))</f>
        <v>0</v>
      </c>
      <c r="L33" s="319">
        <f t="array" ref="L33">SUM(IF((Budget[Ofc Code]=$B$6)*(Budget[Account Code]=$B33)*(Budget[Date]=L$7),Budget[Amount]))</f>
        <v>0</v>
      </c>
      <c r="M33" s="319">
        <f t="array" ref="M33">SUM(IF((Budget[Ofc Code]=$B$6)*(Budget[Account Code]=$B33)*(Budget[Date]=M$7),Budget[Amount]))</f>
        <v>0</v>
      </c>
      <c r="N33" s="319">
        <f t="array" ref="N33">SUM(IF((Budget[Ofc Code]=$B$6)*(Budget[Account Code]=$B33)*(Budget[Date]=N$7),Budget[Amount]))</f>
        <v>0</v>
      </c>
      <c r="O33" s="319">
        <f t="array" ref="O33">SUM(IF((Budget[Ofc Code]=$B$6)*(Budget[Account Code]=$B33)*(Budget[Date]=O$7),Budget[Amount]))</f>
        <v>0</v>
      </c>
      <c r="P33" s="322">
        <f t="shared" si="2"/>
        <v>0</v>
      </c>
    </row>
    <row r="34" spans="1:16" s="171" customFormat="1" x14ac:dyDescent="0.25">
      <c r="A34" s="321" t="s">
        <v>1001</v>
      </c>
      <c r="B34" s="317"/>
      <c r="C34" s="322">
        <f t="shared" si="0"/>
        <v>0</v>
      </c>
      <c r="D34" s="322">
        <f>SUM(D35:D40)</f>
        <v>0</v>
      </c>
      <c r="E34" s="322">
        <f t="shared" ref="E34:O34" si="8">SUM(E35:E40)</f>
        <v>0</v>
      </c>
      <c r="F34" s="322">
        <f t="shared" si="8"/>
        <v>0</v>
      </c>
      <c r="G34" s="322">
        <f t="shared" si="8"/>
        <v>0</v>
      </c>
      <c r="H34" s="322">
        <f t="shared" si="8"/>
        <v>0</v>
      </c>
      <c r="I34" s="322">
        <f t="shared" si="8"/>
        <v>0</v>
      </c>
      <c r="J34" s="322">
        <f t="shared" si="8"/>
        <v>0</v>
      </c>
      <c r="K34" s="322">
        <f t="shared" si="8"/>
        <v>0</v>
      </c>
      <c r="L34" s="322">
        <f t="shared" si="8"/>
        <v>0</v>
      </c>
      <c r="M34" s="322">
        <f t="shared" si="8"/>
        <v>0</v>
      </c>
      <c r="N34" s="322">
        <f t="shared" si="8"/>
        <v>0</v>
      </c>
      <c r="O34" s="322">
        <f t="shared" si="8"/>
        <v>0</v>
      </c>
      <c r="P34" s="322">
        <f t="shared" si="2"/>
        <v>0</v>
      </c>
    </row>
    <row r="35" spans="1:16" s="171" customFormat="1" x14ac:dyDescent="0.25">
      <c r="A35" s="323" t="s">
        <v>186</v>
      </c>
      <c r="B35" s="317" t="s">
        <v>150</v>
      </c>
      <c r="C35" s="322">
        <f t="shared" ref="C35:C40" si="9">SUM(D35:O35)</f>
        <v>0</v>
      </c>
      <c r="D35" s="319">
        <f t="array" ref="D35">SUM(IF((Budget[Ofc Code]=$B$6)*(Budget[Account Code]=$B35)*(Budget[Date]=D$7),Budget[Amount]))</f>
        <v>0</v>
      </c>
      <c r="E35" s="319">
        <f t="array" ref="E35">SUM(IF((Budget[Ofc Code]=$B$6)*(Budget[Account Code]=$B35)*(Budget[Date]=E$7),Budget[Amount]))</f>
        <v>0</v>
      </c>
      <c r="F35" s="319">
        <f t="array" ref="F35">SUM(IF((Budget[Ofc Code]=$B$6)*(Budget[Account Code]=$B35)*(Budget[Date]=F$7),Budget[Amount]))</f>
        <v>0</v>
      </c>
      <c r="G35" s="319">
        <f t="array" ref="G35">SUM(IF((Budget[Ofc Code]=$B$6)*(Budget[Account Code]=$B35)*(Budget[Date]=G$7),Budget[Amount]))</f>
        <v>0</v>
      </c>
      <c r="H35" s="319">
        <f t="array" ref="H35">SUM(IF((Budget[Ofc Code]=$B$6)*(Budget[Account Code]=$B35)*(Budget[Date]=H$7),Budget[Amount]))</f>
        <v>0</v>
      </c>
      <c r="I35" s="319">
        <f t="array" ref="I35">SUM(IF((Budget[Ofc Code]=$B$6)*(Budget[Account Code]=$B35)*(Budget[Date]=I$7),Budget[Amount]))</f>
        <v>0</v>
      </c>
      <c r="J35" s="319">
        <f t="array" ref="J35">SUM(IF((Budget[Ofc Code]=$B$6)*(Budget[Account Code]=$B35)*(Budget[Date]=J$7),Budget[Amount]))</f>
        <v>0</v>
      </c>
      <c r="K35" s="319">
        <f t="array" ref="K35">SUM(IF((Budget[Ofc Code]=$B$6)*(Budget[Account Code]=$B35)*(Budget[Date]=K$7),Budget[Amount]))</f>
        <v>0</v>
      </c>
      <c r="L35" s="319">
        <f t="array" ref="L35">SUM(IF((Budget[Ofc Code]=$B$6)*(Budget[Account Code]=$B35)*(Budget[Date]=L$7),Budget[Amount]))</f>
        <v>0</v>
      </c>
      <c r="M35" s="319">
        <f t="array" ref="M35">SUM(IF((Budget[Ofc Code]=$B$6)*(Budget[Account Code]=$B35)*(Budget[Date]=M$7),Budget[Amount]))</f>
        <v>0</v>
      </c>
      <c r="N35" s="319">
        <f t="array" ref="N35">SUM(IF((Budget[Ofc Code]=$B$6)*(Budget[Account Code]=$B35)*(Budget[Date]=N$7),Budget[Amount]))</f>
        <v>0</v>
      </c>
      <c r="O35" s="319">
        <f t="array" ref="O35">SUM(IF((Budget[Ofc Code]=$B$6)*(Budget[Account Code]=$B35)*(Budget[Date]=O$7),Budget[Amount]))</f>
        <v>0</v>
      </c>
      <c r="P35" s="322">
        <f t="shared" si="2"/>
        <v>0</v>
      </c>
    </row>
    <row r="36" spans="1:16" s="171" customFormat="1" x14ac:dyDescent="0.25">
      <c r="A36" s="323" t="s">
        <v>1003</v>
      </c>
      <c r="B36" s="317" t="s">
        <v>155</v>
      </c>
      <c r="C36" s="322">
        <f>SUM(D36:O36)</f>
        <v>0</v>
      </c>
      <c r="D36" s="319">
        <f t="array" ref="D36">SUM(IF((Budget[Ofc Code]=$B$6)*(Budget[Account Code]=$B36)*(Budget[Date]=D$7),Budget[Amount]))</f>
        <v>0</v>
      </c>
      <c r="E36" s="319">
        <f t="array" ref="E36">SUM(IF((Budget[Ofc Code]=$B$6)*(Budget[Account Code]=$B36)*(Budget[Date]=E$7),Budget[Amount]))</f>
        <v>0</v>
      </c>
      <c r="F36" s="319">
        <f t="array" ref="F36">SUM(IF((Budget[Ofc Code]=$B$6)*(Budget[Account Code]=$B36)*(Budget[Date]=F$7),Budget[Amount]))</f>
        <v>0</v>
      </c>
      <c r="G36" s="319">
        <f t="array" ref="G36">SUM(IF((Budget[Ofc Code]=$B$6)*(Budget[Account Code]=$B36)*(Budget[Date]=G$7),Budget[Amount]))</f>
        <v>0</v>
      </c>
      <c r="H36" s="319">
        <f t="array" ref="H36">SUM(IF((Budget[Ofc Code]=$B$6)*(Budget[Account Code]=$B36)*(Budget[Date]=H$7),Budget[Amount]))</f>
        <v>0</v>
      </c>
      <c r="I36" s="319">
        <f t="array" ref="I36">SUM(IF((Budget[Ofc Code]=$B$6)*(Budget[Account Code]=$B36)*(Budget[Date]=I$7),Budget[Amount]))</f>
        <v>0</v>
      </c>
      <c r="J36" s="319">
        <f t="array" ref="J36">SUM(IF((Budget[Ofc Code]=$B$6)*(Budget[Account Code]=$B36)*(Budget[Date]=J$7),Budget[Amount]))</f>
        <v>0</v>
      </c>
      <c r="K36" s="319">
        <f t="array" ref="K36">SUM(IF((Budget[Ofc Code]=$B$6)*(Budget[Account Code]=$B36)*(Budget[Date]=K$7),Budget[Amount]))</f>
        <v>0</v>
      </c>
      <c r="L36" s="319">
        <f t="array" ref="L36">SUM(IF((Budget[Ofc Code]=$B$6)*(Budget[Account Code]=$B36)*(Budget[Date]=L$7),Budget[Amount]))</f>
        <v>0</v>
      </c>
      <c r="M36" s="319">
        <f t="array" ref="M36">SUM(IF((Budget[Ofc Code]=$B$6)*(Budget[Account Code]=$B36)*(Budget[Date]=M$7),Budget[Amount]))</f>
        <v>0</v>
      </c>
      <c r="N36" s="319">
        <f t="array" ref="N36">SUM(IF((Budget[Ofc Code]=$B$6)*(Budget[Account Code]=$B36)*(Budget[Date]=N$7),Budget[Amount]))</f>
        <v>0</v>
      </c>
      <c r="O36" s="319">
        <f t="array" ref="O36">SUM(IF((Budget[Ofc Code]=$B$6)*(Budget[Account Code]=$B36)*(Budget[Date]=O$7),Budget[Amount]))</f>
        <v>0</v>
      </c>
      <c r="P36" s="322">
        <f t="shared" si="2"/>
        <v>0</v>
      </c>
    </row>
    <row r="37" spans="1:16" s="171" customFormat="1" x14ac:dyDescent="0.25">
      <c r="A37" s="323" t="s">
        <v>1004</v>
      </c>
      <c r="B37" s="317" t="s">
        <v>159</v>
      </c>
      <c r="C37" s="322">
        <f t="shared" si="9"/>
        <v>0</v>
      </c>
      <c r="D37" s="319">
        <f t="array" ref="D37">SUM(IF((Budget[Ofc Code]=$B$6)*(Budget[Account Code]=$B37)*(Budget[Date]=D$7),Budget[Amount]))</f>
        <v>0</v>
      </c>
      <c r="E37" s="319">
        <f t="array" ref="E37">SUM(IF((Budget[Ofc Code]=$B$6)*(Budget[Account Code]=$B37)*(Budget[Date]=E$7),Budget[Amount]))</f>
        <v>0</v>
      </c>
      <c r="F37" s="319">
        <f t="array" ref="F37">SUM(IF((Budget[Ofc Code]=$B$6)*(Budget[Account Code]=$B37)*(Budget[Date]=F$7),Budget[Amount]))</f>
        <v>0</v>
      </c>
      <c r="G37" s="319">
        <f t="array" ref="G37">SUM(IF((Budget[Ofc Code]=$B$6)*(Budget[Account Code]=$B37)*(Budget[Date]=G$7),Budget[Amount]))</f>
        <v>0</v>
      </c>
      <c r="H37" s="319">
        <f t="array" ref="H37">SUM(IF((Budget[Ofc Code]=$B$6)*(Budget[Account Code]=$B37)*(Budget[Date]=H$7),Budget[Amount]))</f>
        <v>0</v>
      </c>
      <c r="I37" s="319">
        <f t="array" ref="I37">SUM(IF((Budget[Ofc Code]=$B$6)*(Budget[Account Code]=$B37)*(Budget[Date]=I$7),Budget[Amount]))</f>
        <v>0</v>
      </c>
      <c r="J37" s="319">
        <f t="array" ref="J37">SUM(IF((Budget[Ofc Code]=$B$6)*(Budget[Account Code]=$B37)*(Budget[Date]=J$7),Budget[Amount]))</f>
        <v>0</v>
      </c>
      <c r="K37" s="319">
        <f t="array" ref="K37">SUM(IF((Budget[Ofc Code]=$B$6)*(Budget[Account Code]=$B37)*(Budget[Date]=K$7),Budget[Amount]))</f>
        <v>0</v>
      </c>
      <c r="L37" s="319">
        <f t="array" ref="L37">SUM(IF((Budget[Ofc Code]=$B$6)*(Budget[Account Code]=$B37)*(Budget[Date]=L$7),Budget[Amount]))</f>
        <v>0</v>
      </c>
      <c r="M37" s="319">
        <f t="array" ref="M37">SUM(IF((Budget[Ofc Code]=$B$6)*(Budget[Account Code]=$B37)*(Budget[Date]=M$7),Budget[Amount]))</f>
        <v>0</v>
      </c>
      <c r="N37" s="319">
        <f t="array" ref="N37">SUM(IF((Budget[Ofc Code]=$B$6)*(Budget[Account Code]=$B37)*(Budget[Date]=N$7),Budget[Amount]))</f>
        <v>0</v>
      </c>
      <c r="O37" s="319">
        <f t="array" ref="O37">SUM(IF((Budget[Ofc Code]=$B$6)*(Budget[Account Code]=$B37)*(Budget[Date]=O$7),Budget[Amount]))</f>
        <v>0</v>
      </c>
      <c r="P37" s="322">
        <f t="shared" si="2"/>
        <v>0</v>
      </c>
    </row>
    <row r="38" spans="1:16" s="171" customFormat="1" x14ac:dyDescent="0.25">
      <c r="A38" s="323" t="s">
        <v>449</v>
      </c>
      <c r="B38" s="317" t="s">
        <v>160</v>
      </c>
      <c r="C38" s="322">
        <f t="shared" si="9"/>
        <v>0</v>
      </c>
      <c r="D38" s="319">
        <f t="array" ref="D38">SUM(IF((Budget[Ofc Code]=$B$6)*(Budget[Account Code]=$B38)*(Budget[Date]=D$7),Budget[Amount]))</f>
        <v>0</v>
      </c>
      <c r="E38" s="319">
        <f t="array" ref="E38">SUM(IF((Budget[Ofc Code]=$B$6)*(Budget[Account Code]=$B38)*(Budget[Date]=E$7),Budget[Amount]))</f>
        <v>0</v>
      </c>
      <c r="F38" s="319">
        <f t="array" ref="F38">SUM(IF((Budget[Ofc Code]=$B$6)*(Budget[Account Code]=$B38)*(Budget[Date]=F$7),Budget[Amount]))</f>
        <v>0</v>
      </c>
      <c r="G38" s="319">
        <f t="array" ref="G38">SUM(IF((Budget[Ofc Code]=$B$6)*(Budget[Account Code]=$B38)*(Budget[Date]=G$7),Budget[Amount]))</f>
        <v>0</v>
      </c>
      <c r="H38" s="319">
        <f t="array" ref="H38">SUM(IF((Budget[Ofc Code]=$B$6)*(Budget[Account Code]=$B38)*(Budget[Date]=H$7),Budget[Amount]))</f>
        <v>0</v>
      </c>
      <c r="I38" s="319">
        <f t="array" ref="I38">SUM(IF((Budget[Ofc Code]=$B$6)*(Budget[Account Code]=$B38)*(Budget[Date]=I$7),Budget[Amount]))</f>
        <v>0</v>
      </c>
      <c r="J38" s="319">
        <f t="array" ref="J38">SUM(IF((Budget[Ofc Code]=$B$6)*(Budget[Account Code]=$B38)*(Budget[Date]=J$7),Budget[Amount]))</f>
        <v>0</v>
      </c>
      <c r="K38" s="319">
        <f t="array" ref="K38">SUM(IF((Budget[Ofc Code]=$B$6)*(Budget[Account Code]=$B38)*(Budget[Date]=K$7),Budget[Amount]))</f>
        <v>0</v>
      </c>
      <c r="L38" s="319">
        <f t="array" ref="L38">SUM(IF((Budget[Ofc Code]=$B$6)*(Budget[Account Code]=$B38)*(Budget[Date]=L$7),Budget[Amount]))</f>
        <v>0</v>
      </c>
      <c r="M38" s="319">
        <f t="array" ref="M38">SUM(IF((Budget[Ofc Code]=$B$6)*(Budget[Account Code]=$B38)*(Budget[Date]=M$7),Budget[Amount]))</f>
        <v>0</v>
      </c>
      <c r="N38" s="319">
        <f t="array" ref="N38">SUM(IF((Budget[Ofc Code]=$B$6)*(Budget[Account Code]=$B38)*(Budget[Date]=N$7),Budget[Amount]))</f>
        <v>0</v>
      </c>
      <c r="O38" s="319">
        <f t="array" ref="O38">SUM(IF((Budget[Ofc Code]=$B$6)*(Budget[Account Code]=$B38)*(Budget[Date]=O$7),Budget[Amount]))</f>
        <v>0</v>
      </c>
      <c r="P38" s="322">
        <f t="shared" si="2"/>
        <v>0</v>
      </c>
    </row>
    <row r="39" spans="1:16" s="171" customFormat="1" x14ac:dyDescent="0.25">
      <c r="A39" s="323" t="s">
        <v>1005</v>
      </c>
      <c r="B39" s="317" t="s">
        <v>352</v>
      </c>
      <c r="C39" s="322">
        <f t="shared" si="9"/>
        <v>0</v>
      </c>
      <c r="D39" s="319">
        <f t="array" ref="D39">SUM(IF((Budget[Ofc Code]=$B$6)*(Budget[Account Code]=$B39)*(Budget[Date]=D$7),Budget[Amount]))</f>
        <v>0</v>
      </c>
      <c r="E39" s="319">
        <f t="array" ref="E39">SUM(IF((Budget[Ofc Code]=$B$6)*(Budget[Account Code]=$B39)*(Budget[Date]=E$7),Budget[Amount]))</f>
        <v>0</v>
      </c>
      <c r="F39" s="319">
        <f t="array" ref="F39">SUM(IF((Budget[Ofc Code]=$B$6)*(Budget[Account Code]=$B39)*(Budget[Date]=F$7),Budget[Amount]))</f>
        <v>0</v>
      </c>
      <c r="G39" s="319">
        <f t="array" ref="G39">SUM(IF((Budget[Ofc Code]=$B$6)*(Budget[Account Code]=$B39)*(Budget[Date]=G$7),Budget[Amount]))</f>
        <v>0</v>
      </c>
      <c r="H39" s="319">
        <f t="array" ref="H39">SUM(IF((Budget[Ofc Code]=$B$6)*(Budget[Account Code]=$B39)*(Budget[Date]=H$7),Budget[Amount]))</f>
        <v>0</v>
      </c>
      <c r="I39" s="319">
        <f t="array" ref="I39">SUM(IF((Budget[Ofc Code]=$B$6)*(Budget[Account Code]=$B39)*(Budget[Date]=I$7),Budget[Amount]))</f>
        <v>0</v>
      </c>
      <c r="J39" s="319">
        <f t="array" ref="J39">SUM(IF((Budget[Ofc Code]=$B$6)*(Budget[Account Code]=$B39)*(Budget[Date]=J$7),Budget[Amount]))</f>
        <v>0</v>
      </c>
      <c r="K39" s="319">
        <f t="array" ref="K39">SUM(IF((Budget[Ofc Code]=$B$6)*(Budget[Account Code]=$B39)*(Budget[Date]=K$7),Budget[Amount]))</f>
        <v>0</v>
      </c>
      <c r="L39" s="319">
        <f t="array" ref="L39">SUM(IF((Budget[Ofc Code]=$B$6)*(Budget[Account Code]=$B39)*(Budget[Date]=L$7),Budget[Amount]))</f>
        <v>0</v>
      </c>
      <c r="M39" s="319">
        <f t="array" ref="M39">SUM(IF((Budget[Ofc Code]=$B$6)*(Budget[Account Code]=$B39)*(Budget[Date]=M$7),Budget[Amount]))</f>
        <v>0</v>
      </c>
      <c r="N39" s="319">
        <f t="array" ref="N39">SUM(IF((Budget[Ofc Code]=$B$6)*(Budget[Account Code]=$B39)*(Budget[Date]=N$7),Budget[Amount]))</f>
        <v>0</v>
      </c>
      <c r="O39" s="319">
        <f t="array" ref="O39">SUM(IF((Budget[Ofc Code]=$B$6)*(Budget[Account Code]=$B39)*(Budget[Date]=O$7),Budget[Amount]))</f>
        <v>0</v>
      </c>
      <c r="P39" s="322">
        <f t="shared" si="2"/>
        <v>0</v>
      </c>
    </row>
    <row r="40" spans="1:16" s="171" customFormat="1" x14ac:dyDescent="0.25">
      <c r="A40" s="323" t="s">
        <v>1006</v>
      </c>
      <c r="B40" s="317" t="s">
        <v>158</v>
      </c>
      <c r="C40" s="322">
        <f t="shared" si="9"/>
        <v>0</v>
      </c>
      <c r="D40" s="319">
        <f t="array" ref="D40">SUM(IF((Budget[Ofc Code]=$B$6)*(Budget[Account Code]=$B40)*(Budget[Date]=D$7),Budget[Amount]))</f>
        <v>0</v>
      </c>
      <c r="E40" s="319">
        <f t="array" ref="E40">SUM(IF((Budget[Ofc Code]=$B$6)*(Budget[Account Code]=$B40)*(Budget[Date]=E$7),Budget[Amount]))</f>
        <v>0</v>
      </c>
      <c r="F40" s="319">
        <f t="array" ref="F40">SUM(IF((Budget[Ofc Code]=$B$6)*(Budget[Account Code]=$B40)*(Budget[Date]=F$7),Budget[Amount]))</f>
        <v>0</v>
      </c>
      <c r="G40" s="319">
        <f t="array" ref="G40">SUM(IF((Budget[Ofc Code]=$B$6)*(Budget[Account Code]=$B40)*(Budget[Date]=G$7),Budget[Amount]))</f>
        <v>0</v>
      </c>
      <c r="H40" s="319">
        <f t="array" ref="H40">SUM(IF((Budget[Ofc Code]=$B$6)*(Budget[Account Code]=$B40)*(Budget[Date]=H$7),Budget[Amount]))</f>
        <v>0</v>
      </c>
      <c r="I40" s="319">
        <f t="array" ref="I40">SUM(IF((Budget[Ofc Code]=$B$6)*(Budget[Account Code]=$B40)*(Budget[Date]=I$7),Budget[Amount]))</f>
        <v>0</v>
      </c>
      <c r="J40" s="319">
        <f t="array" ref="J40">SUM(IF((Budget[Ofc Code]=$B$6)*(Budget[Account Code]=$B40)*(Budget[Date]=J$7),Budget[Amount]))</f>
        <v>0</v>
      </c>
      <c r="K40" s="319">
        <f t="array" ref="K40">SUM(IF((Budget[Ofc Code]=$B$6)*(Budget[Account Code]=$B40)*(Budget[Date]=K$7),Budget[Amount]))</f>
        <v>0</v>
      </c>
      <c r="L40" s="319">
        <f t="array" ref="L40">SUM(IF((Budget[Ofc Code]=$B$6)*(Budget[Account Code]=$B40)*(Budget[Date]=L$7),Budget[Amount]))</f>
        <v>0</v>
      </c>
      <c r="M40" s="319">
        <f t="array" ref="M40">SUM(IF((Budget[Ofc Code]=$B$6)*(Budget[Account Code]=$B40)*(Budget[Date]=M$7),Budget[Amount]))</f>
        <v>0</v>
      </c>
      <c r="N40" s="319">
        <f t="array" ref="N40">SUM(IF((Budget[Ofc Code]=$B$6)*(Budget[Account Code]=$B40)*(Budget[Date]=N$7),Budget[Amount]))</f>
        <v>0</v>
      </c>
      <c r="O40" s="319">
        <f t="array" ref="O40">SUM(IF((Budget[Ofc Code]=$B$6)*(Budget[Account Code]=$B40)*(Budget[Date]=O$7),Budget[Amount]))</f>
        <v>0</v>
      </c>
      <c r="P40" s="322">
        <f t="shared" si="2"/>
        <v>0</v>
      </c>
    </row>
    <row r="41" spans="1:16" s="171" customFormat="1" x14ac:dyDescent="0.25">
      <c r="A41" s="321" t="s">
        <v>1002</v>
      </c>
      <c r="B41" s="317"/>
      <c r="C41" s="322">
        <f t="shared" si="0"/>
        <v>0</v>
      </c>
      <c r="D41" s="319">
        <f t="array" ref="D41">SUM(IF((Budget[Ofc Code]=$B$6)*(Budget[Account Code]=$B41)*(Budget[Date]=D$7),Budget[Amount]))</f>
        <v>0</v>
      </c>
      <c r="E41" s="319">
        <f t="array" ref="E41">SUM(IF((Budget[Ofc Code]=$B$6)*(Budget[Account Code]=$B41)*(Budget[Date]=E$7),Budget[Amount]))</f>
        <v>0</v>
      </c>
      <c r="F41" s="319">
        <f t="array" ref="F41">SUM(IF((Budget[Ofc Code]=$B$6)*(Budget[Account Code]=$B41)*(Budget[Date]=F$7),Budget[Amount]))</f>
        <v>0</v>
      </c>
      <c r="G41" s="319">
        <f t="array" ref="G41">SUM(IF((Budget[Ofc Code]=$B$6)*(Budget[Account Code]=$B41)*(Budget[Date]=G$7),Budget[Amount]))</f>
        <v>0</v>
      </c>
      <c r="H41" s="319">
        <f t="array" ref="H41">SUM(IF((Budget[Ofc Code]=$B$6)*(Budget[Account Code]=$B41)*(Budget[Date]=H$7),Budget[Amount]))</f>
        <v>0</v>
      </c>
      <c r="I41" s="319">
        <f t="array" ref="I41">SUM(IF((Budget[Ofc Code]=$B$6)*(Budget[Account Code]=$B41)*(Budget[Date]=I$7),Budget[Amount]))</f>
        <v>0</v>
      </c>
      <c r="J41" s="319">
        <f t="array" ref="J41">SUM(IF((Budget[Ofc Code]=$B$6)*(Budget[Account Code]=$B41)*(Budget[Date]=J$7),Budget[Amount]))</f>
        <v>0</v>
      </c>
      <c r="K41" s="319">
        <f t="array" ref="K41">SUM(IF((Budget[Ofc Code]=$B$6)*(Budget[Account Code]=$B41)*(Budget[Date]=K$7),Budget[Amount]))</f>
        <v>0</v>
      </c>
      <c r="L41" s="319">
        <f t="array" ref="L41">SUM(IF((Budget[Ofc Code]=$B$6)*(Budget[Account Code]=$B41)*(Budget[Date]=L$7),Budget[Amount]))</f>
        <v>0</v>
      </c>
      <c r="M41" s="319">
        <f t="array" ref="M41">SUM(IF((Budget[Ofc Code]=$B$6)*(Budget[Account Code]=$B41)*(Budget[Date]=M$7),Budget[Amount]))</f>
        <v>0</v>
      </c>
      <c r="N41" s="319">
        <f t="array" ref="N41">SUM(IF((Budget[Ofc Code]=$B$6)*(Budget[Account Code]=$B41)*(Budget[Date]=N$7),Budget[Amount]))</f>
        <v>0</v>
      </c>
      <c r="O41" s="319">
        <f t="array" ref="O41">SUM(IF((Budget[Ofc Code]=$B$6)*(Budget[Account Code]=$B41)*(Budget[Date]=O$7),Budget[Amount]))</f>
        <v>0</v>
      </c>
      <c r="P41" s="322">
        <f t="shared" si="2"/>
        <v>0</v>
      </c>
    </row>
    <row r="42" spans="1:16" x14ac:dyDescent="0.25">
      <c r="A42" s="323" t="s">
        <v>869</v>
      </c>
      <c r="B42" s="317"/>
      <c r="C42" s="319">
        <f t="shared" si="0"/>
        <v>0</v>
      </c>
      <c r="D42" s="319">
        <f t="array" ref="D42">SUM(IF((Budget[Ofc Code]=$B$6)*(Budget[Account Code]=$B42)*(Budget[Date]=D$7),Budget[Amount]))</f>
        <v>0</v>
      </c>
      <c r="E42" s="319">
        <f t="array" ref="E42">SUM(IF((Budget[Ofc Code]=$B$6)*(Budget[Account Code]=$B42)*(Budget[Date]=E$7),Budget[Amount]))</f>
        <v>0</v>
      </c>
      <c r="F42" s="319">
        <f t="array" ref="F42">SUM(IF((Budget[Ofc Code]=$B$6)*(Budget[Account Code]=$B42)*(Budget[Date]=F$7),Budget[Amount]))</f>
        <v>0</v>
      </c>
      <c r="G42" s="319">
        <f t="array" ref="G42">SUM(IF((Budget[Ofc Code]=$B$6)*(Budget[Account Code]=$B42)*(Budget[Date]=G$7),Budget[Amount]))</f>
        <v>0</v>
      </c>
      <c r="H42" s="319">
        <f t="array" ref="H42">SUM(IF((Budget[Ofc Code]=$B$6)*(Budget[Account Code]=$B42)*(Budget[Date]=H$7),Budget[Amount]))</f>
        <v>0</v>
      </c>
      <c r="I42" s="319">
        <f t="array" ref="I42">SUM(IF((Budget[Ofc Code]=$B$6)*(Budget[Account Code]=$B42)*(Budget[Date]=I$7),Budget[Amount]))</f>
        <v>0</v>
      </c>
      <c r="J42" s="319">
        <f t="array" ref="J42">SUM(IF((Budget[Ofc Code]=$B$6)*(Budget[Account Code]=$B42)*(Budget[Date]=J$7),Budget[Amount]))</f>
        <v>0</v>
      </c>
      <c r="K42" s="319">
        <f t="array" ref="K42">SUM(IF((Budget[Ofc Code]=$B$6)*(Budget[Account Code]=$B42)*(Budget[Date]=K$7),Budget[Amount]))</f>
        <v>0</v>
      </c>
      <c r="L42" s="319">
        <f t="array" ref="L42">SUM(IF((Budget[Ofc Code]=$B$6)*(Budget[Account Code]=$B42)*(Budget[Date]=L$7),Budget[Amount]))</f>
        <v>0</v>
      </c>
      <c r="M42" s="319">
        <f t="array" ref="M42">SUM(IF((Budget[Ofc Code]=$B$6)*(Budget[Account Code]=$B42)*(Budget[Date]=M$7),Budget[Amount]))</f>
        <v>0</v>
      </c>
      <c r="N42" s="319">
        <f t="array" ref="N42">SUM(IF((Budget[Ofc Code]=$B$6)*(Budget[Account Code]=$B42)*(Budget[Date]=N$7),Budget[Amount]))</f>
        <v>0</v>
      </c>
      <c r="O42" s="319">
        <f t="array" ref="O42">SUM(IF((Budget[Ofc Code]=$B$6)*(Budget[Account Code]=$B42)*(Budget[Date]=O$7),Budget[Amount]))</f>
        <v>0</v>
      </c>
      <c r="P42" s="319">
        <f t="shared" si="2"/>
        <v>0</v>
      </c>
    </row>
    <row r="43" spans="1:16" x14ac:dyDescent="0.25">
      <c r="A43" s="320" t="s">
        <v>870</v>
      </c>
      <c r="B43" s="317"/>
      <c r="C43" s="319">
        <f t="shared" si="0"/>
        <v>0</v>
      </c>
      <c r="D43" s="319">
        <f t="shared" ref="D43:O43" si="10">D25+D26+D27+D28+D29+D30+D33+D34+D41</f>
        <v>0</v>
      </c>
      <c r="E43" s="319">
        <f t="shared" si="10"/>
        <v>0</v>
      </c>
      <c r="F43" s="319">
        <f t="shared" si="10"/>
        <v>0</v>
      </c>
      <c r="G43" s="319">
        <f t="shared" si="10"/>
        <v>0</v>
      </c>
      <c r="H43" s="319">
        <f t="shared" si="10"/>
        <v>0</v>
      </c>
      <c r="I43" s="319">
        <f t="shared" si="10"/>
        <v>0</v>
      </c>
      <c r="J43" s="319">
        <f t="shared" si="10"/>
        <v>0</v>
      </c>
      <c r="K43" s="319">
        <f t="shared" si="10"/>
        <v>0</v>
      </c>
      <c r="L43" s="319">
        <f t="shared" si="10"/>
        <v>0</v>
      </c>
      <c r="M43" s="319">
        <f t="shared" si="10"/>
        <v>0</v>
      </c>
      <c r="N43" s="319">
        <f t="shared" si="10"/>
        <v>0</v>
      </c>
      <c r="O43" s="319">
        <f t="shared" si="10"/>
        <v>0</v>
      </c>
      <c r="P43" s="319">
        <f t="shared" si="2"/>
        <v>0</v>
      </c>
    </row>
    <row r="44" spans="1:16" x14ac:dyDescent="0.25">
      <c r="A44" s="322" t="s">
        <v>813</v>
      </c>
      <c r="B44" s="324"/>
      <c r="C44" s="322">
        <f t="shared" si="0"/>
        <v>0</v>
      </c>
      <c r="D44" s="322">
        <f t="shared" ref="D44:O44" si="11">D23+D43</f>
        <v>0</v>
      </c>
      <c r="E44" s="322">
        <f t="shared" si="11"/>
        <v>0</v>
      </c>
      <c r="F44" s="322">
        <f t="shared" si="11"/>
        <v>0</v>
      </c>
      <c r="G44" s="322">
        <f t="shared" si="11"/>
        <v>0</v>
      </c>
      <c r="H44" s="322">
        <f t="shared" si="11"/>
        <v>0</v>
      </c>
      <c r="I44" s="322">
        <f t="shared" si="11"/>
        <v>0</v>
      </c>
      <c r="J44" s="322">
        <f t="shared" si="11"/>
        <v>0</v>
      </c>
      <c r="K44" s="322">
        <f t="shared" si="11"/>
        <v>0</v>
      </c>
      <c r="L44" s="322">
        <f t="shared" si="11"/>
        <v>0</v>
      </c>
      <c r="M44" s="322">
        <f t="shared" si="11"/>
        <v>0</v>
      </c>
      <c r="N44" s="322">
        <f t="shared" si="11"/>
        <v>0</v>
      </c>
      <c r="O44" s="322">
        <f t="shared" si="11"/>
        <v>0</v>
      </c>
      <c r="P44" s="322">
        <f t="shared" si="2"/>
        <v>0</v>
      </c>
    </row>
    <row r="45" spans="1:16" x14ac:dyDescent="0.25">
      <c r="A45" s="320" t="s">
        <v>871</v>
      </c>
      <c r="B45" s="317"/>
      <c r="C45" s="319"/>
      <c r="D45" s="319"/>
      <c r="E45" s="319"/>
      <c r="F45" s="319"/>
      <c r="G45" s="319"/>
      <c r="H45" s="319"/>
      <c r="I45" s="319"/>
      <c r="J45" s="319"/>
      <c r="K45" s="319"/>
      <c r="L45" s="319"/>
      <c r="M45" s="319"/>
      <c r="N45" s="319"/>
      <c r="O45" s="319"/>
      <c r="P45" s="319">
        <f t="shared" si="2"/>
        <v>0</v>
      </c>
    </row>
    <row r="46" spans="1:16" x14ac:dyDescent="0.25">
      <c r="A46" s="320" t="s">
        <v>872</v>
      </c>
      <c r="B46" s="317"/>
      <c r="C46" s="319"/>
      <c r="D46" s="319"/>
      <c r="E46" s="319"/>
      <c r="F46" s="319"/>
      <c r="G46" s="319"/>
      <c r="H46" s="319"/>
      <c r="I46" s="319"/>
      <c r="J46" s="319"/>
      <c r="K46" s="319"/>
      <c r="L46" s="319"/>
      <c r="M46" s="319"/>
      <c r="N46" s="319"/>
      <c r="O46" s="319"/>
      <c r="P46" s="319">
        <f t="shared" si="2"/>
        <v>0</v>
      </c>
    </row>
    <row r="47" spans="1:16" s="171" customFormat="1" x14ac:dyDescent="0.25">
      <c r="A47" s="320" t="s">
        <v>873</v>
      </c>
      <c r="B47" s="317"/>
      <c r="C47" s="322">
        <f t="shared" ref="C47:C123" si="12">SUM(D47:O47)</f>
        <v>0</v>
      </c>
      <c r="D47" s="322">
        <f t="shared" ref="D47:O47" si="13">D48+D49</f>
        <v>0</v>
      </c>
      <c r="E47" s="322">
        <f t="shared" si="13"/>
        <v>0</v>
      </c>
      <c r="F47" s="322">
        <f t="shared" si="13"/>
        <v>0</v>
      </c>
      <c r="G47" s="322">
        <f t="shared" si="13"/>
        <v>0</v>
      </c>
      <c r="H47" s="322">
        <f t="shared" si="13"/>
        <v>0</v>
      </c>
      <c r="I47" s="322">
        <f t="shared" si="13"/>
        <v>0</v>
      </c>
      <c r="J47" s="322">
        <f t="shared" si="13"/>
        <v>0</v>
      </c>
      <c r="K47" s="322">
        <f t="shared" si="13"/>
        <v>0</v>
      </c>
      <c r="L47" s="322">
        <f t="shared" si="13"/>
        <v>0</v>
      </c>
      <c r="M47" s="322">
        <f t="shared" si="13"/>
        <v>0</v>
      </c>
      <c r="N47" s="322">
        <f t="shared" si="13"/>
        <v>0</v>
      </c>
      <c r="O47" s="322">
        <f t="shared" si="13"/>
        <v>0</v>
      </c>
      <c r="P47" s="322">
        <f t="shared" si="2"/>
        <v>0</v>
      </c>
    </row>
    <row r="48" spans="1:16" x14ac:dyDescent="0.25">
      <c r="A48" s="323" t="s">
        <v>874</v>
      </c>
      <c r="B48" s="317" t="s">
        <v>162</v>
      </c>
      <c r="C48" s="319">
        <f t="shared" si="12"/>
        <v>0</v>
      </c>
      <c r="D48" s="319">
        <f t="array" ref="D48">SUM(IF((Budget[Ofc Code]=$B$6)*(Budget[Account Code]=$B48)*(Budget[Date]=D$7),Budget[Amount]))</f>
        <v>0</v>
      </c>
      <c r="E48" s="319">
        <f t="array" ref="E48">SUM(IF((Budget[Ofc Code]=$B$6)*(Budget[Account Code]=$B48)*(Budget[Date]=E$7),Budget[Amount]))</f>
        <v>0</v>
      </c>
      <c r="F48" s="319">
        <f t="array" ref="F48">SUM(IF((Budget[Ofc Code]=$B$6)*(Budget[Account Code]=$B48)*(Budget[Date]=F$7),Budget[Amount]))</f>
        <v>0</v>
      </c>
      <c r="G48" s="319">
        <f t="array" ref="G48">SUM(IF((Budget[Ofc Code]=$B$6)*(Budget[Account Code]=$B48)*(Budget[Date]=G$7),Budget[Amount]))</f>
        <v>0</v>
      </c>
      <c r="H48" s="319">
        <f t="array" ref="H48">SUM(IF((Budget[Ofc Code]=$B$6)*(Budget[Account Code]=$B48)*(Budget[Date]=H$7),Budget[Amount]))</f>
        <v>0</v>
      </c>
      <c r="I48" s="319">
        <f t="array" ref="I48">SUM(IF((Budget[Ofc Code]=$B$6)*(Budget[Account Code]=$B48)*(Budget[Date]=I$7),Budget[Amount]))</f>
        <v>0</v>
      </c>
      <c r="J48" s="319">
        <f t="array" ref="J48">SUM(IF((Budget[Ofc Code]=$B$6)*(Budget[Account Code]=$B48)*(Budget[Date]=J$7),Budget[Amount]))</f>
        <v>0</v>
      </c>
      <c r="K48" s="319">
        <f t="array" ref="K48">SUM(IF((Budget[Ofc Code]=$B$6)*(Budget[Account Code]=$B48)*(Budget[Date]=K$7),Budget[Amount]))</f>
        <v>0</v>
      </c>
      <c r="L48" s="319">
        <f t="array" ref="L48">SUM(IF((Budget[Ofc Code]=$B$6)*(Budget[Account Code]=$B48)*(Budget[Date]=L$7),Budget[Amount]))</f>
        <v>0</v>
      </c>
      <c r="M48" s="319">
        <f t="array" ref="M48">SUM(IF((Budget[Ofc Code]=$B$6)*(Budget[Account Code]=$B48)*(Budget[Date]=M$7),Budget[Amount]))</f>
        <v>0</v>
      </c>
      <c r="N48" s="319">
        <f t="array" ref="N48">SUM(IF((Budget[Ofc Code]=$B$6)*(Budget[Account Code]=$B48)*(Budget[Date]=N$7),Budget[Amount]))</f>
        <v>0</v>
      </c>
      <c r="O48" s="319">
        <f t="array" ref="O48">SUM(IF((Budget[Ofc Code]=$B$6)*(Budget[Account Code]=$B48)*(Budget[Date]=O$7),Budget[Amount]))</f>
        <v>0</v>
      </c>
      <c r="P48" s="319">
        <f t="shared" si="2"/>
        <v>0</v>
      </c>
    </row>
    <row r="49" spans="1:16" x14ac:dyDescent="0.25">
      <c r="A49" s="323" t="s">
        <v>875</v>
      </c>
      <c r="B49" s="317" t="s">
        <v>163</v>
      </c>
      <c r="C49" s="319">
        <f t="shared" si="12"/>
        <v>0</v>
      </c>
      <c r="D49" s="319">
        <f t="array" ref="D49">SUM(IF((Budget[Ofc Code]=$B$6)*(Budget[Account Code]=$B49)*(Budget[Date]=D$7),Budget[Amount]))</f>
        <v>0</v>
      </c>
      <c r="E49" s="319">
        <f t="array" ref="E49">SUM(IF((Budget[Ofc Code]=$B$6)*(Budget[Account Code]=$B49)*(Budget[Date]=E$7),Budget[Amount]))</f>
        <v>0</v>
      </c>
      <c r="F49" s="319">
        <f t="array" ref="F49">SUM(IF((Budget[Ofc Code]=$B$6)*(Budget[Account Code]=$B49)*(Budget[Date]=F$7),Budget[Amount]))</f>
        <v>0</v>
      </c>
      <c r="G49" s="319">
        <f t="array" ref="G49">SUM(IF((Budget[Ofc Code]=$B$6)*(Budget[Account Code]=$B49)*(Budget[Date]=G$7),Budget[Amount]))</f>
        <v>0</v>
      </c>
      <c r="H49" s="319">
        <f t="array" ref="H49">SUM(IF((Budget[Ofc Code]=$B$6)*(Budget[Account Code]=$B49)*(Budget[Date]=H$7),Budget[Amount]))</f>
        <v>0</v>
      </c>
      <c r="I49" s="319">
        <f t="array" ref="I49">SUM(IF((Budget[Ofc Code]=$B$6)*(Budget[Account Code]=$B49)*(Budget[Date]=I$7),Budget[Amount]))</f>
        <v>0</v>
      </c>
      <c r="J49" s="319">
        <f t="array" ref="J49">SUM(IF((Budget[Ofc Code]=$B$6)*(Budget[Account Code]=$B49)*(Budget[Date]=J$7),Budget[Amount]))</f>
        <v>0</v>
      </c>
      <c r="K49" s="319">
        <f t="array" ref="K49">SUM(IF((Budget[Ofc Code]=$B$6)*(Budget[Account Code]=$B49)*(Budget[Date]=K$7),Budget[Amount]))</f>
        <v>0</v>
      </c>
      <c r="L49" s="319">
        <f t="array" ref="L49">SUM(IF((Budget[Ofc Code]=$B$6)*(Budget[Account Code]=$B49)*(Budget[Date]=L$7),Budget[Amount]))</f>
        <v>0</v>
      </c>
      <c r="M49" s="319">
        <f t="array" ref="M49">SUM(IF((Budget[Ofc Code]=$B$6)*(Budget[Account Code]=$B49)*(Budget[Date]=M$7),Budget[Amount]))</f>
        <v>0</v>
      </c>
      <c r="N49" s="319">
        <f t="array" ref="N49">SUM(IF((Budget[Ofc Code]=$B$6)*(Budget[Account Code]=$B49)*(Budget[Date]=N$7),Budget[Amount]))</f>
        <v>0</v>
      </c>
      <c r="O49" s="319">
        <f t="array" ref="O49">SUM(IF((Budget[Ofc Code]=$B$6)*(Budget[Account Code]=$B49)*(Budget[Date]=O$7),Budget[Amount]))</f>
        <v>0</v>
      </c>
      <c r="P49" s="319">
        <f t="shared" si="2"/>
        <v>0</v>
      </c>
    </row>
    <row r="50" spans="1:16" s="171" customFormat="1" x14ac:dyDescent="0.25">
      <c r="A50" s="320" t="s">
        <v>876</v>
      </c>
      <c r="B50" s="317"/>
      <c r="C50" s="322">
        <f t="shared" si="12"/>
        <v>0</v>
      </c>
      <c r="D50" s="322">
        <f>SUM(D51:D64)</f>
        <v>0</v>
      </c>
      <c r="E50" s="322">
        <f t="shared" ref="E50:O50" si="14">SUM(E51:E64)</f>
        <v>0</v>
      </c>
      <c r="F50" s="322">
        <f t="shared" si="14"/>
        <v>0</v>
      </c>
      <c r="G50" s="322">
        <f t="shared" si="14"/>
        <v>0</v>
      </c>
      <c r="H50" s="322">
        <f t="shared" si="14"/>
        <v>0</v>
      </c>
      <c r="I50" s="322">
        <f t="shared" si="14"/>
        <v>0</v>
      </c>
      <c r="J50" s="322">
        <f t="shared" si="14"/>
        <v>0</v>
      </c>
      <c r="K50" s="322">
        <f t="shared" si="14"/>
        <v>0</v>
      </c>
      <c r="L50" s="322">
        <f t="shared" si="14"/>
        <v>0</v>
      </c>
      <c r="M50" s="322">
        <f t="shared" si="14"/>
        <v>0</v>
      </c>
      <c r="N50" s="322">
        <f t="shared" si="14"/>
        <v>0</v>
      </c>
      <c r="O50" s="322">
        <f t="shared" si="14"/>
        <v>0</v>
      </c>
      <c r="P50" s="322">
        <f t="shared" si="2"/>
        <v>0</v>
      </c>
    </row>
    <row r="51" spans="1:16" x14ac:dyDescent="0.25">
      <c r="A51" s="325" t="s">
        <v>877</v>
      </c>
      <c r="B51" s="317" t="s">
        <v>164</v>
      </c>
      <c r="C51" s="319">
        <f t="shared" si="12"/>
        <v>0</v>
      </c>
      <c r="D51" s="319">
        <f t="array" ref="D51">SUM(IF((Budget[Ofc Code]=$B$6)*(Budget[Account Code]=$B51)*(Budget[Date]=D$7),Budget[Amount]))</f>
        <v>0</v>
      </c>
      <c r="E51" s="319">
        <f t="array" ref="E51">SUM(IF((Budget[Ofc Code]=$B$6)*(Budget[Account Code]=$B51)*(Budget[Date]=E$7),Budget[Amount]))</f>
        <v>0</v>
      </c>
      <c r="F51" s="319">
        <f t="array" ref="F51">SUM(IF((Budget[Ofc Code]=$B$6)*(Budget[Account Code]=$B51)*(Budget[Date]=F$7),Budget[Amount]))</f>
        <v>0</v>
      </c>
      <c r="G51" s="319">
        <f t="array" ref="G51">SUM(IF((Budget[Ofc Code]=$B$6)*(Budget[Account Code]=$B51)*(Budget[Date]=G$7),Budget[Amount]))</f>
        <v>0</v>
      </c>
      <c r="H51" s="319">
        <f t="array" ref="H51">SUM(IF((Budget[Ofc Code]=$B$6)*(Budget[Account Code]=$B51)*(Budget[Date]=H$7),Budget[Amount]))</f>
        <v>0</v>
      </c>
      <c r="I51" s="319">
        <f t="array" ref="I51">SUM(IF((Budget[Ofc Code]=$B$6)*(Budget[Account Code]=$B51)*(Budget[Date]=I$7),Budget[Amount]))</f>
        <v>0</v>
      </c>
      <c r="J51" s="319">
        <f t="array" ref="J51">SUM(IF((Budget[Ofc Code]=$B$6)*(Budget[Account Code]=$B51)*(Budget[Date]=J$7),Budget[Amount]))</f>
        <v>0</v>
      </c>
      <c r="K51" s="319">
        <f t="array" ref="K51">SUM(IF((Budget[Ofc Code]=$B$6)*(Budget[Account Code]=$B51)*(Budget[Date]=K$7),Budget[Amount]))</f>
        <v>0</v>
      </c>
      <c r="L51" s="319">
        <f t="array" ref="L51">SUM(IF((Budget[Ofc Code]=$B$6)*(Budget[Account Code]=$B51)*(Budget[Date]=L$7),Budget[Amount]))</f>
        <v>0</v>
      </c>
      <c r="M51" s="319">
        <f t="array" ref="M51">SUM(IF((Budget[Ofc Code]=$B$6)*(Budget[Account Code]=$B51)*(Budget[Date]=M$7),Budget[Amount]))</f>
        <v>0</v>
      </c>
      <c r="N51" s="319">
        <f t="array" ref="N51">SUM(IF((Budget[Ofc Code]=$B$6)*(Budget[Account Code]=$B51)*(Budget[Date]=N$7),Budget[Amount]))</f>
        <v>0</v>
      </c>
      <c r="O51" s="319">
        <f t="array" ref="O51">SUM(IF((Budget[Ofc Code]=$B$6)*(Budget[Account Code]=$B51)*(Budget[Date]=O$7),Budget[Amount]))</f>
        <v>0</v>
      </c>
      <c r="P51" s="319">
        <f t="shared" si="2"/>
        <v>0</v>
      </c>
    </row>
    <row r="52" spans="1:16" x14ac:dyDescent="0.25">
      <c r="A52" s="325" t="s">
        <v>878</v>
      </c>
      <c r="B52" s="317" t="s">
        <v>165</v>
      </c>
      <c r="C52" s="319">
        <f t="shared" si="12"/>
        <v>0</v>
      </c>
      <c r="D52" s="319">
        <f t="array" ref="D52">SUM(IF((Budget[Ofc Code]=$B$6)*(Budget[Account Code]=$B52)*(Budget[Date]=D$7),Budget[Amount]))</f>
        <v>0</v>
      </c>
      <c r="E52" s="319">
        <f t="array" ref="E52">SUM(IF((Budget[Ofc Code]=$B$6)*(Budget[Account Code]=$B52)*(Budget[Date]=E$7),Budget[Amount]))</f>
        <v>0</v>
      </c>
      <c r="F52" s="319">
        <f t="array" ref="F52">SUM(IF((Budget[Ofc Code]=$B$6)*(Budget[Account Code]=$B52)*(Budget[Date]=F$7),Budget[Amount]))</f>
        <v>0</v>
      </c>
      <c r="G52" s="319">
        <f t="array" ref="G52">SUM(IF((Budget[Ofc Code]=$B$6)*(Budget[Account Code]=$B52)*(Budget[Date]=G$7),Budget[Amount]))</f>
        <v>0</v>
      </c>
      <c r="H52" s="319">
        <f t="array" ref="H52">SUM(IF((Budget[Ofc Code]=$B$6)*(Budget[Account Code]=$B52)*(Budget[Date]=H$7),Budget[Amount]))</f>
        <v>0</v>
      </c>
      <c r="I52" s="319">
        <f t="array" ref="I52">SUM(IF((Budget[Ofc Code]=$B$6)*(Budget[Account Code]=$B52)*(Budget[Date]=I$7),Budget[Amount]))</f>
        <v>0</v>
      </c>
      <c r="J52" s="319">
        <f t="array" ref="J52">SUM(IF((Budget[Ofc Code]=$B$6)*(Budget[Account Code]=$B52)*(Budget[Date]=J$7),Budget[Amount]))</f>
        <v>0</v>
      </c>
      <c r="K52" s="319">
        <f t="array" ref="K52">SUM(IF((Budget[Ofc Code]=$B$6)*(Budget[Account Code]=$B52)*(Budget[Date]=K$7),Budget[Amount]))</f>
        <v>0</v>
      </c>
      <c r="L52" s="319">
        <f t="array" ref="L52">SUM(IF((Budget[Ofc Code]=$B$6)*(Budget[Account Code]=$B52)*(Budget[Date]=L$7),Budget[Amount]))</f>
        <v>0</v>
      </c>
      <c r="M52" s="319">
        <f t="array" ref="M52">SUM(IF((Budget[Ofc Code]=$B$6)*(Budget[Account Code]=$B52)*(Budget[Date]=M$7),Budget[Amount]))</f>
        <v>0</v>
      </c>
      <c r="N52" s="319">
        <f t="array" ref="N52">SUM(IF((Budget[Ofc Code]=$B$6)*(Budget[Account Code]=$B52)*(Budget[Date]=N$7),Budget[Amount]))</f>
        <v>0</v>
      </c>
      <c r="O52" s="319">
        <f t="array" ref="O52">SUM(IF((Budget[Ofc Code]=$B$6)*(Budget[Account Code]=$B52)*(Budget[Date]=O$7),Budget[Amount]))</f>
        <v>0</v>
      </c>
      <c r="P52" s="319">
        <f t="shared" si="2"/>
        <v>0</v>
      </c>
    </row>
    <row r="53" spans="1:16" x14ac:dyDescent="0.25">
      <c r="A53" s="325" t="s">
        <v>879</v>
      </c>
      <c r="B53" s="317" t="s">
        <v>166</v>
      </c>
      <c r="C53" s="319">
        <f t="shared" si="12"/>
        <v>0</v>
      </c>
      <c r="D53" s="319">
        <f t="array" ref="D53">SUM(IF((Budget[Ofc Code]=$B$6)*(Budget[Account Code]=$B53)*(Budget[Date]=D$7),Budget[Amount]))</f>
        <v>0</v>
      </c>
      <c r="E53" s="319">
        <f t="array" ref="E53">SUM(IF((Budget[Ofc Code]=$B$6)*(Budget[Account Code]=$B53)*(Budget[Date]=E$7),Budget[Amount]))</f>
        <v>0</v>
      </c>
      <c r="F53" s="319">
        <f t="array" ref="F53">SUM(IF((Budget[Ofc Code]=$B$6)*(Budget[Account Code]=$B53)*(Budget[Date]=F$7),Budget[Amount]))</f>
        <v>0</v>
      </c>
      <c r="G53" s="319">
        <f t="array" ref="G53">SUM(IF((Budget[Ofc Code]=$B$6)*(Budget[Account Code]=$B53)*(Budget[Date]=G$7),Budget[Amount]))</f>
        <v>0</v>
      </c>
      <c r="H53" s="319">
        <f t="array" ref="H53">SUM(IF((Budget[Ofc Code]=$B$6)*(Budget[Account Code]=$B53)*(Budget[Date]=H$7),Budget[Amount]))</f>
        <v>0</v>
      </c>
      <c r="I53" s="319">
        <f t="array" ref="I53">SUM(IF((Budget[Ofc Code]=$B$6)*(Budget[Account Code]=$B53)*(Budget[Date]=I$7),Budget[Amount]))</f>
        <v>0</v>
      </c>
      <c r="J53" s="319">
        <f t="array" ref="J53">SUM(IF((Budget[Ofc Code]=$B$6)*(Budget[Account Code]=$B53)*(Budget[Date]=J$7),Budget[Amount]))</f>
        <v>0</v>
      </c>
      <c r="K53" s="319">
        <f t="array" ref="K53">SUM(IF((Budget[Ofc Code]=$B$6)*(Budget[Account Code]=$B53)*(Budget[Date]=K$7),Budget[Amount]))</f>
        <v>0</v>
      </c>
      <c r="L53" s="319">
        <f t="array" ref="L53">SUM(IF((Budget[Ofc Code]=$B$6)*(Budget[Account Code]=$B53)*(Budget[Date]=L$7),Budget[Amount]))</f>
        <v>0</v>
      </c>
      <c r="M53" s="319">
        <f t="array" ref="M53">SUM(IF((Budget[Ofc Code]=$B$6)*(Budget[Account Code]=$B53)*(Budget[Date]=M$7),Budget[Amount]))</f>
        <v>0</v>
      </c>
      <c r="N53" s="319">
        <f t="array" ref="N53">SUM(IF((Budget[Ofc Code]=$B$6)*(Budget[Account Code]=$B53)*(Budget[Date]=N$7),Budget[Amount]))</f>
        <v>0</v>
      </c>
      <c r="O53" s="319">
        <f t="array" ref="O53">SUM(IF((Budget[Ofc Code]=$B$6)*(Budget[Account Code]=$B53)*(Budget[Date]=O$7),Budget[Amount]))</f>
        <v>0</v>
      </c>
      <c r="P53" s="319">
        <f t="shared" si="2"/>
        <v>0</v>
      </c>
    </row>
    <row r="54" spans="1:16" x14ac:dyDescent="0.25">
      <c r="A54" s="325" t="s">
        <v>880</v>
      </c>
      <c r="B54" s="317" t="s">
        <v>167</v>
      </c>
      <c r="C54" s="319">
        <f t="shared" si="12"/>
        <v>0</v>
      </c>
      <c r="D54" s="319">
        <f t="array" ref="D54">SUM(IF((Budget[Ofc Code]=$B$6)*(Budget[Account Code]=$B54)*(Budget[Date]=D$7),Budget[Amount]))</f>
        <v>0</v>
      </c>
      <c r="E54" s="319">
        <f t="array" ref="E54">SUM(IF((Budget[Ofc Code]=$B$6)*(Budget[Account Code]=$B54)*(Budget[Date]=E$7),Budget[Amount]))</f>
        <v>0</v>
      </c>
      <c r="F54" s="319">
        <f t="array" ref="F54">SUM(IF((Budget[Ofc Code]=$B$6)*(Budget[Account Code]=$B54)*(Budget[Date]=F$7),Budget[Amount]))</f>
        <v>0</v>
      </c>
      <c r="G54" s="319">
        <f t="array" ref="G54">SUM(IF((Budget[Ofc Code]=$B$6)*(Budget[Account Code]=$B54)*(Budget[Date]=G$7),Budget[Amount]))</f>
        <v>0</v>
      </c>
      <c r="H54" s="319">
        <f t="array" ref="H54">SUM(IF((Budget[Ofc Code]=$B$6)*(Budget[Account Code]=$B54)*(Budget[Date]=H$7),Budget[Amount]))</f>
        <v>0</v>
      </c>
      <c r="I54" s="319">
        <f t="array" ref="I54">SUM(IF((Budget[Ofc Code]=$B$6)*(Budget[Account Code]=$B54)*(Budget[Date]=I$7),Budget[Amount]))</f>
        <v>0</v>
      </c>
      <c r="J54" s="319">
        <f t="array" ref="J54">SUM(IF((Budget[Ofc Code]=$B$6)*(Budget[Account Code]=$B54)*(Budget[Date]=J$7),Budget[Amount]))</f>
        <v>0</v>
      </c>
      <c r="K54" s="319">
        <f t="array" ref="K54">SUM(IF((Budget[Ofc Code]=$B$6)*(Budget[Account Code]=$B54)*(Budget[Date]=K$7),Budget[Amount]))</f>
        <v>0</v>
      </c>
      <c r="L54" s="319">
        <f t="array" ref="L54">SUM(IF((Budget[Ofc Code]=$B$6)*(Budget[Account Code]=$B54)*(Budget[Date]=L$7),Budget[Amount]))</f>
        <v>0</v>
      </c>
      <c r="M54" s="319">
        <f t="array" ref="M54">SUM(IF((Budget[Ofc Code]=$B$6)*(Budget[Account Code]=$B54)*(Budget[Date]=M$7),Budget[Amount]))</f>
        <v>0</v>
      </c>
      <c r="N54" s="319">
        <f t="array" ref="N54">SUM(IF((Budget[Ofc Code]=$B$6)*(Budget[Account Code]=$B54)*(Budget[Date]=N$7),Budget[Amount]))</f>
        <v>0</v>
      </c>
      <c r="O54" s="319">
        <f t="array" ref="O54">SUM(IF((Budget[Ofc Code]=$B$6)*(Budget[Account Code]=$B54)*(Budget[Date]=O$7),Budget[Amount]))</f>
        <v>0</v>
      </c>
      <c r="P54" s="319">
        <f t="shared" si="2"/>
        <v>0</v>
      </c>
    </row>
    <row r="55" spans="1:16" x14ac:dyDescent="0.25">
      <c r="A55" s="325" t="s">
        <v>881</v>
      </c>
      <c r="B55" s="317" t="s">
        <v>171</v>
      </c>
      <c r="C55" s="319">
        <f t="shared" si="12"/>
        <v>0</v>
      </c>
      <c r="D55" s="319">
        <f t="array" ref="D55">SUM(IF((Budget[Ofc Code]=$B$6)*(Budget[Account Code]=$B55)*(Budget[Date]=D$7),Budget[Amount]))</f>
        <v>0</v>
      </c>
      <c r="E55" s="319">
        <f t="array" ref="E55">SUM(IF((Budget[Ofc Code]=$B$6)*(Budget[Account Code]=$B55)*(Budget[Date]=E$7),Budget[Amount]))</f>
        <v>0</v>
      </c>
      <c r="F55" s="319">
        <f t="array" ref="F55">SUM(IF((Budget[Ofc Code]=$B$6)*(Budget[Account Code]=$B55)*(Budget[Date]=F$7),Budget[Amount]))</f>
        <v>0</v>
      </c>
      <c r="G55" s="319">
        <f t="array" ref="G55">SUM(IF((Budget[Ofc Code]=$B$6)*(Budget[Account Code]=$B55)*(Budget[Date]=G$7),Budget[Amount]))</f>
        <v>0</v>
      </c>
      <c r="H55" s="319">
        <f t="array" ref="H55">SUM(IF((Budget[Ofc Code]=$B$6)*(Budget[Account Code]=$B55)*(Budget[Date]=H$7),Budget[Amount]))</f>
        <v>0</v>
      </c>
      <c r="I55" s="319">
        <f t="array" ref="I55">SUM(IF((Budget[Ofc Code]=$B$6)*(Budget[Account Code]=$B55)*(Budget[Date]=I$7),Budget[Amount]))</f>
        <v>0</v>
      </c>
      <c r="J55" s="319">
        <f t="array" ref="J55">SUM(IF((Budget[Ofc Code]=$B$6)*(Budget[Account Code]=$B55)*(Budget[Date]=J$7),Budget[Amount]))</f>
        <v>0</v>
      </c>
      <c r="K55" s="319">
        <f t="array" ref="K55">SUM(IF((Budget[Ofc Code]=$B$6)*(Budget[Account Code]=$B55)*(Budget[Date]=K$7),Budget[Amount]))</f>
        <v>0</v>
      </c>
      <c r="L55" s="319">
        <f t="array" ref="L55">SUM(IF((Budget[Ofc Code]=$B$6)*(Budget[Account Code]=$B55)*(Budget[Date]=L$7),Budget[Amount]))</f>
        <v>0</v>
      </c>
      <c r="M55" s="319">
        <f t="array" ref="M55">SUM(IF((Budget[Ofc Code]=$B$6)*(Budget[Account Code]=$B55)*(Budget[Date]=M$7),Budget[Amount]))</f>
        <v>0</v>
      </c>
      <c r="N55" s="319">
        <f t="array" ref="N55">SUM(IF((Budget[Ofc Code]=$B$6)*(Budget[Account Code]=$B55)*(Budget[Date]=N$7),Budget[Amount]))</f>
        <v>0</v>
      </c>
      <c r="O55" s="319">
        <f t="array" ref="O55">SUM(IF((Budget[Ofc Code]=$B$6)*(Budget[Account Code]=$B55)*(Budget[Date]=O$7),Budget[Amount]))</f>
        <v>0</v>
      </c>
      <c r="P55" s="319">
        <f t="shared" si="2"/>
        <v>0</v>
      </c>
    </row>
    <row r="56" spans="1:16" x14ac:dyDescent="0.25">
      <c r="A56" s="325" t="s">
        <v>882</v>
      </c>
      <c r="B56" s="317" t="s">
        <v>173</v>
      </c>
      <c r="C56" s="319">
        <f t="shared" si="12"/>
        <v>0</v>
      </c>
      <c r="D56" s="319">
        <f t="array" ref="D56">SUM(IF((Budget[Ofc Code]=$B$6)*(Budget[Account Code]=$B56)*(Budget[Date]=D$7),Budget[Amount]))</f>
        <v>0</v>
      </c>
      <c r="E56" s="319">
        <f t="array" ref="E56">SUM(IF((Budget[Ofc Code]=$B$6)*(Budget[Account Code]=$B56)*(Budget[Date]=E$7),Budget[Amount]))</f>
        <v>0</v>
      </c>
      <c r="F56" s="319">
        <f t="array" ref="F56">SUM(IF((Budget[Ofc Code]=$B$6)*(Budget[Account Code]=$B56)*(Budget[Date]=F$7),Budget[Amount]))</f>
        <v>0</v>
      </c>
      <c r="G56" s="319">
        <f t="array" ref="G56">SUM(IF((Budget[Ofc Code]=$B$6)*(Budget[Account Code]=$B56)*(Budget[Date]=G$7),Budget[Amount]))</f>
        <v>0</v>
      </c>
      <c r="H56" s="319">
        <f t="array" ref="H56">SUM(IF((Budget[Ofc Code]=$B$6)*(Budget[Account Code]=$B56)*(Budget[Date]=H$7),Budget[Amount]))</f>
        <v>0</v>
      </c>
      <c r="I56" s="319">
        <f t="array" ref="I56">SUM(IF((Budget[Ofc Code]=$B$6)*(Budget[Account Code]=$B56)*(Budget[Date]=I$7),Budget[Amount]))</f>
        <v>0</v>
      </c>
      <c r="J56" s="319">
        <f t="array" ref="J56">SUM(IF((Budget[Ofc Code]=$B$6)*(Budget[Account Code]=$B56)*(Budget[Date]=J$7),Budget[Amount]))</f>
        <v>0</v>
      </c>
      <c r="K56" s="319">
        <f t="array" ref="K56">SUM(IF((Budget[Ofc Code]=$B$6)*(Budget[Account Code]=$B56)*(Budget[Date]=K$7),Budget[Amount]))</f>
        <v>0</v>
      </c>
      <c r="L56" s="319">
        <f t="array" ref="L56">SUM(IF((Budget[Ofc Code]=$B$6)*(Budget[Account Code]=$B56)*(Budget[Date]=L$7),Budget[Amount]))</f>
        <v>0</v>
      </c>
      <c r="M56" s="319">
        <f t="array" ref="M56">SUM(IF((Budget[Ofc Code]=$B$6)*(Budget[Account Code]=$B56)*(Budget[Date]=M$7),Budget[Amount]))</f>
        <v>0</v>
      </c>
      <c r="N56" s="319">
        <f t="array" ref="N56">SUM(IF((Budget[Ofc Code]=$B$6)*(Budget[Account Code]=$B56)*(Budget[Date]=N$7),Budget[Amount]))</f>
        <v>0</v>
      </c>
      <c r="O56" s="319">
        <f t="array" ref="O56">SUM(IF((Budget[Ofc Code]=$B$6)*(Budget[Account Code]=$B56)*(Budget[Date]=O$7),Budget[Amount]))</f>
        <v>0</v>
      </c>
      <c r="P56" s="319">
        <f t="shared" si="2"/>
        <v>0</v>
      </c>
    </row>
    <row r="57" spans="1:16" x14ac:dyDescent="0.25">
      <c r="A57" s="325" t="s">
        <v>883</v>
      </c>
      <c r="B57" s="317" t="s">
        <v>7</v>
      </c>
      <c r="C57" s="319">
        <f t="shared" si="12"/>
        <v>0</v>
      </c>
      <c r="D57" s="319">
        <f t="array" ref="D57">SUM(IF((Budget[Ofc Code]=$B$6)*(Budget[Account Code]=$B57)*(Budget[Date]=D$7),Budget[Amount]))</f>
        <v>0</v>
      </c>
      <c r="E57" s="319">
        <f t="array" ref="E57">SUM(IF((Budget[Ofc Code]=$B$6)*(Budget[Account Code]=$B57)*(Budget[Date]=E$7),Budget[Amount]))</f>
        <v>0</v>
      </c>
      <c r="F57" s="319">
        <f t="array" ref="F57">SUM(IF((Budget[Ofc Code]=$B$6)*(Budget[Account Code]=$B57)*(Budget[Date]=F$7),Budget[Amount]))</f>
        <v>0</v>
      </c>
      <c r="G57" s="319">
        <f t="array" ref="G57">SUM(IF((Budget[Ofc Code]=$B$6)*(Budget[Account Code]=$B57)*(Budget[Date]=G$7),Budget[Amount]))</f>
        <v>0</v>
      </c>
      <c r="H57" s="319">
        <f t="array" ref="H57">SUM(IF((Budget[Ofc Code]=$B$6)*(Budget[Account Code]=$B57)*(Budget[Date]=H$7),Budget[Amount]))</f>
        <v>0</v>
      </c>
      <c r="I57" s="319">
        <f t="array" ref="I57">SUM(IF((Budget[Ofc Code]=$B$6)*(Budget[Account Code]=$B57)*(Budget[Date]=I$7),Budget[Amount]))</f>
        <v>0</v>
      </c>
      <c r="J57" s="319">
        <f t="array" ref="J57">SUM(IF((Budget[Ofc Code]=$B$6)*(Budget[Account Code]=$B57)*(Budget[Date]=J$7),Budget[Amount]))</f>
        <v>0</v>
      </c>
      <c r="K57" s="319">
        <f t="array" ref="K57">SUM(IF((Budget[Ofc Code]=$B$6)*(Budget[Account Code]=$B57)*(Budget[Date]=K$7),Budget[Amount]))</f>
        <v>0</v>
      </c>
      <c r="L57" s="319">
        <f t="array" ref="L57">SUM(IF((Budget[Ofc Code]=$B$6)*(Budget[Account Code]=$B57)*(Budget[Date]=L$7),Budget[Amount]))</f>
        <v>0</v>
      </c>
      <c r="M57" s="319">
        <f t="array" ref="M57">SUM(IF((Budget[Ofc Code]=$B$6)*(Budget[Account Code]=$B57)*(Budget[Date]=M$7),Budget[Amount]))</f>
        <v>0</v>
      </c>
      <c r="N57" s="319">
        <f t="array" ref="N57">SUM(IF((Budget[Ofc Code]=$B$6)*(Budget[Account Code]=$B57)*(Budget[Date]=N$7),Budget[Amount]))</f>
        <v>0</v>
      </c>
      <c r="O57" s="319">
        <f t="array" ref="O57">SUM(IF((Budget[Ofc Code]=$B$6)*(Budget[Account Code]=$B57)*(Budget[Date]=O$7),Budget[Amount]))</f>
        <v>0</v>
      </c>
      <c r="P57" s="319">
        <f t="shared" si="2"/>
        <v>0</v>
      </c>
    </row>
    <row r="58" spans="1:16" x14ac:dyDescent="0.25">
      <c r="A58" s="325" t="s">
        <v>884</v>
      </c>
      <c r="B58" s="317" t="s">
        <v>5</v>
      </c>
      <c r="C58" s="319">
        <f t="shared" si="12"/>
        <v>0</v>
      </c>
      <c r="D58" s="319">
        <f t="array" ref="D58">SUM(IF((Budget[Ofc Code]=$B$6)*(Budget[Account Code]=$B58)*(Budget[Date]=D$7),Budget[Amount]))</f>
        <v>0</v>
      </c>
      <c r="E58" s="319">
        <f t="array" ref="E58">SUM(IF((Budget[Ofc Code]=$B$6)*(Budget[Account Code]=$B58)*(Budget[Date]=E$7),Budget[Amount]))</f>
        <v>0</v>
      </c>
      <c r="F58" s="319">
        <f t="array" ref="F58">SUM(IF((Budget[Ofc Code]=$B$6)*(Budget[Account Code]=$B58)*(Budget[Date]=F$7),Budget[Amount]))</f>
        <v>0</v>
      </c>
      <c r="G58" s="319">
        <f t="array" ref="G58">SUM(IF((Budget[Ofc Code]=$B$6)*(Budget[Account Code]=$B58)*(Budget[Date]=G$7),Budget[Amount]))</f>
        <v>0</v>
      </c>
      <c r="H58" s="319">
        <f t="array" ref="H58">SUM(IF((Budget[Ofc Code]=$B$6)*(Budget[Account Code]=$B58)*(Budget[Date]=H$7),Budget[Amount]))</f>
        <v>0</v>
      </c>
      <c r="I58" s="319">
        <f t="array" ref="I58">SUM(IF((Budget[Ofc Code]=$B$6)*(Budget[Account Code]=$B58)*(Budget[Date]=I$7),Budget[Amount]))</f>
        <v>0</v>
      </c>
      <c r="J58" s="319">
        <f t="array" ref="J58">SUM(IF((Budget[Ofc Code]=$B$6)*(Budget[Account Code]=$B58)*(Budget[Date]=J$7),Budget[Amount]))</f>
        <v>0</v>
      </c>
      <c r="K58" s="319">
        <f t="array" ref="K58">SUM(IF((Budget[Ofc Code]=$B$6)*(Budget[Account Code]=$B58)*(Budget[Date]=K$7),Budget[Amount]))</f>
        <v>0</v>
      </c>
      <c r="L58" s="319">
        <f t="array" ref="L58">SUM(IF((Budget[Ofc Code]=$B$6)*(Budget[Account Code]=$B58)*(Budget[Date]=L$7),Budget[Amount]))</f>
        <v>0</v>
      </c>
      <c r="M58" s="319">
        <f t="array" ref="M58">SUM(IF((Budget[Ofc Code]=$B$6)*(Budget[Account Code]=$B58)*(Budget[Date]=M$7),Budget[Amount]))</f>
        <v>0</v>
      </c>
      <c r="N58" s="319">
        <f t="array" ref="N58">SUM(IF((Budget[Ofc Code]=$B$6)*(Budget[Account Code]=$B58)*(Budget[Date]=N$7),Budget[Amount]))</f>
        <v>0</v>
      </c>
      <c r="O58" s="319">
        <f t="array" ref="O58">SUM(IF((Budget[Ofc Code]=$B$6)*(Budget[Account Code]=$B58)*(Budget[Date]=O$7),Budget[Amount]))</f>
        <v>0</v>
      </c>
      <c r="P58" s="319">
        <f t="shared" si="2"/>
        <v>0</v>
      </c>
    </row>
    <row r="59" spans="1:16" x14ac:dyDescent="0.25">
      <c r="A59" s="325" t="s">
        <v>885</v>
      </c>
      <c r="B59" s="317" t="s">
        <v>6</v>
      </c>
      <c r="C59" s="319">
        <f t="shared" si="12"/>
        <v>0</v>
      </c>
      <c r="D59" s="319">
        <f t="array" ref="D59">SUM(IF((Budget[Ofc Code]=$B$6)*(Budget[Account Code]=$B59)*(Budget[Date]=D$7),Budget[Amount]))</f>
        <v>0</v>
      </c>
      <c r="E59" s="319">
        <f t="array" ref="E59">SUM(IF((Budget[Ofc Code]=$B$6)*(Budget[Account Code]=$B59)*(Budget[Date]=E$7),Budget[Amount]))</f>
        <v>0</v>
      </c>
      <c r="F59" s="319">
        <f t="array" ref="F59">SUM(IF((Budget[Ofc Code]=$B$6)*(Budget[Account Code]=$B59)*(Budget[Date]=F$7),Budget[Amount]))</f>
        <v>0</v>
      </c>
      <c r="G59" s="319">
        <f t="array" ref="G59">SUM(IF((Budget[Ofc Code]=$B$6)*(Budget[Account Code]=$B59)*(Budget[Date]=G$7),Budget[Amount]))</f>
        <v>0</v>
      </c>
      <c r="H59" s="319">
        <f t="array" ref="H59">SUM(IF((Budget[Ofc Code]=$B$6)*(Budget[Account Code]=$B59)*(Budget[Date]=H$7),Budget[Amount]))</f>
        <v>0</v>
      </c>
      <c r="I59" s="319">
        <f t="array" ref="I59">SUM(IF((Budget[Ofc Code]=$B$6)*(Budget[Account Code]=$B59)*(Budget[Date]=I$7),Budget[Amount]))</f>
        <v>0</v>
      </c>
      <c r="J59" s="319">
        <f t="array" ref="J59">SUM(IF((Budget[Ofc Code]=$B$6)*(Budget[Account Code]=$B59)*(Budget[Date]=J$7),Budget[Amount]))</f>
        <v>0</v>
      </c>
      <c r="K59" s="319">
        <f t="array" ref="K59">SUM(IF((Budget[Ofc Code]=$B$6)*(Budget[Account Code]=$B59)*(Budget[Date]=K$7),Budget[Amount]))</f>
        <v>0</v>
      </c>
      <c r="L59" s="319">
        <f t="array" ref="L59">SUM(IF((Budget[Ofc Code]=$B$6)*(Budget[Account Code]=$B59)*(Budget[Date]=L$7),Budget[Amount]))</f>
        <v>0</v>
      </c>
      <c r="M59" s="319">
        <f t="array" ref="M59">SUM(IF((Budget[Ofc Code]=$B$6)*(Budget[Account Code]=$B59)*(Budget[Date]=M$7),Budget[Amount]))</f>
        <v>0</v>
      </c>
      <c r="N59" s="319">
        <f t="array" ref="N59">SUM(IF((Budget[Ofc Code]=$B$6)*(Budget[Account Code]=$B59)*(Budget[Date]=N$7),Budget[Amount]))</f>
        <v>0</v>
      </c>
      <c r="O59" s="319">
        <f t="array" ref="O59">SUM(IF((Budget[Ofc Code]=$B$6)*(Budget[Account Code]=$B59)*(Budget[Date]=O$7),Budget[Amount]))</f>
        <v>0</v>
      </c>
      <c r="P59" s="319">
        <f t="shared" si="2"/>
        <v>0</v>
      </c>
    </row>
    <row r="60" spans="1:16" x14ac:dyDescent="0.25">
      <c r="A60" s="325" t="s">
        <v>886</v>
      </c>
      <c r="B60" s="317" t="s">
        <v>172</v>
      </c>
      <c r="C60" s="319">
        <f t="shared" si="12"/>
        <v>0</v>
      </c>
      <c r="D60" s="319">
        <f t="array" ref="D60">SUM(IF((Budget[Ofc Code]=$B$6)*(Budget[Account Code]=$B60)*(Budget[Date]=D$7),Budget[Amount]))</f>
        <v>0</v>
      </c>
      <c r="E60" s="319">
        <f t="array" ref="E60">SUM(IF((Budget[Ofc Code]=$B$6)*(Budget[Account Code]=$B60)*(Budget[Date]=E$7),Budget[Amount]))</f>
        <v>0</v>
      </c>
      <c r="F60" s="319">
        <f t="array" ref="F60">SUM(IF((Budget[Ofc Code]=$B$6)*(Budget[Account Code]=$B60)*(Budget[Date]=F$7),Budget[Amount]))</f>
        <v>0</v>
      </c>
      <c r="G60" s="319">
        <f t="array" ref="G60">SUM(IF((Budget[Ofc Code]=$B$6)*(Budget[Account Code]=$B60)*(Budget[Date]=G$7),Budget[Amount]))</f>
        <v>0</v>
      </c>
      <c r="H60" s="319">
        <f t="array" ref="H60">SUM(IF((Budget[Ofc Code]=$B$6)*(Budget[Account Code]=$B60)*(Budget[Date]=H$7),Budget[Amount]))</f>
        <v>0</v>
      </c>
      <c r="I60" s="319">
        <f t="array" ref="I60">SUM(IF((Budget[Ofc Code]=$B$6)*(Budget[Account Code]=$B60)*(Budget[Date]=I$7),Budget[Amount]))</f>
        <v>0</v>
      </c>
      <c r="J60" s="319">
        <f t="array" ref="J60">SUM(IF((Budget[Ofc Code]=$B$6)*(Budget[Account Code]=$B60)*(Budget[Date]=J$7),Budget[Amount]))</f>
        <v>0</v>
      </c>
      <c r="K60" s="319">
        <f t="array" ref="K60">SUM(IF((Budget[Ofc Code]=$B$6)*(Budget[Account Code]=$B60)*(Budget[Date]=K$7),Budget[Amount]))</f>
        <v>0</v>
      </c>
      <c r="L60" s="319">
        <f t="array" ref="L60">SUM(IF((Budget[Ofc Code]=$B$6)*(Budget[Account Code]=$B60)*(Budget[Date]=L$7),Budget[Amount]))</f>
        <v>0</v>
      </c>
      <c r="M60" s="319">
        <f t="array" ref="M60">SUM(IF((Budget[Ofc Code]=$B$6)*(Budget[Account Code]=$B60)*(Budget[Date]=M$7),Budget[Amount]))</f>
        <v>0</v>
      </c>
      <c r="N60" s="319">
        <f t="array" ref="N60">SUM(IF((Budget[Ofc Code]=$B$6)*(Budget[Account Code]=$B60)*(Budget[Date]=N$7),Budget[Amount]))</f>
        <v>0</v>
      </c>
      <c r="O60" s="319">
        <f t="array" ref="O60">SUM(IF((Budget[Ofc Code]=$B$6)*(Budget[Account Code]=$B60)*(Budget[Date]=O$7),Budget[Amount]))</f>
        <v>0</v>
      </c>
      <c r="P60" s="319">
        <f t="shared" si="2"/>
        <v>0</v>
      </c>
    </row>
    <row r="61" spans="1:16" x14ac:dyDescent="0.25">
      <c r="A61" s="325" t="s">
        <v>887</v>
      </c>
      <c r="B61" s="317" t="s">
        <v>170</v>
      </c>
      <c r="C61" s="319">
        <f t="shared" si="12"/>
        <v>0</v>
      </c>
      <c r="D61" s="319">
        <f t="array" ref="D61">SUM(IF((Budget[Ofc Code]=$B$6)*(Budget[Account Code]=$B61)*(Budget[Date]=D$7),Budget[Amount]))</f>
        <v>0</v>
      </c>
      <c r="E61" s="319">
        <f t="array" ref="E61">SUM(IF((Budget[Ofc Code]=$B$6)*(Budget[Account Code]=$B61)*(Budget[Date]=E$7),Budget[Amount]))</f>
        <v>0</v>
      </c>
      <c r="F61" s="319">
        <f t="array" ref="F61">SUM(IF((Budget[Ofc Code]=$B$6)*(Budget[Account Code]=$B61)*(Budget[Date]=F$7),Budget[Amount]))</f>
        <v>0</v>
      </c>
      <c r="G61" s="319">
        <f t="array" ref="G61">SUM(IF((Budget[Ofc Code]=$B$6)*(Budget[Account Code]=$B61)*(Budget[Date]=G$7),Budget[Amount]))</f>
        <v>0</v>
      </c>
      <c r="H61" s="319">
        <f t="array" ref="H61">SUM(IF((Budget[Ofc Code]=$B$6)*(Budget[Account Code]=$B61)*(Budget[Date]=H$7),Budget[Amount]))</f>
        <v>0</v>
      </c>
      <c r="I61" s="319">
        <f t="array" ref="I61">SUM(IF((Budget[Ofc Code]=$B$6)*(Budget[Account Code]=$B61)*(Budget[Date]=I$7),Budget[Amount]))</f>
        <v>0</v>
      </c>
      <c r="J61" s="319">
        <f t="array" ref="J61">SUM(IF((Budget[Ofc Code]=$B$6)*(Budget[Account Code]=$B61)*(Budget[Date]=J$7),Budget[Amount]))</f>
        <v>0</v>
      </c>
      <c r="K61" s="319">
        <f t="array" ref="K61">SUM(IF((Budget[Ofc Code]=$B$6)*(Budget[Account Code]=$B61)*(Budget[Date]=K$7),Budget[Amount]))</f>
        <v>0</v>
      </c>
      <c r="L61" s="319">
        <f t="array" ref="L61">SUM(IF((Budget[Ofc Code]=$B$6)*(Budget[Account Code]=$B61)*(Budget[Date]=L$7),Budget[Amount]))</f>
        <v>0</v>
      </c>
      <c r="M61" s="319">
        <f t="array" ref="M61">SUM(IF((Budget[Ofc Code]=$B$6)*(Budget[Account Code]=$B61)*(Budget[Date]=M$7),Budget[Amount]))</f>
        <v>0</v>
      </c>
      <c r="N61" s="319">
        <f t="array" ref="N61">SUM(IF((Budget[Ofc Code]=$B$6)*(Budget[Account Code]=$B61)*(Budget[Date]=N$7),Budget[Amount]))</f>
        <v>0</v>
      </c>
      <c r="O61" s="319">
        <f t="array" ref="O61">SUM(IF((Budget[Ofc Code]=$B$6)*(Budget[Account Code]=$B61)*(Budget[Date]=O$7),Budget[Amount]))</f>
        <v>0</v>
      </c>
      <c r="P61" s="319">
        <f t="shared" si="2"/>
        <v>0</v>
      </c>
    </row>
    <row r="62" spans="1:16" x14ac:dyDescent="0.25">
      <c r="A62" s="325" t="s">
        <v>888</v>
      </c>
      <c r="B62" s="317" t="s">
        <v>168</v>
      </c>
      <c r="C62" s="319">
        <f t="shared" si="12"/>
        <v>0</v>
      </c>
      <c r="D62" s="319">
        <f t="array" ref="D62">SUM(IF((Budget[Ofc Code]=$B$6)*(Budget[Account Code]=$B62)*(Budget[Date]=D$7),Budget[Amount]))</f>
        <v>0</v>
      </c>
      <c r="E62" s="319">
        <f t="array" ref="E62">SUM(IF((Budget[Ofc Code]=$B$6)*(Budget[Account Code]=$B62)*(Budget[Date]=E$7),Budget[Amount]))</f>
        <v>0</v>
      </c>
      <c r="F62" s="319">
        <f t="array" ref="F62">SUM(IF((Budget[Ofc Code]=$B$6)*(Budget[Account Code]=$B62)*(Budget[Date]=F$7),Budget[Amount]))</f>
        <v>0</v>
      </c>
      <c r="G62" s="319">
        <f t="array" ref="G62">SUM(IF((Budget[Ofc Code]=$B$6)*(Budget[Account Code]=$B62)*(Budget[Date]=G$7),Budget[Amount]))</f>
        <v>0</v>
      </c>
      <c r="H62" s="319">
        <f t="array" ref="H62">SUM(IF((Budget[Ofc Code]=$B$6)*(Budget[Account Code]=$B62)*(Budget[Date]=H$7),Budget[Amount]))</f>
        <v>0</v>
      </c>
      <c r="I62" s="319">
        <f t="array" ref="I62">SUM(IF((Budget[Ofc Code]=$B$6)*(Budget[Account Code]=$B62)*(Budget[Date]=I$7),Budget[Amount]))</f>
        <v>0</v>
      </c>
      <c r="J62" s="319">
        <f t="array" ref="J62">SUM(IF((Budget[Ofc Code]=$B$6)*(Budget[Account Code]=$B62)*(Budget[Date]=J$7),Budget[Amount]))</f>
        <v>0</v>
      </c>
      <c r="K62" s="319">
        <f t="array" ref="K62">SUM(IF((Budget[Ofc Code]=$B$6)*(Budget[Account Code]=$B62)*(Budget[Date]=K$7),Budget[Amount]))</f>
        <v>0</v>
      </c>
      <c r="L62" s="319">
        <f t="array" ref="L62">SUM(IF((Budget[Ofc Code]=$B$6)*(Budget[Account Code]=$B62)*(Budget[Date]=L$7),Budget[Amount]))</f>
        <v>0</v>
      </c>
      <c r="M62" s="319">
        <f t="array" ref="M62">SUM(IF((Budget[Ofc Code]=$B$6)*(Budget[Account Code]=$B62)*(Budget[Date]=M$7),Budget[Amount]))</f>
        <v>0</v>
      </c>
      <c r="N62" s="319">
        <f t="array" ref="N62">SUM(IF((Budget[Ofc Code]=$B$6)*(Budget[Account Code]=$B62)*(Budget[Date]=N$7),Budget[Amount]))</f>
        <v>0</v>
      </c>
      <c r="O62" s="319">
        <f t="array" ref="O62">SUM(IF((Budget[Ofc Code]=$B$6)*(Budget[Account Code]=$B62)*(Budget[Date]=O$7),Budget[Amount]))</f>
        <v>0</v>
      </c>
      <c r="P62" s="319">
        <f t="shared" si="2"/>
        <v>0</v>
      </c>
    </row>
    <row r="63" spans="1:16" x14ac:dyDescent="0.25">
      <c r="A63" s="325" t="s">
        <v>889</v>
      </c>
      <c r="B63" s="317" t="s">
        <v>174</v>
      </c>
      <c r="C63" s="319">
        <f t="shared" si="12"/>
        <v>0</v>
      </c>
      <c r="D63" s="319">
        <f t="array" ref="D63">SUM(IF((Budget[Ofc Code]=$B$6)*(Budget[Account Code]=$B63)*(Budget[Date]=D$7),Budget[Amount]))</f>
        <v>0</v>
      </c>
      <c r="E63" s="319">
        <f t="array" ref="E63">SUM(IF((Budget[Ofc Code]=$B$6)*(Budget[Account Code]=$B63)*(Budget[Date]=E$7),Budget[Amount]))</f>
        <v>0</v>
      </c>
      <c r="F63" s="319">
        <f t="array" ref="F63">SUM(IF((Budget[Ofc Code]=$B$6)*(Budget[Account Code]=$B63)*(Budget[Date]=F$7),Budget[Amount]))</f>
        <v>0</v>
      </c>
      <c r="G63" s="319">
        <f t="array" ref="G63">SUM(IF((Budget[Ofc Code]=$B$6)*(Budget[Account Code]=$B63)*(Budget[Date]=G$7),Budget[Amount]))</f>
        <v>0</v>
      </c>
      <c r="H63" s="319">
        <f t="array" ref="H63">SUM(IF((Budget[Ofc Code]=$B$6)*(Budget[Account Code]=$B63)*(Budget[Date]=H$7),Budget[Amount]))</f>
        <v>0</v>
      </c>
      <c r="I63" s="319">
        <f t="array" ref="I63">SUM(IF((Budget[Ofc Code]=$B$6)*(Budget[Account Code]=$B63)*(Budget[Date]=I$7),Budget[Amount]))</f>
        <v>0</v>
      </c>
      <c r="J63" s="319">
        <f t="array" ref="J63">SUM(IF((Budget[Ofc Code]=$B$6)*(Budget[Account Code]=$B63)*(Budget[Date]=J$7),Budget[Amount]))</f>
        <v>0</v>
      </c>
      <c r="K63" s="319">
        <f t="array" ref="K63">SUM(IF((Budget[Ofc Code]=$B$6)*(Budget[Account Code]=$B63)*(Budget[Date]=K$7),Budget[Amount]))</f>
        <v>0</v>
      </c>
      <c r="L63" s="319">
        <f t="array" ref="L63">SUM(IF((Budget[Ofc Code]=$B$6)*(Budget[Account Code]=$B63)*(Budget[Date]=L$7),Budget[Amount]))</f>
        <v>0</v>
      </c>
      <c r="M63" s="319">
        <f t="array" ref="M63">SUM(IF((Budget[Ofc Code]=$B$6)*(Budget[Account Code]=$B63)*(Budget[Date]=M$7),Budget[Amount]))</f>
        <v>0</v>
      </c>
      <c r="N63" s="319">
        <f t="array" ref="N63">SUM(IF((Budget[Ofc Code]=$B$6)*(Budget[Account Code]=$B63)*(Budget[Date]=N$7),Budget[Amount]))</f>
        <v>0</v>
      </c>
      <c r="O63" s="319">
        <f t="array" ref="O63">SUM(IF((Budget[Ofc Code]=$B$6)*(Budget[Account Code]=$B63)*(Budget[Date]=O$7),Budget[Amount]))</f>
        <v>0</v>
      </c>
      <c r="P63" s="319">
        <f t="shared" si="2"/>
        <v>0</v>
      </c>
    </row>
    <row r="64" spans="1:16" x14ac:dyDescent="0.25">
      <c r="A64" s="325" t="s">
        <v>890</v>
      </c>
      <c r="B64" s="317" t="s">
        <v>214</v>
      </c>
      <c r="C64" s="319">
        <f t="shared" si="12"/>
        <v>0</v>
      </c>
      <c r="D64" s="319">
        <f t="array" ref="D64">SUM(IF((Budget[Ofc Code]=$B$6)*(Budget[Account Code]=$B64)*(Budget[Date]=D$7),Budget[Amount]))</f>
        <v>0</v>
      </c>
      <c r="E64" s="319">
        <f t="array" ref="E64">SUM(IF((Budget[Ofc Code]=$B$6)*(Budget[Account Code]=$B64)*(Budget[Date]=E$7),Budget[Amount]))</f>
        <v>0</v>
      </c>
      <c r="F64" s="319">
        <f t="array" ref="F64">SUM(IF((Budget[Ofc Code]=$B$6)*(Budget[Account Code]=$B64)*(Budget[Date]=F$7),Budget[Amount]))</f>
        <v>0</v>
      </c>
      <c r="G64" s="319">
        <f t="array" ref="G64">SUM(IF((Budget[Ofc Code]=$B$6)*(Budget[Account Code]=$B64)*(Budget[Date]=G$7),Budget[Amount]))</f>
        <v>0</v>
      </c>
      <c r="H64" s="319">
        <f t="array" ref="H64">SUM(IF((Budget[Ofc Code]=$B$6)*(Budget[Account Code]=$B64)*(Budget[Date]=H$7),Budget[Amount]))</f>
        <v>0</v>
      </c>
      <c r="I64" s="319">
        <f t="array" ref="I64">SUM(IF((Budget[Ofc Code]=$B$6)*(Budget[Account Code]=$B64)*(Budget[Date]=I$7),Budget[Amount]))</f>
        <v>0</v>
      </c>
      <c r="J64" s="319">
        <f t="array" ref="J64">SUM(IF((Budget[Ofc Code]=$B$6)*(Budget[Account Code]=$B64)*(Budget[Date]=J$7),Budget[Amount]))</f>
        <v>0</v>
      </c>
      <c r="K64" s="319">
        <f t="array" ref="K64">SUM(IF((Budget[Ofc Code]=$B$6)*(Budget[Account Code]=$B64)*(Budget[Date]=K$7),Budget[Amount]))</f>
        <v>0</v>
      </c>
      <c r="L64" s="319">
        <f t="array" ref="L64">SUM(IF((Budget[Ofc Code]=$B$6)*(Budget[Account Code]=$B64)*(Budget[Date]=L$7),Budget[Amount]))</f>
        <v>0</v>
      </c>
      <c r="M64" s="319">
        <f t="array" ref="M64">SUM(IF((Budget[Ofc Code]=$B$6)*(Budget[Account Code]=$B64)*(Budget[Date]=M$7),Budget[Amount]))</f>
        <v>0</v>
      </c>
      <c r="N64" s="319">
        <f t="array" ref="N64">SUM(IF((Budget[Ofc Code]=$B$6)*(Budget[Account Code]=$B64)*(Budget[Date]=N$7),Budget[Amount]))</f>
        <v>0</v>
      </c>
      <c r="O64" s="319">
        <f t="array" ref="O64">SUM(IF((Budget[Ofc Code]=$B$6)*(Budget[Account Code]=$B64)*(Budget[Date]=O$7),Budget[Amount]))</f>
        <v>0</v>
      </c>
      <c r="P64" s="319">
        <f t="shared" si="2"/>
        <v>0</v>
      </c>
    </row>
    <row r="65" spans="1:16" s="171" customFormat="1" x14ac:dyDescent="0.25">
      <c r="A65" s="320" t="s">
        <v>891</v>
      </c>
      <c r="B65" s="317"/>
      <c r="C65" s="322">
        <f t="shared" si="12"/>
        <v>0</v>
      </c>
      <c r="D65" s="322">
        <f>SUM(D66:D69)</f>
        <v>0</v>
      </c>
      <c r="E65" s="322">
        <f t="shared" ref="E65:O65" si="15">SUM(E66:E69)</f>
        <v>0</v>
      </c>
      <c r="F65" s="322">
        <f t="shared" si="15"/>
        <v>0</v>
      </c>
      <c r="G65" s="322">
        <f t="shared" si="15"/>
        <v>0</v>
      </c>
      <c r="H65" s="322">
        <f t="shared" si="15"/>
        <v>0</v>
      </c>
      <c r="I65" s="322">
        <f t="shared" si="15"/>
        <v>0</v>
      </c>
      <c r="J65" s="322">
        <f t="shared" si="15"/>
        <v>0</v>
      </c>
      <c r="K65" s="322">
        <f t="shared" si="15"/>
        <v>0</v>
      </c>
      <c r="L65" s="322">
        <f t="shared" si="15"/>
        <v>0</v>
      </c>
      <c r="M65" s="322">
        <f t="shared" si="15"/>
        <v>0</v>
      </c>
      <c r="N65" s="322">
        <f t="shared" si="15"/>
        <v>0</v>
      </c>
      <c r="O65" s="322">
        <f t="shared" si="15"/>
        <v>0</v>
      </c>
      <c r="P65" s="322">
        <f t="shared" si="2"/>
        <v>0</v>
      </c>
    </row>
    <row r="66" spans="1:16" x14ac:dyDescent="0.25">
      <c r="A66" s="325" t="s">
        <v>892</v>
      </c>
      <c r="B66" s="317" t="s">
        <v>175</v>
      </c>
      <c r="C66" s="319">
        <f t="shared" si="12"/>
        <v>0</v>
      </c>
      <c r="D66" s="319">
        <f t="array" ref="D66">SUM(IF((Budget[Ofc Code]=$B$6)*(Budget[Account Code]=$B66)*(Budget[Date]=D$7),Budget[Amount]))</f>
        <v>0</v>
      </c>
      <c r="E66" s="319">
        <f t="array" ref="E66">SUM(IF((Budget[Ofc Code]=$B$6)*(Budget[Account Code]=$B66)*(Budget[Date]=E$7),Budget[Amount]))</f>
        <v>0</v>
      </c>
      <c r="F66" s="319">
        <f t="array" ref="F66">SUM(IF((Budget[Ofc Code]=$B$6)*(Budget[Account Code]=$B66)*(Budget[Date]=F$7),Budget[Amount]))</f>
        <v>0</v>
      </c>
      <c r="G66" s="319">
        <f t="array" ref="G66">SUM(IF((Budget[Ofc Code]=$B$6)*(Budget[Account Code]=$B66)*(Budget[Date]=G$7),Budget[Amount]))</f>
        <v>0</v>
      </c>
      <c r="H66" s="319">
        <f t="array" ref="H66">SUM(IF((Budget[Ofc Code]=$B$6)*(Budget[Account Code]=$B66)*(Budget[Date]=H$7),Budget[Amount]))</f>
        <v>0</v>
      </c>
      <c r="I66" s="319">
        <f t="array" ref="I66">SUM(IF((Budget[Ofc Code]=$B$6)*(Budget[Account Code]=$B66)*(Budget[Date]=I$7),Budget[Amount]))</f>
        <v>0</v>
      </c>
      <c r="J66" s="319">
        <f t="array" ref="J66">SUM(IF((Budget[Ofc Code]=$B$6)*(Budget[Account Code]=$B66)*(Budget[Date]=J$7),Budget[Amount]))</f>
        <v>0</v>
      </c>
      <c r="K66" s="319">
        <f t="array" ref="K66">SUM(IF((Budget[Ofc Code]=$B$6)*(Budget[Account Code]=$B66)*(Budget[Date]=K$7),Budget[Amount]))</f>
        <v>0</v>
      </c>
      <c r="L66" s="319">
        <f t="array" ref="L66">SUM(IF((Budget[Ofc Code]=$B$6)*(Budget[Account Code]=$B66)*(Budget[Date]=L$7),Budget[Amount]))</f>
        <v>0</v>
      </c>
      <c r="M66" s="319">
        <f t="array" ref="M66">SUM(IF((Budget[Ofc Code]=$B$6)*(Budget[Account Code]=$B66)*(Budget[Date]=M$7),Budget[Amount]))</f>
        <v>0</v>
      </c>
      <c r="N66" s="319">
        <f t="array" ref="N66">SUM(IF((Budget[Ofc Code]=$B$6)*(Budget[Account Code]=$B66)*(Budget[Date]=N$7),Budget[Amount]))</f>
        <v>0</v>
      </c>
      <c r="O66" s="319">
        <f t="array" ref="O66">SUM(IF((Budget[Ofc Code]=$B$6)*(Budget[Account Code]=$B66)*(Budget[Date]=O$7),Budget[Amount]))</f>
        <v>0</v>
      </c>
      <c r="P66" s="319">
        <f t="shared" si="2"/>
        <v>0</v>
      </c>
    </row>
    <row r="67" spans="1:16" x14ac:dyDescent="0.25">
      <c r="A67" s="325" t="s">
        <v>893</v>
      </c>
      <c r="B67" s="317" t="s">
        <v>176</v>
      </c>
      <c r="C67" s="319">
        <f t="shared" si="12"/>
        <v>0</v>
      </c>
      <c r="D67" s="319">
        <f t="array" ref="D67">SUM(IF((Budget[Ofc Code]=$B$6)*(Budget[Account Code]=$B67)*(Budget[Date]=D$7),Budget[Amount]))</f>
        <v>0</v>
      </c>
      <c r="E67" s="319">
        <f t="array" ref="E67">SUM(IF((Budget[Ofc Code]=$B$6)*(Budget[Account Code]=$B67)*(Budget[Date]=E$7),Budget[Amount]))</f>
        <v>0</v>
      </c>
      <c r="F67" s="319">
        <f t="array" ref="F67">SUM(IF((Budget[Ofc Code]=$B$6)*(Budget[Account Code]=$B67)*(Budget[Date]=F$7),Budget[Amount]))</f>
        <v>0</v>
      </c>
      <c r="G67" s="319">
        <f t="array" ref="G67">SUM(IF((Budget[Ofc Code]=$B$6)*(Budget[Account Code]=$B67)*(Budget[Date]=G$7),Budget[Amount]))</f>
        <v>0</v>
      </c>
      <c r="H67" s="319">
        <f t="array" ref="H67">SUM(IF((Budget[Ofc Code]=$B$6)*(Budget[Account Code]=$B67)*(Budget[Date]=H$7),Budget[Amount]))</f>
        <v>0</v>
      </c>
      <c r="I67" s="319">
        <f t="array" ref="I67">SUM(IF((Budget[Ofc Code]=$B$6)*(Budget[Account Code]=$B67)*(Budget[Date]=I$7),Budget[Amount]))</f>
        <v>0</v>
      </c>
      <c r="J67" s="319">
        <f t="array" ref="J67">SUM(IF((Budget[Ofc Code]=$B$6)*(Budget[Account Code]=$B67)*(Budget[Date]=J$7),Budget[Amount]))</f>
        <v>0</v>
      </c>
      <c r="K67" s="319">
        <f t="array" ref="K67">SUM(IF((Budget[Ofc Code]=$B$6)*(Budget[Account Code]=$B67)*(Budget[Date]=K$7),Budget[Amount]))</f>
        <v>0</v>
      </c>
      <c r="L67" s="319">
        <f t="array" ref="L67">SUM(IF((Budget[Ofc Code]=$B$6)*(Budget[Account Code]=$B67)*(Budget[Date]=L$7),Budget[Amount]))</f>
        <v>0</v>
      </c>
      <c r="M67" s="319">
        <f t="array" ref="M67">SUM(IF((Budget[Ofc Code]=$B$6)*(Budget[Account Code]=$B67)*(Budget[Date]=M$7),Budget[Amount]))</f>
        <v>0</v>
      </c>
      <c r="N67" s="319">
        <f t="array" ref="N67">SUM(IF((Budget[Ofc Code]=$B$6)*(Budget[Account Code]=$B67)*(Budget[Date]=N$7),Budget[Amount]))</f>
        <v>0</v>
      </c>
      <c r="O67" s="319">
        <f t="array" ref="O67">SUM(IF((Budget[Ofc Code]=$B$6)*(Budget[Account Code]=$B67)*(Budget[Date]=O$7),Budget[Amount]))</f>
        <v>0</v>
      </c>
      <c r="P67" s="319">
        <f t="shared" si="2"/>
        <v>0</v>
      </c>
    </row>
    <row r="68" spans="1:16" x14ac:dyDescent="0.25">
      <c r="A68" s="325" t="s">
        <v>894</v>
      </c>
      <c r="B68" s="317" t="s">
        <v>177</v>
      </c>
      <c r="C68" s="319">
        <f t="shared" si="12"/>
        <v>0</v>
      </c>
      <c r="D68" s="319">
        <f t="array" ref="D68">SUM(IF((Budget[Ofc Code]=$B$6)*(Budget[Account Code]=$B68)*(Budget[Date]=D$7),Budget[Amount]))</f>
        <v>0</v>
      </c>
      <c r="E68" s="319">
        <f t="array" ref="E68">SUM(IF((Budget[Ofc Code]=$B$6)*(Budget[Account Code]=$B68)*(Budget[Date]=E$7),Budget[Amount]))</f>
        <v>0</v>
      </c>
      <c r="F68" s="319">
        <f t="array" ref="F68">SUM(IF((Budget[Ofc Code]=$B$6)*(Budget[Account Code]=$B68)*(Budget[Date]=F$7),Budget[Amount]))</f>
        <v>0</v>
      </c>
      <c r="G68" s="319">
        <f t="array" ref="G68">SUM(IF((Budget[Ofc Code]=$B$6)*(Budget[Account Code]=$B68)*(Budget[Date]=G$7),Budget[Amount]))</f>
        <v>0</v>
      </c>
      <c r="H68" s="319">
        <f t="array" ref="H68">SUM(IF((Budget[Ofc Code]=$B$6)*(Budget[Account Code]=$B68)*(Budget[Date]=H$7),Budget[Amount]))</f>
        <v>0</v>
      </c>
      <c r="I68" s="319">
        <f t="array" ref="I68">SUM(IF((Budget[Ofc Code]=$B$6)*(Budget[Account Code]=$B68)*(Budget[Date]=I$7),Budget[Amount]))</f>
        <v>0</v>
      </c>
      <c r="J68" s="319">
        <f t="array" ref="J68">SUM(IF((Budget[Ofc Code]=$B$6)*(Budget[Account Code]=$B68)*(Budget[Date]=J$7),Budget[Amount]))</f>
        <v>0</v>
      </c>
      <c r="K68" s="319">
        <f t="array" ref="K68">SUM(IF((Budget[Ofc Code]=$B$6)*(Budget[Account Code]=$B68)*(Budget[Date]=K$7),Budget[Amount]))</f>
        <v>0</v>
      </c>
      <c r="L68" s="319">
        <f t="array" ref="L68">SUM(IF((Budget[Ofc Code]=$B$6)*(Budget[Account Code]=$B68)*(Budget[Date]=L$7),Budget[Amount]))</f>
        <v>0</v>
      </c>
      <c r="M68" s="319">
        <f t="array" ref="M68">SUM(IF((Budget[Ofc Code]=$B$6)*(Budget[Account Code]=$B68)*(Budget[Date]=M$7),Budget[Amount]))</f>
        <v>0</v>
      </c>
      <c r="N68" s="319">
        <f t="array" ref="N68">SUM(IF((Budget[Ofc Code]=$B$6)*(Budget[Account Code]=$B68)*(Budget[Date]=N$7),Budget[Amount]))</f>
        <v>0</v>
      </c>
      <c r="O68" s="319">
        <f t="array" ref="O68">SUM(IF((Budget[Ofc Code]=$B$6)*(Budget[Account Code]=$B68)*(Budget[Date]=O$7),Budget[Amount]))</f>
        <v>0</v>
      </c>
      <c r="P68" s="319">
        <f t="shared" si="2"/>
        <v>0</v>
      </c>
    </row>
    <row r="69" spans="1:16" x14ac:dyDescent="0.25">
      <c r="A69" s="325" t="s">
        <v>895</v>
      </c>
      <c r="B69" s="317" t="s">
        <v>178</v>
      </c>
      <c r="C69" s="319">
        <f t="shared" si="12"/>
        <v>0</v>
      </c>
      <c r="D69" s="319">
        <f t="array" ref="D69">SUM(IF((Budget[Ofc Code]=$B$6)*(Budget[Account Code]=$B69)*(Budget[Date]=D$7),Budget[Amount]))</f>
        <v>0</v>
      </c>
      <c r="E69" s="319">
        <f t="array" ref="E69">SUM(IF((Budget[Ofc Code]=$B$6)*(Budget[Account Code]=$B69)*(Budget[Date]=E$7),Budget[Amount]))</f>
        <v>0</v>
      </c>
      <c r="F69" s="319">
        <f t="array" ref="F69">SUM(IF((Budget[Ofc Code]=$B$6)*(Budget[Account Code]=$B69)*(Budget[Date]=F$7),Budget[Amount]))</f>
        <v>0</v>
      </c>
      <c r="G69" s="319">
        <f t="array" ref="G69">SUM(IF((Budget[Ofc Code]=$B$6)*(Budget[Account Code]=$B69)*(Budget[Date]=G$7),Budget[Amount]))</f>
        <v>0</v>
      </c>
      <c r="H69" s="319">
        <f t="array" ref="H69">SUM(IF((Budget[Ofc Code]=$B$6)*(Budget[Account Code]=$B69)*(Budget[Date]=H$7),Budget[Amount]))</f>
        <v>0</v>
      </c>
      <c r="I69" s="319">
        <f t="array" ref="I69">SUM(IF((Budget[Ofc Code]=$B$6)*(Budget[Account Code]=$B69)*(Budget[Date]=I$7),Budget[Amount]))</f>
        <v>0</v>
      </c>
      <c r="J69" s="319">
        <f t="array" ref="J69">SUM(IF((Budget[Ofc Code]=$B$6)*(Budget[Account Code]=$B69)*(Budget[Date]=J$7),Budget[Amount]))</f>
        <v>0</v>
      </c>
      <c r="K69" s="319">
        <f t="array" ref="K69">SUM(IF((Budget[Ofc Code]=$B$6)*(Budget[Account Code]=$B69)*(Budget[Date]=K$7),Budget[Amount]))</f>
        <v>0</v>
      </c>
      <c r="L69" s="319">
        <f t="array" ref="L69">SUM(IF((Budget[Ofc Code]=$B$6)*(Budget[Account Code]=$B69)*(Budget[Date]=L$7),Budget[Amount]))</f>
        <v>0</v>
      </c>
      <c r="M69" s="319">
        <f t="array" ref="M69">SUM(IF((Budget[Ofc Code]=$B$6)*(Budget[Account Code]=$B69)*(Budget[Date]=M$7),Budget[Amount]))</f>
        <v>0</v>
      </c>
      <c r="N69" s="319">
        <f t="array" ref="N69">SUM(IF((Budget[Ofc Code]=$B$6)*(Budget[Account Code]=$B69)*(Budget[Date]=N$7),Budget[Amount]))</f>
        <v>0</v>
      </c>
      <c r="O69" s="319">
        <f t="array" ref="O69">SUM(IF((Budget[Ofc Code]=$B$6)*(Budget[Account Code]=$B69)*(Budget[Date]=O$7),Budget[Amount]))</f>
        <v>0</v>
      </c>
      <c r="P69" s="319">
        <f t="shared" si="2"/>
        <v>0</v>
      </c>
    </row>
    <row r="70" spans="1:16" x14ac:dyDescent="0.25">
      <c r="A70" s="320" t="s">
        <v>896</v>
      </c>
      <c r="B70" s="317"/>
      <c r="C70" s="319">
        <f t="shared" si="12"/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>
        <v>0</v>
      </c>
      <c r="M70" s="319">
        <v>0</v>
      </c>
      <c r="N70" s="319">
        <v>0</v>
      </c>
      <c r="O70" s="319">
        <v>0</v>
      </c>
      <c r="P70" s="319">
        <f t="shared" si="2"/>
        <v>0</v>
      </c>
    </row>
    <row r="71" spans="1:16" x14ac:dyDescent="0.25">
      <c r="A71" s="325" t="s">
        <v>897</v>
      </c>
      <c r="B71" s="317" t="s">
        <v>216</v>
      </c>
      <c r="C71" s="319">
        <f t="shared" si="12"/>
        <v>0</v>
      </c>
      <c r="D71" s="319">
        <f t="array" ref="D71">SUM(IF((Budget[Ofc Code]=$B$6)*(Budget[Account Code]=$B71)*(Budget[Date]=D$7),Budget[Amount]))</f>
        <v>0</v>
      </c>
      <c r="E71" s="319">
        <f t="array" ref="E71">SUM(IF((Budget[Ofc Code]=$B$6)*(Budget[Account Code]=$B71)*(Budget[Date]=E$7),Budget[Amount]))</f>
        <v>0</v>
      </c>
      <c r="F71" s="319">
        <f t="array" ref="F71">SUM(IF((Budget[Ofc Code]=$B$6)*(Budget[Account Code]=$B71)*(Budget[Date]=F$7),Budget[Amount]))</f>
        <v>0</v>
      </c>
      <c r="G71" s="319">
        <f t="array" ref="G71">SUM(IF((Budget[Ofc Code]=$B$6)*(Budget[Account Code]=$B71)*(Budget[Date]=G$7),Budget[Amount]))</f>
        <v>0</v>
      </c>
      <c r="H71" s="319">
        <f t="array" ref="H71">SUM(IF((Budget[Ofc Code]=$B$6)*(Budget[Account Code]=$B71)*(Budget[Date]=H$7),Budget[Amount]))</f>
        <v>0</v>
      </c>
      <c r="I71" s="319">
        <f t="array" ref="I71">SUM(IF((Budget[Ofc Code]=$B$6)*(Budget[Account Code]=$B71)*(Budget[Date]=I$7),Budget[Amount]))</f>
        <v>0</v>
      </c>
      <c r="J71" s="319">
        <f t="array" ref="J71">SUM(IF((Budget[Ofc Code]=$B$6)*(Budget[Account Code]=$B71)*(Budget[Date]=J$7),Budget[Amount]))</f>
        <v>0</v>
      </c>
      <c r="K71" s="319">
        <f t="array" ref="K71">SUM(IF((Budget[Ofc Code]=$B$6)*(Budget[Account Code]=$B71)*(Budget[Date]=K$7),Budget[Amount]))</f>
        <v>0</v>
      </c>
      <c r="L71" s="319">
        <f t="array" ref="L71">SUM(IF((Budget[Ofc Code]=$B$6)*(Budget[Account Code]=$B71)*(Budget[Date]=L$7),Budget[Amount]))</f>
        <v>0</v>
      </c>
      <c r="M71" s="319">
        <f t="array" ref="M71">SUM(IF((Budget[Ofc Code]=$B$6)*(Budget[Account Code]=$B71)*(Budget[Date]=M$7),Budget[Amount]))</f>
        <v>0</v>
      </c>
      <c r="N71" s="319">
        <f t="array" ref="N71">SUM(IF((Budget[Ofc Code]=$B$6)*(Budget[Account Code]=$B71)*(Budget[Date]=N$7),Budget[Amount]))</f>
        <v>0</v>
      </c>
      <c r="O71" s="319">
        <f t="array" ref="O71">SUM(IF((Budget[Ofc Code]=$B$6)*(Budget[Account Code]=$B71)*(Budget[Date]=O$7),Budget[Amount]))</f>
        <v>0</v>
      </c>
      <c r="P71" s="319">
        <f t="shared" si="2"/>
        <v>0</v>
      </c>
    </row>
    <row r="72" spans="1:16" x14ac:dyDescent="0.25">
      <c r="A72" s="325" t="s">
        <v>898</v>
      </c>
      <c r="B72" s="317"/>
      <c r="C72" s="319">
        <f t="shared" si="12"/>
        <v>0</v>
      </c>
      <c r="D72" s="319">
        <f t="array" ref="D72">SUM(IF((Budget[Ofc Code]=$B$6)*(Budget[Account Code]=$B72)*(Budget[Date]=D$7),Budget[Amount]))</f>
        <v>0</v>
      </c>
      <c r="E72" s="319">
        <f t="array" ref="E72">SUM(IF((Budget[Ofc Code]=$B$6)*(Budget[Account Code]=$B72)*(Budget[Date]=E$7),Budget[Amount]))</f>
        <v>0</v>
      </c>
      <c r="F72" s="319">
        <f t="array" ref="F72">SUM(IF((Budget[Ofc Code]=$B$6)*(Budget[Account Code]=$B72)*(Budget[Date]=F$7),Budget[Amount]))</f>
        <v>0</v>
      </c>
      <c r="G72" s="319">
        <f t="array" ref="G72">SUM(IF((Budget[Ofc Code]=$B$6)*(Budget[Account Code]=$B72)*(Budget[Date]=G$7),Budget[Amount]))</f>
        <v>0</v>
      </c>
      <c r="H72" s="319">
        <f t="array" ref="H72">SUM(IF((Budget[Ofc Code]=$B$6)*(Budget[Account Code]=$B72)*(Budget[Date]=H$7),Budget[Amount]))</f>
        <v>0</v>
      </c>
      <c r="I72" s="319">
        <f t="array" ref="I72">SUM(IF((Budget[Ofc Code]=$B$6)*(Budget[Account Code]=$B72)*(Budget[Date]=I$7),Budget[Amount]))</f>
        <v>0</v>
      </c>
      <c r="J72" s="319">
        <f t="array" ref="J72">SUM(IF((Budget[Ofc Code]=$B$6)*(Budget[Account Code]=$B72)*(Budget[Date]=J$7),Budget[Amount]))</f>
        <v>0</v>
      </c>
      <c r="K72" s="319">
        <f t="array" ref="K72">SUM(IF((Budget[Ofc Code]=$B$6)*(Budget[Account Code]=$B72)*(Budget[Date]=K$7),Budget[Amount]))</f>
        <v>0</v>
      </c>
      <c r="L72" s="319">
        <f t="array" ref="L72">SUM(IF((Budget[Ofc Code]=$B$6)*(Budget[Account Code]=$B72)*(Budget[Date]=L$7),Budget[Amount]))</f>
        <v>0</v>
      </c>
      <c r="M72" s="319">
        <f t="array" ref="M72">SUM(IF((Budget[Ofc Code]=$B$6)*(Budget[Account Code]=$B72)*(Budget[Date]=M$7),Budget[Amount]))</f>
        <v>0</v>
      </c>
      <c r="N72" s="319">
        <f t="array" ref="N72">SUM(IF((Budget[Ofc Code]=$B$6)*(Budget[Account Code]=$B72)*(Budget[Date]=N$7),Budget[Amount]))</f>
        <v>0</v>
      </c>
      <c r="O72" s="319">
        <f t="array" ref="O72">SUM(IF((Budget[Ofc Code]=$B$6)*(Budget[Account Code]=$B72)*(Budget[Date]=O$7),Budget[Amount]))</f>
        <v>0</v>
      </c>
      <c r="P72" s="319">
        <f t="shared" si="2"/>
        <v>0</v>
      </c>
    </row>
    <row r="73" spans="1:16" x14ac:dyDescent="0.25">
      <c r="A73" s="325" t="s">
        <v>899</v>
      </c>
      <c r="B73" s="317"/>
      <c r="C73" s="319">
        <f t="shared" si="12"/>
        <v>0</v>
      </c>
      <c r="D73" s="319">
        <f t="array" ref="D73">SUM(IF((Budget[Ofc Code]=$B$6)*(Budget[Account Code]=$B73)*(Budget[Date]=D$7),Budget[Amount]))</f>
        <v>0</v>
      </c>
      <c r="E73" s="319">
        <f t="array" ref="E73">SUM(IF((Budget[Ofc Code]=$B$6)*(Budget[Account Code]=$B73)*(Budget[Date]=E$7),Budget[Amount]))</f>
        <v>0</v>
      </c>
      <c r="F73" s="319">
        <f t="array" ref="F73">SUM(IF((Budget[Ofc Code]=$B$6)*(Budget[Account Code]=$B73)*(Budget[Date]=F$7),Budget[Amount]))</f>
        <v>0</v>
      </c>
      <c r="G73" s="319">
        <f t="array" ref="G73">SUM(IF((Budget[Ofc Code]=$B$6)*(Budget[Account Code]=$B73)*(Budget[Date]=G$7),Budget[Amount]))</f>
        <v>0</v>
      </c>
      <c r="H73" s="319">
        <f t="array" ref="H73">SUM(IF((Budget[Ofc Code]=$B$6)*(Budget[Account Code]=$B73)*(Budget[Date]=H$7),Budget[Amount]))</f>
        <v>0</v>
      </c>
      <c r="I73" s="319">
        <f t="array" ref="I73">SUM(IF((Budget[Ofc Code]=$B$6)*(Budget[Account Code]=$B73)*(Budget[Date]=I$7),Budget[Amount]))</f>
        <v>0</v>
      </c>
      <c r="J73" s="319">
        <f t="array" ref="J73">SUM(IF((Budget[Ofc Code]=$B$6)*(Budget[Account Code]=$B73)*(Budget[Date]=J$7),Budget[Amount]))</f>
        <v>0</v>
      </c>
      <c r="K73" s="319">
        <f t="array" ref="K73">SUM(IF((Budget[Ofc Code]=$B$6)*(Budget[Account Code]=$B73)*(Budget[Date]=K$7),Budget[Amount]))</f>
        <v>0</v>
      </c>
      <c r="L73" s="319">
        <f t="array" ref="L73">SUM(IF((Budget[Ofc Code]=$B$6)*(Budget[Account Code]=$B73)*(Budget[Date]=L$7),Budget[Amount]))</f>
        <v>0</v>
      </c>
      <c r="M73" s="319">
        <f t="array" ref="M73">SUM(IF((Budget[Ofc Code]=$B$6)*(Budget[Account Code]=$B73)*(Budget[Date]=M$7),Budget[Amount]))</f>
        <v>0</v>
      </c>
      <c r="N73" s="319">
        <f t="array" ref="N73">SUM(IF((Budget[Ofc Code]=$B$6)*(Budget[Account Code]=$B73)*(Budget[Date]=N$7),Budget[Amount]))</f>
        <v>0</v>
      </c>
      <c r="O73" s="319">
        <f t="array" ref="O73">SUM(IF((Budget[Ofc Code]=$B$6)*(Budget[Account Code]=$B73)*(Budget[Date]=O$7),Budget[Amount]))</f>
        <v>0</v>
      </c>
      <c r="P73" s="319">
        <f t="shared" si="2"/>
        <v>0</v>
      </c>
    </row>
    <row r="74" spans="1:16" x14ac:dyDescent="0.25">
      <c r="A74" s="325" t="s">
        <v>900</v>
      </c>
      <c r="B74" s="317"/>
      <c r="C74" s="319">
        <f t="shared" si="12"/>
        <v>0</v>
      </c>
      <c r="D74" s="319">
        <f t="array" ref="D74">SUM(IF((Budget[Ofc Code]=$B$6)*(Budget[Account Code]=$B74)*(Budget[Date]=D$7),Budget[Amount]))</f>
        <v>0</v>
      </c>
      <c r="E74" s="319">
        <f t="array" ref="E74">SUM(IF((Budget[Ofc Code]=$B$6)*(Budget[Account Code]=$B74)*(Budget[Date]=E$7),Budget[Amount]))</f>
        <v>0</v>
      </c>
      <c r="F74" s="319">
        <f t="array" ref="F74">SUM(IF((Budget[Ofc Code]=$B$6)*(Budget[Account Code]=$B74)*(Budget[Date]=F$7),Budget[Amount]))</f>
        <v>0</v>
      </c>
      <c r="G74" s="319">
        <f t="array" ref="G74">SUM(IF((Budget[Ofc Code]=$B$6)*(Budget[Account Code]=$B74)*(Budget[Date]=G$7),Budget[Amount]))</f>
        <v>0</v>
      </c>
      <c r="H74" s="319">
        <f t="array" ref="H74">SUM(IF((Budget[Ofc Code]=$B$6)*(Budget[Account Code]=$B74)*(Budget[Date]=H$7),Budget[Amount]))</f>
        <v>0</v>
      </c>
      <c r="I74" s="319">
        <f t="array" ref="I74">SUM(IF((Budget[Ofc Code]=$B$6)*(Budget[Account Code]=$B74)*(Budget[Date]=I$7),Budget[Amount]))</f>
        <v>0</v>
      </c>
      <c r="J74" s="319">
        <f t="array" ref="J74">SUM(IF((Budget[Ofc Code]=$B$6)*(Budget[Account Code]=$B74)*(Budget[Date]=J$7),Budget[Amount]))</f>
        <v>0</v>
      </c>
      <c r="K74" s="319">
        <f t="array" ref="K74">SUM(IF((Budget[Ofc Code]=$B$6)*(Budget[Account Code]=$B74)*(Budget[Date]=K$7),Budget[Amount]))</f>
        <v>0</v>
      </c>
      <c r="L74" s="319">
        <f t="array" ref="L74">SUM(IF((Budget[Ofc Code]=$B$6)*(Budget[Account Code]=$B74)*(Budget[Date]=L$7),Budget[Amount]))</f>
        <v>0</v>
      </c>
      <c r="M74" s="319">
        <f t="array" ref="M74">SUM(IF((Budget[Ofc Code]=$B$6)*(Budget[Account Code]=$B74)*(Budget[Date]=M$7),Budget[Amount]))</f>
        <v>0</v>
      </c>
      <c r="N74" s="319">
        <f t="array" ref="N74">SUM(IF((Budget[Ofc Code]=$B$6)*(Budget[Account Code]=$B74)*(Budget[Date]=N$7),Budget[Amount]))</f>
        <v>0</v>
      </c>
      <c r="O74" s="319">
        <f t="array" ref="O74">SUM(IF((Budget[Ofc Code]=$B$6)*(Budget[Account Code]=$B74)*(Budget[Date]=O$7),Budget[Amount]))</f>
        <v>0</v>
      </c>
      <c r="P74" s="319">
        <f t="shared" si="2"/>
        <v>0</v>
      </c>
    </row>
    <row r="75" spans="1:16" s="171" customFormat="1" x14ac:dyDescent="0.25">
      <c r="A75" s="320" t="s">
        <v>901</v>
      </c>
      <c r="B75" s="317" t="s">
        <v>985</v>
      </c>
      <c r="C75" s="322">
        <f t="shared" si="12"/>
        <v>0</v>
      </c>
      <c r="D75" s="319">
        <f t="array" ref="D75">SUM(IF((Budget[Ofc Code]=$B$6)*(Budget[Account Code]=$B75)*(Budget[Date]=D$7),Budget[Amount]))</f>
        <v>0</v>
      </c>
      <c r="E75" s="319">
        <f t="array" ref="E75">SUM(IF((Budget[Ofc Code]=$B$6)*(Budget[Account Code]=$B75)*(Budget[Date]=E$7),Budget[Amount]))</f>
        <v>0</v>
      </c>
      <c r="F75" s="319">
        <f t="array" ref="F75">SUM(IF((Budget[Ofc Code]=$B$6)*(Budget[Account Code]=$B75)*(Budget[Date]=F$7),Budget[Amount]))</f>
        <v>0</v>
      </c>
      <c r="G75" s="319">
        <f t="array" ref="G75">SUM(IF((Budget[Ofc Code]=$B$6)*(Budget[Account Code]=$B75)*(Budget[Date]=G$7),Budget[Amount]))</f>
        <v>0</v>
      </c>
      <c r="H75" s="319">
        <f t="array" ref="H75">SUM(IF((Budget[Ofc Code]=$B$6)*(Budget[Account Code]=$B75)*(Budget[Date]=H$7),Budget[Amount]))</f>
        <v>0</v>
      </c>
      <c r="I75" s="319">
        <f t="array" ref="I75">SUM(IF((Budget[Ofc Code]=$B$6)*(Budget[Account Code]=$B75)*(Budget[Date]=I$7),Budget[Amount]))</f>
        <v>0</v>
      </c>
      <c r="J75" s="319">
        <f t="array" ref="J75">SUM(IF((Budget[Ofc Code]=$B$6)*(Budget[Account Code]=$B75)*(Budget[Date]=J$7),Budget[Amount]))</f>
        <v>0</v>
      </c>
      <c r="K75" s="319">
        <f t="array" ref="K75">SUM(IF((Budget[Ofc Code]=$B$6)*(Budget[Account Code]=$B75)*(Budget[Date]=K$7),Budget[Amount]))</f>
        <v>0</v>
      </c>
      <c r="L75" s="319">
        <f t="array" ref="L75">SUM(IF((Budget[Ofc Code]=$B$6)*(Budget[Account Code]=$B75)*(Budget[Date]=L$7),Budget[Amount]))</f>
        <v>0</v>
      </c>
      <c r="M75" s="319">
        <f t="array" ref="M75">SUM(IF((Budget[Ofc Code]=$B$6)*(Budget[Account Code]=$B75)*(Budget[Date]=M$7),Budget[Amount]))</f>
        <v>0</v>
      </c>
      <c r="N75" s="319">
        <f t="array" ref="N75">SUM(IF((Budget[Ofc Code]=$B$6)*(Budget[Account Code]=$B75)*(Budget[Date]=N$7),Budget[Amount]))</f>
        <v>0</v>
      </c>
      <c r="O75" s="319">
        <f t="array" ref="O75">SUM(IF((Budget[Ofc Code]=$B$6)*(Budget[Account Code]=$B75)*(Budget[Date]=O$7),Budget[Amount]))</f>
        <v>0</v>
      </c>
      <c r="P75" s="322">
        <f t="shared" si="2"/>
        <v>0</v>
      </c>
    </row>
    <row r="76" spans="1:16" s="171" customFormat="1" x14ac:dyDescent="0.25">
      <c r="A76" s="321" t="s">
        <v>902</v>
      </c>
      <c r="B76" s="317"/>
      <c r="C76" s="322">
        <f>SUM(D76:O76)</f>
        <v>0</v>
      </c>
      <c r="D76" s="322">
        <f>D47+D50+D65+D70+D75</f>
        <v>0</v>
      </c>
      <c r="E76" s="322">
        <f t="shared" ref="E76:O76" si="16">E47+E50+E65+E70+E75</f>
        <v>0</v>
      </c>
      <c r="F76" s="322">
        <f t="shared" si="16"/>
        <v>0</v>
      </c>
      <c r="G76" s="322">
        <f t="shared" si="16"/>
        <v>0</v>
      </c>
      <c r="H76" s="322">
        <f t="shared" si="16"/>
        <v>0</v>
      </c>
      <c r="I76" s="322">
        <f t="shared" si="16"/>
        <v>0</v>
      </c>
      <c r="J76" s="322">
        <f t="shared" si="16"/>
        <v>0</v>
      </c>
      <c r="K76" s="322">
        <f t="shared" si="16"/>
        <v>0</v>
      </c>
      <c r="L76" s="322">
        <f t="shared" si="16"/>
        <v>0</v>
      </c>
      <c r="M76" s="322">
        <f t="shared" si="16"/>
        <v>0</v>
      </c>
      <c r="N76" s="322">
        <f t="shared" si="16"/>
        <v>0</v>
      </c>
      <c r="O76" s="322">
        <f t="shared" si="16"/>
        <v>0</v>
      </c>
      <c r="P76" s="322">
        <f t="shared" ref="P76:P139" si="17">C76</f>
        <v>0</v>
      </c>
    </row>
    <row r="77" spans="1:16" s="171" customFormat="1" x14ac:dyDescent="0.25">
      <c r="A77" s="320" t="s">
        <v>903</v>
      </c>
      <c r="B77" s="317"/>
      <c r="C77" s="322">
        <f t="shared" si="12"/>
        <v>0</v>
      </c>
      <c r="D77" s="322">
        <f>D78+D79</f>
        <v>0</v>
      </c>
      <c r="E77" s="322">
        <f t="shared" ref="E77:O77" si="18">E78+E79</f>
        <v>0</v>
      </c>
      <c r="F77" s="322">
        <f t="shared" si="18"/>
        <v>0</v>
      </c>
      <c r="G77" s="322">
        <f t="shared" si="18"/>
        <v>0</v>
      </c>
      <c r="H77" s="322">
        <f t="shared" si="18"/>
        <v>0</v>
      </c>
      <c r="I77" s="322">
        <f t="shared" si="18"/>
        <v>0</v>
      </c>
      <c r="J77" s="322">
        <f t="shared" si="18"/>
        <v>0</v>
      </c>
      <c r="K77" s="322">
        <f t="shared" si="18"/>
        <v>0</v>
      </c>
      <c r="L77" s="322">
        <f t="shared" si="18"/>
        <v>0</v>
      </c>
      <c r="M77" s="322">
        <f t="shared" si="18"/>
        <v>0</v>
      </c>
      <c r="N77" s="322">
        <f t="shared" si="18"/>
        <v>0</v>
      </c>
      <c r="O77" s="322">
        <f t="shared" si="18"/>
        <v>0</v>
      </c>
      <c r="P77" s="322">
        <f t="shared" si="17"/>
        <v>0</v>
      </c>
    </row>
    <row r="78" spans="1:16" x14ac:dyDescent="0.25">
      <c r="A78" s="325" t="s">
        <v>904</v>
      </c>
      <c r="B78" s="317"/>
      <c r="C78" s="319">
        <f t="shared" si="12"/>
        <v>0</v>
      </c>
      <c r="D78" s="319">
        <f t="array" ref="D78">SUM(IF((Budget[Ofc Code]=$B$6)*(Budget[Account Code]=$B78)*(Budget[Date]=D$7),Budget[Amount]))</f>
        <v>0</v>
      </c>
      <c r="E78" s="319">
        <f t="array" ref="E78">SUM(IF((Budget[Ofc Code]=$B$6)*(Budget[Account Code]=$B78)*(Budget[Date]=E$7),Budget[Amount]))</f>
        <v>0</v>
      </c>
      <c r="F78" s="319">
        <f t="array" ref="F78">SUM(IF((Budget[Ofc Code]=$B$6)*(Budget[Account Code]=$B78)*(Budget[Date]=F$7),Budget[Amount]))</f>
        <v>0</v>
      </c>
      <c r="G78" s="319">
        <f t="array" ref="G78">SUM(IF((Budget[Ofc Code]=$B$6)*(Budget[Account Code]=$B78)*(Budget[Date]=G$7),Budget[Amount]))</f>
        <v>0</v>
      </c>
      <c r="H78" s="319">
        <f t="array" ref="H78">SUM(IF((Budget[Ofc Code]=$B$6)*(Budget[Account Code]=$B78)*(Budget[Date]=H$7),Budget[Amount]))</f>
        <v>0</v>
      </c>
      <c r="I78" s="319">
        <f t="array" ref="I78">SUM(IF((Budget[Ofc Code]=$B$6)*(Budget[Account Code]=$B78)*(Budget[Date]=I$7),Budget[Amount]))</f>
        <v>0</v>
      </c>
      <c r="J78" s="319">
        <f t="array" ref="J78">SUM(IF((Budget[Ofc Code]=$B$6)*(Budget[Account Code]=$B78)*(Budget[Date]=J$7),Budget[Amount]))</f>
        <v>0</v>
      </c>
      <c r="K78" s="319">
        <f t="array" ref="K78">SUM(IF((Budget[Ofc Code]=$B$6)*(Budget[Account Code]=$B78)*(Budget[Date]=K$7),Budget[Amount]))</f>
        <v>0</v>
      </c>
      <c r="L78" s="319">
        <f t="array" ref="L78">SUM(IF((Budget[Ofc Code]=$B$6)*(Budget[Account Code]=$B78)*(Budget[Date]=L$7),Budget[Amount]))</f>
        <v>0</v>
      </c>
      <c r="M78" s="319">
        <f t="array" ref="M78">SUM(IF((Budget[Ofc Code]=$B$6)*(Budget[Account Code]=$B78)*(Budget[Date]=M$7),Budget[Amount]))</f>
        <v>0</v>
      </c>
      <c r="N78" s="319">
        <f t="array" ref="N78">SUM(IF((Budget[Ofc Code]=$B$6)*(Budget[Account Code]=$B78)*(Budget[Date]=N$7),Budget[Amount]))</f>
        <v>0</v>
      </c>
      <c r="O78" s="319">
        <f t="array" ref="O78">SUM(IF((Budget[Ofc Code]=$B$6)*(Budget[Account Code]=$B78)*(Budget[Date]=O$7),Budget[Amount]))</f>
        <v>0</v>
      </c>
      <c r="P78" s="319">
        <f t="shared" si="17"/>
        <v>0</v>
      </c>
    </row>
    <row r="79" spans="1:16" x14ac:dyDescent="0.25">
      <c r="A79" s="325" t="s">
        <v>905</v>
      </c>
      <c r="B79" s="317" t="s">
        <v>212</v>
      </c>
      <c r="C79" s="319">
        <f t="shared" si="12"/>
        <v>0</v>
      </c>
      <c r="D79" s="319">
        <f t="array" ref="D79">SUM(IF((Budget[Ofc Code]=$B$6)*(Budget[Account Code]=$B79)*(Budget[Date]=D$7),Budget[Amount]))</f>
        <v>0</v>
      </c>
      <c r="E79" s="319">
        <f t="array" ref="E79">SUM(IF((Budget[Ofc Code]=$B$6)*(Budget[Account Code]=$B79)*(Budget[Date]=E$7),Budget[Amount]))</f>
        <v>0</v>
      </c>
      <c r="F79" s="319">
        <f t="array" ref="F79">SUM(IF((Budget[Ofc Code]=$B$6)*(Budget[Account Code]=$B79)*(Budget[Date]=F$7),Budget[Amount]))</f>
        <v>0</v>
      </c>
      <c r="G79" s="319">
        <f t="array" ref="G79">SUM(IF((Budget[Ofc Code]=$B$6)*(Budget[Account Code]=$B79)*(Budget[Date]=G$7),Budget[Amount]))</f>
        <v>0</v>
      </c>
      <c r="H79" s="319">
        <f t="array" ref="H79">SUM(IF((Budget[Ofc Code]=$B$6)*(Budget[Account Code]=$B79)*(Budget[Date]=H$7),Budget[Amount]))</f>
        <v>0</v>
      </c>
      <c r="I79" s="319">
        <f t="array" ref="I79">SUM(IF((Budget[Ofc Code]=$B$6)*(Budget[Account Code]=$B79)*(Budget[Date]=I$7),Budget[Amount]))</f>
        <v>0</v>
      </c>
      <c r="J79" s="319">
        <f t="array" ref="J79">SUM(IF((Budget[Ofc Code]=$B$6)*(Budget[Account Code]=$B79)*(Budget[Date]=J$7),Budget[Amount]))</f>
        <v>0</v>
      </c>
      <c r="K79" s="319">
        <f t="array" ref="K79">SUM(IF((Budget[Ofc Code]=$B$6)*(Budget[Account Code]=$B79)*(Budget[Date]=K$7),Budget[Amount]))</f>
        <v>0</v>
      </c>
      <c r="L79" s="319">
        <f t="array" ref="L79">SUM(IF((Budget[Ofc Code]=$B$6)*(Budget[Account Code]=$B79)*(Budget[Date]=L$7),Budget[Amount]))</f>
        <v>0</v>
      </c>
      <c r="M79" s="319">
        <f t="array" ref="M79">SUM(IF((Budget[Ofc Code]=$B$6)*(Budget[Account Code]=$B79)*(Budget[Date]=M$7),Budget[Amount]))</f>
        <v>0</v>
      </c>
      <c r="N79" s="319">
        <f t="array" ref="N79">SUM(IF((Budget[Ofc Code]=$B$6)*(Budget[Account Code]=$B79)*(Budget[Date]=N$7),Budget[Amount]))</f>
        <v>0</v>
      </c>
      <c r="O79" s="319">
        <f t="array" ref="O79">SUM(IF((Budget[Ofc Code]=$B$6)*(Budget[Account Code]=$B79)*(Budget[Date]=O$7),Budget[Amount]))</f>
        <v>0</v>
      </c>
      <c r="P79" s="319">
        <f t="shared" si="17"/>
        <v>0</v>
      </c>
    </row>
    <row r="80" spans="1:16" s="171" customFormat="1" x14ac:dyDescent="0.25">
      <c r="A80" s="320" t="s">
        <v>906</v>
      </c>
      <c r="B80" s="317"/>
      <c r="C80" s="322">
        <f t="shared" si="12"/>
        <v>0</v>
      </c>
      <c r="D80" s="322">
        <f>D76+D77</f>
        <v>0</v>
      </c>
      <c r="E80" s="322">
        <f t="shared" ref="E80:O80" si="19">E76+E77</f>
        <v>0</v>
      </c>
      <c r="F80" s="322">
        <f t="shared" si="19"/>
        <v>0</v>
      </c>
      <c r="G80" s="322">
        <f t="shared" si="19"/>
        <v>0</v>
      </c>
      <c r="H80" s="322">
        <f t="shared" si="19"/>
        <v>0</v>
      </c>
      <c r="I80" s="322">
        <f t="shared" si="19"/>
        <v>0</v>
      </c>
      <c r="J80" s="322">
        <f t="shared" si="19"/>
        <v>0</v>
      </c>
      <c r="K80" s="322">
        <f t="shared" si="19"/>
        <v>0</v>
      </c>
      <c r="L80" s="322">
        <f t="shared" si="19"/>
        <v>0</v>
      </c>
      <c r="M80" s="322">
        <f t="shared" si="19"/>
        <v>0</v>
      </c>
      <c r="N80" s="322">
        <f t="shared" si="19"/>
        <v>0</v>
      </c>
      <c r="O80" s="322">
        <f t="shared" si="19"/>
        <v>0</v>
      </c>
      <c r="P80" s="322">
        <f t="shared" si="17"/>
        <v>0</v>
      </c>
    </row>
    <row r="81" spans="1:16" s="171" customFormat="1" x14ac:dyDescent="0.25">
      <c r="A81" s="320"/>
      <c r="B81" s="317"/>
      <c r="C81" s="322"/>
      <c r="D81" s="322"/>
      <c r="E81" s="322"/>
      <c r="F81" s="322"/>
      <c r="G81" s="322"/>
      <c r="H81" s="322"/>
      <c r="I81" s="322"/>
      <c r="J81" s="322"/>
      <c r="K81" s="322"/>
      <c r="L81" s="322"/>
      <c r="M81" s="322"/>
      <c r="N81" s="322"/>
      <c r="O81" s="322"/>
      <c r="P81" s="322">
        <f t="shared" si="17"/>
        <v>0</v>
      </c>
    </row>
    <row r="82" spans="1:16" s="171" customFormat="1" hidden="1" x14ac:dyDescent="0.25">
      <c r="A82" s="320" t="s">
        <v>907</v>
      </c>
      <c r="B82" s="317"/>
      <c r="C82" s="322">
        <f>C80-C61-C62-C71-C72-C74-C78-C79</f>
        <v>0</v>
      </c>
      <c r="D82" s="322"/>
      <c r="E82" s="322"/>
      <c r="F82" s="322"/>
      <c r="G82" s="322"/>
      <c r="H82" s="322"/>
      <c r="I82" s="322"/>
      <c r="J82" s="322"/>
      <c r="K82" s="322"/>
      <c r="L82" s="322"/>
      <c r="M82" s="322"/>
      <c r="N82" s="322"/>
      <c r="O82" s="322"/>
      <c r="P82" s="322">
        <f t="shared" si="17"/>
        <v>0</v>
      </c>
    </row>
    <row r="83" spans="1:16" s="171" customFormat="1" hidden="1" x14ac:dyDescent="0.25">
      <c r="A83" s="320"/>
      <c r="B83" s="317"/>
      <c r="C83" s="322"/>
      <c r="D83" s="322"/>
      <c r="E83" s="322"/>
      <c r="F83" s="322"/>
      <c r="G83" s="322"/>
      <c r="H83" s="322"/>
      <c r="I83" s="322"/>
      <c r="J83" s="322"/>
      <c r="K83" s="322"/>
      <c r="L83" s="322"/>
      <c r="M83" s="322"/>
      <c r="N83" s="322"/>
      <c r="O83" s="322"/>
      <c r="P83" s="322">
        <f t="shared" si="17"/>
        <v>0</v>
      </c>
    </row>
    <row r="84" spans="1:16" s="171" customFormat="1" hidden="1" x14ac:dyDescent="0.25">
      <c r="A84" s="320"/>
      <c r="B84" s="317"/>
      <c r="C84" s="322"/>
      <c r="D84" s="322"/>
      <c r="E84" s="322"/>
      <c r="F84" s="322"/>
      <c r="G84" s="322"/>
      <c r="H84" s="322"/>
      <c r="I84" s="322"/>
      <c r="J84" s="322"/>
      <c r="K84" s="322"/>
      <c r="L84" s="322"/>
      <c r="M84" s="322"/>
      <c r="N84" s="322"/>
      <c r="O84" s="322"/>
      <c r="P84" s="322">
        <f t="shared" si="17"/>
        <v>0</v>
      </c>
    </row>
    <row r="85" spans="1:16" s="171" customFormat="1" hidden="1" x14ac:dyDescent="0.25">
      <c r="A85" s="320"/>
      <c r="B85" s="317"/>
      <c r="C85" s="322"/>
      <c r="D85" s="322"/>
      <c r="E85" s="322"/>
      <c r="F85" s="322"/>
      <c r="G85" s="322"/>
      <c r="H85" s="322"/>
      <c r="I85" s="322"/>
      <c r="J85" s="322"/>
      <c r="K85" s="322"/>
      <c r="L85" s="322"/>
      <c r="M85" s="322"/>
      <c r="N85" s="322"/>
      <c r="O85" s="322"/>
      <c r="P85" s="322">
        <f t="shared" si="17"/>
        <v>0</v>
      </c>
    </row>
    <row r="86" spans="1:16" x14ac:dyDescent="0.25">
      <c r="A86" s="320" t="s">
        <v>908</v>
      </c>
      <c r="B86" s="317"/>
      <c r="C86" s="319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>
        <f t="shared" si="17"/>
        <v>0</v>
      </c>
    </row>
    <row r="87" spans="1:16" s="171" customFormat="1" x14ac:dyDescent="0.25">
      <c r="A87" s="321" t="s">
        <v>909</v>
      </c>
      <c r="B87" s="317" t="s">
        <v>223</v>
      </c>
      <c r="C87" s="322">
        <f t="shared" si="12"/>
        <v>0</v>
      </c>
      <c r="D87" s="319">
        <f t="array" ref="D87">SUM(IF((Budget[Ofc Code]=$B$6)*(Budget[Account Code]=$B87)*(Budget[Date]=D$7),Budget[Amount]))</f>
        <v>0</v>
      </c>
      <c r="E87" s="319">
        <f t="array" ref="E87">SUM(IF((Budget[Ofc Code]=$B$6)*(Budget[Account Code]=$B87)*(Budget[Date]=E$7),Budget[Amount]))</f>
        <v>0</v>
      </c>
      <c r="F87" s="319">
        <f t="array" ref="F87">SUM(IF((Budget[Ofc Code]=$B$6)*(Budget[Account Code]=$B87)*(Budget[Date]=F$7),Budget[Amount]))</f>
        <v>0</v>
      </c>
      <c r="G87" s="319">
        <f t="array" ref="G87">SUM(IF((Budget[Ofc Code]=$B$6)*(Budget[Account Code]=$B87)*(Budget[Date]=G$7),Budget[Amount]))</f>
        <v>0</v>
      </c>
      <c r="H87" s="319">
        <f t="array" ref="H87">SUM(IF((Budget[Ofc Code]=$B$6)*(Budget[Account Code]=$B87)*(Budget[Date]=H$7),Budget[Amount]))</f>
        <v>0</v>
      </c>
      <c r="I87" s="319">
        <f t="array" ref="I87">SUM(IF((Budget[Ofc Code]=$B$6)*(Budget[Account Code]=$B87)*(Budget[Date]=I$7),Budget[Amount]))</f>
        <v>0</v>
      </c>
      <c r="J87" s="319">
        <f t="array" ref="J87">SUM(IF((Budget[Ofc Code]=$B$6)*(Budget[Account Code]=$B87)*(Budget[Date]=J$7),Budget[Amount]))</f>
        <v>0</v>
      </c>
      <c r="K87" s="319">
        <f t="array" ref="K87">SUM(IF((Budget[Ofc Code]=$B$6)*(Budget[Account Code]=$B87)*(Budget[Date]=K$7),Budget[Amount]))</f>
        <v>0</v>
      </c>
      <c r="L87" s="319">
        <f t="array" ref="L87">SUM(IF((Budget[Ofc Code]=$B$6)*(Budget[Account Code]=$B87)*(Budget[Date]=L$7),Budget[Amount]))</f>
        <v>0</v>
      </c>
      <c r="M87" s="319">
        <f t="array" ref="M87">SUM(IF((Budget[Ofc Code]=$B$6)*(Budget[Account Code]=$B87)*(Budget[Date]=M$7),Budget[Amount]))</f>
        <v>0</v>
      </c>
      <c r="N87" s="319">
        <f t="array" ref="N87">SUM(IF((Budget[Ofc Code]=$B$6)*(Budget[Account Code]=$B87)*(Budget[Date]=N$7),Budget[Amount]))</f>
        <v>0</v>
      </c>
      <c r="O87" s="319">
        <f t="array" ref="O87">SUM(IF((Budget[Ofc Code]=$B$6)*(Budget[Account Code]=$B87)*(Budget[Date]=O$7),Budget[Amount]))</f>
        <v>0</v>
      </c>
      <c r="P87" s="322">
        <f t="shared" si="17"/>
        <v>0</v>
      </c>
    </row>
    <row r="88" spans="1:16" s="171" customFormat="1" x14ac:dyDescent="0.25">
      <c r="A88" s="321" t="s">
        <v>910</v>
      </c>
      <c r="B88" s="317" t="s">
        <v>224</v>
      </c>
      <c r="C88" s="322">
        <f t="shared" si="12"/>
        <v>0</v>
      </c>
      <c r="D88" s="319">
        <f t="array" ref="D88">SUM(IF((Budget[Ofc Code]=$B$6)*(Budget[Account Code]=$B88)*(Budget[Date]=D$7),Budget[Amount]))</f>
        <v>0</v>
      </c>
      <c r="E88" s="319">
        <f t="array" ref="E88">SUM(IF((Budget[Ofc Code]=$B$6)*(Budget[Account Code]=$B88)*(Budget[Date]=E$7),Budget[Amount]))</f>
        <v>0</v>
      </c>
      <c r="F88" s="319">
        <f t="array" ref="F88">SUM(IF((Budget[Ofc Code]=$B$6)*(Budget[Account Code]=$B88)*(Budget[Date]=F$7),Budget[Amount]))</f>
        <v>0</v>
      </c>
      <c r="G88" s="319">
        <f t="array" ref="G88">SUM(IF((Budget[Ofc Code]=$B$6)*(Budget[Account Code]=$B88)*(Budget[Date]=G$7),Budget[Amount]))</f>
        <v>0</v>
      </c>
      <c r="H88" s="319">
        <f t="array" ref="H88">SUM(IF((Budget[Ofc Code]=$B$6)*(Budget[Account Code]=$B88)*(Budget[Date]=H$7),Budget[Amount]))</f>
        <v>0</v>
      </c>
      <c r="I88" s="319">
        <f t="array" ref="I88">SUM(IF((Budget[Ofc Code]=$B$6)*(Budget[Account Code]=$B88)*(Budget[Date]=I$7),Budget[Amount]))</f>
        <v>0</v>
      </c>
      <c r="J88" s="319">
        <f t="array" ref="J88">SUM(IF((Budget[Ofc Code]=$B$6)*(Budget[Account Code]=$B88)*(Budget[Date]=J$7),Budget[Amount]))</f>
        <v>0</v>
      </c>
      <c r="K88" s="319">
        <f t="array" ref="K88">SUM(IF((Budget[Ofc Code]=$B$6)*(Budget[Account Code]=$B88)*(Budget[Date]=K$7),Budget[Amount]))</f>
        <v>0</v>
      </c>
      <c r="L88" s="319">
        <f t="array" ref="L88">SUM(IF((Budget[Ofc Code]=$B$6)*(Budget[Account Code]=$B88)*(Budget[Date]=L$7),Budget[Amount]))</f>
        <v>0</v>
      </c>
      <c r="M88" s="319">
        <f t="array" ref="M88">SUM(IF((Budget[Ofc Code]=$B$6)*(Budget[Account Code]=$B88)*(Budget[Date]=M$7),Budget[Amount]))</f>
        <v>0</v>
      </c>
      <c r="N88" s="319">
        <f t="array" ref="N88">SUM(IF((Budget[Ofc Code]=$B$6)*(Budget[Account Code]=$B88)*(Budget[Date]=N$7),Budget[Amount]))</f>
        <v>0</v>
      </c>
      <c r="O88" s="319">
        <f t="array" ref="O88">SUM(IF((Budget[Ofc Code]=$B$6)*(Budget[Account Code]=$B88)*(Budget[Date]=O$7),Budget[Amount]))</f>
        <v>0</v>
      </c>
      <c r="P88" s="322">
        <f t="shared" si="17"/>
        <v>0</v>
      </c>
    </row>
    <row r="89" spans="1:16" s="171" customFormat="1" x14ac:dyDescent="0.25">
      <c r="A89" s="321" t="s">
        <v>911</v>
      </c>
      <c r="B89" s="317"/>
      <c r="C89" s="322">
        <f t="shared" si="12"/>
        <v>0</v>
      </c>
      <c r="D89" s="322">
        <f>SUM(D90:D96)</f>
        <v>0</v>
      </c>
      <c r="E89" s="322">
        <f t="shared" ref="E89:O89" si="20">SUM(E90:E96)</f>
        <v>0</v>
      </c>
      <c r="F89" s="322">
        <f t="shared" si="20"/>
        <v>0</v>
      </c>
      <c r="G89" s="322">
        <f t="shared" si="20"/>
        <v>0</v>
      </c>
      <c r="H89" s="322">
        <f t="shared" si="20"/>
        <v>0</v>
      </c>
      <c r="I89" s="322">
        <f t="shared" si="20"/>
        <v>0</v>
      </c>
      <c r="J89" s="322">
        <f t="shared" si="20"/>
        <v>0</v>
      </c>
      <c r="K89" s="322">
        <f t="shared" si="20"/>
        <v>0</v>
      </c>
      <c r="L89" s="322">
        <f t="shared" si="20"/>
        <v>0</v>
      </c>
      <c r="M89" s="322">
        <f t="shared" si="20"/>
        <v>0</v>
      </c>
      <c r="N89" s="322">
        <f t="shared" si="20"/>
        <v>0</v>
      </c>
      <c r="O89" s="322">
        <f t="shared" si="20"/>
        <v>0</v>
      </c>
      <c r="P89" s="322">
        <f t="shared" si="17"/>
        <v>0</v>
      </c>
    </row>
    <row r="90" spans="1:16" x14ac:dyDescent="0.25">
      <c r="A90" s="323" t="s">
        <v>912</v>
      </c>
      <c r="B90" s="317" t="s">
        <v>225</v>
      </c>
      <c r="C90" s="319">
        <f t="shared" si="12"/>
        <v>0</v>
      </c>
      <c r="D90" s="319">
        <f t="array" ref="D90">SUM(IF((Budget[Ofc Code]=$B$6)*(Budget[Account Code]=$B90)*(Budget[Date]=D$7),Budget[Amount]))</f>
        <v>0</v>
      </c>
      <c r="E90" s="319">
        <f t="array" ref="E90">SUM(IF((Budget[Ofc Code]=$B$6)*(Budget[Account Code]=$B90)*(Budget[Date]=E$7),Budget[Amount]))</f>
        <v>0</v>
      </c>
      <c r="F90" s="319">
        <f t="array" ref="F90">SUM(IF((Budget[Ofc Code]=$B$6)*(Budget[Account Code]=$B90)*(Budget[Date]=F$7),Budget[Amount]))</f>
        <v>0</v>
      </c>
      <c r="G90" s="319">
        <f t="array" ref="G90">SUM(IF((Budget[Ofc Code]=$B$6)*(Budget[Account Code]=$B90)*(Budget[Date]=G$7),Budget[Amount]))</f>
        <v>0</v>
      </c>
      <c r="H90" s="319">
        <f t="array" ref="H90">SUM(IF((Budget[Ofc Code]=$B$6)*(Budget[Account Code]=$B90)*(Budget[Date]=H$7),Budget[Amount]))</f>
        <v>0</v>
      </c>
      <c r="I90" s="319">
        <f t="array" ref="I90">SUM(IF((Budget[Ofc Code]=$B$6)*(Budget[Account Code]=$B90)*(Budget[Date]=I$7),Budget[Amount]))</f>
        <v>0</v>
      </c>
      <c r="J90" s="319">
        <f t="array" ref="J90">SUM(IF((Budget[Ofc Code]=$B$6)*(Budget[Account Code]=$B90)*(Budget[Date]=J$7),Budget[Amount]))</f>
        <v>0</v>
      </c>
      <c r="K90" s="319">
        <f t="array" ref="K90">SUM(IF((Budget[Ofc Code]=$B$6)*(Budget[Account Code]=$B90)*(Budget[Date]=K$7),Budget[Amount]))</f>
        <v>0</v>
      </c>
      <c r="L90" s="319">
        <f t="array" ref="L90">SUM(IF((Budget[Ofc Code]=$B$6)*(Budget[Account Code]=$B90)*(Budget[Date]=L$7),Budget[Amount]))</f>
        <v>0</v>
      </c>
      <c r="M90" s="319">
        <f t="array" ref="M90">SUM(IF((Budget[Ofc Code]=$B$6)*(Budget[Account Code]=$B90)*(Budget[Date]=M$7),Budget[Amount]))</f>
        <v>0</v>
      </c>
      <c r="N90" s="319">
        <f t="array" ref="N90">SUM(IF((Budget[Ofc Code]=$B$6)*(Budget[Account Code]=$B90)*(Budget[Date]=N$7),Budget[Amount]))</f>
        <v>0</v>
      </c>
      <c r="O90" s="319">
        <f t="array" ref="O90">SUM(IF((Budget[Ofc Code]=$B$6)*(Budget[Account Code]=$B90)*(Budget[Date]=O$7),Budget[Amount]))</f>
        <v>0</v>
      </c>
      <c r="P90" s="319">
        <f t="shared" si="17"/>
        <v>0</v>
      </c>
    </row>
    <row r="91" spans="1:16" x14ac:dyDescent="0.25">
      <c r="A91" s="323" t="s">
        <v>913</v>
      </c>
      <c r="B91" s="317" t="s">
        <v>226</v>
      </c>
      <c r="C91" s="319">
        <f t="shared" si="12"/>
        <v>0</v>
      </c>
      <c r="D91" s="319">
        <f t="array" ref="D91">SUM(IF((Budget[Ofc Code]=$B$6)*(Budget[Account Code]=$B91)*(Budget[Date]=D$7),Budget[Amount]))</f>
        <v>0</v>
      </c>
      <c r="E91" s="319">
        <f t="array" ref="E91">SUM(IF((Budget[Ofc Code]=$B$6)*(Budget[Account Code]=$B91)*(Budget[Date]=E$7),Budget[Amount]))</f>
        <v>0</v>
      </c>
      <c r="F91" s="319">
        <f t="array" ref="F91">SUM(IF((Budget[Ofc Code]=$B$6)*(Budget[Account Code]=$B91)*(Budget[Date]=F$7),Budget[Amount]))</f>
        <v>0</v>
      </c>
      <c r="G91" s="319">
        <f t="array" ref="G91">SUM(IF((Budget[Ofc Code]=$B$6)*(Budget[Account Code]=$B91)*(Budget[Date]=G$7),Budget[Amount]))</f>
        <v>0</v>
      </c>
      <c r="H91" s="319">
        <f t="array" ref="H91">SUM(IF((Budget[Ofc Code]=$B$6)*(Budget[Account Code]=$B91)*(Budget[Date]=H$7),Budget[Amount]))</f>
        <v>0</v>
      </c>
      <c r="I91" s="319">
        <f t="array" ref="I91">SUM(IF((Budget[Ofc Code]=$B$6)*(Budget[Account Code]=$B91)*(Budget[Date]=I$7),Budget[Amount]))</f>
        <v>0</v>
      </c>
      <c r="J91" s="319">
        <f t="array" ref="J91">SUM(IF((Budget[Ofc Code]=$B$6)*(Budget[Account Code]=$B91)*(Budget[Date]=J$7),Budget[Amount]))</f>
        <v>0</v>
      </c>
      <c r="K91" s="319">
        <f t="array" ref="K91">SUM(IF((Budget[Ofc Code]=$B$6)*(Budget[Account Code]=$B91)*(Budget[Date]=K$7),Budget[Amount]))</f>
        <v>0</v>
      </c>
      <c r="L91" s="319">
        <f t="array" ref="L91">SUM(IF((Budget[Ofc Code]=$B$6)*(Budget[Account Code]=$B91)*(Budget[Date]=L$7),Budget[Amount]))</f>
        <v>0</v>
      </c>
      <c r="M91" s="319">
        <f t="array" ref="M91">SUM(IF((Budget[Ofc Code]=$B$6)*(Budget[Account Code]=$B91)*(Budget[Date]=M$7),Budget[Amount]))</f>
        <v>0</v>
      </c>
      <c r="N91" s="319">
        <f t="array" ref="N91">SUM(IF((Budget[Ofc Code]=$B$6)*(Budget[Account Code]=$B91)*(Budget[Date]=N$7),Budget[Amount]))</f>
        <v>0</v>
      </c>
      <c r="O91" s="319">
        <f t="array" ref="O91">SUM(IF((Budget[Ofc Code]=$B$6)*(Budget[Account Code]=$B91)*(Budget[Date]=O$7),Budget[Amount]))</f>
        <v>0</v>
      </c>
      <c r="P91" s="319">
        <f t="shared" si="17"/>
        <v>0</v>
      </c>
    </row>
    <row r="92" spans="1:16" x14ac:dyDescent="0.25">
      <c r="A92" s="323" t="s">
        <v>914</v>
      </c>
      <c r="B92" s="317" t="s">
        <v>227</v>
      </c>
      <c r="C92" s="319">
        <f t="shared" si="12"/>
        <v>0</v>
      </c>
      <c r="D92" s="319">
        <f t="array" ref="D92">SUM(IF((Budget[Ofc Code]=$B$6)*(Budget[Account Code]=$B92)*(Budget[Date]=D$7),Budget[Amount]))</f>
        <v>0</v>
      </c>
      <c r="E92" s="319">
        <f t="array" ref="E92">SUM(IF((Budget[Ofc Code]=$B$6)*(Budget[Account Code]=$B92)*(Budget[Date]=E$7),Budget[Amount]))</f>
        <v>0</v>
      </c>
      <c r="F92" s="319">
        <f t="array" ref="F92">SUM(IF((Budget[Ofc Code]=$B$6)*(Budget[Account Code]=$B92)*(Budget[Date]=F$7),Budget[Amount]))</f>
        <v>0</v>
      </c>
      <c r="G92" s="319">
        <f t="array" ref="G92">SUM(IF((Budget[Ofc Code]=$B$6)*(Budget[Account Code]=$B92)*(Budget[Date]=G$7),Budget[Amount]))</f>
        <v>0</v>
      </c>
      <c r="H92" s="319">
        <f t="array" ref="H92">SUM(IF((Budget[Ofc Code]=$B$6)*(Budget[Account Code]=$B92)*(Budget[Date]=H$7),Budget[Amount]))</f>
        <v>0</v>
      </c>
      <c r="I92" s="319">
        <f t="array" ref="I92">SUM(IF((Budget[Ofc Code]=$B$6)*(Budget[Account Code]=$B92)*(Budget[Date]=I$7),Budget[Amount]))</f>
        <v>0</v>
      </c>
      <c r="J92" s="319">
        <f t="array" ref="J92">SUM(IF((Budget[Ofc Code]=$B$6)*(Budget[Account Code]=$B92)*(Budget[Date]=J$7),Budget[Amount]))</f>
        <v>0</v>
      </c>
      <c r="K92" s="319">
        <f t="array" ref="K92">SUM(IF((Budget[Ofc Code]=$B$6)*(Budget[Account Code]=$B92)*(Budget[Date]=K$7),Budget[Amount]))</f>
        <v>0</v>
      </c>
      <c r="L92" s="319">
        <f t="array" ref="L92">SUM(IF((Budget[Ofc Code]=$B$6)*(Budget[Account Code]=$B92)*(Budget[Date]=L$7),Budget[Amount]))</f>
        <v>0</v>
      </c>
      <c r="M92" s="319">
        <f t="array" ref="M92">SUM(IF((Budget[Ofc Code]=$B$6)*(Budget[Account Code]=$B92)*(Budget[Date]=M$7),Budget[Amount]))</f>
        <v>0</v>
      </c>
      <c r="N92" s="319">
        <f t="array" ref="N92">SUM(IF((Budget[Ofc Code]=$B$6)*(Budget[Account Code]=$B92)*(Budget[Date]=N$7),Budget[Amount]))</f>
        <v>0</v>
      </c>
      <c r="O92" s="319">
        <f t="array" ref="O92">SUM(IF((Budget[Ofc Code]=$B$6)*(Budget[Account Code]=$B92)*(Budget[Date]=O$7),Budget[Amount]))</f>
        <v>0</v>
      </c>
      <c r="P92" s="319">
        <f t="shared" si="17"/>
        <v>0</v>
      </c>
    </row>
    <row r="93" spans="1:16" x14ac:dyDescent="0.25">
      <c r="A93" s="323" t="s">
        <v>915</v>
      </c>
      <c r="B93" s="317" t="s">
        <v>228</v>
      </c>
      <c r="C93" s="319">
        <f t="shared" si="12"/>
        <v>0</v>
      </c>
      <c r="D93" s="319">
        <f t="array" ref="D93">SUM(IF((Budget[Ofc Code]=$B$6)*(Budget[Account Code]=$B93)*(Budget[Date]=D$7),Budget[Amount]))</f>
        <v>0</v>
      </c>
      <c r="E93" s="319">
        <f t="array" ref="E93">SUM(IF((Budget[Ofc Code]=$B$6)*(Budget[Account Code]=$B93)*(Budget[Date]=E$7),Budget[Amount]))</f>
        <v>0</v>
      </c>
      <c r="F93" s="319">
        <f t="array" ref="F93">SUM(IF((Budget[Ofc Code]=$B$6)*(Budget[Account Code]=$B93)*(Budget[Date]=F$7),Budget[Amount]))</f>
        <v>0</v>
      </c>
      <c r="G93" s="319">
        <f t="array" ref="G93">SUM(IF((Budget[Ofc Code]=$B$6)*(Budget[Account Code]=$B93)*(Budget[Date]=G$7),Budget[Amount]))</f>
        <v>0</v>
      </c>
      <c r="H93" s="319">
        <f t="array" ref="H93">SUM(IF((Budget[Ofc Code]=$B$6)*(Budget[Account Code]=$B93)*(Budget[Date]=H$7),Budget[Amount]))</f>
        <v>0</v>
      </c>
      <c r="I93" s="319">
        <f t="array" ref="I93">SUM(IF((Budget[Ofc Code]=$B$6)*(Budget[Account Code]=$B93)*(Budget[Date]=I$7),Budget[Amount]))</f>
        <v>0</v>
      </c>
      <c r="J93" s="319">
        <f t="array" ref="J93">SUM(IF((Budget[Ofc Code]=$B$6)*(Budget[Account Code]=$B93)*(Budget[Date]=J$7),Budget[Amount]))</f>
        <v>0</v>
      </c>
      <c r="K93" s="319">
        <f t="array" ref="K93">SUM(IF((Budget[Ofc Code]=$B$6)*(Budget[Account Code]=$B93)*(Budget[Date]=K$7),Budget[Amount]))</f>
        <v>0</v>
      </c>
      <c r="L93" s="319">
        <f t="array" ref="L93">SUM(IF((Budget[Ofc Code]=$B$6)*(Budget[Account Code]=$B93)*(Budget[Date]=L$7),Budget[Amount]))</f>
        <v>0</v>
      </c>
      <c r="M93" s="319">
        <f t="array" ref="M93">SUM(IF((Budget[Ofc Code]=$B$6)*(Budget[Account Code]=$B93)*(Budget[Date]=M$7),Budget[Amount]))</f>
        <v>0</v>
      </c>
      <c r="N93" s="319">
        <f t="array" ref="N93">SUM(IF((Budget[Ofc Code]=$B$6)*(Budget[Account Code]=$B93)*(Budget[Date]=N$7),Budget[Amount]))</f>
        <v>0</v>
      </c>
      <c r="O93" s="319">
        <f t="array" ref="O93">SUM(IF((Budget[Ofc Code]=$B$6)*(Budget[Account Code]=$B93)*(Budget[Date]=O$7),Budget[Amount]))</f>
        <v>0</v>
      </c>
      <c r="P93" s="319">
        <f t="shared" si="17"/>
        <v>0</v>
      </c>
    </row>
    <row r="94" spans="1:16" x14ac:dyDescent="0.25">
      <c r="A94" s="323" t="s">
        <v>916</v>
      </c>
      <c r="B94" s="317" t="s">
        <v>229</v>
      </c>
      <c r="C94" s="319">
        <f t="shared" si="12"/>
        <v>0</v>
      </c>
      <c r="D94" s="319">
        <f t="array" ref="D94">SUM(IF((Budget[Ofc Code]=$B$6)*(Budget[Account Code]=$B94)*(Budget[Date]=D$7),Budget[Amount]))</f>
        <v>0</v>
      </c>
      <c r="E94" s="319">
        <f t="array" ref="E94">SUM(IF((Budget[Ofc Code]=$B$6)*(Budget[Account Code]=$B94)*(Budget[Date]=E$7),Budget[Amount]))</f>
        <v>0</v>
      </c>
      <c r="F94" s="319">
        <f t="array" ref="F94">SUM(IF((Budget[Ofc Code]=$B$6)*(Budget[Account Code]=$B94)*(Budget[Date]=F$7),Budget[Amount]))</f>
        <v>0</v>
      </c>
      <c r="G94" s="319">
        <f t="array" ref="G94">SUM(IF((Budget[Ofc Code]=$B$6)*(Budget[Account Code]=$B94)*(Budget[Date]=G$7),Budget[Amount]))</f>
        <v>0</v>
      </c>
      <c r="H94" s="319">
        <f t="array" ref="H94">SUM(IF((Budget[Ofc Code]=$B$6)*(Budget[Account Code]=$B94)*(Budget[Date]=H$7),Budget[Amount]))</f>
        <v>0</v>
      </c>
      <c r="I94" s="319">
        <f t="array" ref="I94">SUM(IF((Budget[Ofc Code]=$B$6)*(Budget[Account Code]=$B94)*(Budget[Date]=I$7),Budget[Amount]))</f>
        <v>0</v>
      </c>
      <c r="J94" s="319">
        <f t="array" ref="J94">SUM(IF((Budget[Ofc Code]=$B$6)*(Budget[Account Code]=$B94)*(Budget[Date]=J$7),Budget[Amount]))</f>
        <v>0</v>
      </c>
      <c r="K94" s="319">
        <f t="array" ref="K94">SUM(IF((Budget[Ofc Code]=$B$6)*(Budget[Account Code]=$B94)*(Budget[Date]=K$7),Budget[Amount]))</f>
        <v>0</v>
      </c>
      <c r="L94" s="319">
        <f t="array" ref="L94">SUM(IF((Budget[Ofc Code]=$B$6)*(Budget[Account Code]=$B94)*(Budget[Date]=L$7),Budget[Amount]))</f>
        <v>0</v>
      </c>
      <c r="M94" s="319">
        <f t="array" ref="M94">SUM(IF((Budget[Ofc Code]=$B$6)*(Budget[Account Code]=$B94)*(Budget[Date]=M$7),Budget[Amount]))</f>
        <v>0</v>
      </c>
      <c r="N94" s="319">
        <f t="array" ref="N94">SUM(IF((Budget[Ofc Code]=$B$6)*(Budget[Account Code]=$B94)*(Budget[Date]=N$7),Budget[Amount]))</f>
        <v>0</v>
      </c>
      <c r="O94" s="319">
        <f t="array" ref="O94">SUM(IF((Budget[Ofc Code]=$B$6)*(Budget[Account Code]=$B94)*(Budget[Date]=O$7),Budget[Amount]))</f>
        <v>0</v>
      </c>
      <c r="P94" s="319">
        <f t="shared" si="17"/>
        <v>0</v>
      </c>
    </row>
    <row r="95" spans="1:16" x14ac:dyDescent="0.25">
      <c r="A95" s="323" t="s">
        <v>917</v>
      </c>
      <c r="B95" s="317" t="s">
        <v>230</v>
      </c>
      <c r="C95" s="319">
        <f t="shared" si="12"/>
        <v>0</v>
      </c>
      <c r="D95" s="319">
        <f t="array" ref="D95">SUM(IF((Budget[Ofc Code]=$B$6)*(Budget[Account Code]=$B95)*(Budget[Date]=D$7),Budget[Amount]))</f>
        <v>0</v>
      </c>
      <c r="E95" s="319">
        <f t="array" ref="E95">SUM(IF((Budget[Ofc Code]=$B$6)*(Budget[Account Code]=$B95)*(Budget[Date]=E$7),Budget[Amount]))</f>
        <v>0</v>
      </c>
      <c r="F95" s="319">
        <f t="array" ref="F95">SUM(IF((Budget[Ofc Code]=$B$6)*(Budget[Account Code]=$B95)*(Budget[Date]=F$7),Budget[Amount]))</f>
        <v>0</v>
      </c>
      <c r="G95" s="319">
        <f t="array" ref="G95">SUM(IF((Budget[Ofc Code]=$B$6)*(Budget[Account Code]=$B95)*(Budget[Date]=G$7),Budget[Amount]))</f>
        <v>0</v>
      </c>
      <c r="H95" s="319">
        <f t="array" ref="H95">SUM(IF((Budget[Ofc Code]=$B$6)*(Budget[Account Code]=$B95)*(Budget[Date]=H$7),Budget[Amount]))</f>
        <v>0</v>
      </c>
      <c r="I95" s="319">
        <f t="array" ref="I95">SUM(IF((Budget[Ofc Code]=$B$6)*(Budget[Account Code]=$B95)*(Budget[Date]=I$7),Budget[Amount]))</f>
        <v>0</v>
      </c>
      <c r="J95" s="319">
        <f t="array" ref="J95">SUM(IF((Budget[Ofc Code]=$B$6)*(Budget[Account Code]=$B95)*(Budget[Date]=J$7),Budget[Amount]))</f>
        <v>0</v>
      </c>
      <c r="K95" s="319">
        <f t="array" ref="K95">SUM(IF((Budget[Ofc Code]=$B$6)*(Budget[Account Code]=$B95)*(Budget[Date]=K$7),Budget[Amount]))</f>
        <v>0</v>
      </c>
      <c r="L95" s="319">
        <f t="array" ref="L95">SUM(IF((Budget[Ofc Code]=$B$6)*(Budget[Account Code]=$B95)*(Budget[Date]=L$7),Budget[Amount]))</f>
        <v>0</v>
      </c>
      <c r="M95" s="319">
        <f t="array" ref="M95">SUM(IF((Budget[Ofc Code]=$B$6)*(Budget[Account Code]=$B95)*(Budget[Date]=M$7),Budget[Amount]))</f>
        <v>0</v>
      </c>
      <c r="N95" s="319">
        <f t="array" ref="N95">SUM(IF((Budget[Ofc Code]=$B$6)*(Budget[Account Code]=$B95)*(Budget[Date]=N$7),Budget[Amount]))</f>
        <v>0</v>
      </c>
      <c r="O95" s="319">
        <f t="array" ref="O95">SUM(IF((Budget[Ofc Code]=$B$6)*(Budget[Account Code]=$B95)*(Budget[Date]=O$7),Budget[Amount]))</f>
        <v>0</v>
      </c>
      <c r="P95" s="319">
        <f t="shared" si="17"/>
        <v>0</v>
      </c>
    </row>
    <row r="96" spans="1:16" x14ac:dyDescent="0.25">
      <c r="A96" s="323" t="s">
        <v>918</v>
      </c>
      <c r="B96" s="317" t="s">
        <v>231</v>
      </c>
      <c r="C96" s="319">
        <f t="shared" si="12"/>
        <v>0</v>
      </c>
      <c r="D96" s="319">
        <f t="array" ref="D96">SUM(IF((Budget[Ofc Code]=$B$6)*(Budget[Account Code]=$B96)*(Budget[Date]=D$7),Budget[Amount]))</f>
        <v>0</v>
      </c>
      <c r="E96" s="319">
        <f t="array" ref="E96">SUM(IF((Budget[Ofc Code]=$B$6)*(Budget[Account Code]=$B96)*(Budget[Date]=E$7),Budget[Amount]))</f>
        <v>0</v>
      </c>
      <c r="F96" s="319">
        <f t="array" ref="F96">SUM(IF((Budget[Ofc Code]=$B$6)*(Budget[Account Code]=$B96)*(Budget[Date]=F$7),Budget[Amount]))</f>
        <v>0</v>
      </c>
      <c r="G96" s="319">
        <f t="array" ref="G96">SUM(IF((Budget[Ofc Code]=$B$6)*(Budget[Account Code]=$B96)*(Budget[Date]=G$7),Budget[Amount]))</f>
        <v>0</v>
      </c>
      <c r="H96" s="319">
        <f t="array" ref="H96">SUM(IF((Budget[Ofc Code]=$B$6)*(Budget[Account Code]=$B96)*(Budget[Date]=H$7),Budget[Amount]))</f>
        <v>0</v>
      </c>
      <c r="I96" s="319">
        <f t="array" ref="I96">SUM(IF((Budget[Ofc Code]=$B$6)*(Budget[Account Code]=$B96)*(Budget[Date]=I$7),Budget[Amount]))</f>
        <v>0</v>
      </c>
      <c r="J96" s="319">
        <f t="array" ref="J96">SUM(IF((Budget[Ofc Code]=$B$6)*(Budget[Account Code]=$B96)*(Budget[Date]=J$7),Budget[Amount]))</f>
        <v>0</v>
      </c>
      <c r="K96" s="319">
        <f t="array" ref="K96">SUM(IF((Budget[Ofc Code]=$B$6)*(Budget[Account Code]=$B96)*(Budget[Date]=K$7),Budget[Amount]))</f>
        <v>0</v>
      </c>
      <c r="L96" s="319">
        <f t="array" ref="L96">SUM(IF((Budget[Ofc Code]=$B$6)*(Budget[Account Code]=$B96)*(Budget[Date]=L$7),Budget[Amount]))</f>
        <v>0</v>
      </c>
      <c r="M96" s="319">
        <f t="array" ref="M96">SUM(IF((Budget[Ofc Code]=$B$6)*(Budget[Account Code]=$B96)*(Budget[Date]=M$7),Budget[Amount]))</f>
        <v>0</v>
      </c>
      <c r="N96" s="319">
        <f t="array" ref="N96">SUM(IF((Budget[Ofc Code]=$B$6)*(Budget[Account Code]=$B96)*(Budget[Date]=N$7),Budget[Amount]))</f>
        <v>0</v>
      </c>
      <c r="O96" s="319">
        <f t="array" ref="O96">SUM(IF((Budget[Ofc Code]=$B$6)*(Budget[Account Code]=$B96)*(Budget[Date]=O$7),Budget[Amount]))</f>
        <v>0</v>
      </c>
      <c r="P96" s="319">
        <f t="shared" si="17"/>
        <v>0</v>
      </c>
    </row>
    <row r="97" spans="1:16" s="171" customFormat="1" x14ac:dyDescent="0.25">
      <c r="A97" s="321" t="s">
        <v>919</v>
      </c>
      <c r="B97" s="317"/>
      <c r="C97" s="322">
        <f t="shared" si="12"/>
        <v>0</v>
      </c>
      <c r="D97" s="322">
        <f>D98+D99</f>
        <v>0</v>
      </c>
      <c r="E97" s="322">
        <f t="shared" ref="E97:O97" si="21">E98+E99</f>
        <v>0</v>
      </c>
      <c r="F97" s="322">
        <f t="shared" si="21"/>
        <v>0</v>
      </c>
      <c r="G97" s="322">
        <f t="shared" si="21"/>
        <v>0</v>
      </c>
      <c r="H97" s="322">
        <f t="shared" si="21"/>
        <v>0</v>
      </c>
      <c r="I97" s="322">
        <f t="shared" si="21"/>
        <v>0</v>
      </c>
      <c r="J97" s="322">
        <f t="shared" si="21"/>
        <v>0</v>
      </c>
      <c r="K97" s="322">
        <f t="shared" si="21"/>
        <v>0</v>
      </c>
      <c r="L97" s="322">
        <f t="shared" si="21"/>
        <v>0</v>
      </c>
      <c r="M97" s="322">
        <f t="shared" si="21"/>
        <v>0</v>
      </c>
      <c r="N97" s="322">
        <f t="shared" si="21"/>
        <v>0</v>
      </c>
      <c r="O97" s="322">
        <f t="shared" si="21"/>
        <v>0</v>
      </c>
      <c r="P97" s="322">
        <f t="shared" si="17"/>
        <v>0</v>
      </c>
    </row>
    <row r="98" spans="1:16" x14ac:dyDescent="0.25">
      <c r="A98" s="323" t="s">
        <v>920</v>
      </c>
      <c r="B98" s="317" t="s">
        <v>232</v>
      </c>
      <c r="C98" s="319">
        <f t="shared" si="12"/>
        <v>0</v>
      </c>
      <c r="D98" s="319">
        <f t="array" ref="D98">SUM(IF((Budget[Ofc Code]=$B$6)*(Budget[Account Code]=$B98)*(Budget[Date]=D$7),Budget[Amount]))</f>
        <v>0</v>
      </c>
      <c r="E98" s="319">
        <f t="array" ref="E98">SUM(IF((Budget[Ofc Code]=$B$6)*(Budget[Account Code]=$B98)*(Budget[Date]=E$7),Budget[Amount]))</f>
        <v>0</v>
      </c>
      <c r="F98" s="319">
        <f t="array" ref="F98">SUM(IF((Budget[Ofc Code]=$B$6)*(Budget[Account Code]=$B98)*(Budget[Date]=F$7),Budget[Amount]))</f>
        <v>0</v>
      </c>
      <c r="G98" s="319">
        <f t="array" ref="G98">SUM(IF((Budget[Ofc Code]=$B$6)*(Budget[Account Code]=$B98)*(Budget[Date]=G$7),Budget[Amount]))</f>
        <v>0</v>
      </c>
      <c r="H98" s="319">
        <f t="array" ref="H98">SUM(IF((Budget[Ofc Code]=$B$6)*(Budget[Account Code]=$B98)*(Budget[Date]=H$7),Budget[Amount]))</f>
        <v>0</v>
      </c>
      <c r="I98" s="319">
        <f t="array" ref="I98">SUM(IF((Budget[Ofc Code]=$B$6)*(Budget[Account Code]=$B98)*(Budget[Date]=I$7),Budget[Amount]))</f>
        <v>0</v>
      </c>
      <c r="J98" s="319">
        <f t="array" ref="J98">SUM(IF((Budget[Ofc Code]=$B$6)*(Budget[Account Code]=$B98)*(Budget[Date]=J$7),Budget[Amount]))</f>
        <v>0</v>
      </c>
      <c r="K98" s="319">
        <f t="array" ref="K98">SUM(IF((Budget[Ofc Code]=$B$6)*(Budget[Account Code]=$B98)*(Budget[Date]=K$7),Budget[Amount]))</f>
        <v>0</v>
      </c>
      <c r="L98" s="319">
        <f t="array" ref="L98">SUM(IF((Budget[Ofc Code]=$B$6)*(Budget[Account Code]=$B98)*(Budget[Date]=L$7),Budget[Amount]))</f>
        <v>0</v>
      </c>
      <c r="M98" s="319">
        <f t="array" ref="M98">SUM(IF((Budget[Ofc Code]=$B$6)*(Budget[Account Code]=$B98)*(Budget[Date]=M$7),Budget[Amount]))</f>
        <v>0</v>
      </c>
      <c r="N98" s="319">
        <f t="array" ref="N98">SUM(IF((Budget[Ofc Code]=$B$6)*(Budget[Account Code]=$B98)*(Budget[Date]=N$7),Budget[Amount]))</f>
        <v>0</v>
      </c>
      <c r="O98" s="319">
        <f t="array" ref="O98">SUM(IF((Budget[Ofc Code]=$B$6)*(Budget[Account Code]=$B98)*(Budget[Date]=O$7),Budget[Amount]))</f>
        <v>0</v>
      </c>
      <c r="P98" s="319">
        <f t="shared" si="17"/>
        <v>0</v>
      </c>
    </row>
    <row r="99" spans="1:16" x14ac:dyDescent="0.25">
      <c r="A99" s="323" t="s">
        <v>921</v>
      </c>
      <c r="B99" s="317"/>
      <c r="C99" s="319">
        <f t="shared" si="12"/>
        <v>0</v>
      </c>
      <c r="D99" s="319">
        <f>SUM(D100:D101)</f>
        <v>0</v>
      </c>
      <c r="E99" s="319">
        <f t="shared" ref="E99:O99" si="22">SUM(E100:E101)</f>
        <v>0</v>
      </c>
      <c r="F99" s="319">
        <f t="shared" si="22"/>
        <v>0</v>
      </c>
      <c r="G99" s="319">
        <f t="shared" si="22"/>
        <v>0</v>
      </c>
      <c r="H99" s="319">
        <f t="shared" si="22"/>
        <v>0</v>
      </c>
      <c r="I99" s="319">
        <f t="shared" si="22"/>
        <v>0</v>
      </c>
      <c r="J99" s="319">
        <f t="shared" si="22"/>
        <v>0</v>
      </c>
      <c r="K99" s="319">
        <f t="shared" si="22"/>
        <v>0</v>
      </c>
      <c r="L99" s="319">
        <f t="shared" si="22"/>
        <v>0</v>
      </c>
      <c r="M99" s="319">
        <f t="shared" si="22"/>
        <v>0</v>
      </c>
      <c r="N99" s="319">
        <f t="shared" si="22"/>
        <v>0</v>
      </c>
      <c r="O99" s="319">
        <f t="shared" si="22"/>
        <v>0</v>
      </c>
      <c r="P99" s="319">
        <f t="shared" si="17"/>
        <v>0</v>
      </c>
    </row>
    <row r="100" spans="1:16" x14ac:dyDescent="0.25">
      <c r="A100" s="323" t="s">
        <v>922</v>
      </c>
      <c r="B100" s="317" t="s">
        <v>233</v>
      </c>
      <c r="C100" s="319">
        <f t="shared" si="12"/>
        <v>0</v>
      </c>
      <c r="D100" s="319">
        <f t="array" ref="D100">SUM(IF((Budget[Ofc Code]=$B$6)*(Budget[Account Code]=$B100)*(Budget[Date]=D$7),Budget[Amount]))</f>
        <v>0</v>
      </c>
      <c r="E100" s="319">
        <f t="array" ref="E100">SUM(IF((Budget[Ofc Code]=$B$6)*(Budget[Account Code]=$B100)*(Budget[Date]=E$7),Budget[Amount]))</f>
        <v>0</v>
      </c>
      <c r="F100" s="319">
        <f t="array" ref="F100">SUM(IF((Budget[Ofc Code]=$B$6)*(Budget[Account Code]=$B100)*(Budget[Date]=F$7),Budget[Amount]))</f>
        <v>0</v>
      </c>
      <c r="G100" s="319">
        <f t="array" ref="G100">SUM(IF((Budget[Ofc Code]=$B$6)*(Budget[Account Code]=$B100)*(Budget[Date]=G$7),Budget[Amount]))</f>
        <v>0</v>
      </c>
      <c r="H100" s="319">
        <f t="array" ref="H100">SUM(IF((Budget[Ofc Code]=$B$6)*(Budget[Account Code]=$B100)*(Budget[Date]=H$7),Budget[Amount]))</f>
        <v>0</v>
      </c>
      <c r="I100" s="319">
        <f t="array" ref="I100">SUM(IF((Budget[Ofc Code]=$B$6)*(Budget[Account Code]=$B100)*(Budget[Date]=I$7),Budget[Amount]))</f>
        <v>0</v>
      </c>
      <c r="J100" s="319">
        <f t="array" ref="J100">SUM(IF((Budget[Ofc Code]=$B$6)*(Budget[Account Code]=$B100)*(Budget[Date]=J$7),Budget[Amount]))</f>
        <v>0</v>
      </c>
      <c r="K100" s="319">
        <f t="array" ref="K100">SUM(IF((Budget[Ofc Code]=$B$6)*(Budget[Account Code]=$B100)*(Budget[Date]=K$7),Budget[Amount]))</f>
        <v>0</v>
      </c>
      <c r="L100" s="319">
        <f t="array" ref="L100">SUM(IF((Budget[Ofc Code]=$B$6)*(Budget[Account Code]=$B100)*(Budget[Date]=L$7),Budget[Amount]))</f>
        <v>0</v>
      </c>
      <c r="M100" s="319">
        <f t="array" ref="M100">SUM(IF((Budget[Ofc Code]=$B$6)*(Budget[Account Code]=$B100)*(Budget[Date]=M$7),Budget[Amount]))</f>
        <v>0</v>
      </c>
      <c r="N100" s="319">
        <f t="array" ref="N100">SUM(IF((Budget[Ofc Code]=$B$6)*(Budget[Account Code]=$B100)*(Budget[Date]=N$7),Budget[Amount]))</f>
        <v>0</v>
      </c>
      <c r="O100" s="319">
        <f t="array" ref="O100">SUM(IF((Budget[Ofc Code]=$B$6)*(Budget[Account Code]=$B100)*(Budget[Date]=O$7),Budget[Amount]))</f>
        <v>0</v>
      </c>
      <c r="P100" s="319">
        <f t="shared" si="17"/>
        <v>0</v>
      </c>
    </row>
    <row r="101" spans="1:16" x14ac:dyDescent="0.25">
      <c r="A101" s="323" t="s">
        <v>923</v>
      </c>
      <c r="B101" s="317"/>
      <c r="C101" s="319">
        <f t="shared" si="12"/>
        <v>0</v>
      </c>
      <c r="D101" s="319">
        <f t="array" ref="D101">SUM(IF((Budget[Ofc Code]=$B$6)*(Budget[Account Code]=$B101)*(Budget[Date]=D$7),Budget[Amount]))</f>
        <v>0</v>
      </c>
      <c r="E101" s="319">
        <f t="array" ref="E101">SUM(IF((Budget[Ofc Code]=$B$6)*(Budget[Account Code]=$B101)*(Budget[Date]=E$7),Budget[Amount]))</f>
        <v>0</v>
      </c>
      <c r="F101" s="319">
        <f t="array" ref="F101">SUM(IF((Budget[Ofc Code]=$B$6)*(Budget[Account Code]=$B101)*(Budget[Date]=F$7),Budget[Amount]))</f>
        <v>0</v>
      </c>
      <c r="G101" s="319">
        <f t="array" ref="G101">SUM(IF((Budget[Ofc Code]=$B$6)*(Budget[Account Code]=$B101)*(Budget[Date]=G$7),Budget[Amount]))</f>
        <v>0</v>
      </c>
      <c r="H101" s="319">
        <f t="array" ref="H101">SUM(IF((Budget[Ofc Code]=$B$6)*(Budget[Account Code]=$B101)*(Budget[Date]=H$7),Budget[Amount]))</f>
        <v>0</v>
      </c>
      <c r="I101" s="319">
        <f t="array" ref="I101">SUM(IF((Budget[Ofc Code]=$B$6)*(Budget[Account Code]=$B101)*(Budget[Date]=I$7),Budget[Amount]))</f>
        <v>0</v>
      </c>
      <c r="J101" s="319">
        <f t="array" ref="J101">SUM(IF((Budget[Ofc Code]=$B$6)*(Budget[Account Code]=$B101)*(Budget[Date]=J$7),Budget[Amount]))</f>
        <v>0</v>
      </c>
      <c r="K101" s="319">
        <f t="array" ref="K101">SUM(IF((Budget[Ofc Code]=$B$6)*(Budget[Account Code]=$B101)*(Budget[Date]=K$7),Budget[Amount]))</f>
        <v>0</v>
      </c>
      <c r="L101" s="319">
        <f t="array" ref="L101">SUM(IF((Budget[Ofc Code]=$B$6)*(Budget[Account Code]=$B101)*(Budget[Date]=L$7),Budget[Amount]))</f>
        <v>0</v>
      </c>
      <c r="M101" s="319">
        <f t="array" ref="M101">SUM(IF((Budget[Ofc Code]=$B$6)*(Budget[Account Code]=$B101)*(Budget[Date]=M$7),Budget[Amount]))</f>
        <v>0</v>
      </c>
      <c r="N101" s="319">
        <f t="array" ref="N101">SUM(IF((Budget[Ofc Code]=$B$6)*(Budget[Account Code]=$B101)*(Budget[Date]=N$7),Budget[Amount]))</f>
        <v>0</v>
      </c>
      <c r="O101" s="319">
        <f t="array" ref="O101">SUM(IF((Budget[Ofc Code]=$B$6)*(Budget[Account Code]=$B101)*(Budget[Date]=O$7),Budget[Amount]))</f>
        <v>0</v>
      </c>
      <c r="P101" s="319">
        <f t="shared" si="17"/>
        <v>0</v>
      </c>
    </row>
    <row r="102" spans="1:16" s="171" customFormat="1" x14ac:dyDescent="0.25">
      <c r="A102" s="321" t="s">
        <v>924</v>
      </c>
      <c r="B102" s="317"/>
      <c r="C102" s="322">
        <f t="shared" si="12"/>
        <v>0</v>
      </c>
      <c r="D102" s="322">
        <f>SUM(D103:D107)</f>
        <v>0</v>
      </c>
      <c r="E102" s="322">
        <f t="shared" ref="E102:O102" si="23">SUM(E103:E107)</f>
        <v>0</v>
      </c>
      <c r="F102" s="322">
        <f t="shared" si="23"/>
        <v>0</v>
      </c>
      <c r="G102" s="322">
        <f t="shared" si="23"/>
        <v>0</v>
      </c>
      <c r="H102" s="322">
        <f t="shared" si="23"/>
        <v>0</v>
      </c>
      <c r="I102" s="322">
        <f t="shared" si="23"/>
        <v>0</v>
      </c>
      <c r="J102" s="322">
        <f t="shared" si="23"/>
        <v>0</v>
      </c>
      <c r="K102" s="322">
        <f t="shared" si="23"/>
        <v>0</v>
      </c>
      <c r="L102" s="322">
        <f t="shared" si="23"/>
        <v>0</v>
      </c>
      <c r="M102" s="322">
        <f t="shared" si="23"/>
        <v>0</v>
      </c>
      <c r="N102" s="322">
        <f t="shared" si="23"/>
        <v>0</v>
      </c>
      <c r="O102" s="322">
        <f t="shared" si="23"/>
        <v>0</v>
      </c>
      <c r="P102" s="322">
        <f t="shared" si="17"/>
        <v>0</v>
      </c>
    </row>
    <row r="103" spans="1:16" x14ac:dyDescent="0.25">
      <c r="A103" s="323" t="s">
        <v>925</v>
      </c>
      <c r="B103" s="317" t="s">
        <v>234</v>
      </c>
      <c r="C103" s="319">
        <f t="shared" si="12"/>
        <v>0</v>
      </c>
      <c r="D103" s="319">
        <f t="array" ref="D103">SUM(IF((Budget[Ofc Code]=$B$6)*(Budget[Account Code]=$B103)*(Budget[Date]=D$7),Budget[Amount]))</f>
        <v>0</v>
      </c>
      <c r="E103" s="319">
        <f t="array" ref="E103">SUM(IF((Budget[Ofc Code]=$B$6)*(Budget[Account Code]=$B103)*(Budget[Date]=E$7),Budget[Amount]))</f>
        <v>0</v>
      </c>
      <c r="F103" s="319">
        <f t="array" ref="F103">SUM(IF((Budget[Ofc Code]=$B$6)*(Budget[Account Code]=$B103)*(Budget[Date]=F$7),Budget[Amount]))</f>
        <v>0</v>
      </c>
      <c r="G103" s="319">
        <f t="array" ref="G103">SUM(IF((Budget[Ofc Code]=$B$6)*(Budget[Account Code]=$B103)*(Budget[Date]=G$7),Budget[Amount]))</f>
        <v>0</v>
      </c>
      <c r="H103" s="319">
        <f t="array" ref="H103">SUM(IF((Budget[Ofc Code]=$B$6)*(Budget[Account Code]=$B103)*(Budget[Date]=H$7),Budget[Amount]))</f>
        <v>0</v>
      </c>
      <c r="I103" s="319">
        <f t="array" ref="I103">SUM(IF((Budget[Ofc Code]=$B$6)*(Budget[Account Code]=$B103)*(Budget[Date]=I$7),Budget[Amount]))</f>
        <v>0</v>
      </c>
      <c r="J103" s="319">
        <f t="array" ref="J103">SUM(IF((Budget[Ofc Code]=$B$6)*(Budget[Account Code]=$B103)*(Budget[Date]=J$7),Budget[Amount]))</f>
        <v>0</v>
      </c>
      <c r="K103" s="319">
        <f t="array" ref="K103">SUM(IF((Budget[Ofc Code]=$B$6)*(Budget[Account Code]=$B103)*(Budget[Date]=K$7),Budget[Amount]))</f>
        <v>0</v>
      </c>
      <c r="L103" s="319">
        <f t="array" ref="L103">SUM(IF((Budget[Ofc Code]=$B$6)*(Budget[Account Code]=$B103)*(Budget[Date]=L$7),Budget[Amount]))</f>
        <v>0</v>
      </c>
      <c r="M103" s="319">
        <f t="array" ref="M103">SUM(IF((Budget[Ofc Code]=$B$6)*(Budget[Account Code]=$B103)*(Budget[Date]=M$7),Budget[Amount]))</f>
        <v>0</v>
      </c>
      <c r="N103" s="319">
        <f t="array" ref="N103">SUM(IF((Budget[Ofc Code]=$B$6)*(Budget[Account Code]=$B103)*(Budget[Date]=N$7),Budget[Amount]))</f>
        <v>0</v>
      </c>
      <c r="O103" s="319">
        <f t="array" ref="O103">SUM(IF((Budget[Ofc Code]=$B$6)*(Budget[Account Code]=$B103)*(Budget[Date]=O$7),Budget[Amount]))</f>
        <v>0</v>
      </c>
      <c r="P103" s="319">
        <f t="shared" si="17"/>
        <v>0</v>
      </c>
    </row>
    <row r="104" spans="1:16" x14ac:dyDescent="0.25">
      <c r="A104" s="323" t="s">
        <v>926</v>
      </c>
      <c r="B104" s="317" t="s">
        <v>235</v>
      </c>
      <c r="C104" s="319">
        <f t="shared" si="12"/>
        <v>0</v>
      </c>
      <c r="D104" s="319">
        <f t="array" ref="D104">SUM(IF((Budget[Ofc Code]=$B$6)*(Budget[Account Code]=$B104)*(Budget[Date]=D$7),Budget[Amount]))</f>
        <v>0</v>
      </c>
      <c r="E104" s="319">
        <f t="array" ref="E104">SUM(IF((Budget[Ofc Code]=$B$6)*(Budget[Account Code]=$B104)*(Budget[Date]=E$7),Budget[Amount]))</f>
        <v>0</v>
      </c>
      <c r="F104" s="319">
        <f t="array" ref="F104">SUM(IF((Budget[Ofc Code]=$B$6)*(Budget[Account Code]=$B104)*(Budget[Date]=F$7),Budget[Amount]))</f>
        <v>0</v>
      </c>
      <c r="G104" s="319">
        <f t="array" ref="G104">SUM(IF((Budget[Ofc Code]=$B$6)*(Budget[Account Code]=$B104)*(Budget[Date]=G$7),Budget[Amount]))</f>
        <v>0</v>
      </c>
      <c r="H104" s="319">
        <f t="array" ref="H104">SUM(IF((Budget[Ofc Code]=$B$6)*(Budget[Account Code]=$B104)*(Budget[Date]=H$7),Budget[Amount]))</f>
        <v>0</v>
      </c>
      <c r="I104" s="319">
        <f t="array" ref="I104">SUM(IF((Budget[Ofc Code]=$B$6)*(Budget[Account Code]=$B104)*(Budget[Date]=I$7),Budget[Amount]))</f>
        <v>0</v>
      </c>
      <c r="J104" s="319">
        <f t="array" ref="J104">SUM(IF((Budget[Ofc Code]=$B$6)*(Budget[Account Code]=$B104)*(Budget[Date]=J$7),Budget[Amount]))</f>
        <v>0</v>
      </c>
      <c r="K104" s="319">
        <f t="array" ref="K104">SUM(IF((Budget[Ofc Code]=$B$6)*(Budget[Account Code]=$B104)*(Budget[Date]=K$7),Budget[Amount]))</f>
        <v>0</v>
      </c>
      <c r="L104" s="319">
        <f t="array" ref="L104">SUM(IF((Budget[Ofc Code]=$B$6)*(Budget[Account Code]=$B104)*(Budget[Date]=L$7),Budget[Amount]))</f>
        <v>0</v>
      </c>
      <c r="M104" s="319">
        <f t="array" ref="M104">SUM(IF((Budget[Ofc Code]=$B$6)*(Budget[Account Code]=$B104)*(Budget[Date]=M$7),Budget[Amount]))</f>
        <v>0</v>
      </c>
      <c r="N104" s="319">
        <f t="array" ref="N104">SUM(IF((Budget[Ofc Code]=$B$6)*(Budget[Account Code]=$B104)*(Budget[Date]=N$7),Budget[Amount]))</f>
        <v>0</v>
      </c>
      <c r="O104" s="319">
        <f t="array" ref="O104">SUM(IF((Budget[Ofc Code]=$B$6)*(Budget[Account Code]=$B104)*(Budget[Date]=O$7),Budget[Amount]))</f>
        <v>0</v>
      </c>
      <c r="P104" s="319">
        <f t="shared" si="17"/>
        <v>0</v>
      </c>
    </row>
    <row r="105" spans="1:16" x14ac:dyDescent="0.25">
      <c r="A105" s="323" t="s">
        <v>927</v>
      </c>
      <c r="B105" s="317" t="s">
        <v>236</v>
      </c>
      <c r="C105" s="319">
        <f t="shared" si="12"/>
        <v>0</v>
      </c>
      <c r="D105" s="319">
        <f t="array" ref="D105">SUM(IF((Budget[Ofc Code]=$B$6)*(Budget[Account Code]=$B105)*(Budget[Date]=D$7),Budget[Amount]))</f>
        <v>0</v>
      </c>
      <c r="E105" s="319">
        <f t="array" ref="E105">SUM(IF((Budget[Ofc Code]=$B$6)*(Budget[Account Code]=$B105)*(Budget[Date]=E$7),Budget[Amount]))</f>
        <v>0</v>
      </c>
      <c r="F105" s="319">
        <f t="array" ref="F105">SUM(IF((Budget[Ofc Code]=$B$6)*(Budget[Account Code]=$B105)*(Budget[Date]=F$7),Budget[Amount]))</f>
        <v>0</v>
      </c>
      <c r="G105" s="319">
        <f t="array" ref="G105">SUM(IF((Budget[Ofc Code]=$B$6)*(Budget[Account Code]=$B105)*(Budget[Date]=G$7),Budget[Amount]))</f>
        <v>0</v>
      </c>
      <c r="H105" s="319">
        <f t="array" ref="H105">SUM(IF((Budget[Ofc Code]=$B$6)*(Budget[Account Code]=$B105)*(Budget[Date]=H$7),Budget[Amount]))</f>
        <v>0</v>
      </c>
      <c r="I105" s="319">
        <f t="array" ref="I105">SUM(IF((Budget[Ofc Code]=$B$6)*(Budget[Account Code]=$B105)*(Budget[Date]=I$7),Budget[Amount]))</f>
        <v>0</v>
      </c>
      <c r="J105" s="319">
        <f t="array" ref="J105">SUM(IF((Budget[Ofc Code]=$B$6)*(Budget[Account Code]=$B105)*(Budget[Date]=J$7),Budget[Amount]))</f>
        <v>0</v>
      </c>
      <c r="K105" s="319">
        <f t="array" ref="K105">SUM(IF((Budget[Ofc Code]=$B$6)*(Budget[Account Code]=$B105)*(Budget[Date]=K$7),Budget[Amount]))</f>
        <v>0</v>
      </c>
      <c r="L105" s="319">
        <f t="array" ref="L105">SUM(IF((Budget[Ofc Code]=$B$6)*(Budget[Account Code]=$B105)*(Budget[Date]=L$7),Budget[Amount]))</f>
        <v>0</v>
      </c>
      <c r="M105" s="319">
        <f t="array" ref="M105">SUM(IF((Budget[Ofc Code]=$B$6)*(Budget[Account Code]=$B105)*(Budget[Date]=M$7),Budget[Amount]))</f>
        <v>0</v>
      </c>
      <c r="N105" s="319">
        <f t="array" ref="N105">SUM(IF((Budget[Ofc Code]=$B$6)*(Budget[Account Code]=$B105)*(Budget[Date]=N$7),Budget[Amount]))</f>
        <v>0</v>
      </c>
      <c r="O105" s="319">
        <f t="array" ref="O105">SUM(IF((Budget[Ofc Code]=$B$6)*(Budget[Account Code]=$B105)*(Budget[Date]=O$7),Budget[Amount]))</f>
        <v>0</v>
      </c>
      <c r="P105" s="319">
        <f t="shared" si="17"/>
        <v>0</v>
      </c>
    </row>
    <row r="106" spans="1:16" x14ac:dyDescent="0.25">
      <c r="A106" s="323" t="s">
        <v>928</v>
      </c>
      <c r="B106" s="317" t="s">
        <v>237</v>
      </c>
      <c r="C106" s="319">
        <f t="shared" si="12"/>
        <v>0</v>
      </c>
      <c r="D106" s="319">
        <f t="array" ref="D106">SUM(IF((Budget[Ofc Code]=$B$6)*(Budget[Account Code]=$B106)*(Budget[Date]=D$7),Budget[Amount]))</f>
        <v>0</v>
      </c>
      <c r="E106" s="319">
        <f t="array" ref="E106">SUM(IF((Budget[Ofc Code]=$B$6)*(Budget[Account Code]=$B106)*(Budget[Date]=E$7),Budget[Amount]))</f>
        <v>0</v>
      </c>
      <c r="F106" s="319">
        <f t="array" ref="F106">SUM(IF((Budget[Ofc Code]=$B$6)*(Budget[Account Code]=$B106)*(Budget[Date]=F$7),Budget[Amount]))</f>
        <v>0</v>
      </c>
      <c r="G106" s="319">
        <f t="array" ref="G106">SUM(IF((Budget[Ofc Code]=$B$6)*(Budget[Account Code]=$B106)*(Budget[Date]=G$7),Budget[Amount]))</f>
        <v>0</v>
      </c>
      <c r="H106" s="319">
        <f t="array" ref="H106">SUM(IF((Budget[Ofc Code]=$B$6)*(Budget[Account Code]=$B106)*(Budget[Date]=H$7),Budget[Amount]))</f>
        <v>0</v>
      </c>
      <c r="I106" s="319">
        <f t="array" ref="I106">SUM(IF((Budget[Ofc Code]=$B$6)*(Budget[Account Code]=$B106)*(Budget[Date]=I$7),Budget[Amount]))</f>
        <v>0</v>
      </c>
      <c r="J106" s="319">
        <f t="array" ref="J106">SUM(IF((Budget[Ofc Code]=$B$6)*(Budget[Account Code]=$B106)*(Budget[Date]=J$7),Budget[Amount]))</f>
        <v>0</v>
      </c>
      <c r="K106" s="319">
        <f t="array" ref="K106">SUM(IF((Budget[Ofc Code]=$B$6)*(Budget[Account Code]=$B106)*(Budget[Date]=K$7),Budget[Amount]))</f>
        <v>0</v>
      </c>
      <c r="L106" s="319">
        <f t="array" ref="L106">SUM(IF((Budget[Ofc Code]=$B$6)*(Budget[Account Code]=$B106)*(Budget[Date]=L$7),Budget[Amount]))</f>
        <v>0</v>
      </c>
      <c r="M106" s="319">
        <f t="array" ref="M106">SUM(IF((Budget[Ofc Code]=$B$6)*(Budget[Account Code]=$B106)*(Budget[Date]=M$7),Budget[Amount]))</f>
        <v>0</v>
      </c>
      <c r="N106" s="319">
        <f t="array" ref="N106">SUM(IF((Budget[Ofc Code]=$B$6)*(Budget[Account Code]=$B106)*(Budget[Date]=N$7),Budget[Amount]))</f>
        <v>0</v>
      </c>
      <c r="O106" s="319">
        <f t="array" ref="O106">SUM(IF((Budget[Ofc Code]=$B$6)*(Budget[Account Code]=$B106)*(Budget[Date]=O$7),Budget[Amount]))</f>
        <v>0</v>
      </c>
      <c r="P106" s="319">
        <f t="shared" si="17"/>
        <v>0</v>
      </c>
    </row>
    <row r="107" spans="1:16" x14ac:dyDescent="0.25">
      <c r="A107" s="323" t="s">
        <v>929</v>
      </c>
      <c r="B107" s="317" t="s">
        <v>238</v>
      </c>
      <c r="C107" s="319">
        <f t="shared" si="12"/>
        <v>0</v>
      </c>
      <c r="D107" s="319">
        <f t="array" ref="D107">SUM(IF((Budget[Ofc Code]=$B$6)*(Budget[Account Code]=$B107)*(Budget[Date]=D$7),Budget[Amount]))</f>
        <v>0</v>
      </c>
      <c r="E107" s="319">
        <f t="array" ref="E107">SUM(IF((Budget[Ofc Code]=$B$6)*(Budget[Account Code]=$B107)*(Budget[Date]=E$7),Budget[Amount]))</f>
        <v>0</v>
      </c>
      <c r="F107" s="319">
        <f t="array" ref="F107">SUM(IF((Budget[Ofc Code]=$B$6)*(Budget[Account Code]=$B107)*(Budget[Date]=F$7),Budget[Amount]))</f>
        <v>0</v>
      </c>
      <c r="G107" s="319">
        <f t="array" ref="G107">SUM(IF((Budget[Ofc Code]=$B$6)*(Budget[Account Code]=$B107)*(Budget[Date]=G$7),Budget[Amount]))</f>
        <v>0</v>
      </c>
      <c r="H107" s="319">
        <f t="array" ref="H107">SUM(IF((Budget[Ofc Code]=$B$6)*(Budget[Account Code]=$B107)*(Budget[Date]=H$7),Budget[Amount]))</f>
        <v>0</v>
      </c>
      <c r="I107" s="319">
        <f t="array" ref="I107">SUM(IF((Budget[Ofc Code]=$B$6)*(Budget[Account Code]=$B107)*(Budget[Date]=I$7),Budget[Amount]))</f>
        <v>0</v>
      </c>
      <c r="J107" s="319">
        <f t="array" ref="J107">SUM(IF((Budget[Ofc Code]=$B$6)*(Budget[Account Code]=$B107)*(Budget[Date]=J$7),Budget[Amount]))</f>
        <v>0</v>
      </c>
      <c r="K107" s="319">
        <f t="array" ref="K107">SUM(IF((Budget[Ofc Code]=$B$6)*(Budget[Account Code]=$B107)*(Budget[Date]=K$7),Budget[Amount]))</f>
        <v>0</v>
      </c>
      <c r="L107" s="319">
        <f t="array" ref="L107">SUM(IF((Budget[Ofc Code]=$B$6)*(Budget[Account Code]=$B107)*(Budget[Date]=L$7),Budget[Amount]))</f>
        <v>0</v>
      </c>
      <c r="M107" s="319">
        <f t="array" ref="M107">SUM(IF((Budget[Ofc Code]=$B$6)*(Budget[Account Code]=$B107)*(Budget[Date]=M$7),Budget[Amount]))</f>
        <v>0</v>
      </c>
      <c r="N107" s="319">
        <f t="array" ref="N107">SUM(IF((Budget[Ofc Code]=$B$6)*(Budget[Account Code]=$B107)*(Budget[Date]=N$7),Budget[Amount]))</f>
        <v>0</v>
      </c>
      <c r="O107" s="319">
        <f t="array" ref="O107">SUM(IF((Budget[Ofc Code]=$B$6)*(Budget[Account Code]=$B107)*(Budget[Date]=O$7),Budget[Amount]))</f>
        <v>0</v>
      </c>
      <c r="P107" s="319">
        <f t="shared" si="17"/>
        <v>0</v>
      </c>
    </row>
    <row r="108" spans="1:16" s="171" customFormat="1" x14ac:dyDescent="0.25">
      <c r="A108" s="321" t="s">
        <v>930</v>
      </c>
      <c r="B108" s="317" t="s">
        <v>239</v>
      </c>
      <c r="C108" s="322">
        <f t="shared" si="12"/>
        <v>0</v>
      </c>
      <c r="D108" s="322">
        <v>0</v>
      </c>
      <c r="E108" s="322">
        <v>0</v>
      </c>
      <c r="F108" s="322">
        <v>0</v>
      </c>
      <c r="G108" s="322">
        <v>0</v>
      </c>
      <c r="H108" s="322">
        <v>0</v>
      </c>
      <c r="I108" s="322">
        <v>0</v>
      </c>
      <c r="J108" s="322">
        <v>0</v>
      </c>
      <c r="K108" s="322">
        <v>0</v>
      </c>
      <c r="L108" s="322">
        <v>0</v>
      </c>
      <c r="M108" s="322">
        <v>0</v>
      </c>
      <c r="N108" s="322">
        <v>0</v>
      </c>
      <c r="O108" s="322">
        <v>0</v>
      </c>
      <c r="P108" s="322">
        <f t="shared" si="17"/>
        <v>0</v>
      </c>
    </row>
    <row r="109" spans="1:16" s="171" customFormat="1" x14ac:dyDescent="0.25">
      <c r="A109" s="321" t="s">
        <v>931</v>
      </c>
      <c r="B109" s="317" t="s">
        <v>240</v>
      </c>
      <c r="C109" s="322">
        <f t="shared" si="12"/>
        <v>0</v>
      </c>
      <c r="D109" s="319">
        <f t="array" ref="D109">SUM(IF((Budget[Ofc Code]=$B$6)*(Budget[Account Code]=$B109)*(Budget[Date]=D$7),Budget[Amount]))</f>
        <v>0</v>
      </c>
      <c r="E109" s="319">
        <f t="array" ref="E109">SUM(IF((Budget[Ofc Code]=$B$6)*(Budget[Account Code]=$B109)*(Budget[Date]=E$7),Budget[Amount]))</f>
        <v>0</v>
      </c>
      <c r="F109" s="319">
        <f t="array" ref="F109">SUM(IF((Budget[Ofc Code]=$B$6)*(Budget[Account Code]=$B109)*(Budget[Date]=F$7),Budget[Amount]))</f>
        <v>0</v>
      </c>
      <c r="G109" s="319">
        <f t="array" ref="G109">SUM(IF((Budget[Ofc Code]=$B$6)*(Budget[Account Code]=$B109)*(Budget[Date]=G$7),Budget[Amount]))</f>
        <v>0</v>
      </c>
      <c r="H109" s="319">
        <f t="array" ref="H109">SUM(IF((Budget[Ofc Code]=$B$6)*(Budget[Account Code]=$B109)*(Budget[Date]=H$7),Budget[Amount]))</f>
        <v>0</v>
      </c>
      <c r="I109" s="319">
        <f t="array" ref="I109">SUM(IF((Budget[Ofc Code]=$B$6)*(Budget[Account Code]=$B109)*(Budget[Date]=I$7),Budget[Amount]))</f>
        <v>0</v>
      </c>
      <c r="J109" s="319">
        <f t="array" ref="J109">SUM(IF((Budget[Ofc Code]=$B$6)*(Budget[Account Code]=$B109)*(Budget[Date]=J$7),Budget[Amount]))</f>
        <v>0</v>
      </c>
      <c r="K109" s="319">
        <f t="array" ref="K109">SUM(IF((Budget[Ofc Code]=$B$6)*(Budget[Account Code]=$B109)*(Budget[Date]=K$7),Budget[Amount]))</f>
        <v>0</v>
      </c>
      <c r="L109" s="319">
        <f t="array" ref="L109">SUM(IF((Budget[Ofc Code]=$B$6)*(Budget[Account Code]=$B109)*(Budget[Date]=L$7),Budget[Amount]))</f>
        <v>0</v>
      </c>
      <c r="M109" s="319">
        <f t="array" ref="M109">SUM(IF((Budget[Ofc Code]=$B$6)*(Budget[Account Code]=$B109)*(Budget[Date]=M$7),Budget[Amount]))</f>
        <v>0</v>
      </c>
      <c r="N109" s="319">
        <f t="array" ref="N109">SUM(IF((Budget[Ofc Code]=$B$6)*(Budget[Account Code]=$B109)*(Budget[Date]=N$7),Budget[Amount]))</f>
        <v>0</v>
      </c>
      <c r="O109" s="319">
        <f t="array" ref="O109">SUM(IF((Budget[Ofc Code]=$B$6)*(Budget[Account Code]=$B109)*(Budget[Date]=O$7),Budget[Amount]))</f>
        <v>0</v>
      </c>
      <c r="P109" s="322">
        <f t="shared" si="17"/>
        <v>0</v>
      </c>
    </row>
    <row r="110" spans="1:16" s="171" customFormat="1" x14ac:dyDescent="0.25">
      <c r="A110" s="321" t="s">
        <v>932</v>
      </c>
      <c r="B110" s="317" t="s">
        <v>241</v>
      </c>
      <c r="C110" s="322">
        <f t="shared" si="12"/>
        <v>0</v>
      </c>
      <c r="D110" s="319">
        <f t="array" ref="D110">SUM(IF((Budget[Ofc Code]=$B$6)*(Budget[Account Code]=$B110)*(Budget[Date]=D$7),Budget[Amount]))</f>
        <v>0</v>
      </c>
      <c r="E110" s="319">
        <f t="array" ref="E110">SUM(IF((Budget[Ofc Code]=$B$6)*(Budget[Account Code]=$B110)*(Budget[Date]=E$7),Budget[Amount]))</f>
        <v>0</v>
      </c>
      <c r="F110" s="319">
        <f t="array" ref="F110">SUM(IF((Budget[Ofc Code]=$B$6)*(Budget[Account Code]=$B110)*(Budget[Date]=F$7),Budget[Amount]))</f>
        <v>0</v>
      </c>
      <c r="G110" s="319">
        <f t="array" ref="G110">SUM(IF((Budget[Ofc Code]=$B$6)*(Budget[Account Code]=$B110)*(Budget[Date]=G$7),Budget[Amount]))</f>
        <v>0</v>
      </c>
      <c r="H110" s="319">
        <f t="array" ref="H110">SUM(IF((Budget[Ofc Code]=$B$6)*(Budget[Account Code]=$B110)*(Budget[Date]=H$7),Budget[Amount]))</f>
        <v>0</v>
      </c>
      <c r="I110" s="319">
        <f t="array" ref="I110">SUM(IF((Budget[Ofc Code]=$B$6)*(Budget[Account Code]=$B110)*(Budget[Date]=I$7),Budget[Amount]))</f>
        <v>0</v>
      </c>
      <c r="J110" s="319">
        <f t="array" ref="J110">SUM(IF((Budget[Ofc Code]=$B$6)*(Budget[Account Code]=$B110)*(Budget[Date]=J$7),Budget[Amount]))</f>
        <v>0</v>
      </c>
      <c r="K110" s="319">
        <f t="array" ref="K110">SUM(IF((Budget[Ofc Code]=$B$6)*(Budget[Account Code]=$B110)*(Budget[Date]=K$7),Budget[Amount]))</f>
        <v>0</v>
      </c>
      <c r="L110" s="319">
        <f t="array" ref="L110">SUM(IF((Budget[Ofc Code]=$B$6)*(Budget[Account Code]=$B110)*(Budget[Date]=L$7),Budget[Amount]))</f>
        <v>0</v>
      </c>
      <c r="M110" s="319">
        <f t="array" ref="M110">SUM(IF((Budget[Ofc Code]=$B$6)*(Budget[Account Code]=$B110)*(Budget[Date]=M$7),Budget[Amount]))</f>
        <v>0</v>
      </c>
      <c r="N110" s="319">
        <f t="array" ref="N110">SUM(IF((Budget[Ofc Code]=$B$6)*(Budget[Account Code]=$B110)*(Budget[Date]=N$7),Budget[Amount]))</f>
        <v>0</v>
      </c>
      <c r="O110" s="319">
        <f t="array" ref="O110">SUM(IF((Budget[Ofc Code]=$B$6)*(Budget[Account Code]=$B110)*(Budget[Date]=O$7),Budget[Amount]))</f>
        <v>0</v>
      </c>
      <c r="P110" s="322">
        <f t="shared" si="17"/>
        <v>0</v>
      </c>
    </row>
    <row r="111" spans="1:16" s="171" customFormat="1" x14ac:dyDescent="0.25">
      <c r="A111" s="321" t="s">
        <v>933</v>
      </c>
      <c r="B111" s="317" t="s">
        <v>242</v>
      </c>
      <c r="C111" s="322">
        <f t="shared" si="12"/>
        <v>0</v>
      </c>
      <c r="D111" s="319">
        <f t="array" ref="D111">SUM(IF((Budget[Ofc Code]=$B$6)*(Budget[Account Code]=$B111)*(Budget[Date]=D$7),Budget[Amount]))</f>
        <v>0</v>
      </c>
      <c r="E111" s="319">
        <f t="array" ref="E111">SUM(IF((Budget[Ofc Code]=$B$6)*(Budget[Account Code]=$B111)*(Budget[Date]=E$7),Budget[Amount]))</f>
        <v>0</v>
      </c>
      <c r="F111" s="319">
        <f t="array" ref="F111">SUM(IF((Budget[Ofc Code]=$B$6)*(Budget[Account Code]=$B111)*(Budget[Date]=F$7),Budget[Amount]))</f>
        <v>0</v>
      </c>
      <c r="G111" s="319">
        <f t="array" ref="G111">SUM(IF((Budget[Ofc Code]=$B$6)*(Budget[Account Code]=$B111)*(Budget[Date]=G$7),Budget[Amount]))</f>
        <v>0</v>
      </c>
      <c r="H111" s="319">
        <f t="array" ref="H111">SUM(IF((Budget[Ofc Code]=$B$6)*(Budget[Account Code]=$B111)*(Budget[Date]=H$7),Budget[Amount]))</f>
        <v>0</v>
      </c>
      <c r="I111" s="319">
        <f t="array" ref="I111">SUM(IF((Budget[Ofc Code]=$B$6)*(Budget[Account Code]=$B111)*(Budget[Date]=I$7),Budget[Amount]))</f>
        <v>0</v>
      </c>
      <c r="J111" s="319">
        <f t="array" ref="J111">SUM(IF((Budget[Ofc Code]=$B$6)*(Budget[Account Code]=$B111)*(Budget[Date]=J$7),Budget[Amount]))</f>
        <v>0</v>
      </c>
      <c r="K111" s="319">
        <f t="array" ref="K111">SUM(IF((Budget[Ofc Code]=$B$6)*(Budget[Account Code]=$B111)*(Budget[Date]=K$7),Budget[Amount]))</f>
        <v>0</v>
      </c>
      <c r="L111" s="319">
        <f t="array" ref="L111">SUM(IF((Budget[Ofc Code]=$B$6)*(Budget[Account Code]=$B111)*(Budget[Date]=L$7),Budget[Amount]))</f>
        <v>0</v>
      </c>
      <c r="M111" s="319">
        <f t="array" ref="M111">SUM(IF((Budget[Ofc Code]=$B$6)*(Budget[Account Code]=$B111)*(Budget[Date]=M$7),Budget[Amount]))</f>
        <v>0</v>
      </c>
      <c r="N111" s="319">
        <f t="array" ref="N111">SUM(IF((Budget[Ofc Code]=$B$6)*(Budget[Account Code]=$B111)*(Budget[Date]=N$7),Budget[Amount]))</f>
        <v>0</v>
      </c>
      <c r="O111" s="319">
        <f t="array" ref="O111">SUM(IF((Budget[Ofc Code]=$B$6)*(Budget[Account Code]=$B111)*(Budget[Date]=O$7),Budget[Amount]))</f>
        <v>0</v>
      </c>
      <c r="P111" s="322">
        <f t="shared" si="17"/>
        <v>0</v>
      </c>
    </row>
    <row r="112" spans="1:16" s="171" customFormat="1" x14ac:dyDescent="0.25">
      <c r="A112" s="321" t="s">
        <v>934</v>
      </c>
      <c r="B112" s="317" t="s">
        <v>243</v>
      </c>
      <c r="C112" s="322">
        <f t="shared" si="12"/>
        <v>0</v>
      </c>
      <c r="D112" s="319">
        <f t="array" ref="D112">SUM(IF((Budget[Ofc Code]=$B$6)*(Budget[Account Code]=$B112)*(Budget[Date]=D$7),Budget[Amount]))</f>
        <v>0</v>
      </c>
      <c r="E112" s="319">
        <f t="array" ref="E112">SUM(IF((Budget[Ofc Code]=$B$6)*(Budget[Account Code]=$B112)*(Budget[Date]=E$7),Budget[Amount]))</f>
        <v>0</v>
      </c>
      <c r="F112" s="319">
        <f t="array" ref="F112">SUM(IF((Budget[Ofc Code]=$B$6)*(Budget[Account Code]=$B112)*(Budget[Date]=F$7),Budget[Amount]))</f>
        <v>0</v>
      </c>
      <c r="G112" s="319">
        <f t="array" ref="G112">SUM(IF((Budget[Ofc Code]=$B$6)*(Budget[Account Code]=$B112)*(Budget[Date]=G$7),Budget[Amount]))</f>
        <v>0</v>
      </c>
      <c r="H112" s="319">
        <f t="array" ref="H112">SUM(IF((Budget[Ofc Code]=$B$6)*(Budget[Account Code]=$B112)*(Budget[Date]=H$7),Budget[Amount]))</f>
        <v>0</v>
      </c>
      <c r="I112" s="319">
        <f t="array" ref="I112">SUM(IF((Budget[Ofc Code]=$B$6)*(Budget[Account Code]=$B112)*(Budget[Date]=I$7),Budget[Amount]))</f>
        <v>0</v>
      </c>
      <c r="J112" s="319">
        <f t="array" ref="J112">SUM(IF((Budget[Ofc Code]=$B$6)*(Budget[Account Code]=$B112)*(Budget[Date]=J$7),Budget[Amount]))</f>
        <v>0</v>
      </c>
      <c r="K112" s="319">
        <f t="array" ref="K112">SUM(IF((Budget[Ofc Code]=$B$6)*(Budget[Account Code]=$B112)*(Budget[Date]=K$7),Budget[Amount]))</f>
        <v>0</v>
      </c>
      <c r="L112" s="319">
        <f t="array" ref="L112">SUM(IF((Budget[Ofc Code]=$B$6)*(Budget[Account Code]=$B112)*(Budget[Date]=L$7),Budget[Amount]))</f>
        <v>0</v>
      </c>
      <c r="M112" s="319">
        <f t="array" ref="M112">SUM(IF((Budget[Ofc Code]=$B$6)*(Budget[Account Code]=$B112)*(Budget[Date]=M$7),Budget[Amount]))</f>
        <v>0</v>
      </c>
      <c r="N112" s="319">
        <f t="array" ref="N112">SUM(IF((Budget[Ofc Code]=$B$6)*(Budget[Account Code]=$B112)*(Budget[Date]=N$7),Budget[Amount]))</f>
        <v>0</v>
      </c>
      <c r="O112" s="319">
        <f t="array" ref="O112">SUM(IF((Budget[Ofc Code]=$B$6)*(Budget[Account Code]=$B112)*(Budget[Date]=O$7),Budget[Amount]))</f>
        <v>0</v>
      </c>
      <c r="P112" s="322">
        <f t="shared" si="17"/>
        <v>0</v>
      </c>
    </row>
    <row r="113" spans="1:16" s="171" customFormat="1" x14ac:dyDescent="0.25">
      <c r="A113" s="321" t="s">
        <v>935</v>
      </c>
      <c r="B113" s="317" t="s">
        <v>244</v>
      </c>
      <c r="C113" s="322">
        <f t="shared" si="12"/>
        <v>0</v>
      </c>
      <c r="D113" s="319">
        <f t="array" ref="D113">SUM(IF((Budget[Ofc Code]=$B$6)*(Budget[Account Code]=$B113)*(Budget[Date]=D$7),Budget[Amount]))</f>
        <v>0</v>
      </c>
      <c r="E113" s="319">
        <f t="array" ref="E113">SUM(IF((Budget[Ofc Code]=$B$6)*(Budget[Account Code]=$B113)*(Budget[Date]=E$7),Budget[Amount]))</f>
        <v>0</v>
      </c>
      <c r="F113" s="319">
        <f t="array" ref="F113">SUM(IF((Budget[Ofc Code]=$B$6)*(Budget[Account Code]=$B113)*(Budget[Date]=F$7),Budget[Amount]))</f>
        <v>0</v>
      </c>
      <c r="G113" s="319">
        <f t="array" ref="G113">SUM(IF((Budget[Ofc Code]=$B$6)*(Budget[Account Code]=$B113)*(Budget[Date]=G$7),Budget[Amount]))</f>
        <v>0</v>
      </c>
      <c r="H113" s="319">
        <f t="array" ref="H113">SUM(IF((Budget[Ofc Code]=$B$6)*(Budget[Account Code]=$B113)*(Budget[Date]=H$7),Budget[Amount]))</f>
        <v>0</v>
      </c>
      <c r="I113" s="319">
        <f t="array" ref="I113">SUM(IF((Budget[Ofc Code]=$B$6)*(Budget[Account Code]=$B113)*(Budget[Date]=I$7),Budget[Amount]))</f>
        <v>0</v>
      </c>
      <c r="J113" s="319">
        <f t="array" ref="J113">SUM(IF((Budget[Ofc Code]=$B$6)*(Budget[Account Code]=$B113)*(Budget[Date]=J$7),Budget[Amount]))</f>
        <v>0</v>
      </c>
      <c r="K113" s="319">
        <f t="array" ref="K113">SUM(IF((Budget[Ofc Code]=$B$6)*(Budget[Account Code]=$B113)*(Budget[Date]=K$7),Budget[Amount]))</f>
        <v>0</v>
      </c>
      <c r="L113" s="319">
        <f t="array" ref="L113">SUM(IF((Budget[Ofc Code]=$B$6)*(Budget[Account Code]=$B113)*(Budget[Date]=L$7),Budget[Amount]))</f>
        <v>0</v>
      </c>
      <c r="M113" s="319">
        <f t="array" ref="M113">SUM(IF((Budget[Ofc Code]=$B$6)*(Budget[Account Code]=$B113)*(Budget[Date]=M$7),Budget[Amount]))</f>
        <v>0</v>
      </c>
      <c r="N113" s="319">
        <f t="array" ref="N113">SUM(IF((Budget[Ofc Code]=$B$6)*(Budget[Account Code]=$B113)*(Budget[Date]=N$7),Budget[Amount]))</f>
        <v>0</v>
      </c>
      <c r="O113" s="319">
        <f t="array" ref="O113">SUM(IF((Budget[Ofc Code]=$B$6)*(Budget[Account Code]=$B113)*(Budget[Date]=O$7),Budget[Amount]))</f>
        <v>0</v>
      </c>
      <c r="P113" s="322">
        <f t="shared" si="17"/>
        <v>0</v>
      </c>
    </row>
    <row r="114" spans="1:16" s="171" customFormat="1" x14ac:dyDescent="0.25">
      <c r="A114" s="321" t="s">
        <v>936</v>
      </c>
      <c r="B114" s="317" t="s">
        <v>338</v>
      </c>
      <c r="C114" s="322">
        <f t="shared" si="12"/>
        <v>0</v>
      </c>
      <c r="D114" s="319">
        <f t="array" ref="D114">SUM(IF((Budget[Ofc Code]=$B$6)*(Budget[Account Code]=$B114)*(Budget[Date]=D$7),Budget[Amount]))</f>
        <v>0</v>
      </c>
      <c r="E114" s="319">
        <f t="array" ref="E114">SUM(IF((Budget[Ofc Code]=$B$6)*(Budget[Account Code]=$B114)*(Budget[Date]=E$7),Budget[Amount]))</f>
        <v>0</v>
      </c>
      <c r="F114" s="319">
        <f t="array" ref="F114">SUM(IF((Budget[Ofc Code]=$B$6)*(Budget[Account Code]=$B114)*(Budget[Date]=F$7),Budget[Amount]))</f>
        <v>0</v>
      </c>
      <c r="G114" s="319">
        <f t="array" ref="G114">SUM(IF((Budget[Ofc Code]=$B$6)*(Budget[Account Code]=$B114)*(Budget[Date]=G$7),Budget[Amount]))</f>
        <v>0</v>
      </c>
      <c r="H114" s="319">
        <f t="array" ref="H114">SUM(IF((Budget[Ofc Code]=$B$6)*(Budget[Account Code]=$B114)*(Budget[Date]=H$7),Budget[Amount]))</f>
        <v>0</v>
      </c>
      <c r="I114" s="319">
        <f t="array" ref="I114">SUM(IF((Budget[Ofc Code]=$B$6)*(Budget[Account Code]=$B114)*(Budget[Date]=I$7),Budget[Amount]))</f>
        <v>0</v>
      </c>
      <c r="J114" s="319">
        <f t="array" ref="J114">SUM(IF((Budget[Ofc Code]=$B$6)*(Budget[Account Code]=$B114)*(Budget[Date]=J$7),Budget[Amount]))</f>
        <v>0</v>
      </c>
      <c r="K114" s="319">
        <f t="array" ref="K114">SUM(IF((Budget[Ofc Code]=$B$6)*(Budget[Account Code]=$B114)*(Budget[Date]=K$7),Budget[Amount]))</f>
        <v>0</v>
      </c>
      <c r="L114" s="319">
        <f t="array" ref="L114">SUM(IF((Budget[Ofc Code]=$B$6)*(Budget[Account Code]=$B114)*(Budget[Date]=L$7),Budget[Amount]))</f>
        <v>0</v>
      </c>
      <c r="M114" s="319">
        <f t="array" ref="M114">SUM(IF((Budget[Ofc Code]=$B$6)*(Budget[Account Code]=$B114)*(Budget[Date]=M$7),Budget[Amount]))</f>
        <v>0</v>
      </c>
      <c r="N114" s="319">
        <f t="array" ref="N114">SUM(IF((Budget[Ofc Code]=$B$6)*(Budget[Account Code]=$B114)*(Budget[Date]=N$7),Budget[Amount]))</f>
        <v>0</v>
      </c>
      <c r="O114" s="319">
        <f t="array" ref="O114">SUM(IF((Budget[Ofc Code]=$B$6)*(Budget[Account Code]=$B114)*(Budget[Date]=O$7),Budget[Amount]))</f>
        <v>0</v>
      </c>
      <c r="P114" s="322">
        <f t="shared" si="17"/>
        <v>0</v>
      </c>
    </row>
    <row r="115" spans="1:16" s="171" customFormat="1" x14ac:dyDescent="0.25">
      <c r="A115" s="321" t="s">
        <v>937</v>
      </c>
      <c r="B115" s="317" t="s">
        <v>339</v>
      </c>
      <c r="C115" s="322">
        <f t="shared" si="12"/>
        <v>0</v>
      </c>
      <c r="D115" s="319">
        <f t="array" ref="D115">SUM(IF((Budget[Ofc Code]=$B$6)*(Budget[Account Code]=$B115)*(Budget[Date]=D$7),Budget[Amount]))</f>
        <v>0</v>
      </c>
      <c r="E115" s="319">
        <f t="array" ref="E115">SUM(IF((Budget[Ofc Code]=$B$6)*(Budget[Account Code]=$B115)*(Budget[Date]=E$7),Budget[Amount]))</f>
        <v>0</v>
      </c>
      <c r="F115" s="319">
        <f t="array" ref="F115">SUM(IF((Budget[Ofc Code]=$B$6)*(Budget[Account Code]=$B115)*(Budget[Date]=F$7),Budget[Amount]))</f>
        <v>0</v>
      </c>
      <c r="G115" s="319">
        <f t="array" ref="G115">SUM(IF((Budget[Ofc Code]=$B$6)*(Budget[Account Code]=$B115)*(Budget[Date]=G$7),Budget[Amount]))</f>
        <v>0</v>
      </c>
      <c r="H115" s="319">
        <f t="array" ref="H115">SUM(IF((Budget[Ofc Code]=$B$6)*(Budget[Account Code]=$B115)*(Budget[Date]=H$7),Budget[Amount]))</f>
        <v>0</v>
      </c>
      <c r="I115" s="319">
        <f t="array" ref="I115">SUM(IF((Budget[Ofc Code]=$B$6)*(Budget[Account Code]=$B115)*(Budget[Date]=I$7),Budget[Amount]))</f>
        <v>0</v>
      </c>
      <c r="J115" s="319">
        <f t="array" ref="J115">SUM(IF((Budget[Ofc Code]=$B$6)*(Budget[Account Code]=$B115)*(Budget[Date]=J$7),Budget[Amount]))</f>
        <v>0</v>
      </c>
      <c r="K115" s="319">
        <f t="array" ref="K115">SUM(IF((Budget[Ofc Code]=$B$6)*(Budget[Account Code]=$B115)*(Budget[Date]=K$7),Budget[Amount]))</f>
        <v>0</v>
      </c>
      <c r="L115" s="319">
        <f t="array" ref="L115">SUM(IF((Budget[Ofc Code]=$B$6)*(Budget[Account Code]=$B115)*(Budget[Date]=L$7),Budget[Amount]))</f>
        <v>0</v>
      </c>
      <c r="M115" s="319">
        <f t="array" ref="M115">SUM(IF((Budget[Ofc Code]=$B$6)*(Budget[Account Code]=$B115)*(Budget[Date]=M$7),Budget[Amount]))</f>
        <v>0</v>
      </c>
      <c r="N115" s="319">
        <f t="array" ref="N115">SUM(IF((Budget[Ofc Code]=$B$6)*(Budget[Account Code]=$B115)*(Budget[Date]=N$7),Budget[Amount]))</f>
        <v>0</v>
      </c>
      <c r="O115" s="319">
        <f t="array" ref="O115">SUM(IF((Budget[Ofc Code]=$B$6)*(Budget[Account Code]=$B115)*(Budget[Date]=O$7),Budget[Amount]))</f>
        <v>0</v>
      </c>
      <c r="P115" s="322">
        <f t="shared" si="17"/>
        <v>0</v>
      </c>
    </row>
    <row r="116" spans="1:16" s="171" customFormat="1" x14ac:dyDescent="0.25">
      <c r="A116" s="321" t="s">
        <v>938</v>
      </c>
      <c r="B116" s="317" t="s">
        <v>245</v>
      </c>
      <c r="C116" s="322">
        <f t="shared" si="12"/>
        <v>0</v>
      </c>
      <c r="D116" s="319">
        <f t="array" ref="D116">SUM(IF((Budget[Ofc Code]=$B$6)*(Budget[Account Code]=$B116)*(Budget[Date]=D$7),Budget[Amount]))</f>
        <v>0</v>
      </c>
      <c r="E116" s="319">
        <f t="array" ref="E116">SUM(IF((Budget[Ofc Code]=$B$6)*(Budget[Account Code]=$B116)*(Budget[Date]=E$7),Budget[Amount]))</f>
        <v>0</v>
      </c>
      <c r="F116" s="319">
        <f t="array" ref="F116">SUM(IF((Budget[Ofc Code]=$B$6)*(Budget[Account Code]=$B116)*(Budget[Date]=F$7),Budget[Amount]))</f>
        <v>0</v>
      </c>
      <c r="G116" s="319">
        <f t="array" ref="G116">SUM(IF((Budget[Ofc Code]=$B$6)*(Budget[Account Code]=$B116)*(Budget[Date]=G$7),Budget[Amount]))</f>
        <v>0</v>
      </c>
      <c r="H116" s="319">
        <f t="array" ref="H116">SUM(IF((Budget[Ofc Code]=$B$6)*(Budget[Account Code]=$B116)*(Budget[Date]=H$7),Budget[Amount]))</f>
        <v>0</v>
      </c>
      <c r="I116" s="319">
        <f t="array" ref="I116">SUM(IF((Budget[Ofc Code]=$B$6)*(Budget[Account Code]=$B116)*(Budget[Date]=I$7),Budget[Amount]))</f>
        <v>0</v>
      </c>
      <c r="J116" s="319">
        <f t="array" ref="J116">SUM(IF((Budget[Ofc Code]=$B$6)*(Budget[Account Code]=$B116)*(Budget[Date]=J$7),Budget[Amount]))</f>
        <v>0</v>
      </c>
      <c r="K116" s="319">
        <f t="array" ref="K116">SUM(IF((Budget[Ofc Code]=$B$6)*(Budget[Account Code]=$B116)*(Budget[Date]=K$7),Budget[Amount]))</f>
        <v>0</v>
      </c>
      <c r="L116" s="319">
        <f t="array" ref="L116">SUM(IF((Budget[Ofc Code]=$B$6)*(Budget[Account Code]=$B116)*(Budget[Date]=L$7),Budget[Amount]))</f>
        <v>0</v>
      </c>
      <c r="M116" s="319">
        <f t="array" ref="M116">SUM(IF((Budget[Ofc Code]=$B$6)*(Budget[Account Code]=$B116)*(Budget[Date]=M$7),Budget[Amount]))</f>
        <v>0</v>
      </c>
      <c r="N116" s="319">
        <f t="array" ref="N116">SUM(IF((Budget[Ofc Code]=$B$6)*(Budget[Account Code]=$B116)*(Budget[Date]=N$7),Budget[Amount]))</f>
        <v>0</v>
      </c>
      <c r="O116" s="319">
        <f t="array" ref="O116">SUM(IF((Budget[Ofc Code]=$B$6)*(Budget[Account Code]=$B116)*(Budget[Date]=O$7),Budget[Amount]))</f>
        <v>0</v>
      </c>
      <c r="P116" s="322">
        <f t="shared" si="17"/>
        <v>0</v>
      </c>
    </row>
    <row r="117" spans="1:16" s="171" customFormat="1" x14ac:dyDescent="0.25">
      <c r="A117" s="321" t="s">
        <v>939</v>
      </c>
      <c r="B117" s="317"/>
      <c r="C117" s="322">
        <f t="shared" si="12"/>
        <v>0</v>
      </c>
      <c r="D117" s="322">
        <f>SUM(D118:D125)</f>
        <v>0</v>
      </c>
      <c r="E117" s="322">
        <f t="shared" ref="E117:O117" si="24">SUM(E118:E125)</f>
        <v>0</v>
      </c>
      <c r="F117" s="322">
        <f t="shared" si="24"/>
        <v>0</v>
      </c>
      <c r="G117" s="322">
        <f t="shared" si="24"/>
        <v>0</v>
      </c>
      <c r="H117" s="322">
        <f t="shared" si="24"/>
        <v>0</v>
      </c>
      <c r="I117" s="322">
        <f t="shared" si="24"/>
        <v>0</v>
      </c>
      <c r="J117" s="322">
        <f t="shared" si="24"/>
        <v>0</v>
      </c>
      <c r="K117" s="322">
        <f t="shared" si="24"/>
        <v>0</v>
      </c>
      <c r="L117" s="322">
        <f t="shared" si="24"/>
        <v>0</v>
      </c>
      <c r="M117" s="322">
        <f t="shared" si="24"/>
        <v>0</v>
      </c>
      <c r="N117" s="322">
        <f t="shared" si="24"/>
        <v>0</v>
      </c>
      <c r="O117" s="322">
        <f t="shared" si="24"/>
        <v>0</v>
      </c>
      <c r="P117" s="322">
        <f t="shared" si="17"/>
        <v>0</v>
      </c>
    </row>
    <row r="118" spans="1:16" x14ac:dyDescent="0.25">
      <c r="A118" s="323" t="s">
        <v>940</v>
      </c>
      <c r="B118" s="317" t="s">
        <v>246</v>
      </c>
      <c r="C118" s="319">
        <f t="shared" si="12"/>
        <v>0</v>
      </c>
      <c r="D118" s="319">
        <f t="array" ref="D118">SUM(IF((Budget[Ofc Code]=$B$6)*(Budget[Account Code]=$B118)*(Budget[Date]=D$7),Budget[Amount]))</f>
        <v>0</v>
      </c>
      <c r="E118" s="319">
        <f t="array" ref="E118">SUM(IF((Budget[Ofc Code]=$B$6)*(Budget[Account Code]=$B118)*(Budget[Date]=E$7),Budget[Amount]))</f>
        <v>0</v>
      </c>
      <c r="F118" s="319">
        <f t="array" ref="F118">SUM(IF((Budget[Ofc Code]=$B$6)*(Budget[Account Code]=$B118)*(Budget[Date]=F$7),Budget[Amount]))</f>
        <v>0</v>
      </c>
      <c r="G118" s="319">
        <f t="array" ref="G118">SUM(IF((Budget[Ofc Code]=$B$6)*(Budget[Account Code]=$B118)*(Budget[Date]=G$7),Budget[Amount]))</f>
        <v>0</v>
      </c>
      <c r="H118" s="319">
        <f t="array" ref="H118">SUM(IF((Budget[Ofc Code]=$B$6)*(Budget[Account Code]=$B118)*(Budget[Date]=H$7),Budget[Amount]))</f>
        <v>0</v>
      </c>
      <c r="I118" s="319">
        <f t="array" ref="I118">SUM(IF((Budget[Ofc Code]=$B$6)*(Budget[Account Code]=$B118)*(Budget[Date]=I$7),Budget[Amount]))</f>
        <v>0</v>
      </c>
      <c r="J118" s="319">
        <f t="array" ref="J118">SUM(IF((Budget[Ofc Code]=$B$6)*(Budget[Account Code]=$B118)*(Budget[Date]=J$7),Budget[Amount]))</f>
        <v>0</v>
      </c>
      <c r="K118" s="319">
        <f t="array" ref="K118">SUM(IF((Budget[Ofc Code]=$B$6)*(Budget[Account Code]=$B118)*(Budget[Date]=K$7),Budget[Amount]))</f>
        <v>0</v>
      </c>
      <c r="L118" s="319">
        <f t="array" ref="L118">SUM(IF((Budget[Ofc Code]=$B$6)*(Budget[Account Code]=$B118)*(Budget[Date]=L$7),Budget[Amount]))</f>
        <v>0</v>
      </c>
      <c r="M118" s="319">
        <f t="array" ref="M118">SUM(IF((Budget[Ofc Code]=$B$6)*(Budget[Account Code]=$B118)*(Budget[Date]=M$7),Budget[Amount]))</f>
        <v>0</v>
      </c>
      <c r="N118" s="319">
        <f t="array" ref="N118">SUM(IF((Budget[Ofc Code]=$B$6)*(Budget[Account Code]=$B118)*(Budget[Date]=N$7),Budget[Amount]))</f>
        <v>0</v>
      </c>
      <c r="O118" s="319">
        <f t="array" ref="O118">SUM(IF((Budget[Ofc Code]=$B$6)*(Budget[Account Code]=$B118)*(Budget[Date]=O$7),Budget[Amount]))</f>
        <v>0</v>
      </c>
      <c r="P118" s="319">
        <f t="shared" si="17"/>
        <v>0</v>
      </c>
    </row>
    <row r="119" spans="1:16" x14ac:dyDescent="0.25">
      <c r="A119" s="323" t="s">
        <v>941</v>
      </c>
      <c r="B119" s="317" t="s">
        <v>222</v>
      </c>
      <c r="C119" s="319">
        <f t="shared" si="12"/>
        <v>0</v>
      </c>
      <c r="D119" s="319">
        <f t="array" ref="D119">SUM(IF((Budget[Ofc Code]=$B$6)*(Budget[Account Code]=$B119)*(Budget[Date]=D$7),Budget[Amount]))</f>
        <v>0</v>
      </c>
      <c r="E119" s="319">
        <f t="array" ref="E119">SUM(IF((Budget[Ofc Code]=$B$6)*(Budget[Account Code]=$B119)*(Budget[Date]=E$7),Budget[Amount]))</f>
        <v>0</v>
      </c>
      <c r="F119" s="319">
        <f t="array" ref="F119">SUM(IF((Budget[Ofc Code]=$B$6)*(Budget[Account Code]=$B119)*(Budget[Date]=F$7),Budget[Amount]))</f>
        <v>0</v>
      </c>
      <c r="G119" s="319">
        <f t="array" ref="G119">SUM(IF((Budget[Ofc Code]=$B$6)*(Budget[Account Code]=$B119)*(Budget[Date]=G$7),Budget[Amount]))</f>
        <v>0</v>
      </c>
      <c r="H119" s="319">
        <f t="array" ref="H119">SUM(IF((Budget[Ofc Code]=$B$6)*(Budget[Account Code]=$B119)*(Budget[Date]=H$7),Budget[Amount]))</f>
        <v>0</v>
      </c>
      <c r="I119" s="319">
        <f t="array" ref="I119">SUM(IF((Budget[Ofc Code]=$B$6)*(Budget[Account Code]=$B119)*(Budget[Date]=I$7),Budget[Amount]))</f>
        <v>0</v>
      </c>
      <c r="J119" s="319">
        <f t="array" ref="J119">SUM(IF((Budget[Ofc Code]=$B$6)*(Budget[Account Code]=$B119)*(Budget[Date]=J$7),Budget[Amount]))</f>
        <v>0</v>
      </c>
      <c r="K119" s="319">
        <f t="array" ref="K119">SUM(IF((Budget[Ofc Code]=$B$6)*(Budget[Account Code]=$B119)*(Budget[Date]=K$7),Budget[Amount]))</f>
        <v>0</v>
      </c>
      <c r="L119" s="319">
        <f t="array" ref="L119">SUM(IF((Budget[Ofc Code]=$B$6)*(Budget[Account Code]=$B119)*(Budget[Date]=L$7),Budget[Amount]))</f>
        <v>0</v>
      </c>
      <c r="M119" s="319">
        <f t="array" ref="M119">SUM(IF((Budget[Ofc Code]=$B$6)*(Budget[Account Code]=$B119)*(Budget[Date]=M$7),Budget[Amount]))</f>
        <v>0</v>
      </c>
      <c r="N119" s="319">
        <f t="array" ref="N119">SUM(IF((Budget[Ofc Code]=$B$6)*(Budget[Account Code]=$B119)*(Budget[Date]=N$7),Budget[Amount]))</f>
        <v>0</v>
      </c>
      <c r="O119" s="319">
        <f t="array" ref="O119">SUM(IF((Budget[Ofc Code]=$B$6)*(Budget[Account Code]=$B119)*(Budget[Date]=O$7),Budget[Amount]))</f>
        <v>0</v>
      </c>
      <c r="P119" s="319">
        <f t="shared" si="17"/>
        <v>0</v>
      </c>
    </row>
    <row r="120" spans="1:16" x14ac:dyDescent="0.25">
      <c r="A120" s="323" t="s">
        <v>942</v>
      </c>
      <c r="B120" s="317" t="s">
        <v>247</v>
      </c>
      <c r="C120" s="319">
        <f t="shared" si="12"/>
        <v>0</v>
      </c>
      <c r="D120" s="319">
        <f t="array" ref="D120">SUM(IF((Budget[Ofc Code]=$B$6)*(Budget[Account Code]=$B120)*(Budget[Date]=D$7),Budget[Amount]))</f>
        <v>0</v>
      </c>
      <c r="E120" s="319">
        <f t="array" ref="E120">SUM(IF((Budget[Ofc Code]=$B$6)*(Budget[Account Code]=$B120)*(Budget[Date]=E$7),Budget[Amount]))</f>
        <v>0</v>
      </c>
      <c r="F120" s="319">
        <f t="array" ref="F120">SUM(IF((Budget[Ofc Code]=$B$6)*(Budget[Account Code]=$B120)*(Budget[Date]=F$7),Budget[Amount]))</f>
        <v>0</v>
      </c>
      <c r="G120" s="319">
        <f t="array" ref="G120">SUM(IF((Budget[Ofc Code]=$B$6)*(Budget[Account Code]=$B120)*(Budget[Date]=G$7),Budget[Amount]))</f>
        <v>0</v>
      </c>
      <c r="H120" s="319">
        <f t="array" ref="H120">SUM(IF((Budget[Ofc Code]=$B$6)*(Budget[Account Code]=$B120)*(Budget[Date]=H$7),Budget[Amount]))</f>
        <v>0</v>
      </c>
      <c r="I120" s="319">
        <f t="array" ref="I120">SUM(IF((Budget[Ofc Code]=$B$6)*(Budget[Account Code]=$B120)*(Budget[Date]=I$7),Budget[Amount]))</f>
        <v>0</v>
      </c>
      <c r="J120" s="319">
        <f t="array" ref="J120">SUM(IF((Budget[Ofc Code]=$B$6)*(Budget[Account Code]=$B120)*(Budget[Date]=J$7),Budget[Amount]))</f>
        <v>0</v>
      </c>
      <c r="K120" s="319">
        <f t="array" ref="K120">SUM(IF((Budget[Ofc Code]=$B$6)*(Budget[Account Code]=$B120)*(Budget[Date]=K$7),Budget[Amount]))</f>
        <v>0</v>
      </c>
      <c r="L120" s="319">
        <f t="array" ref="L120">SUM(IF((Budget[Ofc Code]=$B$6)*(Budget[Account Code]=$B120)*(Budget[Date]=L$7),Budget[Amount]))</f>
        <v>0</v>
      </c>
      <c r="M120" s="319">
        <f t="array" ref="M120">SUM(IF((Budget[Ofc Code]=$B$6)*(Budget[Account Code]=$B120)*(Budget[Date]=M$7),Budget[Amount]))</f>
        <v>0</v>
      </c>
      <c r="N120" s="319">
        <f t="array" ref="N120">SUM(IF((Budget[Ofc Code]=$B$6)*(Budget[Account Code]=$B120)*(Budget[Date]=N$7),Budget[Amount]))</f>
        <v>0</v>
      </c>
      <c r="O120" s="319">
        <f t="array" ref="O120">SUM(IF((Budget[Ofc Code]=$B$6)*(Budget[Account Code]=$B120)*(Budget[Date]=O$7),Budget[Amount]))</f>
        <v>0</v>
      </c>
      <c r="P120" s="319">
        <f t="shared" si="17"/>
        <v>0</v>
      </c>
    </row>
    <row r="121" spans="1:16" x14ac:dyDescent="0.25">
      <c r="A121" s="323" t="s">
        <v>943</v>
      </c>
      <c r="B121" s="317"/>
      <c r="C121" s="319">
        <f t="shared" si="12"/>
        <v>0</v>
      </c>
      <c r="D121" s="319">
        <f t="array" ref="D121">SUM(IF((Budget[Ofc Code]=$B$6)*(Budget[Account Code]=$B121)*(Budget[Date]=D$7),Budget[Amount]))</f>
        <v>0</v>
      </c>
      <c r="E121" s="319">
        <f t="array" ref="E121">SUM(IF((Budget[Ofc Code]=$B$6)*(Budget[Account Code]=$B121)*(Budget[Date]=E$7),Budget[Amount]))</f>
        <v>0</v>
      </c>
      <c r="F121" s="319">
        <f t="array" ref="F121">SUM(IF((Budget[Ofc Code]=$B$6)*(Budget[Account Code]=$B121)*(Budget[Date]=F$7),Budget[Amount]))</f>
        <v>0</v>
      </c>
      <c r="G121" s="319">
        <f t="array" ref="G121">SUM(IF((Budget[Ofc Code]=$B$6)*(Budget[Account Code]=$B121)*(Budget[Date]=G$7),Budget[Amount]))</f>
        <v>0</v>
      </c>
      <c r="H121" s="319">
        <f t="array" ref="H121">SUM(IF((Budget[Ofc Code]=$B$6)*(Budget[Account Code]=$B121)*(Budget[Date]=H$7),Budget[Amount]))</f>
        <v>0</v>
      </c>
      <c r="I121" s="319">
        <f t="array" ref="I121">SUM(IF((Budget[Ofc Code]=$B$6)*(Budget[Account Code]=$B121)*(Budget[Date]=I$7),Budget[Amount]))</f>
        <v>0</v>
      </c>
      <c r="J121" s="319">
        <f t="array" ref="J121">SUM(IF((Budget[Ofc Code]=$B$6)*(Budget[Account Code]=$B121)*(Budget[Date]=J$7),Budget[Amount]))</f>
        <v>0</v>
      </c>
      <c r="K121" s="319">
        <f t="array" ref="K121">SUM(IF((Budget[Ofc Code]=$B$6)*(Budget[Account Code]=$B121)*(Budget[Date]=K$7),Budget[Amount]))</f>
        <v>0</v>
      </c>
      <c r="L121" s="319">
        <f t="array" ref="L121">SUM(IF((Budget[Ofc Code]=$B$6)*(Budget[Account Code]=$B121)*(Budget[Date]=L$7),Budget[Amount]))</f>
        <v>0</v>
      </c>
      <c r="M121" s="319">
        <f t="array" ref="M121">SUM(IF((Budget[Ofc Code]=$B$6)*(Budget[Account Code]=$B121)*(Budget[Date]=M$7),Budget[Amount]))</f>
        <v>0</v>
      </c>
      <c r="N121" s="319">
        <f t="array" ref="N121">SUM(IF((Budget[Ofc Code]=$B$6)*(Budget[Account Code]=$B121)*(Budget[Date]=N$7),Budget[Amount]))</f>
        <v>0</v>
      </c>
      <c r="O121" s="319">
        <f t="array" ref="O121">SUM(IF((Budget[Ofc Code]=$B$6)*(Budget[Account Code]=$B121)*(Budget[Date]=O$7),Budget[Amount]))</f>
        <v>0</v>
      </c>
      <c r="P121" s="319">
        <f t="shared" si="17"/>
        <v>0</v>
      </c>
    </row>
    <row r="122" spans="1:16" x14ac:dyDescent="0.25">
      <c r="A122" s="323" t="s">
        <v>944</v>
      </c>
      <c r="B122" s="317" t="s">
        <v>248</v>
      </c>
      <c r="C122" s="319">
        <f t="shared" si="12"/>
        <v>0</v>
      </c>
      <c r="D122" s="319">
        <f t="array" ref="D122">SUM(IF((Budget[Ofc Code]=$B$6)*(Budget[Account Code]=$B122)*(Budget[Date]=D$7),Budget[Amount]))</f>
        <v>0</v>
      </c>
      <c r="E122" s="319">
        <f t="array" ref="E122">SUM(IF((Budget[Ofc Code]=$B$6)*(Budget[Account Code]=$B122)*(Budget[Date]=E$7),Budget[Amount]))</f>
        <v>0</v>
      </c>
      <c r="F122" s="319">
        <f t="array" ref="F122">SUM(IF((Budget[Ofc Code]=$B$6)*(Budget[Account Code]=$B122)*(Budget[Date]=F$7),Budget[Amount]))</f>
        <v>0</v>
      </c>
      <c r="G122" s="319">
        <f t="array" ref="G122">SUM(IF((Budget[Ofc Code]=$B$6)*(Budget[Account Code]=$B122)*(Budget[Date]=G$7),Budget[Amount]))</f>
        <v>0</v>
      </c>
      <c r="H122" s="319">
        <f t="array" ref="H122">SUM(IF((Budget[Ofc Code]=$B$6)*(Budget[Account Code]=$B122)*(Budget[Date]=H$7),Budget[Amount]))</f>
        <v>0</v>
      </c>
      <c r="I122" s="319">
        <f t="array" ref="I122">SUM(IF((Budget[Ofc Code]=$B$6)*(Budget[Account Code]=$B122)*(Budget[Date]=I$7),Budget[Amount]))</f>
        <v>0</v>
      </c>
      <c r="J122" s="319">
        <f t="array" ref="J122">SUM(IF((Budget[Ofc Code]=$B$6)*(Budget[Account Code]=$B122)*(Budget[Date]=J$7),Budget[Amount]))</f>
        <v>0</v>
      </c>
      <c r="K122" s="319">
        <f t="array" ref="K122">SUM(IF((Budget[Ofc Code]=$B$6)*(Budget[Account Code]=$B122)*(Budget[Date]=K$7),Budget[Amount]))</f>
        <v>0</v>
      </c>
      <c r="L122" s="319">
        <f t="array" ref="L122">SUM(IF((Budget[Ofc Code]=$B$6)*(Budget[Account Code]=$B122)*(Budget[Date]=L$7),Budget[Amount]))</f>
        <v>0</v>
      </c>
      <c r="M122" s="319">
        <f t="array" ref="M122">SUM(IF((Budget[Ofc Code]=$B$6)*(Budget[Account Code]=$B122)*(Budget[Date]=M$7),Budget[Amount]))</f>
        <v>0</v>
      </c>
      <c r="N122" s="319">
        <f t="array" ref="N122">SUM(IF((Budget[Ofc Code]=$B$6)*(Budget[Account Code]=$B122)*(Budget[Date]=N$7),Budget[Amount]))</f>
        <v>0</v>
      </c>
      <c r="O122" s="319">
        <f t="array" ref="O122">SUM(IF((Budget[Ofc Code]=$B$6)*(Budget[Account Code]=$B122)*(Budget[Date]=O$7),Budget[Amount]))</f>
        <v>0</v>
      </c>
      <c r="P122" s="319">
        <f t="shared" si="17"/>
        <v>0</v>
      </c>
    </row>
    <row r="123" spans="1:16" x14ac:dyDescent="0.25">
      <c r="A123" s="323" t="s">
        <v>945</v>
      </c>
      <c r="B123" s="317" t="s">
        <v>249</v>
      </c>
      <c r="C123" s="319">
        <f t="shared" si="12"/>
        <v>0</v>
      </c>
      <c r="D123" s="319">
        <f t="array" ref="D123">SUM(IF((Budget[Ofc Code]=$B$6)*(Budget[Account Code]=$B123)*(Budget[Date]=D$7),Budget[Amount]))</f>
        <v>0</v>
      </c>
      <c r="E123" s="319">
        <f t="array" ref="E123">SUM(IF((Budget[Ofc Code]=$B$6)*(Budget[Account Code]=$B123)*(Budget[Date]=E$7),Budget[Amount]))</f>
        <v>0</v>
      </c>
      <c r="F123" s="319">
        <f t="array" ref="F123">SUM(IF((Budget[Ofc Code]=$B$6)*(Budget[Account Code]=$B123)*(Budget[Date]=F$7),Budget[Amount]))</f>
        <v>0</v>
      </c>
      <c r="G123" s="319">
        <f t="array" ref="G123">SUM(IF((Budget[Ofc Code]=$B$6)*(Budget[Account Code]=$B123)*(Budget[Date]=G$7),Budget[Amount]))</f>
        <v>0</v>
      </c>
      <c r="H123" s="319">
        <f t="array" ref="H123">SUM(IF((Budget[Ofc Code]=$B$6)*(Budget[Account Code]=$B123)*(Budget[Date]=H$7),Budget[Amount]))</f>
        <v>0</v>
      </c>
      <c r="I123" s="319">
        <f t="array" ref="I123">SUM(IF((Budget[Ofc Code]=$B$6)*(Budget[Account Code]=$B123)*(Budget[Date]=I$7),Budget[Amount]))</f>
        <v>0</v>
      </c>
      <c r="J123" s="319">
        <f t="array" ref="J123">SUM(IF((Budget[Ofc Code]=$B$6)*(Budget[Account Code]=$B123)*(Budget[Date]=J$7),Budget[Amount]))</f>
        <v>0</v>
      </c>
      <c r="K123" s="319">
        <f t="array" ref="K123">SUM(IF((Budget[Ofc Code]=$B$6)*(Budget[Account Code]=$B123)*(Budget[Date]=K$7),Budget[Amount]))</f>
        <v>0</v>
      </c>
      <c r="L123" s="319">
        <f t="array" ref="L123">SUM(IF((Budget[Ofc Code]=$B$6)*(Budget[Account Code]=$B123)*(Budget[Date]=L$7),Budget[Amount]))</f>
        <v>0</v>
      </c>
      <c r="M123" s="319">
        <f t="array" ref="M123">SUM(IF((Budget[Ofc Code]=$B$6)*(Budget[Account Code]=$B123)*(Budget[Date]=M$7),Budget[Amount]))</f>
        <v>0</v>
      </c>
      <c r="N123" s="319">
        <f t="array" ref="N123">SUM(IF((Budget[Ofc Code]=$B$6)*(Budget[Account Code]=$B123)*(Budget[Date]=N$7),Budget[Amount]))</f>
        <v>0</v>
      </c>
      <c r="O123" s="319">
        <f t="array" ref="O123">SUM(IF((Budget[Ofc Code]=$B$6)*(Budget[Account Code]=$B123)*(Budget[Date]=O$7),Budget[Amount]))</f>
        <v>0</v>
      </c>
      <c r="P123" s="319">
        <f t="shared" si="17"/>
        <v>0</v>
      </c>
    </row>
    <row r="124" spans="1:16" x14ac:dyDescent="0.25">
      <c r="A124" s="323" t="s">
        <v>946</v>
      </c>
      <c r="B124" s="317"/>
      <c r="C124" s="319">
        <f t="shared" ref="C124:C151" si="25">SUM(D124:O124)</f>
        <v>0</v>
      </c>
      <c r="D124" s="319">
        <f t="array" ref="D124">SUM(IF((Budget[Ofc Code]=$B$6)*(Budget[Account Code]=$B124)*(Budget[Date]=D$7),Budget[Amount]))</f>
        <v>0</v>
      </c>
      <c r="E124" s="319">
        <f t="array" ref="E124">SUM(IF((Budget[Ofc Code]=$B$6)*(Budget[Account Code]=$B124)*(Budget[Date]=E$7),Budget[Amount]))</f>
        <v>0</v>
      </c>
      <c r="F124" s="319">
        <f t="array" ref="F124">SUM(IF((Budget[Ofc Code]=$B$6)*(Budget[Account Code]=$B124)*(Budget[Date]=F$7),Budget[Amount]))</f>
        <v>0</v>
      </c>
      <c r="G124" s="319">
        <f t="array" ref="G124">SUM(IF((Budget[Ofc Code]=$B$6)*(Budget[Account Code]=$B124)*(Budget[Date]=G$7),Budget[Amount]))</f>
        <v>0</v>
      </c>
      <c r="H124" s="319">
        <f t="array" ref="H124">SUM(IF((Budget[Ofc Code]=$B$6)*(Budget[Account Code]=$B124)*(Budget[Date]=H$7),Budget[Amount]))</f>
        <v>0</v>
      </c>
      <c r="I124" s="319">
        <f t="array" ref="I124">SUM(IF((Budget[Ofc Code]=$B$6)*(Budget[Account Code]=$B124)*(Budget[Date]=I$7),Budget[Amount]))</f>
        <v>0</v>
      </c>
      <c r="J124" s="319">
        <f t="array" ref="J124">SUM(IF((Budget[Ofc Code]=$B$6)*(Budget[Account Code]=$B124)*(Budget[Date]=J$7),Budget[Amount]))</f>
        <v>0</v>
      </c>
      <c r="K124" s="319">
        <f t="array" ref="K124">SUM(IF((Budget[Ofc Code]=$B$6)*(Budget[Account Code]=$B124)*(Budget[Date]=K$7),Budget[Amount]))</f>
        <v>0</v>
      </c>
      <c r="L124" s="319">
        <f t="array" ref="L124">SUM(IF((Budget[Ofc Code]=$B$6)*(Budget[Account Code]=$B124)*(Budget[Date]=L$7),Budget[Amount]))</f>
        <v>0</v>
      </c>
      <c r="M124" s="319">
        <f t="array" ref="M124">SUM(IF((Budget[Ofc Code]=$B$6)*(Budget[Account Code]=$B124)*(Budget[Date]=M$7),Budget[Amount]))</f>
        <v>0</v>
      </c>
      <c r="N124" s="319">
        <f t="array" ref="N124">SUM(IF((Budget[Ofc Code]=$B$6)*(Budget[Account Code]=$B124)*(Budget[Date]=N$7),Budget[Amount]))</f>
        <v>0</v>
      </c>
      <c r="O124" s="319">
        <f t="array" ref="O124">SUM(IF((Budget[Ofc Code]=$B$6)*(Budget[Account Code]=$B124)*(Budget[Date]=O$7),Budget[Amount]))</f>
        <v>0</v>
      </c>
      <c r="P124" s="319">
        <f t="shared" si="17"/>
        <v>0</v>
      </c>
    </row>
    <row r="125" spans="1:16" x14ac:dyDescent="0.25">
      <c r="A125" s="323" t="s">
        <v>947</v>
      </c>
      <c r="B125" s="317" t="s">
        <v>250</v>
      </c>
      <c r="C125" s="319">
        <f t="shared" si="25"/>
        <v>0</v>
      </c>
      <c r="D125" s="319">
        <f t="array" ref="D125">SUM(IF((Budget[Ofc Code]=$B$6)*(Budget[Account Code]=$B125)*(Budget[Date]=D$7),Budget[Amount]))</f>
        <v>0</v>
      </c>
      <c r="E125" s="319">
        <f t="array" ref="E125">SUM(IF((Budget[Ofc Code]=$B$6)*(Budget[Account Code]=$B125)*(Budget[Date]=E$7),Budget[Amount]))</f>
        <v>0</v>
      </c>
      <c r="F125" s="319">
        <f t="array" ref="F125">SUM(IF((Budget[Ofc Code]=$B$6)*(Budget[Account Code]=$B125)*(Budget[Date]=F$7),Budget[Amount]))</f>
        <v>0</v>
      </c>
      <c r="G125" s="319">
        <f t="array" ref="G125">SUM(IF((Budget[Ofc Code]=$B$6)*(Budget[Account Code]=$B125)*(Budget[Date]=G$7),Budget[Amount]))</f>
        <v>0</v>
      </c>
      <c r="H125" s="319">
        <f t="array" ref="H125">SUM(IF((Budget[Ofc Code]=$B$6)*(Budget[Account Code]=$B125)*(Budget[Date]=H$7),Budget[Amount]))</f>
        <v>0</v>
      </c>
      <c r="I125" s="319">
        <f t="array" ref="I125">SUM(IF((Budget[Ofc Code]=$B$6)*(Budget[Account Code]=$B125)*(Budget[Date]=I$7),Budget[Amount]))</f>
        <v>0</v>
      </c>
      <c r="J125" s="319">
        <f t="array" ref="J125">SUM(IF((Budget[Ofc Code]=$B$6)*(Budget[Account Code]=$B125)*(Budget[Date]=J$7),Budget[Amount]))</f>
        <v>0</v>
      </c>
      <c r="K125" s="319">
        <f t="array" ref="K125">SUM(IF((Budget[Ofc Code]=$B$6)*(Budget[Account Code]=$B125)*(Budget[Date]=K$7),Budget[Amount]))</f>
        <v>0</v>
      </c>
      <c r="L125" s="319">
        <f t="array" ref="L125">SUM(IF((Budget[Ofc Code]=$B$6)*(Budget[Account Code]=$B125)*(Budget[Date]=L$7),Budget[Amount]))</f>
        <v>0</v>
      </c>
      <c r="M125" s="319">
        <f t="array" ref="M125">SUM(IF((Budget[Ofc Code]=$B$6)*(Budget[Account Code]=$B125)*(Budget[Date]=M$7),Budget[Amount]))</f>
        <v>0</v>
      </c>
      <c r="N125" s="319">
        <f t="array" ref="N125">SUM(IF((Budget[Ofc Code]=$B$6)*(Budget[Account Code]=$B125)*(Budget[Date]=N$7),Budget[Amount]))</f>
        <v>0</v>
      </c>
      <c r="O125" s="319">
        <f t="array" ref="O125">SUM(IF((Budget[Ofc Code]=$B$6)*(Budget[Account Code]=$B125)*(Budget[Date]=O$7),Budget[Amount]))</f>
        <v>0</v>
      </c>
      <c r="P125" s="319">
        <f t="shared" si="17"/>
        <v>0</v>
      </c>
    </row>
    <row r="126" spans="1:16" s="171" customFormat="1" x14ac:dyDescent="0.25">
      <c r="A126" s="321" t="s">
        <v>948</v>
      </c>
      <c r="B126" s="317"/>
      <c r="C126" s="322">
        <f t="shared" si="25"/>
        <v>0</v>
      </c>
      <c r="D126" s="322">
        <f>SUM(D127:D132)</f>
        <v>0</v>
      </c>
      <c r="E126" s="322">
        <f t="shared" ref="E126:O126" si="26">SUM(E127:E132)</f>
        <v>0</v>
      </c>
      <c r="F126" s="322">
        <f t="shared" si="26"/>
        <v>0</v>
      </c>
      <c r="G126" s="322">
        <f t="shared" si="26"/>
        <v>0</v>
      </c>
      <c r="H126" s="322">
        <f t="shared" si="26"/>
        <v>0</v>
      </c>
      <c r="I126" s="322">
        <f t="shared" si="26"/>
        <v>0</v>
      </c>
      <c r="J126" s="322">
        <f t="shared" si="26"/>
        <v>0</v>
      </c>
      <c r="K126" s="322">
        <f t="shared" si="26"/>
        <v>0</v>
      </c>
      <c r="L126" s="322">
        <f t="shared" si="26"/>
        <v>0</v>
      </c>
      <c r="M126" s="322">
        <f t="shared" si="26"/>
        <v>0</v>
      </c>
      <c r="N126" s="322">
        <f t="shared" si="26"/>
        <v>0</v>
      </c>
      <c r="O126" s="322">
        <f t="shared" si="26"/>
        <v>0</v>
      </c>
      <c r="P126" s="322">
        <f t="shared" si="17"/>
        <v>0</v>
      </c>
    </row>
    <row r="127" spans="1:16" x14ac:dyDescent="0.25">
      <c r="A127" s="323" t="s">
        <v>949</v>
      </c>
      <c r="B127" s="317" t="s">
        <v>253</v>
      </c>
      <c r="C127" s="319">
        <f t="shared" si="25"/>
        <v>0</v>
      </c>
      <c r="D127" s="319">
        <f t="array" ref="D127">SUM(IF((Budget[Ofc Code]=$B$6)*(Budget[Account Code]=$B127)*(Budget[Date]=D$7),Budget[Amount]))</f>
        <v>0</v>
      </c>
      <c r="E127" s="319">
        <f t="array" ref="E127">SUM(IF((Budget[Ofc Code]=$B$6)*(Budget[Account Code]=$B127)*(Budget[Date]=E$7),Budget[Amount]))</f>
        <v>0</v>
      </c>
      <c r="F127" s="319">
        <f t="array" ref="F127">SUM(IF((Budget[Ofc Code]=$B$6)*(Budget[Account Code]=$B127)*(Budget[Date]=F$7),Budget[Amount]))</f>
        <v>0</v>
      </c>
      <c r="G127" s="319">
        <f t="array" ref="G127">SUM(IF((Budget[Ofc Code]=$B$6)*(Budget[Account Code]=$B127)*(Budget[Date]=G$7),Budget[Amount]))</f>
        <v>0</v>
      </c>
      <c r="H127" s="319">
        <f t="array" ref="H127">SUM(IF((Budget[Ofc Code]=$B$6)*(Budget[Account Code]=$B127)*(Budget[Date]=H$7),Budget[Amount]))</f>
        <v>0</v>
      </c>
      <c r="I127" s="319">
        <f t="array" ref="I127">SUM(IF((Budget[Ofc Code]=$B$6)*(Budget[Account Code]=$B127)*(Budget[Date]=I$7),Budget[Amount]))</f>
        <v>0</v>
      </c>
      <c r="J127" s="319">
        <f t="array" ref="J127">SUM(IF((Budget[Ofc Code]=$B$6)*(Budget[Account Code]=$B127)*(Budget[Date]=J$7),Budget[Amount]))</f>
        <v>0</v>
      </c>
      <c r="K127" s="319">
        <f t="array" ref="K127">SUM(IF((Budget[Ofc Code]=$B$6)*(Budget[Account Code]=$B127)*(Budget[Date]=K$7),Budget[Amount]))</f>
        <v>0</v>
      </c>
      <c r="L127" s="319">
        <f t="array" ref="L127">SUM(IF((Budget[Ofc Code]=$B$6)*(Budget[Account Code]=$B127)*(Budget[Date]=L$7),Budget[Amount]))</f>
        <v>0</v>
      </c>
      <c r="M127" s="319">
        <f t="array" ref="M127">SUM(IF((Budget[Ofc Code]=$B$6)*(Budget[Account Code]=$B127)*(Budget[Date]=M$7),Budget[Amount]))</f>
        <v>0</v>
      </c>
      <c r="N127" s="319">
        <f t="array" ref="N127">SUM(IF((Budget[Ofc Code]=$B$6)*(Budget[Account Code]=$B127)*(Budget[Date]=N$7),Budget[Amount]))</f>
        <v>0</v>
      </c>
      <c r="O127" s="319">
        <f t="array" ref="O127">SUM(IF((Budget[Ofc Code]=$B$6)*(Budget[Account Code]=$B127)*(Budget[Date]=O$7),Budget[Amount]))</f>
        <v>0</v>
      </c>
      <c r="P127" s="319">
        <f t="shared" si="17"/>
        <v>0</v>
      </c>
    </row>
    <row r="128" spans="1:16" x14ac:dyDescent="0.25">
      <c r="A128" s="323" t="s">
        <v>950</v>
      </c>
      <c r="B128" s="317" t="s">
        <v>256</v>
      </c>
      <c r="C128" s="319">
        <f t="shared" si="25"/>
        <v>0</v>
      </c>
      <c r="D128" s="319">
        <f t="array" ref="D128">SUM(IF((Budget[Ofc Code]=$B$6)*(Budget[Account Code]=$B128)*(Budget[Date]=D$7),Budget[Amount]))</f>
        <v>0</v>
      </c>
      <c r="E128" s="319">
        <f t="array" ref="E128">SUM(IF((Budget[Ofc Code]=$B$6)*(Budget[Account Code]=$B128)*(Budget[Date]=E$7),Budget[Amount]))</f>
        <v>0</v>
      </c>
      <c r="F128" s="319">
        <f t="array" ref="F128">SUM(IF((Budget[Ofc Code]=$B$6)*(Budget[Account Code]=$B128)*(Budget[Date]=F$7),Budget[Amount]))</f>
        <v>0</v>
      </c>
      <c r="G128" s="319">
        <f t="array" ref="G128">SUM(IF((Budget[Ofc Code]=$B$6)*(Budget[Account Code]=$B128)*(Budget[Date]=G$7),Budget[Amount]))</f>
        <v>0</v>
      </c>
      <c r="H128" s="319">
        <f t="array" ref="H128">SUM(IF((Budget[Ofc Code]=$B$6)*(Budget[Account Code]=$B128)*(Budget[Date]=H$7),Budget[Amount]))</f>
        <v>0</v>
      </c>
      <c r="I128" s="319">
        <f t="array" ref="I128">SUM(IF((Budget[Ofc Code]=$B$6)*(Budget[Account Code]=$B128)*(Budget[Date]=I$7),Budget[Amount]))</f>
        <v>0</v>
      </c>
      <c r="J128" s="319">
        <f t="array" ref="J128">SUM(IF((Budget[Ofc Code]=$B$6)*(Budget[Account Code]=$B128)*(Budget[Date]=J$7),Budget[Amount]))</f>
        <v>0</v>
      </c>
      <c r="K128" s="319">
        <f t="array" ref="K128">SUM(IF((Budget[Ofc Code]=$B$6)*(Budget[Account Code]=$B128)*(Budget[Date]=K$7),Budget[Amount]))</f>
        <v>0</v>
      </c>
      <c r="L128" s="319">
        <f t="array" ref="L128">SUM(IF((Budget[Ofc Code]=$B$6)*(Budget[Account Code]=$B128)*(Budget[Date]=L$7),Budget[Amount]))</f>
        <v>0</v>
      </c>
      <c r="M128" s="319">
        <f t="array" ref="M128">SUM(IF((Budget[Ofc Code]=$B$6)*(Budget[Account Code]=$B128)*(Budget[Date]=M$7),Budget[Amount]))</f>
        <v>0</v>
      </c>
      <c r="N128" s="319">
        <f t="array" ref="N128">SUM(IF((Budget[Ofc Code]=$B$6)*(Budget[Account Code]=$B128)*(Budget[Date]=N$7),Budget[Amount]))</f>
        <v>0</v>
      </c>
      <c r="O128" s="319">
        <f t="array" ref="O128">SUM(IF((Budget[Ofc Code]=$B$6)*(Budget[Account Code]=$B128)*(Budget[Date]=O$7),Budget[Amount]))</f>
        <v>0</v>
      </c>
      <c r="P128" s="319">
        <f t="shared" si="17"/>
        <v>0</v>
      </c>
    </row>
    <row r="129" spans="1:16" x14ac:dyDescent="0.25">
      <c r="A129" s="323" t="s">
        <v>951</v>
      </c>
      <c r="B129" s="317" t="s">
        <v>262</v>
      </c>
      <c r="C129" s="319">
        <f t="shared" si="25"/>
        <v>0</v>
      </c>
      <c r="D129" s="319">
        <f t="array" ref="D129">SUM(IF((Budget[Ofc Code]=$B$6)*(Budget[Account Code]=$B129)*(Budget[Date]=D$7),Budget[Amount]))</f>
        <v>0</v>
      </c>
      <c r="E129" s="319">
        <f t="array" ref="E129">SUM(IF((Budget[Ofc Code]=$B$6)*(Budget[Account Code]=$B129)*(Budget[Date]=E$7),Budget[Amount]))</f>
        <v>0</v>
      </c>
      <c r="F129" s="319">
        <f t="array" ref="F129">SUM(IF((Budget[Ofc Code]=$B$6)*(Budget[Account Code]=$B129)*(Budget[Date]=F$7),Budget[Amount]))</f>
        <v>0</v>
      </c>
      <c r="G129" s="319">
        <f t="array" ref="G129">SUM(IF((Budget[Ofc Code]=$B$6)*(Budget[Account Code]=$B129)*(Budget[Date]=G$7),Budget[Amount]))</f>
        <v>0</v>
      </c>
      <c r="H129" s="319">
        <f t="array" ref="H129">SUM(IF((Budget[Ofc Code]=$B$6)*(Budget[Account Code]=$B129)*(Budget[Date]=H$7),Budget[Amount]))</f>
        <v>0</v>
      </c>
      <c r="I129" s="319">
        <f t="array" ref="I129">SUM(IF((Budget[Ofc Code]=$B$6)*(Budget[Account Code]=$B129)*(Budget[Date]=I$7),Budget[Amount]))</f>
        <v>0</v>
      </c>
      <c r="J129" s="319">
        <f t="array" ref="J129">SUM(IF((Budget[Ofc Code]=$B$6)*(Budget[Account Code]=$B129)*(Budget[Date]=J$7),Budget[Amount]))</f>
        <v>0</v>
      </c>
      <c r="K129" s="319">
        <f t="array" ref="K129">SUM(IF((Budget[Ofc Code]=$B$6)*(Budget[Account Code]=$B129)*(Budget[Date]=K$7),Budget[Amount]))</f>
        <v>0</v>
      </c>
      <c r="L129" s="319">
        <f t="array" ref="L129">SUM(IF((Budget[Ofc Code]=$B$6)*(Budget[Account Code]=$B129)*(Budget[Date]=L$7),Budget[Amount]))</f>
        <v>0</v>
      </c>
      <c r="M129" s="319">
        <f t="array" ref="M129">SUM(IF((Budget[Ofc Code]=$B$6)*(Budget[Account Code]=$B129)*(Budget[Date]=M$7),Budget[Amount]))</f>
        <v>0</v>
      </c>
      <c r="N129" s="319">
        <f t="array" ref="N129">SUM(IF((Budget[Ofc Code]=$B$6)*(Budget[Account Code]=$B129)*(Budget[Date]=N$7),Budget[Amount]))</f>
        <v>0</v>
      </c>
      <c r="O129" s="319">
        <f t="array" ref="O129">SUM(IF((Budget[Ofc Code]=$B$6)*(Budget[Account Code]=$B129)*(Budget[Date]=O$7),Budget[Amount]))</f>
        <v>0</v>
      </c>
      <c r="P129" s="319">
        <f t="shared" si="17"/>
        <v>0</v>
      </c>
    </row>
    <row r="130" spans="1:16" x14ac:dyDescent="0.25">
      <c r="A130" s="323" t="s">
        <v>952</v>
      </c>
      <c r="B130" s="317" t="s">
        <v>251</v>
      </c>
      <c r="C130" s="319">
        <f t="shared" si="25"/>
        <v>0</v>
      </c>
      <c r="D130" s="319">
        <f t="array" ref="D130">SUM(IF((Budget[Ofc Code]=$B$6)*(Budget[Account Code]=$B130)*(Budget[Date]=D$7),Budget[Amount]))</f>
        <v>0</v>
      </c>
      <c r="E130" s="319">
        <f t="array" ref="E130">SUM(IF((Budget[Ofc Code]=$B$6)*(Budget[Account Code]=$B130)*(Budget[Date]=E$7),Budget[Amount]))</f>
        <v>0</v>
      </c>
      <c r="F130" s="319">
        <f t="array" ref="F130">SUM(IF((Budget[Ofc Code]=$B$6)*(Budget[Account Code]=$B130)*(Budget[Date]=F$7),Budget[Amount]))</f>
        <v>0</v>
      </c>
      <c r="G130" s="319">
        <f t="array" ref="G130">SUM(IF((Budget[Ofc Code]=$B$6)*(Budget[Account Code]=$B130)*(Budget[Date]=G$7),Budget[Amount]))</f>
        <v>0</v>
      </c>
      <c r="H130" s="319">
        <f t="array" ref="H130">SUM(IF((Budget[Ofc Code]=$B$6)*(Budget[Account Code]=$B130)*(Budget[Date]=H$7),Budget[Amount]))</f>
        <v>0</v>
      </c>
      <c r="I130" s="319">
        <f t="array" ref="I130">SUM(IF((Budget[Ofc Code]=$B$6)*(Budget[Account Code]=$B130)*(Budget[Date]=I$7),Budget[Amount]))</f>
        <v>0</v>
      </c>
      <c r="J130" s="319">
        <f t="array" ref="J130">SUM(IF((Budget[Ofc Code]=$B$6)*(Budget[Account Code]=$B130)*(Budget[Date]=J$7),Budget[Amount]))</f>
        <v>0</v>
      </c>
      <c r="K130" s="319">
        <f t="array" ref="K130">SUM(IF((Budget[Ofc Code]=$B$6)*(Budget[Account Code]=$B130)*(Budget[Date]=K$7),Budget[Amount]))</f>
        <v>0</v>
      </c>
      <c r="L130" s="319">
        <f t="array" ref="L130">SUM(IF((Budget[Ofc Code]=$B$6)*(Budget[Account Code]=$B130)*(Budget[Date]=L$7),Budget[Amount]))</f>
        <v>0</v>
      </c>
      <c r="M130" s="319">
        <f t="array" ref="M130">SUM(IF((Budget[Ofc Code]=$B$6)*(Budget[Account Code]=$B130)*(Budget[Date]=M$7),Budget[Amount]))</f>
        <v>0</v>
      </c>
      <c r="N130" s="319">
        <f t="array" ref="N130">SUM(IF((Budget[Ofc Code]=$B$6)*(Budget[Account Code]=$B130)*(Budget[Date]=N$7),Budget[Amount]))</f>
        <v>0</v>
      </c>
      <c r="O130" s="319">
        <f t="array" ref="O130">SUM(IF((Budget[Ofc Code]=$B$6)*(Budget[Account Code]=$B130)*(Budget[Date]=O$7),Budget[Amount]))</f>
        <v>0</v>
      </c>
      <c r="P130" s="319">
        <f t="shared" si="17"/>
        <v>0</v>
      </c>
    </row>
    <row r="131" spans="1:16" x14ac:dyDescent="0.25">
      <c r="A131" s="323" t="s">
        <v>953</v>
      </c>
      <c r="B131" s="317" t="s">
        <v>252</v>
      </c>
      <c r="C131" s="319">
        <f t="shared" si="25"/>
        <v>0</v>
      </c>
      <c r="D131" s="319">
        <f t="array" ref="D131">SUM(IF((Budget[Ofc Code]=$B$6)*(Budget[Account Code]=$B131)*(Budget[Date]=D$7),Budget[Amount]))</f>
        <v>0</v>
      </c>
      <c r="E131" s="319">
        <f t="array" ref="E131">SUM(IF((Budget[Ofc Code]=$B$6)*(Budget[Account Code]=$B131)*(Budget[Date]=E$7),Budget[Amount]))</f>
        <v>0</v>
      </c>
      <c r="F131" s="319">
        <f t="array" ref="F131">SUM(IF((Budget[Ofc Code]=$B$6)*(Budget[Account Code]=$B131)*(Budget[Date]=F$7),Budget[Amount]))</f>
        <v>0</v>
      </c>
      <c r="G131" s="319">
        <f t="array" ref="G131">SUM(IF((Budget[Ofc Code]=$B$6)*(Budget[Account Code]=$B131)*(Budget[Date]=G$7),Budget[Amount]))</f>
        <v>0</v>
      </c>
      <c r="H131" s="319">
        <f t="array" ref="H131">SUM(IF((Budget[Ofc Code]=$B$6)*(Budget[Account Code]=$B131)*(Budget[Date]=H$7),Budget[Amount]))</f>
        <v>0</v>
      </c>
      <c r="I131" s="319">
        <f t="array" ref="I131">SUM(IF((Budget[Ofc Code]=$B$6)*(Budget[Account Code]=$B131)*(Budget[Date]=I$7),Budget[Amount]))</f>
        <v>0</v>
      </c>
      <c r="J131" s="319">
        <f t="array" ref="J131">SUM(IF((Budget[Ofc Code]=$B$6)*(Budget[Account Code]=$B131)*(Budget[Date]=J$7),Budget[Amount]))</f>
        <v>0</v>
      </c>
      <c r="K131" s="319">
        <f t="array" ref="K131">SUM(IF((Budget[Ofc Code]=$B$6)*(Budget[Account Code]=$B131)*(Budget[Date]=K$7),Budget[Amount]))</f>
        <v>0</v>
      </c>
      <c r="L131" s="319">
        <f t="array" ref="L131">SUM(IF((Budget[Ofc Code]=$B$6)*(Budget[Account Code]=$B131)*(Budget[Date]=L$7),Budget[Amount]))</f>
        <v>0</v>
      </c>
      <c r="M131" s="319">
        <f t="array" ref="M131">SUM(IF((Budget[Ofc Code]=$B$6)*(Budget[Account Code]=$B131)*(Budget[Date]=M$7),Budget[Amount]))</f>
        <v>0</v>
      </c>
      <c r="N131" s="319">
        <f t="array" ref="N131">SUM(IF((Budget[Ofc Code]=$B$6)*(Budget[Account Code]=$B131)*(Budget[Date]=N$7),Budget[Amount]))</f>
        <v>0</v>
      </c>
      <c r="O131" s="319">
        <f t="array" ref="O131">SUM(IF((Budget[Ofc Code]=$B$6)*(Budget[Account Code]=$B131)*(Budget[Date]=O$7),Budget[Amount]))</f>
        <v>0</v>
      </c>
      <c r="P131" s="319">
        <f t="shared" si="17"/>
        <v>0</v>
      </c>
    </row>
    <row r="132" spans="1:16" x14ac:dyDescent="0.25">
      <c r="A132" s="323" t="s">
        <v>954</v>
      </c>
      <c r="B132" s="317" t="s">
        <v>265</v>
      </c>
      <c r="C132" s="319">
        <f t="shared" si="25"/>
        <v>0</v>
      </c>
      <c r="D132" s="319">
        <f t="array" ref="D132">SUM(IF((Budget[Ofc Code]=$B$6)*(Budget[Account Code]=$B132)*(Budget[Date]=D$7),Budget[Amount]))</f>
        <v>0</v>
      </c>
      <c r="E132" s="319">
        <f t="array" ref="E132">SUM(IF((Budget[Ofc Code]=$B$6)*(Budget[Account Code]=$B132)*(Budget[Date]=E$7),Budget[Amount]))</f>
        <v>0</v>
      </c>
      <c r="F132" s="319">
        <f t="array" ref="F132">SUM(IF((Budget[Ofc Code]=$B$6)*(Budget[Account Code]=$B132)*(Budget[Date]=F$7),Budget[Amount]))</f>
        <v>0</v>
      </c>
      <c r="G132" s="319">
        <f t="array" ref="G132">SUM(IF((Budget[Ofc Code]=$B$6)*(Budget[Account Code]=$B132)*(Budget[Date]=G$7),Budget[Amount]))</f>
        <v>0</v>
      </c>
      <c r="H132" s="319">
        <f t="array" ref="H132">SUM(IF((Budget[Ofc Code]=$B$6)*(Budget[Account Code]=$B132)*(Budget[Date]=H$7),Budget[Amount]))</f>
        <v>0</v>
      </c>
      <c r="I132" s="319">
        <f t="array" ref="I132">SUM(IF((Budget[Ofc Code]=$B$6)*(Budget[Account Code]=$B132)*(Budget[Date]=I$7),Budget[Amount]))</f>
        <v>0</v>
      </c>
      <c r="J132" s="319">
        <f t="array" ref="J132">SUM(IF((Budget[Ofc Code]=$B$6)*(Budget[Account Code]=$B132)*(Budget[Date]=J$7),Budget[Amount]))</f>
        <v>0</v>
      </c>
      <c r="K132" s="319">
        <f t="array" ref="K132">SUM(IF((Budget[Ofc Code]=$B$6)*(Budget[Account Code]=$B132)*(Budget[Date]=K$7),Budget[Amount]))</f>
        <v>0</v>
      </c>
      <c r="L132" s="319">
        <f t="array" ref="L132">SUM(IF((Budget[Ofc Code]=$B$6)*(Budget[Account Code]=$B132)*(Budget[Date]=L$7),Budget[Amount]))</f>
        <v>0</v>
      </c>
      <c r="M132" s="319">
        <f t="array" ref="M132">SUM(IF((Budget[Ofc Code]=$B$6)*(Budget[Account Code]=$B132)*(Budget[Date]=M$7),Budget[Amount]))</f>
        <v>0</v>
      </c>
      <c r="N132" s="319">
        <f t="array" ref="N132">SUM(IF((Budget[Ofc Code]=$B$6)*(Budget[Account Code]=$B132)*(Budget[Date]=N$7),Budget[Amount]))</f>
        <v>0</v>
      </c>
      <c r="O132" s="319">
        <f t="array" ref="O132">SUM(IF((Budget[Ofc Code]=$B$6)*(Budget[Account Code]=$B132)*(Budget[Date]=O$7),Budget[Amount]))</f>
        <v>0</v>
      </c>
      <c r="P132" s="319">
        <f t="shared" si="17"/>
        <v>0</v>
      </c>
    </row>
    <row r="133" spans="1:16" s="171" customFormat="1" x14ac:dyDescent="0.25">
      <c r="A133" s="321" t="s">
        <v>955</v>
      </c>
      <c r="B133" s="317" t="s">
        <v>269</v>
      </c>
      <c r="C133" s="322">
        <f t="shared" si="25"/>
        <v>0</v>
      </c>
      <c r="D133" s="319">
        <f t="array" ref="D133">SUM(IF((Budget[Ofc Code]=$B$6)*(Budget[Account Code]=$B133)*(Budget[Date]=D$7),Budget[Amount]))</f>
        <v>0</v>
      </c>
      <c r="E133" s="319">
        <f t="array" ref="E133">SUM(IF((Budget[Ofc Code]=$B$6)*(Budget[Account Code]=$B133)*(Budget[Date]=E$7),Budget[Amount]))</f>
        <v>0</v>
      </c>
      <c r="F133" s="319">
        <f t="array" ref="F133">SUM(IF((Budget[Ofc Code]=$B$6)*(Budget[Account Code]=$B133)*(Budget[Date]=F$7),Budget[Amount]))</f>
        <v>0</v>
      </c>
      <c r="G133" s="319">
        <f t="array" ref="G133">SUM(IF((Budget[Ofc Code]=$B$6)*(Budget[Account Code]=$B133)*(Budget[Date]=G$7),Budget[Amount]))</f>
        <v>0</v>
      </c>
      <c r="H133" s="319">
        <f t="array" ref="H133">SUM(IF((Budget[Ofc Code]=$B$6)*(Budget[Account Code]=$B133)*(Budget[Date]=H$7),Budget[Amount]))</f>
        <v>0</v>
      </c>
      <c r="I133" s="319">
        <f t="array" ref="I133">SUM(IF((Budget[Ofc Code]=$B$6)*(Budget[Account Code]=$B133)*(Budget[Date]=I$7),Budget[Amount]))</f>
        <v>0</v>
      </c>
      <c r="J133" s="319">
        <f t="array" ref="J133">SUM(IF((Budget[Ofc Code]=$B$6)*(Budget[Account Code]=$B133)*(Budget[Date]=J$7),Budget[Amount]))</f>
        <v>0</v>
      </c>
      <c r="K133" s="319">
        <f t="array" ref="K133">SUM(IF((Budget[Ofc Code]=$B$6)*(Budget[Account Code]=$B133)*(Budget[Date]=K$7),Budget[Amount]))</f>
        <v>0</v>
      </c>
      <c r="L133" s="319">
        <f t="array" ref="L133">SUM(IF((Budget[Ofc Code]=$B$6)*(Budget[Account Code]=$B133)*(Budget[Date]=L$7),Budget[Amount]))</f>
        <v>0</v>
      </c>
      <c r="M133" s="319">
        <f t="array" ref="M133">SUM(IF((Budget[Ofc Code]=$B$6)*(Budget[Account Code]=$B133)*(Budget[Date]=M$7),Budget[Amount]))</f>
        <v>0</v>
      </c>
      <c r="N133" s="319">
        <f t="array" ref="N133">SUM(IF((Budget[Ofc Code]=$B$6)*(Budget[Account Code]=$B133)*(Budget[Date]=N$7),Budget[Amount]))</f>
        <v>0</v>
      </c>
      <c r="O133" s="319">
        <f t="array" ref="O133">SUM(IF((Budget[Ofc Code]=$B$6)*(Budget[Account Code]=$B133)*(Budget[Date]=O$7),Budget[Amount]))</f>
        <v>0</v>
      </c>
      <c r="P133" s="322">
        <f t="shared" si="17"/>
        <v>0</v>
      </c>
    </row>
    <row r="134" spans="1:16" s="171" customFormat="1" x14ac:dyDescent="0.25">
      <c r="A134" s="321" t="s">
        <v>956</v>
      </c>
      <c r="B134" s="317"/>
      <c r="C134" s="322">
        <f t="shared" si="25"/>
        <v>0</v>
      </c>
      <c r="D134" s="322">
        <f>D135+D136</f>
        <v>0</v>
      </c>
      <c r="E134" s="322">
        <f t="shared" ref="E134:O134" si="27">E135+E136</f>
        <v>0</v>
      </c>
      <c r="F134" s="322">
        <f t="shared" si="27"/>
        <v>0</v>
      </c>
      <c r="G134" s="322">
        <f t="shared" si="27"/>
        <v>0</v>
      </c>
      <c r="H134" s="322">
        <f t="shared" si="27"/>
        <v>0</v>
      </c>
      <c r="I134" s="322">
        <f t="shared" si="27"/>
        <v>0</v>
      </c>
      <c r="J134" s="322">
        <f t="shared" si="27"/>
        <v>0</v>
      </c>
      <c r="K134" s="322">
        <f t="shared" si="27"/>
        <v>0</v>
      </c>
      <c r="L134" s="322">
        <f t="shared" si="27"/>
        <v>0</v>
      </c>
      <c r="M134" s="322">
        <f t="shared" si="27"/>
        <v>0</v>
      </c>
      <c r="N134" s="322">
        <f t="shared" si="27"/>
        <v>0</v>
      </c>
      <c r="O134" s="322">
        <f t="shared" si="27"/>
        <v>0</v>
      </c>
      <c r="P134" s="322">
        <f t="shared" si="17"/>
        <v>0</v>
      </c>
    </row>
    <row r="135" spans="1:16" x14ac:dyDescent="0.25">
      <c r="A135" s="323" t="s">
        <v>957</v>
      </c>
      <c r="B135" s="317"/>
      <c r="C135" s="319">
        <f t="shared" si="25"/>
        <v>0</v>
      </c>
      <c r="D135" s="319">
        <f t="array" ref="D135">SUM(IF((Budget[Ofc Code]=$B$6)*(Budget[Account Code]=$B135)*(Budget[Date]=D$7),Budget[Amount]))</f>
        <v>0</v>
      </c>
      <c r="E135" s="319">
        <f t="array" ref="E135">SUM(IF((Budget[Ofc Code]=$B$6)*(Budget[Account Code]=$B135)*(Budget[Date]=E$7),Budget[Amount]))</f>
        <v>0</v>
      </c>
      <c r="F135" s="319">
        <f t="array" ref="F135">SUM(IF((Budget[Ofc Code]=$B$6)*(Budget[Account Code]=$B135)*(Budget[Date]=F$7),Budget[Amount]))</f>
        <v>0</v>
      </c>
      <c r="G135" s="319">
        <f t="array" ref="G135">SUM(IF((Budget[Ofc Code]=$B$6)*(Budget[Account Code]=$B135)*(Budget[Date]=G$7),Budget[Amount]))</f>
        <v>0</v>
      </c>
      <c r="H135" s="319">
        <f t="array" ref="H135">SUM(IF((Budget[Ofc Code]=$B$6)*(Budget[Account Code]=$B135)*(Budget[Date]=H$7),Budget[Amount]))</f>
        <v>0</v>
      </c>
      <c r="I135" s="319">
        <f t="array" ref="I135">SUM(IF((Budget[Ofc Code]=$B$6)*(Budget[Account Code]=$B135)*(Budget[Date]=I$7),Budget[Amount]))</f>
        <v>0</v>
      </c>
      <c r="J135" s="319">
        <f t="array" ref="J135">SUM(IF((Budget[Ofc Code]=$B$6)*(Budget[Account Code]=$B135)*(Budget[Date]=J$7),Budget[Amount]))</f>
        <v>0</v>
      </c>
      <c r="K135" s="319">
        <f t="array" ref="K135">SUM(IF((Budget[Ofc Code]=$B$6)*(Budget[Account Code]=$B135)*(Budget[Date]=K$7),Budget[Amount]))</f>
        <v>0</v>
      </c>
      <c r="L135" s="319">
        <f t="array" ref="L135">SUM(IF((Budget[Ofc Code]=$B$6)*(Budget[Account Code]=$B135)*(Budget[Date]=L$7),Budget[Amount]))</f>
        <v>0</v>
      </c>
      <c r="M135" s="319">
        <f t="array" ref="M135">SUM(IF((Budget[Ofc Code]=$B$6)*(Budget[Account Code]=$B135)*(Budget[Date]=M$7),Budget[Amount]))</f>
        <v>0</v>
      </c>
      <c r="N135" s="319">
        <f t="array" ref="N135">SUM(IF((Budget[Ofc Code]=$B$6)*(Budget[Account Code]=$B135)*(Budget[Date]=N$7),Budget[Amount]))</f>
        <v>0</v>
      </c>
      <c r="O135" s="319">
        <f t="array" ref="O135">SUM(IF((Budget[Ofc Code]=$B$6)*(Budget[Account Code]=$B135)*(Budget[Date]=O$7),Budget[Amount]))</f>
        <v>0</v>
      </c>
      <c r="P135" s="319">
        <f t="shared" si="17"/>
        <v>0</v>
      </c>
    </row>
    <row r="136" spans="1:16" x14ac:dyDescent="0.25">
      <c r="A136" s="323" t="s">
        <v>958</v>
      </c>
      <c r="B136" s="317"/>
      <c r="C136" s="319">
        <f t="shared" si="25"/>
        <v>0</v>
      </c>
      <c r="D136" s="319">
        <f t="array" ref="D136">SUM(IF((Budget[Ofc Code]=$B$6)*(Budget[Account Code]=$B136)*(Budget[Date]=D$7),Budget[Amount]))</f>
        <v>0</v>
      </c>
      <c r="E136" s="319">
        <f t="array" ref="E136">SUM(IF((Budget[Ofc Code]=$B$6)*(Budget[Account Code]=$B136)*(Budget[Date]=E$7),Budget[Amount]))</f>
        <v>0</v>
      </c>
      <c r="F136" s="319">
        <f t="array" ref="F136">SUM(IF((Budget[Ofc Code]=$B$6)*(Budget[Account Code]=$B136)*(Budget[Date]=F$7),Budget[Amount]))</f>
        <v>0</v>
      </c>
      <c r="G136" s="319">
        <f t="array" ref="G136">SUM(IF((Budget[Ofc Code]=$B$6)*(Budget[Account Code]=$B136)*(Budget[Date]=G$7),Budget[Amount]))</f>
        <v>0</v>
      </c>
      <c r="H136" s="319">
        <f t="array" ref="H136">SUM(IF((Budget[Ofc Code]=$B$6)*(Budget[Account Code]=$B136)*(Budget[Date]=H$7),Budget[Amount]))</f>
        <v>0</v>
      </c>
      <c r="I136" s="319">
        <f t="array" ref="I136">SUM(IF((Budget[Ofc Code]=$B$6)*(Budget[Account Code]=$B136)*(Budget[Date]=I$7),Budget[Amount]))</f>
        <v>0</v>
      </c>
      <c r="J136" s="319">
        <f t="array" ref="J136">SUM(IF((Budget[Ofc Code]=$B$6)*(Budget[Account Code]=$B136)*(Budget[Date]=J$7),Budget[Amount]))</f>
        <v>0</v>
      </c>
      <c r="K136" s="319">
        <f t="array" ref="K136">SUM(IF((Budget[Ofc Code]=$B$6)*(Budget[Account Code]=$B136)*(Budget[Date]=K$7),Budget[Amount]))</f>
        <v>0</v>
      </c>
      <c r="L136" s="319">
        <f t="array" ref="L136">SUM(IF((Budget[Ofc Code]=$B$6)*(Budget[Account Code]=$B136)*(Budget[Date]=L$7),Budget[Amount]))</f>
        <v>0</v>
      </c>
      <c r="M136" s="319">
        <f t="array" ref="M136">SUM(IF((Budget[Ofc Code]=$B$6)*(Budget[Account Code]=$B136)*(Budget[Date]=M$7),Budget[Amount]))</f>
        <v>0</v>
      </c>
      <c r="N136" s="319">
        <f t="array" ref="N136">SUM(IF((Budget[Ofc Code]=$B$6)*(Budget[Account Code]=$B136)*(Budget[Date]=N$7),Budget[Amount]))</f>
        <v>0</v>
      </c>
      <c r="O136" s="319">
        <f t="array" ref="O136">SUM(IF((Budget[Ofc Code]=$B$6)*(Budget[Account Code]=$B136)*(Budget[Date]=O$7),Budget[Amount]))</f>
        <v>0</v>
      </c>
      <c r="P136" s="319">
        <f t="shared" si="17"/>
        <v>0</v>
      </c>
    </row>
    <row r="137" spans="1:16" s="171" customFormat="1" x14ac:dyDescent="0.25">
      <c r="A137" s="321" t="s">
        <v>959</v>
      </c>
      <c r="B137" s="317"/>
      <c r="C137" s="322">
        <f t="shared" si="25"/>
        <v>0</v>
      </c>
      <c r="D137" s="322">
        <f>D138+D139+D140</f>
        <v>0</v>
      </c>
      <c r="E137" s="322">
        <f t="shared" ref="E137:O137" si="28">E138+E139+E140</f>
        <v>0</v>
      </c>
      <c r="F137" s="322">
        <f t="shared" si="28"/>
        <v>0</v>
      </c>
      <c r="G137" s="322">
        <f t="shared" si="28"/>
        <v>0</v>
      </c>
      <c r="H137" s="322">
        <f t="shared" si="28"/>
        <v>0</v>
      </c>
      <c r="I137" s="322">
        <f t="shared" si="28"/>
        <v>0</v>
      </c>
      <c r="J137" s="322">
        <f t="shared" si="28"/>
        <v>0</v>
      </c>
      <c r="K137" s="322">
        <f t="shared" si="28"/>
        <v>0</v>
      </c>
      <c r="L137" s="322">
        <f t="shared" si="28"/>
        <v>0</v>
      </c>
      <c r="M137" s="322">
        <f t="shared" si="28"/>
        <v>0</v>
      </c>
      <c r="N137" s="322">
        <f t="shared" si="28"/>
        <v>0</v>
      </c>
      <c r="O137" s="322">
        <f t="shared" si="28"/>
        <v>0</v>
      </c>
      <c r="P137" s="322">
        <f t="shared" si="17"/>
        <v>0</v>
      </c>
    </row>
    <row r="138" spans="1:16" x14ac:dyDescent="0.25">
      <c r="A138" s="323" t="s">
        <v>960</v>
      </c>
      <c r="B138" s="317" t="s">
        <v>272</v>
      </c>
      <c r="C138" s="319">
        <f t="shared" si="25"/>
        <v>0</v>
      </c>
      <c r="D138" s="319">
        <f t="array" ref="D138">SUM(IF((Budget[Ofc Code]=$B$6)*(Budget[Account Code]=$B138)*(Budget[Date]=D$7),Budget[Amount]))</f>
        <v>0</v>
      </c>
      <c r="E138" s="319">
        <f t="array" ref="E138">SUM(IF((Budget[Ofc Code]=$B$6)*(Budget[Account Code]=$B138)*(Budget[Date]=E$7),Budget[Amount]))</f>
        <v>0</v>
      </c>
      <c r="F138" s="319">
        <f t="array" ref="F138">SUM(IF((Budget[Ofc Code]=$B$6)*(Budget[Account Code]=$B138)*(Budget[Date]=F$7),Budget[Amount]))</f>
        <v>0</v>
      </c>
      <c r="G138" s="319">
        <f t="array" ref="G138">SUM(IF((Budget[Ofc Code]=$B$6)*(Budget[Account Code]=$B138)*(Budget[Date]=G$7),Budget[Amount]))</f>
        <v>0</v>
      </c>
      <c r="H138" s="319">
        <f t="array" ref="H138">SUM(IF((Budget[Ofc Code]=$B$6)*(Budget[Account Code]=$B138)*(Budget[Date]=H$7),Budget[Amount]))</f>
        <v>0</v>
      </c>
      <c r="I138" s="319">
        <f t="array" ref="I138">SUM(IF((Budget[Ofc Code]=$B$6)*(Budget[Account Code]=$B138)*(Budget[Date]=I$7),Budget[Amount]))</f>
        <v>0</v>
      </c>
      <c r="J138" s="319">
        <f t="array" ref="J138">SUM(IF((Budget[Ofc Code]=$B$6)*(Budget[Account Code]=$B138)*(Budget[Date]=J$7),Budget[Amount]))</f>
        <v>0</v>
      </c>
      <c r="K138" s="319">
        <f t="array" ref="K138">SUM(IF((Budget[Ofc Code]=$B$6)*(Budget[Account Code]=$B138)*(Budget[Date]=K$7),Budget[Amount]))</f>
        <v>0</v>
      </c>
      <c r="L138" s="319">
        <f t="array" ref="L138">SUM(IF((Budget[Ofc Code]=$B$6)*(Budget[Account Code]=$B138)*(Budget[Date]=L$7),Budget[Amount]))</f>
        <v>0</v>
      </c>
      <c r="M138" s="319">
        <f t="array" ref="M138">SUM(IF((Budget[Ofc Code]=$B$6)*(Budget[Account Code]=$B138)*(Budget[Date]=M$7),Budget[Amount]))</f>
        <v>0</v>
      </c>
      <c r="N138" s="319">
        <f t="array" ref="N138">SUM(IF((Budget[Ofc Code]=$B$6)*(Budget[Account Code]=$B138)*(Budget[Date]=N$7),Budget[Amount]))</f>
        <v>0</v>
      </c>
      <c r="O138" s="319">
        <f t="array" ref="O138">SUM(IF((Budget[Ofc Code]=$B$6)*(Budget[Account Code]=$B138)*(Budget[Date]=O$7),Budget[Amount]))</f>
        <v>0</v>
      </c>
      <c r="P138" s="319">
        <f t="shared" si="17"/>
        <v>0</v>
      </c>
    </row>
    <row r="139" spans="1:16" x14ac:dyDescent="0.25">
      <c r="A139" s="323" t="s">
        <v>961</v>
      </c>
      <c r="B139" s="317" t="s">
        <v>273</v>
      </c>
      <c r="C139" s="319">
        <f t="shared" si="25"/>
        <v>0</v>
      </c>
      <c r="D139" s="319">
        <f t="array" ref="D139">SUM(IF((Budget[Ofc Code]=$B$6)*(Budget[Account Code]=$B139)*(Budget[Date]=D$7),Budget[Amount]))</f>
        <v>0</v>
      </c>
      <c r="E139" s="319">
        <f t="array" ref="E139">SUM(IF((Budget[Ofc Code]=$B$6)*(Budget[Account Code]=$B139)*(Budget[Date]=E$7),Budget[Amount]))</f>
        <v>0</v>
      </c>
      <c r="F139" s="319">
        <f t="array" ref="F139">SUM(IF((Budget[Ofc Code]=$B$6)*(Budget[Account Code]=$B139)*(Budget[Date]=F$7),Budget[Amount]))</f>
        <v>0</v>
      </c>
      <c r="G139" s="319">
        <f t="array" ref="G139">SUM(IF((Budget[Ofc Code]=$B$6)*(Budget[Account Code]=$B139)*(Budget[Date]=G$7),Budget[Amount]))</f>
        <v>0</v>
      </c>
      <c r="H139" s="319">
        <f t="array" ref="H139">SUM(IF((Budget[Ofc Code]=$B$6)*(Budget[Account Code]=$B139)*(Budget[Date]=H$7),Budget[Amount]))</f>
        <v>0</v>
      </c>
      <c r="I139" s="319">
        <f t="array" ref="I139">SUM(IF((Budget[Ofc Code]=$B$6)*(Budget[Account Code]=$B139)*(Budget[Date]=I$7),Budget[Amount]))</f>
        <v>0</v>
      </c>
      <c r="J139" s="319">
        <f t="array" ref="J139">SUM(IF((Budget[Ofc Code]=$B$6)*(Budget[Account Code]=$B139)*(Budget[Date]=J$7),Budget[Amount]))</f>
        <v>0</v>
      </c>
      <c r="K139" s="319">
        <f t="array" ref="K139">SUM(IF((Budget[Ofc Code]=$B$6)*(Budget[Account Code]=$B139)*(Budget[Date]=K$7),Budget[Amount]))</f>
        <v>0</v>
      </c>
      <c r="L139" s="319">
        <f t="array" ref="L139">SUM(IF((Budget[Ofc Code]=$B$6)*(Budget[Account Code]=$B139)*(Budget[Date]=L$7),Budget[Amount]))</f>
        <v>0</v>
      </c>
      <c r="M139" s="319">
        <f t="array" ref="M139">SUM(IF((Budget[Ofc Code]=$B$6)*(Budget[Account Code]=$B139)*(Budget[Date]=M$7),Budget[Amount]))</f>
        <v>0</v>
      </c>
      <c r="N139" s="319">
        <f t="array" ref="N139">SUM(IF((Budget[Ofc Code]=$B$6)*(Budget[Account Code]=$B139)*(Budget[Date]=N$7),Budget[Amount]))</f>
        <v>0</v>
      </c>
      <c r="O139" s="319">
        <f t="array" ref="O139">SUM(IF((Budget[Ofc Code]=$B$6)*(Budget[Account Code]=$B139)*(Budget[Date]=O$7),Budget[Amount]))</f>
        <v>0</v>
      </c>
      <c r="P139" s="319">
        <f t="shared" si="17"/>
        <v>0</v>
      </c>
    </row>
    <row r="140" spans="1:16" x14ac:dyDescent="0.25">
      <c r="A140" s="323" t="s">
        <v>962</v>
      </c>
      <c r="B140" s="317" t="s">
        <v>274</v>
      </c>
      <c r="C140" s="319">
        <f t="shared" si="25"/>
        <v>0</v>
      </c>
      <c r="D140" s="319">
        <f t="array" ref="D140">SUM(IF((Budget[Ofc Code]=$B$6)*(Budget[Account Code]=$B140)*(Budget[Date]=D$7),Budget[Amount]))</f>
        <v>0</v>
      </c>
      <c r="E140" s="319">
        <f t="array" ref="E140">SUM(IF((Budget[Ofc Code]=$B$6)*(Budget[Account Code]=$B140)*(Budget[Date]=E$7),Budget[Amount]))</f>
        <v>0</v>
      </c>
      <c r="F140" s="319">
        <f t="array" ref="F140">SUM(IF((Budget[Ofc Code]=$B$6)*(Budget[Account Code]=$B140)*(Budget[Date]=F$7),Budget[Amount]))</f>
        <v>0</v>
      </c>
      <c r="G140" s="319">
        <f t="array" ref="G140">SUM(IF((Budget[Ofc Code]=$B$6)*(Budget[Account Code]=$B140)*(Budget[Date]=G$7),Budget[Amount]))</f>
        <v>0</v>
      </c>
      <c r="H140" s="319">
        <f t="array" ref="H140">SUM(IF((Budget[Ofc Code]=$B$6)*(Budget[Account Code]=$B140)*(Budget[Date]=H$7),Budget[Amount]))</f>
        <v>0</v>
      </c>
      <c r="I140" s="319">
        <f t="array" ref="I140">SUM(IF((Budget[Ofc Code]=$B$6)*(Budget[Account Code]=$B140)*(Budget[Date]=I$7),Budget[Amount]))</f>
        <v>0</v>
      </c>
      <c r="J140" s="319">
        <f t="array" ref="J140">SUM(IF((Budget[Ofc Code]=$B$6)*(Budget[Account Code]=$B140)*(Budget[Date]=J$7),Budget[Amount]))</f>
        <v>0</v>
      </c>
      <c r="K140" s="319">
        <f t="array" ref="K140">SUM(IF((Budget[Ofc Code]=$B$6)*(Budget[Account Code]=$B140)*(Budget[Date]=K$7),Budget[Amount]))</f>
        <v>0</v>
      </c>
      <c r="L140" s="319">
        <f t="array" ref="L140">SUM(IF((Budget[Ofc Code]=$B$6)*(Budget[Account Code]=$B140)*(Budget[Date]=L$7),Budget[Amount]))</f>
        <v>0</v>
      </c>
      <c r="M140" s="319">
        <f t="array" ref="M140">SUM(IF((Budget[Ofc Code]=$B$6)*(Budget[Account Code]=$B140)*(Budget[Date]=M$7),Budget[Amount]))</f>
        <v>0</v>
      </c>
      <c r="N140" s="319">
        <f t="array" ref="N140">SUM(IF((Budget[Ofc Code]=$B$6)*(Budget[Account Code]=$B140)*(Budget[Date]=N$7),Budget[Amount]))</f>
        <v>0</v>
      </c>
      <c r="O140" s="319">
        <f t="array" ref="O140">SUM(IF((Budget[Ofc Code]=$B$6)*(Budget[Account Code]=$B140)*(Budget[Date]=O$7),Budget[Amount]))</f>
        <v>0</v>
      </c>
      <c r="P140" s="319">
        <f t="shared" ref="P140:P169" si="29">C140</f>
        <v>0</v>
      </c>
    </row>
    <row r="141" spans="1:16" s="171" customFormat="1" x14ac:dyDescent="0.25">
      <c r="A141" s="321" t="s">
        <v>963</v>
      </c>
      <c r="B141" s="317"/>
      <c r="C141" s="322">
        <f t="shared" si="25"/>
        <v>0</v>
      </c>
      <c r="D141" s="322">
        <f>SUM(D142:D146)</f>
        <v>0</v>
      </c>
      <c r="E141" s="322">
        <f t="shared" ref="E141:O141" si="30">SUM(E142:E146)</f>
        <v>0</v>
      </c>
      <c r="F141" s="322">
        <f t="shared" si="30"/>
        <v>0</v>
      </c>
      <c r="G141" s="322">
        <f t="shared" si="30"/>
        <v>0</v>
      </c>
      <c r="H141" s="322">
        <f t="shared" si="30"/>
        <v>0</v>
      </c>
      <c r="I141" s="322">
        <f t="shared" si="30"/>
        <v>0</v>
      </c>
      <c r="J141" s="322">
        <f t="shared" si="30"/>
        <v>0</v>
      </c>
      <c r="K141" s="322">
        <f t="shared" si="30"/>
        <v>0</v>
      </c>
      <c r="L141" s="322">
        <f t="shared" si="30"/>
        <v>0</v>
      </c>
      <c r="M141" s="322">
        <f t="shared" si="30"/>
        <v>0</v>
      </c>
      <c r="N141" s="322">
        <f t="shared" si="30"/>
        <v>0</v>
      </c>
      <c r="O141" s="322">
        <f t="shared" si="30"/>
        <v>0</v>
      </c>
      <c r="P141" s="322">
        <f t="shared" si="29"/>
        <v>0</v>
      </c>
    </row>
    <row r="142" spans="1:16" x14ac:dyDescent="0.25">
      <c r="A142" s="323" t="s">
        <v>964</v>
      </c>
      <c r="B142" s="317" t="s">
        <v>332</v>
      </c>
      <c r="C142" s="319">
        <f t="shared" si="25"/>
        <v>0</v>
      </c>
      <c r="D142" s="319">
        <f t="array" ref="D142">SUM(IF((Budget[Ofc Code]=$B$6)*(Budget[Account Code]=$B142)*(Budget[Date]=D$7),Budget[Amount]))</f>
        <v>0</v>
      </c>
      <c r="E142" s="319">
        <f t="array" ref="E142">SUM(IF((Budget[Ofc Code]=$B$6)*(Budget[Account Code]=$B142)*(Budget[Date]=E$7),Budget[Amount]))</f>
        <v>0</v>
      </c>
      <c r="F142" s="319">
        <f t="array" ref="F142">SUM(IF((Budget[Ofc Code]=$B$6)*(Budget[Account Code]=$B142)*(Budget[Date]=F$7),Budget[Amount]))</f>
        <v>0</v>
      </c>
      <c r="G142" s="319">
        <f t="array" ref="G142">SUM(IF((Budget[Ofc Code]=$B$6)*(Budget[Account Code]=$B142)*(Budget[Date]=G$7),Budget[Amount]))</f>
        <v>0</v>
      </c>
      <c r="H142" s="319">
        <f t="array" ref="H142">SUM(IF((Budget[Ofc Code]=$B$6)*(Budget[Account Code]=$B142)*(Budget[Date]=H$7),Budget[Amount]))</f>
        <v>0</v>
      </c>
      <c r="I142" s="319">
        <f t="array" ref="I142">SUM(IF((Budget[Ofc Code]=$B$6)*(Budget[Account Code]=$B142)*(Budget[Date]=I$7),Budget[Amount]))</f>
        <v>0</v>
      </c>
      <c r="J142" s="319">
        <f t="array" ref="J142">SUM(IF((Budget[Ofc Code]=$B$6)*(Budget[Account Code]=$B142)*(Budget[Date]=J$7),Budget[Amount]))</f>
        <v>0</v>
      </c>
      <c r="K142" s="319">
        <f t="array" ref="K142">SUM(IF((Budget[Ofc Code]=$B$6)*(Budget[Account Code]=$B142)*(Budget[Date]=K$7),Budget[Amount]))</f>
        <v>0</v>
      </c>
      <c r="L142" s="319">
        <f t="array" ref="L142">SUM(IF((Budget[Ofc Code]=$B$6)*(Budget[Account Code]=$B142)*(Budget[Date]=L$7),Budget[Amount]))</f>
        <v>0</v>
      </c>
      <c r="M142" s="319">
        <f t="array" ref="M142">SUM(IF((Budget[Ofc Code]=$B$6)*(Budget[Account Code]=$B142)*(Budget[Date]=M$7),Budget[Amount]))</f>
        <v>0</v>
      </c>
      <c r="N142" s="319">
        <f t="array" ref="N142">SUM(IF((Budget[Ofc Code]=$B$6)*(Budget[Account Code]=$B142)*(Budget[Date]=N$7),Budget[Amount]))</f>
        <v>0</v>
      </c>
      <c r="O142" s="319">
        <f t="array" ref="O142">SUM(IF((Budget[Ofc Code]=$B$6)*(Budget[Account Code]=$B142)*(Budget[Date]=O$7),Budget[Amount]))</f>
        <v>0</v>
      </c>
      <c r="P142" s="319">
        <f t="shared" si="29"/>
        <v>0</v>
      </c>
    </row>
    <row r="143" spans="1:16" x14ac:dyDescent="0.25">
      <c r="A143" s="323" t="s">
        <v>965</v>
      </c>
      <c r="B143" s="317" t="s">
        <v>331</v>
      </c>
      <c r="C143" s="319">
        <f t="shared" si="25"/>
        <v>0</v>
      </c>
      <c r="D143" s="319">
        <f t="array" ref="D143">SUM(IF((Budget[Ofc Code]=$B$6)*(Budget[Account Code]=$B143)*(Budget[Date]=D$7),Budget[Amount]))</f>
        <v>0</v>
      </c>
      <c r="E143" s="319">
        <f t="array" ref="E143">SUM(IF((Budget[Ofc Code]=$B$6)*(Budget[Account Code]=$B143)*(Budget[Date]=E$7),Budget[Amount]))</f>
        <v>0</v>
      </c>
      <c r="F143" s="319">
        <f t="array" ref="F143">SUM(IF((Budget[Ofc Code]=$B$6)*(Budget[Account Code]=$B143)*(Budget[Date]=F$7),Budget[Amount]))</f>
        <v>0</v>
      </c>
      <c r="G143" s="319">
        <f t="array" ref="G143">SUM(IF((Budget[Ofc Code]=$B$6)*(Budget[Account Code]=$B143)*(Budget[Date]=G$7),Budget[Amount]))</f>
        <v>0</v>
      </c>
      <c r="H143" s="319">
        <f t="array" ref="H143">SUM(IF((Budget[Ofc Code]=$B$6)*(Budget[Account Code]=$B143)*(Budget[Date]=H$7),Budget[Amount]))</f>
        <v>0</v>
      </c>
      <c r="I143" s="319">
        <f t="array" ref="I143">SUM(IF((Budget[Ofc Code]=$B$6)*(Budget[Account Code]=$B143)*(Budget[Date]=I$7),Budget[Amount]))</f>
        <v>0</v>
      </c>
      <c r="J143" s="319">
        <f t="array" ref="J143">SUM(IF((Budget[Ofc Code]=$B$6)*(Budget[Account Code]=$B143)*(Budget[Date]=J$7),Budget[Amount]))</f>
        <v>0</v>
      </c>
      <c r="K143" s="319">
        <f t="array" ref="K143">SUM(IF((Budget[Ofc Code]=$B$6)*(Budget[Account Code]=$B143)*(Budget[Date]=K$7),Budget[Amount]))</f>
        <v>0</v>
      </c>
      <c r="L143" s="319">
        <f t="array" ref="L143">SUM(IF((Budget[Ofc Code]=$B$6)*(Budget[Account Code]=$B143)*(Budget[Date]=L$7),Budget[Amount]))</f>
        <v>0</v>
      </c>
      <c r="M143" s="319">
        <f t="array" ref="M143">SUM(IF((Budget[Ofc Code]=$B$6)*(Budget[Account Code]=$B143)*(Budget[Date]=M$7),Budget[Amount]))</f>
        <v>0</v>
      </c>
      <c r="N143" s="319">
        <f t="array" ref="N143">SUM(IF((Budget[Ofc Code]=$B$6)*(Budget[Account Code]=$B143)*(Budget[Date]=N$7),Budget[Amount]))</f>
        <v>0</v>
      </c>
      <c r="O143" s="319">
        <f t="array" ref="O143">SUM(IF((Budget[Ofc Code]=$B$6)*(Budget[Account Code]=$B143)*(Budget[Date]=O$7),Budget[Amount]))</f>
        <v>0</v>
      </c>
      <c r="P143" s="319">
        <f t="shared" si="29"/>
        <v>0</v>
      </c>
    </row>
    <row r="144" spans="1:16" x14ac:dyDescent="0.25">
      <c r="A144" s="323" t="s">
        <v>966</v>
      </c>
      <c r="B144" s="317" t="s">
        <v>987</v>
      </c>
      <c r="C144" s="319">
        <f t="shared" si="25"/>
        <v>0</v>
      </c>
      <c r="D144" s="319">
        <f t="array" ref="D144">SUM(IF((Budget[Ofc Code]=$B$6)*(Budget[Account Code]=$B144)*(Budget[Date]=D$7),Budget[Amount]))</f>
        <v>0</v>
      </c>
      <c r="E144" s="319">
        <f t="array" ref="E144">SUM(IF((Budget[Ofc Code]=$B$6)*(Budget[Account Code]=$B144)*(Budget[Date]=E$7),Budget[Amount]))</f>
        <v>0</v>
      </c>
      <c r="F144" s="319">
        <f t="array" ref="F144">SUM(IF((Budget[Ofc Code]=$B$6)*(Budget[Account Code]=$B144)*(Budget[Date]=F$7),Budget[Amount]))</f>
        <v>0</v>
      </c>
      <c r="G144" s="319">
        <f t="array" ref="G144">SUM(IF((Budget[Ofc Code]=$B$6)*(Budget[Account Code]=$B144)*(Budget[Date]=G$7),Budget[Amount]))</f>
        <v>0</v>
      </c>
      <c r="H144" s="319">
        <f t="array" ref="H144">SUM(IF((Budget[Ofc Code]=$B$6)*(Budget[Account Code]=$B144)*(Budget[Date]=H$7),Budget[Amount]))</f>
        <v>0</v>
      </c>
      <c r="I144" s="319">
        <f t="array" ref="I144">SUM(IF((Budget[Ofc Code]=$B$6)*(Budget[Account Code]=$B144)*(Budget[Date]=I$7),Budget[Amount]))</f>
        <v>0</v>
      </c>
      <c r="J144" s="319">
        <f t="array" ref="J144">SUM(IF((Budget[Ofc Code]=$B$6)*(Budget[Account Code]=$B144)*(Budget[Date]=J$7),Budget[Amount]))</f>
        <v>0</v>
      </c>
      <c r="K144" s="319">
        <f t="array" ref="K144">SUM(IF((Budget[Ofc Code]=$B$6)*(Budget[Account Code]=$B144)*(Budget[Date]=K$7),Budget[Amount]))</f>
        <v>0</v>
      </c>
      <c r="L144" s="319">
        <f t="array" ref="L144">SUM(IF((Budget[Ofc Code]=$B$6)*(Budget[Account Code]=$B144)*(Budget[Date]=L$7),Budget[Amount]))</f>
        <v>0</v>
      </c>
      <c r="M144" s="319">
        <f t="array" ref="M144">SUM(IF((Budget[Ofc Code]=$B$6)*(Budget[Account Code]=$B144)*(Budget[Date]=M$7),Budget[Amount]))</f>
        <v>0</v>
      </c>
      <c r="N144" s="319">
        <f t="array" ref="N144">SUM(IF((Budget[Ofc Code]=$B$6)*(Budget[Account Code]=$B144)*(Budget[Date]=N$7),Budget[Amount]))</f>
        <v>0</v>
      </c>
      <c r="O144" s="319">
        <f t="array" ref="O144">SUM(IF((Budget[Ofc Code]=$B$6)*(Budget[Account Code]=$B144)*(Budget[Date]=O$7),Budget[Amount]))</f>
        <v>0</v>
      </c>
      <c r="P144" s="319">
        <f t="shared" si="29"/>
        <v>0</v>
      </c>
    </row>
    <row r="145" spans="1:16" x14ac:dyDescent="0.25">
      <c r="A145" s="323" t="s">
        <v>967</v>
      </c>
      <c r="B145" s="317"/>
      <c r="C145" s="319">
        <f t="shared" si="25"/>
        <v>0</v>
      </c>
      <c r="D145" s="319">
        <f t="array" ref="D145">SUM(IF((Budget[Ofc Code]=$B$6)*(Budget[Account Code]=$B145)*(Budget[Date]=D$7),Budget[Amount]))</f>
        <v>0</v>
      </c>
      <c r="E145" s="319">
        <f t="array" ref="E145">SUM(IF((Budget[Ofc Code]=$B$6)*(Budget[Account Code]=$B145)*(Budget[Date]=E$7),Budget[Amount]))</f>
        <v>0</v>
      </c>
      <c r="F145" s="319">
        <f t="array" ref="F145">SUM(IF((Budget[Ofc Code]=$B$6)*(Budget[Account Code]=$B145)*(Budget[Date]=F$7),Budget[Amount]))</f>
        <v>0</v>
      </c>
      <c r="G145" s="319">
        <f t="array" ref="G145">SUM(IF((Budget[Ofc Code]=$B$6)*(Budget[Account Code]=$B145)*(Budget[Date]=G$7),Budget[Amount]))</f>
        <v>0</v>
      </c>
      <c r="H145" s="319">
        <f t="array" ref="H145">SUM(IF((Budget[Ofc Code]=$B$6)*(Budget[Account Code]=$B145)*(Budget[Date]=H$7),Budget[Amount]))</f>
        <v>0</v>
      </c>
      <c r="I145" s="319">
        <f t="array" ref="I145">SUM(IF((Budget[Ofc Code]=$B$6)*(Budget[Account Code]=$B145)*(Budget[Date]=I$7),Budget[Amount]))</f>
        <v>0</v>
      </c>
      <c r="J145" s="319">
        <f t="array" ref="J145">SUM(IF((Budget[Ofc Code]=$B$6)*(Budget[Account Code]=$B145)*(Budget[Date]=J$7),Budget[Amount]))</f>
        <v>0</v>
      </c>
      <c r="K145" s="319">
        <f t="array" ref="K145">SUM(IF((Budget[Ofc Code]=$B$6)*(Budget[Account Code]=$B145)*(Budget[Date]=K$7),Budget[Amount]))</f>
        <v>0</v>
      </c>
      <c r="L145" s="319">
        <f t="array" ref="L145">SUM(IF((Budget[Ofc Code]=$B$6)*(Budget[Account Code]=$B145)*(Budget[Date]=L$7),Budget[Amount]))</f>
        <v>0</v>
      </c>
      <c r="M145" s="319">
        <f t="array" ref="M145">SUM(IF((Budget[Ofc Code]=$B$6)*(Budget[Account Code]=$B145)*(Budget[Date]=M$7),Budget[Amount]))</f>
        <v>0</v>
      </c>
      <c r="N145" s="319">
        <f t="array" ref="N145">SUM(IF((Budget[Ofc Code]=$B$6)*(Budget[Account Code]=$B145)*(Budget[Date]=N$7),Budget[Amount]))</f>
        <v>0</v>
      </c>
      <c r="O145" s="319">
        <f t="array" ref="O145">SUM(IF((Budget[Ofc Code]=$B$6)*(Budget[Account Code]=$B145)*(Budget[Date]=O$7),Budget[Amount]))</f>
        <v>0</v>
      </c>
      <c r="P145" s="319">
        <f t="shared" si="29"/>
        <v>0</v>
      </c>
    </row>
    <row r="146" spans="1:16" x14ac:dyDescent="0.25">
      <c r="A146" s="323" t="s">
        <v>968</v>
      </c>
      <c r="B146" s="317"/>
      <c r="C146" s="319">
        <f t="shared" si="25"/>
        <v>0</v>
      </c>
      <c r="D146" s="319">
        <f>SUM(D147:D148)</f>
        <v>0</v>
      </c>
      <c r="E146" s="319">
        <f t="shared" ref="E146:O146" si="31">SUM(E147:E148)</f>
        <v>0</v>
      </c>
      <c r="F146" s="319">
        <f t="shared" si="31"/>
        <v>0</v>
      </c>
      <c r="G146" s="319">
        <f t="shared" si="31"/>
        <v>0</v>
      </c>
      <c r="H146" s="319">
        <f t="shared" si="31"/>
        <v>0</v>
      </c>
      <c r="I146" s="319">
        <f t="shared" si="31"/>
        <v>0</v>
      </c>
      <c r="J146" s="319">
        <f t="shared" si="31"/>
        <v>0</v>
      </c>
      <c r="K146" s="319">
        <f t="shared" si="31"/>
        <v>0</v>
      </c>
      <c r="L146" s="319">
        <f t="shared" si="31"/>
        <v>0</v>
      </c>
      <c r="M146" s="319">
        <f t="shared" si="31"/>
        <v>0</v>
      </c>
      <c r="N146" s="319">
        <f t="shared" si="31"/>
        <v>0</v>
      </c>
      <c r="O146" s="319">
        <f t="shared" si="31"/>
        <v>0</v>
      </c>
      <c r="P146" s="319">
        <f t="shared" si="29"/>
        <v>0</v>
      </c>
    </row>
    <row r="147" spans="1:16" x14ac:dyDescent="0.25">
      <c r="A147" s="325" t="s">
        <v>1008</v>
      </c>
      <c r="B147" s="317" t="s">
        <v>986</v>
      </c>
      <c r="C147" s="319">
        <f t="shared" si="25"/>
        <v>0</v>
      </c>
      <c r="D147" s="319">
        <f t="array" ref="D147">SUM(IF((Budget[Ofc Code]=$B$6)*(Budget[Account Code]=$B147)*(Budget[Date]=D$7),Budget[Amount]))</f>
        <v>0</v>
      </c>
      <c r="E147" s="319">
        <f t="array" ref="E147">SUM(IF((Budget[Ofc Code]=$B$6)*(Budget[Account Code]=$B147)*(Budget[Date]=E$7),Budget[Amount]))</f>
        <v>0</v>
      </c>
      <c r="F147" s="319">
        <f t="array" ref="F147">SUM(IF((Budget[Ofc Code]=$B$6)*(Budget[Account Code]=$B147)*(Budget[Date]=F$7),Budget[Amount]))</f>
        <v>0</v>
      </c>
      <c r="G147" s="319">
        <f t="array" ref="G147">SUM(IF((Budget[Ofc Code]=$B$6)*(Budget[Account Code]=$B147)*(Budget[Date]=G$7),Budget[Amount]))</f>
        <v>0</v>
      </c>
      <c r="H147" s="319">
        <f t="array" ref="H147">SUM(IF((Budget[Ofc Code]=$B$6)*(Budget[Account Code]=$B147)*(Budget[Date]=H$7),Budget[Amount]))</f>
        <v>0</v>
      </c>
      <c r="I147" s="319">
        <f t="array" ref="I147">SUM(IF((Budget[Ofc Code]=$B$6)*(Budget[Account Code]=$B147)*(Budget[Date]=I$7),Budget[Amount]))</f>
        <v>0</v>
      </c>
      <c r="J147" s="319">
        <f t="array" ref="J147">SUM(IF((Budget[Ofc Code]=$B$6)*(Budget[Account Code]=$B147)*(Budget[Date]=J$7),Budget[Amount]))</f>
        <v>0</v>
      </c>
      <c r="K147" s="319">
        <f t="array" ref="K147">SUM(IF((Budget[Ofc Code]=$B$6)*(Budget[Account Code]=$B147)*(Budget[Date]=K$7),Budget[Amount]))</f>
        <v>0</v>
      </c>
      <c r="L147" s="319">
        <f t="array" ref="L147">SUM(IF((Budget[Ofc Code]=$B$6)*(Budget[Account Code]=$B147)*(Budget[Date]=L$7),Budget[Amount]))</f>
        <v>0</v>
      </c>
      <c r="M147" s="319">
        <f t="array" ref="M147">SUM(IF((Budget[Ofc Code]=$B$6)*(Budget[Account Code]=$B147)*(Budget[Date]=M$7),Budget[Amount]))</f>
        <v>0</v>
      </c>
      <c r="N147" s="319">
        <f t="array" ref="N147">SUM(IF((Budget[Ofc Code]=$B$6)*(Budget[Account Code]=$B147)*(Budget[Date]=N$7),Budget[Amount]))</f>
        <v>0</v>
      </c>
      <c r="O147" s="319">
        <f t="array" ref="O147">SUM(IF((Budget[Ofc Code]=$B$6)*(Budget[Account Code]=$B147)*(Budget[Date]=O$7),Budget[Amount]))</f>
        <v>0</v>
      </c>
      <c r="P147" s="319">
        <f t="shared" si="29"/>
        <v>0</v>
      </c>
    </row>
    <row r="148" spans="1:16" x14ac:dyDescent="0.25">
      <c r="A148" s="325" t="s">
        <v>1009</v>
      </c>
      <c r="B148" s="317" t="s">
        <v>988</v>
      </c>
      <c r="C148" s="319">
        <f t="shared" si="25"/>
        <v>0</v>
      </c>
      <c r="D148" s="319">
        <f t="array" ref="D148">SUM(IF((Budget[Ofc Code]=$B$6)*(Budget[Account Code]=$B148)*(Budget[Date]=D$7),Budget[Amount]))</f>
        <v>0</v>
      </c>
      <c r="E148" s="319">
        <f t="array" ref="E148">SUM(IF((Budget[Ofc Code]=$B$6)*(Budget[Account Code]=$B148)*(Budget[Date]=E$7),Budget[Amount]))</f>
        <v>0</v>
      </c>
      <c r="F148" s="319">
        <f t="array" ref="F148">SUM(IF((Budget[Ofc Code]=$B$6)*(Budget[Account Code]=$B148)*(Budget[Date]=F$7),Budget[Amount]))</f>
        <v>0</v>
      </c>
      <c r="G148" s="319">
        <f t="array" ref="G148">SUM(IF((Budget[Ofc Code]=$B$6)*(Budget[Account Code]=$B148)*(Budget[Date]=G$7),Budget[Amount]))</f>
        <v>0</v>
      </c>
      <c r="H148" s="319">
        <f t="array" ref="H148">SUM(IF((Budget[Ofc Code]=$B$6)*(Budget[Account Code]=$B148)*(Budget[Date]=H$7),Budget[Amount]))</f>
        <v>0</v>
      </c>
      <c r="I148" s="319">
        <f t="array" ref="I148">SUM(IF((Budget[Ofc Code]=$B$6)*(Budget[Account Code]=$B148)*(Budget[Date]=I$7),Budget[Amount]))</f>
        <v>0</v>
      </c>
      <c r="J148" s="319">
        <f t="array" ref="J148">SUM(IF((Budget[Ofc Code]=$B$6)*(Budget[Account Code]=$B148)*(Budget[Date]=J$7),Budget[Amount]))</f>
        <v>0</v>
      </c>
      <c r="K148" s="319">
        <f t="array" ref="K148">SUM(IF((Budget[Ofc Code]=$B$6)*(Budget[Account Code]=$B148)*(Budget[Date]=K$7),Budget[Amount]))</f>
        <v>0</v>
      </c>
      <c r="L148" s="319">
        <f t="array" ref="L148">SUM(IF((Budget[Ofc Code]=$B$6)*(Budget[Account Code]=$B148)*(Budget[Date]=L$7),Budget[Amount]))</f>
        <v>0</v>
      </c>
      <c r="M148" s="319">
        <f t="array" ref="M148">SUM(IF((Budget[Ofc Code]=$B$6)*(Budget[Account Code]=$B148)*(Budget[Date]=M$7),Budget[Amount]))</f>
        <v>0</v>
      </c>
      <c r="N148" s="319">
        <f t="array" ref="N148">SUM(IF((Budget[Ofc Code]=$B$6)*(Budget[Account Code]=$B148)*(Budget[Date]=N$7),Budget[Amount]))</f>
        <v>0</v>
      </c>
      <c r="O148" s="319">
        <f t="array" ref="O148">SUM(IF((Budget[Ofc Code]=$B$6)*(Budget[Account Code]=$B148)*(Budget[Date]=O$7),Budget[Amount]))</f>
        <v>0</v>
      </c>
      <c r="P148" s="319">
        <f t="shared" si="29"/>
        <v>0</v>
      </c>
    </row>
    <row r="149" spans="1:16" s="171" customFormat="1" x14ac:dyDescent="0.25">
      <c r="A149" s="321" t="s">
        <v>969</v>
      </c>
      <c r="B149" s="317" t="s">
        <v>334</v>
      </c>
      <c r="C149" s="322">
        <f t="shared" si="25"/>
        <v>0</v>
      </c>
      <c r="D149" s="319">
        <f t="array" ref="D149">SUM(IF((Budget[Ofc Code]=$B$6)*(Budget[Account Code]=$B149)*(Budget[Date]=D$7),Budget[Amount]))</f>
        <v>0</v>
      </c>
      <c r="E149" s="319">
        <f t="array" ref="E149">SUM(IF((Budget[Ofc Code]=$B$6)*(Budget[Account Code]=$B149)*(Budget[Date]=E$7),Budget[Amount]))</f>
        <v>0</v>
      </c>
      <c r="F149" s="319">
        <f t="array" ref="F149">SUM(IF((Budget[Ofc Code]=$B$6)*(Budget[Account Code]=$B149)*(Budget[Date]=F$7),Budget[Amount]))</f>
        <v>0</v>
      </c>
      <c r="G149" s="319">
        <f t="array" ref="G149">SUM(IF((Budget[Ofc Code]=$B$6)*(Budget[Account Code]=$B149)*(Budget[Date]=G$7),Budget[Amount]))</f>
        <v>0</v>
      </c>
      <c r="H149" s="319">
        <f t="array" ref="H149">SUM(IF((Budget[Ofc Code]=$B$6)*(Budget[Account Code]=$B149)*(Budget[Date]=H$7),Budget[Amount]))</f>
        <v>0</v>
      </c>
      <c r="I149" s="319">
        <f t="array" ref="I149">SUM(IF((Budget[Ofc Code]=$B$6)*(Budget[Account Code]=$B149)*(Budget[Date]=I$7),Budget[Amount]))</f>
        <v>0</v>
      </c>
      <c r="J149" s="319">
        <f t="array" ref="J149">SUM(IF((Budget[Ofc Code]=$B$6)*(Budget[Account Code]=$B149)*(Budget[Date]=J$7),Budget[Amount]))</f>
        <v>0</v>
      </c>
      <c r="K149" s="319">
        <f t="array" ref="K149">SUM(IF((Budget[Ofc Code]=$B$6)*(Budget[Account Code]=$B149)*(Budget[Date]=K$7),Budget[Amount]))</f>
        <v>0</v>
      </c>
      <c r="L149" s="319">
        <f t="array" ref="L149">SUM(IF((Budget[Ofc Code]=$B$6)*(Budget[Account Code]=$B149)*(Budget[Date]=L$7),Budget[Amount]))</f>
        <v>0</v>
      </c>
      <c r="M149" s="319">
        <f t="array" ref="M149">SUM(IF((Budget[Ofc Code]=$B$6)*(Budget[Account Code]=$B149)*(Budget[Date]=M$7),Budget[Amount]))</f>
        <v>0</v>
      </c>
      <c r="N149" s="319">
        <f t="array" ref="N149">SUM(IF((Budget[Ofc Code]=$B$6)*(Budget[Account Code]=$B149)*(Budget[Date]=N$7),Budget[Amount]))</f>
        <v>0</v>
      </c>
      <c r="O149" s="319">
        <f t="array" ref="O149">SUM(IF((Budget[Ofc Code]=$B$6)*(Budget[Account Code]=$B149)*(Budget[Date]=O$7),Budget[Amount]))</f>
        <v>0</v>
      </c>
      <c r="P149" s="322">
        <f t="shared" si="29"/>
        <v>0</v>
      </c>
    </row>
    <row r="150" spans="1:16" s="171" customFormat="1" x14ac:dyDescent="0.25">
      <c r="A150" s="321" t="s">
        <v>970</v>
      </c>
      <c r="B150" s="317" t="s">
        <v>335</v>
      </c>
      <c r="C150" s="322">
        <f t="shared" si="25"/>
        <v>0</v>
      </c>
      <c r="D150" s="319">
        <f t="array" ref="D150">SUM(IF((Budget[Ofc Code]=$B$6)*(Budget[Account Code]=$B150)*(Budget[Date]=D$7),Budget[Amount]))</f>
        <v>0</v>
      </c>
      <c r="E150" s="319">
        <f t="array" ref="E150">SUM(IF((Budget[Ofc Code]=$B$6)*(Budget[Account Code]=$B150)*(Budget[Date]=E$7),Budget[Amount]))</f>
        <v>0</v>
      </c>
      <c r="F150" s="319">
        <f t="array" ref="F150">SUM(IF((Budget[Ofc Code]=$B$6)*(Budget[Account Code]=$B150)*(Budget[Date]=F$7),Budget[Amount]))</f>
        <v>0</v>
      </c>
      <c r="G150" s="319">
        <f t="array" ref="G150">SUM(IF((Budget[Ofc Code]=$B$6)*(Budget[Account Code]=$B150)*(Budget[Date]=G$7),Budget[Amount]))</f>
        <v>0</v>
      </c>
      <c r="H150" s="319">
        <f t="array" ref="H150">SUM(IF((Budget[Ofc Code]=$B$6)*(Budget[Account Code]=$B150)*(Budget[Date]=H$7),Budget[Amount]))</f>
        <v>0</v>
      </c>
      <c r="I150" s="319">
        <f t="array" ref="I150">SUM(IF((Budget[Ofc Code]=$B$6)*(Budget[Account Code]=$B150)*(Budget[Date]=I$7),Budget[Amount]))</f>
        <v>0</v>
      </c>
      <c r="J150" s="319">
        <f t="array" ref="J150">SUM(IF((Budget[Ofc Code]=$B$6)*(Budget[Account Code]=$B150)*(Budget[Date]=J$7),Budget[Amount]))</f>
        <v>0</v>
      </c>
      <c r="K150" s="319">
        <f t="array" ref="K150">SUM(IF((Budget[Ofc Code]=$B$6)*(Budget[Account Code]=$B150)*(Budget[Date]=K$7),Budget[Amount]))</f>
        <v>0</v>
      </c>
      <c r="L150" s="319">
        <f t="array" ref="L150">SUM(IF((Budget[Ofc Code]=$B$6)*(Budget[Account Code]=$B150)*(Budget[Date]=L$7),Budget[Amount]))</f>
        <v>0</v>
      </c>
      <c r="M150" s="319">
        <f t="array" ref="M150">SUM(IF((Budget[Ofc Code]=$B$6)*(Budget[Account Code]=$B150)*(Budget[Date]=M$7),Budget[Amount]))</f>
        <v>0</v>
      </c>
      <c r="N150" s="319">
        <f t="array" ref="N150">SUM(IF((Budget[Ofc Code]=$B$6)*(Budget[Account Code]=$B150)*(Budget[Date]=N$7),Budget[Amount]))</f>
        <v>0</v>
      </c>
      <c r="O150" s="319">
        <f t="array" ref="O150">SUM(IF((Budget[Ofc Code]=$B$6)*(Budget[Account Code]=$B150)*(Budget[Date]=O$7),Budget[Amount]))</f>
        <v>0</v>
      </c>
      <c r="P150" s="322">
        <f t="shared" si="29"/>
        <v>0</v>
      </c>
    </row>
    <row r="151" spans="1:16" x14ac:dyDescent="0.25">
      <c r="A151" s="320" t="s">
        <v>971</v>
      </c>
      <c r="B151" s="317"/>
      <c r="C151" s="326">
        <f t="shared" si="25"/>
        <v>0</v>
      </c>
      <c r="D151" s="326">
        <f>D87+D88+D89+D97+D102+D108+D109+D110+D111+D112+D113+D114+D115+D116+D117+D126+D133+D134+D137+D141+D149+D150</f>
        <v>0</v>
      </c>
      <c r="E151" s="326">
        <f t="shared" ref="E151:O151" si="32">E87+E88+E89+E97+E102+E108+E109+E110+E111+E112+E113+E114+E115+E116+E117+E126+E133+E134+E137+E141+E149+E150</f>
        <v>0</v>
      </c>
      <c r="F151" s="326">
        <f t="shared" si="32"/>
        <v>0</v>
      </c>
      <c r="G151" s="326">
        <f t="shared" si="32"/>
        <v>0</v>
      </c>
      <c r="H151" s="326">
        <f t="shared" si="32"/>
        <v>0</v>
      </c>
      <c r="I151" s="326">
        <f t="shared" si="32"/>
        <v>0</v>
      </c>
      <c r="J151" s="326">
        <f t="shared" si="32"/>
        <v>0</v>
      </c>
      <c r="K151" s="326">
        <f t="shared" si="32"/>
        <v>0</v>
      </c>
      <c r="L151" s="326">
        <f t="shared" si="32"/>
        <v>0</v>
      </c>
      <c r="M151" s="326">
        <f t="shared" si="32"/>
        <v>0</v>
      </c>
      <c r="N151" s="326">
        <f t="shared" si="32"/>
        <v>0</v>
      </c>
      <c r="O151" s="326">
        <f t="shared" si="32"/>
        <v>0</v>
      </c>
      <c r="P151" s="326">
        <f t="shared" si="29"/>
        <v>0</v>
      </c>
    </row>
    <row r="152" spans="1:16" s="171" customFormat="1" hidden="1" x14ac:dyDescent="0.25">
      <c r="A152" s="320" t="s">
        <v>972</v>
      </c>
      <c r="B152" s="317"/>
      <c r="C152" s="322">
        <f>C151-C119-C143</f>
        <v>0</v>
      </c>
      <c r="D152" s="322"/>
      <c r="E152" s="322"/>
      <c r="F152" s="322"/>
      <c r="G152" s="322"/>
      <c r="H152" s="322"/>
      <c r="I152" s="322"/>
      <c r="J152" s="322"/>
      <c r="K152" s="322"/>
      <c r="L152" s="322"/>
      <c r="M152" s="322"/>
      <c r="N152" s="322"/>
      <c r="O152" s="322"/>
      <c r="P152" s="322">
        <f t="shared" si="29"/>
        <v>0</v>
      </c>
    </row>
    <row r="153" spans="1:16" x14ac:dyDescent="0.25">
      <c r="A153" s="320"/>
      <c r="B153" s="317"/>
      <c r="C153" s="326"/>
      <c r="D153" s="326"/>
      <c r="E153" s="326"/>
      <c r="F153" s="326"/>
      <c r="G153" s="326"/>
      <c r="H153" s="326"/>
      <c r="I153" s="326"/>
      <c r="J153" s="326"/>
      <c r="K153" s="326"/>
      <c r="L153" s="326"/>
      <c r="M153" s="326"/>
      <c r="N153" s="326"/>
      <c r="O153" s="326"/>
      <c r="P153" s="326">
        <f t="shared" si="29"/>
        <v>0</v>
      </c>
    </row>
    <row r="154" spans="1:16" x14ac:dyDescent="0.25">
      <c r="A154" s="320" t="s">
        <v>973</v>
      </c>
      <c r="B154" s="317"/>
      <c r="C154" s="319"/>
      <c r="D154" s="319"/>
      <c r="E154" s="319"/>
      <c r="F154" s="319"/>
      <c r="G154" s="319"/>
      <c r="H154" s="319"/>
      <c r="I154" s="319"/>
      <c r="J154" s="319"/>
      <c r="K154" s="319"/>
      <c r="L154" s="319"/>
      <c r="M154" s="319"/>
      <c r="N154" s="319"/>
      <c r="O154" s="319"/>
      <c r="P154" s="319">
        <f t="shared" si="29"/>
        <v>0</v>
      </c>
    </row>
    <row r="155" spans="1:16" s="171" customFormat="1" x14ac:dyDescent="0.25">
      <c r="A155" s="330" t="s">
        <v>974</v>
      </c>
      <c r="B155" s="317" t="s">
        <v>992</v>
      </c>
      <c r="C155" s="322">
        <f t="shared" ref="C155:C168" si="33">SUM(D155:O155)</f>
        <v>0</v>
      </c>
      <c r="D155" s="319">
        <f t="array" ref="D155">SUM(IF((Budget[Ofc Code]=$B$6)*(Budget[Account Code]=$B155)*(Budget[Date]=D$7),Budget[Amount]))</f>
        <v>0</v>
      </c>
      <c r="E155" s="319">
        <f t="array" ref="E155">SUM(IF((Budget[Ofc Code]=$B$6)*(Budget[Account Code]=$B155)*(Budget[Date]=E$7),Budget[Amount]))</f>
        <v>0</v>
      </c>
      <c r="F155" s="319">
        <f t="array" ref="F155">SUM(IF((Budget[Ofc Code]=$B$6)*(Budget[Account Code]=$B155)*(Budget[Date]=F$7),Budget[Amount]))</f>
        <v>0</v>
      </c>
      <c r="G155" s="319">
        <f t="array" ref="G155">SUM(IF((Budget[Ofc Code]=$B$6)*(Budget[Account Code]=$B155)*(Budget[Date]=G$7),Budget[Amount]))</f>
        <v>0</v>
      </c>
      <c r="H155" s="319">
        <f t="array" ref="H155">SUM(IF((Budget[Ofc Code]=$B$6)*(Budget[Account Code]=$B155)*(Budget[Date]=H$7),Budget[Amount]))</f>
        <v>0</v>
      </c>
      <c r="I155" s="319">
        <f t="array" ref="I155">SUM(IF((Budget[Ofc Code]=$B$6)*(Budget[Account Code]=$B155)*(Budget[Date]=I$7),Budget[Amount]))</f>
        <v>0</v>
      </c>
      <c r="J155" s="319">
        <f t="array" ref="J155">SUM(IF((Budget[Ofc Code]=$B$6)*(Budget[Account Code]=$B155)*(Budget[Date]=J$7),Budget[Amount]))</f>
        <v>0</v>
      </c>
      <c r="K155" s="319">
        <f t="array" ref="K155">SUM(IF((Budget[Ofc Code]=$B$6)*(Budget[Account Code]=$B155)*(Budget[Date]=K$7),Budget[Amount]))</f>
        <v>0</v>
      </c>
      <c r="L155" s="319">
        <f t="array" ref="L155">SUM(IF((Budget[Ofc Code]=$B$6)*(Budget[Account Code]=$B155)*(Budget[Date]=L$7),Budget[Amount]))</f>
        <v>0</v>
      </c>
      <c r="M155" s="319">
        <f t="array" ref="M155">SUM(IF((Budget[Ofc Code]=$B$6)*(Budget[Account Code]=$B155)*(Budget[Date]=M$7),Budget[Amount]))</f>
        <v>0</v>
      </c>
      <c r="N155" s="319">
        <f t="array" ref="N155">SUM(IF((Budget[Ofc Code]=$B$6)*(Budget[Account Code]=$B155)*(Budget[Date]=N$7),Budget[Amount]))</f>
        <v>0</v>
      </c>
      <c r="O155" s="319">
        <f t="array" ref="O155">SUM(IF((Budget[Ofc Code]=$B$6)*(Budget[Account Code]=$B155)*(Budget[Date]=O$7),Budget[Amount]))</f>
        <v>0</v>
      </c>
      <c r="P155" s="322">
        <f t="shared" si="29"/>
        <v>0</v>
      </c>
    </row>
    <row r="156" spans="1:16" s="171" customFormat="1" x14ac:dyDescent="0.25">
      <c r="A156" s="330" t="s">
        <v>975</v>
      </c>
      <c r="B156" s="317" t="s">
        <v>333</v>
      </c>
      <c r="C156" s="322">
        <f t="shared" si="33"/>
        <v>0</v>
      </c>
      <c r="D156" s="319">
        <f t="array" ref="D156">SUM(IF((Budget[Ofc Code]=$B$6)*(Budget[Account Code]=$B156)*(Budget[Date]=D$7),Budget[Amount]))</f>
        <v>0</v>
      </c>
      <c r="E156" s="319">
        <f t="array" ref="E156">SUM(IF((Budget[Ofc Code]=$B$6)*(Budget[Account Code]=$B156)*(Budget[Date]=E$7),Budget[Amount]))</f>
        <v>0</v>
      </c>
      <c r="F156" s="319">
        <f t="array" ref="F156">SUM(IF((Budget[Ofc Code]=$B$6)*(Budget[Account Code]=$B156)*(Budget[Date]=F$7),Budget[Amount]))</f>
        <v>0</v>
      </c>
      <c r="G156" s="319">
        <f t="array" ref="G156">SUM(IF((Budget[Ofc Code]=$B$6)*(Budget[Account Code]=$B156)*(Budget[Date]=G$7),Budget[Amount]))</f>
        <v>0</v>
      </c>
      <c r="H156" s="319">
        <f t="array" ref="H156">SUM(IF((Budget[Ofc Code]=$B$6)*(Budget[Account Code]=$B156)*(Budget[Date]=H$7),Budget[Amount]))</f>
        <v>0</v>
      </c>
      <c r="I156" s="319">
        <f t="array" ref="I156">SUM(IF((Budget[Ofc Code]=$B$6)*(Budget[Account Code]=$B156)*(Budget[Date]=I$7),Budget[Amount]))</f>
        <v>0</v>
      </c>
      <c r="J156" s="319">
        <f t="array" ref="J156">SUM(IF((Budget[Ofc Code]=$B$6)*(Budget[Account Code]=$B156)*(Budget[Date]=J$7),Budget[Amount]))</f>
        <v>0</v>
      </c>
      <c r="K156" s="319">
        <f t="array" ref="K156">SUM(IF((Budget[Ofc Code]=$B$6)*(Budget[Account Code]=$B156)*(Budget[Date]=K$7),Budget[Amount]))</f>
        <v>0</v>
      </c>
      <c r="L156" s="319">
        <f t="array" ref="L156">SUM(IF((Budget[Ofc Code]=$B$6)*(Budget[Account Code]=$B156)*(Budget[Date]=L$7),Budget[Amount]))</f>
        <v>0</v>
      </c>
      <c r="M156" s="319">
        <f t="array" ref="M156">SUM(IF((Budget[Ofc Code]=$B$6)*(Budget[Account Code]=$B156)*(Budget[Date]=M$7),Budget[Amount]))</f>
        <v>0</v>
      </c>
      <c r="N156" s="319">
        <f t="array" ref="N156">SUM(IF((Budget[Ofc Code]=$B$6)*(Budget[Account Code]=$B156)*(Budget[Date]=N$7),Budget[Amount]))</f>
        <v>0</v>
      </c>
      <c r="O156" s="319">
        <f t="array" ref="O156">SUM(IF((Budget[Ofc Code]=$B$6)*(Budget[Account Code]=$B156)*(Budget[Date]=O$7),Budget[Amount]))</f>
        <v>0</v>
      </c>
      <c r="P156" s="322">
        <f t="shared" si="29"/>
        <v>0</v>
      </c>
    </row>
    <row r="157" spans="1:16" s="171" customFormat="1" x14ac:dyDescent="0.25">
      <c r="A157" s="330" t="s">
        <v>976</v>
      </c>
      <c r="B157" s="317" t="s">
        <v>991</v>
      </c>
      <c r="C157" s="322">
        <f t="shared" si="33"/>
        <v>0</v>
      </c>
      <c r="D157" s="319">
        <f t="array" ref="D157">SUM(IF((Budget[Ofc Code]=$B$6)*(Budget[Account Code]=$B157)*(Budget[Date]=D$7),Budget[Amount]))</f>
        <v>0</v>
      </c>
      <c r="E157" s="319">
        <f t="array" ref="E157">SUM(IF((Budget[Ofc Code]=$B$6)*(Budget[Account Code]=$B157)*(Budget[Date]=E$7),Budget[Amount]))</f>
        <v>0</v>
      </c>
      <c r="F157" s="319">
        <f t="array" ref="F157">SUM(IF((Budget[Ofc Code]=$B$6)*(Budget[Account Code]=$B157)*(Budget[Date]=F$7),Budget[Amount]))</f>
        <v>0</v>
      </c>
      <c r="G157" s="319">
        <f t="array" ref="G157">SUM(IF((Budget[Ofc Code]=$B$6)*(Budget[Account Code]=$B157)*(Budget[Date]=G$7),Budget[Amount]))</f>
        <v>0</v>
      </c>
      <c r="H157" s="319">
        <f t="array" ref="H157">SUM(IF((Budget[Ofc Code]=$B$6)*(Budget[Account Code]=$B157)*(Budget[Date]=H$7),Budget[Amount]))</f>
        <v>0</v>
      </c>
      <c r="I157" s="319">
        <f t="array" ref="I157">SUM(IF((Budget[Ofc Code]=$B$6)*(Budget[Account Code]=$B157)*(Budget[Date]=I$7),Budget[Amount]))</f>
        <v>0</v>
      </c>
      <c r="J157" s="319">
        <f t="array" ref="J157">SUM(IF((Budget[Ofc Code]=$B$6)*(Budget[Account Code]=$B157)*(Budget[Date]=J$7),Budget[Amount]))</f>
        <v>0</v>
      </c>
      <c r="K157" s="319">
        <f t="array" ref="K157">SUM(IF((Budget[Ofc Code]=$B$6)*(Budget[Account Code]=$B157)*(Budget[Date]=K$7),Budget[Amount]))</f>
        <v>0</v>
      </c>
      <c r="L157" s="319">
        <f t="array" ref="L157">SUM(IF((Budget[Ofc Code]=$B$6)*(Budget[Account Code]=$B157)*(Budget[Date]=L$7),Budget[Amount]))</f>
        <v>0</v>
      </c>
      <c r="M157" s="319">
        <f t="array" ref="M157">SUM(IF((Budget[Ofc Code]=$B$6)*(Budget[Account Code]=$B157)*(Budget[Date]=M$7),Budget[Amount]))</f>
        <v>0</v>
      </c>
      <c r="N157" s="319">
        <f t="array" ref="N157">SUM(IF((Budget[Ofc Code]=$B$6)*(Budget[Account Code]=$B157)*(Budget[Date]=N$7),Budget[Amount]))</f>
        <v>0</v>
      </c>
      <c r="O157" s="319">
        <f t="array" ref="O157">SUM(IF((Budget[Ofc Code]=$B$6)*(Budget[Account Code]=$B157)*(Budget[Date]=O$7),Budget[Amount]))</f>
        <v>0</v>
      </c>
      <c r="P157" s="322">
        <f t="shared" si="29"/>
        <v>0</v>
      </c>
    </row>
    <row r="158" spans="1:16" s="171" customFormat="1" x14ac:dyDescent="0.25">
      <c r="A158" s="330" t="s">
        <v>977</v>
      </c>
      <c r="B158" s="317"/>
      <c r="C158" s="322">
        <f t="shared" si="33"/>
        <v>0</v>
      </c>
      <c r="D158" s="319">
        <f t="array" ref="D158">SUM(IF((Budget[Ofc Code]=$B$6)*(Budget[Account Code]=$B158)*(Budget[Date]=D$7),Budget[Amount]))</f>
        <v>0</v>
      </c>
      <c r="E158" s="319">
        <f t="array" ref="E158">SUM(IF((Budget[Ofc Code]=$B$6)*(Budget[Account Code]=$B158)*(Budget[Date]=E$7),Budget[Amount]))</f>
        <v>0</v>
      </c>
      <c r="F158" s="319">
        <f t="array" ref="F158">SUM(IF((Budget[Ofc Code]=$B$6)*(Budget[Account Code]=$B158)*(Budget[Date]=F$7),Budget[Amount]))</f>
        <v>0</v>
      </c>
      <c r="G158" s="319">
        <f t="array" ref="G158">SUM(IF((Budget[Ofc Code]=$B$6)*(Budget[Account Code]=$B158)*(Budget[Date]=G$7),Budget[Amount]))</f>
        <v>0</v>
      </c>
      <c r="H158" s="319">
        <f t="array" ref="H158">SUM(IF((Budget[Ofc Code]=$B$6)*(Budget[Account Code]=$B158)*(Budget[Date]=H$7),Budget[Amount]))</f>
        <v>0</v>
      </c>
      <c r="I158" s="319">
        <f t="array" ref="I158">SUM(IF((Budget[Ofc Code]=$B$6)*(Budget[Account Code]=$B158)*(Budget[Date]=I$7),Budget[Amount]))</f>
        <v>0</v>
      </c>
      <c r="J158" s="319">
        <f t="array" ref="J158">SUM(IF((Budget[Ofc Code]=$B$6)*(Budget[Account Code]=$B158)*(Budget[Date]=J$7),Budget[Amount]))</f>
        <v>0</v>
      </c>
      <c r="K158" s="319">
        <f t="array" ref="K158">SUM(IF((Budget[Ofc Code]=$B$6)*(Budget[Account Code]=$B158)*(Budget[Date]=K$7),Budget[Amount]))</f>
        <v>0</v>
      </c>
      <c r="L158" s="319">
        <f t="array" ref="L158">SUM(IF((Budget[Ofc Code]=$B$6)*(Budget[Account Code]=$B158)*(Budget[Date]=L$7),Budget[Amount]))</f>
        <v>0</v>
      </c>
      <c r="M158" s="319">
        <f t="array" ref="M158">SUM(IF((Budget[Ofc Code]=$B$6)*(Budget[Account Code]=$B158)*(Budget[Date]=M$7),Budget[Amount]))</f>
        <v>0</v>
      </c>
      <c r="N158" s="319">
        <f t="array" ref="N158">SUM(IF((Budget[Ofc Code]=$B$6)*(Budget[Account Code]=$B158)*(Budget[Date]=N$7),Budget[Amount]))</f>
        <v>0</v>
      </c>
      <c r="O158" s="319">
        <f t="array" ref="O158">SUM(IF((Budget[Ofc Code]=$B$6)*(Budget[Account Code]=$B158)*(Budget[Date]=O$7),Budget[Amount]))</f>
        <v>0</v>
      </c>
      <c r="P158" s="322">
        <f t="shared" si="29"/>
        <v>0</v>
      </c>
    </row>
    <row r="159" spans="1:16" s="171" customFormat="1" x14ac:dyDescent="0.25">
      <c r="A159" s="330" t="s">
        <v>1010</v>
      </c>
      <c r="B159" s="317" t="s">
        <v>267</v>
      </c>
      <c r="C159" s="322">
        <f t="shared" si="33"/>
        <v>0</v>
      </c>
      <c r="D159" s="319">
        <f t="array" ref="D159">SUM(IF((Budget[Ofc Code]=$B$6)*(Budget[Account Code]=$B159)*(Budget[Date]=D$7),Budget[Amount]))</f>
        <v>0</v>
      </c>
      <c r="E159" s="319">
        <f t="array" ref="E159">SUM(IF((Budget[Ofc Code]=$B$6)*(Budget[Account Code]=$B159)*(Budget[Date]=E$7),Budget[Amount]))</f>
        <v>0</v>
      </c>
      <c r="F159" s="319">
        <f t="array" ref="F159">SUM(IF((Budget[Ofc Code]=$B$6)*(Budget[Account Code]=$B159)*(Budget[Date]=F$7),Budget[Amount]))</f>
        <v>0</v>
      </c>
      <c r="G159" s="319">
        <f t="array" ref="G159">SUM(IF((Budget[Ofc Code]=$B$6)*(Budget[Account Code]=$B159)*(Budget[Date]=G$7),Budget[Amount]))</f>
        <v>0</v>
      </c>
      <c r="H159" s="319">
        <f t="array" ref="H159">SUM(IF((Budget[Ofc Code]=$B$6)*(Budget[Account Code]=$B159)*(Budget[Date]=H$7),Budget[Amount]))</f>
        <v>0</v>
      </c>
      <c r="I159" s="319">
        <f t="array" ref="I159">SUM(IF((Budget[Ofc Code]=$B$6)*(Budget[Account Code]=$B159)*(Budget[Date]=I$7),Budget[Amount]))</f>
        <v>0</v>
      </c>
      <c r="J159" s="319">
        <f t="array" ref="J159">SUM(IF((Budget[Ofc Code]=$B$6)*(Budget[Account Code]=$B159)*(Budget[Date]=J$7),Budget[Amount]))</f>
        <v>0</v>
      </c>
      <c r="K159" s="319">
        <f t="array" ref="K159">SUM(IF((Budget[Ofc Code]=$B$6)*(Budget[Account Code]=$B159)*(Budget[Date]=K$7),Budget[Amount]))</f>
        <v>0</v>
      </c>
      <c r="L159" s="319">
        <f t="array" ref="L159">SUM(IF((Budget[Ofc Code]=$B$6)*(Budget[Account Code]=$B159)*(Budget[Date]=L$7),Budget[Amount]))</f>
        <v>0</v>
      </c>
      <c r="M159" s="319">
        <f t="array" ref="M159">SUM(IF((Budget[Ofc Code]=$B$6)*(Budget[Account Code]=$B159)*(Budget[Date]=M$7),Budget[Amount]))</f>
        <v>0</v>
      </c>
      <c r="N159" s="319">
        <f t="array" ref="N159">SUM(IF((Budget[Ofc Code]=$B$6)*(Budget[Account Code]=$B159)*(Budget[Date]=N$7),Budget[Amount]))</f>
        <v>0</v>
      </c>
      <c r="O159" s="319">
        <f t="array" ref="O159">SUM(IF((Budget[Ofc Code]=$B$6)*(Budget[Account Code]=$B159)*(Budget[Date]=O$7),Budget[Amount]))</f>
        <v>0</v>
      </c>
      <c r="P159" s="322">
        <f t="shared" si="29"/>
        <v>0</v>
      </c>
    </row>
    <row r="160" spans="1:16" s="171" customFormat="1" x14ac:dyDescent="0.25">
      <c r="A160" s="330" t="s">
        <v>1011</v>
      </c>
      <c r="B160" s="317" t="s">
        <v>993</v>
      </c>
      <c r="C160" s="322">
        <f t="shared" si="33"/>
        <v>0</v>
      </c>
      <c r="D160" s="319">
        <f t="array" ref="D160">SUM(IF((Budget[Ofc Code]=$B$6)*(Budget[Account Code]=$B160)*(Budget[Date]=D$7),Budget[Amount]))</f>
        <v>0</v>
      </c>
      <c r="E160" s="319">
        <f t="array" ref="E160">SUM(IF((Budget[Ofc Code]=$B$6)*(Budget[Account Code]=$B160)*(Budget[Date]=E$7),Budget[Amount]))</f>
        <v>0</v>
      </c>
      <c r="F160" s="319">
        <f t="array" ref="F160">SUM(IF((Budget[Ofc Code]=$B$6)*(Budget[Account Code]=$B160)*(Budget[Date]=F$7),Budget[Amount]))</f>
        <v>0</v>
      </c>
      <c r="G160" s="319">
        <f t="array" ref="G160">SUM(IF((Budget[Ofc Code]=$B$6)*(Budget[Account Code]=$B160)*(Budget[Date]=G$7),Budget[Amount]))</f>
        <v>0</v>
      </c>
      <c r="H160" s="319">
        <f t="array" ref="H160">SUM(IF((Budget[Ofc Code]=$B$6)*(Budget[Account Code]=$B160)*(Budget[Date]=H$7),Budget[Amount]))</f>
        <v>0</v>
      </c>
      <c r="I160" s="319">
        <f t="array" ref="I160">SUM(IF((Budget[Ofc Code]=$B$6)*(Budget[Account Code]=$B160)*(Budget[Date]=I$7),Budget[Amount]))</f>
        <v>0</v>
      </c>
      <c r="J160" s="319">
        <f t="array" ref="J160">SUM(IF((Budget[Ofc Code]=$B$6)*(Budget[Account Code]=$B160)*(Budget[Date]=J$7),Budget[Amount]))</f>
        <v>0</v>
      </c>
      <c r="K160" s="319">
        <f t="array" ref="K160">SUM(IF((Budget[Ofc Code]=$B$6)*(Budget[Account Code]=$B160)*(Budget[Date]=K$7),Budget[Amount]))</f>
        <v>0</v>
      </c>
      <c r="L160" s="319">
        <f t="array" ref="L160">SUM(IF((Budget[Ofc Code]=$B$6)*(Budget[Account Code]=$B160)*(Budget[Date]=L$7),Budget[Amount]))</f>
        <v>0</v>
      </c>
      <c r="M160" s="319">
        <f t="array" ref="M160">SUM(IF((Budget[Ofc Code]=$B$6)*(Budget[Account Code]=$B160)*(Budget[Date]=M$7),Budget[Amount]))</f>
        <v>0</v>
      </c>
      <c r="N160" s="319">
        <f t="array" ref="N160">SUM(IF((Budget[Ofc Code]=$B$6)*(Budget[Account Code]=$B160)*(Budget[Date]=N$7),Budget[Amount]))</f>
        <v>0</v>
      </c>
      <c r="O160" s="319">
        <f t="array" ref="O160">SUM(IF((Budget[Ofc Code]=$B$6)*(Budget[Account Code]=$B160)*(Budget[Date]=O$7),Budget[Amount]))</f>
        <v>0</v>
      </c>
      <c r="P160" s="322">
        <f t="shared" si="29"/>
        <v>0</v>
      </c>
    </row>
    <row r="161" spans="1:25" x14ac:dyDescent="0.25">
      <c r="A161" s="320" t="s">
        <v>978</v>
      </c>
      <c r="B161" s="317"/>
      <c r="C161" s="319">
        <f t="shared" si="33"/>
        <v>0</v>
      </c>
      <c r="D161" s="319">
        <f>SUM(D155:D160)</f>
        <v>0</v>
      </c>
      <c r="E161" s="319">
        <f t="shared" ref="E161:O161" si="34">SUM(E155:E160)</f>
        <v>0</v>
      </c>
      <c r="F161" s="319">
        <f t="shared" si="34"/>
        <v>0</v>
      </c>
      <c r="G161" s="319">
        <f t="shared" si="34"/>
        <v>0</v>
      </c>
      <c r="H161" s="319">
        <f t="shared" si="34"/>
        <v>0</v>
      </c>
      <c r="I161" s="319">
        <f t="shared" si="34"/>
        <v>0</v>
      </c>
      <c r="J161" s="319">
        <f t="shared" si="34"/>
        <v>0</v>
      </c>
      <c r="K161" s="319">
        <f t="shared" si="34"/>
        <v>0</v>
      </c>
      <c r="L161" s="319">
        <f t="shared" si="34"/>
        <v>0</v>
      </c>
      <c r="M161" s="319">
        <f t="shared" si="34"/>
        <v>0</v>
      </c>
      <c r="N161" s="319">
        <f t="shared" si="34"/>
        <v>0</v>
      </c>
      <c r="O161" s="319">
        <f t="shared" si="34"/>
        <v>0</v>
      </c>
      <c r="P161" s="319">
        <f t="shared" si="29"/>
        <v>0</v>
      </c>
    </row>
    <row r="162" spans="1:25" s="171" customFormat="1" hidden="1" x14ac:dyDescent="0.25">
      <c r="A162" s="320" t="s">
        <v>979</v>
      </c>
      <c r="B162" s="317"/>
      <c r="C162" s="322">
        <f>C161-C157-C160</f>
        <v>0</v>
      </c>
      <c r="D162" s="322"/>
      <c r="E162" s="322"/>
      <c r="F162" s="322"/>
      <c r="G162" s="322"/>
      <c r="H162" s="322"/>
      <c r="I162" s="322"/>
      <c r="J162" s="322"/>
      <c r="K162" s="322"/>
      <c r="L162" s="322"/>
      <c r="M162" s="322"/>
      <c r="N162" s="322"/>
      <c r="O162" s="322"/>
      <c r="P162" s="322">
        <f t="shared" si="29"/>
        <v>0</v>
      </c>
    </row>
    <row r="163" spans="1:25" x14ac:dyDescent="0.25">
      <c r="A163" s="320"/>
      <c r="B163" s="317"/>
      <c r="C163" s="319"/>
      <c r="D163" s="319"/>
      <c r="E163" s="319"/>
      <c r="F163" s="319"/>
      <c r="G163" s="319"/>
      <c r="H163" s="319"/>
      <c r="I163" s="319"/>
      <c r="J163" s="319"/>
      <c r="K163" s="319"/>
      <c r="L163" s="319"/>
      <c r="M163" s="319"/>
      <c r="N163" s="319"/>
      <c r="O163" s="319"/>
      <c r="P163" s="319">
        <f t="shared" si="29"/>
        <v>0</v>
      </c>
    </row>
    <row r="164" spans="1:25" x14ac:dyDescent="0.25">
      <c r="A164" s="320" t="s">
        <v>980</v>
      </c>
      <c r="B164" s="317"/>
      <c r="C164" s="322">
        <f t="shared" si="33"/>
        <v>0</v>
      </c>
      <c r="D164" s="322">
        <f t="shared" ref="D164:O164" si="35">D151+D161</f>
        <v>0</v>
      </c>
      <c r="E164" s="322">
        <f t="shared" si="35"/>
        <v>0</v>
      </c>
      <c r="F164" s="322">
        <f t="shared" si="35"/>
        <v>0</v>
      </c>
      <c r="G164" s="322">
        <f t="shared" si="35"/>
        <v>0</v>
      </c>
      <c r="H164" s="322">
        <f t="shared" si="35"/>
        <v>0</v>
      </c>
      <c r="I164" s="322">
        <f t="shared" si="35"/>
        <v>0</v>
      </c>
      <c r="J164" s="322">
        <f t="shared" si="35"/>
        <v>0</v>
      </c>
      <c r="K164" s="322">
        <f t="shared" si="35"/>
        <v>0</v>
      </c>
      <c r="L164" s="322">
        <f t="shared" si="35"/>
        <v>0</v>
      </c>
      <c r="M164" s="322">
        <f t="shared" si="35"/>
        <v>0</v>
      </c>
      <c r="N164" s="322">
        <f t="shared" si="35"/>
        <v>0</v>
      </c>
      <c r="O164" s="322">
        <f t="shared" si="35"/>
        <v>0</v>
      </c>
      <c r="P164" s="322">
        <f t="shared" si="29"/>
        <v>0</v>
      </c>
    </row>
    <row r="165" spans="1:25" x14ac:dyDescent="0.25">
      <c r="A165" s="327" t="s">
        <v>981</v>
      </c>
      <c r="B165" s="317"/>
      <c r="C165" s="322">
        <f t="shared" si="33"/>
        <v>0</v>
      </c>
      <c r="D165" s="322">
        <f t="shared" ref="D165:O165" si="36">D80+D164</f>
        <v>0</v>
      </c>
      <c r="E165" s="322">
        <f t="shared" si="36"/>
        <v>0</v>
      </c>
      <c r="F165" s="322">
        <f t="shared" si="36"/>
        <v>0</v>
      </c>
      <c r="G165" s="322">
        <f t="shared" si="36"/>
        <v>0</v>
      </c>
      <c r="H165" s="322">
        <f t="shared" si="36"/>
        <v>0</v>
      </c>
      <c r="I165" s="322">
        <f t="shared" si="36"/>
        <v>0</v>
      </c>
      <c r="J165" s="322">
        <f t="shared" si="36"/>
        <v>0</v>
      </c>
      <c r="K165" s="322">
        <f t="shared" si="36"/>
        <v>0</v>
      </c>
      <c r="L165" s="322">
        <f t="shared" si="36"/>
        <v>0</v>
      </c>
      <c r="M165" s="322">
        <f t="shared" si="36"/>
        <v>0</v>
      </c>
      <c r="N165" s="322">
        <f t="shared" si="36"/>
        <v>0</v>
      </c>
      <c r="O165" s="322">
        <f t="shared" si="36"/>
        <v>0</v>
      </c>
      <c r="P165" s="322">
        <f t="shared" si="29"/>
        <v>0</v>
      </c>
    </row>
    <row r="166" spans="1:25" x14ac:dyDescent="0.25">
      <c r="A166" s="327" t="s">
        <v>982</v>
      </c>
      <c r="B166" s="317" t="s">
        <v>1014</v>
      </c>
      <c r="C166" s="322">
        <f>SUM(D166:O166)</f>
        <v>0</v>
      </c>
      <c r="D166" s="319">
        <f t="array" ref="D166">SUM(IF((Budget[Ofc Code]=$B$6)*(Budget[Account Code]=$B166)*(Budget[Date]=D$7),Budget[Amount]))</f>
        <v>0</v>
      </c>
      <c r="E166" s="319">
        <f t="array" ref="E166">SUM(IF((Budget[Ofc Code]=$B$6)*(Budget[Account Code]=$B166)*(Budget[Date]=E$7),Budget[Amount]))</f>
        <v>0</v>
      </c>
      <c r="F166" s="319">
        <f t="array" ref="F166">SUM(IF((Budget[Ofc Code]=$B$6)*(Budget[Account Code]=$B166)*(Budget[Date]=F$7),Budget[Amount]))</f>
        <v>0</v>
      </c>
      <c r="G166" s="319">
        <f t="array" ref="G166">SUM(IF((Budget[Ofc Code]=$B$6)*(Budget[Account Code]=$B166)*(Budget[Date]=G$7),Budget[Amount]))</f>
        <v>0</v>
      </c>
      <c r="H166" s="319">
        <f t="array" ref="H166">SUM(IF((Budget[Ofc Code]=$B$6)*(Budget[Account Code]=$B166)*(Budget[Date]=H$7),Budget[Amount]))</f>
        <v>0</v>
      </c>
      <c r="I166" s="319">
        <f t="array" ref="I166">SUM(IF((Budget[Ofc Code]=$B$6)*(Budget[Account Code]=$B166)*(Budget[Date]=I$7),Budget[Amount]))</f>
        <v>0</v>
      </c>
      <c r="J166" s="319">
        <f t="array" ref="J166">SUM(IF((Budget[Ofc Code]=$B$6)*(Budget[Account Code]=$B166)*(Budget[Date]=J$7),Budget[Amount]))</f>
        <v>0</v>
      </c>
      <c r="K166" s="319">
        <f t="array" ref="K166">SUM(IF((Budget[Ofc Code]=$B$6)*(Budget[Account Code]=$B166)*(Budget[Date]=K$7),Budget[Amount]))</f>
        <v>0</v>
      </c>
      <c r="L166" s="319">
        <f t="array" ref="L166">SUM(IF((Budget[Ofc Code]=$B$6)*(Budget[Account Code]=$B166)*(Budget[Date]=L$7),Budget[Amount]))</f>
        <v>0</v>
      </c>
      <c r="M166" s="319">
        <f t="array" ref="M166">SUM(IF((Budget[Ofc Code]=$B$6)*(Budget[Account Code]=$B166)*(Budget[Date]=M$7),Budget[Amount]))</f>
        <v>0</v>
      </c>
      <c r="N166" s="319">
        <f t="array" ref="N166">SUM(IF((Budget[Ofc Code]=$B$6)*(Budget[Account Code]=$B166)*(Budget[Date]=N$7),Budget[Amount]))</f>
        <v>0</v>
      </c>
      <c r="O166" s="319">
        <f t="array" ref="O166">SUM(IF((Budget[Ofc Code]=$B$6)*(Budget[Account Code]=$B166)*(Budget[Date]=O$7),Budget[Amount]))</f>
        <v>0</v>
      </c>
      <c r="P166" s="322">
        <f>C166</f>
        <v>0</v>
      </c>
      <c r="Q166" s="171"/>
      <c r="R166" s="171"/>
      <c r="S166" s="171"/>
      <c r="T166" s="171"/>
      <c r="U166" s="171"/>
      <c r="V166" s="171"/>
      <c r="W166" s="171"/>
      <c r="X166" s="171"/>
      <c r="Y166" s="171"/>
    </row>
    <row r="167" spans="1:25" x14ac:dyDescent="0.25">
      <c r="A167" s="320" t="s">
        <v>983</v>
      </c>
      <c r="B167" s="317"/>
      <c r="C167" s="322">
        <f t="shared" si="33"/>
        <v>0</v>
      </c>
      <c r="D167" s="322">
        <f>D165+D166</f>
        <v>0</v>
      </c>
      <c r="E167" s="322">
        <f t="shared" ref="E167:O167" si="37">E165+E166</f>
        <v>0</v>
      </c>
      <c r="F167" s="322">
        <f t="shared" si="37"/>
        <v>0</v>
      </c>
      <c r="G167" s="322">
        <f t="shared" si="37"/>
        <v>0</v>
      </c>
      <c r="H167" s="322">
        <f t="shared" si="37"/>
        <v>0</v>
      </c>
      <c r="I167" s="322">
        <f t="shared" si="37"/>
        <v>0</v>
      </c>
      <c r="J167" s="322">
        <f t="shared" si="37"/>
        <v>0</v>
      </c>
      <c r="K167" s="322">
        <f t="shared" si="37"/>
        <v>0</v>
      </c>
      <c r="L167" s="322">
        <f t="shared" si="37"/>
        <v>0</v>
      </c>
      <c r="M167" s="322">
        <f t="shared" si="37"/>
        <v>0</v>
      </c>
      <c r="N167" s="322">
        <f t="shared" si="37"/>
        <v>0</v>
      </c>
      <c r="O167" s="322">
        <f t="shared" si="37"/>
        <v>0</v>
      </c>
      <c r="P167" s="322">
        <f t="shared" si="29"/>
        <v>0</v>
      </c>
    </row>
    <row r="168" spans="1:25" x14ac:dyDescent="0.25">
      <c r="A168" s="320" t="s">
        <v>984</v>
      </c>
      <c r="B168" s="317"/>
      <c r="C168" s="322">
        <f t="shared" si="33"/>
        <v>0</v>
      </c>
      <c r="D168" s="322">
        <f t="shared" ref="D168:O168" si="38">D44-D167</f>
        <v>0</v>
      </c>
      <c r="E168" s="322">
        <f t="shared" si="38"/>
        <v>0</v>
      </c>
      <c r="F168" s="322">
        <f t="shared" si="38"/>
        <v>0</v>
      </c>
      <c r="G168" s="322">
        <f t="shared" si="38"/>
        <v>0</v>
      </c>
      <c r="H168" s="322">
        <f t="shared" si="38"/>
        <v>0</v>
      </c>
      <c r="I168" s="322">
        <f t="shared" si="38"/>
        <v>0</v>
      </c>
      <c r="J168" s="322">
        <f t="shared" si="38"/>
        <v>0</v>
      </c>
      <c r="K168" s="322">
        <f t="shared" si="38"/>
        <v>0</v>
      </c>
      <c r="L168" s="322">
        <f t="shared" si="38"/>
        <v>0</v>
      </c>
      <c r="M168" s="322">
        <f t="shared" si="38"/>
        <v>0</v>
      </c>
      <c r="N168" s="322">
        <f t="shared" si="38"/>
        <v>0</v>
      </c>
      <c r="O168" s="322">
        <f t="shared" si="38"/>
        <v>0</v>
      </c>
      <c r="P168" s="322">
        <f t="shared" si="29"/>
        <v>0</v>
      </c>
    </row>
    <row r="169" spans="1:25" x14ac:dyDescent="0.25">
      <c r="A169" s="320" t="s">
        <v>749</v>
      </c>
      <c r="B169" s="317"/>
      <c r="C169" s="322" t="e">
        <f>C44/C165</f>
        <v>#DIV/0!</v>
      </c>
      <c r="D169" s="322" t="e">
        <f t="shared" ref="D169:O169" si="39">D44/D165</f>
        <v>#DIV/0!</v>
      </c>
      <c r="E169" s="322" t="e">
        <f t="shared" si="39"/>
        <v>#DIV/0!</v>
      </c>
      <c r="F169" s="322" t="e">
        <f t="shared" si="39"/>
        <v>#DIV/0!</v>
      </c>
      <c r="G169" s="322" t="e">
        <f t="shared" si="39"/>
        <v>#DIV/0!</v>
      </c>
      <c r="H169" s="322" t="e">
        <f t="shared" si="39"/>
        <v>#DIV/0!</v>
      </c>
      <c r="I169" s="322" t="e">
        <f t="shared" si="39"/>
        <v>#DIV/0!</v>
      </c>
      <c r="J169" s="322" t="e">
        <f t="shared" si="39"/>
        <v>#DIV/0!</v>
      </c>
      <c r="K169" s="322" t="e">
        <f t="shared" si="39"/>
        <v>#DIV/0!</v>
      </c>
      <c r="L169" s="322" t="e">
        <f t="shared" si="39"/>
        <v>#DIV/0!</v>
      </c>
      <c r="M169" s="322" t="e">
        <f t="shared" si="39"/>
        <v>#DIV/0!</v>
      </c>
      <c r="N169" s="322" t="e">
        <f t="shared" si="39"/>
        <v>#DIV/0!</v>
      </c>
      <c r="O169" s="322" t="e">
        <f t="shared" si="39"/>
        <v>#DIV/0!</v>
      </c>
      <c r="P169" s="322" t="e">
        <f t="shared" si="29"/>
        <v>#DIV/0!</v>
      </c>
    </row>
  </sheetData>
  <printOptions horizontalCentered="1"/>
  <pageMargins left="0.25" right="1.35" top="0.75" bottom="0.25" header="0.3" footer="0.3"/>
  <pageSetup paperSize="5" scale="7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Y169"/>
  <sheetViews>
    <sheetView workbookViewId="0"/>
  </sheetViews>
  <sheetFormatPr defaultColWidth="9" defaultRowHeight="15.75" x14ac:dyDescent="0.25"/>
  <cols>
    <col min="1" max="1" width="64.125" style="25" bestFit="1" customWidth="1"/>
    <col min="2" max="2" width="8" style="315" customWidth="1"/>
    <col min="3" max="16" width="16.125" style="25" customWidth="1"/>
    <col min="17" max="16384" width="9" style="25"/>
  </cols>
  <sheetData>
    <row r="1" spans="1:16" ht="22.5" x14ac:dyDescent="0.5">
      <c r="A1" s="313" t="s">
        <v>355</v>
      </c>
    </row>
    <row r="2" spans="1:16" x14ac:dyDescent="0.25">
      <c r="A2" s="167" t="s">
        <v>400</v>
      </c>
      <c r="C2" s="102"/>
      <c r="D2" s="102"/>
      <c r="E2" s="102"/>
      <c r="F2" s="52"/>
      <c r="G2" s="52"/>
      <c r="H2" s="52"/>
      <c r="I2" s="102"/>
      <c r="J2" s="102"/>
      <c r="K2" s="102"/>
      <c r="L2" s="102"/>
      <c r="M2" s="102"/>
      <c r="N2" s="102"/>
      <c r="O2" s="102"/>
      <c r="P2" s="102"/>
    </row>
    <row r="3" spans="1:16" x14ac:dyDescent="0.25">
      <c r="A3" s="171" t="s">
        <v>995</v>
      </c>
    </row>
    <row r="4" spans="1:16" x14ac:dyDescent="0.25">
      <c r="A4" s="171" t="s">
        <v>996</v>
      </c>
      <c r="C4" s="52"/>
      <c r="D4" s="52"/>
      <c r="E4" s="52"/>
      <c r="F4" s="52"/>
      <c r="G4" s="102"/>
      <c r="H4" s="52"/>
      <c r="I4" s="52"/>
      <c r="J4" s="52"/>
      <c r="K4" s="102"/>
      <c r="L4" s="102"/>
      <c r="M4" s="102"/>
      <c r="N4" s="102"/>
      <c r="O4" s="102"/>
      <c r="P4" s="102"/>
    </row>
    <row r="5" spans="1:16" x14ac:dyDescent="0.25">
      <c r="A5" s="314" t="str">
        <f>IF(B6=0,,VLOOKUP((TRIM(B6)),SortCode,2,))</f>
        <v>Ilocos Norte IMO</v>
      </c>
      <c r="D5" s="329"/>
    </row>
    <row r="6" spans="1:16" x14ac:dyDescent="0.25">
      <c r="A6" s="167"/>
      <c r="B6" s="315" t="s">
        <v>484</v>
      </c>
    </row>
    <row r="7" spans="1:16" x14ac:dyDescent="0.25">
      <c r="A7" s="316" t="s">
        <v>855</v>
      </c>
      <c r="B7" s="317" t="s">
        <v>994</v>
      </c>
      <c r="C7" s="318">
        <v>2017</v>
      </c>
      <c r="D7" s="328">
        <f>Account!G12</f>
        <v>44592</v>
      </c>
      <c r="E7" s="328">
        <f>Account!G13</f>
        <v>44620</v>
      </c>
      <c r="F7" s="328">
        <f>Account!G14</f>
        <v>44651</v>
      </c>
      <c r="G7" s="328">
        <f>Account!G15</f>
        <v>44681</v>
      </c>
      <c r="H7" s="328">
        <f>Account!G16</f>
        <v>44712</v>
      </c>
      <c r="I7" s="328">
        <f>Account!G17</f>
        <v>44742</v>
      </c>
      <c r="J7" s="328">
        <f>Account!G18</f>
        <v>44773</v>
      </c>
      <c r="K7" s="328">
        <f>Account!G19</f>
        <v>44804</v>
      </c>
      <c r="L7" s="328">
        <f>Account!G20</f>
        <v>44834</v>
      </c>
      <c r="M7" s="328">
        <f>Account!G21</f>
        <v>44865</v>
      </c>
      <c r="N7" s="328">
        <f>Account!G22</f>
        <v>44895</v>
      </c>
      <c r="O7" s="328">
        <f>Account!G23</f>
        <v>44926</v>
      </c>
      <c r="P7" s="318" t="s">
        <v>831</v>
      </c>
    </row>
    <row r="8" spans="1:16" x14ac:dyDescent="0.25">
      <c r="A8" s="14"/>
      <c r="B8" s="317"/>
      <c r="C8" s="319"/>
      <c r="D8" s="319"/>
      <c r="E8" s="319"/>
      <c r="F8" s="319"/>
      <c r="G8" s="319"/>
      <c r="H8" s="319"/>
      <c r="I8" s="319"/>
      <c r="J8" s="319"/>
      <c r="K8" s="319"/>
      <c r="L8" s="319"/>
      <c r="M8" s="319"/>
      <c r="N8" s="319"/>
      <c r="O8" s="319"/>
      <c r="P8" s="319"/>
    </row>
    <row r="9" spans="1:16" x14ac:dyDescent="0.25">
      <c r="A9" s="320" t="s">
        <v>856</v>
      </c>
      <c r="B9" s="317"/>
      <c r="C9" s="319"/>
      <c r="D9" s="319"/>
      <c r="E9" s="319"/>
      <c r="F9" s="319"/>
      <c r="G9" s="319"/>
      <c r="H9" s="319"/>
      <c r="I9" s="319"/>
      <c r="J9" s="319"/>
      <c r="K9" s="319"/>
      <c r="L9" s="319"/>
      <c r="M9" s="319"/>
      <c r="N9" s="319"/>
      <c r="O9" s="319"/>
      <c r="P9" s="319"/>
    </row>
    <row r="10" spans="1:16" x14ac:dyDescent="0.25">
      <c r="A10" s="320" t="s">
        <v>857</v>
      </c>
      <c r="B10" s="317"/>
      <c r="C10" s="319"/>
      <c r="D10" s="319"/>
      <c r="E10" s="319"/>
      <c r="F10" s="319"/>
      <c r="G10" s="319"/>
      <c r="H10" s="319"/>
      <c r="I10" s="319"/>
      <c r="J10" s="319"/>
      <c r="K10" s="319"/>
      <c r="L10" s="319"/>
      <c r="M10" s="319"/>
      <c r="N10" s="319"/>
      <c r="O10" s="319"/>
      <c r="P10" s="319"/>
    </row>
    <row r="11" spans="1:16" s="171" customFormat="1" x14ac:dyDescent="0.25">
      <c r="A11" s="321" t="s">
        <v>1007</v>
      </c>
      <c r="B11" s="317"/>
      <c r="C11" s="322">
        <f t="shared" ref="C11:C44" si="0">SUM(D11:O11)</f>
        <v>0</v>
      </c>
      <c r="D11" s="322">
        <f>D12+D13</f>
        <v>0</v>
      </c>
      <c r="E11" s="322">
        <f t="shared" ref="E11:O11" si="1">E12+E13</f>
        <v>0</v>
      </c>
      <c r="F11" s="322">
        <f t="shared" si="1"/>
        <v>0</v>
      </c>
      <c r="G11" s="322">
        <f t="shared" si="1"/>
        <v>0</v>
      </c>
      <c r="H11" s="322">
        <f t="shared" si="1"/>
        <v>0</v>
      </c>
      <c r="I11" s="322">
        <f t="shared" si="1"/>
        <v>0</v>
      </c>
      <c r="J11" s="322">
        <f t="shared" si="1"/>
        <v>0</v>
      </c>
      <c r="K11" s="322">
        <f t="shared" si="1"/>
        <v>0</v>
      </c>
      <c r="L11" s="322">
        <f t="shared" si="1"/>
        <v>0</v>
      </c>
      <c r="M11" s="322">
        <f t="shared" si="1"/>
        <v>0</v>
      </c>
      <c r="N11" s="322">
        <f t="shared" si="1"/>
        <v>0</v>
      </c>
      <c r="O11" s="322">
        <f t="shared" si="1"/>
        <v>0</v>
      </c>
      <c r="P11" s="322">
        <f>C11</f>
        <v>0</v>
      </c>
    </row>
    <row r="12" spans="1:16" x14ac:dyDescent="0.25">
      <c r="A12" s="323" t="s">
        <v>858</v>
      </c>
      <c r="B12" s="317" t="s">
        <v>125</v>
      </c>
      <c r="C12" s="319">
        <f t="shared" si="0"/>
        <v>0</v>
      </c>
      <c r="D12" s="319">
        <f t="array" ref="D12">SUM(IF((Budget[Sort Code]=$B$6)*(Budget[Account Code]=$B12)*(Budget[Date]=D$7),Budget[Amount]))</f>
        <v>0</v>
      </c>
      <c r="E12" s="319">
        <f t="array" ref="E12">SUM(IF((Budget[Sort Code]=$B$6)*(Budget[Account Code]=$B12)*(Budget[Date]=E$7),Budget[Amount]))</f>
        <v>0</v>
      </c>
      <c r="F12" s="319">
        <f t="array" ref="F12">SUM(IF((Budget[Sort Code]=$B$6)*(Budget[Account Code]=$B12)*(Budget[Date]=F$7),Budget[Amount]))</f>
        <v>0</v>
      </c>
      <c r="G12" s="319">
        <f t="array" ref="G12">SUM(IF((Budget[Sort Code]=$B$6)*(Budget[Account Code]=$B12)*(Budget[Date]=G$7),Budget[Amount]))</f>
        <v>0</v>
      </c>
      <c r="H12" s="319">
        <f t="array" ref="H12">SUM(IF((Budget[Sort Code]=$B$6)*(Budget[Account Code]=$B12)*(Budget[Date]=H$7),Budget[Amount]))</f>
        <v>0</v>
      </c>
      <c r="I12" s="319">
        <f t="array" ref="I12">SUM(IF((Budget[Sort Code]=$B$6)*(Budget[Account Code]=$B12)*(Budget[Date]=I$7),Budget[Amount]))</f>
        <v>0</v>
      </c>
      <c r="J12" s="319">
        <f t="array" ref="J12">SUM(IF((Budget[Sort Code]=$B$6)*(Budget[Account Code]=$B12)*(Budget[Date]=J$7),Budget[Amount]))</f>
        <v>0</v>
      </c>
      <c r="K12" s="319">
        <f t="array" ref="K12">SUM(IF((Budget[Sort Code]=$B$6)*(Budget[Account Code]=$B12)*(Budget[Date]=K$7),Budget[Amount]))</f>
        <v>0</v>
      </c>
      <c r="L12" s="319">
        <f t="array" ref="L12">SUM(IF((Budget[Sort Code]=$B$6)*(Budget[Account Code]=$B12)*(Budget[Date]=L$7),Budget[Amount]))</f>
        <v>0</v>
      </c>
      <c r="M12" s="319">
        <f t="array" ref="M12">SUM(IF((Budget[Sort Code]=$B$6)*(Budget[Account Code]=$B12)*(Budget[Date]=M$7),Budget[Amount]))</f>
        <v>0</v>
      </c>
      <c r="N12" s="319">
        <f t="array" ref="N12">SUM(IF((Budget[Sort Code]=$B$6)*(Budget[Account Code]=$B12)*(Budget[Date]=N$7),Budget[Amount]))</f>
        <v>0</v>
      </c>
      <c r="O12" s="319">
        <f t="array" ref="O12">SUM(IF((Budget[Sort Code]=$B$6)*(Budget[Account Code]=$B12)*(Budget[Date]=O$7),Budget[Amount]))</f>
        <v>0</v>
      </c>
      <c r="P12" s="319">
        <f t="shared" ref="P12:P75" si="2">C12</f>
        <v>0</v>
      </c>
    </row>
    <row r="13" spans="1:16" x14ac:dyDescent="0.25">
      <c r="A13" s="323" t="s">
        <v>819</v>
      </c>
      <c r="B13" s="317"/>
      <c r="C13" s="319">
        <f t="shared" si="0"/>
        <v>0</v>
      </c>
      <c r="D13" s="319">
        <f>D14+D15+D16</f>
        <v>0</v>
      </c>
      <c r="E13" s="319">
        <f t="shared" ref="E13:O13" si="3">E14+E15+E16</f>
        <v>0</v>
      </c>
      <c r="F13" s="319">
        <f t="shared" si="3"/>
        <v>0</v>
      </c>
      <c r="G13" s="319">
        <f t="shared" si="3"/>
        <v>0</v>
      </c>
      <c r="H13" s="319">
        <f t="shared" si="3"/>
        <v>0</v>
      </c>
      <c r="I13" s="319">
        <f t="shared" si="3"/>
        <v>0</v>
      </c>
      <c r="J13" s="319">
        <f t="shared" si="3"/>
        <v>0</v>
      </c>
      <c r="K13" s="319">
        <f t="shared" si="3"/>
        <v>0</v>
      </c>
      <c r="L13" s="319">
        <f t="shared" si="3"/>
        <v>0</v>
      </c>
      <c r="M13" s="319">
        <f t="shared" si="3"/>
        <v>0</v>
      </c>
      <c r="N13" s="319">
        <f t="shared" si="3"/>
        <v>0</v>
      </c>
      <c r="O13" s="319">
        <f t="shared" si="3"/>
        <v>0</v>
      </c>
      <c r="P13" s="319">
        <f t="shared" si="2"/>
        <v>0</v>
      </c>
    </row>
    <row r="14" spans="1:16" x14ac:dyDescent="0.25">
      <c r="A14" s="323" t="s">
        <v>859</v>
      </c>
      <c r="B14" s="317" t="s">
        <v>126</v>
      </c>
      <c r="C14" s="319">
        <f t="shared" si="0"/>
        <v>0</v>
      </c>
      <c r="D14" s="319">
        <f t="array" ref="D14">SUM(IF((Budget[Sort Code]=$B$6)*(Budget[Account Code]=$B14)*(Budget[Date]=D$7),Budget[Amount]))</f>
        <v>0</v>
      </c>
      <c r="E14" s="319">
        <f t="array" ref="E14">SUM(IF((Budget[Sort Code]=$B$6)*(Budget[Account Code]=$B14)*(Budget[Date]=E$7),Budget[Amount]))</f>
        <v>0</v>
      </c>
      <c r="F14" s="319">
        <f t="array" ref="F14">SUM(IF((Budget[Sort Code]=$B$6)*(Budget[Account Code]=$B14)*(Budget[Date]=F$7),Budget[Amount]))</f>
        <v>0</v>
      </c>
      <c r="G14" s="319">
        <f t="array" ref="G14">SUM(IF((Budget[Sort Code]=$B$6)*(Budget[Account Code]=$B14)*(Budget[Date]=G$7),Budget[Amount]))</f>
        <v>0</v>
      </c>
      <c r="H14" s="319">
        <f t="array" ref="H14">SUM(IF((Budget[Sort Code]=$B$6)*(Budget[Account Code]=$B14)*(Budget[Date]=H$7),Budget[Amount]))</f>
        <v>0</v>
      </c>
      <c r="I14" s="319">
        <f t="array" ref="I14">SUM(IF((Budget[Sort Code]=$B$6)*(Budget[Account Code]=$B14)*(Budget[Date]=I$7),Budget[Amount]))</f>
        <v>0</v>
      </c>
      <c r="J14" s="319">
        <f t="array" ref="J14">SUM(IF((Budget[Sort Code]=$B$6)*(Budget[Account Code]=$B14)*(Budget[Date]=J$7),Budget[Amount]))</f>
        <v>0</v>
      </c>
      <c r="K14" s="319">
        <f t="array" ref="K14">SUM(IF((Budget[Sort Code]=$B$6)*(Budget[Account Code]=$B14)*(Budget[Date]=K$7),Budget[Amount]))</f>
        <v>0</v>
      </c>
      <c r="L14" s="319">
        <f t="array" ref="L14">SUM(IF((Budget[Sort Code]=$B$6)*(Budget[Account Code]=$B14)*(Budget[Date]=L$7),Budget[Amount]))</f>
        <v>0</v>
      </c>
      <c r="M14" s="319">
        <f t="array" ref="M14">SUM(IF((Budget[Sort Code]=$B$6)*(Budget[Account Code]=$B14)*(Budget[Date]=M$7),Budget[Amount]))</f>
        <v>0</v>
      </c>
      <c r="N14" s="319">
        <f t="array" ref="N14">SUM(IF((Budget[Sort Code]=$B$6)*(Budget[Account Code]=$B14)*(Budget[Date]=N$7),Budget[Amount]))</f>
        <v>0</v>
      </c>
      <c r="O14" s="319">
        <f t="array" ref="O14">SUM(IF((Budget[Sort Code]=$B$6)*(Budget[Account Code]=$B14)*(Budget[Date]=O$7),Budget[Amount]))</f>
        <v>0</v>
      </c>
      <c r="P14" s="319">
        <f t="shared" si="2"/>
        <v>0</v>
      </c>
    </row>
    <row r="15" spans="1:16" x14ac:dyDescent="0.25">
      <c r="A15" s="323" t="s">
        <v>860</v>
      </c>
      <c r="B15" s="317" t="s">
        <v>721</v>
      </c>
      <c r="C15" s="319">
        <f t="shared" si="0"/>
        <v>0</v>
      </c>
      <c r="D15" s="319">
        <f t="array" ref="D15">SUM(IF((Budget[Sort Code]=$B$6)*(Budget[Account Code]=$B15)*(Budget[Date]=D$7),Budget[Amount]))</f>
        <v>0</v>
      </c>
      <c r="E15" s="319">
        <f t="array" ref="E15">SUM(IF((Budget[Sort Code]=$B$6)*(Budget[Account Code]=$B15)*(Budget[Date]=E$7),Budget[Amount]))</f>
        <v>0</v>
      </c>
      <c r="F15" s="319">
        <f t="array" ref="F15">SUM(IF((Budget[Sort Code]=$B$6)*(Budget[Account Code]=$B15)*(Budget[Date]=F$7),Budget[Amount]))</f>
        <v>0</v>
      </c>
      <c r="G15" s="319">
        <f t="array" ref="G15">SUM(IF((Budget[Sort Code]=$B$6)*(Budget[Account Code]=$B15)*(Budget[Date]=G$7),Budget[Amount]))</f>
        <v>0</v>
      </c>
      <c r="H15" s="319">
        <f t="array" ref="H15">SUM(IF((Budget[Sort Code]=$B$6)*(Budget[Account Code]=$B15)*(Budget[Date]=H$7),Budget[Amount]))</f>
        <v>0</v>
      </c>
      <c r="I15" s="319">
        <f t="array" ref="I15">SUM(IF((Budget[Sort Code]=$B$6)*(Budget[Account Code]=$B15)*(Budget[Date]=I$7),Budget[Amount]))</f>
        <v>0</v>
      </c>
      <c r="J15" s="319">
        <f t="array" ref="J15">SUM(IF((Budget[Sort Code]=$B$6)*(Budget[Account Code]=$B15)*(Budget[Date]=J$7),Budget[Amount]))</f>
        <v>0</v>
      </c>
      <c r="K15" s="319">
        <f t="array" ref="K15">SUM(IF((Budget[Sort Code]=$B$6)*(Budget[Account Code]=$B15)*(Budget[Date]=K$7),Budget[Amount]))</f>
        <v>0</v>
      </c>
      <c r="L15" s="319">
        <f t="array" ref="L15">SUM(IF((Budget[Sort Code]=$B$6)*(Budget[Account Code]=$B15)*(Budget[Date]=L$7),Budget[Amount]))</f>
        <v>0</v>
      </c>
      <c r="M15" s="319">
        <f t="array" ref="M15">SUM(IF((Budget[Sort Code]=$B$6)*(Budget[Account Code]=$B15)*(Budget[Date]=M$7),Budget[Amount]))</f>
        <v>0</v>
      </c>
      <c r="N15" s="319">
        <f t="array" ref="N15">SUM(IF((Budget[Sort Code]=$B$6)*(Budget[Account Code]=$B15)*(Budget[Date]=N$7),Budget[Amount]))</f>
        <v>0</v>
      </c>
      <c r="O15" s="319">
        <f t="array" ref="O15">SUM(IF((Budget[Sort Code]=$B$6)*(Budget[Account Code]=$B15)*(Budget[Date]=O$7),Budget[Amount]))</f>
        <v>0</v>
      </c>
      <c r="P15" s="319">
        <f t="shared" si="2"/>
        <v>0</v>
      </c>
    </row>
    <row r="16" spans="1:16" x14ac:dyDescent="0.25">
      <c r="A16" s="323" t="s">
        <v>861</v>
      </c>
      <c r="B16" s="317" t="s">
        <v>143</v>
      </c>
      <c r="C16" s="319">
        <f t="shared" si="0"/>
        <v>0</v>
      </c>
      <c r="D16" s="319">
        <f t="array" ref="D16">SUM(IF((Budget[Sort Code]=$B$6)*(Budget[Account Code]=$B16)*(Budget[Date]=D$7),Budget[Amount]))</f>
        <v>0</v>
      </c>
      <c r="E16" s="319">
        <f t="array" ref="E16">SUM(IF((Budget[Sort Code]=$B$6)*(Budget[Account Code]=$B16)*(Budget[Date]=E$7),Budget[Amount]))</f>
        <v>0</v>
      </c>
      <c r="F16" s="319">
        <f t="array" ref="F16">SUM(IF((Budget[Sort Code]=$B$6)*(Budget[Account Code]=$B16)*(Budget[Date]=F$7),Budget[Amount]))</f>
        <v>0</v>
      </c>
      <c r="G16" s="319">
        <f t="array" ref="G16">SUM(IF((Budget[Sort Code]=$B$6)*(Budget[Account Code]=$B16)*(Budget[Date]=G$7),Budget[Amount]))</f>
        <v>0</v>
      </c>
      <c r="H16" s="319">
        <f t="array" ref="H16">SUM(IF((Budget[Sort Code]=$B$6)*(Budget[Account Code]=$B16)*(Budget[Date]=H$7),Budget[Amount]))</f>
        <v>0</v>
      </c>
      <c r="I16" s="319">
        <f t="array" ref="I16">SUM(IF((Budget[Sort Code]=$B$6)*(Budget[Account Code]=$B16)*(Budget[Date]=I$7),Budget[Amount]))</f>
        <v>0</v>
      </c>
      <c r="J16" s="319">
        <f t="array" ref="J16">SUM(IF((Budget[Sort Code]=$B$6)*(Budget[Account Code]=$B16)*(Budget[Date]=J$7),Budget[Amount]))</f>
        <v>0</v>
      </c>
      <c r="K16" s="319">
        <f t="array" ref="K16">SUM(IF((Budget[Sort Code]=$B$6)*(Budget[Account Code]=$B16)*(Budget[Date]=K$7),Budget[Amount]))</f>
        <v>0</v>
      </c>
      <c r="L16" s="319">
        <f t="array" ref="L16">SUM(IF((Budget[Sort Code]=$B$6)*(Budget[Account Code]=$B16)*(Budget[Date]=L$7),Budget[Amount]))</f>
        <v>0</v>
      </c>
      <c r="M16" s="319">
        <f t="array" ref="M16">SUM(IF((Budget[Sort Code]=$B$6)*(Budget[Account Code]=$B16)*(Budget[Date]=M$7),Budget[Amount]))</f>
        <v>0</v>
      </c>
      <c r="N16" s="319">
        <f t="array" ref="N16">SUM(IF((Budget[Sort Code]=$B$6)*(Budget[Account Code]=$B16)*(Budget[Date]=N$7),Budget[Amount]))</f>
        <v>0</v>
      </c>
      <c r="O16" s="319">
        <f t="array" ref="O16">SUM(IF((Budget[Sort Code]=$B$6)*(Budget[Account Code]=$B16)*(Budget[Date]=O$7),Budget[Amount]))</f>
        <v>0</v>
      </c>
      <c r="P16" s="319">
        <f t="shared" si="2"/>
        <v>0</v>
      </c>
    </row>
    <row r="17" spans="1:16" s="171" customFormat="1" x14ac:dyDescent="0.25">
      <c r="A17" s="321" t="s">
        <v>862</v>
      </c>
      <c r="B17" s="317"/>
      <c r="C17" s="322">
        <f t="shared" si="0"/>
        <v>0</v>
      </c>
      <c r="D17" s="322">
        <f>D18+D19</f>
        <v>0</v>
      </c>
      <c r="E17" s="322">
        <f t="shared" ref="E17:O17" si="4">E18+E19</f>
        <v>0</v>
      </c>
      <c r="F17" s="322">
        <f t="shared" si="4"/>
        <v>0</v>
      </c>
      <c r="G17" s="322">
        <f t="shared" si="4"/>
        <v>0</v>
      </c>
      <c r="H17" s="322">
        <f t="shared" si="4"/>
        <v>0</v>
      </c>
      <c r="I17" s="322">
        <f t="shared" si="4"/>
        <v>0</v>
      </c>
      <c r="J17" s="322">
        <f t="shared" si="4"/>
        <v>0</v>
      </c>
      <c r="K17" s="322">
        <f t="shared" si="4"/>
        <v>0</v>
      </c>
      <c r="L17" s="322">
        <f t="shared" si="4"/>
        <v>0</v>
      </c>
      <c r="M17" s="322">
        <f t="shared" si="4"/>
        <v>0</v>
      </c>
      <c r="N17" s="322">
        <f t="shared" si="4"/>
        <v>0</v>
      </c>
      <c r="O17" s="322">
        <f t="shared" si="4"/>
        <v>0</v>
      </c>
      <c r="P17" s="322">
        <f t="shared" si="2"/>
        <v>0</v>
      </c>
    </row>
    <row r="18" spans="1:16" x14ac:dyDescent="0.25">
      <c r="A18" s="323" t="s">
        <v>863</v>
      </c>
      <c r="B18" s="317" t="s">
        <v>146</v>
      </c>
      <c r="C18" s="319">
        <f t="shared" si="0"/>
        <v>0</v>
      </c>
      <c r="D18" s="319">
        <f t="array" ref="D18">SUM(IF((Budget[Sort Code]=$B$6)*(Budget[Account Code]=$B18)*(Budget[Date]=D$7),Budget[Amount]))</f>
        <v>0</v>
      </c>
      <c r="E18" s="319">
        <f t="array" ref="E18">SUM(IF((Budget[Sort Code]=$B$6)*(Budget[Account Code]=$B18)*(Budget[Date]=E$7),Budget[Amount]))</f>
        <v>0</v>
      </c>
      <c r="F18" s="319">
        <f t="array" ref="F18">SUM(IF((Budget[Sort Code]=$B$6)*(Budget[Account Code]=$B18)*(Budget[Date]=F$7),Budget[Amount]))</f>
        <v>0</v>
      </c>
      <c r="G18" s="319">
        <f t="array" ref="G18">SUM(IF((Budget[Sort Code]=$B$6)*(Budget[Account Code]=$B18)*(Budget[Date]=G$7),Budget[Amount]))</f>
        <v>0</v>
      </c>
      <c r="H18" s="319">
        <f t="array" ref="H18">SUM(IF((Budget[Sort Code]=$B$6)*(Budget[Account Code]=$B18)*(Budget[Date]=H$7),Budget[Amount]))</f>
        <v>0</v>
      </c>
      <c r="I18" s="319">
        <f t="array" ref="I18">SUM(IF((Budget[Sort Code]=$B$6)*(Budget[Account Code]=$B18)*(Budget[Date]=I$7),Budget[Amount]))</f>
        <v>0</v>
      </c>
      <c r="J18" s="319">
        <f t="array" ref="J18">SUM(IF((Budget[Sort Code]=$B$6)*(Budget[Account Code]=$B18)*(Budget[Date]=J$7),Budget[Amount]))</f>
        <v>0</v>
      </c>
      <c r="K18" s="319">
        <f t="array" ref="K18">SUM(IF((Budget[Sort Code]=$B$6)*(Budget[Account Code]=$B18)*(Budget[Date]=K$7),Budget[Amount]))</f>
        <v>0</v>
      </c>
      <c r="L18" s="319">
        <f t="array" ref="L18">SUM(IF((Budget[Sort Code]=$B$6)*(Budget[Account Code]=$B18)*(Budget[Date]=L$7),Budget[Amount]))</f>
        <v>0</v>
      </c>
      <c r="M18" s="319">
        <f t="array" ref="M18">SUM(IF((Budget[Sort Code]=$B$6)*(Budget[Account Code]=$B18)*(Budget[Date]=M$7),Budget[Amount]))</f>
        <v>0</v>
      </c>
      <c r="N18" s="319">
        <f t="array" ref="N18">SUM(IF((Budget[Sort Code]=$B$6)*(Budget[Account Code]=$B18)*(Budget[Date]=N$7),Budget[Amount]))</f>
        <v>0</v>
      </c>
      <c r="O18" s="319">
        <f t="array" ref="O18">SUM(IF((Budget[Sort Code]=$B$6)*(Budget[Account Code]=$B18)*(Budget[Date]=O$7),Budget[Amount]))</f>
        <v>0</v>
      </c>
      <c r="P18" s="319">
        <f t="shared" si="2"/>
        <v>0</v>
      </c>
    </row>
    <row r="19" spans="1:16" x14ac:dyDescent="0.25">
      <c r="A19" s="323" t="s">
        <v>864</v>
      </c>
      <c r="B19" s="317" t="s">
        <v>147</v>
      </c>
      <c r="C19" s="319">
        <f t="shared" si="0"/>
        <v>0</v>
      </c>
      <c r="D19" s="319">
        <f t="array" ref="D19">SUM(IF((Budget[Sort Code]=$B$6)*(Budget[Account Code]=$B19)*(Budget[Date]=D$7),Budget[Amount]))</f>
        <v>0</v>
      </c>
      <c r="E19" s="319">
        <f t="array" ref="E19">SUM(IF((Budget[Sort Code]=$B$6)*(Budget[Account Code]=$B19)*(Budget[Date]=E$7),Budget[Amount]))</f>
        <v>0</v>
      </c>
      <c r="F19" s="319">
        <f t="array" ref="F19">SUM(IF((Budget[Sort Code]=$B$6)*(Budget[Account Code]=$B19)*(Budget[Date]=F$7),Budget[Amount]))</f>
        <v>0</v>
      </c>
      <c r="G19" s="319">
        <f t="array" ref="G19">SUM(IF((Budget[Sort Code]=$B$6)*(Budget[Account Code]=$B19)*(Budget[Date]=G$7),Budget[Amount]))</f>
        <v>0</v>
      </c>
      <c r="H19" s="319">
        <f t="array" ref="H19">SUM(IF((Budget[Sort Code]=$B$6)*(Budget[Account Code]=$B19)*(Budget[Date]=H$7),Budget[Amount]))</f>
        <v>0</v>
      </c>
      <c r="I19" s="319">
        <f t="array" ref="I19">SUM(IF((Budget[Sort Code]=$B$6)*(Budget[Account Code]=$B19)*(Budget[Date]=I$7),Budget[Amount]))</f>
        <v>0</v>
      </c>
      <c r="J19" s="319">
        <f t="array" ref="J19">SUM(IF((Budget[Sort Code]=$B$6)*(Budget[Account Code]=$B19)*(Budget[Date]=J$7),Budget[Amount]))</f>
        <v>0</v>
      </c>
      <c r="K19" s="319">
        <f t="array" ref="K19">SUM(IF((Budget[Sort Code]=$B$6)*(Budget[Account Code]=$B19)*(Budget[Date]=K$7),Budget[Amount]))</f>
        <v>0</v>
      </c>
      <c r="L19" s="319">
        <f t="array" ref="L19">SUM(IF((Budget[Sort Code]=$B$6)*(Budget[Account Code]=$B19)*(Budget[Date]=L$7),Budget[Amount]))</f>
        <v>0</v>
      </c>
      <c r="M19" s="319">
        <f t="array" ref="M19">SUM(IF((Budget[Sort Code]=$B$6)*(Budget[Account Code]=$B19)*(Budget[Date]=M$7),Budget[Amount]))</f>
        <v>0</v>
      </c>
      <c r="N19" s="319">
        <f t="array" ref="N19">SUM(IF((Budget[Sort Code]=$B$6)*(Budget[Account Code]=$B19)*(Budget[Date]=N$7),Budget[Amount]))</f>
        <v>0</v>
      </c>
      <c r="O19" s="319">
        <f t="array" ref="O19">SUM(IF((Budget[Sort Code]=$B$6)*(Budget[Account Code]=$B19)*(Budget[Date]=O$7),Budget[Amount]))</f>
        <v>0</v>
      </c>
      <c r="P19" s="319">
        <f t="shared" si="2"/>
        <v>0</v>
      </c>
    </row>
    <row r="20" spans="1:16" s="171" customFormat="1" x14ac:dyDescent="0.25">
      <c r="A20" s="321" t="s">
        <v>825</v>
      </c>
      <c r="B20" s="317"/>
      <c r="C20" s="322">
        <f t="shared" si="0"/>
        <v>0</v>
      </c>
      <c r="D20" s="322">
        <f>D21+D22</f>
        <v>0</v>
      </c>
      <c r="E20" s="322">
        <f t="shared" ref="E20:O20" si="5">E21+E22</f>
        <v>0</v>
      </c>
      <c r="F20" s="322">
        <f t="shared" si="5"/>
        <v>0</v>
      </c>
      <c r="G20" s="322">
        <f t="shared" si="5"/>
        <v>0</v>
      </c>
      <c r="H20" s="322">
        <f t="shared" si="5"/>
        <v>0</v>
      </c>
      <c r="I20" s="322">
        <f t="shared" si="5"/>
        <v>0</v>
      </c>
      <c r="J20" s="322">
        <f t="shared" si="5"/>
        <v>0</v>
      </c>
      <c r="K20" s="322">
        <f t="shared" si="5"/>
        <v>0</v>
      </c>
      <c r="L20" s="322">
        <f t="shared" si="5"/>
        <v>0</v>
      </c>
      <c r="M20" s="322">
        <f t="shared" si="5"/>
        <v>0</v>
      </c>
      <c r="N20" s="322">
        <f t="shared" si="5"/>
        <v>0</v>
      </c>
      <c r="O20" s="322">
        <f t="shared" si="5"/>
        <v>0</v>
      </c>
      <c r="P20" s="322">
        <f t="shared" si="2"/>
        <v>0</v>
      </c>
    </row>
    <row r="21" spans="1:16" x14ac:dyDescent="0.25">
      <c r="A21" s="323" t="s">
        <v>858</v>
      </c>
      <c r="B21" s="317" t="s">
        <v>131</v>
      </c>
      <c r="C21" s="319">
        <f t="shared" si="0"/>
        <v>0</v>
      </c>
      <c r="D21" s="319">
        <f t="array" ref="D21">SUM(IF((Budget[Sort Code]=$B$6)*(Budget[Account Code]=$B21)*(Budget[Date]=D$7),Budget[Amount]))</f>
        <v>0</v>
      </c>
      <c r="E21" s="319">
        <f t="array" ref="E21">SUM(IF((Budget[Sort Code]=$B$6)*(Budget[Account Code]=$B21)*(Budget[Date]=E$7),Budget[Amount]))</f>
        <v>0</v>
      </c>
      <c r="F21" s="319">
        <f t="array" ref="F21">SUM(IF((Budget[Sort Code]=$B$6)*(Budget[Account Code]=$B21)*(Budget[Date]=F$7),Budget[Amount]))</f>
        <v>0</v>
      </c>
      <c r="G21" s="319">
        <f t="array" ref="G21">SUM(IF((Budget[Sort Code]=$B$6)*(Budget[Account Code]=$B21)*(Budget[Date]=G$7),Budget[Amount]))</f>
        <v>0</v>
      </c>
      <c r="H21" s="319">
        <f t="array" ref="H21">SUM(IF((Budget[Sort Code]=$B$6)*(Budget[Account Code]=$B21)*(Budget[Date]=H$7),Budget[Amount]))</f>
        <v>0</v>
      </c>
      <c r="I21" s="319">
        <f t="array" ref="I21">SUM(IF((Budget[Sort Code]=$B$6)*(Budget[Account Code]=$B21)*(Budget[Date]=I$7),Budget[Amount]))</f>
        <v>0</v>
      </c>
      <c r="J21" s="319">
        <f t="array" ref="J21">SUM(IF((Budget[Sort Code]=$B$6)*(Budget[Account Code]=$B21)*(Budget[Date]=J$7),Budget[Amount]))</f>
        <v>0</v>
      </c>
      <c r="K21" s="319">
        <f t="array" ref="K21">SUM(IF((Budget[Sort Code]=$B$6)*(Budget[Account Code]=$B21)*(Budget[Date]=K$7),Budget[Amount]))</f>
        <v>0</v>
      </c>
      <c r="L21" s="319">
        <f t="array" ref="L21">SUM(IF((Budget[Sort Code]=$B$6)*(Budget[Account Code]=$B21)*(Budget[Date]=L$7),Budget[Amount]))</f>
        <v>0</v>
      </c>
      <c r="M21" s="319">
        <f t="array" ref="M21">SUM(IF((Budget[Sort Code]=$B$6)*(Budget[Account Code]=$B21)*(Budget[Date]=M$7),Budget[Amount]))</f>
        <v>0</v>
      </c>
      <c r="N21" s="319">
        <f t="array" ref="N21">SUM(IF((Budget[Sort Code]=$B$6)*(Budget[Account Code]=$B21)*(Budget[Date]=N$7),Budget[Amount]))</f>
        <v>0</v>
      </c>
      <c r="O21" s="319">
        <f t="array" ref="O21">SUM(IF((Budget[Sort Code]=$B$6)*(Budget[Account Code]=$B21)*(Budget[Date]=O$7),Budget[Amount]))</f>
        <v>0</v>
      </c>
      <c r="P21" s="319">
        <f t="shared" si="2"/>
        <v>0</v>
      </c>
    </row>
    <row r="22" spans="1:16" x14ac:dyDescent="0.25">
      <c r="A22" s="323" t="s">
        <v>819</v>
      </c>
      <c r="B22" s="317"/>
      <c r="C22" s="319">
        <f t="shared" si="0"/>
        <v>0</v>
      </c>
      <c r="D22" s="319">
        <f t="array" ref="D22">SUM(IF((Budget[Sort Code]=$B$6)*(Budget[Account Code]=$B22)*(Budget[Date]=D$7),Budget[Amount]))</f>
        <v>0</v>
      </c>
      <c r="E22" s="319">
        <f t="array" ref="E22">SUM(IF((Budget[Sort Code]=$B$6)*(Budget[Account Code]=$B22)*(Budget[Date]=E$7),Budget[Amount]))</f>
        <v>0</v>
      </c>
      <c r="F22" s="319">
        <f t="array" ref="F22">SUM(IF((Budget[Sort Code]=$B$6)*(Budget[Account Code]=$B22)*(Budget[Date]=F$7),Budget[Amount]))</f>
        <v>0</v>
      </c>
      <c r="G22" s="319">
        <f t="array" ref="G22">SUM(IF((Budget[Sort Code]=$B$6)*(Budget[Account Code]=$B22)*(Budget[Date]=G$7),Budget[Amount]))</f>
        <v>0</v>
      </c>
      <c r="H22" s="319">
        <f t="array" ref="H22">SUM(IF((Budget[Sort Code]=$B$6)*(Budget[Account Code]=$B22)*(Budget[Date]=H$7),Budget[Amount]))</f>
        <v>0</v>
      </c>
      <c r="I22" s="319">
        <f t="array" ref="I22">SUM(IF((Budget[Sort Code]=$B$6)*(Budget[Account Code]=$B22)*(Budget[Date]=I$7),Budget[Amount]))</f>
        <v>0</v>
      </c>
      <c r="J22" s="319">
        <f t="array" ref="J22">SUM(IF((Budget[Sort Code]=$B$6)*(Budget[Account Code]=$B22)*(Budget[Date]=J$7),Budget[Amount]))</f>
        <v>0</v>
      </c>
      <c r="K22" s="319">
        <f t="array" ref="K22">SUM(IF((Budget[Sort Code]=$B$6)*(Budget[Account Code]=$B22)*(Budget[Date]=K$7),Budget[Amount]))</f>
        <v>0</v>
      </c>
      <c r="L22" s="319">
        <f t="array" ref="L22">SUM(IF((Budget[Sort Code]=$B$6)*(Budget[Account Code]=$B22)*(Budget[Date]=L$7),Budget[Amount]))</f>
        <v>0</v>
      </c>
      <c r="M22" s="319">
        <f t="array" ref="M22">SUM(IF((Budget[Sort Code]=$B$6)*(Budget[Account Code]=$B22)*(Budget[Date]=M$7),Budget[Amount]))</f>
        <v>0</v>
      </c>
      <c r="N22" s="319">
        <f t="array" ref="N22">SUM(IF((Budget[Sort Code]=$B$6)*(Budget[Account Code]=$B22)*(Budget[Date]=N$7),Budget[Amount]))</f>
        <v>0</v>
      </c>
      <c r="O22" s="319">
        <f t="array" ref="O22">SUM(IF((Budget[Sort Code]=$B$6)*(Budget[Account Code]=$B22)*(Budget[Date]=O$7),Budget[Amount]))</f>
        <v>0</v>
      </c>
      <c r="P22" s="319">
        <f t="shared" si="2"/>
        <v>0</v>
      </c>
    </row>
    <row r="23" spans="1:16" x14ac:dyDescent="0.25">
      <c r="A23" s="319" t="s">
        <v>831</v>
      </c>
      <c r="B23" s="324"/>
      <c r="C23" s="319">
        <f t="shared" si="0"/>
        <v>0</v>
      </c>
      <c r="D23" s="319">
        <f t="shared" ref="D23:O23" si="6">D11+D17+D20</f>
        <v>0</v>
      </c>
      <c r="E23" s="319">
        <f t="shared" si="6"/>
        <v>0</v>
      </c>
      <c r="F23" s="319">
        <f t="shared" si="6"/>
        <v>0</v>
      </c>
      <c r="G23" s="319">
        <f t="shared" si="6"/>
        <v>0</v>
      </c>
      <c r="H23" s="319">
        <f t="shared" si="6"/>
        <v>0</v>
      </c>
      <c r="I23" s="319">
        <f t="shared" si="6"/>
        <v>0</v>
      </c>
      <c r="J23" s="319">
        <f t="shared" si="6"/>
        <v>0</v>
      </c>
      <c r="K23" s="319">
        <f t="shared" si="6"/>
        <v>0</v>
      </c>
      <c r="L23" s="319">
        <f t="shared" si="6"/>
        <v>0</v>
      </c>
      <c r="M23" s="319">
        <f t="shared" si="6"/>
        <v>0</v>
      </c>
      <c r="N23" s="319">
        <f t="shared" si="6"/>
        <v>0</v>
      </c>
      <c r="O23" s="319">
        <f t="shared" si="6"/>
        <v>0</v>
      </c>
      <c r="P23" s="319">
        <f t="shared" si="2"/>
        <v>0</v>
      </c>
    </row>
    <row r="24" spans="1:16" x14ac:dyDescent="0.25">
      <c r="A24" s="320" t="s">
        <v>865</v>
      </c>
      <c r="B24" s="317"/>
      <c r="C24" s="319"/>
      <c r="D24" s="319"/>
      <c r="E24" s="319"/>
      <c r="F24" s="319"/>
      <c r="G24" s="319"/>
      <c r="H24" s="319"/>
      <c r="I24" s="319"/>
      <c r="J24" s="319"/>
      <c r="K24" s="319"/>
      <c r="L24" s="319"/>
      <c r="M24" s="319"/>
      <c r="N24" s="319"/>
      <c r="O24" s="319"/>
      <c r="P24" s="319">
        <f t="shared" si="2"/>
        <v>0</v>
      </c>
    </row>
    <row r="25" spans="1:16" s="171" customFormat="1" x14ac:dyDescent="0.25">
      <c r="A25" s="321" t="s">
        <v>866</v>
      </c>
      <c r="B25" s="317"/>
      <c r="C25" s="322">
        <f t="shared" si="0"/>
        <v>0</v>
      </c>
      <c r="D25" s="322">
        <v>0</v>
      </c>
      <c r="E25" s="322">
        <v>0</v>
      </c>
      <c r="F25" s="322">
        <v>0</v>
      </c>
      <c r="G25" s="322">
        <v>0</v>
      </c>
      <c r="H25" s="322">
        <v>0</v>
      </c>
      <c r="I25" s="322">
        <v>0</v>
      </c>
      <c r="J25" s="322">
        <v>0</v>
      </c>
      <c r="K25" s="322">
        <v>0</v>
      </c>
      <c r="L25" s="322">
        <v>0</v>
      </c>
      <c r="M25" s="322">
        <v>0</v>
      </c>
      <c r="N25" s="322">
        <v>0</v>
      </c>
      <c r="O25" s="322">
        <v>0</v>
      </c>
      <c r="P25" s="322">
        <f t="shared" si="2"/>
        <v>0</v>
      </c>
    </row>
    <row r="26" spans="1:16" s="171" customFormat="1" x14ac:dyDescent="0.25">
      <c r="A26" s="321" t="s">
        <v>867</v>
      </c>
      <c r="B26" s="317"/>
      <c r="C26" s="322">
        <f t="shared" si="0"/>
        <v>0</v>
      </c>
      <c r="D26" s="322">
        <v>0</v>
      </c>
      <c r="E26" s="322">
        <v>0</v>
      </c>
      <c r="F26" s="322">
        <v>0</v>
      </c>
      <c r="G26" s="322">
        <v>0</v>
      </c>
      <c r="H26" s="322">
        <v>0</v>
      </c>
      <c r="I26" s="322">
        <v>0</v>
      </c>
      <c r="J26" s="322">
        <v>0</v>
      </c>
      <c r="K26" s="322">
        <v>0</v>
      </c>
      <c r="L26" s="322">
        <v>0</v>
      </c>
      <c r="M26" s="322">
        <v>0</v>
      </c>
      <c r="N26" s="322">
        <v>0</v>
      </c>
      <c r="O26" s="322">
        <v>0</v>
      </c>
      <c r="P26" s="322">
        <f t="shared" si="2"/>
        <v>0</v>
      </c>
    </row>
    <row r="27" spans="1:16" s="171" customFormat="1" x14ac:dyDescent="0.25">
      <c r="A27" s="321" t="s">
        <v>997</v>
      </c>
      <c r="B27" s="317"/>
      <c r="C27" s="322">
        <f t="shared" si="0"/>
        <v>0</v>
      </c>
      <c r="D27" s="322">
        <v>0</v>
      </c>
      <c r="E27" s="322">
        <v>0</v>
      </c>
      <c r="F27" s="322">
        <v>0</v>
      </c>
      <c r="G27" s="322">
        <v>0</v>
      </c>
      <c r="H27" s="322">
        <v>0</v>
      </c>
      <c r="I27" s="322">
        <v>0</v>
      </c>
      <c r="J27" s="322">
        <v>0</v>
      </c>
      <c r="K27" s="322">
        <v>0</v>
      </c>
      <c r="L27" s="322">
        <v>0</v>
      </c>
      <c r="M27" s="322">
        <v>0</v>
      </c>
      <c r="N27" s="322">
        <v>0</v>
      </c>
      <c r="O27" s="322">
        <v>0</v>
      </c>
      <c r="P27" s="322">
        <f t="shared" si="2"/>
        <v>0</v>
      </c>
    </row>
    <row r="28" spans="1:16" s="171" customFormat="1" x14ac:dyDescent="0.25">
      <c r="A28" s="321" t="s">
        <v>998</v>
      </c>
      <c r="B28" s="317"/>
      <c r="C28" s="322">
        <f t="shared" si="0"/>
        <v>0</v>
      </c>
      <c r="D28" s="322">
        <v>0</v>
      </c>
      <c r="E28" s="322">
        <v>0</v>
      </c>
      <c r="F28" s="322">
        <v>0</v>
      </c>
      <c r="G28" s="322">
        <v>0</v>
      </c>
      <c r="H28" s="322">
        <v>0</v>
      </c>
      <c r="I28" s="322">
        <v>0</v>
      </c>
      <c r="J28" s="322">
        <v>0</v>
      </c>
      <c r="K28" s="322">
        <v>0</v>
      </c>
      <c r="L28" s="322">
        <v>0</v>
      </c>
      <c r="M28" s="322">
        <v>0</v>
      </c>
      <c r="N28" s="322">
        <v>0</v>
      </c>
      <c r="O28" s="322">
        <v>0</v>
      </c>
      <c r="P28" s="322">
        <f t="shared" si="2"/>
        <v>0</v>
      </c>
    </row>
    <row r="29" spans="1:16" s="171" customFormat="1" x14ac:dyDescent="0.25">
      <c r="A29" s="321" t="s">
        <v>868</v>
      </c>
      <c r="B29" s="317"/>
      <c r="C29" s="322">
        <f t="shared" si="0"/>
        <v>0</v>
      </c>
      <c r="D29" s="322">
        <v>0</v>
      </c>
      <c r="E29" s="322">
        <v>0</v>
      </c>
      <c r="F29" s="322">
        <v>0</v>
      </c>
      <c r="G29" s="322">
        <v>0</v>
      </c>
      <c r="H29" s="322">
        <v>0</v>
      </c>
      <c r="I29" s="322">
        <v>0</v>
      </c>
      <c r="J29" s="322">
        <v>0</v>
      </c>
      <c r="K29" s="322">
        <v>0</v>
      </c>
      <c r="L29" s="322">
        <v>0</v>
      </c>
      <c r="M29" s="322">
        <v>0</v>
      </c>
      <c r="N29" s="322">
        <v>0</v>
      </c>
      <c r="O29" s="322">
        <v>0</v>
      </c>
      <c r="P29" s="322">
        <f t="shared" si="2"/>
        <v>0</v>
      </c>
    </row>
    <row r="30" spans="1:16" s="171" customFormat="1" x14ac:dyDescent="0.25">
      <c r="A30" s="321" t="s">
        <v>999</v>
      </c>
      <c r="B30" s="317"/>
      <c r="C30" s="322">
        <f t="shared" si="0"/>
        <v>0</v>
      </c>
      <c r="D30" s="322">
        <f>D31+D32</f>
        <v>0</v>
      </c>
      <c r="E30" s="322">
        <f t="shared" ref="E30:O30" si="7">E31+E32</f>
        <v>0</v>
      </c>
      <c r="F30" s="322">
        <f t="shared" si="7"/>
        <v>0</v>
      </c>
      <c r="G30" s="322">
        <f t="shared" si="7"/>
        <v>0</v>
      </c>
      <c r="H30" s="322">
        <f t="shared" si="7"/>
        <v>0</v>
      </c>
      <c r="I30" s="322">
        <f t="shared" si="7"/>
        <v>0</v>
      </c>
      <c r="J30" s="322">
        <f t="shared" si="7"/>
        <v>0</v>
      </c>
      <c r="K30" s="322">
        <f t="shared" si="7"/>
        <v>0</v>
      </c>
      <c r="L30" s="322">
        <f t="shared" si="7"/>
        <v>0</v>
      </c>
      <c r="M30" s="322">
        <f t="shared" si="7"/>
        <v>0</v>
      </c>
      <c r="N30" s="322">
        <f t="shared" si="7"/>
        <v>0</v>
      </c>
      <c r="O30" s="322">
        <f t="shared" si="7"/>
        <v>0</v>
      </c>
      <c r="P30" s="322">
        <f t="shared" si="2"/>
        <v>0</v>
      </c>
    </row>
    <row r="31" spans="1:16" x14ac:dyDescent="0.25">
      <c r="A31" s="323" t="s">
        <v>858</v>
      </c>
      <c r="B31" s="317" t="s">
        <v>128</v>
      </c>
      <c r="C31" s="319">
        <f t="shared" si="0"/>
        <v>0</v>
      </c>
      <c r="D31" s="319">
        <f t="array" ref="D31">SUM(IF((Budget[Sort Code]=$B$6)*(Budget[Account Code]=$B31)*(Budget[Date]=D$7),Budget[Amount]))</f>
        <v>0</v>
      </c>
      <c r="E31" s="319">
        <f t="array" ref="E31">SUM(IF((Budget[Sort Code]=$B$6)*(Budget[Account Code]=$B31)*(Budget[Date]=E$7),Budget[Amount]))</f>
        <v>0</v>
      </c>
      <c r="F31" s="319">
        <f t="array" ref="F31">SUM(IF((Budget[Sort Code]=$B$6)*(Budget[Account Code]=$B31)*(Budget[Date]=F$7),Budget[Amount]))</f>
        <v>0</v>
      </c>
      <c r="G31" s="319">
        <f t="array" ref="G31">SUM(IF((Budget[Sort Code]=$B$6)*(Budget[Account Code]=$B31)*(Budget[Date]=G$7),Budget[Amount]))</f>
        <v>0</v>
      </c>
      <c r="H31" s="319">
        <f t="array" ref="H31">SUM(IF((Budget[Sort Code]=$B$6)*(Budget[Account Code]=$B31)*(Budget[Date]=H$7),Budget[Amount]))</f>
        <v>0</v>
      </c>
      <c r="I31" s="319">
        <f t="array" ref="I31">SUM(IF((Budget[Sort Code]=$B$6)*(Budget[Account Code]=$B31)*(Budget[Date]=I$7),Budget[Amount]))</f>
        <v>0</v>
      </c>
      <c r="J31" s="319">
        <f t="array" ref="J31">SUM(IF((Budget[Sort Code]=$B$6)*(Budget[Account Code]=$B31)*(Budget[Date]=J$7),Budget[Amount]))</f>
        <v>0</v>
      </c>
      <c r="K31" s="319">
        <f t="array" ref="K31">SUM(IF((Budget[Sort Code]=$B$6)*(Budget[Account Code]=$B31)*(Budget[Date]=K$7),Budget[Amount]))</f>
        <v>0</v>
      </c>
      <c r="L31" s="319">
        <f t="array" ref="L31">SUM(IF((Budget[Sort Code]=$B$6)*(Budget[Account Code]=$B31)*(Budget[Date]=L$7),Budget[Amount]))</f>
        <v>0</v>
      </c>
      <c r="M31" s="319">
        <f t="array" ref="M31">SUM(IF((Budget[Sort Code]=$B$6)*(Budget[Account Code]=$B31)*(Budget[Date]=M$7),Budget[Amount]))</f>
        <v>0</v>
      </c>
      <c r="N31" s="319">
        <f t="array" ref="N31">SUM(IF((Budget[Sort Code]=$B$6)*(Budget[Account Code]=$B31)*(Budget[Date]=N$7),Budget[Amount]))</f>
        <v>0</v>
      </c>
      <c r="O31" s="319">
        <f t="array" ref="O31">SUM(IF((Budget[Sort Code]=$B$6)*(Budget[Account Code]=$B31)*(Budget[Date]=O$7),Budget[Amount]))</f>
        <v>0</v>
      </c>
      <c r="P31" s="319">
        <f t="shared" si="2"/>
        <v>0</v>
      </c>
    </row>
    <row r="32" spans="1:16" x14ac:dyDescent="0.25">
      <c r="A32" s="323" t="s">
        <v>819</v>
      </c>
      <c r="B32" s="317" t="s">
        <v>129</v>
      </c>
      <c r="C32" s="319">
        <f t="shared" si="0"/>
        <v>0</v>
      </c>
      <c r="D32" s="319">
        <f t="array" ref="D32">SUM(IF((Budget[Sort Code]=$B$6)*(Budget[Account Code]=$B32)*(Budget[Date]=D$7),Budget[Amount]))</f>
        <v>0</v>
      </c>
      <c r="E32" s="319">
        <f t="array" ref="E32">SUM(IF((Budget[Sort Code]=$B$6)*(Budget[Account Code]=$B32)*(Budget[Date]=E$7),Budget[Amount]))</f>
        <v>0</v>
      </c>
      <c r="F32" s="319">
        <f t="array" ref="F32">SUM(IF((Budget[Sort Code]=$B$6)*(Budget[Account Code]=$B32)*(Budget[Date]=F$7),Budget[Amount]))</f>
        <v>0</v>
      </c>
      <c r="G32" s="319">
        <f t="array" ref="G32">SUM(IF((Budget[Sort Code]=$B$6)*(Budget[Account Code]=$B32)*(Budget[Date]=G$7),Budget[Amount]))</f>
        <v>0</v>
      </c>
      <c r="H32" s="319">
        <f t="array" ref="H32">SUM(IF((Budget[Sort Code]=$B$6)*(Budget[Account Code]=$B32)*(Budget[Date]=H$7),Budget[Amount]))</f>
        <v>0</v>
      </c>
      <c r="I32" s="319">
        <f t="array" ref="I32">SUM(IF((Budget[Sort Code]=$B$6)*(Budget[Account Code]=$B32)*(Budget[Date]=I$7),Budget[Amount]))</f>
        <v>0</v>
      </c>
      <c r="J32" s="319">
        <f t="array" ref="J32">SUM(IF((Budget[Sort Code]=$B$6)*(Budget[Account Code]=$B32)*(Budget[Date]=J$7),Budget[Amount]))</f>
        <v>0</v>
      </c>
      <c r="K32" s="319">
        <f t="array" ref="K32">SUM(IF((Budget[Sort Code]=$B$6)*(Budget[Account Code]=$B32)*(Budget[Date]=K$7),Budget[Amount]))</f>
        <v>0</v>
      </c>
      <c r="L32" s="319">
        <f t="array" ref="L32">SUM(IF((Budget[Sort Code]=$B$6)*(Budget[Account Code]=$B32)*(Budget[Date]=L$7),Budget[Amount]))</f>
        <v>0</v>
      </c>
      <c r="M32" s="319">
        <f t="array" ref="M32">SUM(IF((Budget[Sort Code]=$B$6)*(Budget[Account Code]=$B32)*(Budget[Date]=M$7),Budget[Amount]))</f>
        <v>0</v>
      </c>
      <c r="N32" s="319">
        <f t="array" ref="N32">SUM(IF((Budget[Sort Code]=$B$6)*(Budget[Account Code]=$B32)*(Budget[Date]=N$7),Budget[Amount]))</f>
        <v>0</v>
      </c>
      <c r="O32" s="319">
        <f t="array" ref="O32">SUM(IF((Budget[Sort Code]=$B$6)*(Budget[Account Code]=$B32)*(Budget[Date]=O$7),Budget[Amount]))</f>
        <v>0</v>
      </c>
      <c r="P32" s="319">
        <f t="shared" si="2"/>
        <v>0</v>
      </c>
    </row>
    <row r="33" spans="1:16" s="171" customFormat="1" x14ac:dyDescent="0.25">
      <c r="A33" s="321" t="s">
        <v>1000</v>
      </c>
      <c r="B33" s="317" t="s">
        <v>130</v>
      </c>
      <c r="C33" s="322">
        <f t="shared" si="0"/>
        <v>0</v>
      </c>
      <c r="D33" s="319">
        <f t="array" ref="D33">SUM(IF((Budget[Sort Code]=$B$6)*(Budget[Account Code]=$B33)*(Budget[Date]=D$7),Budget[Amount]))</f>
        <v>0</v>
      </c>
      <c r="E33" s="319">
        <f t="array" ref="E33">SUM(IF((Budget[Sort Code]=$B$6)*(Budget[Account Code]=$B33)*(Budget[Date]=E$7),Budget[Amount]))</f>
        <v>0</v>
      </c>
      <c r="F33" s="319">
        <f t="array" ref="F33">SUM(IF((Budget[Sort Code]=$B$6)*(Budget[Account Code]=$B33)*(Budget[Date]=F$7),Budget[Amount]))</f>
        <v>0</v>
      </c>
      <c r="G33" s="319">
        <f t="array" ref="G33">SUM(IF((Budget[Sort Code]=$B$6)*(Budget[Account Code]=$B33)*(Budget[Date]=G$7),Budget[Amount]))</f>
        <v>0</v>
      </c>
      <c r="H33" s="319">
        <f t="array" ref="H33">SUM(IF((Budget[Sort Code]=$B$6)*(Budget[Account Code]=$B33)*(Budget[Date]=H$7),Budget[Amount]))</f>
        <v>0</v>
      </c>
      <c r="I33" s="319">
        <f t="array" ref="I33">SUM(IF((Budget[Sort Code]=$B$6)*(Budget[Account Code]=$B33)*(Budget[Date]=I$7),Budget[Amount]))</f>
        <v>0</v>
      </c>
      <c r="J33" s="319">
        <f t="array" ref="J33">SUM(IF((Budget[Sort Code]=$B$6)*(Budget[Account Code]=$B33)*(Budget[Date]=J$7),Budget[Amount]))</f>
        <v>0</v>
      </c>
      <c r="K33" s="319">
        <f t="array" ref="K33">SUM(IF((Budget[Sort Code]=$B$6)*(Budget[Account Code]=$B33)*(Budget[Date]=K$7),Budget[Amount]))</f>
        <v>0</v>
      </c>
      <c r="L33" s="319">
        <f t="array" ref="L33">SUM(IF((Budget[Sort Code]=$B$6)*(Budget[Account Code]=$B33)*(Budget[Date]=L$7),Budget[Amount]))</f>
        <v>0</v>
      </c>
      <c r="M33" s="319">
        <f t="array" ref="M33">SUM(IF((Budget[Sort Code]=$B$6)*(Budget[Account Code]=$B33)*(Budget[Date]=M$7),Budget[Amount]))</f>
        <v>0</v>
      </c>
      <c r="N33" s="319">
        <f t="array" ref="N33">SUM(IF((Budget[Sort Code]=$B$6)*(Budget[Account Code]=$B33)*(Budget[Date]=N$7),Budget[Amount]))</f>
        <v>0</v>
      </c>
      <c r="O33" s="319">
        <f t="array" ref="O33">SUM(IF((Budget[Sort Code]=$B$6)*(Budget[Account Code]=$B33)*(Budget[Date]=O$7),Budget[Amount]))</f>
        <v>0</v>
      </c>
      <c r="P33" s="322">
        <f t="shared" si="2"/>
        <v>0</v>
      </c>
    </row>
    <row r="34" spans="1:16" s="171" customFormat="1" x14ac:dyDescent="0.25">
      <c r="A34" s="321" t="s">
        <v>1001</v>
      </c>
      <c r="B34" s="317"/>
      <c r="C34" s="322">
        <f t="shared" si="0"/>
        <v>0</v>
      </c>
      <c r="D34" s="322">
        <f>SUM(D35:D40)</f>
        <v>0</v>
      </c>
      <c r="E34" s="322">
        <f t="shared" ref="E34:O34" si="8">SUM(E35:E40)</f>
        <v>0</v>
      </c>
      <c r="F34" s="322">
        <f t="shared" si="8"/>
        <v>0</v>
      </c>
      <c r="G34" s="322">
        <f t="shared" si="8"/>
        <v>0</v>
      </c>
      <c r="H34" s="322">
        <f t="shared" si="8"/>
        <v>0</v>
      </c>
      <c r="I34" s="322">
        <f t="shared" si="8"/>
        <v>0</v>
      </c>
      <c r="J34" s="322">
        <f t="shared" si="8"/>
        <v>0</v>
      </c>
      <c r="K34" s="322">
        <f t="shared" si="8"/>
        <v>0</v>
      </c>
      <c r="L34" s="322">
        <f t="shared" si="8"/>
        <v>0</v>
      </c>
      <c r="M34" s="322">
        <f t="shared" si="8"/>
        <v>0</v>
      </c>
      <c r="N34" s="322">
        <f t="shared" si="8"/>
        <v>0</v>
      </c>
      <c r="O34" s="322">
        <f t="shared" si="8"/>
        <v>0</v>
      </c>
      <c r="P34" s="322">
        <f t="shared" si="2"/>
        <v>0</v>
      </c>
    </row>
    <row r="35" spans="1:16" s="171" customFormat="1" x14ac:dyDescent="0.25">
      <c r="A35" s="323" t="s">
        <v>186</v>
      </c>
      <c r="B35" s="317" t="s">
        <v>150</v>
      </c>
      <c r="C35" s="322">
        <f t="shared" si="0"/>
        <v>0</v>
      </c>
      <c r="D35" s="319">
        <f t="array" ref="D35">SUM(IF((Budget[Sort Code]=$B$6)*(Budget[Account Code]=$B35)*(Budget[Date]=D$7),Budget[Amount]))</f>
        <v>0</v>
      </c>
      <c r="E35" s="319">
        <f t="array" ref="E35">SUM(IF((Budget[Sort Code]=$B$6)*(Budget[Account Code]=$B35)*(Budget[Date]=E$7),Budget[Amount]))</f>
        <v>0</v>
      </c>
      <c r="F35" s="319">
        <f t="array" ref="F35">SUM(IF((Budget[Sort Code]=$B$6)*(Budget[Account Code]=$B35)*(Budget[Date]=F$7),Budget[Amount]))</f>
        <v>0</v>
      </c>
      <c r="G35" s="319">
        <f t="array" ref="G35">SUM(IF((Budget[Sort Code]=$B$6)*(Budget[Account Code]=$B35)*(Budget[Date]=G$7),Budget[Amount]))</f>
        <v>0</v>
      </c>
      <c r="H35" s="319">
        <f t="array" ref="H35">SUM(IF((Budget[Sort Code]=$B$6)*(Budget[Account Code]=$B35)*(Budget[Date]=H$7),Budget[Amount]))</f>
        <v>0</v>
      </c>
      <c r="I35" s="319">
        <f t="array" ref="I35">SUM(IF((Budget[Sort Code]=$B$6)*(Budget[Account Code]=$B35)*(Budget[Date]=I$7),Budget[Amount]))</f>
        <v>0</v>
      </c>
      <c r="J35" s="319">
        <f t="array" ref="J35">SUM(IF((Budget[Sort Code]=$B$6)*(Budget[Account Code]=$B35)*(Budget[Date]=J$7),Budget[Amount]))</f>
        <v>0</v>
      </c>
      <c r="K35" s="319">
        <f t="array" ref="K35">SUM(IF((Budget[Sort Code]=$B$6)*(Budget[Account Code]=$B35)*(Budget[Date]=K$7),Budget[Amount]))</f>
        <v>0</v>
      </c>
      <c r="L35" s="319">
        <f t="array" ref="L35">SUM(IF((Budget[Sort Code]=$B$6)*(Budget[Account Code]=$B35)*(Budget[Date]=L$7),Budget[Amount]))</f>
        <v>0</v>
      </c>
      <c r="M35" s="319">
        <f t="array" ref="M35">SUM(IF((Budget[Sort Code]=$B$6)*(Budget[Account Code]=$B35)*(Budget[Date]=M$7),Budget[Amount]))</f>
        <v>0</v>
      </c>
      <c r="N35" s="319">
        <f t="array" ref="N35">SUM(IF((Budget[Sort Code]=$B$6)*(Budget[Account Code]=$B35)*(Budget[Date]=N$7),Budget[Amount]))</f>
        <v>0</v>
      </c>
      <c r="O35" s="319">
        <f t="array" ref="O35">SUM(IF((Budget[Sort Code]=$B$6)*(Budget[Account Code]=$B35)*(Budget[Date]=O$7),Budget[Amount]))</f>
        <v>0</v>
      </c>
      <c r="P35" s="322">
        <f t="shared" si="2"/>
        <v>0</v>
      </c>
    </row>
    <row r="36" spans="1:16" s="171" customFormat="1" x14ac:dyDescent="0.25">
      <c r="A36" s="323" t="s">
        <v>1003</v>
      </c>
      <c r="B36" s="317" t="s">
        <v>155</v>
      </c>
      <c r="C36" s="322">
        <f t="shared" si="0"/>
        <v>0</v>
      </c>
      <c r="D36" s="319">
        <f t="array" ref="D36">SUM(IF((Budget[Sort Code]=$B$6)*(Budget[Account Code]=$B36)*(Budget[Date]=D$7),Budget[Amount]))</f>
        <v>0</v>
      </c>
      <c r="E36" s="319">
        <f t="array" ref="E36">SUM(IF((Budget[Sort Code]=$B$6)*(Budget[Account Code]=$B36)*(Budget[Date]=E$7),Budget[Amount]))</f>
        <v>0</v>
      </c>
      <c r="F36" s="319">
        <f t="array" ref="F36">SUM(IF((Budget[Sort Code]=$B$6)*(Budget[Account Code]=$B36)*(Budget[Date]=F$7),Budget[Amount]))</f>
        <v>0</v>
      </c>
      <c r="G36" s="319">
        <f t="array" ref="G36">SUM(IF((Budget[Sort Code]=$B$6)*(Budget[Account Code]=$B36)*(Budget[Date]=G$7),Budget[Amount]))</f>
        <v>0</v>
      </c>
      <c r="H36" s="319">
        <f t="array" ref="H36">SUM(IF((Budget[Sort Code]=$B$6)*(Budget[Account Code]=$B36)*(Budget[Date]=H$7),Budget[Amount]))</f>
        <v>0</v>
      </c>
      <c r="I36" s="319">
        <f t="array" ref="I36">SUM(IF((Budget[Sort Code]=$B$6)*(Budget[Account Code]=$B36)*(Budget[Date]=I$7),Budget[Amount]))</f>
        <v>0</v>
      </c>
      <c r="J36" s="319">
        <f t="array" ref="J36">SUM(IF((Budget[Sort Code]=$B$6)*(Budget[Account Code]=$B36)*(Budget[Date]=J$7),Budget[Amount]))</f>
        <v>0</v>
      </c>
      <c r="K36" s="319">
        <f t="array" ref="K36">SUM(IF((Budget[Sort Code]=$B$6)*(Budget[Account Code]=$B36)*(Budget[Date]=K$7),Budget[Amount]))</f>
        <v>0</v>
      </c>
      <c r="L36" s="319">
        <f t="array" ref="L36">SUM(IF((Budget[Sort Code]=$B$6)*(Budget[Account Code]=$B36)*(Budget[Date]=L$7),Budget[Amount]))</f>
        <v>0</v>
      </c>
      <c r="M36" s="319">
        <f t="array" ref="M36">SUM(IF((Budget[Sort Code]=$B$6)*(Budget[Account Code]=$B36)*(Budget[Date]=M$7),Budget[Amount]))</f>
        <v>0</v>
      </c>
      <c r="N36" s="319">
        <f t="array" ref="N36">SUM(IF((Budget[Sort Code]=$B$6)*(Budget[Account Code]=$B36)*(Budget[Date]=N$7),Budget[Amount]))</f>
        <v>0</v>
      </c>
      <c r="O36" s="319">
        <f t="array" ref="O36">SUM(IF((Budget[Sort Code]=$B$6)*(Budget[Account Code]=$B36)*(Budget[Date]=O$7),Budget[Amount]))</f>
        <v>0</v>
      </c>
      <c r="P36" s="322">
        <f t="shared" si="2"/>
        <v>0</v>
      </c>
    </row>
    <row r="37" spans="1:16" s="171" customFormat="1" x14ac:dyDescent="0.25">
      <c r="A37" s="323" t="s">
        <v>1004</v>
      </c>
      <c r="B37" s="317" t="s">
        <v>159</v>
      </c>
      <c r="C37" s="322">
        <f t="shared" si="0"/>
        <v>0</v>
      </c>
      <c r="D37" s="319">
        <f t="array" ref="D37">SUM(IF((Budget[Sort Code]=$B$6)*(Budget[Account Code]=$B37)*(Budget[Date]=D$7),Budget[Amount]))</f>
        <v>0</v>
      </c>
      <c r="E37" s="319">
        <f t="array" ref="E37">SUM(IF((Budget[Sort Code]=$B$6)*(Budget[Account Code]=$B37)*(Budget[Date]=E$7),Budget[Amount]))</f>
        <v>0</v>
      </c>
      <c r="F37" s="319">
        <f t="array" ref="F37">SUM(IF((Budget[Sort Code]=$B$6)*(Budget[Account Code]=$B37)*(Budget[Date]=F$7),Budget[Amount]))</f>
        <v>0</v>
      </c>
      <c r="G37" s="319">
        <f t="array" ref="G37">SUM(IF((Budget[Sort Code]=$B$6)*(Budget[Account Code]=$B37)*(Budget[Date]=G$7),Budget[Amount]))</f>
        <v>0</v>
      </c>
      <c r="H37" s="319">
        <f t="array" ref="H37">SUM(IF((Budget[Sort Code]=$B$6)*(Budget[Account Code]=$B37)*(Budget[Date]=H$7),Budget[Amount]))</f>
        <v>0</v>
      </c>
      <c r="I37" s="319">
        <f t="array" ref="I37">SUM(IF((Budget[Sort Code]=$B$6)*(Budget[Account Code]=$B37)*(Budget[Date]=I$7),Budget[Amount]))</f>
        <v>0</v>
      </c>
      <c r="J37" s="319">
        <f t="array" ref="J37">SUM(IF((Budget[Sort Code]=$B$6)*(Budget[Account Code]=$B37)*(Budget[Date]=J$7),Budget[Amount]))</f>
        <v>0</v>
      </c>
      <c r="K37" s="319">
        <f t="array" ref="K37">SUM(IF((Budget[Sort Code]=$B$6)*(Budget[Account Code]=$B37)*(Budget[Date]=K$7),Budget[Amount]))</f>
        <v>0</v>
      </c>
      <c r="L37" s="319">
        <f t="array" ref="L37">SUM(IF((Budget[Sort Code]=$B$6)*(Budget[Account Code]=$B37)*(Budget[Date]=L$7),Budget[Amount]))</f>
        <v>0</v>
      </c>
      <c r="M37" s="319">
        <f t="array" ref="M37">SUM(IF((Budget[Sort Code]=$B$6)*(Budget[Account Code]=$B37)*(Budget[Date]=M$7),Budget[Amount]))</f>
        <v>0</v>
      </c>
      <c r="N37" s="319">
        <f t="array" ref="N37">SUM(IF((Budget[Sort Code]=$B$6)*(Budget[Account Code]=$B37)*(Budget[Date]=N$7),Budget[Amount]))</f>
        <v>0</v>
      </c>
      <c r="O37" s="319">
        <f t="array" ref="O37">SUM(IF((Budget[Sort Code]=$B$6)*(Budget[Account Code]=$B37)*(Budget[Date]=O$7),Budget[Amount]))</f>
        <v>0</v>
      </c>
      <c r="P37" s="322">
        <f t="shared" si="2"/>
        <v>0</v>
      </c>
    </row>
    <row r="38" spans="1:16" s="171" customFormat="1" x14ac:dyDescent="0.25">
      <c r="A38" s="323" t="s">
        <v>449</v>
      </c>
      <c r="B38" s="317" t="s">
        <v>160</v>
      </c>
      <c r="C38" s="322">
        <f t="shared" si="0"/>
        <v>0</v>
      </c>
      <c r="D38" s="319">
        <f t="array" ref="D38">SUM(IF((Budget[Sort Code]=$B$6)*(Budget[Account Code]=$B38)*(Budget[Date]=D$7),Budget[Amount]))</f>
        <v>0</v>
      </c>
      <c r="E38" s="319">
        <f t="array" ref="E38">SUM(IF((Budget[Sort Code]=$B$6)*(Budget[Account Code]=$B38)*(Budget[Date]=E$7),Budget[Amount]))</f>
        <v>0</v>
      </c>
      <c r="F38" s="319">
        <f t="array" ref="F38">SUM(IF((Budget[Sort Code]=$B$6)*(Budget[Account Code]=$B38)*(Budget[Date]=F$7),Budget[Amount]))</f>
        <v>0</v>
      </c>
      <c r="G38" s="319">
        <f t="array" ref="G38">SUM(IF((Budget[Sort Code]=$B$6)*(Budget[Account Code]=$B38)*(Budget[Date]=G$7),Budget[Amount]))</f>
        <v>0</v>
      </c>
      <c r="H38" s="319">
        <f t="array" ref="H38">SUM(IF((Budget[Sort Code]=$B$6)*(Budget[Account Code]=$B38)*(Budget[Date]=H$7),Budget[Amount]))</f>
        <v>0</v>
      </c>
      <c r="I38" s="319">
        <f t="array" ref="I38">SUM(IF((Budget[Sort Code]=$B$6)*(Budget[Account Code]=$B38)*(Budget[Date]=I$7),Budget[Amount]))</f>
        <v>0</v>
      </c>
      <c r="J38" s="319">
        <f t="array" ref="J38">SUM(IF((Budget[Sort Code]=$B$6)*(Budget[Account Code]=$B38)*(Budget[Date]=J$7),Budget[Amount]))</f>
        <v>0</v>
      </c>
      <c r="K38" s="319">
        <f t="array" ref="K38">SUM(IF((Budget[Sort Code]=$B$6)*(Budget[Account Code]=$B38)*(Budget[Date]=K$7),Budget[Amount]))</f>
        <v>0</v>
      </c>
      <c r="L38" s="319">
        <f t="array" ref="L38">SUM(IF((Budget[Sort Code]=$B$6)*(Budget[Account Code]=$B38)*(Budget[Date]=L$7),Budget[Amount]))</f>
        <v>0</v>
      </c>
      <c r="M38" s="319">
        <f t="array" ref="M38">SUM(IF((Budget[Sort Code]=$B$6)*(Budget[Account Code]=$B38)*(Budget[Date]=M$7),Budget[Amount]))</f>
        <v>0</v>
      </c>
      <c r="N38" s="319">
        <f t="array" ref="N38">SUM(IF((Budget[Sort Code]=$B$6)*(Budget[Account Code]=$B38)*(Budget[Date]=N$7),Budget[Amount]))</f>
        <v>0</v>
      </c>
      <c r="O38" s="319">
        <f t="array" ref="O38">SUM(IF((Budget[Sort Code]=$B$6)*(Budget[Account Code]=$B38)*(Budget[Date]=O$7),Budget[Amount]))</f>
        <v>0</v>
      </c>
      <c r="P38" s="322">
        <f t="shared" si="2"/>
        <v>0</v>
      </c>
    </row>
    <row r="39" spans="1:16" s="171" customFormat="1" x14ac:dyDescent="0.25">
      <c r="A39" s="323" t="s">
        <v>1005</v>
      </c>
      <c r="B39" s="317" t="s">
        <v>352</v>
      </c>
      <c r="C39" s="322">
        <f t="shared" si="0"/>
        <v>0</v>
      </c>
      <c r="D39" s="319">
        <f t="array" ref="D39">SUM(IF((Budget[Sort Code]=$B$6)*(Budget[Account Code]=$B39)*(Budget[Date]=D$7),Budget[Amount]))</f>
        <v>0</v>
      </c>
      <c r="E39" s="319">
        <f t="array" ref="E39">SUM(IF((Budget[Sort Code]=$B$6)*(Budget[Account Code]=$B39)*(Budget[Date]=E$7),Budget[Amount]))</f>
        <v>0</v>
      </c>
      <c r="F39" s="319">
        <f t="array" ref="F39">SUM(IF((Budget[Sort Code]=$B$6)*(Budget[Account Code]=$B39)*(Budget[Date]=F$7),Budget[Amount]))</f>
        <v>0</v>
      </c>
      <c r="G39" s="319">
        <f t="array" ref="G39">SUM(IF((Budget[Sort Code]=$B$6)*(Budget[Account Code]=$B39)*(Budget[Date]=G$7),Budget[Amount]))</f>
        <v>0</v>
      </c>
      <c r="H39" s="319">
        <f t="array" ref="H39">SUM(IF((Budget[Sort Code]=$B$6)*(Budget[Account Code]=$B39)*(Budget[Date]=H$7),Budget[Amount]))</f>
        <v>0</v>
      </c>
      <c r="I39" s="319">
        <f t="array" ref="I39">SUM(IF((Budget[Sort Code]=$B$6)*(Budget[Account Code]=$B39)*(Budget[Date]=I$7),Budget[Amount]))</f>
        <v>0</v>
      </c>
      <c r="J39" s="319">
        <f t="array" ref="J39">SUM(IF((Budget[Sort Code]=$B$6)*(Budget[Account Code]=$B39)*(Budget[Date]=J$7),Budget[Amount]))</f>
        <v>0</v>
      </c>
      <c r="K39" s="319">
        <f t="array" ref="K39">SUM(IF((Budget[Sort Code]=$B$6)*(Budget[Account Code]=$B39)*(Budget[Date]=K$7),Budget[Amount]))</f>
        <v>0</v>
      </c>
      <c r="L39" s="319">
        <f t="array" ref="L39">SUM(IF((Budget[Sort Code]=$B$6)*(Budget[Account Code]=$B39)*(Budget[Date]=L$7),Budget[Amount]))</f>
        <v>0</v>
      </c>
      <c r="M39" s="319">
        <f t="array" ref="M39">SUM(IF((Budget[Sort Code]=$B$6)*(Budget[Account Code]=$B39)*(Budget[Date]=M$7),Budget[Amount]))</f>
        <v>0</v>
      </c>
      <c r="N39" s="319">
        <f t="array" ref="N39">SUM(IF((Budget[Sort Code]=$B$6)*(Budget[Account Code]=$B39)*(Budget[Date]=N$7),Budget[Amount]))</f>
        <v>0</v>
      </c>
      <c r="O39" s="319">
        <f t="array" ref="O39">SUM(IF((Budget[Sort Code]=$B$6)*(Budget[Account Code]=$B39)*(Budget[Date]=O$7),Budget[Amount]))</f>
        <v>0</v>
      </c>
      <c r="P39" s="322">
        <f t="shared" si="2"/>
        <v>0</v>
      </c>
    </row>
    <row r="40" spans="1:16" s="171" customFormat="1" x14ac:dyDescent="0.25">
      <c r="A40" s="323" t="s">
        <v>1006</v>
      </c>
      <c r="B40" s="317" t="s">
        <v>158</v>
      </c>
      <c r="C40" s="322">
        <f t="shared" si="0"/>
        <v>0</v>
      </c>
      <c r="D40" s="319">
        <f t="array" ref="D40">SUM(IF((Budget[Sort Code]=$B$6)*(Budget[Account Code]=$B40)*(Budget[Date]=D$7),Budget[Amount]))</f>
        <v>0</v>
      </c>
      <c r="E40" s="319">
        <f t="array" ref="E40">SUM(IF((Budget[Sort Code]=$B$6)*(Budget[Account Code]=$B40)*(Budget[Date]=E$7),Budget[Amount]))</f>
        <v>0</v>
      </c>
      <c r="F40" s="319">
        <f t="array" ref="F40">SUM(IF((Budget[Sort Code]=$B$6)*(Budget[Account Code]=$B40)*(Budget[Date]=F$7),Budget[Amount]))</f>
        <v>0</v>
      </c>
      <c r="G40" s="319">
        <f t="array" ref="G40">SUM(IF((Budget[Sort Code]=$B$6)*(Budget[Account Code]=$B40)*(Budget[Date]=G$7),Budget[Amount]))</f>
        <v>0</v>
      </c>
      <c r="H40" s="319">
        <f t="array" ref="H40">SUM(IF((Budget[Sort Code]=$B$6)*(Budget[Account Code]=$B40)*(Budget[Date]=H$7),Budget[Amount]))</f>
        <v>0</v>
      </c>
      <c r="I40" s="319">
        <f t="array" ref="I40">SUM(IF((Budget[Sort Code]=$B$6)*(Budget[Account Code]=$B40)*(Budget[Date]=I$7),Budget[Amount]))</f>
        <v>0</v>
      </c>
      <c r="J40" s="319">
        <f t="array" ref="J40">SUM(IF((Budget[Sort Code]=$B$6)*(Budget[Account Code]=$B40)*(Budget[Date]=J$7),Budget[Amount]))</f>
        <v>0</v>
      </c>
      <c r="K40" s="319">
        <f t="array" ref="K40">SUM(IF((Budget[Sort Code]=$B$6)*(Budget[Account Code]=$B40)*(Budget[Date]=K$7),Budget[Amount]))</f>
        <v>0</v>
      </c>
      <c r="L40" s="319">
        <f t="array" ref="L40">SUM(IF((Budget[Sort Code]=$B$6)*(Budget[Account Code]=$B40)*(Budget[Date]=L$7),Budget[Amount]))</f>
        <v>0</v>
      </c>
      <c r="M40" s="319">
        <f t="array" ref="M40">SUM(IF((Budget[Sort Code]=$B$6)*(Budget[Account Code]=$B40)*(Budget[Date]=M$7),Budget[Amount]))</f>
        <v>0</v>
      </c>
      <c r="N40" s="319">
        <f t="array" ref="N40">SUM(IF((Budget[Sort Code]=$B$6)*(Budget[Account Code]=$B40)*(Budget[Date]=N$7),Budget[Amount]))</f>
        <v>0</v>
      </c>
      <c r="O40" s="319">
        <f t="array" ref="O40">SUM(IF((Budget[Sort Code]=$B$6)*(Budget[Account Code]=$B40)*(Budget[Date]=O$7),Budget[Amount]))</f>
        <v>0</v>
      </c>
      <c r="P40" s="322">
        <f t="shared" si="2"/>
        <v>0</v>
      </c>
    </row>
    <row r="41" spans="1:16" s="171" customFormat="1" x14ac:dyDescent="0.25">
      <c r="A41" s="321" t="s">
        <v>1002</v>
      </c>
      <c r="B41" s="317"/>
      <c r="C41" s="322">
        <f t="shared" si="0"/>
        <v>0</v>
      </c>
      <c r="D41" s="319">
        <f t="array" ref="D41">SUM(IF((Budget[Sort Code]=$B$6)*(Budget[Account Code]=$B41)*(Budget[Date]=D$7),Budget[Amount]))</f>
        <v>0</v>
      </c>
      <c r="E41" s="319">
        <f t="array" ref="E41">SUM(IF((Budget[Sort Code]=$B$6)*(Budget[Account Code]=$B41)*(Budget[Date]=E$7),Budget[Amount]))</f>
        <v>0</v>
      </c>
      <c r="F41" s="319">
        <f t="array" ref="F41">SUM(IF((Budget[Sort Code]=$B$6)*(Budget[Account Code]=$B41)*(Budget[Date]=F$7),Budget[Amount]))</f>
        <v>0</v>
      </c>
      <c r="G41" s="319">
        <f t="array" ref="G41">SUM(IF((Budget[Sort Code]=$B$6)*(Budget[Account Code]=$B41)*(Budget[Date]=G$7),Budget[Amount]))</f>
        <v>0</v>
      </c>
      <c r="H41" s="319">
        <f t="array" ref="H41">SUM(IF((Budget[Sort Code]=$B$6)*(Budget[Account Code]=$B41)*(Budget[Date]=H$7),Budget[Amount]))</f>
        <v>0</v>
      </c>
      <c r="I41" s="319">
        <f t="array" ref="I41">SUM(IF((Budget[Sort Code]=$B$6)*(Budget[Account Code]=$B41)*(Budget[Date]=I$7),Budget[Amount]))</f>
        <v>0</v>
      </c>
      <c r="J41" s="319">
        <f t="array" ref="J41">SUM(IF((Budget[Sort Code]=$B$6)*(Budget[Account Code]=$B41)*(Budget[Date]=J$7),Budget[Amount]))</f>
        <v>0</v>
      </c>
      <c r="K41" s="319">
        <f t="array" ref="K41">SUM(IF((Budget[Sort Code]=$B$6)*(Budget[Account Code]=$B41)*(Budget[Date]=K$7),Budget[Amount]))</f>
        <v>0</v>
      </c>
      <c r="L41" s="319">
        <f t="array" ref="L41">SUM(IF((Budget[Sort Code]=$B$6)*(Budget[Account Code]=$B41)*(Budget[Date]=L$7),Budget[Amount]))</f>
        <v>0</v>
      </c>
      <c r="M41" s="319">
        <f t="array" ref="M41">SUM(IF((Budget[Sort Code]=$B$6)*(Budget[Account Code]=$B41)*(Budget[Date]=M$7),Budget[Amount]))</f>
        <v>0</v>
      </c>
      <c r="N41" s="319">
        <f t="array" ref="N41">SUM(IF((Budget[Sort Code]=$B$6)*(Budget[Account Code]=$B41)*(Budget[Date]=N$7),Budget[Amount]))</f>
        <v>0</v>
      </c>
      <c r="O41" s="319">
        <f t="array" ref="O41">SUM(IF((Budget[Sort Code]=$B$6)*(Budget[Account Code]=$B41)*(Budget[Date]=O$7),Budget[Amount]))</f>
        <v>0</v>
      </c>
      <c r="P41" s="322">
        <f t="shared" si="2"/>
        <v>0</v>
      </c>
    </row>
    <row r="42" spans="1:16" x14ac:dyDescent="0.25">
      <c r="A42" s="323" t="s">
        <v>869</v>
      </c>
      <c r="B42" s="317"/>
      <c r="C42" s="319">
        <f t="shared" si="0"/>
        <v>0</v>
      </c>
      <c r="D42" s="319">
        <f t="array" ref="D42">SUM(IF((Budget[Sort Code]=$B$6)*(Budget[Account Code]=$B42)*(Budget[Date]=D$7),Budget[Amount]))</f>
        <v>0</v>
      </c>
      <c r="E42" s="319">
        <f t="array" ref="E42">SUM(IF((Budget[Sort Code]=$B$6)*(Budget[Account Code]=$B42)*(Budget[Date]=E$7),Budget[Amount]))</f>
        <v>0</v>
      </c>
      <c r="F42" s="319">
        <f t="array" ref="F42">SUM(IF((Budget[Sort Code]=$B$6)*(Budget[Account Code]=$B42)*(Budget[Date]=F$7),Budget[Amount]))</f>
        <v>0</v>
      </c>
      <c r="G42" s="319">
        <f t="array" ref="G42">SUM(IF((Budget[Sort Code]=$B$6)*(Budget[Account Code]=$B42)*(Budget[Date]=G$7),Budget[Amount]))</f>
        <v>0</v>
      </c>
      <c r="H42" s="319">
        <f t="array" ref="H42">SUM(IF((Budget[Sort Code]=$B$6)*(Budget[Account Code]=$B42)*(Budget[Date]=H$7),Budget[Amount]))</f>
        <v>0</v>
      </c>
      <c r="I42" s="319">
        <f t="array" ref="I42">SUM(IF((Budget[Sort Code]=$B$6)*(Budget[Account Code]=$B42)*(Budget[Date]=I$7),Budget[Amount]))</f>
        <v>0</v>
      </c>
      <c r="J42" s="319">
        <f t="array" ref="J42">SUM(IF((Budget[Sort Code]=$B$6)*(Budget[Account Code]=$B42)*(Budget[Date]=J$7),Budget[Amount]))</f>
        <v>0</v>
      </c>
      <c r="K42" s="319">
        <f t="array" ref="K42">SUM(IF((Budget[Sort Code]=$B$6)*(Budget[Account Code]=$B42)*(Budget[Date]=K$7),Budget[Amount]))</f>
        <v>0</v>
      </c>
      <c r="L42" s="319">
        <f t="array" ref="L42">SUM(IF((Budget[Sort Code]=$B$6)*(Budget[Account Code]=$B42)*(Budget[Date]=L$7),Budget[Amount]))</f>
        <v>0</v>
      </c>
      <c r="M42" s="319">
        <f t="array" ref="M42">SUM(IF((Budget[Sort Code]=$B$6)*(Budget[Account Code]=$B42)*(Budget[Date]=M$7),Budget[Amount]))</f>
        <v>0</v>
      </c>
      <c r="N42" s="319">
        <f t="array" ref="N42">SUM(IF((Budget[Sort Code]=$B$6)*(Budget[Account Code]=$B42)*(Budget[Date]=N$7),Budget[Amount]))</f>
        <v>0</v>
      </c>
      <c r="O42" s="319">
        <f t="array" ref="O42">SUM(IF((Budget[Sort Code]=$B$6)*(Budget[Account Code]=$B42)*(Budget[Date]=O$7),Budget[Amount]))</f>
        <v>0</v>
      </c>
      <c r="P42" s="319">
        <f t="shared" si="2"/>
        <v>0</v>
      </c>
    </row>
    <row r="43" spans="1:16" x14ac:dyDescent="0.25">
      <c r="A43" s="320" t="s">
        <v>870</v>
      </c>
      <c r="B43" s="317"/>
      <c r="C43" s="319">
        <f t="shared" si="0"/>
        <v>0</v>
      </c>
      <c r="D43" s="319">
        <f t="shared" ref="D43:O43" si="9">D25+D26+D27+D28+D29+D30+D33+D34+D41</f>
        <v>0</v>
      </c>
      <c r="E43" s="319">
        <f t="shared" si="9"/>
        <v>0</v>
      </c>
      <c r="F43" s="319">
        <f t="shared" si="9"/>
        <v>0</v>
      </c>
      <c r="G43" s="319">
        <f t="shared" si="9"/>
        <v>0</v>
      </c>
      <c r="H43" s="319">
        <f t="shared" si="9"/>
        <v>0</v>
      </c>
      <c r="I43" s="319">
        <f t="shared" si="9"/>
        <v>0</v>
      </c>
      <c r="J43" s="319">
        <f t="shared" si="9"/>
        <v>0</v>
      </c>
      <c r="K43" s="319">
        <f t="shared" si="9"/>
        <v>0</v>
      </c>
      <c r="L43" s="319">
        <f t="shared" si="9"/>
        <v>0</v>
      </c>
      <c r="M43" s="319">
        <f t="shared" si="9"/>
        <v>0</v>
      </c>
      <c r="N43" s="319">
        <f t="shared" si="9"/>
        <v>0</v>
      </c>
      <c r="O43" s="319">
        <f t="shared" si="9"/>
        <v>0</v>
      </c>
      <c r="P43" s="319">
        <f t="shared" si="2"/>
        <v>0</v>
      </c>
    </row>
    <row r="44" spans="1:16" x14ac:dyDescent="0.25">
      <c r="A44" s="322" t="s">
        <v>813</v>
      </c>
      <c r="B44" s="324"/>
      <c r="C44" s="322">
        <f t="shared" si="0"/>
        <v>0</v>
      </c>
      <c r="D44" s="322">
        <f t="shared" ref="D44:O44" si="10">D23+D43</f>
        <v>0</v>
      </c>
      <c r="E44" s="322">
        <f t="shared" si="10"/>
        <v>0</v>
      </c>
      <c r="F44" s="322">
        <f t="shared" si="10"/>
        <v>0</v>
      </c>
      <c r="G44" s="322">
        <f t="shared" si="10"/>
        <v>0</v>
      </c>
      <c r="H44" s="322">
        <f t="shared" si="10"/>
        <v>0</v>
      </c>
      <c r="I44" s="322">
        <f t="shared" si="10"/>
        <v>0</v>
      </c>
      <c r="J44" s="322">
        <f t="shared" si="10"/>
        <v>0</v>
      </c>
      <c r="K44" s="322">
        <f t="shared" si="10"/>
        <v>0</v>
      </c>
      <c r="L44" s="322">
        <f t="shared" si="10"/>
        <v>0</v>
      </c>
      <c r="M44" s="322">
        <f t="shared" si="10"/>
        <v>0</v>
      </c>
      <c r="N44" s="322">
        <f t="shared" si="10"/>
        <v>0</v>
      </c>
      <c r="O44" s="322">
        <f t="shared" si="10"/>
        <v>0</v>
      </c>
      <c r="P44" s="322">
        <f t="shared" si="2"/>
        <v>0</v>
      </c>
    </row>
    <row r="45" spans="1:16" x14ac:dyDescent="0.25">
      <c r="A45" s="320" t="s">
        <v>871</v>
      </c>
      <c r="B45" s="317"/>
      <c r="C45" s="319"/>
      <c r="D45" s="319"/>
      <c r="E45" s="319"/>
      <c r="F45" s="319"/>
      <c r="G45" s="319"/>
      <c r="H45" s="319"/>
      <c r="I45" s="319"/>
      <c r="J45" s="319"/>
      <c r="K45" s="319"/>
      <c r="L45" s="319"/>
      <c r="M45" s="319"/>
      <c r="N45" s="319"/>
      <c r="O45" s="319"/>
      <c r="P45" s="319">
        <f t="shared" si="2"/>
        <v>0</v>
      </c>
    </row>
    <row r="46" spans="1:16" x14ac:dyDescent="0.25">
      <c r="A46" s="320" t="s">
        <v>872</v>
      </c>
      <c r="B46" s="317"/>
      <c r="C46" s="319"/>
      <c r="D46" s="319"/>
      <c r="E46" s="319"/>
      <c r="F46" s="319"/>
      <c r="G46" s="319"/>
      <c r="H46" s="319"/>
      <c r="I46" s="319"/>
      <c r="J46" s="319"/>
      <c r="K46" s="319"/>
      <c r="L46" s="319"/>
      <c r="M46" s="319"/>
      <c r="N46" s="319"/>
      <c r="O46" s="319"/>
      <c r="P46" s="319">
        <f t="shared" si="2"/>
        <v>0</v>
      </c>
    </row>
    <row r="47" spans="1:16" s="171" customFormat="1" x14ac:dyDescent="0.25">
      <c r="A47" s="320" t="s">
        <v>873</v>
      </c>
      <c r="B47" s="317"/>
      <c r="C47" s="322">
        <f t="shared" ref="C47:C75" si="11">SUM(D47:O47)</f>
        <v>0</v>
      </c>
      <c r="D47" s="322">
        <f t="shared" ref="D47:O47" si="12">D48+D49</f>
        <v>0</v>
      </c>
      <c r="E47" s="322">
        <f t="shared" si="12"/>
        <v>0</v>
      </c>
      <c r="F47" s="322">
        <f t="shared" si="12"/>
        <v>0</v>
      </c>
      <c r="G47" s="322">
        <f t="shared" si="12"/>
        <v>0</v>
      </c>
      <c r="H47" s="322">
        <f t="shared" si="12"/>
        <v>0</v>
      </c>
      <c r="I47" s="322">
        <f t="shared" si="12"/>
        <v>0</v>
      </c>
      <c r="J47" s="322">
        <f t="shared" si="12"/>
        <v>0</v>
      </c>
      <c r="K47" s="322">
        <f t="shared" si="12"/>
        <v>0</v>
      </c>
      <c r="L47" s="322">
        <f t="shared" si="12"/>
        <v>0</v>
      </c>
      <c r="M47" s="322">
        <f t="shared" si="12"/>
        <v>0</v>
      </c>
      <c r="N47" s="322">
        <f t="shared" si="12"/>
        <v>0</v>
      </c>
      <c r="O47" s="322">
        <f t="shared" si="12"/>
        <v>0</v>
      </c>
      <c r="P47" s="322">
        <f t="shared" si="2"/>
        <v>0</v>
      </c>
    </row>
    <row r="48" spans="1:16" x14ac:dyDescent="0.25">
      <c r="A48" s="323" t="s">
        <v>874</v>
      </c>
      <c r="B48" s="317" t="s">
        <v>162</v>
      </c>
      <c r="C48" s="319">
        <f t="shared" si="11"/>
        <v>0</v>
      </c>
      <c r="D48" s="319">
        <f t="array" ref="D48">SUM(IF((Budget[Sort Code]=$B$6)*(Budget[Account Code]=$B48)*(Budget[Date]=D$7),Budget[Amount]))</f>
        <v>0</v>
      </c>
      <c r="E48" s="319">
        <f t="array" ref="E48">SUM(IF((Budget[Sort Code]=$B$6)*(Budget[Account Code]=$B48)*(Budget[Date]=E$7),Budget[Amount]))</f>
        <v>0</v>
      </c>
      <c r="F48" s="319">
        <f t="array" ref="F48">SUM(IF((Budget[Sort Code]=$B$6)*(Budget[Account Code]=$B48)*(Budget[Date]=F$7),Budget[Amount]))</f>
        <v>0</v>
      </c>
      <c r="G48" s="319">
        <f t="array" ref="G48">SUM(IF((Budget[Sort Code]=$B$6)*(Budget[Account Code]=$B48)*(Budget[Date]=G$7),Budget[Amount]))</f>
        <v>0</v>
      </c>
      <c r="H48" s="319">
        <f t="array" ref="H48">SUM(IF((Budget[Sort Code]=$B$6)*(Budget[Account Code]=$B48)*(Budget[Date]=H$7),Budget[Amount]))</f>
        <v>0</v>
      </c>
      <c r="I48" s="319">
        <f t="array" ref="I48">SUM(IF((Budget[Sort Code]=$B$6)*(Budget[Account Code]=$B48)*(Budget[Date]=I$7),Budget[Amount]))</f>
        <v>0</v>
      </c>
      <c r="J48" s="319">
        <f t="array" ref="J48">SUM(IF((Budget[Sort Code]=$B$6)*(Budget[Account Code]=$B48)*(Budget[Date]=J$7),Budget[Amount]))</f>
        <v>0</v>
      </c>
      <c r="K48" s="319">
        <f t="array" ref="K48">SUM(IF((Budget[Sort Code]=$B$6)*(Budget[Account Code]=$B48)*(Budget[Date]=K$7),Budget[Amount]))</f>
        <v>0</v>
      </c>
      <c r="L48" s="319">
        <f t="array" ref="L48">SUM(IF((Budget[Sort Code]=$B$6)*(Budget[Account Code]=$B48)*(Budget[Date]=L$7),Budget[Amount]))</f>
        <v>0</v>
      </c>
      <c r="M48" s="319">
        <f t="array" ref="M48">SUM(IF((Budget[Sort Code]=$B$6)*(Budget[Account Code]=$B48)*(Budget[Date]=M$7),Budget[Amount]))</f>
        <v>0</v>
      </c>
      <c r="N48" s="319">
        <f t="array" ref="N48">SUM(IF((Budget[Sort Code]=$B$6)*(Budget[Account Code]=$B48)*(Budget[Date]=N$7),Budget[Amount]))</f>
        <v>0</v>
      </c>
      <c r="O48" s="319">
        <f t="array" ref="O48">SUM(IF((Budget[Sort Code]=$B$6)*(Budget[Account Code]=$B48)*(Budget[Date]=O$7),Budget[Amount]))</f>
        <v>0</v>
      </c>
      <c r="P48" s="319">
        <f t="shared" si="2"/>
        <v>0</v>
      </c>
    </row>
    <row r="49" spans="1:16" x14ac:dyDescent="0.25">
      <c r="A49" s="323" t="s">
        <v>875</v>
      </c>
      <c r="B49" s="317" t="s">
        <v>163</v>
      </c>
      <c r="C49" s="319">
        <f t="shared" si="11"/>
        <v>0</v>
      </c>
      <c r="D49" s="319">
        <f t="array" ref="D49">SUM(IF((Budget[Sort Code]=$B$6)*(Budget[Account Code]=$B49)*(Budget[Date]=D$7),Budget[Amount]))</f>
        <v>0</v>
      </c>
      <c r="E49" s="319">
        <f t="array" ref="E49">SUM(IF((Budget[Sort Code]=$B$6)*(Budget[Account Code]=$B49)*(Budget[Date]=E$7),Budget[Amount]))</f>
        <v>0</v>
      </c>
      <c r="F49" s="319">
        <f t="array" ref="F49">SUM(IF((Budget[Sort Code]=$B$6)*(Budget[Account Code]=$B49)*(Budget[Date]=F$7),Budget[Amount]))</f>
        <v>0</v>
      </c>
      <c r="G49" s="319">
        <f t="array" ref="G49">SUM(IF((Budget[Sort Code]=$B$6)*(Budget[Account Code]=$B49)*(Budget[Date]=G$7),Budget[Amount]))</f>
        <v>0</v>
      </c>
      <c r="H49" s="319">
        <f t="array" ref="H49">SUM(IF((Budget[Sort Code]=$B$6)*(Budget[Account Code]=$B49)*(Budget[Date]=H$7),Budget[Amount]))</f>
        <v>0</v>
      </c>
      <c r="I49" s="319">
        <f t="array" ref="I49">SUM(IF((Budget[Sort Code]=$B$6)*(Budget[Account Code]=$B49)*(Budget[Date]=I$7),Budget[Amount]))</f>
        <v>0</v>
      </c>
      <c r="J49" s="319">
        <f t="array" ref="J49">SUM(IF((Budget[Sort Code]=$B$6)*(Budget[Account Code]=$B49)*(Budget[Date]=J$7),Budget[Amount]))</f>
        <v>0</v>
      </c>
      <c r="K49" s="319">
        <f t="array" ref="K49">SUM(IF((Budget[Sort Code]=$B$6)*(Budget[Account Code]=$B49)*(Budget[Date]=K$7),Budget[Amount]))</f>
        <v>0</v>
      </c>
      <c r="L49" s="319">
        <f t="array" ref="L49">SUM(IF((Budget[Sort Code]=$B$6)*(Budget[Account Code]=$B49)*(Budget[Date]=L$7),Budget[Amount]))</f>
        <v>0</v>
      </c>
      <c r="M49" s="319">
        <f t="array" ref="M49">SUM(IF((Budget[Sort Code]=$B$6)*(Budget[Account Code]=$B49)*(Budget[Date]=M$7),Budget[Amount]))</f>
        <v>0</v>
      </c>
      <c r="N49" s="319">
        <f t="array" ref="N49">SUM(IF((Budget[Sort Code]=$B$6)*(Budget[Account Code]=$B49)*(Budget[Date]=N$7),Budget[Amount]))</f>
        <v>0</v>
      </c>
      <c r="O49" s="319">
        <f t="array" ref="O49">SUM(IF((Budget[Sort Code]=$B$6)*(Budget[Account Code]=$B49)*(Budget[Date]=O$7),Budget[Amount]))</f>
        <v>0</v>
      </c>
      <c r="P49" s="319">
        <f t="shared" si="2"/>
        <v>0</v>
      </c>
    </row>
    <row r="50" spans="1:16" s="171" customFormat="1" x14ac:dyDescent="0.25">
      <c r="A50" s="320" t="s">
        <v>876</v>
      </c>
      <c r="B50" s="317"/>
      <c r="C50" s="322">
        <f t="shared" si="11"/>
        <v>0</v>
      </c>
      <c r="D50" s="322">
        <f>SUM(D51:D64)</f>
        <v>0</v>
      </c>
      <c r="E50" s="322">
        <f t="shared" ref="E50:O50" si="13">SUM(E51:E64)</f>
        <v>0</v>
      </c>
      <c r="F50" s="322">
        <f t="shared" si="13"/>
        <v>0</v>
      </c>
      <c r="G50" s="322">
        <f t="shared" si="13"/>
        <v>0</v>
      </c>
      <c r="H50" s="322">
        <f t="shared" si="13"/>
        <v>0</v>
      </c>
      <c r="I50" s="322">
        <f t="shared" si="13"/>
        <v>0</v>
      </c>
      <c r="J50" s="322">
        <f t="shared" si="13"/>
        <v>0</v>
      </c>
      <c r="K50" s="322">
        <f t="shared" si="13"/>
        <v>0</v>
      </c>
      <c r="L50" s="322">
        <f t="shared" si="13"/>
        <v>0</v>
      </c>
      <c r="M50" s="322">
        <f t="shared" si="13"/>
        <v>0</v>
      </c>
      <c r="N50" s="322">
        <f t="shared" si="13"/>
        <v>0</v>
      </c>
      <c r="O50" s="322">
        <f t="shared" si="13"/>
        <v>0</v>
      </c>
      <c r="P50" s="322">
        <f t="shared" si="2"/>
        <v>0</v>
      </c>
    </row>
    <row r="51" spans="1:16" x14ac:dyDescent="0.25">
      <c r="A51" s="325" t="s">
        <v>877</v>
      </c>
      <c r="B51" s="317" t="s">
        <v>164</v>
      </c>
      <c r="C51" s="319">
        <f t="shared" si="11"/>
        <v>0</v>
      </c>
      <c r="D51" s="319">
        <f t="array" ref="D51">SUM(IF((Budget[Sort Code]=$B$6)*(Budget[Account Code]=$B51)*(Budget[Date]=D$7),Budget[Amount]))</f>
        <v>0</v>
      </c>
      <c r="E51" s="319">
        <f t="array" ref="E51">SUM(IF((Budget[Sort Code]=$B$6)*(Budget[Account Code]=$B51)*(Budget[Date]=E$7),Budget[Amount]))</f>
        <v>0</v>
      </c>
      <c r="F51" s="319">
        <f t="array" ref="F51">SUM(IF((Budget[Sort Code]=$B$6)*(Budget[Account Code]=$B51)*(Budget[Date]=F$7),Budget[Amount]))</f>
        <v>0</v>
      </c>
      <c r="G51" s="319">
        <f t="array" ref="G51">SUM(IF((Budget[Sort Code]=$B$6)*(Budget[Account Code]=$B51)*(Budget[Date]=G$7),Budget[Amount]))</f>
        <v>0</v>
      </c>
      <c r="H51" s="319">
        <f t="array" ref="H51">SUM(IF((Budget[Sort Code]=$B$6)*(Budget[Account Code]=$B51)*(Budget[Date]=H$7),Budget[Amount]))</f>
        <v>0</v>
      </c>
      <c r="I51" s="319">
        <f t="array" ref="I51">SUM(IF((Budget[Sort Code]=$B$6)*(Budget[Account Code]=$B51)*(Budget[Date]=I$7),Budget[Amount]))</f>
        <v>0</v>
      </c>
      <c r="J51" s="319">
        <f t="array" ref="J51">SUM(IF((Budget[Sort Code]=$B$6)*(Budget[Account Code]=$B51)*(Budget[Date]=J$7),Budget[Amount]))</f>
        <v>0</v>
      </c>
      <c r="K51" s="319">
        <f t="array" ref="K51">SUM(IF((Budget[Sort Code]=$B$6)*(Budget[Account Code]=$B51)*(Budget[Date]=K$7),Budget[Amount]))</f>
        <v>0</v>
      </c>
      <c r="L51" s="319">
        <f t="array" ref="L51">SUM(IF((Budget[Sort Code]=$B$6)*(Budget[Account Code]=$B51)*(Budget[Date]=L$7),Budget[Amount]))</f>
        <v>0</v>
      </c>
      <c r="M51" s="319">
        <f t="array" ref="M51">SUM(IF((Budget[Sort Code]=$B$6)*(Budget[Account Code]=$B51)*(Budget[Date]=M$7),Budget[Amount]))</f>
        <v>0</v>
      </c>
      <c r="N51" s="319">
        <f t="array" ref="N51">SUM(IF((Budget[Sort Code]=$B$6)*(Budget[Account Code]=$B51)*(Budget[Date]=N$7),Budget[Amount]))</f>
        <v>0</v>
      </c>
      <c r="O51" s="319">
        <f t="array" ref="O51">SUM(IF((Budget[Sort Code]=$B$6)*(Budget[Account Code]=$B51)*(Budget[Date]=O$7),Budget[Amount]))</f>
        <v>0</v>
      </c>
      <c r="P51" s="319">
        <f t="shared" si="2"/>
        <v>0</v>
      </c>
    </row>
    <row r="52" spans="1:16" x14ac:dyDescent="0.25">
      <c r="A52" s="325" t="s">
        <v>878</v>
      </c>
      <c r="B52" s="317" t="s">
        <v>165</v>
      </c>
      <c r="C52" s="319">
        <f t="shared" si="11"/>
        <v>0</v>
      </c>
      <c r="D52" s="319">
        <f t="array" ref="D52">SUM(IF((Budget[Sort Code]=$B$6)*(Budget[Account Code]=$B52)*(Budget[Date]=D$7),Budget[Amount]))</f>
        <v>0</v>
      </c>
      <c r="E52" s="319">
        <f t="array" ref="E52">SUM(IF((Budget[Sort Code]=$B$6)*(Budget[Account Code]=$B52)*(Budget[Date]=E$7),Budget[Amount]))</f>
        <v>0</v>
      </c>
      <c r="F52" s="319">
        <f t="array" ref="F52">SUM(IF((Budget[Sort Code]=$B$6)*(Budget[Account Code]=$B52)*(Budget[Date]=F$7),Budget[Amount]))</f>
        <v>0</v>
      </c>
      <c r="G52" s="319">
        <f t="array" ref="G52">SUM(IF((Budget[Sort Code]=$B$6)*(Budget[Account Code]=$B52)*(Budget[Date]=G$7),Budget[Amount]))</f>
        <v>0</v>
      </c>
      <c r="H52" s="319">
        <f t="array" ref="H52">SUM(IF((Budget[Sort Code]=$B$6)*(Budget[Account Code]=$B52)*(Budget[Date]=H$7),Budget[Amount]))</f>
        <v>0</v>
      </c>
      <c r="I52" s="319">
        <f t="array" ref="I52">SUM(IF((Budget[Sort Code]=$B$6)*(Budget[Account Code]=$B52)*(Budget[Date]=I$7),Budget[Amount]))</f>
        <v>0</v>
      </c>
      <c r="J52" s="319">
        <f t="array" ref="J52">SUM(IF((Budget[Sort Code]=$B$6)*(Budget[Account Code]=$B52)*(Budget[Date]=J$7),Budget[Amount]))</f>
        <v>0</v>
      </c>
      <c r="K52" s="319">
        <f t="array" ref="K52">SUM(IF((Budget[Sort Code]=$B$6)*(Budget[Account Code]=$B52)*(Budget[Date]=K$7),Budget[Amount]))</f>
        <v>0</v>
      </c>
      <c r="L52" s="319">
        <f t="array" ref="L52">SUM(IF((Budget[Sort Code]=$B$6)*(Budget[Account Code]=$B52)*(Budget[Date]=L$7),Budget[Amount]))</f>
        <v>0</v>
      </c>
      <c r="M52" s="319">
        <f t="array" ref="M52">SUM(IF((Budget[Sort Code]=$B$6)*(Budget[Account Code]=$B52)*(Budget[Date]=M$7),Budget[Amount]))</f>
        <v>0</v>
      </c>
      <c r="N52" s="319">
        <f t="array" ref="N52">SUM(IF((Budget[Sort Code]=$B$6)*(Budget[Account Code]=$B52)*(Budget[Date]=N$7),Budget[Amount]))</f>
        <v>0</v>
      </c>
      <c r="O52" s="319">
        <f t="array" ref="O52">SUM(IF((Budget[Sort Code]=$B$6)*(Budget[Account Code]=$B52)*(Budget[Date]=O$7),Budget[Amount]))</f>
        <v>0</v>
      </c>
      <c r="P52" s="319">
        <f t="shared" si="2"/>
        <v>0</v>
      </c>
    </row>
    <row r="53" spans="1:16" x14ac:dyDescent="0.25">
      <c r="A53" s="325" t="s">
        <v>879</v>
      </c>
      <c r="B53" s="317" t="s">
        <v>166</v>
      </c>
      <c r="C53" s="319">
        <f t="shared" si="11"/>
        <v>0</v>
      </c>
      <c r="D53" s="319">
        <f t="array" ref="D53">SUM(IF((Budget[Sort Code]=$B$6)*(Budget[Account Code]=$B53)*(Budget[Date]=D$7),Budget[Amount]))</f>
        <v>0</v>
      </c>
      <c r="E53" s="319">
        <f t="array" ref="E53">SUM(IF((Budget[Sort Code]=$B$6)*(Budget[Account Code]=$B53)*(Budget[Date]=E$7),Budget[Amount]))</f>
        <v>0</v>
      </c>
      <c r="F53" s="319">
        <f t="array" ref="F53">SUM(IF((Budget[Sort Code]=$B$6)*(Budget[Account Code]=$B53)*(Budget[Date]=F$7),Budget[Amount]))</f>
        <v>0</v>
      </c>
      <c r="G53" s="319">
        <f t="array" ref="G53">SUM(IF((Budget[Sort Code]=$B$6)*(Budget[Account Code]=$B53)*(Budget[Date]=G$7),Budget[Amount]))</f>
        <v>0</v>
      </c>
      <c r="H53" s="319">
        <f t="array" ref="H53">SUM(IF((Budget[Sort Code]=$B$6)*(Budget[Account Code]=$B53)*(Budget[Date]=H$7),Budget[Amount]))</f>
        <v>0</v>
      </c>
      <c r="I53" s="319">
        <f t="array" ref="I53">SUM(IF((Budget[Sort Code]=$B$6)*(Budget[Account Code]=$B53)*(Budget[Date]=I$7),Budget[Amount]))</f>
        <v>0</v>
      </c>
      <c r="J53" s="319">
        <f t="array" ref="J53">SUM(IF((Budget[Sort Code]=$B$6)*(Budget[Account Code]=$B53)*(Budget[Date]=J$7),Budget[Amount]))</f>
        <v>0</v>
      </c>
      <c r="K53" s="319">
        <f t="array" ref="K53">SUM(IF((Budget[Sort Code]=$B$6)*(Budget[Account Code]=$B53)*(Budget[Date]=K$7),Budget[Amount]))</f>
        <v>0</v>
      </c>
      <c r="L53" s="319">
        <f t="array" ref="L53">SUM(IF((Budget[Sort Code]=$B$6)*(Budget[Account Code]=$B53)*(Budget[Date]=L$7),Budget[Amount]))</f>
        <v>0</v>
      </c>
      <c r="M53" s="319">
        <f t="array" ref="M53">SUM(IF((Budget[Sort Code]=$B$6)*(Budget[Account Code]=$B53)*(Budget[Date]=M$7),Budget[Amount]))</f>
        <v>0</v>
      </c>
      <c r="N53" s="319">
        <f t="array" ref="N53">SUM(IF((Budget[Sort Code]=$B$6)*(Budget[Account Code]=$B53)*(Budget[Date]=N$7),Budget[Amount]))</f>
        <v>0</v>
      </c>
      <c r="O53" s="319">
        <f t="array" ref="O53">SUM(IF((Budget[Sort Code]=$B$6)*(Budget[Account Code]=$B53)*(Budget[Date]=O$7),Budget[Amount]))</f>
        <v>0</v>
      </c>
      <c r="P53" s="319">
        <f t="shared" si="2"/>
        <v>0</v>
      </c>
    </row>
    <row r="54" spans="1:16" x14ac:dyDescent="0.25">
      <c r="A54" s="325" t="s">
        <v>880</v>
      </c>
      <c r="B54" s="317" t="s">
        <v>167</v>
      </c>
      <c r="C54" s="319">
        <f t="shared" si="11"/>
        <v>0</v>
      </c>
      <c r="D54" s="319">
        <f t="array" ref="D54">SUM(IF((Budget[Sort Code]=$B$6)*(Budget[Account Code]=$B54)*(Budget[Date]=D$7),Budget[Amount]))</f>
        <v>0</v>
      </c>
      <c r="E54" s="319">
        <f t="array" ref="E54">SUM(IF((Budget[Sort Code]=$B$6)*(Budget[Account Code]=$B54)*(Budget[Date]=E$7),Budget[Amount]))</f>
        <v>0</v>
      </c>
      <c r="F54" s="319">
        <f t="array" ref="F54">SUM(IF((Budget[Sort Code]=$B$6)*(Budget[Account Code]=$B54)*(Budget[Date]=F$7),Budget[Amount]))</f>
        <v>0</v>
      </c>
      <c r="G54" s="319">
        <f t="array" ref="G54">SUM(IF((Budget[Sort Code]=$B$6)*(Budget[Account Code]=$B54)*(Budget[Date]=G$7),Budget[Amount]))</f>
        <v>0</v>
      </c>
      <c r="H54" s="319">
        <f t="array" ref="H54">SUM(IF((Budget[Sort Code]=$B$6)*(Budget[Account Code]=$B54)*(Budget[Date]=H$7),Budget[Amount]))</f>
        <v>0</v>
      </c>
      <c r="I54" s="319">
        <f t="array" ref="I54">SUM(IF((Budget[Sort Code]=$B$6)*(Budget[Account Code]=$B54)*(Budget[Date]=I$7),Budget[Amount]))</f>
        <v>0</v>
      </c>
      <c r="J54" s="319">
        <f t="array" ref="J54">SUM(IF((Budget[Sort Code]=$B$6)*(Budget[Account Code]=$B54)*(Budget[Date]=J$7),Budget[Amount]))</f>
        <v>0</v>
      </c>
      <c r="K54" s="319">
        <f t="array" ref="K54">SUM(IF((Budget[Sort Code]=$B$6)*(Budget[Account Code]=$B54)*(Budget[Date]=K$7),Budget[Amount]))</f>
        <v>0</v>
      </c>
      <c r="L54" s="319">
        <f t="array" ref="L54">SUM(IF((Budget[Sort Code]=$B$6)*(Budget[Account Code]=$B54)*(Budget[Date]=L$7),Budget[Amount]))</f>
        <v>0</v>
      </c>
      <c r="M54" s="319">
        <f t="array" ref="M54">SUM(IF((Budget[Sort Code]=$B$6)*(Budget[Account Code]=$B54)*(Budget[Date]=M$7),Budget[Amount]))</f>
        <v>0</v>
      </c>
      <c r="N54" s="319">
        <f t="array" ref="N54">SUM(IF((Budget[Sort Code]=$B$6)*(Budget[Account Code]=$B54)*(Budget[Date]=N$7),Budget[Amount]))</f>
        <v>0</v>
      </c>
      <c r="O54" s="319">
        <f t="array" ref="O54">SUM(IF((Budget[Sort Code]=$B$6)*(Budget[Account Code]=$B54)*(Budget[Date]=O$7),Budget[Amount]))</f>
        <v>0</v>
      </c>
      <c r="P54" s="319">
        <f t="shared" si="2"/>
        <v>0</v>
      </c>
    </row>
    <row r="55" spans="1:16" x14ac:dyDescent="0.25">
      <c r="A55" s="325" t="s">
        <v>881</v>
      </c>
      <c r="B55" s="317" t="s">
        <v>171</v>
      </c>
      <c r="C55" s="319">
        <f t="shared" si="11"/>
        <v>0</v>
      </c>
      <c r="D55" s="319">
        <f t="array" ref="D55">SUM(IF((Budget[Sort Code]=$B$6)*(Budget[Account Code]=$B55)*(Budget[Date]=D$7),Budget[Amount]))</f>
        <v>0</v>
      </c>
      <c r="E55" s="319">
        <f t="array" ref="E55">SUM(IF((Budget[Sort Code]=$B$6)*(Budget[Account Code]=$B55)*(Budget[Date]=E$7),Budget[Amount]))</f>
        <v>0</v>
      </c>
      <c r="F55" s="319">
        <f t="array" ref="F55">SUM(IF((Budget[Sort Code]=$B$6)*(Budget[Account Code]=$B55)*(Budget[Date]=F$7),Budget[Amount]))</f>
        <v>0</v>
      </c>
      <c r="G55" s="319">
        <f t="array" ref="G55">SUM(IF((Budget[Sort Code]=$B$6)*(Budget[Account Code]=$B55)*(Budget[Date]=G$7),Budget[Amount]))</f>
        <v>0</v>
      </c>
      <c r="H55" s="319">
        <f t="array" ref="H55">SUM(IF((Budget[Sort Code]=$B$6)*(Budget[Account Code]=$B55)*(Budget[Date]=H$7),Budget[Amount]))</f>
        <v>0</v>
      </c>
      <c r="I55" s="319">
        <f t="array" ref="I55">SUM(IF((Budget[Sort Code]=$B$6)*(Budget[Account Code]=$B55)*(Budget[Date]=I$7),Budget[Amount]))</f>
        <v>0</v>
      </c>
      <c r="J55" s="319">
        <f t="array" ref="J55">SUM(IF((Budget[Sort Code]=$B$6)*(Budget[Account Code]=$B55)*(Budget[Date]=J$7),Budget[Amount]))</f>
        <v>0</v>
      </c>
      <c r="K55" s="319">
        <f t="array" ref="K55">SUM(IF((Budget[Sort Code]=$B$6)*(Budget[Account Code]=$B55)*(Budget[Date]=K$7),Budget[Amount]))</f>
        <v>0</v>
      </c>
      <c r="L55" s="319">
        <f t="array" ref="L55">SUM(IF((Budget[Sort Code]=$B$6)*(Budget[Account Code]=$B55)*(Budget[Date]=L$7),Budget[Amount]))</f>
        <v>0</v>
      </c>
      <c r="M55" s="319">
        <f t="array" ref="M55">SUM(IF((Budget[Sort Code]=$B$6)*(Budget[Account Code]=$B55)*(Budget[Date]=M$7),Budget[Amount]))</f>
        <v>0</v>
      </c>
      <c r="N55" s="319">
        <f t="array" ref="N55">SUM(IF((Budget[Sort Code]=$B$6)*(Budget[Account Code]=$B55)*(Budget[Date]=N$7),Budget[Amount]))</f>
        <v>0</v>
      </c>
      <c r="O55" s="319">
        <f t="array" ref="O55">SUM(IF((Budget[Sort Code]=$B$6)*(Budget[Account Code]=$B55)*(Budget[Date]=O$7),Budget[Amount]))</f>
        <v>0</v>
      </c>
      <c r="P55" s="319">
        <f t="shared" si="2"/>
        <v>0</v>
      </c>
    </row>
    <row r="56" spans="1:16" x14ac:dyDescent="0.25">
      <c r="A56" s="325" t="s">
        <v>882</v>
      </c>
      <c r="B56" s="317" t="s">
        <v>173</v>
      </c>
      <c r="C56" s="319">
        <f t="shared" si="11"/>
        <v>0</v>
      </c>
      <c r="D56" s="319">
        <f t="array" ref="D56">SUM(IF((Budget[Sort Code]=$B$6)*(Budget[Account Code]=$B56)*(Budget[Date]=D$7),Budget[Amount]))</f>
        <v>0</v>
      </c>
      <c r="E56" s="319">
        <f t="array" ref="E56">SUM(IF((Budget[Sort Code]=$B$6)*(Budget[Account Code]=$B56)*(Budget[Date]=E$7),Budget[Amount]))</f>
        <v>0</v>
      </c>
      <c r="F56" s="319">
        <f t="array" ref="F56">SUM(IF((Budget[Sort Code]=$B$6)*(Budget[Account Code]=$B56)*(Budget[Date]=F$7),Budget[Amount]))</f>
        <v>0</v>
      </c>
      <c r="G56" s="319">
        <f t="array" ref="G56">SUM(IF((Budget[Sort Code]=$B$6)*(Budget[Account Code]=$B56)*(Budget[Date]=G$7),Budget[Amount]))</f>
        <v>0</v>
      </c>
      <c r="H56" s="319">
        <f t="array" ref="H56">SUM(IF((Budget[Sort Code]=$B$6)*(Budget[Account Code]=$B56)*(Budget[Date]=H$7),Budget[Amount]))</f>
        <v>0</v>
      </c>
      <c r="I56" s="319">
        <f t="array" ref="I56">SUM(IF((Budget[Sort Code]=$B$6)*(Budget[Account Code]=$B56)*(Budget[Date]=I$7),Budget[Amount]))</f>
        <v>0</v>
      </c>
      <c r="J56" s="319">
        <f t="array" ref="J56">SUM(IF((Budget[Sort Code]=$B$6)*(Budget[Account Code]=$B56)*(Budget[Date]=J$7),Budget[Amount]))</f>
        <v>0</v>
      </c>
      <c r="K56" s="319">
        <f t="array" ref="K56">SUM(IF((Budget[Sort Code]=$B$6)*(Budget[Account Code]=$B56)*(Budget[Date]=K$7),Budget[Amount]))</f>
        <v>0</v>
      </c>
      <c r="L56" s="319">
        <f t="array" ref="L56">SUM(IF((Budget[Sort Code]=$B$6)*(Budget[Account Code]=$B56)*(Budget[Date]=L$7),Budget[Amount]))</f>
        <v>0</v>
      </c>
      <c r="M56" s="319">
        <f t="array" ref="M56">SUM(IF((Budget[Sort Code]=$B$6)*(Budget[Account Code]=$B56)*(Budget[Date]=M$7),Budget[Amount]))</f>
        <v>0</v>
      </c>
      <c r="N56" s="319">
        <f t="array" ref="N56">SUM(IF((Budget[Sort Code]=$B$6)*(Budget[Account Code]=$B56)*(Budget[Date]=N$7),Budget[Amount]))</f>
        <v>0</v>
      </c>
      <c r="O56" s="319">
        <f t="array" ref="O56">SUM(IF((Budget[Sort Code]=$B$6)*(Budget[Account Code]=$B56)*(Budget[Date]=O$7),Budget[Amount]))</f>
        <v>0</v>
      </c>
      <c r="P56" s="319">
        <f t="shared" si="2"/>
        <v>0</v>
      </c>
    </row>
    <row r="57" spans="1:16" x14ac:dyDescent="0.25">
      <c r="A57" s="325" t="s">
        <v>883</v>
      </c>
      <c r="B57" s="317" t="s">
        <v>7</v>
      </c>
      <c r="C57" s="319">
        <f t="shared" si="11"/>
        <v>0</v>
      </c>
      <c r="D57" s="319">
        <f t="array" ref="D57">SUM(IF((Budget[Sort Code]=$B$6)*(Budget[Account Code]=$B57)*(Budget[Date]=D$7),Budget[Amount]))</f>
        <v>0</v>
      </c>
      <c r="E57" s="319">
        <f t="array" ref="E57">SUM(IF((Budget[Sort Code]=$B$6)*(Budget[Account Code]=$B57)*(Budget[Date]=E$7),Budget[Amount]))</f>
        <v>0</v>
      </c>
      <c r="F57" s="319">
        <f t="array" ref="F57">SUM(IF((Budget[Sort Code]=$B$6)*(Budget[Account Code]=$B57)*(Budget[Date]=F$7),Budget[Amount]))</f>
        <v>0</v>
      </c>
      <c r="G57" s="319">
        <f t="array" ref="G57">SUM(IF((Budget[Sort Code]=$B$6)*(Budget[Account Code]=$B57)*(Budget[Date]=G$7),Budget[Amount]))</f>
        <v>0</v>
      </c>
      <c r="H57" s="319">
        <f t="array" ref="H57">SUM(IF((Budget[Sort Code]=$B$6)*(Budget[Account Code]=$B57)*(Budget[Date]=H$7),Budget[Amount]))</f>
        <v>0</v>
      </c>
      <c r="I57" s="319">
        <f t="array" ref="I57">SUM(IF((Budget[Sort Code]=$B$6)*(Budget[Account Code]=$B57)*(Budget[Date]=I$7),Budget[Amount]))</f>
        <v>0</v>
      </c>
      <c r="J57" s="319">
        <f t="array" ref="J57">SUM(IF((Budget[Sort Code]=$B$6)*(Budget[Account Code]=$B57)*(Budget[Date]=J$7),Budget[Amount]))</f>
        <v>0</v>
      </c>
      <c r="K57" s="319">
        <f t="array" ref="K57">SUM(IF((Budget[Sort Code]=$B$6)*(Budget[Account Code]=$B57)*(Budget[Date]=K$7),Budget[Amount]))</f>
        <v>0</v>
      </c>
      <c r="L57" s="319">
        <f t="array" ref="L57">SUM(IF((Budget[Sort Code]=$B$6)*(Budget[Account Code]=$B57)*(Budget[Date]=L$7),Budget[Amount]))</f>
        <v>0</v>
      </c>
      <c r="M57" s="319">
        <f t="array" ref="M57">SUM(IF((Budget[Sort Code]=$B$6)*(Budget[Account Code]=$B57)*(Budget[Date]=M$7),Budget[Amount]))</f>
        <v>0</v>
      </c>
      <c r="N57" s="319">
        <f t="array" ref="N57">SUM(IF((Budget[Sort Code]=$B$6)*(Budget[Account Code]=$B57)*(Budget[Date]=N$7),Budget[Amount]))</f>
        <v>0</v>
      </c>
      <c r="O57" s="319">
        <f t="array" ref="O57">SUM(IF((Budget[Sort Code]=$B$6)*(Budget[Account Code]=$B57)*(Budget[Date]=O$7),Budget[Amount]))</f>
        <v>0</v>
      </c>
      <c r="P57" s="319">
        <f t="shared" si="2"/>
        <v>0</v>
      </c>
    </row>
    <row r="58" spans="1:16" x14ac:dyDescent="0.25">
      <c r="A58" s="325" t="s">
        <v>884</v>
      </c>
      <c r="B58" s="317" t="s">
        <v>5</v>
      </c>
      <c r="C58" s="319">
        <f t="shared" si="11"/>
        <v>0</v>
      </c>
      <c r="D58" s="319">
        <f t="array" ref="D58">SUM(IF((Budget[Sort Code]=$B$6)*(Budget[Account Code]=$B58)*(Budget[Date]=D$7),Budget[Amount]))</f>
        <v>0</v>
      </c>
      <c r="E58" s="319">
        <f t="array" ref="E58">SUM(IF((Budget[Sort Code]=$B$6)*(Budget[Account Code]=$B58)*(Budget[Date]=E$7),Budget[Amount]))</f>
        <v>0</v>
      </c>
      <c r="F58" s="319">
        <f t="array" ref="F58">SUM(IF((Budget[Sort Code]=$B$6)*(Budget[Account Code]=$B58)*(Budget[Date]=F$7),Budget[Amount]))</f>
        <v>0</v>
      </c>
      <c r="G58" s="319">
        <f t="array" ref="G58">SUM(IF((Budget[Sort Code]=$B$6)*(Budget[Account Code]=$B58)*(Budget[Date]=G$7),Budget[Amount]))</f>
        <v>0</v>
      </c>
      <c r="H58" s="319">
        <f t="array" ref="H58">SUM(IF((Budget[Sort Code]=$B$6)*(Budget[Account Code]=$B58)*(Budget[Date]=H$7),Budget[Amount]))</f>
        <v>0</v>
      </c>
      <c r="I58" s="319">
        <f t="array" ref="I58">SUM(IF((Budget[Sort Code]=$B$6)*(Budget[Account Code]=$B58)*(Budget[Date]=I$7),Budget[Amount]))</f>
        <v>0</v>
      </c>
      <c r="J58" s="319">
        <f t="array" ref="J58">SUM(IF((Budget[Sort Code]=$B$6)*(Budget[Account Code]=$B58)*(Budget[Date]=J$7),Budget[Amount]))</f>
        <v>0</v>
      </c>
      <c r="K58" s="319">
        <f t="array" ref="K58">SUM(IF((Budget[Sort Code]=$B$6)*(Budget[Account Code]=$B58)*(Budget[Date]=K$7),Budget[Amount]))</f>
        <v>0</v>
      </c>
      <c r="L58" s="319">
        <f t="array" ref="L58">SUM(IF((Budget[Sort Code]=$B$6)*(Budget[Account Code]=$B58)*(Budget[Date]=L$7),Budget[Amount]))</f>
        <v>0</v>
      </c>
      <c r="M58" s="319">
        <f t="array" ref="M58">SUM(IF((Budget[Sort Code]=$B$6)*(Budget[Account Code]=$B58)*(Budget[Date]=M$7),Budget[Amount]))</f>
        <v>0</v>
      </c>
      <c r="N58" s="319">
        <f t="array" ref="N58">SUM(IF((Budget[Sort Code]=$B$6)*(Budget[Account Code]=$B58)*(Budget[Date]=N$7),Budget[Amount]))</f>
        <v>0</v>
      </c>
      <c r="O58" s="319">
        <f t="array" ref="O58">SUM(IF((Budget[Sort Code]=$B$6)*(Budget[Account Code]=$B58)*(Budget[Date]=O$7),Budget[Amount]))</f>
        <v>0</v>
      </c>
      <c r="P58" s="319">
        <f t="shared" si="2"/>
        <v>0</v>
      </c>
    </row>
    <row r="59" spans="1:16" x14ac:dyDescent="0.25">
      <c r="A59" s="325" t="s">
        <v>885</v>
      </c>
      <c r="B59" s="317" t="s">
        <v>6</v>
      </c>
      <c r="C59" s="319">
        <f t="shared" si="11"/>
        <v>0</v>
      </c>
      <c r="D59" s="319">
        <f t="array" ref="D59">SUM(IF((Budget[Sort Code]=$B$6)*(Budget[Account Code]=$B59)*(Budget[Date]=D$7),Budget[Amount]))</f>
        <v>0</v>
      </c>
      <c r="E59" s="319">
        <f t="array" ref="E59">SUM(IF((Budget[Sort Code]=$B$6)*(Budget[Account Code]=$B59)*(Budget[Date]=E$7),Budget[Amount]))</f>
        <v>0</v>
      </c>
      <c r="F59" s="319">
        <f t="array" ref="F59">SUM(IF((Budget[Sort Code]=$B$6)*(Budget[Account Code]=$B59)*(Budget[Date]=F$7),Budget[Amount]))</f>
        <v>0</v>
      </c>
      <c r="G59" s="319">
        <f t="array" ref="G59">SUM(IF((Budget[Sort Code]=$B$6)*(Budget[Account Code]=$B59)*(Budget[Date]=G$7),Budget[Amount]))</f>
        <v>0</v>
      </c>
      <c r="H59" s="319">
        <f t="array" ref="H59">SUM(IF((Budget[Sort Code]=$B$6)*(Budget[Account Code]=$B59)*(Budget[Date]=H$7),Budget[Amount]))</f>
        <v>0</v>
      </c>
      <c r="I59" s="319">
        <f t="array" ref="I59">SUM(IF((Budget[Sort Code]=$B$6)*(Budget[Account Code]=$B59)*(Budget[Date]=I$7),Budget[Amount]))</f>
        <v>0</v>
      </c>
      <c r="J59" s="319">
        <f t="array" ref="J59">SUM(IF((Budget[Sort Code]=$B$6)*(Budget[Account Code]=$B59)*(Budget[Date]=J$7),Budget[Amount]))</f>
        <v>0</v>
      </c>
      <c r="K59" s="319">
        <f t="array" ref="K59">SUM(IF((Budget[Sort Code]=$B$6)*(Budget[Account Code]=$B59)*(Budget[Date]=K$7),Budget[Amount]))</f>
        <v>0</v>
      </c>
      <c r="L59" s="319">
        <f t="array" ref="L59">SUM(IF((Budget[Sort Code]=$B$6)*(Budget[Account Code]=$B59)*(Budget[Date]=L$7),Budget[Amount]))</f>
        <v>0</v>
      </c>
      <c r="M59" s="319">
        <f t="array" ref="M59">SUM(IF((Budget[Sort Code]=$B$6)*(Budget[Account Code]=$B59)*(Budget[Date]=M$7),Budget[Amount]))</f>
        <v>0</v>
      </c>
      <c r="N59" s="319">
        <f t="array" ref="N59">SUM(IF((Budget[Sort Code]=$B$6)*(Budget[Account Code]=$B59)*(Budget[Date]=N$7),Budget[Amount]))</f>
        <v>0</v>
      </c>
      <c r="O59" s="319">
        <f t="array" ref="O59">SUM(IF((Budget[Sort Code]=$B$6)*(Budget[Account Code]=$B59)*(Budget[Date]=O$7),Budget[Amount]))</f>
        <v>0</v>
      </c>
      <c r="P59" s="319">
        <f t="shared" si="2"/>
        <v>0</v>
      </c>
    </row>
    <row r="60" spans="1:16" x14ac:dyDescent="0.25">
      <c r="A60" s="325" t="s">
        <v>886</v>
      </c>
      <c r="B60" s="317" t="s">
        <v>172</v>
      </c>
      <c r="C60" s="319">
        <f t="shared" si="11"/>
        <v>0</v>
      </c>
      <c r="D60" s="319">
        <f t="array" ref="D60">SUM(IF((Budget[Sort Code]=$B$6)*(Budget[Account Code]=$B60)*(Budget[Date]=D$7),Budget[Amount]))</f>
        <v>0</v>
      </c>
      <c r="E60" s="319">
        <f t="array" ref="E60">SUM(IF((Budget[Sort Code]=$B$6)*(Budget[Account Code]=$B60)*(Budget[Date]=E$7),Budget[Amount]))</f>
        <v>0</v>
      </c>
      <c r="F60" s="319">
        <f t="array" ref="F60">SUM(IF((Budget[Sort Code]=$B$6)*(Budget[Account Code]=$B60)*(Budget[Date]=F$7),Budget[Amount]))</f>
        <v>0</v>
      </c>
      <c r="G60" s="319">
        <f t="array" ref="G60">SUM(IF((Budget[Sort Code]=$B$6)*(Budget[Account Code]=$B60)*(Budget[Date]=G$7),Budget[Amount]))</f>
        <v>0</v>
      </c>
      <c r="H60" s="319">
        <f t="array" ref="H60">SUM(IF((Budget[Sort Code]=$B$6)*(Budget[Account Code]=$B60)*(Budget[Date]=H$7),Budget[Amount]))</f>
        <v>0</v>
      </c>
      <c r="I60" s="319">
        <f t="array" ref="I60">SUM(IF((Budget[Sort Code]=$B$6)*(Budget[Account Code]=$B60)*(Budget[Date]=I$7),Budget[Amount]))</f>
        <v>0</v>
      </c>
      <c r="J60" s="319">
        <f t="array" ref="J60">SUM(IF((Budget[Sort Code]=$B$6)*(Budget[Account Code]=$B60)*(Budget[Date]=J$7),Budget[Amount]))</f>
        <v>0</v>
      </c>
      <c r="K60" s="319">
        <f t="array" ref="K60">SUM(IF((Budget[Sort Code]=$B$6)*(Budget[Account Code]=$B60)*(Budget[Date]=K$7),Budget[Amount]))</f>
        <v>0</v>
      </c>
      <c r="L60" s="319">
        <f t="array" ref="L60">SUM(IF((Budget[Sort Code]=$B$6)*(Budget[Account Code]=$B60)*(Budget[Date]=L$7),Budget[Amount]))</f>
        <v>0</v>
      </c>
      <c r="M60" s="319">
        <f t="array" ref="M60">SUM(IF((Budget[Sort Code]=$B$6)*(Budget[Account Code]=$B60)*(Budget[Date]=M$7),Budget[Amount]))</f>
        <v>0</v>
      </c>
      <c r="N60" s="319">
        <f t="array" ref="N60">SUM(IF((Budget[Sort Code]=$B$6)*(Budget[Account Code]=$B60)*(Budget[Date]=N$7),Budget[Amount]))</f>
        <v>0</v>
      </c>
      <c r="O60" s="319">
        <f t="array" ref="O60">SUM(IF((Budget[Sort Code]=$B$6)*(Budget[Account Code]=$B60)*(Budget[Date]=O$7),Budget[Amount]))</f>
        <v>0</v>
      </c>
      <c r="P60" s="319">
        <f t="shared" si="2"/>
        <v>0</v>
      </c>
    </row>
    <row r="61" spans="1:16" x14ac:dyDescent="0.25">
      <c r="A61" s="325" t="s">
        <v>887</v>
      </c>
      <c r="B61" s="317" t="s">
        <v>170</v>
      </c>
      <c r="C61" s="319">
        <f t="shared" si="11"/>
        <v>0</v>
      </c>
      <c r="D61" s="319">
        <f t="array" ref="D61">SUM(IF((Budget[Sort Code]=$B$6)*(Budget[Account Code]=$B61)*(Budget[Date]=D$7),Budget[Amount]))</f>
        <v>0</v>
      </c>
      <c r="E61" s="319">
        <f t="array" ref="E61">SUM(IF((Budget[Sort Code]=$B$6)*(Budget[Account Code]=$B61)*(Budget[Date]=E$7),Budget[Amount]))</f>
        <v>0</v>
      </c>
      <c r="F61" s="319">
        <f t="array" ref="F61">SUM(IF((Budget[Sort Code]=$B$6)*(Budget[Account Code]=$B61)*(Budget[Date]=F$7),Budget[Amount]))</f>
        <v>0</v>
      </c>
      <c r="G61" s="319">
        <f t="array" ref="G61">SUM(IF((Budget[Sort Code]=$B$6)*(Budget[Account Code]=$B61)*(Budget[Date]=G$7),Budget[Amount]))</f>
        <v>0</v>
      </c>
      <c r="H61" s="319">
        <f t="array" ref="H61">SUM(IF((Budget[Sort Code]=$B$6)*(Budget[Account Code]=$B61)*(Budget[Date]=H$7),Budget[Amount]))</f>
        <v>0</v>
      </c>
      <c r="I61" s="319">
        <f t="array" ref="I61">SUM(IF((Budget[Sort Code]=$B$6)*(Budget[Account Code]=$B61)*(Budget[Date]=I$7),Budget[Amount]))</f>
        <v>0</v>
      </c>
      <c r="J61" s="319">
        <f t="array" ref="J61">SUM(IF((Budget[Sort Code]=$B$6)*(Budget[Account Code]=$B61)*(Budget[Date]=J$7),Budget[Amount]))</f>
        <v>0</v>
      </c>
      <c r="K61" s="319">
        <f t="array" ref="K61">SUM(IF((Budget[Sort Code]=$B$6)*(Budget[Account Code]=$B61)*(Budget[Date]=K$7),Budget[Amount]))</f>
        <v>0</v>
      </c>
      <c r="L61" s="319">
        <f t="array" ref="L61">SUM(IF((Budget[Sort Code]=$B$6)*(Budget[Account Code]=$B61)*(Budget[Date]=L$7),Budget[Amount]))</f>
        <v>0</v>
      </c>
      <c r="M61" s="319">
        <f t="array" ref="M61">SUM(IF((Budget[Sort Code]=$B$6)*(Budget[Account Code]=$B61)*(Budget[Date]=M$7),Budget[Amount]))</f>
        <v>0</v>
      </c>
      <c r="N61" s="319">
        <f t="array" ref="N61">SUM(IF((Budget[Sort Code]=$B$6)*(Budget[Account Code]=$B61)*(Budget[Date]=N$7),Budget[Amount]))</f>
        <v>0</v>
      </c>
      <c r="O61" s="319">
        <f t="array" ref="O61">SUM(IF((Budget[Sort Code]=$B$6)*(Budget[Account Code]=$B61)*(Budget[Date]=O$7),Budget[Amount]))</f>
        <v>0</v>
      </c>
      <c r="P61" s="319">
        <f t="shared" si="2"/>
        <v>0</v>
      </c>
    </row>
    <row r="62" spans="1:16" x14ac:dyDescent="0.25">
      <c r="A62" s="325" t="s">
        <v>888</v>
      </c>
      <c r="B62" s="317" t="s">
        <v>168</v>
      </c>
      <c r="C62" s="319">
        <f t="shared" si="11"/>
        <v>0</v>
      </c>
      <c r="D62" s="319">
        <f t="array" ref="D62">SUM(IF((Budget[Sort Code]=$B$6)*(Budget[Account Code]=$B62)*(Budget[Date]=D$7),Budget[Amount]))</f>
        <v>0</v>
      </c>
      <c r="E62" s="319">
        <f t="array" ref="E62">SUM(IF((Budget[Sort Code]=$B$6)*(Budget[Account Code]=$B62)*(Budget[Date]=E$7),Budget[Amount]))</f>
        <v>0</v>
      </c>
      <c r="F62" s="319">
        <f t="array" ref="F62">SUM(IF((Budget[Sort Code]=$B$6)*(Budget[Account Code]=$B62)*(Budget[Date]=F$7),Budget[Amount]))</f>
        <v>0</v>
      </c>
      <c r="G62" s="319">
        <f t="array" ref="G62">SUM(IF((Budget[Sort Code]=$B$6)*(Budget[Account Code]=$B62)*(Budget[Date]=G$7),Budget[Amount]))</f>
        <v>0</v>
      </c>
      <c r="H62" s="319">
        <f t="array" ref="H62">SUM(IF((Budget[Sort Code]=$B$6)*(Budget[Account Code]=$B62)*(Budget[Date]=H$7),Budget[Amount]))</f>
        <v>0</v>
      </c>
      <c r="I62" s="319">
        <f t="array" ref="I62">SUM(IF((Budget[Sort Code]=$B$6)*(Budget[Account Code]=$B62)*(Budget[Date]=I$7),Budget[Amount]))</f>
        <v>0</v>
      </c>
      <c r="J62" s="319">
        <f t="array" ref="J62">SUM(IF((Budget[Sort Code]=$B$6)*(Budget[Account Code]=$B62)*(Budget[Date]=J$7),Budget[Amount]))</f>
        <v>0</v>
      </c>
      <c r="K62" s="319">
        <f t="array" ref="K62">SUM(IF((Budget[Sort Code]=$B$6)*(Budget[Account Code]=$B62)*(Budget[Date]=K$7),Budget[Amount]))</f>
        <v>0</v>
      </c>
      <c r="L62" s="319">
        <f t="array" ref="L62">SUM(IF((Budget[Sort Code]=$B$6)*(Budget[Account Code]=$B62)*(Budget[Date]=L$7),Budget[Amount]))</f>
        <v>0</v>
      </c>
      <c r="M62" s="319">
        <f t="array" ref="M62">SUM(IF((Budget[Sort Code]=$B$6)*(Budget[Account Code]=$B62)*(Budget[Date]=M$7),Budget[Amount]))</f>
        <v>0</v>
      </c>
      <c r="N62" s="319">
        <f t="array" ref="N62">SUM(IF((Budget[Sort Code]=$B$6)*(Budget[Account Code]=$B62)*(Budget[Date]=N$7),Budget[Amount]))</f>
        <v>0</v>
      </c>
      <c r="O62" s="319">
        <f t="array" ref="O62">SUM(IF((Budget[Sort Code]=$B$6)*(Budget[Account Code]=$B62)*(Budget[Date]=O$7),Budget[Amount]))</f>
        <v>0</v>
      </c>
      <c r="P62" s="319">
        <f t="shared" si="2"/>
        <v>0</v>
      </c>
    </row>
    <row r="63" spans="1:16" x14ac:dyDescent="0.25">
      <c r="A63" s="325" t="s">
        <v>889</v>
      </c>
      <c r="B63" s="317" t="s">
        <v>174</v>
      </c>
      <c r="C63" s="319">
        <f t="shared" si="11"/>
        <v>0</v>
      </c>
      <c r="D63" s="319">
        <f t="array" ref="D63">SUM(IF((Budget[Sort Code]=$B$6)*(Budget[Account Code]=$B63)*(Budget[Date]=D$7),Budget[Amount]))</f>
        <v>0</v>
      </c>
      <c r="E63" s="319">
        <f t="array" ref="E63">SUM(IF((Budget[Sort Code]=$B$6)*(Budget[Account Code]=$B63)*(Budget[Date]=E$7),Budget[Amount]))</f>
        <v>0</v>
      </c>
      <c r="F63" s="319">
        <f t="array" ref="F63">SUM(IF((Budget[Sort Code]=$B$6)*(Budget[Account Code]=$B63)*(Budget[Date]=F$7),Budget[Amount]))</f>
        <v>0</v>
      </c>
      <c r="G63" s="319">
        <f t="array" ref="G63">SUM(IF((Budget[Sort Code]=$B$6)*(Budget[Account Code]=$B63)*(Budget[Date]=G$7),Budget[Amount]))</f>
        <v>0</v>
      </c>
      <c r="H63" s="319">
        <f t="array" ref="H63">SUM(IF((Budget[Sort Code]=$B$6)*(Budget[Account Code]=$B63)*(Budget[Date]=H$7),Budget[Amount]))</f>
        <v>0</v>
      </c>
      <c r="I63" s="319">
        <f t="array" ref="I63">SUM(IF((Budget[Sort Code]=$B$6)*(Budget[Account Code]=$B63)*(Budget[Date]=I$7),Budget[Amount]))</f>
        <v>0</v>
      </c>
      <c r="J63" s="319">
        <f t="array" ref="J63">SUM(IF((Budget[Sort Code]=$B$6)*(Budget[Account Code]=$B63)*(Budget[Date]=J$7),Budget[Amount]))</f>
        <v>0</v>
      </c>
      <c r="K63" s="319">
        <f t="array" ref="K63">SUM(IF((Budget[Sort Code]=$B$6)*(Budget[Account Code]=$B63)*(Budget[Date]=K$7),Budget[Amount]))</f>
        <v>0</v>
      </c>
      <c r="L63" s="319">
        <f t="array" ref="L63">SUM(IF((Budget[Sort Code]=$B$6)*(Budget[Account Code]=$B63)*(Budget[Date]=L$7),Budget[Amount]))</f>
        <v>0</v>
      </c>
      <c r="M63" s="319">
        <f t="array" ref="M63">SUM(IF((Budget[Sort Code]=$B$6)*(Budget[Account Code]=$B63)*(Budget[Date]=M$7),Budget[Amount]))</f>
        <v>0</v>
      </c>
      <c r="N63" s="319">
        <f t="array" ref="N63">SUM(IF((Budget[Sort Code]=$B$6)*(Budget[Account Code]=$B63)*(Budget[Date]=N$7),Budget[Amount]))</f>
        <v>0</v>
      </c>
      <c r="O63" s="319">
        <f t="array" ref="O63">SUM(IF((Budget[Sort Code]=$B$6)*(Budget[Account Code]=$B63)*(Budget[Date]=O$7),Budget[Amount]))</f>
        <v>0</v>
      </c>
      <c r="P63" s="319">
        <f t="shared" si="2"/>
        <v>0</v>
      </c>
    </row>
    <row r="64" spans="1:16" x14ac:dyDescent="0.25">
      <c r="A64" s="325" t="s">
        <v>890</v>
      </c>
      <c r="B64" s="317" t="s">
        <v>214</v>
      </c>
      <c r="C64" s="319">
        <f t="shared" si="11"/>
        <v>0</v>
      </c>
      <c r="D64" s="319">
        <f t="array" ref="D64">SUM(IF((Budget[Sort Code]=$B$6)*(Budget[Account Code]=$B64)*(Budget[Date]=D$7),Budget[Amount]))</f>
        <v>0</v>
      </c>
      <c r="E64" s="319">
        <f t="array" ref="E64">SUM(IF((Budget[Sort Code]=$B$6)*(Budget[Account Code]=$B64)*(Budget[Date]=E$7),Budget[Amount]))</f>
        <v>0</v>
      </c>
      <c r="F64" s="319">
        <f t="array" ref="F64">SUM(IF((Budget[Sort Code]=$B$6)*(Budget[Account Code]=$B64)*(Budget[Date]=F$7),Budget[Amount]))</f>
        <v>0</v>
      </c>
      <c r="G64" s="319">
        <f t="array" ref="G64">SUM(IF((Budget[Sort Code]=$B$6)*(Budget[Account Code]=$B64)*(Budget[Date]=G$7),Budget[Amount]))</f>
        <v>0</v>
      </c>
      <c r="H64" s="319">
        <f t="array" ref="H64">SUM(IF((Budget[Sort Code]=$B$6)*(Budget[Account Code]=$B64)*(Budget[Date]=H$7),Budget[Amount]))</f>
        <v>0</v>
      </c>
      <c r="I64" s="319">
        <f t="array" ref="I64">SUM(IF((Budget[Sort Code]=$B$6)*(Budget[Account Code]=$B64)*(Budget[Date]=I$7),Budget[Amount]))</f>
        <v>0</v>
      </c>
      <c r="J64" s="319">
        <f t="array" ref="J64">SUM(IF((Budget[Sort Code]=$B$6)*(Budget[Account Code]=$B64)*(Budget[Date]=J$7),Budget[Amount]))</f>
        <v>0</v>
      </c>
      <c r="K64" s="319">
        <f t="array" ref="K64">SUM(IF((Budget[Sort Code]=$B$6)*(Budget[Account Code]=$B64)*(Budget[Date]=K$7),Budget[Amount]))</f>
        <v>0</v>
      </c>
      <c r="L64" s="319">
        <f t="array" ref="L64">SUM(IF((Budget[Sort Code]=$B$6)*(Budget[Account Code]=$B64)*(Budget[Date]=L$7),Budget[Amount]))</f>
        <v>0</v>
      </c>
      <c r="M64" s="319">
        <f t="array" ref="M64">SUM(IF((Budget[Sort Code]=$B$6)*(Budget[Account Code]=$B64)*(Budget[Date]=M$7),Budget[Amount]))</f>
        <v>0</v>
      </c>
      <c r="N64" s="319">
        <f t="array" ref="N64">SUM(IF((Budget[Sort Code]=$B$6)*(Budget[Account Code]=$B64)*(Budget[Date]=N$7),Budget[Amount]))</f>
        <v>0</v>
      </c>
      <c r="O64" s="319">
        <f t="array" ref="O64">SUM(IF((Budget[Sort Code]=$B$6)*(Budget[Account Code]=$B64)*(Budget[Date]=O$7),Budget[Amount]))</f>
        <v>0</v>
      </c>
      <c r="P64" s="319">
        <f t="shared" si="2"/>
        <v>0</v>
      </c>
    </row>
    <row r="65" spans="1:16" s="171" customFormat="1" x14ac:dyDescent="0.25">
      <c r="A65" s="320" t="s">
        <v>891</v>
      </c>
      <c r="B65" s="317"/>
      <c r="C65" s="322">
        <f t="shared" si="11"/>
        <v>0</v>
      </c>
      <c r="D65" s="322">
        <f>SUM(D66:D69)</f>
        <v>0</v>
      </c>
      <c r="E65" s="322">
        <f t="shared" ref="E65:O65" si="14">SUM(E66:E69)</f>
        <v>0</v>
      </c>
      <c r="F65" s="322">
        <f t="shared" si="14"/>
        <v>0</v>
      </c>
      <c r="G65" s="322">
        <f t="shared" si="14"/>
        <v>0</v>
      </c>
      <c r="H65" s="322">
        <f t="shared" si="14"/>
        <v>0</v>
      </c>
      <c r="I65" s="322">
        <f t="shared" si="14"/>
        <v>0</v>
      </c>
      <c r="J65" s="322">
        <f t="shared" si="14"/>
        <v>0</v>
      </c>
      <c r="K65" s="322">
        <f t="shared" si="14"/>
        <v>0</v>
      </c>
      <c r="L65" s="322">
        <f t="shared" si="14"/>
        <v>0</v>
      </c>
      <c r="M65" s="322">
        <f t="shared" si="14"/>
        <v>0</v>
      </c>
      <c r="N65" s="322">
        <f t="shared" si="14"/>
        <v>0</v>
      </c>
      <c r="O65" s="322">
        <f t="shared" si="14"/>
        <v>0</v>
      </c>
      <c r="P65" s="322">
        <f t="shared" si="2"/>
        <v>0</v>
      </c>
    </row>
    <row r="66" spans="1:16" x14ac:dyDescent="0.25">
      <c r="A66" s="325" t="s">
        <v>892</v>
      </c>
      <c r="B66" s="317" t="s">
        <v>175</v>
      </c>
      <c r="C66" s="319">
        <f t="shared" si="11"/>
        <v>0</v>
      </c>
      <c r="D66" s="319">
        <f t="array" ref="D66">SUM(IF((Budget[Sort Code]=$B$6)*(Budget[Account Code]=$B66)*(Budget[Date]=D$7),Budget[Amount]))</f>
        <v>0</v>
      </c>
      <c r="E66" s="319">
        <f t="array" ref="E66">SUM(IF((Budget[Sort Code]=$B$6)*(Budget[Account Code]=$B66)*(Budget[Date]=E$7),Budget[Amount]))</f>
        <v>0</v>
      </c>
      <c r="F66" s="319">
        <f t="array" ref="F66">SUM(IF((Budget[Sort Code]=$B$6)*(Budget[Account Code]=$B66)*(Budget[Date]=F$7),Budget[Amount]))</f>
        <v>0</v>
      </c>
      <c r="G66" s="319">
        <f t="array" ref="G66">SUM(IF((Budget[Sort Code]=$B$6)*(Budget[Account Code]=$B66)*(Budget[Date]=G$7),Budget[Amount]))</f>
        <v>0</v>
      </c>
      <c r="H66" s="319">
        <f t="array" ref="H66">SUM(IF((Budget[Sort Code]=$B$6)*(Budget[Account Code]=$B66)*(Budget[Date]=H$7),Budget[Amount]))</f>
        <v>0</v>
      </c>
      <c r="I66" s="319">
        <f t="array" ref="I66">SUM(IF((Budget[Sort Code]=$B$6)*(Budget[Account Code]=$B66)*(Budget[Date]=I$7),Budget[Amount]))</f>
        <v>0</v>
      </c>
      <c r="J66" s="319">
        <f t="array" ref="J66">SUM(IF((Budget[Sort Code]=$B$6)*(Budget[Account Code]=$B66)*(Budget[Date]=J$7),Budget[Amount]))</f>
        <v>0</v>
      </c>
      <c r="K66" s="319">
        <f t="array" ref="K66">SUM(IF((Budget[Sort Code]=$B$6)*(Budget[Account Code]=$B66)*(Budget[Date]=K$7),Budget[Amount]))</f>
        <v>0</v>
      </c>
      <c r="L66" s="319">
        <f t="array" ref="L66">SUM(IF((Budget[Sort Code]=$B$6)*(Budget[Account Code]=$B66)*(Budget[Date]=L$7),Budget[Amount]))</f>
        <v>0</v>
      </c>
      <c r="M66" s="319">
        <f t="array" ref="M66">SUM(IF((Budget[Sort Code]=$B$6)*(Budget[Account Code]=$B66)*(Budget[Date]=M$7),Budget[Amount]))</f>
        <v>0</v>
      </c>
      <c r="N66" s="319">
        <f t="array" ref="N66">SUM(IF((Budget[Sort Code]=$B$6)*(Budget[Account Code]=$B66)*(Budget[Date]=N$7),Budget[Amount]))</f>
        <v>0</v>
      </c>
      <c r="O66" s="319">
        <f t="array" ref="O66">SUM(IF((Budget[Sort Code]=$B$6)*(Budget[Account Code]=$B66)*(Budget[Date]=O$7),Budget[Amount]))</f>
        <v>0</v>
      </c>
      <c r="P66" s="319">
        <f t="shared" si="2"/>
        <v>0</v>
      </c>
    </row>
    <row r="67" spans="1:16" x14ac:dyDescent="0.25">
      <c r="A67" s="325" t="s">
        <v>893</v>
      </c>
      <c r="B67" s="317" t="s">
        <v>176</v>
      </c>
      <c r="C67" s="319">
        <f t="shared" si="11"/>
        <v>0</v>
      </c>
      <c r="D67" s="319">
        <f t="array" ref="D67">SUM(IF((Budget[Sort Code]=$B$6)*(Budget[Account Code]=$B67)*(Budget[Date]=D$7),Budget[Amount]))</f>
        <v>0</v>
      </c>
      <c r="E67" s="319">
        <f t="array" ref="E67">SUM(IF((Budget[Sort Code]=$B$6)*(Budget[Account Code]=$B67)*(Budget[Date]=E$7),Budget[Amount]))</f>
        <v>0</v>
      </c>
      <c r="F67" s="319">
        <f t="array" ref="F67">SUM(IF((Budget[Sort Code]=$B$6)*(Budget[Account Code]=$B67)*(Budget[Date]=F$7),Budget[Amount]))</f>
        <v>0</v>
      </c>
      <c r="G67" s="319">
        <f t="array" ref="G67">SUM(IF((Budget[Sort Code]=$B$6)*(Budget[Account Code]=$B67)*(Budget[Date]=G$7),Budget[Amount]))</f>
        <v>0</v>
      </c>
      <c r="H67" s="319">
        <f t="array" ref="H67">SUM(IF((Budget[Sort Code]=$B$6)*(Budget[Account Code]=$B67)*(Budget[Date]=H$7),Budget[Amount]))</f>
        <v>0</v>
      </c>
      <c r="I67" s="319">
        <f t="array" ref="I67">SUM(IF((Budget[Sort Code]=$B$6)*(Budget[Account Code]=$B67)*(Budget[Date]=I$7),Budget[Amount]))</f>
        <v>0</v>
      </c>
      <c r="J67" s="319">
        <f t="array" ref="J67">SUM(IF((Budget[Sort Code]=$B$6)*(Budget[Account Code]=$B67)*(Budget[Date]=J$7),Budget[Amount]))</f>
        <v>0</v>
      </c>
      <c r="K67" s="319">
        <f t="array" ref="K67">SUM(IF((Budget[Sort Code]=$B$6)*(Budget[Account Code]=$B67)*(Budget[Date]=K$7),Budget[Amount]))</f>
        <v>0</v>
      </c>
      <c r="L67" s="319">
        <f t="array" ref="L67">SUM(IF((Budget[Sort Code]=$B$6)*(Budget[Account Code]=$B67)*(Budget[Date]=L$7),Budget[Amount]))</f>
        <v>0</v>
      </c>
      <c r="M67" s="319">
        <f t="array" ref="M67">SUM(IF((Budget[Sort Code]=$B$6)*(Budget[Account Code]=$B67)*(Budget[Date]=M$7),Budget[Amount]))</f>
        <v>0</v>
      </c>
      <c r="N67" s="319">
        <f t="array" ref="N67">SUM(IF((Budget[Sort Code]=$B$6)*(Budget[Account Code]=$B67)*(Budget[Date]=N$7),Budget[Amount]))</f>
        <v>0</v>
      </c>
      <c r="O67" s="319">
        <f t="array" ref="O67">SUM(IF((Budget[Sort Code]=$B$6)*(Budget[Account Code]=$B67)*(Budget[Date]=O$7),Budget[Amount]))</f>
        <v>0</v>
      </c>
      <c r="P67" s="319">
        <f t="shared" si="2"/>
        <v>0</v>
      </c>
    </row>
    <row r="68" spans="1:16" x14ac:dyDescent="0.25">
      <c r="A68" s="325" t="s">
        <v>894</v>
      </c>
      <c r="B68" s="317" t="s">
        <v>177</v>
      </c>
      <c r="C68" s="319">
        <f t="shared" si="11"/>
        <v>0</v>
      </c>
      <c r="D68" s="319">
        <f t="array" ref="D68">SUM(IF((Budget[Sort Code]=$B$6)*(Budget[Account Code]=$B68)*(Budget[Date]=D$7),Budget[Amount]))</f>
        <v>0</v>
      </c>
      <c r="E68" s="319">
        <f t="array" ref="E68">SUM(IF((Budget[Sort Code]=$B$6)*(Budget[Account Code]=$B68)*(Budget[Date]=E$7),Budget[Amount]))</f>
        <v>0</v>
      </c>
      <c r="F68" s="319">
        <f t="array" ref="F68">SUM(IF((Budget[Sort Code]=$B$6)*(Budget[Account Code]=$B68)*(Budget[Date]=F$7),Budget[Amount]))</f>
        <v>0</v>
      </c>
      <c r="G68" s="319">
        <f t="array" ref="G68">SUM(IF((Budget[Sort Code]=$B$6)*(Budget[Account Code]=$B68)*(Budget[Date]=G$7),Budget[Amount]))</f>
        <v>0</v>
      </c>
      <c r="H68" s="319">
        <f t="array" ref="H68">SUM(IF((Budget[Sort Code]=$B$6)*(Budget[Account Code]=$B68)*(Budget[Date]=H$7),Budget[Amount]))</f>
        <v>0</v>
      </c>
      <c r="I68" s="319">
        <f t="array" ref="I68">SUM(IF((Budget[Sort Code]=$B$6)*(Budget[Account Code]=$B68)*(Budget[Date]=I$7),Budget[Amount]))</f>
        <v>0</v>
      </c>
      <c r="J68" s="319">
        <f t="array" ref="J68">SUM(IF((Budget[Sort Code]=$B$6)*(Budget[Account Code]=$B68)*(Budget[Date]=J$7),Budget[Amount]))</f>
        <v>0</v>
      </c>
      <c r="K68" s="319">
        <f t="array" ref="K68">SUM(IF((Budget[Sort Code]=$B$6)*(Budget[Account Code]=$B68)*(Budget[Date]=K$7),Budget[Amount]))</f>
        <v>0</v>
      </c>
      <c r="L68" s="319">
        <f t="array" ref="L68">SUM(IF((Budget[Sort Code]=$B$6)*(Budget[Account Code]=$B68)*(Budget[Date]=L$7),Budget[Amount]))</f>
        <v>0</v>
      </c>
      <c r="M68" s="319">
        <f t="array" ref="M68">SUM(IF((Budget[Sort Code]=$B$6)*(Budget[Account Code]=$B68)*(Budget[Date]=M$7),Budget[Amount]))</f>
        <v>0</v>
      </c>
      <c r="N68" s="319">
        <f t="array" ref="N68">SUM(IF((Budget[Sort Code]=$B$6)*(Budget[Account Code]=$B68)*(Budget[Date]=N$7),Budget[Amount]))</f>
        <v>0</v>
      </c>
      <c r="O68" s="319">
        <f t="array" ref="O68">SUM(IF((Budget[Sort Code]=$B$6)*(Budget[Account Code]=$B68)*(Budget[Date]=O$7),Budget[Amount]))</f>
        <v>0</v>
      </c>
      <c r="P68" s="319">
        <f t="shared" si="2"/>
        <v>0</v>
      </c>
    </row>
    <row r="69" spans="1:16" x14ac:dyDescent="0.25">
      <c r="A69" s="325" t="s">
        <v>895</v>
      </c>
      <c r="B69" s="317" t="s">
        <v>178</v>
      </c>
      <c r="C69" s="319">
        <f t="shared" si="11"/>
        <v>0</v>
      </c>
      <c r="D69" s="319">
        <f t="array" ref="D69">SUM(IF((Budget[Sort Code]=$B$6)*(Budget[Account Code]=$B69)*(Budget[Date]=D$7),Budget[Amount]))</f>
        <v>0</v>
      </c>
      <c r="E69" s="319">
        <f t="array" ref="E69">SUM(IF((Budget[Sort Code]=$B$6)*(Budget[Account Code]=$B69)*(Budget[Date]=E$7),Budget[Amount]))</f>
        <v>0</v>
      </c>
      <c r="F69" s="319">
        <f t="array" ref="F69">SUM(IF((Budget[Sort Code]=$B$6)*(Budget[Account Code]=$B69)*(Budget[Date]=F$7),Budget[Amount]))</f>
        <v>0</v>
      </c>
      <c r="G69" s="319">
        <f t="array" ref="G69">SUM(IF((Budget[Sort Code]=$B$6)*(Budget[Account Code]=$B69)*(Budget[Date]=G$7),Budget[Amount]))</f>
        <v>0</v>
      </c>
      <c r="H69" s="319">
        <f t="array" ref="H69">SUM(IF((Budget[Sort Code]=$B$6)*(Budget[Account Code]=$B69)*(Budget[Date]=H$7),Budget[Amount]))</f>
        <v>0</v>
      </c>
      <c r="I69" s="319">
        <f t="array" ref="I69">SUM(IF((Budget[Sort Code]=$B$6)*(Budget[Account Code]=$B69)*(Budget[Date]=I$7),Budget[Amount]))</f>
        <v>0</v>
      </c>
      <c r="J69" s="319">
        <f t="array" ref="J69">SUM(IF((Budget[Sort Code]=$B$6)*(Budget[Account Code]=$B69)*(Budget[Date]=J$7),Budget[Amount]))</f>
        <v>0</v>
      </c>
      <c r="K69" s="319">
        <f t="array" ref="K69">SUM(IF((Budget[Sort Code]=$B$6)*(Budget[Account Code]=$B69)*(Budget[Date]=K$7),Budget[Amount]))</f>
        <v>0</v>
      </c>
      <c r="L69" s="319">
        <f t="array" ref="L69">SUM(IF((Budget[Sort Code]=$B$6)*(Budget[Account Code]=$B69)*(Budget[Date]=L$7),Budget[Amount]))</f>
        <v>0</v>
      </c>
      <c r="M69" s="319">
        <f t="array" ref="M69">SUM(IF((Budget[Sort Code]=$B$6)*(Budget[Account Code]=$B69)*(Budget[Date]=M$7),Budget[Amount]))</f>
        <v>0</v>
      </c>
      <c r="N69" s="319">
        <f t="array" ref="N69">SUM(IF((Budget[Sort Code]=$B$6)*(Budget[Account Code]=$B69)*(Budget[Date]=N$7),Budget[Amount]))</f>
        <v>0</v>
      </c>
      <c r="O69" s="319">
        <f t="array" ref="O69">SUM(IF((Budget[Sort Code]=$B$6)*(Budget[Account Code]=$B69)*(Budget[Date]=O$7),Budget[Amount]))</f>
        <v>0</v>
      </c>
      <c r="P69" s="319">
        <f t="shared" si="2"/>
        <v>0</v>
      </c>
    </row>
    <row r="70" spans="1:16" x14ac:dyDescent="0.25">
      <c r="A70" s="320" t="s">
        <v>896</v>
      </c>
      <c r="B70" s="317"/>
      <c r="C70" s="319">
        <f t="shared" si="11"/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>
        <v>0</v>
      </c>
      <c r="M70" s="319">
        <v>0</v>
      </c>
      <c r="N70" s="319">
        <v>0</v>
      </c>
      <c r="O70" s="319">
        <v>0</v>
      </c>
      <c r="P70" s="319">
        <f t="shared" si="2"/>
        <v>0</v>
      </c>
    </row>
    <row r="71" spans="1:16" x14ac:dyDescent="0.25">
      <c r="A71" s="325" t="s">
        <v>897</v>
      </c>
      <c r="B71" s="317" t="s">
        <v>216</v>
      </c>
      <c r="C71" s="319">
        <f t="shared" si="11"/>
        <v>0</v>
      </c>
      <c r="D71" s="319">
        <f t="array" ref="D71">SUM(IF((Budget[Sort Code]=$B$6)*(Budget[Account Code]=$B71)*(Budget[Date]=D$7),Budget[Amount]))</f>
        <v>0</v>
      </c>
      <c r="E71" s="319">
        <f t="array" ref="E71">SUM(IF((Budget[Sort Code]=$B$6)*(Budget[Account Code]=$B71)*(Budget[Date]=E$7),Budget[Amount]))</f>
        <v>0</v>
      </c>
      <c r="F71" s="319">
        <f t="array" ref="F71">SUM(IF((Budget[Sort Code]=$B$6)*(Budget[Account Code]=$B71)*(Budget[Date]=F$7),Budget[Amount]))</f>
        <v>0</v>
      </c>
      <c r="G71" s="319">
        <f t="array" ref="G71">SUM(IF((Budget[Sort Code]=$B$6)*(Budget[Account Code]=$B71)*(Budget[Date]=G$7),Budget[Amount]))</f>
        <v>0</v>
      </c>
      <c r="H71" s="319">
        <f t="array" ref="H71">SUM(IF((Budget[Sort Code]=$B$6)*(Budget[Account Code]=$B71)*(Budget[Date]=H$7),Budget[Amount]))</f>
        <v>0</v>
      </c>
      <c r="I71" s="319">
        <f t="array" ref="I71">SUM(IF((Budget[Sort Code]=$B$6)*(Budget[Account Code]=$B71)*(Budget[Date]=I$7),Budget[Amount]))</f>
        <v>0</v>
      </c>
      <c r="J71" s="319">
        <f t="array" ref="J71">SUM(IF((Budget[Sort Code]=$B$6)*(Budget[Account Code]=$B71)*(Budget[Date]=J$7),Budget[Amount]))</f>
        <v>0</v>
      </c>
      <c r="K71" s="319">
        <f t="array" ref="K71">SUM(IF((Budget[Sort Code]=$B$6)*(Budget[Account Code]=$B71)*(Budget[Date]=K$7),Budget[Amount]))</f>
        <v>0</v>
      </c>
      <c r="L71" s="319">
        <f t="array" ref="L71">SUM(IF((Budget[Sort Code]=$B$6)*(Budget[Account Code]=$B71)*(Budget[Date]=L$7),Budget[Amount]))</f>
        <v>0</v>
      </c>
      <c r="M71" s="319">
        <f t="array" ref="M71">SUM(IF((Budget[Sort Code]=$B$6)*(Budget[Account Code]=$B71)*(Budget[Date]=M$7),Budget[Amount]))</f>
        <v>0</v>
      </c>
      <c r="N71" s="319">
        <f t="array" ref="N71">SUM(IF((Budget[Sort Code]=$B$6)*(Budget[Account Code]=$B71)*(Budget[Date]=N$7),Budget[Amount]))</f>
        <v>0</v>
      </c>
      <c r="O71" s="319">
        <f t="array" ref="O71">SUM(IF((Budget[Sort Code]=$B$6)*(Budget[Account Code]=$B71)*(Budget[Date]=O$7),Budget[Amount]))</f>
        <v>0</v>
      </c>
      <c r="P71" s="319">
        <f t="shared" si="2"/>
        <v>0</v>
      </c>
    </row>
    <row r="72" spans="1:16" x14ac:dyDescent="0.25">
      <c r="A72" s="325" t="s">
        <v>898</v>
      </c>
      <c r="B72" s="317"/>
      <c r="C72" s="319">
        <f t="shared" si="11"/>
        <v>0</v>
      </c>
      <c r="D72" s="319">
        <f t="array" ref="D72">SUM(IF((Budget[Sort Code]=$B$6)*(Budget[Account Code]=$B72)*(Budget[Date]=D$7),Budget[Amount]))</f>
        <v>0</v>
      </c>
      <c r="E72" s="319">
        <f t="array" ref="E72">SUM(IF((Budget[Sort Code]=$B$6)*(Budget[Account Code]=$B72)*(Budget[Date]=E$7),Budget[Amount]))</f>
        <v>0</v>
      </c>
      <c r="F72" s="319">
        <f t="array" ref="F72">SUM(IF((Budget[Sort Code]=$B$6)*(Budget[Account Code]=$B72)*(Budget[Date]=F$7),Budget[Amount]))</f>
        <v>0</v>
      </c>
      <c r="G72" s="319">
        <f t="array" ref="G72">SUM(IF((Budget[Sort Code]=$B$6)*(Budget[Account Code]=$B72)*(Budget[Date]=G$7),Budget[Amount]))</f>
        <v>0</v>
      </c>
      <c r="H72" s="319">
        <f t="array" ref="H72">SUM(IF((Budget[Sort Code]=$B$6)*(Budget[Account Code]=$B72)*(Budget[Date]=H$7),Budget[Amount]))</f>
        <v>0</v>
      </c>
      <c r="I72" s="319">
        <f t="array" ref="I72">SUM(IF((Budget[Sort Code]=$B$6)*(Budget[Account Code]=$B72)*(Budget[Date]=I$7),Budget[Amount]))</f>
        <v>0</v>
      </c>
      <c r="J72" s="319">
        <f t="array" ref="J72">SUM(IF((Budget[Sort Code]=$B$6)*(Budget[Account Code]=$B72)*(Budget[Date]=J$7),Budget[Amount]))</f>
        <v>0</v>
      </c>
      <c r="K72" s="319">
        <f t="array" ref="K72">SUM(IF((Budget[Sort Code]=$B$6)*(Budget[Account Code]=$B72)*(Budget[Date]=K$7),Budget[Amount]))</f>
        <v>0</v>
      </c>
      <c r="L72" s="319">
        <f t="array" ref="L72">SUM(IF((Budget[Sort Code]=$B$6)*(Budget[Account Code]=$B72)*(Budget[Date]=L$7),Budget[Amount]))</f>
        <v>0</v>
      </c>
      <c r="M72" s="319">
        <f t="array" ref="M72">SUM(IF((Budget[Sort Code]=$B$6)*(Budget[Account Code]=$B72)*(Budget[Date]=M$7),Budget[Amount]))</f>
        <v>0</v>
      </c>
      <c r="N72" s="319">
        <f t="array" ref="N72">SUM(IF((Budget[Sort Code]=$B$6)*(Budget[Account Code]=$B72)*(Budget[Date]=N$7),Budget[Amount]))</f>
        <v>0</v>
      </c>
      <c r="O72" s="319">
        <f t="array" ref="O72">SUM(IF((Budget[Sort Code]=$B$6)*(Budget[Account Code]=$B72)*(Budget[Date]=O$7),Budget[Amount]))</f>
        <v>0</v>
      </c>
      <c r="P72" s="319">
        <f t="shared" si="2"/>
        <v>0</v>
      </c>
    </row>
    <row r="73" spans="1:16" x14ac:dyDescent="0.25">
      <c r="A73" s="325" t="s">
        <v>899</v>
      </c>
      <c r="B73" s="317"/>
      <c r="C73" s="319">
        <f t="shared" si="11"/>
        <v>0</v>
      </c>
      <c r="D73" s="319">
        <f t="array" ref="D73">SUM(IF((Budget[Sort Code]=$B$6)*(Budget[Account Code]=$B73)*(Budget[Date]=D$7),Budget[Amount]))</f>
        <v>0</v>
      </c>
      <c r="E73" s="319">
        <f t="array" ref="E73">SUM(IF((Budget[Sort Code]=$B$6)*(Budget[Account Code]=$B73)*(Budget[Date]=E$7),Budget[Amount]))</f>
        <v>0</v>
      </c>
      <c r="F73" s="319">
        <f t="array" ref="F73">SUM(IF((Budget[Sort Code]=$B$6)*(Budget[Account Code]=$B73)*(Budget[Date]=F$7),Budget[Amount]))</f>
        <v>0</v>
      </c>
      <c r="G73" s="319">
        <f t="array" ref="G73">SUM(IF((Budget[Sort Code]=$B$6)*(Budget[Account Code]=$B73)*(Budget[Date]=G$7),Budget[Amount]))</f>
        <v>0</v>
      </c>
      <c r="H73" s="319">
        <f t="array" ref="H73">SUM(IF((Budget[Sort Code]=$B$6)*(Budget[Account Code]=$B73)*(Budget[Date]=H$7),Budget[Amount]))</f>
        <v>0</v>
      </c>
      <c r="I73" s="319">
        <f t="array" ref="I73">SUM(IF((Budget[Sort Code]=$B$6)*(Budget[Account Code]=$B73)*(Budget[Date]=I$7),Budget[Amount]))</f>
        <v>0</v>
      </c>
      <c r="J73" s="319">
        <f t="array" ref="J73">SUM(IF((Budget[Sort Code]=$B$6)*(Budget[Account Code]=$B73)*(Budget[Date]=J$7),Budget[Amount]))</f>
        <v>0</v>
      </c>
      <c r="K73" s="319">
        <f t="array" ref="K73">SUM(IF((Budget[Sort Code]=$B$6)*(Budget[Account Code]=$B73)*(Budget[Date]=K$7),Budget[Amount]))</f>
        <v>0</v>
      </c>
      <c r="L73" s="319">
        <f t="array" ref="L73">SUM(IF((Budget[Sort Code]=$B$6)*(Budget[Account Code]=$B73)*(Budget[Date]=L$7),Budget[Amount]))</f>
        <v>0</v>
      </c>
      <c r="M73" s="319">
        <f t="array" ref="M73">SUM(IF((Budget[Sort Code]=$B$6)*(Budget[Account Code]=$B73)*(Budget[Date]=M$7),Budget[Amount]))</f>
        <v>0</v>
      </c>
      <c r="N73" s="319">
        <f t="array" ref="N73">SUM(IF((Budget[Sort Code]=$B$6)*(Budget[Account Code]=$B73)*(Budget[Date]=N$7),Budget[Amount]))</f>
        <v>0</v>
      </c>
      <c r="O73" s="319">
        <f t="array" ref="O73">SUM(IF((Budget[Sort Code]=$B$6)*(Budget[Account Code]=$B73)*(Budget[Date]=O$7),Budget[Amount]))</f>
        <v>0</v>
      </c>
      <c r="P73" s="319">
        <f t="shared" si="2"/>
        <v>0</v>
      </c>
    </row>
    <row r="74" spans="1:16" x14ac:dyDescent="0.25">
      <c r="A74" s="325" t="s">
        <v>900</v>
      </c>
      <c r="B74" s="317"/>
      <c r="C74" s="319">
        <f t="shared" si="11"/>
        <v>0</v>
      </c>
      <c r="D74" s="319">
        <f t="array" ref="D74">SUM(IF((Budget[Sort Code]=$B$6)*(Budget[Account Code]=$B74)*(Budget[Date]=D$7),Budget[Amount]))</f>
        <v>0</v>
      </c>
      <c r="E74" s="319">
        <f t="array" ref="E74">SUM(IF((Budget[Sort Code]=$B$6)*(Budget[Account Code]=$B74)*(Budget[Date]=E$7),Budget[Amount]))</f>
        <v>0</v>
      </c>
      <c r="F74" s="319">
        <f t="array" ref="F74">SUM(IF((Budget[Sort Code]=$B$6)*(Budget[Account Code]=$B74)*(Budget[Date]=F$7),Budget[Amount]))</f>
        <v>0</v>
      </c>
      <c r="G74" s="319">
        <f t="array" ref="G74">SUM(IF((Budget[Sort Code]=$B$6)*(Budget[Account Code]=$B74)*(Budget[Date]=G$7),Budget[Amount]))</f>
        <v>0</v>
      </c>
      <c r="H74" s="319">
        <f t="array" ref="H74">SUM(IF((Budget[Sort Code]=$B$6)*(Budget[Account Code]=$B74)*(Budget[Date]=H$7),Budget[Amount]))</f>
        <v>0</v>
      </c>
      <c r="I74" s="319">
        <f t="array" ref="I74">SUM(IF((Budget[Sort Code]=$B$6)*(Budget[Account Code]=$B74)*(Budget[Date]=I$7),Budget[Amount]))</f>
        <v>0</v>
      </c>
      <c r="J74" s="319">
        <f t="array" ref="J74">SUM(IF((Budget[Sort Code]=$B$6)*(Budget[Account Code]=$B74)*(Budget[Date]=J$7),Budget[Amount]))</f>
        <v>0</v>
      </c>
      <c r="K74" s="319">
        <f t="array" ref="K74">SUM(IF((Budget[Sort Code]=$B$6)*(Budget[Account Code]=$B74)*(Budget[Date]=K$7),Budget[Amount]))</f>
        <v>0</v>
      </c>
      <c r="L74" s="319">
        <f t="array" ref="L74">SUM(IF((Budget[Sort Code]=$B$6)*(Budget[Account Code]=$B74)*(Budget[Date]=L$7),Budget[Amount]))</f>
        <v>0</v>
      </c>
      <c r="M74" s="319">
        <f t="array" ref="M74">SUM(IF((Budget[Sort Code]=$B$6)*(Budget[Account Code]=$B74)*(Budget[Date]=M$7),Budget[Amount]))</f>
        <v>0</v>
      </c>
      <c r="N74" s="319">
        <f t="array" ref="N74">SUM(IF((Budget[Sort Code]=$B$6)*(Budget[Account Code]=$B74)*(Budget[Date]=N$7),Budget[Amount]))</f>
        <v>0</v>
      </c>
      <c r="O74" s="319">
        <f t="array" ref="O74">SUM(IF((Budget[Sort Code]=$B$6)*(Budget[Account Code]=$B74)*(Budget[Date]=O$7),Budget[Amount]))</f>
        <v>0</v>
      </c>
      <c r="P74" s="319">
        <f t="shared" si="2"/>
        <v>0</v>
      </c>
    </row>
    <row r="75" spans="1:16" s="171" customFormat="1" x14ac:dyDescent="0.25">
      <c r="A75" s="320" t="s">
        <v>901</v>
      </c>
      <c r="B75" s="317" t="s">
        <v>985</v>
      </c>
      <c r="C75" s="322">
        <f t="shared" si="11"/>
        <v>0</v>
      </c>
      <c r="D75" s="319">
        <f t="array" ref="D75">SUM(IF((Budget[Sort Code]=$B$6)*(Budget[Account Code]=$B75)*(Budget[Date]=D$7),Budget[Amount]))</f>
        <v>0</v>
      </c>
      <c r="E75" s="319">
        <f t="array" ref="E75">SUM(IF((Budget[Sort Code]=$B$6)*(Budget[Account Code]=$B75)*(Budget[Date]=E$7),Budget[Amount]))</f>
        <v>0</v>
      </c>
      <c r="F75" s="319">
        <f t="array" ref="F75">SUM(IF((Budget[Sort Code]=$B$6)*(Budget[Account Code]=$B75)*(Budget[Date]=F$7),Budget[Amount]))</f>
        <v>0</v>
      </c>
      <c r="G75" s="319">
        <f t="array" ref="G75">SUM(IF((Budget[Sort Code]=$B$6)*(Budget[Account Code]=$B75)*(Budget[Date]=G$7),Budget[Amount]))</f>
        <v>0</v>
      </c>
      <c r="H75" s="319">
        <f t="array" ref="H75">SUM(IF((Budget[Sort Code]=$B$6)*(Budget[Account Code]=$B75)*(Budget[Date]=H$7),Budget[Amount]))</f>
        <v>0</v>
      </c>
      <c r="I75" s="319">
        <f t="array" ref="I75">SUM(IF((Budget[Sort Code]=$B$6)*(Budget[Account Code]=$B75)*(Budget[Date]=I$7),Budget[Amount]))</f>
        <v>0</v>
      </c>
      <c r="J75" s="319">
        <f t="array" ref="J75">SUM(IF((Budget[Sort Code]=$B$6)*(Budget[Account Code]=$B75)*(Budget[Date]=J$7),Budget[Amount]))</f>
        <v>0</v>
      </c>
      <c r="K75" s="319">
        <f t="array" ref="K75">SUM(IF((Budget[Sort Code]=$B$6)*(Budget[Account Code]=$B75)*(Budget[Date]=K$7),Budget[Amount]))</f>
        <v>0</v>
      </c>
      <c r="L75" s="319">
        <f t="array" ref="L75">SUM(IF((Budget[Sort Code]=$B$6)*(Budget[Account Code]=$B75)*(Budget[Date]=L$7),Budget[Amount]))</f>
        <v>0</v>
      </c>
      <c r="M75" s="319">
        <f t="array" ref="M75">SUM(IF((Budget[Sort Code]=$B$6)*(Budget[Account Code]=$B75)*(Budget[Date]=M$7),Budget[Amount]))</f>
        <v>0</v>
      </c>
      <c r="N75" s="319">
        <f t="array" ref="N75">SUM(IF((Budget[Sort Code]=$B$6)*(Budget[Account Code]=$B75)*(Budget[Date]=N$7),Budget[Amount]))</f>
        <v>0</v>
      </c>
      <c r="O75" s="319">
        <f t="array" ref="O75">SUM(IF((Budget[Sort Code]=$B$6)*(Budget[Account Code]=$B75)*(Budget[Date]=O$7),Budget[Amount]))</f>
        <v>0</v>
      </c>
      <c r="P75" s="322">
        <f t="shared" si="2"/>
        <v>0</v>
      </c>
    </row>
    <row r="76" spans="1:16" s="171" customFormat="1" x14ac:dyDescent="0.25">
      <c r="A76" s="321" t="s">
        <v>902</v>
      </c>
      <c r="B76" s="317"/>
      <c r="C76" s="322">
        <f>SUM(D76:O76)</f>
        <v>0</v>
      </c>
      <c r="D76" s="322">
        <f>D47+D50+D65+D70+D75</f>
        <v>0</v>
      </c>
      <c r="E76" s="322">
        <f t="shared" ref="E76:O76" si="15">E47+E50+E65+E70+E75</f>
        <v>0</v>
      </c>
      <c r="F76" s="322">
        <f t="shared" si="15"/>
        <v>0</v>
      </c>
      <c r="G76" s="322">
        <f t="shared" si="15"/>
        <v>0</v>
      </c>
      <c r="H76" s="322">
        <f t="shared" si="15"/>
        <v>0</v>
      </c>
      <c r="I76" s="322">
        <f t="shared" si="15"/>
        <v>0</v>
      </c>
      <c r="J76" s="322">
        <f t="shared" si="15"/>
        <v>0</v>
      </c>
      <c r="K76" s="322">
        <f t="shared" si="15"/>
        <v>0</v>
      </c>
      <c r="L76" s="322">
        <f t="shared" si="15"/>
        <v>0</v>
      </c>
      <c r="M76" s="322">
        <f t="shared" si="15"/>
        <v>0</v>
      </c>
      <c r="N76" s="322">
        <f t="shared" si="15"/>
        <v>0</v>
      </c>
      <c r="O76" s="322">
        <f t="shared" si="15"/>
        <v>0</v>
      </c>
      <c r="P76" s="322">
        <f t="shared" ref="P76:P139" si="16">C76</f>
        <v>0</v>
      </c>
    </row>
    <row r="77" spans="1:16" s="171" customFormat="1" x14ac:dyDescent="0.25">
      <c r="A77" s="320" t="s">
        <v>903</v>
      </c>
      <c r="B77" s="317"/>
      <c r="C77" s="322">
        <f t="shared" ref="C77:C123" si="17">SUM(D77:O77)</f>
        <v>0</v>
      </c>
      <c r="D77" s="322">
        <f>D78+D79</f>
        <v>0</v>
      </c>
      <c r="E77" s="322">
        <f t="shared" ref="E77:O77" si="18">E78+E79</f>
        <v>0</v>
      </c>
      <c r="F77" s="322">
        <f t="shared" si="18"/>
        <v>0</v>
      </c>
      <c r="G77" s="322">
        <f t="shared" si="18"/>
        <v>0</v>
      </c>
      <c r="H77" s="322">
        <f t="shared" si="18"/>
        <v>0</v>
      </c>
      <c r="I77" s="322">
        <f t="shared" si="18"/>
        <v>0</v>
      </c>
      <c r="J77" s="322">
        <f t="shared" si="18"/>
        <v>0</v>
      </c>
      <c r="K77" s="322">
        <f t="shared" si="18"/>
        <v>0</v>
      </c>
      <c r="L77" s="322">
        <f t="shared" si="18"/>
        <v>0</v>
      </c>
      <c r="M77" s="322">
        <f t="shared" si="18"/>
        <v>0</v>
      </c>
      <c r="N77" s="322">
        <f t="shared" si="18"/>
        <v>0</v>
      </c>
      <c r="O77" s="322">
        <f t="shared" si="18"/>
        <v>0</v>
      </c>
      <c r="P77" s="322">
        <f t="shared" si="16"/>
        <v>0</v>
      </c>
    </row>
    <row r="78" spans="1:16" x14ac:dyDescent="0.25">
      <c r="A78" s="325" t="s">
        <v>904</v>
      </c>
      <c r="B78" s="317"/>
      <c r="C78" s="319">
        <f t="shared" si="17"/>
        <v>0</v>
      </c>
      <c r="D78" s="319">
        <f t="array" ref="D78">SUM(IF((Budget[Sort Code]=$B$6)*(Budget[Account Code]=$B78)*(Budget[Date]=D$7),Budget[Amount]))</f>
        <v>0</v>
      </c>
      <c r="E78" s="319">
        <f t="array" ref="E78">SUM(IF((Budget[Sort Code]=$B$6)*(Budget[Account Code]=$B78)*(Budget[Date]=E$7),Budget[Amount]))</f>
        <v>0</v>
      </c>
      <c r="F78" s="319">
        <f t="array" ref="F78">SUM(IF((Budget[Sort Code]=$B$6)*(Budget[Account Code]=$B78)*(Budget[Date]=F$7),Budget[Amount]))</f>
        <v>0</v>
      </c>
      <c r="G78" s="319">
        <f t="array" ref="G78">SUM(IF((Budget[Sort Code]=$B$6)*(Budget[Account Code]=$B78)*(Budget[Date]=G$7),Budget[Amount]))</f>
        <v>0</v>
      </c>
      <c r="H78" s="319">
        <f t="array" ref="H78">SUM(IF((Budget[Sort Code]=$B$6)*(Budget[Account Code]=$B78)*(Budget[Date]=H$7),Budget[Amount]))</f>
        <v>0</v>
      </c>
      <c r="I78" s="319">
        <f t="array" ref="I78">SUM(IF((Budget[Sort Code]=$B$6)*(Budget[Account Code]=$B78)*(Budget[Date]=I$7),Budget[Amount]))</f>
        <v>0</v>
      </c>
      <c r="J78" s="319">
        <f t="array" ref="J78">SUM(IF((Budget[Sort Code]=$B$6)*(Budget[Account Code]=$B78)*(Budget[Date]=J$7),Budget[Amount]))</f>
        <v>0</v>
      </c>
      <c r="K78" s="319">
        <f t="array" ref="K78">SUM(IF((Budget[Sort Code]=$B$6)*(Budget[Account Code]=$B78)*(Budget[Date]=K$7),Budget[Amount]))</f>
        <v>0</v>
      </c>
      <c r="L78" s="319">
        <f t="array" ref="L78">SUM(IF((Budget[Sort Code]=$B$6)*(Budget[Account Code]=$B78)*(Budget[Date]=L$7),Budget[Amount]))</f>
        <v>0</v>
      </c>
      <c r="M78" s="319">
        <f t="array" ref="M78">SUM(IF((Budget[Sort Code]=$B$6)*(Budget[Account Code]=$B78)*(Budget[Date]=M$7),Budget[Amount]))</f>
        <v>0</v>
      </c>
      <c r="N78" s="319">
        <f t="array" ref="N78">SUM(IF((Budget[Sort Code]=$B$6)*(Budget[Account Code]=$B78)*(Budget[Date]=N$7),Budget[Amount]))</f>
        <v>0</v>
      </c>
      <c r="O78" s="319">
        <f t="array" ref="O78">SUM(IF((Budget[Sort Code]=$B$6)*(Budget[Account Code]=$B78)*(Budget[Date]=O$7),Budget[Amount]))</f>
        <v>0</v>
      </c>
      <c r="P78" s="319">
        <f t="shared" si="16"/>
        <v>0</v>
      </c>
    </row>
    <row r="79" spans="1:16" x14ac:dyDescent="0.25">
      <c r="A79" s="325" t="s">
        <v>905</v>
      </c>
      <c r="B79" s="317" t="s">
        <v>212</v>
      </c>
      <c r="C79" s="319">
        <f t="shared" si="17"/>
        <v>0</v>
      </c>
      <c r="D79" s="319">
        <f t="array" ref="D79">SUM(IF((Budget[Sort Code]=$B$6)*(Budget[Account Code]=$B79)*(Budget[Date]=D$7),Budget[Amount]))</f>
        <v>0</v>
      </c>
      <c r="E79" s="319">
        <f t="array" ref="E79">SUM(IF((Budget[Sort Code]=$B$6)*(Budget[Account Code]=$B79)*(Budget[Date]=E$7),Budget[Amount]))</f>
        <v>0</v>
      </c>
      <c r="F79" s="319">
        <f t="array" ref="F79">SUM(IF((Budget[Sort Code]=$B$6)*(Budget[Account Code]=$B79)*(Budget[Date]=F$7),Budget[Amount]))</f>
        <v>0</v>
      </c>
      <c r="G79" s="319">
        <f t="array" ref="G79">SUM(IF((Budget[Sort Code]=$B$6)*(Budget[Account Code]=$B79)*(Budget[Date]=G$7),Budget[Amount]))</f>
        <v>0</v>
      </c>
      <c r="H79" s="319">
        <f t="array" ref="H79">SUM(IF((Budget[Sort Code]=$B$6)*(Budget[Account Code]=$B79)*(Budget[Date]=H$7),Budget[Amount]))</f>
        <v>0</v>
      </c>
      <c r="I79" s="319">
        <f t="array" ref="I79">SUM(IF((Budget[Sort Code]=$B$6)*(Budget[Account Code]=$B79)*(Budget[Date]=I$7),Budget[Amount]))</f>
        <v>0</v>
      </c>
      <c r="J79" s="319">
        <f t="array" ref="J79">SUM(IF((Budget[Sort Code]=$B$6)*(Budget[Account Code]=$B79)*(Budget[Date]=J$7),Budget[Amount]))</f>
        <v>0</v>
      </c>
      <c r="K79" s="319">
        <f t="array" ref="K79">SUM(IF((Budget[Sort Code]=$B$6)*(Budget[Account Code]=$B79)*(Budget[Date]=K$7),Budget[Amount]))</f>
        <v>0</v>
      </c>
      <c r="L79" s="319">
        <f t="array" ref="L79">SUM(IF((Budget[Sort Code]=$B$6)*(Budget[Account Code]=$B79)*(Budget[Date]=L$7),Budget[Amount]))</f>
        <v>0</v>
      </c>
      <c r="M79" s="319">
        <f t="array" ref="M79">SUM(IF((Budget[Sort Code]=$B$6)*(Budget[Account Code]=$B79)*(Budget[Date]=M$7),Budget[Amount]))</f>
        <v>0</v>
      </c>
      <c r="N79" s="319">
        <f t="array" ref="N79">SUM(IF((Budget[Sort Code]=$B$6)*(Budget[Account Code]=$B79)*(Budget[Date]=N$7),Budget[Amount]))</f>
        <v>0</v>
      </c>
      <c r="O79" s="319">
        <f t="array" ref="O79">SUM(IF((Budget[Sort Code]=$B$6)*(Budget[Account Code]=$B79)*(Budget[Date]=O$7),Budget[Amount]))</f>
        <v>0</v>
      </c>
      <c r="P79" s="319">
        <f t="shared" si="16"/>
        <v>0</v>
      </c>
    </row>
    <row r="80" spans="1:16" s="171" customFormat="1" x14ac:dyDescent="0.25">
      <c r="A80" s="320" t="s">
        <v>906</v>
      </c>
      <c r="B80" s="317"/>
      <c r="C80" s="322">
        <f t="shared" si="17"/>
        <v>0</v>
      </c>
      <c r="D80" s="322">
        <f>D76+D77</f>
        <v>0</v>
      </c>
      <c r="E80" s="322">
        <f t="shared" ref="E80:O80" si="19">E76+E77</f>
        <v>0</v>
      </c>
      <c r="F80" s="322">
        <f t="shared" si="19"/>
        <v>0</v>
      </c>
      <c r="G80" s="322">
        <f t="shared" si="19"/>
        <v>0</v>
      </c>
      <c r="H80" s="322">
        <f t="shared" si="19"/>
        <v>0</v>
      </c>
      <c r="I80" s="322">
        <f t="shared" si="19"/>
        <v>0</v>
      </c>
      <c r="J80" s="322">
        <f t="shared" si="19"/>
        <v>0</v>
      </c>
      <c r="K80" s="322">
        <f t="shared" si="19"/>
        <v>0</v>
      </c>
      <c r="L80" s="322">
        <f t="shared" si="19"/>
        <v>0</v>
      </c>
      <c r="M80" s="322">
        <f t="shared" si="19"/>
        <v>0</v>
      </c>
      <c r="N80" s="322">
        <f t="shared" si="19"/>
        <v>0</v>
      </c>
      <c r="O80" s="322">
        <f t="shared" si="19"/>
        <v>0</v>
      </c>
      <c r="P80" s="322">
        <f t="shared" si="16"/>
        <v>0</v>
      </c>
    </row>
    <row r="81" spans="1:16" s="171" customFormat="1" x14ac:dyDescent="0.25">
      <c r="A81" s="320"/>
      <c r="B81" s="317"/>
      <c r="C81" s="322"/>
      <c r="D81" s="322"/>
      <c r="E81" s="322"/>
      <c r="F81" s="322"/>
      <c r="G81" s="322"/>
      <c r="H81" s="322"/>
      <c r="I81" s="322"/>
      <c r="J81" s="322"/>
      <c r="K81" s="322"/>
      <c r="L81" s="322"/>
      <c r="M81" s="322"/>
      <c r="N81" s="322"/>
      <c r="O81" s="322"/>
      <c r="P81" s="322">
        <f t="shared" si="16"/>
        <v>0</v>
      </c>
    </row>
    <row r="82" spans="1:16" s="171" customFormat="1" hidden="1" x14ac:dyDescent="0.25">
      <c r="A82" s="320" t="s">
        <v>907</v>
      </c>
      <c r="B82" s="317"/>
      <c r="C82" s="322">
        <f>C80-C61-C62-C71-C72-C74-C78-C79</f>
        <v>0</v>
      </c>
      <c r="D82" s="322"/>
      <c r="E82" s="322"/>
      <c r="F82" s="322"/>
      <c r="G82" s="322"/>
      <c r="H82" s="322"/>
      <c r="I82" s="322"/>
      <c r="J82" s="322"/>
      <c r="K82" s="322"/>
      <c r="L82" s="322"/>
      <c r="M82" s="322"/>
      <c r="N82" s="322"/>
      <c r="O82" s="322"/>
      <c r="P82" s="322">
        <f t="shared" si="16"/>
        <v>0</v>
      </c>
    </row>
    <row r="83" spans="1:16" s="171" customFormat="1" hidden="1" x14ac:dyDescent="0.25">
      <c r="A83" s="320"/>
      <c r="B83" s="317"/>
      <c r="C83" s="322"/>
      <c r="D83" s="322"/>
      <c r="E83" s="322"/>
      <c r="F83" s="322"/>
      <c r="G83" s="322"/>
      <c r="H83" s="322"/>
      <c r="I83" s="322"/>
      <c r="J83" s="322"/>
      <c r="K83" s="322"/>
      <c r="L83" s="322"/>
      <c r="M83" s="322"/>
      <c r="N83" s="322"/>
      <c r="O83" s="322"/>
      <c r="P83" s="322">
        <f t="shared" si="16"/>
        <v>0</v>
      </c>
    </row>
    <row r="84" spans="1:16" s="171" customFormat="1" hidden="1" x14ac:dyDescent="0.25">
      <c r="A84" s="320"/>
      <c r="B84" s="317"/>
      <c r="C84" s="322"/>
      <c r="D84" s="322"/>
      <c r="E84" s="322"/>
      <c r="F84" s="322"/>
      <c r="G84" s="322"/>
      <c r="H84" s="322"/>
      <c r="I84" s="322"/>
      <c r="J84" s="322"/>
      <c r="K84" s="322"/>
      <c r="L84" s="322"/>
      <c r="M84" s="322"/>
      <c r="N84" s="322"/>
      <c r="O84" s="322"/>
      <c r="P84" s="322">
        <f t="shared" si="16"/>
        <v>0</v>
      </c>
    </row>
    <row r="85" spans="1:16" s="171" customFormat="1" hidden="1" x14ac:dyDescent="0.25">
      <c r="A85" s="320"/>
      <c r="B85" s="317"/>
      <c r="C85" s="322"/>
      <c r="D85" s="322"/>
      <c r="E85" s="322"/>
      <c r="F85" s="322"/>
      <c r="G85" s="322"/>
      <c r="H85" s="322"/>
      <c r="I85" s="322"/>
      <c r="J85" s="322"/>
      <c r="K85" s="322"/>
      <c r="L85" s="322"/>
      <c r="M85" s="322"/>
      <c r="N85" s="322"/>
      <c r="O85" s="322"/>
      <c r="P85" s="322">
        <f t="shared" si="16"/>
        <v>0</v>
      </c>
    </row>
    <row r="86" spans="1:16" x14ac:dyDescent="0.25">
      <c r="A86" s="320" t="s">
        <v>908</v>
      </c>
      <c r="B86" s="317"/>
      <c r="C86" s="319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>
        <f t="shared" si="16"/>
        <v>0</v>
      </c>
    </row>
    <row r="87" spans="1:16" s="171" customFormat="1" x14ac:dyDescent="0.25">
      <c r="A87" s="321" t="s">
        <v>909</v>
      </c>
      <c r="B87" s="317" t="s">
        <v>223</v>
      </c>
      <c r="C87" s="322">
        <f t="shared" si="17"/>
        <v>0</v>
      </c>
      <c r="D87" s="319">
        <f t="array" ref="D87">SUM(IF((Budget[Sort Code]=$B$6)*(Budget[Account Code]=$B87)*(Budget[Date]=D$7),Budget[Amount]))</f>
        <v>0</v>
      </c>
      <c r="E87" s="319">
        <f t="array" ref="E87">SUM(IF((Budget[Sort Code]=$B$6)*(Budget[Account Code]=$B87)*(Budget[Date]=E$7),Budget[Amount]))</f>
        <v>0</v>
      </c>
      <c r="F87" s="319">
        <f t="array" ref="F87">SUM(IF((Budget[Sort Code]=$B$6)*(Budget[Account Code]=$B87)*(Budget[Date]=F$7),Budget[Amount]))</f>
        <v>0</v>
      </c>
      <c r="G87" s="319">
        <f t="array" ref="G87">SUM(IF((Budget[Sort Code]=$B$6)*(Budget[Account Code]=$B87)*(Budget[Date]=G$7),Budget[Amount]))</f>
        <v>0</v>
      </c>
      <c r="H87" s="319">
        <f t="array" ref="H87">SUM(IF((Budget[Sort Code]=$B$6)*(Budget[Account Code]=$B87)*(Budget[Date]=H$7),Budget[Amount]))</f>
        <v>0</v>
      </c>
      <c r="I87" s="319">
        <f t="array" ref="I87">SUM(IF((Budget[Sort Code]=$B$6)*(Budget[Account Code]=$B87)*(Budget[Date]=I$7),Budget[Amount]))</f>
        <v>0</v>
      </c>
      <c r="J87" s="319">
        <f t="array" ref="J87">SUM(IF((Budget[Sort Code]=$B$6)*(Budget[Account Code]=$B87)*(Budget[Date]=J$7),Budget[Amount]))</f>
        <v>0</v>
      </c>
      <c r="K87" s="319">
        <f t="array" ref="K87">SUM(IF((Budget[Sort Code]=$B$6)*(Budget[Account Code]=$B87)*(Budget[Date]=K$7),Budget[Amount]))</f>
        <v>0</v>
      </c>
      <c r="L87" s="319">
        <f t="array" ref="L87">SUM(IF((Budget[Sort Code]=$B$6)*(Budget[Account Code]=$B87)*(Budget[Date]=L$7),Budget[Amount]))</f>
        <v>0</v>
      </c>
      <c r="M87" s="319">
        <f t="array" ref="M87">SUM(IF((Budget[Sort Code]=$B$6)*(Budget[Account Code]=$B87)*(Budget[Date]=M$7),Budget[Amount]))</f>
        <v>0</v>
      </c>
      <c r="N87" s="319">
        <f t="array" ref="N87">SUM(IF((Budget[Sort Code]=$B$6)*(Budget[Account Code]=$B87)*(Budget[Date]=N$7),Budget[Amount]))</f>
        <v>0</v>
      </c>
      <c r="O87" s="319">
        <f t="array" ref="O87">SUM(IF((Budget[Sort Code]=$B$6)*(Budget[Account Code]=$B87)*(Budget[Date]=O$7),Budget[Amount]))</f>
        <v>0</v>
      </c>
      <c r="P87" s="322">
        <f t="shared" si="16"/>
        <v>0</v>
      </c>
    </row>
    <row r="88" spans="1:16" s="171" customFormat="1" x14ac:dyDescent="0.25">
      <c r="A88" s="321" t="s">
        <v>910</v>
      </c>
      <c r="B88" s="317" t="s">
        <v>224</v>
      </c>
      <c r="C88" s="322">
        <f t="shared" si="17"/>
        <v>0</v>
      </c>
      <c r="D88" s="319">
        <f t="array" ref="D88">SUM(IF((Budget[Sort Code]=$B$6)*(Budget[Account Code]=$B88)*(Budget[Date]=D$7),Budget[Amount]))</f>
        <v>0</v>
      </c>
      <c r="E88" s="319">
        <f t="array" ref="E88">SUM(IF((Budget[Sort Code]=$B$6)*(Budget[Account Code]=$B88)*(Budget[Date]=E$7),Budget[Amount]))</f>
        <v>0</v>
      </c>
      <c r="F88" s="319">
        <f t="array" ref="F88">SUM(IF((Budget[Sort Code]=$B$6)*(Budget[Account Code]=$B88)*(Budget[Date]=F$7),Budget[Amount]))</f>
        <v>0</v>
      </c>
      <c r="G88" s="319">
        <f t="array" ref="G88">SUM(IF((Budget[Sort Code]=$B$6)*(Budget[Account Code]=$B88)*(Budget[Date]=G$7),Budget[Amount]))</f>
        <v>0</v>
      </c>
      <c r="H88" s="319">
        <f t="array" ref="H88">SUM(IF((Budget[Sort Code]=$B$6)*(Budget[Account Code]=$B88)*(Budget[Date]=H$7),Budget[Amount]))</f>
        <v>0</v>
      </c>
      <c r="I88" s="319">
        <f t="array" ref="I88">SUM(IF((Budget[Sort Code]=$B$6)*(Budget[Account Code]=$B88)*(Budget[Date]=I$7),Budget[Amount]))</f>
        <v>0</v>
      </c>
      <c r="J88" s="319">
        <f t="array" ref="J88">SUM(IF((Budget[Sort Code]=$B$6)*(Budget[Account Code]=$B88)*(Budget[Date]=J$7),Budget[Amount]))</f>
        <v>0</v>
      </c>
      <c r="K88" s="319">
        <f t="array" ref="K88">SUM(IF((Budget[Sort Code]=$B$6)*(Budget[Account Code]=$B88)*(Budget[Date]=K$7),Budget[Amount]))</f>
        <v>0</v>
      </c>
      <c r="L88" s="319">
        <f t="array" ref="L88">SUM(IF((Budget[Sort Code]=$B$6)*(Budget[Account Code]=$B88)*(Budget[Date]=L$7),Budget[Amount]))</f>
        <v>0</v>
      </c>
      <c r="M88" s="319">
        <f t="array" ref="M88">SUM(IF((Budget[Sort Code]=$B$6)*(Budget[Account Code]=$B88)*(Budget[Date]=M$7),Budget[Amount]))</f>
        <v>0</v>
      </c>
      <c r="N88" s="319">
        <f t="array" ref="N88">SUM(IF((Budget[Sort Code]=$B$6)*(Budget[Account Code]=$B88)*(Budget[Date]=N$7),Budget[Amount]))</f>
        <v>0</v>
      </c>
      <c r="O88" s="319">
        <f t="array" ref="O88">SUM(IF((Budget[Sort Code]=$B$6)*(Budget[Account Code]=$B88)*(Budget[Date]=O$7),Budget[Amount]))</f>
        <v>0</v>
      </c>
      <c r="P88" s="322">
        <f t="shared" si="16"/>
        <v>0</v>
      </c>
    </row>
    <row r="89" spans="1:16" s="171" customFormat="1" x14ac:dyDescent="0.25">
      <c r="A89" s="321" t="s">
        <v>911</v>
      </c>
      <c r="B89" s="317"/>
      <c r="C89" s="322">
        <f t="shared" si="17"/>
        <v>0</v>
      </c>
      <c r="D89" s="322">
        <f>SUM(D90:D96)</f>
        <v>0</v>
      </c>
      <c r="E89" s="322">
        <f t="shared" ref="E89:O89" si="20">SUM(E90:E96)</f>
        <v>0</v>
      </c>
      <c r="F89" s="322">
        <f t="shared" si="20"/>
        <v>0</v>
      </c>
      <c r="G89" s="322">
        <f t="shared" si="20"/>
        <v>0</v>
      </c>
      <c r="H89" s="322">
        <f t="shared" si="20"/>
        <v>0</v>
      </c>
      <c r="I89" s="322">
        <f t="shared" si="20"/>
        <v>0</v>
      </c>
      <c r="J89" s="322">
        <f t="shared" si="20"/>
        <v>0</v>
      </c>
      <c r="K89" s="322">
        <f t="shared" si="20"/>
        <v>0</v>
      </c>
      <c r="L89" s="322">
        <f t="shared" si="20"/>
        <v>0</v>
      </c>
      <c r="M89" s="322">
        <f t="shared" si="20"/>
        <v>0</v>
      </c>
      <c r="N89" s="322">
        <f t="shared" si="20"/>
        <v>0</v>
      </c>
      <c r="O89" s="322">
        <f t="shared" si="20"/>
        <v>0</v>
      </c>
      <c r="P89" s="322">
        <f t="shared" si="16"/>
        <v>0</v>
      </c>
    </row>
    <row r="90" spans="1:16" x14ac:dyDescent="0.25">
      <c r="A90" s="323" t="s">
        <v>912</v>
      </c>
      <c r="B90" s="317" t="s">
        <v>225</v>
      </c>
      <c r="C90" s="319">
        <f t="shared" si="17"/>
        <v>0</v>
      </c>
      <c r="D90" s="319">
        <f t="array" ref="D90">SUM(IF((Budget[Sort Code]=$B$6)*(Budget[Account Code]=$B90)*(Budget[Date]=D$7),Budget[Amount]))</f>
        <v>0</v>
      </c>
      <c r="E90" s="319">
        <f t="array" ref="E90">SUM(IF((Budget[Sort Code]=$B$6)*(Budget[Account Code]=$B90)*(Budget[Date]=E$7),Budget[Amount]))</f>
        <v>0</v>
      </c>
      <c r="F90" s="319">
        <f t="array" ref="F90">SUM(IF((Budget[Sort Code]=$B$6)*(Budget[Account Code]=$B90)*(Budget[Date]=F$7),Budget[Amount]))</f>
        <v>0</v>
      </c>
      <c r="G90" s="319">
        <f t="array" ref="G90">SUM(IF((Budget[Sort Code]=$B$6)*(Budget[Account Code]=$B90)*(Budget[Date]=G$7),Budget[Amount]))</f>
        <v>0</v>
      </c>
      <c r="H90" s="319">
        <f t="array" ref="H90">SUM(IF((Budget[Sort Code]=$B$6)*(Budget[Account Code]=$B90)*(Budget[Date]=H$7),Budget[Amount]))</f>
        <v>0</v>
      </c>
      <c r="I90" s="319">
        <f t="array" ref="I90">SUM(IF((Budget[Sort Code]=$B$6)*(Budget[Account Code]=$B90)*(Budget[Date]=I$7),Budget[Amount]))</f>
        <v>0</v>
      </c>
      <c r="J90" s="319">
        <f t="array" ref="J90">SUM(IF((Budget[Sort Code]=$B$6)*(Budget[Account Code]=$B90)*(Budget[Date]=J$7),Budget[Amount]))</f>
        <v>0</v>
      </c>
      <c r="K90" s="319">
        <f t="array" ref="K90">SUM(IF((Budget[Sort Code]=$B$6)*(Budget[Account Code]=$B90)*(Budget[Date]=K$7),Budget[Amount]))</f>
        <v>0</v>
      </c>
      <c r="L90" s="319">
        <f t="array" ref="L90">SUM(IF((Budget[Sort Code]=$B$6)*(Budget[Account Code]=$B90)*(Budget[Date]=L$7),Budget[Amount]))</f>
        <v>0</v>
      </c>
      <c r="M90" s="319">
        <f t="array" ref="M90">SUM(IF((Budget[Sort Code]=$B$6)*(Budget[Account Code]=$B90)*(Budget[Date]=M$7),Budget[Amount]))</f>
        <v>0</v>
      </c>
      <c r="N90" s="319">
        <f t="array" ref="N90">SUM(IF((Budget[Sort Code]=$B$6)*(Budget[Account Code]=$B90)*(Budget[Date]=N$7),Budget[Amount]))</f>
        <v>0</v>
      </c>
      <c r="O90" s="319">
        <f t="array" ref="O90">SUM(IF((Budget[Sort Code]=$B$6)*(Budget[Account Code]=$B90)*(Budget[Date]=O$7),Budget[Amount]))</f>
        <v>0</v>
      </c>
      <c r="P90" s="319">
        <f t="shared" si="16"/>
        <v>0</v>
      </c>
    </row>
    <row r="91" spans="1:16" x14ac:dyDescent="0.25">
      <c r="A91" s="323" t="s">
        <v>913</v>
      </c>
      <c r="B91" s="317" t="s">
        <v>226</v>
      </c>
      <c r="C91" s="319">
        <f t="shared" si="17"/>
        <v>0</v>
      </c>
      <c r="D91" s="319">
        <f t="array" ref="D91">SUM(IF((Budget[Sort Code]=$B$6)*(Budget[Account Code]=$B91)*(Budget[Date]=D$7),Budget[Amount]))</f>
        <v>0</v>
      </c>
      <c r="E91" s="319">
        <f t="array" ref="E91">SUM(IF((Budget[Sort Code]=$B$6)*(Budget[Account Code]=$B91)*(Budget[Date]=E$7),Budget[Amount]))</f>
        <v>0</v>
      </c>
      <c r="F91" s="319">
        <f t="array" ref="F91">SUM(IF((Budget[Sort Code]=$B$6)*(Budget[Account Code]=$B91)*(Budget[Date]=F$7),Budget[Amount]))</f>
        <v>0</v>
      </c>
      <c r="G91" s="319">
        <f t="array" ref="G91">SUM(IF((Budget[Sort Code]=$B$6)*(Budget[Account Code]=$B91)*(Budget[Date]=G$7),Budget[Amount]))</f>
        <v>0</v>
      </c>
      <c r="H91" s="319">
        <f t="array" ref="H91">SUM(IF((Budget[Sort Code]=$B$6)*(Budget[Account Code]=$B91)*(Budget[Date]=H$7),Budget[Amount]))</f>
        <v>0</v>
      </c>
      <c r="I91" s="319">
        <f t="array" ref="I91">SUM(IF((Budget[Sort Code]=$B$6)*(Budget[Account Code]=$B91)*(Budget[Date]=I$7),Budget[Amount]))</f>
        <v>0</v>
      </c>
      <c r="J91" s="319">
        <f t="array" ref="J91">SUM(IF((Budget[Sort Code]=$B$6)*(Budget[Account Code]=$B91)*(Budget[Date]=J$7),Budget[Amount]))</f>
        <v>0</v>
      </c>
      <c r="K91" s="319">
        <f t="array" ref="K91">SUM(IF((Budget[Sort Code]=$B$6)*(Budget[Account Code]=$B91)*(Budget[Date]=K$7),Budget[Amount]))</f>
        <v>0</v>
      </c>
      <c r="L91" s="319">
        <f t="array" ref="L91">SUM(IF((Budget[Sort Code]=$B$6)*(Budget[Account Code]=$B91)*(Budget[Date]=L$7),Budget[Amount]))</f>
        <v>0</v>
      </c>
      <c r="M91" s="319">
        <f t="array" ref="M91">SUM(IF((Budget[Sort Code]=$B$6)*(Budget[Account Code]=$B91)*(Budget[Date]=M$7),Budget[Amount]))</f>
        <v>0</v>
      </c>
      <c r="N91" s="319">
        <f t="array" ref="N91">SUM(IF((Budget[Sort Code]=$B$6)*(Budget[Account Code]=$B91)*(Budget[Date]=N$7),Budget[Amount]))</f>
        <v>0</v>
      </c>
      <c r="O91" s="319">
        <f t="array" ref="O91">SUM(IF((Budget[Sort Code]=$B$6)*(Budget[Account Code]=$B91)*(Budget[Date]=O$7),Budget[Amount]))</f>
        <v>0</v>
      </c>
      <c r="P91" s="319">
        <f t="shared" si="16"/>
        <v>0</v>
      </c>
    </row>
    <row r="92" spans="1:16" x14ac:dyDescent="0.25">
      <c r="A92" s="323" t="s">
        <v>914</v>
      </c>
      <c r="B92" s="317" t="s">
        <v>227</v>
      </c>
      <c r="C92" s="319">
        <f t="shared" si="17"/>
        <v>0</v>
      </c>
      <c r="D92" s="319">
        <f t="array" ref="D92">SUM(IF((Budget[Sort Code]=$B$6)*(Budget[Account Code]=$B92)*(Budget[Date]=D$7),Budget[Amount]))</f>
        <v>0</v>
      </c>
      <c r="E92" s="319">
        <f t="array" ref="E92">SUM(IF((Budget[Sort Code]=$B$6)*(Budget[Account Code]=$B92)*(Budget[Date]=E$7),Budget[Amount]))</f>
        <v>0</v>
      </c>
      <c r="F92" s="319">
        <f t="array" ref="F92">SUM(IF((Budget[Sort Code]=$B$6)*(Budget[Account Code]=$B92)*(Budget[Date]=F$7),Budget[Amount]))</f>
        <v>0</v>
      </c>
      <c r="G92" s="319">
        <f t="array" ref="G92">SUM(IF((Budget[Sort Code]=$B$6)*(Budget[Account Code]=$B92)*(Budget[Date]=G$7),Budget[Amount]))</f>
        <v>0</v>
      </c>
      <c r="H92" s="319">
        <f t="array" ref="H92">SUM(IF((Budget[Sort Code]=$B$6)*(Budget[Account Code]=$B92)*(Budget[Date]=H$7),Budget[Amount]))</f>
        <v>0</v>
      </c>
      <c r="I92" s="319">
        <f t="array" ref="I92">SUM(IF((Budget[Sort Code]=$B$6)*(Budget[Account Code]=$B92)*(Budget[Date]=I$7),Budget[Amount]))</f>
        <v>0</v>
      </c>
      <c r="J92" s="319">
        <f t="array" ref="J92">SUM(IF((Budget[Sort Code]=$B$6)*(Budget[Account Code]=$B92)*(Budget[Date]=J$7),Budget[Amount]))</f>
        <v>0</v>
      </c>
      <c r="K92" s="319">
        <f t="array" ref="K92">SUM(IF((Budget[Sort Code]=$B$6)*(Budget[Account Code]=$B92)*(Budget[Date]=K$7),Budget[Amount]))</f>
        <v>0</v>
      </c>
      <c r="L92" s="319">
        <f t="array" ref="L92">SUM(IF((Budget[Sort Code]=$B$6)*(Budget[Account Code]=$B92)*(Budget[Date]=L$7),Budget[Amount]))</f>
        <v>0</v>
      </c>
      <c r="M92" s="319">
        <f t="array" ref="M92">SUM(IF((Budget[Sort Code]=$B$6)*(Budget[Account Code]=$B92)*(Budget[Date]=M$7),Budget[Amount]))</f>
        <v>0</v>
      </c>
      <c r="N92" s="319">
        <f t="array" ref="N92">SUM(IF((Budget[Sort Code]=$B$6)*(Budget[Account Code]=$B92)*(Budget[Date]=N$7),Budget[Amount]))</f>
        <v>0</v>
      </c>
      <c r="O92" s="319">
        <f t="array" ref="O92">SUM(IF((Budget[Sort Code]=$B$6)*(Budget[Account Code]=$B92)*(Budget[Date]=O$7),Budget[Amount]))</f>
        <v>0</v>
      </c>
      <c r="P92" s="319">
        <f t="shared" si="16"/>
        <v>0</v>
      </c>
    </row>
    <row r="93" spans="1:16" x14ac:dyDescent="0.25">
      <c r="A93" s="323" t="s">
        <v>915</v>
      </c>
      <c r="B93" s="317" t="s">
        <v>228</v>
      </c>
      <c r="C93" s="319">
        <f t="shared" si="17"/>
        <v>0</v>
      </c>
      <c r="D93" s="319">
        <f t="array" ref="D93">SUM(IF((Budget[Sort Code]=$B$6)*(Budget[Account Code]=$B93)*(Budget[Date]=D$7),Budget[Amount]))</f>
        <v>0</v>
      </c>
      <c r="E93" s="319">
        <f t="array" ref="E93">SUM(IF((Budget[Sort Code]=$B$6)*(Budget[Account Code]=$B93)*(Budget[Date]=E$7),Budget[Amount]))</f>
        <v>0</v>
      </c>
      <c r="F93" s="319">
        <f t="array" ref="F93">SUM(IF((Budget[Sort Code]=$B$6)*(Budget[Account Code]=$B93)*(Budget[Date]=F$7),Budget[Amount]))</f>
        <v>0</v>
      </c>
      <c r="G93" s="319">
        <f t="array" ref="G93">SUM(IF((Budget[Sort Code]=$B$6)*(Budget[Account Code]=$B93)*(Budget[Date]=G$7),Budget[Amount]))</f>
        <v>0</v>
      </c>
      <c r="H93" s="319">
        <f t="array" ref="H93">SUM(IF((Budget[Sort Code]=$B$6)*(Budget[Account Code]=$B93)*(Budget[Date]=H$7),Budget[Amount]))</f>
        <v>0</v>
      </c>
      <c r="I93" s="319">
        <f t="array" ref="I93">SUM(IF((Budget[Sort Code]=$B$6)*(Budget[Account Code]=$B93)*(Budget[Date]=I$7),Budget[Amount]))</f>
        <v>0</v>
      </c>
      <c r="J93" s="319">
        <f t="array" ref="J93">SUM(IF((Budget[Sort Code]=$B$6)*(Budget[Account Code]=$B93)*(Budget[Date]=J$7),Budget[Amount]))</f>
        <v>0</v>
      </c>
      <c r="K93" s="319">
        <f t="array" ref="K93">SUM(IF((Budget[Sort Code]=$B$6)*(Budget[Account Code]=$B93)*(Budget[Date]=K$7),Budget[Amount]))</f>
        <v>0</v>
      </c>
      <c r="L93" s="319">
        <f t="array" ref="L93">SUM(IF((Budget[Sort Code]=$B$6)*(Budget[Account Code]=$B93)*(Budget[Date]=L$7),Budget[Amount]))</f>
        <v>0</v>
      </c>
      <c r="M93" s="319">
        <f t="array" ref="M93">SUM(IF((Budget[Sort Code]=$B$6)*(Budget[Account Code]=$B93)*(Budget[Date]=M$7),Budget[Amount]))</f>
        <v>0</v>
      </c>
      <c r="N93" s="319">
        <f t="array" ref="N93">SUM(IF((Budget[Sort Code]=$B$6)*(Budget[Account Code]=$B93)*(Budget[Date]=N$7),Budget[Amount]))</f>
        <v>0</v>
      </c>
      <c r="O93" s="319">
        <f t="array" ref="O93">SUM(IF((Budget[Sort Code]=$B$6)*(Budget[Account Code]=$B93)*(Budget[Date]=O$7),Budget[Amount]))</f>
        <v>0</v>
      </c>
      <c r="P93" s="319">
        <f t="shared" si="16"/>
        <v>0</v>
      </c>
    </row>
    <row r="94" spans="1:16" x14ac:dyDescent="0.25">
      <c r="A94" s="323" t="s">
        <v>916</v>
      </c>
      <c r="B94" s="317" t="s">
        <v>229</v>
      </c>
      <c r="C94" s="319">
        <f t="shared" si="17"/>
        <v>0</v>
      </c>
      <c r="D94" s="319">
        <f t="array" ref="D94">SUM(IF((Budget[Sort Code]=$B$6)*(Budget[Account Code]=$B94)*(Budget[Date]=D$7),Budget[Amount]))</f>
        <v>0</v>
      </c>
      <c r="E94" s="319">
        <f t="array" ref="E94">SUM(IF((Budget[Sort Code]=$B$6)*(Budget[Account Code]=$B94)*(Budget[Date]=E$7),Budget[Amount]))</f>
        <v>0</v>
      </c>
      <c r="F94" s="319">
        <f t="array" ref="F94">SUM(IF((Budget[Sort Code]=$B$6)*(Budget[Account Code]=$B94)*(Budget[Date]=F$7),Budget[Amount]))</f>
        <v>0</v>
      </c>
      <c r="G94" s="319">
        <f t="array" ref="G94">SUM(IF((Budget[Sort Code]=$B$6)*(Budget[Account Code]=$B94)*(Budget[Date]=G$7),Budget[Amount]))</f>
        <v>0</v>
      </c>
      <c r="H94" s="319">
        <f t="array" ref="H94">SUM(IF((Budget[Sort Code]=$B$6)*(Budget[Account Code]=$B94)*(Budget[Date]=H$7),Budget[Amount]))</f>
        <v>0</v>
      </c>
      <c r="I94" s="319">
        <f t="array" ref="I94">SUM(IF((Budget[Sort Code]=$B$6)*(Budget[Account Code]=$B94)*(Budget[Date]=I$7),Budget[Amount]))</f>
        <v>0</v>
      </c>
      <c r="J94" s="319">
        <f t="array" ref="J94">SUM(IF((Budget[Sort Code]=$B$6)*(Budget[Account Code]=$B94)*(Budget[Date]=J$7),Budget[Amount]))</f>
        <v>0</v>
      </c>
      <c r="K94" s="319">
        <f t="array" ref="K94">SUM(IF((Budget[Sort Code]=$B$6)*(Budget[Account Code]=$B94)*(Budget[Date]=K$7),Budget[Amount]))</f>
        <v>0</v>
      </c>
      <c r="L94" s="319">
        <f t="array" ref="L94">SUM(IF((Budget[Sort Code]=$B$6)*(Budget[Account Code]=$B94)*(Budget[Date]=L$7),Budget[Amount]))</f>
        <v>0</v>
      </c>
      <c r="M94" s="319">
        <f t="array" ref="M94">SUM(IF((Budget[Sort Code]=$B$6)*(Budget[Account Code]=$B94)*(Budget[Date]=M$7),Budget[Amount]))</f>
        <v>0</v>
      </c>
      <c r="N94" s="319">
        <f t="array" ref="N94">SUM(IF((Budget[Sort Code]=$B$6)*(Budget[Account Code]=$B94)*(Budget[Date]=N$7),Budget[Amount]))</f>
        <v>0</v>
      </c>
      <c r="O94" s="319">
        <f t="array" ref="O94">SUM(IF((Budget[Sort Code]=$B$6)*(Budget[Account Code]=$B94)*(Budget[Date]=O$7),Budget[Amount]))</f>
        <v>0</v>
      </c>
      <c r="P94" s="319">
        <f t="shared" si="16"/>
        <v>0</v>
      </c>
    </row>
    <row r="95" spans="1:16" x14ac:dyDescent="0.25">
      <c r="A95" s="323" t="s">
        <v>917</v>
      </c>
      <c r="B95" s="317" t="s">
        <v>230</v>
      </c>
      <c r="C95" s="319">
        <f t="shared" si="17"/>
        <v>0</v>
      </c>
      <c r="D95" s="319">
        <f t="array" ref="D95">SUM(IF((Budget[Sort Code]=$B$6)*(Budget[Account Code]=$B95)*(Budget[Date]=D$7),Budget[Amount]))</f>
        <v>0</v>
      </c>
      <c r="E95" s="319">
        <f t="array" ref="E95">SUM(IF((Budget[Sort Code]=$B$6)*(Budget[Account Code]=$B95)*(Budget[Date]=E$7),Budget[Amount]))</f>
        <v>0</v>
      </c>
      <c r="F95" s="319">
        <f t="array" ref="F95">SUM(IF((Budget[Sort Code]=$B$6)*(Budget[Account Code]=$B95)*(Budget[Date]=F$7),Budget[Amount]))</f>
        <v>0</v>
      </c>
      <c r="G95" s="319">
        <f t="array" ref="G95">SUM(IF((Budget[Sort Code]=$B$6)*(Budget[Account Code]=$B95)*(Budget[Date]=G$7),Budget[Amount]))</f>
        <v>0</v>
      </c>
      <c r="H95" s="319">
        <f t="array" ref="H95">SUM(IF((Budget[Sort Code]=$B$6)*(Budget[Account Code]=$B95)*(Budget[Date]=H$7),Budget[Amount]))</f>
        <v>0</v>
      </c>
      <c r="I95" s="319">
        <f t="array" ref="I95">SUM(IF((Budget[Sort Code]=$B$6)*(Budget[Account Code]=$B95)*(Budget[Date]=I$7),Budget[Amount]))</f>
        <v>0</v>
      </c>
      <c r="J95" s="319">
        <f t="array" ref="J95">SUM(IF((Budget[Sort Code]=$B$6)*(Budget[Account Code]=$B95)*(Budget[Date]=J$7),Budget[Amount]))</f>
        <v>0</v>
      </c>
      <c r="K95" s="319">
        <f t="array" ref="K95">SUM(IF((Budget[Sort Code]=$B$6)*(Budget[Account Code]=$B95)*(Budget[Date]=K$7),Budget[Amount]))</f>
        <v>0</v>
      </c>
      <c r="L95" s="319">
        <f t="array" ref="L95">SUM(IF((Budget[Sort Code]=$B$6)*(Budget[Account Code]=$B95)*(Budget[Date]=L$7),Budget[Amount]))</f>
        <v>0</v>
      </c>
      <c r="M95" s="319">
        <f t="array" ref="M95">SUM(IF((Budget[Sort Code]=$B$6)*(Budget[Account Code]=$B95)*(Budget[Date]=M$7),Budget[Amount]))</f>
        <v>0</v>
      </c>
      <c r="N95" s="319">
        <f t="array" ref="N95">SUM(IF((Budget[Sort Code]=$B$6)*(Budget[Account Code]=$B95)*(Budget[Date]=N$7),Budget[Amount]))</f>
        <v>0</v>
      </c>
      <c r="O95" s="319">
        <f t="array" ref="O95">SUM(IF((Budget[Sort Code]=$B$6)*(Budget[Account Code]=$B95)*(Budget[Date]=O$7),Budget[Amount]))</f>
        <v>0</v>
      </c>
      <c r="P95" s="319">
        <f t="shared" si="16"/>
        <v>0</v>
      </c>
    </row>
    <row r="96" spans="1:16" x14ac:dyDescent="0.25">
      <c r="A96" s="323" t="s">
        <v>918</v>
      </c>
      <c r="B96" s="317" t="s">
        <v>231</v>
      </c>
      <c r="C96" s="319">
        <f t="shared" si="17"/>
        <v>0</v>
      </c>
      <c r="D96" s="319">
        <f t="array" ref="D96">SUM(IF((Budget[Sort Code]=$B$6)*(Budget[Account Code]=$B96)*(Budget[Date]=D$7),Budget[Amount]))</f>
        <v>0</v>
      </c>
      <c r="E96" s="319">
        <f t="array" ref="E96">SUM(IF((Budget[Sort Code]=$B$6)*(Budget[Account Code]=$B96)*(Budget[Date]=E$7),Budget[Amount]))</f>
        <v>0</v>
      </c>
      <c r="F96" s="319">
        <f t="array" ref="F96">SUM(IF((Budget[Sort Code]=$B$6)*(Budget[Account Code]=$B96)*(Budget[Date]=F$7),Budget[Amount]))</f>
        <v>0</v>
      </c>
      <c r="G96" s="319">
        <f t="array" ref="G96">SUM(IF((Budget[Sort Code]=$B$6)*(Budget[Account Code]=$B96)*(Budget[Date]=G$7),Budget[Amount]))</f>
        <v>0</v>
      </c>
      <c r="H96" s="319">
        <f t="array" ref="H96">SUM(IF((Budget[Sort Code]=$B$6)*(Budget[Account Code]=$B96)*(Budget[Date]=H$7),Budget[Amount]))</f>
        <v>0</v>
      </c>
      <c r="I96" s="319">
        <f t="array" ref="I96">SUM(IF((Budget[Sort Code]=$B$6)*(Budget[Account Code]=$B96)*(Budget[Date]=I$7),Budget[Amount]))</f>
        <v>0</v>
      </c>
      <c r="J96" s="319">
        <f t="array" ref="J96">SUM(IF((Budget[Sort Code]=$B$6)*(Budget[Account Code]=$B96)*(Budget[Date]=J$7),Budget[Amount]))</f>
        <v>0</v>
      </c>
      <c r="K96" s="319">
        <f t="array" ref="K96">SUM(IF((Budget[Sort Code]=$B$6)*(Budget[Account Code]=$B96)*(Budget[Date]=K$7),Budget[Amount]))</f>
        <v>0</v>
      </c>
      <c r="L96" s="319">
        <f t="array" ref="L96">SUM(IF((Budget[Sort Code]=$B$6)*(Budget[Account Code]=$B96)*(Budget[Date]=L$7),Budget[Amount]))</f>
        <v>0</v>
      </c>
      <c r="M96" s="319">
        <f t="array" ref="M96">SUM(IF((Budget[Sort Code]=$B$6)*(Budget[Account Code]=$B96)*(Budget[Date]=M$7),Budget[Amount]))</f>
        <v>0</v>
      </c>
      <c r="N96" s="319">
        <f t="array" ref="N96">SUM(IF((Budget[Sort Code]=$B$6)*(Budget[Account Code]=$B96)*(Budget[Date]=N$7),Budget[Amount]))</f>
        <v>0</v>
      </c>
      <c r="O96" s="319">
        <f t="array" ref="O96">SUM(IF((Budget[Sort Code]=$B$6)*(Budget[Account Code]=$B96)*(Budget[Date]=O$7),Budget[Amount]))</f>
        <v>0</v>
      </c>
      <c r="P96" s="319">
        <f t="shared" si="16"/>
        <v>0</v>
      </c>
    </row>
    <row r="97" spans="1:16" s="171" customFormat="1" x14ac:dyDescent="0.25">
      <c r="A97" s="321" t="s">
        <v>919</v>
      </c>
      <c r="B97" s="317"/>
      <c r="C97" s="322">
        <f t="shared" si="17"/>
        <v>0</v>
      </c>
      <c r="D97" s="322">
        <f>D98+D99</f>
        <v>0</v>
      </c>
      <c r="E97" s="322">
        <f t="shared" ref="E97:O97" si="21">E98+E99</f>
        <v>0</v>
      </c>
      <c r="F97" s="322">
        <f t="shared" si="21"/>
        <v>0</v>
      </c>
      <c r="G97" s="322">
        <f t="shared" si="21"/>
        <v>0</v>
      </c>
      <c r="H97" s="322">
        <f t="shared" si="21"/>
        <v>0</v>
      </c>
      <c r="I97" s="322">
        <f t="shared" si="21"/>
        <v>0</v>
      </c>
      <c r="J97" s="322">
        <f t="shared" si="21"/>
        <v>0</v>
      </c>
      <c r="K97" s="322">
        <f t="shared" si="21"/>
        <v>0</v>
      </c>
      <c r="L97" s="322">
        <f t="shared" si="21"/>
        <v>0</v>
      </c>
      <c r="M97" s="322">
        <f t="shared" si="21"/>
        <v>0</v>
      </c>
      <c r="N97" s="322">
        <f t="shared" si="21"/>
        <v>0</v>
      </c>
      <c r="O97" s="322">
        <f t="shared" si="21"/>
        <v>0</v>
      </c>
      <c r="P97" s="322">
        <f t="shared" si="16"/>
        <v>0</v>
      </c>
    </row>
    <row r="98" spans="1:16" x14ac:dyDescent="0.25">
      <c r="A98" s="323" t="s">
        <v>920</v>
      </c>
      <c r="B98" s="317" t="s">
        <v>232</v>
      </c>
      <c r="C98" s="319">
        <f t="shared" si="17"/>
        <v>0</v>
      </c>
      <c r="D98" s="319">
        <f t="array" ref="D98">SUM(IF((Budget[Sort Code]=$B$6)*(Budget[Account Code]=$B98)*(Budget[Date]=D$7),Budget[Amount]))</f>
        <v>0</v>
      </c>
      <c r="E98" s="319">
        <f t="array" ref="E98">SUM(IF((Budget[Sort Code]=$B$6)*(Budget[Account Code]=$B98)*(Budget[Date]=E$7),Budget[Amount]))</f>
        <v>0</v>
      </c>
      <c r="F98" s="319">
        <f t="array" ref="F98">SUM(IF((Budget[Sort Code]=$B$6)*(Budget[Account Code]=$B98)*(Budget[Date]=F$7),Budget[Amount]))</f>
        <v>0</v>
      </c>
      <c r="G98" s="319">
        <f t="array" ref="G98">SUM(IF((Budget[Sort Code]=$B$6)*(Budget[Account Code]=$B98)*(Budget[Date]=G$7),Budget[Amount]))</f>
        <v>0</v>
      </c>
      <c r="H98" s="319">
        <f t="array" ref="H98">SUM(IF((Budget[Sort Code]=$B$6)*(Budget[Account Code]=$B98)*(Budget[Date]=H$7),Budget[Amount]))</f>
        <v>0</v>
      </c>
      <c r="I98" s="319">
        <f t="array" ref="I98">SUM(IF((Budget[Sort Code]=$B$6)*(Budget[Account Code]=$B98)*(Budget[Date]=I$7),Budget[Amount]))</f>
        <v>0</v>
      </c>
      <c r="J98" s="319">
        <f t="array" ref="J98">SUM(IF((Budget[Sort Code]=$B$6)*(Budget[Account Code]=$B98)*(Budget[Date]=J$7),Budget[Amount]))</f>
        <v>0</v>
      </c>
      <c r="K98" s="319">
        <f t="array" ref="K98">SUM(IF((Budget[Sort Code]=$B$6)*(Budget[Account Code]=$B98)*(Budget[Date]=K$7),Budget[Amount]))</f>
        <v>0</v>
      </c>
      <c r="L98" s="319">
        <f t="array" ref="L98">SUM(IF((Budget[Sort Code]=$B$6)*(Budget[Account Code]=$B98)*(Budget[Date]=L$7),Budget[Amount]))</f>
        <v>0</v>
      </c>
      <c r="M98" s="319">
        <f t="array" ref="M98">SUM(IF((Budget[Sort Code]=$B$6)*(Budget[Account Code]=$B98)*(Budget[Date]=M$7),Budget[Amount]))</f>
        <v>0</v>
      </c>
      <c r="N98" s="319">
        <f t="array" ref="N98">SUM(IF((Budget[Sort Code]=$B$6)*(Budget[Account Code]=$B98)*(Budget[Date]=N$7),Budget[Amount]))</f>
        <v>0</v>
      </c>
      <c r="O98" s="319">
        <f t="array" ref="O98">SUM(IF((Budget[Sort Code]=$B$6)*(Budget[Account Code]=$B98)*(Budget[Date]=O$7),Budget[Amount]))</f>
        <v>0</v>
      </c>
      <c r="P98" s="319">
        <f t="shared" si="16"/>
        <v>0</v>
      </c>
    </row>
    <row r="99" spans="1:16" x14ac:dyDescent="0.25">
      <c r="A99" s="323" t="s">
        <v>921</v>
      </c>
      <c r="B99" s="317"/>
      <c r="C99" s="319">
        <f t="shared" si="17"/>
        <v>0</v>
      </c>
      <c r="D99" s="319">
        <f>SUM(D100:D101)</f>
        <v>0</v>
      </c>
      <c r="E99" s="319">
        <f t="shared" ref="E99:O99" si="22">SUM(E100:E101)</f>
        <v>0</v>
      </c>
      <c r="F99" s="319">
        <f t="shared" si="22"/>
        <v>0</v>
      </c>
      <c r="G99" s="319">
        <f t="shared" si="22"/>
        <v>0</v>
      </c>
      <c r="H99" s="319">
        <f t="shared" si="22"/>
        <v>0</v>
      </c>
      <c r="I99" s="319">
        <f t="shared" si="22"/>
        <v>0</v>
      </c>
      <c r="J99" s="319">
        <f t="shared" si="22"/>
        <v>0</v>
      </c>
      <c r="K99" s="319">
        <f t="shared" si="22"/>
        <v>0</v>
      </c>
      <c r="L99" s="319">
        <f t="shared" si="22"/>
        <v>0</v>
      </c>
      <c r="M99" s="319">
        <f t="shared" si="22"/>
        <v>0</v>
      </c>
      <c r="N99" s="319">
        <f t="shared" si="22"/>
        <v>0</v>
      </c>
      <c r="O99" s="319">
        <f t="shared" si="22"/>
        <v>0</v>
      </c>
      <c r="P99" s="319">
        <f t="shared" si="16"/>
        <v>0</v>
      </c>
    </row>
    <row r="100" spans="1:16" x14ac:dyDescent="0.25">
      <c r="A100" s="323" t="s">
        <v>922</v>
      </c>
      <c r="B100" s="317" t="s">
        <v>233</v>
      </c>
      <c r="C100" s="319">
        <f t="shared" si="17"/>
        <v>0</v>
      </c>
      <c r="D100" s="319">
        <f t="array" ref="D100">SUM(IF((Budget[Sort Code]=$B$6)*(Budget[Account Code]=$B100)*(Budget[Date]=D$7),Budget[Amount]))</f>
        <v>0</v>
      </c>
      <c r="E100" s="319">
        <f t="array" ref="E100">SUM(IF((Budget[Sort Code]=$B$6)*(Budget[Account Code]=$B100)*(Budget[Date]=E$7),Budget[Amount]))</f>
        <v>0</v>
      </c>
      <c r="F100" s="319">
        <f t="array" ref="F100">SUM(IF((Budget[Sort Code]=$B$6)*(Budget[Account Code]=$B100)*(Budget[Date]=F$7),Budget[Amount]))</f>
        <v>0</v>
      </c>
      <c r="G100" s="319">
        <f t="array" ref="G100">SUM(IF((Budget[Sort Code]=$B$6)*(Budget[Account Code]=$B100)*(Budget[Date]=G$7),Budget[Amount]))</f>
        <v>0</v>
      </c>
      <c r="H100" s="319">
        <f t="array" ref="H100">SUM(IF((Budget[Sort Code]=$B$6)*(Budget[Account Code]=$B100)*(Budget[Date]=H$7),Budget[Amount]))</f>
        <v>0</v>
      </c>
      <c r="I100" s="319">
        <f t="array" ref="I100">SUM(IF((Budget[Sort Code]=$B$6)*(Budget[Account Code]=$B100)*(Budget[Date]=I$7),Budget[Amount]))</f>
        <v>0</v>
      </c>
      <c r="J100" s="319">
        <f t="array" ref="J100">SUM(IF((Budget[Sort Code]=$B$6)*(Budget[Account Code]=$B100)*(Budget[Date]=J$7),Budget[Amount]))</f>
        <v>0</v>
      </c>
      <c r="K100" s="319">
        <f t="array" ref="K100">SUM(IF((Budget[Sort Code]=$B$6)*(Budget[Account Code]=$B100)*(Budget[Date]=K$7),Budget[Amount]))</f>
        <v>0</v>
      </c>
      <c r="L100" s="319">
        <f t="array" ref="L100">SUM(IF((Budget[Sort Code]=$B$6)*(Budget[Account Code]=$B100)*(Budget[Date]=L$7),Budget[Amount]))</f>
        <v>0</v>
      </c>
      <c r="M100" s="319">
        <f t="array" ref="M100">SUM(IF((Budget[Sort Code]=$B$6)*(Budget[Account Code]=$B100)*(Budget[Date]=M$7),Budget[Amount]))</f>
        <v>0</v>
      </c>
      <c r="N100" s="319">
        <f t="array" ref="N100">SUM(IF((Budget[Sort Code]=$B$6)*(Budget[Account Code]=$B100)*(Budget[Date]=N$7),Budget[Amount]))</f>
        <v>0</v>
      </c>
      <c r="O100" s="319">
        <f t="array" ref="O100">SUM(IF((Budget[Sort Code]=$B$6)*(Budget[Account Code]=$B100)*(Budget[Date]=O$7),Budget[Amount]))</f>
        <v>0</v>
      </c>
      <c r="P100" s="319">
        <f t="shared" si="16"/>
        <v>0</v>
      </c>
    </row>
    <row r="101" spans="1:16" x14ac:dyDescent="0.25">
      <c r="A101" s="323" t="s">
        <v>923</v>
      </c>
      <c r="B101" s="317"/>
      <c r="C101" s="319">
        <f t="shared" si="17"/>
        <v>0</v>
      </c>
      <c r="D101" s="319">
        <f t="array" ref="D101">SUM(IF((Budget[Sort Code]=$B$6)*(Budget[Account Code]=$B101)*(Budget[Date]=D$7),Budget[Amount]))</f>
        <v>0</v>
      </c>
      <c r="E101" s="319">
        <f t="array" ref="E101">SUM(IF((Budget[Sort Code]=$B$6)*(Budget[Account Code]=$B101)*(Budget[Date]=E$7),Budget[Amount]))</f>
        <v>0</v>
      </c>
      <c r="F101" s="319">
        <f t="array" ref="F101">SUM(IF((Budget[Sort Code]=$B$6)*(Budget[Account Code]=$B101)*(Budget[Date]=F$7),Budget[Amount]))</f>
        <v>0</v>
      </c>
      <c r="G101" s="319">
        <f t="array" ref="G101">SUM(IF((Budget[Sort Code]=$B$6)*(Budget[Account Code]=$B101)*(Budget[Date]=G$7),Budget[Amount]))</f>
        <v>0</v>
      </c>
      <c r="H101" s="319">
        <f t="array" ref="H101">SUM(IF((Budget[Sort Code]=$B$6)*(Budget[Account Code]=$B101)*(Budget[Date]=H$7),Budget[Amount]))</f>
        <v>0</v>
      </c>
      <c r="I101" s="319">
        <f t="array" ref="I101">SUM(IF((Budget[Sort Code]=$B$6)*(Budget[Account Code]=$B101)*(Budget[Date]=I$7),Budget[Amount]))</f>
        <v>0</v>
      </c>
      <c r="J101" s="319">
        <f t="array" ref="J101">SUM(IF((Budget[Sort Code]=$B$6)*(Budget[Account Code]=$B101)*(Budget[Date]=J$7),Budget[Amount]))</f>
        <v>0</v>
      </c>
      <c r="K101" s="319">
        <f t="array" ref="K101">SUM(IF((Budget[Sort Code]=$B$6)*(Budget[Account Code]=$B101)*(Budget[Date]=K$7),Budget[Amount]))</f>
        <v>0</v>
      </c>
      <c r="L101" s="319">
        <f t="array" ref="L101">SUM(IF((Budget[Sort Code]=$B$6)*(Budget[Account Code]=$B101)*(Budget[Date]=L$7),Budget[Amount]))</f>
        <v>0</v>
      </c>
      <c r="M101" s="319">
        <f t="array" ref="M101">SUM(IF((Budget[Sort Code]=$B$6)*(Budget[Account Code]=$B101)*(Budget[Date]=M$7),Budget[Amount]))</f>
        <v>0</v>
      </c>
      <c r="N101" s="319">
        <f t="array" ref="N101">SUM(IF((Budget[Sort Code]=$B$6)*(Budget[Account Code]=$B101)*(Budget[Date]=N$7),Budget[Amount]))</f>
        <v>0</v>
      </c>
      <c r="O101" s="319">
        <f t="array" ref="O101">SUM(IF((Budget[Sort Code]=$B$6)*(Budget[Account Code]=$B101)*(Budget[Date]=O$7),Budget[Amount]))</f>
        <v>0</v>
      </c>
      <c r="P101" s="319">
        <f t="shared" si="16"/>
        <v>0</v>
      </c>
    </row>
    <row r="102" spans="1:16" s="171" customFormat="1" x14ac:dyDescent="0.25">
      <c r="A102" s="321" t="s">
        <v>924</v>
      </c>
      <c r="B102" s="317"/>
      <c r="C102" s="322">
        <f t="shared" si="17"/>
        <v>0</v>
      </c>
      <c r="D102" s="322">
        <f>SUM(D103:D107)</f>
        <v>0</v>
      </c>
      <c r="E102" s="322">
        <f t="shared" ref="E102:O102" si="23">SUM(E103:E107)</f>
        <v>0</v>
      </c>
      <c r="F102" s="322">
        <f t="shared" si="23"/>
        <v>0</v>
      </c>
      <c r="G102" s="322">
        <f t="shared" si="23"/>
        <v>0</v>
      </c>
      <c r="H102" s="322">
        <f t="shared" si="23"/>
        <v>0</v>
      </c>
      <c r="I102" s="322">
        <f t="shared" si="23"/>
        <v>0</v>
      </c>
      <c r="J102" s="322">
        <f t="shared" si="23"/>
        <v>0</v>
      </c>
      <c r="K102" s="322">
        <f t="shared" si="23"/>
        <v>0</v>
      </c>
      <c r="L102" s="322">
        <f t="shared" si="23"/>
        <v>0</v>
      </c>
      <c r="M102" s="322">
        <f t="shared" si="23"/>
        <v>0</v>
      </c>
      <c r="N102" s="322">
        <f t="shared" si="23"/>
        <v>0</v>
      </c>
      <c r="O102" s="322">
        <f t="shared" si="23"/>
        <v>0</v>
      </c>
      <c r="P102" s="322">
        <f t="shared" si="16"/>
        <v>0</v>
      </c>
    </row>
    <row r="103" spans="1:16" x14ac:dyDescent="0.25">
      <c r="A103" s="323" t="s">
        <v>925</v>
      </c>
      <c r="B103" s="317" t="s">
        <v>234</v>
      </c>
      <c r="C103" s="319">
        <f t="shared" si="17"/>
        <v>0</v>
      </c>
      <c r="D103" s="319">
        <f t="array" ref="D103">SUM(IF((Budget[Sort Code]=$B$6)*(Budget[Account Code]=$B103)*(Budget[Date]=D$7),Budget[Amount]))</f>
        <v>0</v>
      </c>
      <c r="E103" s="319">
        <f t="array" ref="E103">SUM(IF((Budget[Sort Code]=$B$6)*(Budget[Account Code]=$B103)*(Budget[Date]=E$7),Budget[Amount]))</f>
        <v>0</v>
      </c>
      <c r="F103" s="319">
        <f t="array" ref="F103">SUM(IF((Budget[Sort Code]=$B$6)*(Budget[Account Code]=$B103)*(Budget[Date]=F$7),Budget[Amount]))</f>
        <v>0</v>
      </c>
      <c r="G103" s="319">
        <f t="array" ref="G103">SUM(IF((Budget[Sort Code]=$B$6)*(Budget[Account Code]=$B103)*(Budget[Date]=G$7),Budget[Amount]))</f>
        <v>0</v>
      </c>
      <c r="H103" s="319">
        <f t="array" ref="H103">SUM(IF((Budget[Sort Code]=$B$6)*(Budget[Account Code]=$B103)*(Budget[Date]=H$7),Budget[Amount]))</f>
        <v>0</v>
      </c>
      <c r="I103" s="319">
        <f t="array" ref="I103">SUM(IF((Budget[Sort Code]=$B$6)*(Budget[Account Code]=$B103)*(Budget[Date]=I$7),Budget[Amount]))</f>
        <v>0</v>
      </c>
      <c r="J103" s="319">
        <f t="array" ref="J103">SUM(IF((Budget[Sort Code]=$B$6)*(Budget[Account Code]=$B103)*(Budget[Date]=J$7),Budget[Amount]))</f>
        <v>0</v>
      </c>
      <c r="K103" s="319">
        <f t="array" ref="K103">SUM(IF((Budget[Sort Code]=$B$6)*(Budget[Account Code]=$B103)*(Budget[Date]=K$7),Budget[Amount]))</f>
        <v>0</v>
      </c>
      <c r="L103" s="319">
        <f t="array" ref="L103">SUM(IF((Budget[Sort Code]=$B$6)*(Budget[Account Code]=$B103)*(Budget[Date]=L$7),Budget[Amount]))</f>
        <v>0</v>
      </c>
      <c r="M103" s="319">
        <f t="array" ref="M103">SUM(IF((Budget[Sort Code]=$B$6)*(Budget[Account Code]=$B103)*(Budget[Date]=M$7),Budget[Amount]))</f>
        <v>0</v>
      </c>
      <c r="N103" s="319">
        <f t="array" ref="N103">SUM(IF((Budget[Sort Code]=$B$6)*(Budget[Account Code]=$B103)*(Budget[Date]=N$7),Budget[Amount]))</f>
        <v>0</v>
      </c>
      <c r="O103" s="319">
        <f t="array" ref="O103">SUM(IF((Budget[Sort Code]=$B$6)*(Budget[Account Code]=$B103)*(Budget[Date]=O$7),Budget[Amount]))</f>
        <v>0</v>
      </c>
      <c r="P103" s="319">
        <f t="shared" si="16"/>
        <v>0</v>
      </c>
    </row>
    <row r="104" spans="1:16" x14ac:dyDescent="0.25">
      <c r="A104" s="323" t="s">
        <v>926</v>
      </c>
      <c r="B104" s="317" t="s">
        <v>235</v>
      </c>
      <c r="C104" s="319">
        <f t="shared" si="17"/>
        <v>0</v>
      </c>
      <c r="D104" s="319">
        <f t="array" ref="D104">SUM(IF((Budget[Sort Code]=$B$6)*(Budget[Account Code]=$B104)*(Budget[Date]=D$7),Budget[Amount]))</f>
        <v>0</v>
      </c>
      <c r="E104" s="319">
        <f t="array" ref="E104">SUM(IF((Budget[Sort Code]=$B$6)*(Budget[Account Code]=$B104)*(Budget[Date]=E$7),Budget[Amount]))</f>
        <v>0</v>
      </c>
      <c r="F104" s="319">
        <f t="array" ref="F104">SUM(IF((Budget[Sort Code]=$B$6)*(Budget[Account Code]=$B104)*(Budget[Date]=F$7),Budget[Amount]))</f>
        <v>0</v>
      </c>
      <c r="G104" s="319">
        <f t="array" ref="G104">SUM(IF((Budget[Sort Code]=$B$6)*(Budget[Account Code]=$B104)*(Budget[Date]=G$7),Budget[Amount]))</f>
        <v>0</v>
      </c>
      <c r="H104" s="319">
        <f t="array" ref="H104">SUM(IF((Budget[Sort Code]=$B$6)*(Budget[Account Code]=$B104)*(Budget[Date]=H$7),Budget[Amount]))</f>
        <v>0</v>
      </c>
      <c r="I104" s="319">
        <f t="array" ref="I104">SUM(IF((Budget[Sort Code]=$B$6)*(Budget[Account Code]=$B104)*(Budget[Date]=I$7),Budget[Amount]))</f>
        <v>0</v>
      </c>
      <c r="J104" s="319">
        <f t="array" ref="J104">SUM(IF((Budget[Sort Code]=$B$6)*(Budget[Account Code]=$B104)*(Budget[Date]=J$7),Budget[Amount]))</f>
        <v>0</v>
      </c>
      <c r="K104" s="319">
        <f t="array" ref="K104">SUM(IF((Budget[Sort Code]=$B$6)*(Budget[Account Code]=$B104)*(Budget[Date]=K$7),Budget[Amount]))</f>
        <v>0</v>
      </c>
      <c r="L104" s="319">
        <f t="array" ref="L104">SUM(IF((Budget[Sort Code]=$B$6)*(Budget[Account Code]=$B104)*(Budget[Date]=L$7),Budget[Amount]))</f>
        <v>0</v>
      </c>
      <c r="M104" s="319">
        <f t="array" ref="M104">SUM(IF((Budget[Sort Code]=$B$6)*(Budget[Account Code]=$B104)*(Budget[Date]=M$7),Budget[Amount]))</f>
        <v>0</v>
      </c>
      <c r="N104" s="319">
        <f t="array" ref="N104">SUM(IF((Budget[Sort Code]=$B$6)*(Budget[Account Code]=$B104)*(Budget[Date]=N$7),Budget[Amount]))</f>
        <v>0</v>
      </c>
      <c r="O104" s="319">
        <f t="array" ref="O104">SUM(IF((Budget[Sort Code]=$B$6)*(Budget[Account Code]=$B104)*(Budget[Date]=O$7),Budget[Amount]))</f>
        <v>0</v>
      </c>
      <c r="P104" s="319">
        <f t="shared" si="16"/>
        <v>0</v>
      </c>
    </row>
    <row r="105" spans="1:16" x14ac:dyDescent="0.25">
      <c r="A105" s="323" t="s">
        <v>927</v>
      </c>
      <c r="B105" s="317" t="s">
        <v>236</v>
      </c>
      <c r="C105" s="319">
        <f t="shared" si="17"/>
        <v>0</v>
      </c>
      <c r="D105" s="319">
        <f t="array" ref="D105">SUM(IF((Budget[Sort Code]=$B$6)*(Budget[Account Code]=$B105)*(Budget[Date]=D$7),Budget[Amount]))</f>
        <v>0</v>
      </c>
      <c r="E105" s="319">
        <f t="array" ref="E105">SUM(IF((Budget[Sort Code]=$B$6)*(Budget[Account Code]=$B105)*(Budget[Date]=E$7),Budget[Amount]))</f>
        <v>0</v>
      </c>
      <c r="F105" s="319">
        <f t="array" ref="F105">SUM(IF((Budget[Sort Code]=$B$6)*(Budget[Account Code]=$B105)*(Budget[Date]=F$7),Budget[Amount]))</f>
        <v>0</v>
      </c>
      <c r="G105" s="319">
        <f t="array" ref="G105">SUM(IF((Budget[Sort Code]=$B$6)*(Budget[Account Code]=$B105)*(Budget[Date]=G$7),Budget[Amount]))</f>
        <v>0</v>
      </c>
      <c r="H105" s="319">
        <f t="array" ref="H105">SUM(IF((Budget[Sort Code]=$B$6)*(Budget[Account Code]=$B105)*(Budget[Date]=H$7),Budget[Amount]))</f>
        <v>0</v>
      </c>
      <c r="I105" s="319">
        <f t="array" ref="I105">SUM(IF((Budget[Sort Code]=$B$6)*(Budget[Account Code]=$B105)*(Budget[Date]=I$7),Budget[Amount]))</f>
        <v>0</v>
      </c>
      <c r="J105" s="319">
        <f t="array" ref="J105">SUM(IF((Budget[Sort Code]=$B$6)*(Budget[Account Code]=$B105)*(Budget[Date]=J$7),Budget[Amount]))</f>
        <v>0</v>
      </c>
      <c r="K105" s="319">
        <f t="array" ref="K105">SUM(IF((Budget[Sort Code]=$B$6)*(Budget[Account Code]=$B105)*(Budget[Date]=K$7),Budget[Amount]))</f>
        <v>0</v>
      </c>
      <c r="L105" s="319">
        <f t="array" ref="L105">SUM(IF((Budget[Sort Code]=$B$6)*(Budget[Account Code]=$B105)*(Budget[Date]=L$7),Budget[Amount]))</f>
        <v>0</v>
      </c>
      <c r="M105" s="319">
        <f t="array" ref="M105">SUM(IF((Budget[Sort Code]=$B$6)*(Budget[Account Code]=$B105)*(Budget[Date]=M$7),Budget[Amount]))</f>
        <v>0</v>
      </c>
      <c r="N105" s="319">
        <f t="array" ref="N105">SUM(IF((Budget[Sort Code]=$B$6)*(Budget[Account Code]=$B105)*(Budget[Date]=N$7),Budget[Amount]))</f>
        <v>0</v>
      </c>
      <c r="O105" s="319">
        <f t="array" ref="O105">SUM(IF((Budget[Sort Code]=$B$6)*(Budget[Account Code]=$B105)*(Budget[Date]=O$7),Budget[Amount]))</f>
        <v>0</v>
      </c>
      <c r="P105" s="319">
        <f t="shared" si="16"/>
        <v>0</v>
      </c>
    </row>
    <row r="106" spans="1:16" x14ac:dyDescent="0.25">
      <c r="A106" s="323" t="s">
        <v>928</v>
      </c>
      <c r="B106" s="317" t="s">
        <v>237</v>
      </c>
      <c r="C106" s="319">
        <f t="shared" si="17"/>
        <v>0</v>
      </c>
      <c r="D106" s="319">
        <f t="array" ref="D106">SUM(IF((Budget[Sort Code]=$B$6)*(Budget[Account Code]=$B106)*(Budget[Date]=D$7),Budget[Amount]))</f>
        <v>0</v>
      </c>
      <c r="E106" s="319">
        <f t="array" ref="E106">SUM(IF((Budget[Sort Code]=$B$6)*(Budget[Account Code]=$B106)*(Budget[Date]=E$7),Budget[Amount]))</f>
        <v>0</v>
      </c>
      <c r="F106" s="319">
        <f t="array" ref="F106">SUM(IF((Budget[Sort Code]=$B$6)*(Budget[Account Code]=$B106)*(Budget[Date]=F$7),Budget[Amount]))</f>
        <v>0</v>
      </c>
      <c r="G106" s="319">
        <f t="array" ref="G106">SUM(IF((Budget[Sort Code]=$B$6)*(Budget[Account Code]=$B106)*(Budget[Date]=G$7),Budget[Amount]))</f>
        <v>0</v>
      </c>
      <c r="H106" s="319">
        <f t="array" ref="H106">SUM(IF((Budget[Sort Code]=$B$6)*(Budget[Account Code]=$B106)*(Budget[Date]=H$7),Budget[Amount]))</f>
        <v>0</v>
      </c>
      <c r="I106" s="319">
        <f t="array" ref="I106">SUM(IF((Budget[Sort Code]=$B$6)*(Budget[Account Code]=$B106)*(Budget[Date]=I$7),Budget[Amount]))</f>
        <v>0</v>
      </c>
      <c r="J106" s="319">
        <f t="array" ref="J106">SUM(IF((Budget[Sort Code]=$B$6)*(Budget[Account Code]=$B106)*(Budget[Date]=J$7),Budget[Amount]))</f>
        <v>0</v>
      </c>
      <c r="K106" s="319">
        <f t="array" ref="K106">SUM(IF((Budget[Sort Code]=$B$6)*(Budget[Account Code]=$B106)*(Budget[Date]=K$7),Budget[Amount]))</f>
        <v>0</v>
      </c>
      <c r="L106" s="319">
        <f t="array" ref="L106">SUM(IF((Budget[Sort Code]=$B$6)*(Budget[Account Code]=$B106)*(Budget[Date]=L$7),Budget[Amount]))</f>
        <v>0</v>
      </c>
      <c r="M106" s="319">
        <f t="array" ref="M106">SUM(IF((Budget[Sort Code]=$B$6)*(Budget[Account Code]=$B106)*(Budget[Date]=M$7),Budget[Amount]))</f>
        <v>0</v>
      </c>
      <c r="N106" s="319">
        <f t="array" ref="N106">SUM(IF((Budget[Sort Code]=$B$6)*(Budget[Account Code]=$B106)*(Budget[Date]=N$7),Budget[Amount]))</f>
        <v>0</v>
      </c>
      <c r="O106" s="319">
        <f t="array" ref="O106">SUM(IF((Budget[Sort Code]=$B$6)*(Budget[Account Code]=$B106)*(Budget[Date]=O$7),Budget[Amount]))</f>
        <v>0</v>
      </c>
      <c r="P106" s="319">
        <f t="shared" si="16"/>
        <v>0</v>
      </c>
    </row>
    <row r="107" spans="1:16" x14ac:dyDescent="0.25">
      <c r="A107" s="323" t="s">
        <v>929</v>
      </c>
      <c r="B107" s="317" t="s">
        <v>238</v>
      </c>
      <c r="C107" s="319">
        <f t="shared" si="17"/>
        <v>0</v>
      </c>
      <c r="D107" s="319">
        <f t="array" ref="D107">SUM(IF((Budget[Sort Code]=$B$6)*(Budget[Account Code]=$B107)*(Budget[Date]=D$7),Budget[Amount]))</f>
        <v>0</v>
      </c>
      <c r="E107" s="319">
        <f t="array" ref="E107">SUM(IF((Budget[Sort Code]=$B$6)*(Budget[Account Code]=$B107)*(Budget[Date]=E$7),Budget[Amount]))</f>
        <v>0</v>
      </c>
      <c r="F107" s="319">
        <f t="array" ref="F107">SUM(IF((Budget[Sort Code]=$B$6)*(Budget[Account Code]=$B107)*(Budget[Date]=F$7),Budget[Amount]))</f>
        <v>0</v>
      </c>
      <c r="G107" s="319">
        <f t="array" ref="G107">SUM(IF((Budget[Sort Code]=$B$6)*(Budget[Account Code]=$B107)*(Budget[Date]=G$7),Budget[Amount]))</f>
        <v>0</v>
      </c>
      <c r="H107" s="319">
        <f t="array" ref="H107">SUM(IF((Budget[Sort Code]=$B$6)*(Budget[Account Code]=$B107)*(Budget[Date]=H$7),Budget[Amount]))</f>
        <v>0</v>
      </c>
      <c r="I107" s="319">
        <f t="array" ref="I107">SUM(IF((Budget[Sort Code]=$B$6)*(Budget[Account Code]=$B107)*(Budget[Date]=I$7),Budget[Amount]))</f>
        <v>0</v>
      </c>
      <c r="J107" s="319">
        <f t="array" ref="J107">SUM(IF((Budget[Sort Code]=$B$6)*(Budget[Account Code]=$B107)*(Budget[Date]=J$7),Budget[Amount]))</f>
        <v>0</v>
      </c>
      <c r="K107" s="319">
        <f t="array" ref="K107">SUM(IF((Budget[Sort Code]=$B$6)*(Budget[Account Code]=$B107)*(Budget[Date]=K$7),Budget[Amount]))</f>
        <v>0</v>
      </c>
      <c r="L107" s="319">
        <f t="array" ref="L107">SUM(IF((Budget[Sort Code]=$B$6)*(Budget[Account Code]=$B107)*(Budget[Date]=L$7),Budget[Amount]))</f>
        <v>0</v>
      </c>
      <c r="M107" s="319">
        <f t="array" ref="M107">SUM(IF((Budget[Sort Code]=$B$6)*(Budget[Account Code]=$B107)*(Budget[Date]=M$7),Budget[Amount]))</f>
        <v>0</v>
      </c>
      <c r="N107" s="319">
        <f t="array" ref="N107">SUM(IF((Budget[Sort Code]=$B$6)*(Budget[Account Code]=$B107)*(Budget[Date]=N$7),Budget[Amount]))</f>
        <v>0</v>
      </c>
      <c r="O107" s="319">
        <f t="array" ref="O107">SUM(IF((Budget[Sort Code]=$B$6)*(Budget[Account Code]=$B107)*(Budget[Date]=O$7),Budget[Amount]))</f>
        <v>0</v>
      </c>
      <c r="P107" s="319">
        <f t="shared" si="16"/>
        <v>0</v>
      </c>
    </row>
    <row r="108" spans="1:16" s="171" customFormat="1" x14ac:dyDescent="0.25">
      <c r="A108" s="321" t="s">
        <v>930</v>
      </c>
      <c r="B108" s="317" t="s">
        <v>239</v>
      </c>
      <c r="C108" s="322">
        <f t="shared" si="17"/>
        <v>0</v>
      </c>
      <c r="D108" s="322">
        <v>0</v>
      </c>
      <c r="E108" s="322">
        <v>0</v>
      </c>
      <c r="F108" s="322">
        <v>0</v>
      </c>
      <c r="G108" s="322">
        <v>0</v>
      </c>
      <c r="H108" s="322">
        <v>0</v>
      </c>
      <c r="I108" s="322">
        <v>0</v>
      </c>
      <c r="J108" s="322">
        <v>0</v>
      </c>
      <c r="K108" s="322">
        <v>0</v>
      </c>
      <c r="L108" s="322">
        <v>0</v>
      </c>
      <c r="M108" s="322">
        <v>0</v>
      </c>
      <c r="N108" s="322">
        <v>0</v>
      </c>
      <c r="O108" s="322">
        <v>0</v>
      </c>
      <c r="P108" s="322">
        <f t="shared" si="16"/>
        <v>0</v>
      </c>
    </row>
    <row r="109" spans="1:16" s="171" customFormat="1" x14ac:dyDescent="0.25">
      <c r="A109" s="321" t="s">
        <v>931</v>
      </c>
      <c r="B109" s="317" t="s">
        <v>240</v>
      </c>
      <c r="C109" s="322">
        <f t="shared" si="17"/>
        <v>0</v>
      </c>
      <c r="D109" s="319">
        <f t="array" ref="D109">SUM(IF((Budget[Sort Code]=$B$6)*(Budget[Account Code]=$B109)*(Budget[Date]=D$7),Budget[Amount]))</f>
        <v>0</v>
      </c>
      <c r="E109" s="319">
        <f t="array" ref="E109">SUM(IF((Budget[Sort Code]=$B$6)*(Budget[Account Code]=$B109)*(Budget[Date]=E$7),Budget[Amount]))</f>
        <v>0</v>
      </c>
      <c r="F109" s="319">
        <f t="array" ref="F109">SUM(IF((Budget[Sort Code]=$B$6)*(Budget[Account Code]=$B109)*(Budget[Date]=F$7),Budget[Amount]))</f>
        <v>0</v>
      </c>
      <c r="G109" s="319">
        <f t="array" ref="G109">SUM(IF((Budget[Sort Code]=$B$6)*(Budget[Account Code]=$B109)*(Budget[Date]=G$7),Budget[Amount]))</f>
        <v>0</v>
      </c>
      <c r="H109" s="319">
        <f t="array" ref="H109">SUM(IF((Budget[Sort Code]=$B$6)*(Budget[Account Code]=$B109)*(Budget[Date]=H$7),Budget[Amount]))</f>
        <v>0</v>
      </c>
      <c r="I109" s="319">
        <f t="array" ref="I109">SUM(IF((Budget[Sort Code]=$B$6)*(Budget[Account Code]=$B109)*(Budget[Date]=I$7),Budget[Amount]))</f>
        <v>0</v>
      </c>
      <c r="J109" s="319">
        <f t="array" ref="J109">SUM(IF((Budget[Sort Code]=$B$6)*(Budget[Account Code]=$B109)*(Budget[Date]=J$7),Budget[Amount]))</f>
        <v>0</v>
      </c>
      <c r="K109" s="319">
        <f t="array" ref="K109">SUM(IF((Budget[Sort Code]=$B$6)*(Budget[Account Code]=$B109)*(Budget[Date]=K$7),Budget[Amount]))</f>
        <v>0</v>
      </c>
      <c r="L109" s="319">
        <f t="array" ref="L109">SUM(IF((Budget[Sort Code]=$B$6)*(Budget[Account Code]=$B109)*(Budget[Date]=L$7),Budget[Amount]))</f>
        <v>0</v>
      </c>
      <c r="M109" s="319">
        <f t="array" ref="M109">SUM(IF((Budget[Sort Code]=$B$6)*(Budget[Account Code]=$B109)*(Budget[Date]=M$7),Budget[Amount]))</f>
        <v>0</v>
      </c>
      <c r="N109" s="319">
        <f t="array" ref="N109">SUM(IF((Budget[Sort Code]=$B$6)*(Budget[Account Code]=$B109)*(Budget[Date]=N$7),Budget[Amount]))</f>
        <v>0</v>
      </c>
      <c r="O109" s="319">
        <f t="array" ref="O109">SUM(IF((Budget[Sort Code]=$B$6)*(Budget[Account Code]=$B109)*(Budget[Date]=O$7),Budget[Amount]))</f>
        <v>0</v>
      </c>
      <c r="P109" s="322">
        <f t="shared" si="16"/>
        <v>0</v>
      </c>
    </row>
    <row r="110" spans="1:16" s="171" customFormat="1" x14ac:dyDescent="0.25">
      <c r="A110" s="321" t="s">
        <v>932</v>
      </c>
      <c r="B110" s="317" t="s">
        <v>241</v>
      </c>
      <c r="C110" s="322">
        <f t="shared" si="17"/>
        <v>0</v>
      </c>
      <c r="D110" s="319">
        <f t="array" ref="D110">SUM(IF((Budget[Sort Code]=$B$6)*(Budget[Account Code]=$B110)*(Budget[Date]=D$7),Budget[Amount]))</f>
        <v>0</v>
      </c>
      <c r="E110" s="319">
        <f t="array" ref="E110">SUM(IF((Budget[Sort Code]=$B$6)*(Budget[Account Code]=$B110)*(Budget[Date]=E$7),Budget[Amount]))</f>
        <v>0</v>
      </c>
      <c r="F110" s="319">
        <f t="array" ref="F110">SUM(IF((Budget[Sort Code]=$B$6)*(Budget[Account Code]=$B110)*(Budget[Date]=F$7),Budget[Amount]))</f>
        <v>0</v>
      </c>
      <c r="G110" s="319">
        <f t="array" ref="G110">SUM(IF((Budget[Sort Code]=$B$6)*(Budget[Account Code]=$B110)*(Budget[Date]=G$7),Budget[Amount]))</f>
        <v>0</v>
      </c>
      <c r="H110" s="319">
        <f t="array" ref="H110">SUM(IF((Budget[Sort Code]=$B$6)*(Budget[Account Code]=$B110)*(Budget[Date]=H$7),Budget[Amount]))</f>
        <v>0</v>
      </c>
      <c r="I110" s="319">
        <f t="array" ref="I110">SUM(IF((Budget[Sort Code]=$B$6)*(Budget[Account Code]=$B110)*(Budget[Date]=I$7),Budget[Amount]))</f>
        <v>0</v>
      </c>
      <c r="J110" s="319">
        <f t="array" ref="J110">SUM(IF((Budget[Sort Code]=$B$6)*(Budget[Account Code]=$B110)*(Budget[Date]=J$7),Budget[Amount]))</f>
        <v>0</v>
      </c>
      <c r="K110" s="319">
        <f t="array" ref="K110">SUM(IF((Budget[Sort Code]=$B$6)*(Budget[Account Code]=$B110)*(Budget[Date]=K$7),Budget[Amount]))</f>
        <v>0</v>
      </c>
      <c r="L110" s="319">
        <f t="array" ref="L110">SUM(IF((Budget[Sort Code]=$B$6)*(Budget[Account Code]=$B110)*(Budget[Date]=L$7),Budget[Amount]))</f>
        <v>0</v>
      </c>
      <c r="M110" s="319">
        <f t="array" ref="M110">SUM(IF((Budget[Sort Code]=$B$6)*(Budget[Account Code]=$B110)*(Budget[Date]=M$7),Budget[Amount]))</f>
        <v>0</v>
      </c>
      <c r="N110" s="319">
        <f t="array" ref="N110">SUM(IF((Budget[Sort Code]=$B$6)*(Budget[Account Code]=$B110)*(Budget[Date]=N$7),Budget[Amount]))</f>
        <v>0</v>
      </c>
      <c r="O110" s="319">
        <f t="array" ref="O110">SUM(IF((Budget[Sort Code]=$B$6)*(Budget[Account Code]=$B110)*(Budget[Date]=O$7),Budget[Amount]))</f>
        <v>0</v>
      </c>
      <c r="P110" s="322">
        <f t="shared" si="16"/>
        <v>0</v>
      </c>
    </row>
    <row r="111" spans="1:16" s="171" customFormat="1" x14ac:dyDescent="0.25">
      <c r="A111" s="321" t="s">
        <v>933</v>
      </c>
      <c r="B111" s="317" t="s">
        <v>242</v>
      </c>
      <c r="C111" s="322">
        <f t="shared" si="17"/>
        <v>0</v>
      </c>
      <c r="D111" s="319">
        <f t="array" ref="D111">SUM(IF((Budget[Sort Code]=$B$6)*(Budget[Account Code]=$B111)*(Budget[Date]=D$7),Budget[Amount]))</f>
        <v>0</v>
      </c>
      <c r="E111" s="319">
        <f t="array" ref="E111">SUM(IF((Budget[Sort Code]=$B$6)*(Budget[Account Code]=$B111)*(Budget[Date]=E$7),Budget[Amount]))</f>
        <v>0</v>
      </c>
      <c r="F111" s="319">
        <f t="array" ref="F111">SUM(IF((Budget[Sort Code]=$B$6)*(Budget[Account Code]=$B111)*(Budget[Date]=F$7),Budget[Amount]))</f>
        <v>0</v>
      </c>
      <c r="G111" s="319">
        <f t="array" ref="G111">SUM(IF((Budget[Sort Code]=$B$6)*(Budget[Account Code]=$B111)*(Budget[Date]=G$7),Budget[Amount]))</f>
        <v>0</v>
      </c>
      <c r="H111" s="319">
        <f t="array" ref="H111">SUM(IF((Budget[Sort Code]=$B$6)*(Budget[Account Code]=$B111)*(Budget[Date]=H$7),Budget[Amount]))</f>
        <v>0</v>
      </c>
      <c r="I111" s="319">
        <f t="array" ref="I111">SUM(IF((Budget[Sort Code]=$B$6)*(Budget[Account Code]=$B111)*(Budget[Date]=I$7),Budget[Amount]))</f>
        <v>0</v>
      </c>
      <c r="J111" s="319">
        <f t="array" ref="J111">SUM(IF((Budget[Sort Code]=$B$6)*(Budget[Account Code]=$B111)*(Budget[Date]=J$7),Budget[Amount]))</f>
        <v>0</v>
      </c>
      <c r="K111" s="319">
        <f t="array" ref="K111">SUM(IF((Budget[Sort Code]=$B$6)*(Budget[Account Code]=$B111)*(Budget[Date]=K$7),Budget[Amount]))</f>
        <v>0</v>
      </c>
      <c r="L111" s="319">
        <f t="array" ref="L111">SUM(IF((Budget[Sort Code]=$B$6)*(Budget[Account Code]=$B111)*(Budget[Date]=L$7),Budget[Amount]))</f>
        <v>0</v>
      </c>
      <c r="M111" s="319">
        <f t="array" ref="M111">SUM(IF((Budget[Sort Code]=$B$6)*(Budget[Account Code]=$B111)*(Budget[Date]=M$7),Budget[Amount]))</f>
        <v>0</v>
      </c>
      <c r="N111" s="319">
        <f t="array" ref="N111">SUM(IF((Budget[Sort Code]=$B$6)*(Budget[Account Code]=$B111)*(Budget[Date]=N$7),Budget[Amount]))</f>
        <v>0</v>
      </c>
      <c r="O111" s="319">
        <f t="array" ref="O111">SUM(IF((Budget[Sort Code]=$B$6)*(Budget[Account Code]=$B111)*(Budget[Date]=O$7),Budget[Amount]))</f>
        <v>0</v>
      </c>
      <c r="P111" s="322">
        <f t="shared" si="16"/>
        <v>0</v>
      </c>
    </row>
    <row r="112" spans="1:16" s="171" customFormat="1" x14ac:dyDescent="0.25">
      <c r="A112" s="321" t="s">
        <v>934</v>
      </c>
      <c r="B112" s="317" t="s">
        <v>243</v>
      </c>
      <c r="C112" s="322">
        <f t="shared" si="17"/>
        <v>0</v>
      </c>
      <c r="D112" s="319">
        <f t="array" ref="D112">SUM(IF((Budget[Sort Code]=$B$6)*(Budget[Account Code]=$B112)*(Budget[Date]=D$7),Budget[Amount]))</f>
        <v>0</v>
      </c>
      <c r="E112" s="319">
        <f t="array" ref="E112">SUM(IF((Budget[Sort Code]=$B$6)*(Budget[Account Code]=$B112)*(Budget[Date]=E$7),Budget[Amount]))</f>
        <v>0</v>
      </c>
      <c r="F112" s="319">
        <f t="array" ref="F112">SUM(IF((Budget[Sort Code]=$B$6)*(Budget[Account Code]=$B112)*(Budget[Date]=F$7),Budget[Amount]))</f>
        <v>0</v>
      </c>
      <c r="G112" s="319">
        <f t="array" ref="G112">SUM(IF((Budget[Sort Code]=$B$6)*(Budget[Account Code]=$B112)*(Budget[Date]=G$7),Budget[Amount]))</f>
        <v>0</v>
      </c>
      <c r="H112" s="319">
        <f t="array" ref="H112">SUM(IF((Budget[Sort Code]=$B$6)*(Budget[Account Code]=$B112)*(Budget[Date]=H$7),Budget[Amount]))</f>
        <v>0</v>
      </c>
      <c r="I112" s="319">
        <f t="array" ref="I112">SUM(IF((Budget[Sort Code]=$B$6)*(Budget[Account Code]=$B112)*(Budget[Date]=I$7),Budget[Amount]))</f>
        <v>0</v>
      </c>
      <c r="J112" s="319">
        <f t="array" ref="J112">SUM(IF((Budget[Sort Code]=$B$6)*(Budget[Account Code]=$B112)*(Budget[Date]=J$7),Budget[Amount]))</f>
        <v>0</v>
      </c>
      <c r="K112" s="319">
        <f t="array" ref="K112">SUM(IF((Budget[Sort Code]=$B$6)*(Budget[Account Code]=$B112)*(Budget[Date]=K$7),Budget[Amount]))</f>
        <v>0</v>
      </c>
      <c r="L112" s="319">
        <f t="array" ref="L112">SUM(IF((Budget[Sort Code]=$B$6)*(Budget[Account Code]=$B112)*(Budget[Date]=L$7),Budget[Amount]))</f>
        <v>0</v>
      </c>
      <c r="M112" s="319">
        <f t="array" ref="M112">SUM(IF((Budget[Sort Code]=$B$6)*(Budget[Account Code]=$B112)*(Budget[Date]=M$7),Budget[Amount]))</f>
        <v>0</v>
      </c>
      <c r="N112" s="319">
        <f t="array" ref="N112">SUM(IF((Budget[Sort Code]=$B$6)*(Budget[Account Code]=$B112)*(Budget[Date]=N$7),Budget[Amount]))</f>
        <v>0</v>
      </c>
      <c r="O112" s="319">
        <f t="array" ref="O112">SUM(IF((Budget[Sort Code]=$B$6)*(Budget[Account Code]=$B112)*(Budget[Date]=O$7),Budget[Amount]))</f>
        <v>0</v>
      </c>
      <c r="P112" s="322">
        <f t="shared" si="16"/>
        <v>0</v>
      </c>
    </row>
    <row r="113" spans="1:16" s="171" customFormat="1" x14ac:dyDescent="0.25">
      <c r="A113" s="321" t="s">
        <v>935</v>
      </c>
      <c r="B113" s="317" t="s">
        <v>244</v>
      </c>
      <c r="C113" s="322">
        <f t="shared" si="17"/>
        <v>0</v>
      </c>
      <c r="D113" s="319">
        <f t="array" ref="D113">SUM(IF((Budget[Sort Code]=$B$6)*(Budget[Account Code]=$B113)*(Budget[Date]=D$7),Budget[Amount]))</f>
        <v>0</v>
      </c>
      <c r="E113" s="319">
        <f t="array" ref="E113">SUM(IF((Budget[Sort Code]=$B$6)*(Budget[Account Code]=$B113)*(Budget[Date]=E$7),Budget[Amount]))</f>
        <v>0</v>
      </c>
      <c r="F113" s="319">
        <f t="array" ref="F113">SUM(IF((Budget[Sort Code]=$B$6)*(Budget[Account Code]=$B113)*(Budget[Date]=F$7),Budget[Amount]))</f>
        <v>0</v>
      </c>
      <c r="G113" s="319">
        <f t="array" ref="G113">SUM(IF((Budget[Sort Code]=$B$6)*(Budget[Account Code]=$B113)*(Budget[Date]=G$7),Budget[Amount]))</f>
        <v>0</v>
      </c>
      <c r="H113" s="319">
        <f t="array" ref="H113">SUM(IF((Budget[Sort Code]=$B$6)*(Budget[Account Code]=$B113)*(Budget[Date]=H$7),Budget[Amount]))</f>
        <v>0</v>
      </c>
      <c r="I113" s="319">
        <f t="array" ref="I113">SUM(IF((Budget[Sort Code]=$B$6)*(Budget[Account Code]=$B113)*(Budget[Date]=I$7),Budget[Amount]))</f>
        <v>0</v>
      </c>
      <c r="J113" s="319">
        <f t="array" ref="J113">SUM(IF((Budget[Sort Code]=$B$6)*(Budget[Account Code]=$B113)*(Budget[Date]=J$7),Budget[Amount]))</f>
        <v>0</v>
      </c>
      <c r="K113" s="319">
        <f t="array" ref="K113">SUM(IF((Budget[Sort Code]=$B$6)*(Budget[Account Code]=$B113)*(Budget[Date]=K$7),Budget[Amount]))</f>
        <v>0</v>
      </c>
      <c r="L113" s="319">
        <f t="array" ref="L113">SUM(IF((Budget[Sort Code]=$B$6)*(Budget[Account Code]=$B113)*(Budget[Date]=L$7),Budget[Amount]))</f>
        <v>0</v>
      </c>
      <c r="M113" s="319">
        <f t="array" ref="M113">SUM(IF((Budget[Sort Code]=$B$6)*(Budget[Account Code]=$B113)*(Budget[Date]=M$7),Budget[Amount]))</f>
        <v>0</v>
      </c>
      <c r="N113" s="319">
        <f t="array" ref="N113">SUM(IF((Budget[Sort Code]=$B$6)*(Budget[Account Code]=$B113)*(Budget[Date]=N$7),Budget[Amount]))</f>
        <v>0</v>
      </c>
      <c r="O113" s="319">
        <f t="array" ref="O113">SUM(IF((Budget[Sort Code]=$B$6)*(Budget[Account Code]=$B113)*(Budget[Date]=O$7),Budget[Amount]))</f>
        <v>0</v>
      </c>
      <c r="P113" s="322">
        <f t="shared" si="16"/>
        <v>0</v>
      </c>
    </row>
    <row r="114" spans="1:16" s="171" customFormat="1" x14ac:dyDescent="0.25">
      <c r="A114" s="321" t="s">
        <v>936</v>
      </c>
      <c r="B114" s="317" t="s">
        <v>338</v>
      </c>
      <c r="C114" s="322">
        <f t="shared" si="17"/>
        <v>0</v>
      </c>
      <c r="D114" s="319">
        <f t="array" ref="D114">SUM(IF((Budget[Sort Code]=$B$6)*(Budget[Account Code]=$B114)*(Budget[Date]=D$7),Budget[Amount]))</f>
        <v>0</v>
      </c>
      <c r="E114" s="319">
        <f t="array" ref="E114">SUM(IF((Budget[Sort Code]=$B$6)*(Budget[Account Code]=$B114)*(Budget[Date]=E$7),Budget[Amount]))</f>
        <v>0</v>
      </c>
      <c r="F114" s="319">
        <f t="array" ref="F114">SUM(IF((Budget[Sort Code]=$B$6)*(Budget[Account Code]=$B114)*(Budget[Date]=F$7),Budget[Amount]))</f>
        <v>0</v>
      </c>
      <c r="G114" s="319">
        <f t="array" ref="G114">SUM(IF((Budget[Sort Code]=$B$6)*(Budget[Account Code]=$B114)*(Budget[Date]=G$7),Budget[Amount]))</f>
        <v>0</v>
      </c>
      <c r="H114" s="319">
        <f t="array" ref="H114">SUM(IF((Budget[Sort Code]=$B$6)*(Budget[Account Code]=$B114)*(Budget[Date]=H$7),Budget[Amount]))</f>
        <v>0</v>
      </c>
      <c r="I114" s="319">
        <f t="array" ref="I114">SUM(IF((Budget[Sort Code]=$B$6)*(Budget[Account Code]=$B114)*(Budget[Date]=I$7),Budget[Amount]))</f>
        <v>0</v>
      </c>
      <c r="J114" s="319">
        <f t="array" ref="J114">SUM(IF((Budget[Sort Code]=$B$6)*(Budget[Account Code]=$B114)*(Budget[Date]=J$7),Budget[Amount]))</f>
        <v>0</v>
      </c>
      <c r="K114" s="319">
        <f t="array" ref="K114">SUM(IF((Budget[Sort Code]=$B$6)*(Budget[Account Code]=$B114)*(Budget[Date]=K$7),Budget[Amount]))</f>
        <v>0</v>
      </c>
      <c r="L114" s="319">
        <f t="array" ref="L114">SUM(IF((Budget[Sort Code]=$B$6)*(Budget[Account Code]=$B114)*(Budget[Date]=L$7),Budget[Amount]))</f>
        <v>0</v>
      </c>
      <c r="M114" s="319">
        <f t="array" ref="M114">SUM(IF((Budget[Sort Code]=$B$6)*(Budget[Account Code]=$B114)*(Budget[Date]=M$7),Budget[Amount]))</f>
        <v>0</v>
      </c>
      <c r="N114" s="319">
        <f t="array" ref="N114">SUM(IF((Budget[Sort Code]=$B$6)*(Budget[Account Code]=$B114)*(Budget[Date]=N$7),Budget[Amount]))</f>
        <v>0</v>
      </c>
      <c r="O114" s="319">
        <f t="array" ref="O114">SUM(IF((Budget[Sort Code]=$B$6)*(Budget[Account Code]=$B114)*(Budget[Date]=O$7),Budget[Amount]))</f>
        <v>0</v>
      </c>
      <c r="P114" s="322">
        <f t="shared" si="16"/>
        <v>0</v>
      </c>
    </row>
    <row r="115" spans="1:16" s="171" customFormat="1" x14ac:dyDescent="0.25">
      <c r="A115" s="321" t="s">
        <v>937</v>
      </c>
      <c r="B115" s="317" t="s">
        <v>339</v>
      </c>
      <c r="C115" s="322">
        <f t="shared" si="17"/>
        <v>0</v>
      </c>
      <c r="D115" s="319">
        <f t="array" ref="D115">SUM(IF((Budget[Sort Code]=$B$6)*(Budget[Account Code]=$B115)*(Budget[Date]=D$7),Budget[Amount]))</f>
        <v>0</v>
      </c>
      <c r="E115" s="319">
        <f t="array" ref="E115">SUM(IF((Budget[Sort Code]=$B$6)*(Budget[Account Code]=$B115)*(Budget[Date]=E$7),Budget[Amount]))</f>
        <v>0</v>
      </c>
      <c r="F115" s="319">
        <f t="array" ref="F115">SUM(IF((Budget[Sort Code]=$B$6)*(Budget[Account Code]=$B115)*(Budget[Date]=F$7),Budget[Amount]))</f>
        <v>0</v>
      </c>
      <c r="G115" s="319">
        <f t="array" ref="G115">SUM(IF((Budget[Sort Code]=$B$6)*(Budget[Account Code]=$B115)*(Budget[Date]=G$7),Budget[Amount]))</f>
        <v>0</v>
      </c>
      <c r="H115" s="319">
        <f t="array" ref="H115">SUM(IF((Budget[Sort Code]=$B$6)*(Budget[Account Code]=$B115)*(Budget[Date]=H$7),Budget[Amount]))</f>
        <v>0</v>
      </c>
      <c r="I115" s="319">
        <f t="array" ref="I115">SUM(IF((Budget[Sort Code]=$B$6)*(Budget[Account Code]=$B115)*(Budget[Date]=I$7),Budget[Amount]))</f>
        <v>0</v>
      </c>
      <c r="J115" s="319">
        <f t="array" ref="J115">SUM(IF((Budget[Sort Code]=$B$6)*(Budget[Account Code]=$B115)*(Budget[Date]=J$7),Budget[Amount]))</f>
        <v>0</v>
      </c>
      <c r="K115" s="319">
        <f t="array" ref="K115">SUM(IF((Budget[Sort Code]=$B$6)*(Budget[Account Code]=$B115)*(Budget[Date]=K$7),Budget[Amount]))</f>
        <v>0</v>
      </c>
      <c r="L115" s="319">
        <f t="array" ref="L115">SUM(IF((Budget[Sort Code]=$B$6)*(Budget[Account Code]=$B115)*(Budget[Date]=L$7),Budget[Amount]))</f>
        <v>0</v>
      </c>
      <c r="M115" s="319">
        <f t="array" ref="M115">SUM(IF((Budget[Sort Code]=$B$6)*(Budget[Account Code]=$B115)*(Budget[Date]=M$7),Budget[Amount]))</f>
        <v>0</v>
      </c>
      <c r="N115" s="319">
        <f t="array" ref="N115">SUM(IF((Budget[Sort Code]=$B$6)*(Budget[Account Code]=$B115)*(Budget[Date]=N$7),Budget[Amount]))</f>
        <v>0</v>
      </c>
      <c r="O115" s="319">
        <f t="array" ref="O115">SUM(IF((Budget[Sort Code]=$B$6)*(Budget[Account Code]=$B115)*(Budget[Date]=O$7),Budget[Amount]))</f>
        <v>0</v>
      </c>
      <c r="P115" s="322">
        <f t="shared" si="16"/>
        <v>0</v>
      </c>
    </row>
    <row r="116" spans="1:16" s="171" customFormat="1" x14ac:dyDescent="0.25">
      <c r="A116" s="321" t="s">
        <v>938</v>
      </c>
      <c r="B116" s="317" t="s">
        <v>245</v>
      </c>
      <c r="C116" s="322">
        <f t="shared" si="17"/>
        <v>0</v>
      </c>
      <c r="D116" s="319">
        <f t="array" ref="D116">SUM(IF((Budget[Sort Code]=$B$6)*(Budget[Account Code]=$B116)*(Budget[Date]=D$7),Budget[Amount]))</f>
        <v>0</v>
      </c>
      <c r="E116" s="319">
        <f t="array" ref="E116">SUM(IF((Budget[Sort Code]=$B$6)*(Budget[Account Code]=$B116)*(Budget[Date]=E$7),Budget[Amount]))</f>
        <v>0</v>
      </c>
      <c r="F116" s="319">
        <f t="array" ref="F116">SUM(IF((Budget[Sort Code]=$B$6)*(Budget[Account Code]=$B116)*(Budget[Date]=F$7),Budget[Amount]))</f>
        <v>0</v>
      </c>
      <c r="G116" s="319">
        <f t="array" ref="G116">SUM(IF((Budget[Sort Code]=$B$6)*(Budget[Account Code]=$B116)*(Budget[Date]=G$7),Budget[Amount]))</f>
        <v>0</v>
      </c>
      <c r="H116" s="319">
        <f t="array" ref="H116">SUM(IF((Budget[Sort Code]=$B$6)*(Budget[Account Code]=$B116)*(Budget[Date]=H$7),Budget[Amount]))</f>
        <v>0</v>
      </c>
      <c r="I116" s="319">
        <f t="array" ref="I116">SUM(IF((Budget[Sort Code]=$B$6)*(Budget[Account Code]=$B116)*(Budget[Date]=I$7),Budget[Amount]))</f>
        <v>0</v>
      </c>
      <c r="J116" s="319">
        <f t="array" ref="J116">SUM(IF((Budget[Sort Code]=$B$6)*(Budget[Account Code]=$B116)*(Budget[Date]=J$7),Budget[Amount]))</f>
        <v>0</v>
      </c>
      <c r="K116" s="319">
        <f t="array" ref="K116">SUM(IF((Budget[Sort Code]=$B$6)*(Budget[Account Code]=$B116)*(Budget[Date]=K$7),Budget[Amount]))</f>
        <v>0</v>
      </c>
      <c r="L116" s="319">
        <f t="array" ref="L116">SUM(IF((Budget[Sort Code]=$B$6)*(Budget[Account Code]=$B116)*(Budget[Date]=L$7),Budget[Amount]))</f>
        <v>0</v>
      </c>
      <c r="M116" s="319">
        <f t="array" ref="M116">SUM(IF((Budget[Sort Code]=$B$6)*(Budget[Account Code]=$B116)*(Budget[Date]=M$7),Budget[Amount]))</f>
        <v>0</v>
      </c>
      <c r="N116" s="319">
        <f t="array" ref="N116">SUM(IF((Budget[Sort Code]=$B$6)*(Budget[Account Code]=$B116)*(Budget[Date]=N$7),Budget[Amount]))</f>
        <v>0</v>
      </c>
      <c r="O116" s="319">
        <f t="array" ref="O116">SUM(IF((Budget[Sort Code]=$B$6)*(Budget[Account Code]=$B116)*(Budget[Date]=O$7),Budget[Amount]))</f>
        <v>0</v>
      </c>
      <c r="P116" s="322">
        <f t="shared" si="16"/>
        <v>0</v>
      </c>
    </row>
    <row r="117" spans="1:16" s="171" customFormat="1" x14ac:dyDescent="0.25">
      <c r="A117" s="321" t="s">
        <v>939</v>
      </c>
      <c r="B117" s="317"/>
      <c r="C117" s="322">
        <f t="shared" si="17"/>
        <v>0</v>
      </c>
      <c r="D117" s="322">
        <f>SUM(D118:D125)</f>
        <v>0</v>
      </c>
      <c r="E117" s="322">
        <f t="shared" ref="E117:O117" si="24">SUM(E118:E125)</f>
        <v>0</v>
      </c>
      <c r="F117" s="322">
        <f t="shared" si="24"/>
        <v>0</v>
      </c>
      <c r="G117" s="322">
        <f t="shared" si="24"/>
        <v>0</v>
      </c>
      <c r="H117" s="322">
        <f t="shared" si="24"/>
        <v>0</v>
      </c>
      <c r="I117" s="322">
        <f t="shared" si="24"/>
        <v>0</v>
      </c>
      <c r="J117" s="322">
        <f t="shared" si="24"/>
        <v>0</v>
      </c>
      <c r="K117" s="322">
        <f t="shared" si="24"/>
        <v>0</v>
      </c>
      <c r="L117" s="322">
        <f t="shared" si="24"/>
        <v>0</v>
      </c>
      <c r="M117" s="322">
        <f t="shared" si="24"/>
        <v>0</v>
      </c>
      <c r="N117" s="322">
        <f t="shared" si="24"/>
        <v>0</v>
      </c>
      <c r="O117" s="322">
        <f t="shared" si="24"/>
        <v>0</v>
      </c>
      <c r="P117" s="322">
        <f t="shared" si="16"/>
        <v>0</v>
      </c>
    </row>
    <row r="118" spans="1:16" x14ac:dyDescent="0.25">
      <c r="A118" s="323" t="s">
        <v>940</v>
      </c>
      <c r="B118" s="317" t="s">
        <v>246</v>
      </c>
      <c r="C118" s="319">
        <f t="shared" si="17"/>
        <v>0</v>
      </c>
      <c r="D118" s="319">
        <f t="array" ref="D118">SUM(IF((Budget[Sort Code]=$B$6)*(Budget[Account Code]=$B118)*(Budget[Date]=D$7),Budget[Amount]))</f>
        <v>0</v>
      </c>
      <c r="E118" s="319">
        <f t="array" ref="E118">SUM(IF((Budget[Sort Code]=$B$6)*(Budget[Account Code]=$B118)*(Budget[Date]=E$7),Budget[Amount]))</f>
        <v>0</v>
      </c>
      <c r="F118" s="319">
        <f t="array" ref="F118">SUM(IF((Budget[Sort Code]=$B$6)*(Budget[Account Code]=$B118)*(Budget[Date]=F$7),Budget[Amount]))</f>
        <v>0</v>
      </c>
      <c r="G118" s="319">
        <f t="array" ref="G118">SUM(IF((Budget[Sort Code]=$B$6)*(Budget[Account Code]=$B118)*(Budget[Date]=G$7),Budget[Amount]))</f>
        <v>0</v>
      </c>
      <c r="H118" s="319">
        <f t="array" ref="H118">SUM(IF((Budget[Sort Code]=$B$6)*(Budget[Account Code]=$B118)*(Budget[Date]=H$7),Budget[Amount]))</f>
        <v>0</v>
      </c>
      <c r="I118" s="319">
        <f t="array" ref="I118">SUM(IF((Budget[Sort Code]=$B$6)*(Budget[Account Code]=$B118)*(Budget[Date]=I$7),Budget[Amount]))</f>
        <v>0</v>
      </c>
      <c r="J118" s="319">
        <f t="array" ref="J118">SUM(IF((Budget[Sort Code]=$B$6)*(Budget[Account Code]=$B118)*(Budget[Date]=J$7),Budget[Amount]))</f>
        <v>0</v>
      </c>
      <c r="K118" s="319">
        <f t="array" ref="K118">SUM(IF((Budget[Sort Code]=$B$6)*(Budget[Account Code]=$B118)*(Budget[Date]=K$7),Budget[Amount]))</f>
        <v>0</v>
      </c>
      <c r="L118" s="319">
        <f t="array" ref="L118">SUM(IF((Budget[Sort Code]=$B$6)*(Budget[Account Code]=$B118)*(Budget[Date]=L$7),Budget[Amount]))</f>
        <v>0</v>
      </c>
      <c r="M118" s="319">
        <f t="array" ref="M118">SUM(IF((Budget[Sort Code]=$B$6)*(Budget[Account Code]=$B118)*(Budget[Date]=M$7),Budget[Amount]))</f>
        <v>0</v>
      </c>
      <c r="N118" s="319">
        <f t="array" ref="N118">SUM(IF((Budget[Sort Code]=$B$6)*(Budget[Account Code]=$B118)*(Budget[Date]=N$7),Budget[Amount]))</f>
        <v>0</v>
      </c>
      <c r="O118" s="319">
        <f t="array" ref="O118">SUM(IF((Budget[Sort Code]=$B$6)*(Budget[Account Code]=$B118)*(Budget[Date]=O$7),Budget[Amount]))</f>
        <v>0</v>
      </c>
      <c r="P118" s="319">
        <f t="shared" si="16"/>
        <v>0</v>
      </c>
    </row>
    <row r="119" spans="1:16" x14ac:dyDescent="0.25">
      <c r="A119" s="323" t="s">
        <v>941</v>
      </c>
      <c r="B119" s="317" t="s">
        <v>222</v>
      </c>
      <c r="C119" s="319">
        <f t="shared" si="17"/>
        <v>0</v>
      </c>
      <c r="D119" s="319">
        <f t="array" ref="D119">SUM(IF((Budget[Sort Code]=$B$6)*(Budget[Account Code]=$B119)*(Budget[Date]=D$7),Budget[Amount]))</f>
        <v>0</v>
      </c>
      <c r="E119" s="319">
        <f t="array" ref="E119">SUM(IF((Budget[Sort Code]=$B$6)*(Budget[Account Code]=$B119)*(Budget[Date]=E$7),Budget[Amount]))</f>
        <v>0</v>
      </c>
      <c r="F119" s="319">
        <f t="array" ref="F119">SUM(IF((Budget[Sort Code]=$B$6)*(Budget[Account Code]=$B119)*(Budget[Date]=F$7),Budget[Amount]))</f>
        <v>0</v>
      </c>
      <c r="G119" s="319">
        <f t="array" ref="G119">SUM(IF((Budget[Sort Code]=$B$6)*(Budget[Account Code]=$B119)*(Budget[Date]=G$7),Budget[Amount]))</f>
        <v>0</v>
      </c>
      <c r="H119" s="319">
        <f t="array" ref="H119">SUM(IF((Budget[Sort Code]=$B$6)*(Budget[Account Code]=$B119)*(Budget[Date]=H$7),Budget[Amount]))</f>
        <v>0</v>
      </c>
      <c r="I119" s="319">
        <f t="array" ref="I119">SUM(IF((Budget[Sort Code]=$B$6)*(Budget[Account Code]=$B119)*(Budget[Date]=I$7),Budget[Amount]))</f>
        <v>0</v>
      </c>
      <c r="J119" s="319">
        <f t="array" ref="J119">SUM(IF((Budget[Sort Code]=$B$6)*(Budget[Account Code]=$B119)*(Budget[Date]=J$7),Budget[Amount]))</f>
        <v>0</v>
      </c>
      <c r="K119" s="319">
        <f t="array" ref="K119">SUM(IF((Budget[Sort Code]=$B$6)*(Budget[Account Code]=$B119)*(Budget[Date]=K$7),Budget[Amount]))</f>
        <v>0</v>
      </c>
      <c r="L119" s="319">
        <f t="array" ref="L119">SUM(IF((Budget[Sort Code]=$B$6)*(Budget[Account Code]=$B119)*(Budget[Date]=L$7),Budget[Amount]))</f>
        <v>0</v>
      </c>
      <c r="M119" s="319">
        <f t="array" ref="M119">SUM(IF((Budget[Sort Code]=$B$6)*(Budget[Account Code]=$B119)*(Budget[Date]=M$7),Budget[Amount]))</f>
        <v>0</v>
      </c>
      <c r="N119" s="319">
        <f t="array" ref="N119">SUM(IF((Budget[Sort Code]=$B$6)*(Budget[Account Code]=$B119)*(Budget[Date]=N$7),Budget[Amount]))</f>
        <v>0</v>
      </c>
      <c r="O119" s="319">
        <f t="array" ref="O119">SUM(IF((Budget[Sort Code]=$B$6)*(Budget[Account Code]=$B119)*(Budget[Date]=O$7),Budget[Amount]))</f>
        <v>0</v>
      </c>
      <c r="P119" s="319">
        <f t="shared" si="16"/>
        <v>0</v>
      </c>
    </row>
    <row r="120" spans="1:16" x14ac:dyDescent="0.25">
      <c r="A120" s="323" t="s">
        <v>942</v>
      </c>
      <c r="B120" s="317" t="s">
        <v>247</v>
      </c>
      <c r="C120" s="319">
        <f t="shared" si="17"/>
        <v>0</v>
      </c>
      <c r="D120" s="319">
        <f t="array" ref="D120">SUM(IF((Budget[Sort Code]=$B$6)*(Budget[Account Code]=$B120)*(Budget[Date]=D$7),Budget[Amount]))</f>
        <v>0</v>
      </c>
      <c r="E120" s="319">
        <f t="array" ref="E120">SUM(IF((Budget[Sort Code]=$B$6)*(Budget[Account Code]=$B120)*(Budget[Date]=E$7),Budget[Amount]))</f>
        <v>0</v>
      </c>
      <c r="F120" s="319">
        <f t="array" ref="F120">SUM(IF((Budget[Sort Code]=$B$6)*(Budget[Account Code]=$B120)*(Budget[Date]=F$7),Budget[Amount]))</f>
        <v>0</v>
      </c>
      <c r="G120" s="319">
        <f t="array" ref="G120">SUM(IF((Budget[Sort Code]=$B$6)*(Budget[Account Code]=$B120)*(Budget[Date]=G$7),Budget[Amount]))</f>
        <v>0</v>
      </c>
      <c r="H120" s="319">
        <f t="array" ref="H120">SUM(IF((Budget[Sort Code]=$B$6)*(Budget[Account Code]=$B120)*(Budget[Date]=H$7),Budget[Amount]))</f>
        <v>0</v>
      </c>
      <c r="I120" s="319">
        <f t="array" ref="I120">SUM(IF((Budget[Sort Code]=$B$6)*(Budget[Account Code]=$B120)*(Budget[Date]=I$7),Budget[Amount]))</f>
        <v>0</v>
      </c>
      <c r="J120" s="319">
        <f t="array" ref="J120">SUM(IF((Budget[Sort Code]=$B$6)*(Budget[Account Code]=$B120)*(Budget[Date]=J$7),Budget[Amount]))</f>
        <v>0</v>
      </c>
      <c r="K120" s="319">
        <f t="array" ref="K120">SUM(IF((Budget[Sort Code]=$B$6)*(Budget[Account Code]=$B120)*(Budget[Date]=K$7),Budget[Amount]))</f>
        <v>0</v>
      </c>
      <c r="L120" s="319">
        <f t="array" ref="L120">SUM(IF((Budget[Sort Code]=$B$6)*(Budget[Account Code]=$B120)*(Budget[Date]=L$7),Budget[Amount]))</f>
        <v>0</v>
      </c>
      <c r="M120" s="319">
        <f t="array" ref="M120">SUM(IF((Budget[Sort Code]=$B$6)*(Budget[Account Code]=$B120)*(Budget[Date]=M$7),Budget[Amount]))</f>
        <v>0</v>
      </c>
      <c r="N120" s="319">
        <f t="array" ref="N120">SUM(IF((Budget[Sort Code]=$B$6)*(Budget[Account Code]=$B120)*(Budget[Date]=N$7),Budget[Amount]))</f>
        <v>0</v>
      </c>
      <c r="O120" s="319">
        <f t="array" ref="O120">SUM(IF((Budget[Sort Code]=$B$6)*(Budget[Account Code]=$B120)*(Budget[Date]=O$7),Budget[Amount]))</f>
        <v>0</v>
      </c>
      <c r="P120" s="319">
        <f t="shared" si="16"/>
        <v>0</v>
      </c>
    </row>
    <row r="121" spans="1:16" x14ac:dyDescent="0.25">
      <c r="A121" s="323" t="s">
        <v>943</v>
      </c>
      <c r="B121" s="317"/>
      <c r="C121" s="319">
        <f t="shared" si="17"/>
        <v>0</v>
      </c>
      <c r="D121" s="319">
        <f t="array" ref="D121">SUM(IF((Budget[Sort Code]=$B$6)*(Budget[Account Code]=$B121)*(Budget[Date]=D$7),Budget[Amount]))</f>
        <v>0</v>
      </c>
      <c r="E121" s="319">
        <f t="array" ref="E121">SUM(IF((Budget[Sort Code]=$B$6)*(Budget[Account Code]=$B121)*(Budget[Date]=E$7),Budget[Amount]))</f>
        <v>0</v>
      </c>
      <c r="F121" s="319">
        <f t="array" ref="F121">SUM(IF((Budget[Sort Code]=$B$6)*(Budget[Account Code]=$B121)*(Budget[Date]=F$7),Budget[Amount]))</f>
        <v>0</v>
      </c>
      <c r="G121" s="319">
        <f t="array" ref="G121">SUM(IF((Budget[Sort Code]=$B$6)*(Budget[Account Code]=$B121)*(Budget[Date]=G$7),Budget[Amount]))</f>
        <v>0</v>
      </c>
      <c r="H121" s="319">
        <f t="array" ref="H121">SUM(IF((Budget[Sort Code]=$B$6)*(Budget[Account Code]=$B121)*(Budget[Date]=H$7),Budget[Amount]))</f>
        <v>0</v>
      </c>
      <c r="I121" s="319">
        <f t="array" ref="I121">SUM(IF((Budget[Sort Code]=$B$6)*(Budget[Account Code]=$B121)*(Budget[Date]=I$7),Budget[Amount]))</f>
        <v>0</v>
      </c>
      <c r="J121" s="319">
        <f t="array" ref="J121">SUM(IF((Budget[Sort Code]=$B$6)*(Budget[Account Code]=$B121)*(Budget[Date]=J$7),Budget[Amount]))</f>
        <v>0</v>
      </c>
      <c r="K121" s="319">
        <f t="array" ref="K121">SUM(IF((Budget[Sort Code]=$B$6)*(Budget[Account Code]=$B121)*(Budget[Date]=K$7),Budget[Amount]))</f>
        <v>0</v>
      </c>
      <c r="L121" s="319">
        <f t="array" ref="L121">SUM(IF((Budget[Sort Code]=$B$6)*(Budget[Account Code]=$B121)*(Budget[Date]=L$7),Budget[Amount]))</f>
        <v>0</v>
      </c>
      <c r="M121" s="319">
        <f t="array" ref="M121">SUM(IF((Budget[Sort Code]=$B$6)*(Budget[Account Code]=$B121)*(Budget[Date]=M$7),Budget[Amount]))</f>
        <v>0</v>
      </c>
      <c r="N121" s="319">
        <f t="array" ref="N121">SUM(IF((Budget[Sort Code]=$B$6)*(Budget[Account Code]=$B121)*(Budget[Date]=N$7),Budget[Amount]))</f>
        <v>0</v>
      </c>
      <c r="O121" s="319">
        <f t="array" ref="O121">SUM(IF((Budget[Sort Code]=$B$6)*(Budget[Account Code]=$B121)*(Budget[Date]=O$7),Budget[Amount]))</f>
        <v>0</v>
      </c>
      <c r="P121" s="319">
        <f t="shared" si="16"/>
        <v>0</v>
      </c>
    </row>
    <row r="122" spans="1:16" x14ac:dyDescent="0.25">
      <c r="A122" s="323" t="s">
        <v>944</v>
      </c>
      <c r="B122" s="317" t="s">
        <v>248</v>
      </c>
      <c r="C122" s="319">
        <f t="shared" si="17"/>
        <v>0</v>
      </c>
      <c r="D122" s="319">
        <f t="array" ref="D122">SUM(IF((Budget[Sort Code]=$B$6)*(Budget[Account Code]=$B122)*(Budget[Date]=D$7),Budget[Amount]))</f>
        <v>0</v>
      </c>
      <c r="E122" s="319">
        <f t="array" ref="E122">SUM(IF((Budget[Sort Code]=$B$6)*(Budget[Account Code]=$B122)*(Budget[Date]=E$7),Budget[Amount]))</f>
        <v>0</v>
      </c>
      <c r="F122" s="319">
        <f t="array" ref="F122">SUM(IF((Budget[Sort Code]=$B$6)*(Budget[Account Code]=$B122)*(Budget[Date]=F$7),Budget[Amount]))</f>
        <v>0</v>
      </c>
      <c r="G122" s="319">
        <f t="array" ref="G122">SUM(IF((Budget[Sort Code]=$B$6)*(Budget[Account Code]=$B122)*(Budget[Date]=G$7),Budget[Amount]))</f>
        <v>0</v>
      </c>
      <c r="H122" s="319">
        <f t="array" ref="H122">SUM(IF((Budget[Sort Code]=$B$6)*(Budget[Account Code]=$B122)*(Budget[Date]=H$7),Budget[Amount]))</f>
        <v>0</v>
      </c>
      <c r="I122" s="319">
        <f t="array" ref="I122">SUM(IF((Budget[Sort Code]=$B$6)*(Budget[Account Code]=$B122)*(Budget[Date]=I$7),Budget[Amount]))</f>
        <v>0</v>
      </c>
      <c r="J122" s="319">
        <f t="array" ref="J122">SUM(IF((Budget[Sort Code]=$B$6)*(Budget[Account Code]=$B122)*(Budget[Date]=J$7),Budget[Amount]))</f>
        <v>0</v>
      </c>
      <c r="K122" s="319">
        <f t="array" ref="K122">SUM(IF((Budget[Sort Code]=$B$6)*(Budget[Account Code]=$B122)*(Budget[Date]=K$7),Budget[Amount]))</f>
        <v>0</v>
      </c>
      <c r="L122" s="319">
        <f t="array" ref="L122">SUM(IF((Budget[Sort Code]=$B$6)*(Budget[Account Code]=$B122)*(Budget[Date]=L$7),Budget[Amount]))</f>
        <v>0</v>
      </c>
      <c r="M122" s="319">
        <f t="array" ref="M122">SUM(IF((Budget[Sort Code]=$B$6)*(Budget[Account Code]=$B122)*(Budget[Date]=M$7),Budget[Amount]))</f>
        <v>0</v>
      </c>
      <c r="N122" s="319">
        <f t="array" ref="N122">SUM(IF((Budget[Sort Code]=$B$6)*(Budget[Account Code]=$B122)*(Budget[Date]=N$7),Budget[Amount]))</f>
        <v>0</v>
      </c>
      <c r="O122" s="319">
        <f t="array" ref="O122">SUM(IF((Budget[Sort Code]=$B$6)*(Budget[Account Code]=$B122)*(Budget[Date]=O$7),Budget[Amount]))</f>
        <v>0</v>
      </c>
      <c r="P122" s="319">
        <f t="shared" si="16"/>
        <v>0</v>
      </c>
    </row>
    <row r="123" spans="1:16" x14ac:dyDescent="0.25">
      <c r="A123" s="323" t="s">
        <v>945</v>
      </c>
      <c r="B123" s="317" t="s">
        <v>249</v>
      </c>
      <c r="C123" s="319">
        <f t="shared" si="17"/>
        <v>0</v>
      </c>
      <c r="D123" s="319">
        <f t="array" ref="D123">SUM(IF((Budget[Sort Code]=$B$6)*(Budget[Account Code]=$B123)*(Budget[Date]=D$7),Budget[Amount]))</f>
        <v>0</v>
      </c>
      <c r="E123" s="319">
        <f t="array" ref="E123">SUM(IF((Budget[Sort Code]=$B$6)*(Budget[Account Code]=$B123)*(Budget[Date]=E$7),Budget[Amount]))</f>
        <v>0</v>
      </c>
      <c r="F123" s="319">
        <f t="array" ref="F123">SUM(IF((Budget[Sort Code]=$B$6)*(Budget[Account Code]=$B123)*(Budget[Date]=F$7),Budget[Amount]))</f>
        <v>0</v>
      </c>
      <c r="G123" s="319">
        <f t="array" ref="G123">SUM(IF((Budget[Sort Code]=$B$6)*(Budget[Account Code]=$B123)*(Budget[Date]=G$7),Budget[Amount]))</f>
        <v>0</v>
      </c>
      <c r="H123" s="319">
        <f t="array" ref="H123">SUM(IF((Budget[Sort Code]=$B$6)*(Budget[Account Code]=$B123)*(Budget[Date]=H$7),Budget[Amount]))</f>
        <v>0</v>
      </c>
      <c r="I123" s="319">
        <f t="array" ref="I123">SUM(IF((Budget[Sort Code]=$B$6)*(Budget[Account Code]=$B123)*(Budget[Date]=I$7),Budget[Amount]))</f>
        <v>0</v>
      </c>
      <c r="J123" s="319">
        <f t="array" ref="J123">SUM(IF((Budget[Sort Code]=$B$6)*(Budget[Account Code]=$B123)*(Budget[Date]=J$7),Budget[Amount]))</f>
        <v>0</v>
      </c>
      <c r="K123" s="319">
        <f t="array" ref="K123">SUM(IF((Budget[Sort Code]=$B$6)*(Budget[Account Code]=$B123)*(Budget[Date]=K$7),Budget[Amount]))</f>
        <v>0</v>
      </c>
      <c r="L123" s="319">
        <f t="array" ref="L123">SUM(IF((Budget[Sort Code]=$B$6)*(Budget[Account Code]=$B123)*(Budget[Date]=L$7),Budget[Amount]))</f>
        <v>0</v>
      </c>
      <c r="M123" s="319">
        <f t="array" ref="M123">SUM(IF((Budget[Sort Code]=$B$6)*(Budget[Account Code]=$B123)*(Budget[Date]=M$7),Budget[Amount]))</f>
        <v>0</v>
      </c>
      <c r="N123" s="319">
        <f t="array" ref="N123">SUM(IF((Budget[Sort Code]=$B$6)*(Budget[Account Code]=$B123)*(Budget[Date]=N$7),Budget[Amount]))</f>
        <v>0</v>
      </c>
      <c r="O123" s="319">
        <f t="array" ref="O123">SUM(IF((Budget[Sort Code]=$B$6)*(Budget[Account Code]=$B123)*(Budget[Date]=O$7),Budget[Amount]))</f>
        <v>0</v>
      </c>
      <c r="P123" s="319">
        <f t="shared" si="16"/>
        <v>0</v>
      </c>
    </row>
    <row r="124" spans="1:16" x14ac:dyDescent="0.25">
      <c r="A124" s="323" t="s">
        <v>946</v>
      </c>
      <c r="B124" s="317"/>
      <c r="C124" s="319">
        <f t="shared" ref="C124:C151" si="25">SUM(D124:O124)</f>
        <v>0</v>
      </c>
      <c r="D124" s="319">
        <f t="array" ref="D124">SUM(IF((Budget[Sort Code]=$B$6)*(Budget[Account Code]=$B124)*(Budget[Date]=D$7),Budget[Amount]))</f>
        <v>0</v>
      </c>
      <c r="E124" s="319">
        <f t="array" ref="E124">SUM(IF((Budget[Sort Code]=$B$6)*(Budget[Account Code]=$B124)*(Budget[Date]=E$7),Budget[Amount]))</f>
        <v>0</v>
      </c>
      <c r="F124" s="319">
        <f t="array" ref="F124">SUM(IF((Budget[Sort Code]=$B$6)*(Budget[Account Code]=$B124)*(Budget[Date]=F$7),Budget[Amount]))</f>
        <v>0</v>
      </c>
      <c r="G124" s="319">
        <f t="array" ref="G124">SUM(IF((Budget[Sort Code]=$B$6)*(Budget[Account Code]=$B124)*(Budget[Date]=G$7),Budget[Amount]))</f>
        <v>0</v>
      </c>
      <c r="H124" s="319">
        <f t="array" ref="H124">SUM(IF((Budget[Sort Code]=$B$6)*(Budget[Account Code]=$B124)*(Budget[Date]=H$7),Budget[Amount]))</f>
        <v>0</v>
      </c>
      <c r="I124" s="319">
        <f t="array" ref="I124">SUM(IF((Budget[Sort Code]=$B$6)*(Budget[Account Code]=$B124)*(Budget[Date]=I$7),Budget[Amount]))</f>
        <v>0</v>
      </c>
      <c r="J124" s="319">
        <f t="array" ref="J124">SUM(IF((Budget[Sort Code]=$B$6)*(Budget[Account Code]=$B124)*(Budget[Date]=J$7),Budget[Amount]))</f>
        <v>0</v>
      </c>
      <c r="K124" s="319">
        <f t="array" ref="K124">SUM(IF((Budget[Sort Code]=$B$6)*(Budget[Account Code]=$B124)*(Budget[Date]=K$7),Budget[Amount]))</f>
        <v>0</v>
      </c>
      <c r="L124" s="319">
        <f t="array" ref="L124">SUM(IF((Budget[Sort Code]=$B$6)*(Budget[Account Code]=$B124)*(Budget[Date]=L$7),Budget[Amount]))</f>
        <v>0</v>
      </c>
      <c r="M124" s="319">
        <f t="array" ref="M124">SUM(IF((Budget[Sort Code]=$B$6)*(Budget[Account Code]=$B124)*(Budget[Date]=M$7),Budget[Amount]))</f>
        <v>0</v>
      </c>
      <c r="N124" s="319">
        <f t="array" ref="N124">SUM(IF((Budget[Sort Code]=$B$6)*(Budget[Account Code]=$B124)*(Budget[Date]=N$7),Budget[Amount]))</f>
        <v>0</v>
      </c>
      <c r="O124" s="319">
        <f t="array" ref="O124">SUM(IF((Budget[Sort Code]=$B$6)*(Budget[Account Code]=$B124)*(Budget[Date]=O$7),Budget[Amount]))</f>
        <v>0</v>
      </c>
      <c r="P124" s="319">
        <f t="shared" si="16"/>
        <v>0</v>
      </c>
    </row>
    <row r="125" spans="1:16" x14ac:dyDescent="0.25">
      <c r="A125" s="323" t="s">
        <v>947</v>
      </c>
      <c r="B125" s="317" t="s">
        <v>250</v>
      </c>
      <c r="C125" s="319">
        <f t="shared" si="25"/>
        <v>0</v>
      </c>
      <c r="D125" s="319">
        <f t="array" ref="D125">SUM(IF((Budget[Sort Code]=$B$6)*(Budget[Account Code]=$B125)*(Budget[Date]=D$7),Budget[Amount]))</f>
        <v>0</v>
      </c>
      <c r="E125" s="319">
        <f t="array" ref="E125">SUM(IF((Budget[Sort Code]=$B$6)*(Budget[Account Code]=$B125)*(Budget[Date]=E$7),Budget[Amount]))</f>
        <v>0</v>
      </c>
      <c r="F125" s="319">
        <f t="array" ref="F125">SUM(IF((Budget[Sort Code]=$B$6)*(Budget[Account Code]=$B125)*(Budget[Date]=F$7),Budget[Amount]))</f>
        <v>0</v>
      </c>
      <c r="G125" s="319">
        <f t="array" ref="G125">SUM(IF((Budget[Sort Code]=$B$6)*(Budget[Account Code]=$B125)*(Budget[Date]=G$7),Budget[Amount]))</f>
        <v>0</v>
      </c>
      <c r="H125" s="319">
        <f t="array" ref="H125">SUM(IF((Budget[Sort Code]=$B$6)*(Budget[Account Code]=$B125)*(Budget[Date]=H$7),Budget[Amount]))</f>
        <v>0</v>
      </c>
      <c r="I125" s="319">
        <f t="array" ref="I125">SUM(IF((Budget[Sort Code]=$B$6)*(Budget[Account Code]=$B125)*(Budget[Date]=I$7),Budget[Amount]))</f>
        <v>0</v>
      </c>
      <c r="J125" s="319">
        <f t="array" ref="J125">SUM(IF((Budget[Sort Code]=$B$6)*(Budget[Account Code]=$B125)*(Budget[Date]=J$7),Budget[Amount]))</f>
        <v>0</v>
      </c>
      <c r="K125" s="319">
        <f t="array" ref="K125">SUM(IF((Budget[Sort Code]=$B$6)*(Budget[Account Code]=$B125)*(Budget[Date]=K$7),Budget[Amount]))</f>
        <v>0</v>
      </c>
      <c r="L125" s="319">
        <f t="array" ref="L125">SUM(IF((Budget[Sort Code]=$B$6)*(Budget[Account Code]=$B125)*(Budget[Date]=L$7),Budget[Amount]))</f>
        <v>0</v>
      </c>
      <c r="M125" s="319">
        <f t="array" ref="M125">SUM(IF((Budget[Sort Code]=$B$6)*(Budget[Account Code]=$B125)*(Budget[Date]=M$7),Budget[Amount]))</f>
        <v>0</v>
      </c>
      <c r="N125" s="319">
        <f t="array" ref="N125">SUM(IF((Budget[Sort Code]=$B$6)*(Budget[Account Code]=$B125)*(Budget[Date]=N$7),Budget[Amount]))</f>
        <v>0</v>
      </c>
      <c r="O125" s="319">
        <f t="array" ref="O125">SUM(IF((Budget[Sort Code]=$B$6)*(Budget[Account Code]=$B125)*(Budget[Date]=O$7),Budget[Amount]))</f>
        <v>0</v>
      </c>
      <c r="P125" s="319">
        <f t="shared" si="16"/>
        <v>0</v>
      </c>
    </row>
    <row r="126" spans="1:16" s="171" customFormat="1" x14ac:dyDescent="0.25">
      <c r="A126" s="321" t="s">
        <v>948</v>
      </c>
      <c r="B126" s="317"/>
      <c r="C126" s="322">
        <f t="shared" si="25"/>
        <v>0</v>
      </c>
      <c r="D126" s="322">
        <f>SUM(D127:D132)</f>
        <v>0</v>
      </c>
      <c r="E126" s="322">
        <f t="shared" ref="E126:O126" si="26">SUM(E127:E132)</f>
        <v>0</v>
      </c>
      <c r="F126" s="322">
        <f t="shared" si="26"/>
        <v>0</v>
      </c>
      <c r="G126" s="322">
        <f t="shared" si="26"/>
        <v>0</v>
      </c>
      <c r="H126" s="322">
        <f t="shared" si="26"/>
        <v>0</v>
      </c>
      <c r="I126" s="322">
        <f t="shared" si="26"/>
        <v>0</v>
      </c>
      <c r="J126" s="322">
        <f t="shared" si="26"/>
        <v>0</v>
      </c>
      <c r="K126" s="322">
        <f t="shared" si="26"/>
        <v>0</v>
      </c>
      <c r="L126" s="322">
        <f t="shared" si="26"/>
        <v>0</v>
      </c>
      <c r="M126" s="322">
        <f t="shared" si="26"/>
        <v>0</v>
      </c>
      <c r="N126" s="322">
        <f t="shared" si="26"/>
        <v>0</v>
      </c>
      <c r="O126" s="322">
        <f t="shared" si="26"/>
        <v>0</v>
      </c>
      <c r="P126" s="322">
        <f t="shared" si="16"/>
        <v>0</v>
      </c>
    </row>
    <row r="127" spans="1:16" x14ac:dyDescent="0.25">
      <c r="A127" s="323" t="s">
        <v>949</v>
      </c>
      <c r="B127" s="317" t="s">
        <v>253</v>
      </c>
      <c r="C127" s="319">
        <f t="shared" si="25"/>
        <v>0</v>
      </c>
      <c r="D127" s="319">
        <f t="array" ref="D127">SUM(IF((Budget[Sort Code]=$B$6)*(Budget[Account Code]=$B127)*(Budget[Date]=D$7),Budget[Amount]))</f>
        <v>0</v>
      </c>
      <c r="E127" s="319">
        <f t="array" ref="E127">SUM(IF((Budget[Sort Code]=$B$6)*(Budget[Account Code]=$B127)*(Budget[Date]=E$7),Budget[Amount]))</f>
        <v>0</v>
      </c>
      <c r="F127" s="319">
        <f t="array" ref="F127">SUM(IF((Budget[Sort Code]=$B$6)*(Budget[Account Code]=$B127)*(Budget[Date]=F$7),Budget[Amount]))</f>
        <v>0</v>
      </c>
      <c r="G127" s="319">
        <f t="array" ref="G127">SUM(IF((Budget[Sort Code]=$B$6)*(Budget[Account Code]=$B127)*(Budget[Date]=G$7),Budget[Amount]))</f>
        <v>0</v>
      </c>
      <c r="H127" s="319">
        <f t="array" ref="H127">SUM(IF((Budget[Sort Code]=$B$6)*(Budget[Account Code]=$B127)*(Budget[Date]=H$7),Budget[Amount]))</f>
        <v>0</v>
      </c>
      <c r="I127" s="319">
        <f t="array" ref="I127">SUM(IF((Budget[Sort Code]=$B$6)*(Budget[Account Code]=$B127)*(Budget[Date]=I$7),Budget[Amount]))</f>
        <v>0</v>
      </c>
      <c r="J127" s="319">
        <f t="array" ref="J127">SUM(IF((Budget[Sort Code]=$B$6)*(Budget[Account Code]=$B127)*(Budget[Date]=J$7),Budget[Amount]))</f>
        <v>0</v>
      </c>
      <c r="K127" s="319">
        <f t="array" ref="K127">SUM(IF((Budget[Sort Code]=$B$6)*(Budget[Account Code]=$B127)*(Budget[Date]=K$7),Budget[Amount]))</f>
        <v>0</v>
      </c>
      <c r="L127" s="319">
        <f t="array" ref="L127">SUM(IF((Budget[Sort Code]=$B$6)*(Budget[Account Code]=$B127)*(Budget[Date]=L$7),Budget[Amount]))</f>
        <v>0</v>
      </c>
      <c r="M127" s="319">
        <f t="array" ref="M127">SUM(IF((Budget[Sort Code]=$B$6)*(Budget[Account Code]=$B127)*(Budget[Date]=M$7),Budget[Amount]))</f>
        <v>0</v>
      </c>
      <c r="N127" s="319">
        <f t="array" ref="N127">SUM(IF((Budget[Sort Code]=$B$6)*(Budget[Account Code]=$B127)*(Budget[Date]=N$7),Budget[Amount]))</f>
        <v>0</v>
      </c>
      <c r="O127" s="319">
        <f t="array" ref="O127">SUM(IF((Budget[Sort Code]=$B$6)*(Budget[Account Code]=$B127)*(Budget[Date]=O$7),Budget[Amount]))</f>
        <v>0</v>
      </c>
      <c r="P127" s="319">
        <f t="shared" si="16"/>
        <v>0</v>
      </c>
    </row>
    <row r="128" spans="1:16" x14ac:dyDescent="0.25">
      <c r="A128" s="323" t="s">
        <v>950</v>
      </c>
      <c r="B128" s="317" t="s">
        <v>256</v>
      </c>
      <c r="C128" s="319">
        <f t="shared" si="25"/>
        <v>0</v>
      </c>
      <c r="D128" s="319">
        <f t="array" ref="D128">SUM(IF((Budget[Sort Code]=$B$6)*(Budget[Account Code]=$B128)*(Budget[Date]=D$7),Budget[Amount]))</f>
        <v>0</v>
      </c>
      <c r="E128" s="319">
        <f t="array" ref="E128">SUM(IF((Budget[Sort Code]=$B$6)*(Budget[Account Code]=$B128)*(Budget[Date]=E$7),Budget[Amount]))</f>
        <v>0</v>
      </c>
      <c r="F128" s="319">
        <f t="array" ref="F128">SUM(IF((Budget[Sort Code]=$B$6)*(Budget[Account Code]=$B128)*(Budget[Date]=F$7),Budget[Amount]))</f>
        <v>0</v>
      </c>
      <c r="G128" s="319">
        <f t="array" ref="G128">SUM(IF((Budget[Sort Code]=$B$6)*(Budget[Account Code]=$B128)*(Budget[Date]=G$7),Budget[Amount]))</f>
        <v>0</v>
      </c>
      <c r="H128" s="319">
        <f t="array" ref="H128">SUM(IF((Budget[Sort Code]=$B$6)*(Budget[Account Code]=$B128)*(Budget[Date]=H$7),Budget[Amount]))</f>
        <v>0</v>
      </c>
      <c r="I128" s="319">
        <f t="array" ref="I128">SUM(IF((Budget[Sort Code]=$B$6)*(Budget[Account Code]=$B128)*(Budget[Date]=I$7),Budget[Amount]))</f>
        <v>0</v>
      </c>
      <c r="J128" s="319">
        <f t="array" ref="J128">SUM(IF((Budget[Sort Code]=$B$6)*(Budget[Account Code]=$B128)*(Budget[Date]=J$7),Budget[Amount]))</f>
        <v>0</v>
      </c>
      <c r="K128" s="319">
        <f t="array" ref="K128">SUM(IF((Budget[Sort Code]=$B$6)*(Budget[Account Code]=$B128)*(Budget[Date]=K$7),Budget[Amount]))</f>
        <v>0</v>
      </c>
      <c r="L128" s="319">
        <f t="array" ref="L128">SUM(IF((Budget[Sort Code]=$B$6)*(Budget[Account Code]=$B128)*(Budget[Date]=L$7),Budget[Amount]))</f>
        <v>0</v>
      </c>
      <c r="M128" s="319">
        <f t="array" ref="M128">SUM(IF((Budget[Sort Code]=$B$6)*(Budget[Account Code]=$B128)*(Budget[Date]=M$7),Budget[Amount]))</f>
        <v>0</v>
      </c>
      <c r="N128" s="319">
        <f t="array" ref="N128">SUM(IF((Budget[Sort Code]=$B$6)*(Budget[Account Code]=$B128)*(Budget[Date]=N$7),Budget[Amount]))</f>
        <v>0</v>
      </c>
      <c r="O128" s="319">
        <f t="array" ref="O128">SUM(IF((Budget[Sort Code]=$B$6)*(Budget[Account Code]=$B128)*(Budget[Date]=O$7),Budget[Amount]))</f>
        <v>0</v>
      </c>
      <c r="P128" s="319">
        <f t="shared" si="16"/>
        <v>0</v>
      </c>
    </row>
    <row r="129" spans="1:16" x14ac:dyDescent="0.25">
      <c r="A129" s="323" t="s">
        <v>951</v>
      </c>
      <c r="B129" s="317" t="s">
        <v>262</v>
      </c>
      <c r="C129" s="319">
        <f t="shared" si="25"/>
        <v>0</v>
      </c>
      <c r="D129" s="319">
        <f t="array" ref="D129">SUM(IF((Budget[Sort Code]=$B$6)*(Budget[Account Code]=$B129)*(Budget[Date]=D$7),Budget[Amount]))</f>
        <v>0</v>
      </c>
      <c r="E129" s="319">
        <f t="array" ref="E129">SUM(IF((Budget[Sort Code]=$B$6)*(Budget[Account Code]=$B129)*(Budget[Date]=E$7),Budget[Amount]))</f>
        <v>0</v>
      </c>
      <c r="F129" s="319">
        <f t="array" ref="F129">SUM(IF((Budget[Sort Code]=$B$6)*(Budget[Account Code]=$B129)*(Budget[Date]=F$7),Budget[Amount]))</f>
        <v>0</v>
      </c>
      <c r="G129" s="319">
        <f t="array" ref="G129">SUM(IF((Budget[Sort Code]=$B$6)*(Budget[Account Code]=$B129)*(Budget[Date]=G$7),Budget[Amount]))</f>
        <v>0</v>
      </c>
      <c r="H129" s="319">
        <f t="array" ref="H129">SUM(IF((Budget[Sort Code]=$B$6)*(Budget[Account Code]=$B129)*(Budget[Date]=H$7),Budget[Amount]))</f>
        <v>0</v>
      </c>
      <c r="I129" s="319">
        <f t="array" ref="I129">SUM(IF((Budget[Sort Code]=$B$6)*(Budget[Account Code]=$B129)*(Budget[Date]=I$7),Budget[Amount]))</f>
        <v>0</v>
      </c>
      <c r="J129" s="319">
        <f t="array" ref="J129">SUM(IF((Budget[Sort Code]=$B$6)*(Budget[Account Code]=$B129)*(Budget[Date]=J$7),Budget[Amount]))</f>
        <v>0</v>
      </c>
      <c r="K129" s="319">
        <f t="array" ref="K129">SUM(IF((Budget[Sort Code]=$B$6)*(Budget[Account Code]=$B129)*(Budget[Date]=K$7),Budget[Amount]))</f>
        <v>0</v>
      </c>
      <c r="L129" s="319">
        <f t="array" ref="L129">SUM(IF((Budget[Sort Code]=$B$6)*(Budget[Account Code]=$B129)*(Budget[Date]=L$7),Budget[Amount]))</f>
        <v>0</v>
      </c>
      <c r="M129" s="319">
        <f t="array" ref="M129">SUM(IF((Budget[Sort Code]=$B$6)*(Budget[Account Code]=$B129)*(Budget[Date]=M$7),Budget[Amount]))</f>
        <v>0</v>
      </c>
      <c r="N129" s="319">
        <f t="array" ref="N129">SUM(IF((Budget[Sort Code]=$B$6)*(Budget[Account Code]=$B129)*(Budget[Date]=N$7),Budget[Amount]))</f>
        <v>0</v>
      </c>
      <c r="O129" s="319">
        <f t="array" ref="O129">SUM(IF((Budget[Sort Code]=$B$6)*(Budget[Account Code]=$B129)*(Budget[Date]=O$7),Budget[Amount]))</f>
        <v>0</v>
      </c>
      <c r="P129" s="319">
        <f t="shared" si="16"/>
        <v>0</v>
      </c>
    </row>
    <row r="130" spans="1:16" x14ac:dyDescent="0.25">
      <c r="A130" s="323" t="s">
        <v>952</v>
      </c>
      <c r="B130" s="317" t="s">
        <v>251</v>
      </c>
      <c r="C130" s="319">
        <f t="shared" si="25"/>
        <v>0</v>
      </c>
      <c r="D130" s="319">
        <f t="array" ref="D130">SUM(IF((Budget[Sort Code]=$B$6)*(Budget[Account Code]=$B130)*(Budget[Date]=D$7),Budget[Amount]))</f>
        <v>0</v>
      </c>
      <c r="E130" s="319">
        <f t="array" ref="E130">SUM(IF((Budget[Sort Code]=$B$6)*(Budget[Account Code]=$B130)*(Budget[Date]=E$7),Budget[Amount]))</f>
        <v>0</v>
      </c>
      <c r="F130" s="319">
        <f t="array" ref="F130">SUM(IF((Budget[Sort Code]=$B$6)*(Budget[Account Code]=$B130)*(Budget[Date]=F$7),Budget[Amount]))</f>
        <v>0</v>
      </c>
      <c r="G130" s="319">
        <f t="array" ref="G130">SUM(IF((Budget[Sort Code]=$B$6)*(Budget[Account Code]=$B130)*(Budget[Date]=G$7),Budget[Amount]))</f>
        <v>0</v>
      </c>
      <c r="H130" s="319">
        <f t="array" ref="H130">SUM(IF((Budget[Sort Code]=$B$6)*(Budget[Account Code]=$B130)*(Budget[Date]=H$7),Budget[Amount]))</f>
        <v>0</v>
      </c>
      <c r="I130" s="319">
        <f t="array" ref="I130">SUM(IF((Budget[Sort Code]=$B$6)*(Budget[Account Code]=$B130)*(Budget[Date]=I$7),Budget[Amount]))</f>
        <v>0</v>
      </c>
      <c r="J130" s="319">
        <f t="array" ref="J130">SUM(IF((Budget[Sort Code]=$B$6)*(Budget[Account Code]=$B130)*(Budget[Date]=J$7),Budget[Amount]))</f>
        <v>0</v>
      </c>
      <c r="K130" s="319">
        <f t="array" ref="K130">SUM(IF((Budget[Sort Code]=$B$6)*(Budget[Account Code]=$B130)*(Budget[Date]=K$7),Budget[Amount]))</f>
        <v>0</v>
      </c>
      <c r="L130" s="319">
        <f t="array" ref="L130">SUM(IF((Budget[Sort Code]=$B$6)*(Budget[Account Code]=$B130)*(Budget[Date]=L$7),Budget[Amount]))</f>
        <v>0</v>
      </c>
      <c r="M130" s="319">
        <f t="array" ref="M130">SUM(IF((Budget[Sort Code]=$B$6)*(Budget[Account Code]=$B130)*(Budget[Date]=M$7),Budget[Amount]))</f>
        <v>0</v>
      </c>
      <c r="N130" s="319">
        <f t="array" ref="N130">SUM(IF((Budget[Sort Code]=$B$6)*(Budget[Account Code]=$B130)*(Budget[Date]=N$7),Budget[Amount]))</f>
        <v>0</v>
      </c>
      <c r="O130" s="319">
        <f t="array" ref="O130">SUM(IF((Budget[Sort Code]=$B$6)*(Budget[Account Code]=$B130)*(Budget[Date]=O$7),Budget[Amount]))</f>
        <v>0</v>
      </c>
      <c r="P130" s="319">
        <f t="shared" si="16"/>
        <v>0</v>
      </c>
    </row>
    <row r="131" spans="1:16" x14ac:dyDescent="0.25">
      <c r="A131" s="323" t="s">
        <v>953</v>
      </c>
      <c r="B131" s="317" t="s">
        <v>252</v>
      </c>
      <c r="C131" s="319">
        <f t="shared" si="25"/>
        <v>0</v>
      </c>
      <c r="D131" s="319">
        <f t="array" ref="D131">SUM(IF((Budget[Sort Code]=$B$6)*(Budget[Account Code]=$B131)*(Budget[Date]=D$7),Budget[Amount]))</f>
        <v>0</v>
      </c>
      <c r="E131" s="319">
        <f t="array" ref="E131">SUM(IF((Budget[Sort Code]=$B$6)*(Budget[Account Code]=$B131)*(Budget[Date]=E$7),Budget[Amount]))</f>
        <v>0</v>
      </c>
      <c r="F131" s="319">
        <f t="array" ref="F131">SUM(IF((Budget[Sort Code]=$B$6)*(Budget[Account Code]=$B131)*(Budget[Date]=F$7),Budget[Amount]))</f>
        <v>0</v>
      </c>
      <c r="G131" s="319">
        <f t="array" ref="G131">SUM(IF((Budget[Sort Code]=$B$6)*(Budget[Account Code]=$B131)*(Budget[Date]=G$7),Budget[Amount]))</f>
        <v>0</v>
      </c>
      <c r="H131" s="319">
        <f t="array" ref="H131">SUM(IF((Budget[Sort Code]=$B$6)*(Budget[Account Code]=$B131)*(Budget[Date]=H$7),Budget[Amount]))</f>
        <v>0</v>
      </c>
      <c r="I131" s="319">
        <f t="array" ref="I131">SUM(IF((Budget[Sort Code]=$B$6)*(Budget[Account Code]=$B131)*(Budget[Date]=I$7),Budget[Amount]))</f>
        <v>0</v>
      </c>
      <c r="J131" s="319">
        <f t="array" ref="J131">SUM(IF((Budget[Sort Code]=$B$6)*(Budget[Account Code]=$B131)*(Budget[Date]=J$7),Budget[Amount]))</f>
        <v>0</v>
      </c>
      <c r="K131" s="319">
        <f t="array" ref="K131">SUM(IF((Budget[Sort Code]=$B$6)*(Budget[Account Code]=$B131)*(Budget[Date]=K$7),Budget[Amount]))</f>
        <v>0</v>
      </c>
      <c r="L131" s="319">
        <f t="array" ref="L131">SUM(IF((Budget[Sort Code]=$B$6)*(Budget[Account Code]=$B131)*(Budget[Date]=L$7),Budget[Amount]))</f>
        <v>0</v>
      </c>
      <c r="M131" s="319">
        <f t="array" ref="M131">SUM(IF((Budget[Sort Code]=$B$6)*(Budget[Account Code]=$B131)*(Budget[Date]=M$7),Budget[Amount]))</f>
        <v>0</v>
      </c>
      <c r="N131" s="319">
        <f t="array" ref="N131">SUM(IF((Budget[Sort Code]=$B$6)*(Budget[Account Code]=$B131)*(Budget[Date]=N$7),Budget[Amount]))</f>
        <v>0</v>
      </c>
      <c r="O131" s="319">
        <f t="array" ref="O131">SUM(IF((Budget[Sort Code]=$B$6)*(Budget[Account Code]=$B131)*(Budget[Date]=O$7),Budget[Amount]))</f>
        <v>0</v>
      </c>
      <c r="P131" s="319">
        <f t="shared" si="16"/>
        <v>0</v>
      </c>
    </row>
    <row r="132" spans="1:16" x14ac:dyDescent="0.25">
      <c r="A132" s="323" t="s">
        <v>954</v>
      </c>
      <c r="B132" s="317" t="s">
        <v>265</v>
      </c>
      <c r="C132" s="319">
        <f t="shared" si="25"/>
        <v>0</v>
      </c>
      <c r="D132" s="319">
        <f t="array" ref="D132">SUM(IF((Budget[Sort Code]=$B$6)*(Budget[Account Code]=$B132)*(Budget[Date]=D$7),Budget[Amount]))</f>
        <v>0</v>
      </c>
      <c r="E132" s="319">
        <f t="array" ref="E132">SUM(IF((Budget[Sort Code]=$B$6)*(Budget[Account Code]=$B132)*(Budget[Date]=E$7),Budget[Amount]))</f>
        <v>0</v>
      </c>
      <c r="F132" s="319">
        <f t="array" ref="F132">SUM(IF((Budget[Sort Code]=$B$6)*(Budget[Account Code]=$B132)*(Budget[Date]=F$7),Budget[Amount]))</f>
        <v>0</v>
      </c>
      <c r="G132" s="319">
        <f t="array" ref="G132">SUM(IF((Budget[Sort Code]=$B$6)*(Budget[Account Code]=$B132)*(Budget[Date]=G$7),Budget[Amount]))</f>
        <v>0</v>
      </c>
      <c r="H132" s="319">
        <f t="array" ref="H132">SUM(IF((Budget[Sort Code]=$B$6)*(Budget[Account Code]=$B132)*(Budget[Date]=H$7),Budget[Amount]))</f>
        <v>0</v>
      </c>
      <c r="I132" s="319">
        <f t="array" ref="I132">SUM(IF((Budget[Sort Code]=$B$6)*(Budget[Account Code]=$B132)*(Budget[Date]=I$7),Budget[Amount]))</f>
        <v>0</v>
      </c>
      <c r="J132" s="319">
        <f t="array" ref="J132">SUM(IF((Budget[Sort Code]=$B$6)*(Budget[Account Code]=$B132)*(Budget[Date]=J$7),Budget[Amount]))</f>
        <v>0</v>
      </c>
      <c r="K132" s="319">
        <f t="array" ref="K132">SUM(IF((Budget[Sort Code]=$B$6)*(Budget[Account Code]=$B132)*(Budget[Date]=K$7),Budget[Amount]))</f>
        <v>0</v>
      </c>
      <c r="L132" s="319">
        <f t="array" ref="L132">SUM(IF((Budget[Sort Code]=$B$6)*(Budget[Account Code]=$B132)*(Budget[Date]=L$7),Budget[Amount]))</f>
        <v>0</v>
      </c>
      <c r="M132" s="319">
        <f t="array" ref="M132">SUM(IF((Budget[Sort Code]=$B$6)*(Budget[Account Code]=$B132)*(Budget[Date]=M$7),Budget[Amount]))</f>
        <v>0</v>
      </c>
      <c r="N132" s="319">
        <f t="array" ref="N132">SUM(IF((Budget[Sort Code]=$B$6)*(Budget[Account Code]=$B132)*(Budget[Date]=N$7),Budget[Amount]))</f>
        <v>0</v>
      </c>
      <c r="O132" s="319">
        <f t="array" ref="O132">SUM(IF((Budget[Sort Code]=$B$6)*(Budget[Account Code]=$B132)*(Budget[Date]=O$7),Budget[Amount]))</f>
        <v>0</v>
      </c>
      <c r="P132" s="319">
        <f t="shared" si="16"/>
        <v>0</v>
      </c>
    </row>
    <row r="133" spans="1:16" s="171" customFormat="1" x14ac:dyDescent="0.25">
      <c r="A133" s="321" t="s">
        <v>955</v>
      </c>
      <c r="B133" s="317" t="s">
        <v>269</v>
      </c>
      <c r="C133" s="322">
        <f t="shared" si="25"/>
        <v>0</v>
      </c>
      <c r="D133" s="319">
        <f t="array" ref="D133">SUM(IF((Budget[Sort Code]=$B$6)*(Budget[Account Code]=$B133)*(Budget[Date]=D$7),Budget[Amount]))</f>
        <v>0</v>
      </c>
      <c r="E133" s="319">
        <f t="array" ref="E133">SUM(IF((Budget[Sort Code]=$B$6)*(Budget[Account Code]=$B133)*(Budget[Date]=E$7),Budget[Amount]))</f>
        <v>0</v>
      </c>
      <c r="F133" s="319">
        <f t="array" ref="F133">SUM(IF((Budget[Sort Code]=$B$6)*(Budget[Account Code]=$B133)*(Budget[Date]=F$7),Budget[Amount]))</f>
        <v>0</v>
      </c>
      <c r="G133" s="319">
        <f t="array" ref="G133">SUM(IF((Budget[Sort Code]=$B$6)*(Budget[Account Code]=$B133)*(Budget[Date]=G$7),Budget[Amount]))</f>
        <v>0</v>
      </c>
      <c r="H133" s="319">
        <f t="array" ref="H133">SUM(IF((Budget[Sort Code]=$B$6)*(Budget[Account Code]=$B133)*(Budget[Date]=H$7),Budget[Amount]))</f>
        <v>0</v>
      </c>
      <c r="I133" s="319">
        <f t="array" ref="I133">SUM(IF((Budget[Sort Code]=$B$6)*(Budget[Account Code]=$B133)*(Budget[Date]=I$7),Budget[Amount]))</f>
        <v>0</v>
      </c>
      <c r="J133" s="319">
        <f t="array" ref="J133">SUM(IF((Budget[Sort Code]=$B$6)*(Budget[Account Code]=$B133)*(Budget[Date]=J$7),Budget[Amount]))</f>
        <v>0</v>
      </c>
      <c r="K133" s="319">
        <f t="array" ref="K133">SUM(IF((Budget[Sort Code]=$B$6)*(Budget[Account Code]=$B133)*(Budget[Date]=K$7),Budget[Amount]))</f>
        <v>0</v>
      </c>
      <c r="L133" s="319">
        <f t="array" ref="L133">SUM(IF((Budget[Sort Code]=$B$6)*(Budget[Account Code]=$B133)*(Budget[Date]=L$7),Budget[Amount]))</f>
        <v>0</v>
      </c>
      <c r="M133" s="319">
        <f t="array" ref="M133">SUM(IF((Budget[Sort Code]=$B$6)*(Budget[Account Code]=$B133)*(Budget[Date]=M$7),Budget[Amount]))</f>
        <v>0</v>
      </c>
      <c r="N133" s="319">
        <f t="array" ref="N133">SUM(IF((Budget[Sort Code]=$B$6)*(Budget[Account Code]=$B133)*(Budget[Date]=N$7),Budget[Amount]))</f>
        <v>0</v>
      </c>
      <c r="O133" s="319">
        <f t="array" ref="O133">SUM(IF((Budget[Sort Code]=$B$6)*(Budget[Account Code]=$B133)*(Budget[Date]=O$7),Budget[Amount]))</f>
        <v>0</v>
      </c>
      <c r="P133" s="322">
        <f t="shared" si="16"/>
        <v>0</v>
      </c>
    </row>
    <row r="134" spans="1:16" s="171" customFormat="1" x14ac:dyDescent="0.25">
      <c r="A134" s="321" t="s">
        <v>956</v>
      </c>
      <c r="B134" s="317"/>
      <c r="C134" s="322">
        <f t="shared" si="25"/>
        <v>0</v>
      </c>
      <c r="D134" s="322">
        <f>D135+D136</f>
        <v>0</v>
      </c>
      <c r="E134" s="322">
        <f t="shared" ref="E134:O134" si="27">E135+E136</f>
        <v>0</v>
      </c>
      <c r="F134" s="322">
        <f t="shared" si="27"/>
        <v>0</v>
      </c>
      <c r="G134" s="322">
        <f t="shared" si="27"/>
        <v>0</v>
      </c>
      <c r="H134" s="322">
        <f t="shared" si="27"/>
        <v>0</v>
      </c>
      <c r="I134" s="322">
        <f t="shared" si="27"/>
        <v>0</v>
      </c>
      <c r="J134" s="322">
        <f t="shared" si="27"/>
        <v>0</v>
      </c>
      <c r="K134" s="322">
        <f t="shared" si="27"/>
        <v>0</v>
      </c>
      <c r="L134" s="322">
        <f t="shared" si="27"/>
        <v>0</v>
      </c>
      <c r="M134" s="322">
        <f t="shared" si="27"/>
        <v>0</v>
      </c>
      <c r="N134" s="322">
        <f t="shared" si="27"/>
        <v>0</v>
      </c>
      <c r="O134" s="322">
        <f t="shared" si="27"/>
        <v>0</v>
      </c>
      <c r="P134" s="322">
        <f t="shared" si="16"/>
        <v>0</v>
      </c>
    </row>
    <row r="135" spans="1:16" x14ac:dyDescent="0.25">
      <c r="A135" s="323" t="s">
        <v>957</v>
      </c>
      <c r="B135" s="317"/>
      <c r="C135" s="319">
        <f t="shared" si="25"/>
        <v>0</v>
      </c>
      <c r="D135" s="319">
        <f t="array" ref="D135">SUM(IF((Budget[Sort Code]=$B$6)*(Budget[Account Code]=$B135)*(Budget[Date]=D$7),Budget[Amount]))</f>
        <v>0</v>
      </c>
      <c r="E135" s="319">
        <f t="array" ref="E135">SUM(IF((Budget[Sort Code]=$B$6)*(Budget[Account Code]=$B135)*(Budget[Date]=E$7),Budget[Amount]))</f>
        <v>0</v>
      </c>
      <c r="F135" s="319">
        <f t="array" ref="F135">SUM(IF((Budget[Sort Code]=$B$6)*(Budget[Account Code]=$B135)*(Budget[Date]=F$7),Budget[Amount]))</f>
        <v>0</v>
      </c>
      <c r="G135" s="319">
        <f t="array" ref="G135">SUM(IF((Budget[Sort Code]=$B$6)*(Budget[Account Code]=$B135)*(Budget[Date]=G$7),Budget[Amount]))</f>
        <v>0</v>
      </c>
      <c r="H135" s="319">
        <f t="array" ref="H135">SUM(IF((Budget[Sort Code]=$B$6)*(Budget[Account Code]=$B135)*(Budget[Date]=H$7),Budget[Amount]))</f>
        <v>0</v>
      </c>
      <c r="I135" s="319">
        <f t="array" ref="I135">SUM(IF((Budget[Sort Code]=$B$6)*(Budget[Account Code]=$B135)*(Budget[Date]=I$7),Budget[Amount]))</f>
        <v>0</v>
      </c>
      <c r="J135" s="319">
        <f t="array" ref="J135">SUM(IF((Budget[Sort Code]=$B$6)*(Budget[Account Code]=$B135)*(Budget[Date]=J$7),Budget[Amount]))</f>
        <v>0</v>
      </c>
      <c r="K135" s="319">
        <f t="array" ref="K135">SUM(IF((Budget[Sort Code]=$B$6)*(Budget[Account Code]=$B135)*(Budget[Date]=K$7),Budget[Amount]))</f>
        <v>0</v>
      </c>
      <c r="L135" s="319">
        <f t="array" ref="L135">SUM(IF((Budget[Sort Code]=$B$6)*(Budget[Account Code]=$B135)*(Budget[Date]=L$7),Budget[Amount]))</f>
        <v>0</v>
      </c>
      <c r="M135" s="319">
        <f t="array" ref="M135">SUM(IF((Budget[Sort Code]=$B$6)*(Budget[Account Code]=$B135)*(Budget[Date]=M$7),Budget[Amount]))</f>
        <v>0</v>
      </c>
      <c r="N135" s="319">
        <f t="array" ref="N135">SUM(IF((Budget[Sort Code]=$B$6)*(Budget[Account Code]=$B135)*(Budget[Date]=N$7),Budget[Amount]))</f>
        <v>0</v>
      </c>
      <c r="O135" s="319">
        <f t="array" ref="O135">SUM(IF((Budget[Sort Code]=$B$6)*(Budget[Account Code]=$B135)*(Budget[Date]=O$7),Budget[Amount]))</f>
        <v>0</v>
      </c>
      <c r="P135" s="319">
        <f t="shared" si="16"/>
        <v>0</v>
      </c>
    </row>
    <row r="136" spans="1:16" x14ac:dyDescent="0.25">
      <c r="A136" s="323" t="s">
        <v>958</v>
      </c>
      <c r="B136" s="317"/>
      <c r="C136" s="319">
        <f t="shared" si="25"/>
        <v>0</v>
      </c>
      <c r="D136" s="319">
        <f t="array" ref="D136">SUM(IF((Budget[Sort Code]=$B$6)*(Budget[Account Code]=$B136)*(Budget[Date]=D$7),Budget[Amount]))</f>
        <v>0</v>
      </c>
      <c r="E136" s="319">
        <f t="array" ref="E136">SUM(IF((Budget[Sort Code]=$B$6)*(Budget[Account Code]=$B136)*(Budget[Date]=E$7),Budget[Amount]))</f>
        <v>0</v>
      </c>
      <c r="F136" s="319">
        <f t="array" ref="F136">SUM(IF((Budget[Sort Code]=$B$6)*(Budget[Account Code]=$B136)*(Budget[Date]=F$7),Budget[Amount]))</f>
        <v>0</v>
      </c>
      <c r="G136" s="319">
        <f t="array" ref="G136">SUM(IF((Budget[Sort Code]=$B$6)*(Budget[Account Code]=$B136)*(Budget[Date]=G$7),Budget[Amount]))</f>
        <v>0</v>
      </c>
      <c r="H136" s="319">
        <f t="array" ref="H136">SUM(IF((Budget[Sort Code]=$B$6)*(Budget[Account Code]=$B136)*(Budget[Date]=H$7),Budget[Amount]))</f>
        <v>0</v>
      </c>
      <c r="I136" s="319">
        <f t="array" ref="I136">SUM(IF((Budget[Sort Code]=$B$6)*(Budget[Account Code]=$B136)*(Budget[Date]=I$7),Budget[Amount]))</f>
        <v>0</v>
      </c>
      <c r="J136" s="319">
        <f t="array" ref="J136">SUM(IF((Budget[Sort Code]=$B$6)*(Budget[Account Code]=$B136)*(Budget[Date]=J$7),Budget[Amount]))</f>
        <v>0</v>
      </c>
      <c r="K136" s="319">
        <f t="array" ref="K136">SUM(IF((Budget[Sort Code]=$B$6)*(Budget[Account Code]=$B136)*(Budget[Date]=K$7),Budget[Amount]))</f>
        <v>0</v>
      </c>
      <c r="L136" s="319">
        <f t="array" ref="L136">SUM(IF((Budget[Sort Code]=$B$6)*(Budget[Account Code]=$B136)*(Budget[Date]=L$7),Budget[Amount]))</f>
        <v>0</v>
      </c>
      <c r="M136" s="319">
        <f t="array" ref="M136">SUM(IF((Budget[Sort Code]=$B$6)*(Budget[Account Code]=$B136)*(Budget[Date]=M$7),Budget[Amount]))</f>
        <v>0</v>
      </c>
      <c r="N136" s="319">
        <f t="array" ref="N136">SUM(IF((Budget[Sort Code]=$B$6)*(Budget[Account Code]=$B136)*(Budget[Date]=N$7),Budget[Amount]))</f>
        <v>0</v>
      </c>
      <c r="O136" s="319">
        <f t="array" ref="O136">SUM(IF((Budget[Sort Code]=$B$6)*(Budget[Account Code]=$B136)*(Budget[Date]=O$7),Budget[Amount]))</f>
        <v>0</v>
      </c>
      <c r="P136" s="319">
        <f t="shared" si="16"/>
        <v>0</v>
      </c>
    </row>
    <row r="137" spans="1:16" s="171" customFormat="1" x14ac:dyDescent="0.25">
      <c r="A137" s="321" t="s">
        <v>959</v>
      </c>
      <c r="B137" s="317"/>
      <c r="C137" s="322">
        <f t="shared" si="25"/>
        <v>0</v>
      </c>
      <c r="D137" s="322">
        <f>D138+D139+D140</f>
        <v>0</v>
      </c>
      <c r="E137" s="322">
        <f t="shared" ref="E137:O137" si="28">E138+E139+E140</f>
        <v>0</v>
      </c>
      <c r="F137" s="322">
        <f t="shared" si="28"/>
        <v>0</v>
      </c>
      <c r="G137" s="322">
        <f t="shared" si="28"/>
        <v>0</v>
      </c>
      <c r="H137" s="322">
        <f t="shared" si="28"/>
        <v>0</v>
      </c>
      <c r="I137" s="322">
        <f t="shared" si="28"/>
        <v>0</v>
      </c>
      <c r="J137" s="322">
        <f t="shared" si="28"/>
        <v>0</v>
      </c>
      <c r="K137" s="322">
        <f t="shared" si="28"/>
        <v>0</v>
      </c>
      <c r="L137" s="322">
        <f t="shared" si="28"/>
        <v>0</v>
      </c>
      <c r="M137" s="322">
        <f t="shared" si="28"/>
        <v>0</v>
      </c>
      <c r="N137" s="322">
        <f t="shared" si="28"/>
        <v>0</v>
      </c>
      <c r="O137" s="322">
        <f t="shared" si="28"/>
        <v>0</v>
      </c>
      <c r="P137" s="322">
        <f t="shared" si="16"/>
        <v>0</v>
      </c>
    </row>
    <row r="138" spans="1:16" x14ac:dyDescent="0.25">
      <c r="A138" s="323" t="s">
        <v>960</v>
      </c>
      <c r="B138" s="317" t="s">
        <v>272</v>
      </c>
      <c r="C138" s="319">
        <f t="shared" si="25"/>
        <v>0</v>
      </c>
      <c r="D138" s="319">
        <f t="array" ref="D138">SUM(IF((Budget[Sort Code]=$B$6)*(Budget[Account Code]=$B138)*(Budget[Date]=D$7),Budget[Amount]))</f>
        <v>0</v>
      </c>
      <c r="E138" s="319">
        <f t="array" ref="E138">SUM(IF((Budget[Sort Code]=$B$6)*(Budget[Account Code]=$B138)*(Budget[Date]=E$7),Budget[Amount]))</f>
        <v>0</v>
      </c>
      <c r="F138" s="319">
        <f t="array" ref="F138">SUM(IF((Budget[Sort Code]=$B$6)*(Budget[Account Code]=$B138)*(Budget[Date]=F$7),Budget[Amount]))</f>
        <v>0</v>
      </c>
      <c r="G138" s="319">
        <f t="array" ref="G138">SUM(IF((Budget[Sort Code]=$B$6)*(Budget[Account Code]=$B138)*(Budget[Date]=G$7),Budget[Amount]))</f>
        <v>0</v>
      </c>
      <c r="H138" s="319">
        <f t="array" ref="H138">SUM(IF((Budget[Sort Code]=$B$6)*(Budget[Account Code]=$B138)*(Budget[Date]=H$7),Budget[Amount]))</f>
        <v>0</v>
      </c>
      <c r="I138" s="319">
        <f t="array" ref="I138">SUM(IF((Budget[Sort Code]=$B$6)*(Budget[Account Code]=$B138)*(Budget[Date]=I$7),Budget[Amount]))</f>
        <v>0</v>
      </c>
      <c r="J138" s="319">
        <f t="array" ref="J138">SUM(IF((Budget[Sort Code]=$B$6)*(Budget[Account Code]=$B138)*(Budget[Date]=J$7),Budget[Amount]))</f>
        <v>0</v>
      </c>
      <c r="K138" s="319">
        <f t="array" ref="K138">SUM(IF((Budget[Sort Code]=$B$6)*(Budget[Account Code]=$B138)*(Budget[Date]=K$7),Budget[Amount]))</f>
        <v>0</v>
      </c>
      <c r="L138" s="319">
        <f t="array" ref="L138">SUM(IF((Budget[Sort Code]=$B$6)*(Budget[Account Code]=$B138)*(Budget[Date]=L$7),Budget[Amount]))</f>
        <v>0</v>
      </c>
      <c r="M138" s="319">
        <f t="array" ref="M138">SUM(IF((Budget[Sort Code]=$B$6)*(Budget[Account Code]=$B138)*(Budget[Date]=M$7),Budget[Amount]))</f>
        <v>0</v>
      </c>
      <c r="N138" s="319">
        <f t="array" ref="N138">SUM(IF((Budget[Sort Code]=$B$6)*(Budget[Account Code]=$B138)*(Budget[Date]=N$7),Budget[Amount]))</f>
        <v>0</v>
      </c>
      <c r="O138" s="319">
        <f t="array" ref="O138">SUM(IF((Budget[Sort Code]=$B$6)*(Budget[Account Code]=$B138)*(Budget[Date]=O$7),Budget[Amount]))</f>
        <v>0</v>
      </c>
      <c r="P138" s="319">
        <f t="shared" si="16"/>
        <v>0</v>
      </c>
    </row>
    <row r="139" spans="1:16" x14ac:dyDescent="0.25">
      <c r="A139" s="323" t="s">
        <v>961</v>
      </c>
      <c r="B139" s="317" t="s">
        <v>273</v>
      </c>
      <c r="C139" s="319">
        <f t="shared" si="25"/>
        <v>0</v>
      </c>
      <c r="D139" s="319">
        <f t="array" ref="D139">SUM(IF((Budget[Sort Code]=$B$6)*(Budget[Account Code]=$B139)*(Budget[Date]=D$7),Budget[Amount]))</f>
        <v>0</v>
      </c>
      <c r="E139" s="319">
        <f t="array" ref="E139">SUM(IF((Budget[Sort Code]=$B$6)*(Budget[Account Code]=$B139)*(Budget[Date]=E$7),Budget[Amount]))</f>
        <v>0</v>
      </c>
      <c r="F139" s="319">
        <f t="array" ref="F139">SUM(IF((Budget[Sort Code]=$B$6)*(Budget[Account Code]=$B139)*(Budget[Date]=F$7),Budget[Amount]))</f>
        <v>0</v>
      </c>
      <c r="G139" s="319">
        <f t="array" ref="G139">SUM(IF((Budget[Sort Code]=$B$6)*(Budget[Account Code]=$B139)*(Budget[Date]=G$7),Budget[Amount]))</f>
        <v>0</v>
      </c>
      <c r="H139" s="319">
        <f t="array" ref="H139">SUM(IF((Budget[Sort Code]=$B$6)*(Budget[Account Code]=$B139)*(Budget[Date]=H$7),Budget[Amount]))</f>
        <v>0</v>
      </c>
      <c r="I139" s="319">
        <f t="array" ref="I139">SUM(IF((Budget[Sort Code]=$B$6)*(Budget[Account Code]=$B139)*(Budget[Date]=I$7),Budget[Amount]))</f>
        <v>0</v>
      </c>
      <c r="J139" s="319">
        <f t="array" ref="J139">SUM(IF((Budget[Sort Code]=$B$6)*(Budget[Account Code]=$B139)*(Budget[Date]=J$7),Budget[Amount]))</f>
        <v>0</v>
      </c>
      <c r="K139" s="319">
        <f t="array" ref="K139">SUM(IF((Budget[Sort Code]=$B$6)*(Budget[Account Code]=$B139)*(Budget[Date]=K$7),Budget[Amount]))</f>
        <v>0</v>
      </c>
      <c r="L139" s="319">
        <f t="array" ref="L139">SUM(IF((Budget[Sort Code]=$B$6)*(Budget[Account Code]=$B139)*(Budget[Date]=L$7),Budget[Amount]))</f>
        <v>0</v>
      </c>
      <c r="M139" s="319">
        <f t="array" ref="M139">SUM(IF((Budget[Sort Code]=$B$6)*(Budget[Account Code]=$B139)*(Budget[Date]=M$7),Budget[Amount]))</f>
        <v>0</v>
      </c>
      <c r="N139" s="319">
        <f t="array" ref="N139">SUM(IF((Budget[Sort Code]=$B$6)*(Budget[Account Code]=$B139)*(Budget[Date]=N$7),Budget[Amount]))</f>
        <v>0</v>
      </c>
      <c r="O139" s="319">
        <f t="array" ref="O139">SUM(IF((Budget[Sort Code]=$B$6)*(Budget[Account Code]=$B139)*(Budget[Date]=O$7),Budget[Amount]))</f>
        <v>0</v>
      </c>
      <c r="P139" s="319">
        <f t="shared" si="16"/>
        <v>0</v>
      </c>
    </row>
    <row r="140" spans="1:16" x14ac:dyDescent="0.25">
      <c r="A140" s="323" t="s">
        <v>962</v>
      </c>
      <c r="B140" s="317" t="s">
        <v>274</v>
      </c>
      <c r="C140" s="319">
        <f t="shared" si="25"/>
        <v>0</v>
      </c>
      <c r="D140" s="319">
        <f t="array" ref="D140">SUM(IF((Budget[Sort Code]=$B$6)*(Budget[Account Code]=$B140)*(Budget[Date]=D$7),Budget[Amount]))</f>
        <v>0</v>
      </c>
      <c r="E140" s="319">
        <f t="array" ref="E140">SUM(IF((Budget[Sort Code]=$B$6)*(Budget[Account Code]=$B140)*(Budget[Date]=E$7),Budget[Amount]))</f>
        <v>0</v>
      </c>
      <c r="F140" s="319">
        <f t="array" ref="F140">SUM(IF((Budget[Sort Code]=$B$6)*(Budget[Account Code]=$B140)*(Budget[Date]=F$7),Budget[Amount]))</f>
        <v>0</v>
      </c>
      <c r="G140" s="319">
        <f t="array" ref="G140">SUM(IF((Budget[Sort Code]=$B$6)*(Budget[Account Code]=$B140)*(Budget[Date]=G$7),Budget[Amount]))</f>
        <v>0</v>
      </c>
      <c r="H140" s="319">
        <f t="array" ref="H140">SUM(IF((Budget[Sort Code]=$B$6)*(Budget[Account Code]=$B140)*(Budget[Date]=H$7),Budget[Amount]))</f>
        <v>0</v>
      </c>
      <c r="I140" s="319">
        <f t="array" ref="I140">SUM(IF((Budget[Sort Code]=$B$6)*(Budget[Account Code]=$B140)*(Budget[Date]=I$7),Budget[Amount]))</f>
        <v>0</v>
      </c>
      <c r="J140" s="319">
        <f t="array" ref="J140">SUM(IF((Budget[Sort Code]=$B$6)*(Budget[Account Code]=$B140)*(Budget[Date]=J$7),Budget[Amount]))</f>
        <v>0</v>
      </c>
      <c r="K140" s="319">
        <f t="array" ref="K140">SUM(IF((Budget[Sort Code]=$B$6)*(Budget[Account Code]=$B140)*(Budget[Date]=K$7),Budget[Amount]))</f>
        <v>0</v>
      </c>
      <c r="L140" s="319">
        <f t="array" ref="L140">SUM(IF((Budget[Sort Code]=$B$6)*(Budget[Account Code]=$B140)*(Budget[Date]=L$7),Budget[Amount]))</f>
        <v>0</v>
      </c>
      <c r="M140" s="319">
        <f t="array" ref="M140">SUM(IF((Budget[Sort Code]=$B$6)*(Budget[Account Code]=$B140)*(Budget[Date]=M$7),Budget[Amount]))</f>
        <v>0</v>
      </c>
      <c r="N140" s="319">
        <f t="array" ref="N140">SUM(IF((Budget[Sort Code]=$B$6)*(Budget[Account Code]=$B140)*(Budget[Date]=N$7),Budget[Amount]))</f>
        <v>0</v>
      </c>
      <c r="O140" s="319">
        <f t="array" ref="O140">SUM(IF((Budget[Sort Code]=$B$6)*(Budget[Account Code]=$B140)*(Budget[Date]=O$7),Budget[Amount]))</f>
        <v>0</v>
      </c>
      <c r="P140" s="319">
        <f t="shared" ref="P140:P169" si="29">C140</f>
        <v>0</v>
      </c>
    </row>
    <row r="141" spans="1:16" s="171" customFormat="1" x14ac:dyDescent="0.25">
      <c r="A141" s="321" t="s">
        <v>963</v>
      </c>
      <c r="B141" s="317"/>
      <c r="C141" s="322">
        <f t="shared" si="25"/>
        <v>0</v>
      </c>
      <c r="D141" s="322">
        <f>SUM(D142:D146)</f>
        <v>0</v>
      </c>
      <c r="E141" s="322">
        <f t="shared" ref="E141:O141" si="30">SUM(E142:E146)</f>
        <v>0</v>
      </c>
      <c r="F141" s="322">
        <f t="shared" si="30"/>
        <v>0</v>
      </c>
      <c r="G141" s="322">
        <f t="shared" si="30"/>
        <v>0</v>
      </c>
      <c r="H141" s="322">
        <f t="shared" si="30"/>
        <v>0</v>
      </c>
      <c r="I141" s="322">
        <f t="shared" si="30"/>
        <v>0</v>
      </c>
      <c r="J141" s="322">
        <f t="shared" si="30"/>
        <v>0</v>
      </c>
      <c r="K141" s="322">
        <f t="shared" si="30"/>
        <v>0</v>
      </c>
      <c r="L141" s="322">
        <f t="shared" si="30"/>
        <v>0</v>
      </c>
      <c r="M141" s="322">
        <f t="shared" si="30"/>
        <v>0</v>
      </c>
      <c r="N141" s="322">
        <f t="shared" si="30"/>
        <v>0</v>
      </c>
      <c r="O141" s="322">
        <f t="shared" si="30"/>
        <v>0</v>
      </c>
      <c r="P141" s="322">
        <f t="shared" si="29"/>
        <v>0</v>
      </c>
    </row>
    <row r="142" spans="1:16" x14ac:dyDescent="0.25">
      <c r="A142" s="323" t="s">
        <v>964</v>
      </c>
      <c r="B142" s="317" t="s">
        <v>332</v>
      </c>
      <c r="C142" s="319">
        <f t="shared" si="25"/>
        <v>0</v>
      </c>
      <c r="D142" s="319">
        <f t="array" ref="D142">SUM(IF((Budget[Sort Code]=$B$6)*(Budget[Account Code]=$B142)*(Budget[Date]=D$7),Budget[Amount]))</f>
        <v>0</v>
      </c>
      <c r="E142" s="319">
        <f t="array" ref="E142">SUM(IF((Budget[Sort Code]=$B$6)*(Budget[Account Code]=$B142)*(Budget[Date]=E$7),Budget[Amount]))</f>
        <v>0</v>
      </c>
      <c r="F142" s="319">
        <f t="array" ref="F142">SUM(IF((Budget[Sort Code]=$B$6)*(Budget[Account Code]=$B142)*(Budget[Date]=F$7),Budget[Amount]))</f>
        <v>0</v>
      </c>
      <c r="G142" s="319">
        <f t="array" ref="G142">SUM(IF((Budget[Sort Code]=$B$6)*(Budget[Account Code]=$B142)*(Budget[Date]=G$7),Budget[Amount]))</f>
        <v>0</v>
      </c>
      <c r="H142" s="319">
        <f t="array" ref="H142">SUM(IF((Budget[Sort Code]=$B$6)*(Budget[Account Code]=$B142)*(Budget[Date]=H$7),Budget[Amount]))</f>
        <v>0</v>
      </c>
      <c r="I142" s="319">
        <f t="array" ref="I142">SUM(IF((Budget[Sort Code]=$B$6)*(Budget[Account Code]=$B142)*(Budget[Date]=I$7),Budget[Amount]))</f>
        <v>0</v>
      </c>
      <c r="J142" s="319">
        <f t="array" ref="J142">SUM(IF((Budget[Sort Code]=$B$6)*(Budget[Account Code]=$B142)*(Budget[Date]=J$7),Budget[Amount]))</f>
        <v>0</v>
      </c>
      <c r="K142" s="319">
        <f t="array" ref="K142">SUM(IF((Budget[Sort Code]=$B$6)*(Budget[Account Code]=$B142)*(Budget[Date]=K$7),Budget[Amount]))</f>
        <v>0</v>
      </c>
      <c r="L142" s="319">
        <f t="array" ref="L142">SUM(IF((Budget[Sort Code]=$B$6)*(Budget[Account Code]=$B142)*(Budget[Date]=L$7),Budget[Amount]))</f>
        <v>0</v>
      </c>
      <c r="M142" s="319">
        <f t="array" ref="M142">SUM(IF((Budget[Sort Code]=$B$6)*(Budget[Account Code]=$B142)*(Budget[Date]=M$7),Budget[Amount]))</f>
        <v>0</v>
      </c>
      <c r="N142" s="319">
        <f t="array" ref="N142">SUM(IF((Budget[Sort Code]=$B$6)*(Budget[Account Code]=$B142)*(Budget[Date]=N$7),Budget[Amount]))</f>
        <v>0</v>
      </c>
      <c r="O142" s="319">
        <f t="array" ref="O142">SUM(IF((Budget[Sort Code]=$B$6)*(Budget[Account Code]=$B142)*(Budget[Date]=O$7),Budget[Amount]))</f>
        <v>0</v>
      </c>
      <c r="P142" s="319">
        <f t="shared" si="29"/>
        <v>0</v>
      </c>
    </row>
    <row r="143" spans="1:16" x14ac:dyDescent="0.25">
      <c r="A143" s="323" t="s">
        <v>965</v>
      </c>
      <c r="B143" s="317" t="s">
        <v>331</v>
      </c>
      <c r="C143" s="319">
        <f t="shared" si="25"/>
        <v>0</v>
      </c>
      <c r="D143" s="319">
        <f t="array" ref="D143">SUM(IF((Budget[Sort Code]=$B$6)*(Budget[Account Code]=$B143)*(Budget[Date]=D$7),Budget[Amount]))</f>
        <v>0</v>
      </c>
      <c r="E143" s="319">
        <f t="array" ref="E143">SUM(IF((Budget[Sort Code]=$B$6)*(Budget[Account Code]=$B143)*(Budget[Date]=E$7),Budget[Amount]))</f>
        <v>0</v>
      </c>
      <c r="F143" s="319">
        <f t="array" ref="F143">SUM(IF((Budget[Sort Code]=$B$6)*(Budget[Account Code]=$B143)*(Budget[Date]=F$7),Budget[Amount]))</f>
        <v>0</v>
      </c>
      <c r="G143" s="319">
        <f t="array" ref="G143">SUM(IF((Budget[Sort Code]=$B$6)*(Budget[Account Code]=$B143)*(Budget[Date]=G$7),Budget[Amount]))</f>
        <v>0</v>
      </c>
      <c r="H143" s="319">
        <f t="array" ref="H143">SUM(IF((Budget[Sort Code]=$B$6)*(Budget[Account Code]=$B143)*(Budget[Date]=H$7),Budget[Amount]))</f>
        <v>0</v>
      </c>
      <c r="I143" s="319">
        <f t="array" ref="I143">SUM(IF((Budget[Sort Code]=$B$6)*(Budget[Account Code]=$B143)*(Budget[Date]=I$7),Budget[Amount]))</f>
        <v>0</v>
      </c>
      <c r="J143" s="319">
        <f t="array" ref="J143">SUM(IF((Budget[Sort Code]=$B$6)*(Budget[Account Code]=$B143)*(Budget[Date]=J$7),Budget[Amount]))</f>
        <v>0</v>
      </c>
      <c r="K143" s="319">
        <f t="array" ref="K143">SUM(IF((Budget[Sort Code]=$B$6)*(Budget[Account Code]=$B143)*(Budget[Date]=K$7),Budget[Amount]))</f>
        <v>0</v>
      </c>
      <c r="L143" s="319">
        <f t="array" ref="L143">SUM(IF((Budget[Sort Code]=$B$6)*(Budget[Account Code]=$B143)*(Budget[Date]=L$7),Budget[Amount]))</f>
        <v>0</v>
      </c>
      <c r="M143" s="319">
        <f t="array" ref="M143">SUM(IF((Budget[Sort Code]=$B$6)*(Budget[Account Code]=$B143)*(Budget[Date]=M$7),Budget[Amount]))</f>
        <v>0</v>
      </c>
      <c r="N143" s="319">
        <f t="array" ref="N143">SUM(IF((Budget[Sort Code]=$B$6)*(Budget[Account Code]=$B143)*(Budget[Date]=N$7),Budget[Amount]))</f>
        <v>0</v>
      </c>
      <c r="O143" s="319">
        <f t="array" ref="O143">SUM(IF((Budget[Sort Code]=$B$6)*(Budget[Account Code]=$B143)*(Budget[Date]=O$7),Budget[Amount]))</f>
        <v>0</v>
      </c>
      <c r="P143" s="319">
        <f t="shared" si="29"/>
        <v>0</v>
      </c>
    </row>
    <row r="144" spans="1:16" x14ac:dyDescent="0.25">
      <c r="A144" s="323" t="s">
        <v>966</v>
      </c>
      <c r="B144" s="317" t="s">
        <v>987</v>
      </c>
      <c r="C144" s="319">
        <f t="shared" si="25"/>
        <v>0</v>
      </c>
      <c r="D144" s="319">
        <f t="array" ref="D144">SUM(IF((Budget[Sort Code]=$B$6)*(Budget[Account Code]=$B144)*(Budget[Date]=D$7),Budget[Amount]))</f>
        <v>0</v>
      </c>
      <c r="E144" s="319">
        <f t="array" ref="E144">SUM(IF((Budget[Sort Code]=$B$6)*(Budget[Account Code]=$B144)*(Budget[Date]=E$7),Budget[Amount]))</f>
        <v>0</v>
      </c>
      <c r="F144" s="319">
        <f t="array" ref="F144">SUM(IF((Budget[Sort Code]=$B$6)*(Budget[Account Code]=$B144)*(Budget[Date]=F$7),Budget[Amount]))</f>
        <v>0</v>
      </c>
      <c r="G144" s="319">
        <f t="array" ref="G144">SUM(IF((Budget[Sort Code]=$B$6)*(Budget[Account Code]=$B144)*(Budget[Date]=G$7),Budget[Amount]))</f>
        <v>0</v>
      </c>
      <c r="H144" s="319">
        <f t="array" ref="H144">SUM(IF((Budget[Sort Code]=$B$6)*(Budget[Account Code]=$B144)*(Budget[Date]=H$7),Budget[Amount]))</f>
        <v>0</v>
      </c>
      <c r="I144" s="319">
        <f t="array" ref="I144">SUM(IF((Budget[Sort Code]=$B$6)*(Budget[Account Code]=$B144)*(Budget[Date]=I$7),Budget[Amount]))</f>
        <v>0</v>
      </c>
      <c r="J144" s="319">
        <f t="array" ref="J144">SUM(IF((Budget[Sort Code]=$B$6)*(Budget[Account Code]=$B144)*(Budget[Date]=J$7),Budget[Amount]))</f>
        <v>0</v>
      </c>
      <c r="K144" s="319">
        <f t="array" ref="K144">SUM(IF((Budget[Sort Code]=$B$6)*(Budget[Account Code]=$B144)*(Budget[Date]=K$7),Budget[Amount]))</f>
        <v>0</v>
      </c>
      <c r="L144" s="319">
        <f t="array" ref="L144">SUM(IF((Budget[Sort Code]=$B$6)*(Budget[Account Code]=$B144)*(Budget[Date]=L$7),Budget[Amount]))</f>
        <v>0</v>
      </c>
      <c r="M144" s="319">
        <f t="array" ref="M144">SUM(IF((Budget[Sort Code]=$B$6)*(Budget[Account Code]=$B144)*(Budget[Date]=M$7),Budget[Amount]))</f>
        <v>0</v>
      </c>
      <c r="N144" s="319">
        <f t="array" ref="N144">SUM(IF((Budget[Sort Code]=$B$6)*(Budget[Account Code]=$B144)*(Budget[Date]=N$7),Budget[Amount]))</f>
        <v>0</v>
      </c>
      <c r="O144" s="319">
        <f t="array" ref="O144">SUM(IF((Budget[Sort Code]=$B$6)*(Budget[Account Code]=$B144)*(Budget[Date]=O$7),Budget[Amount]))</f>
        <v>0</v>
      </c>
      <c r="P144" s="319">
        <f t="shared" si="29"/>
        <v>0</v>
      </c>
    </row>
    <row r="145" spans="1:16" x14ac:dyDescent="0.25">
      <c r="A145" s="323" t="s">
        <v>967</v>
      </c>
      <c r="B145" s="317"/>
      <c r="C145" s="319">
        <f t="shared" si="25"/>
        <v>0</v>
      </c>
      <c r="D145" s="319">
        <f t="array" ref="D145">SUM(IF((Budget[Sort Code]=$B$6)*(Budget[Account Code]=$B145)*(Budget[Date]=D$7),Budget[Amount]))</f>
        <v>0</v>
      </c>
      <c r="E145" s="319">
        <f t="array" ref="E145">SUM(IF((Budget[Sort Code]=$B$6)*(Budget[Account Code]=$B145)*(Budget[Date]=E$7),Budget[Amount]))</f>
        <v>0</v>
      </c>
      <c r="F145" s="319">
        <f t="array" ref="F145">SUM(IF((Budget[Sort Code]=$B$6)*(Budget[Account Code]=$B145)*(Budget[Date]=F$7),Budget[Amount]))</f>
        <v>0</v>
      </c>
      <c r="G145" s="319">
        <f t="array" ref="G145">SUM(IF((Budget[Sort Code]=$B$6)*(Budget[Account Code]=$B145)*(Budget[Date]=G$7),Budget[Amount]))</f>
        <v>0</v>
      </c>
      <c r="H145" s="319">
        <f t="array" ref="H145">SUM(IF((Budget[Sort Code]=$B$6)*(Budget[Account Code]=$B145)*(Budget[Date]=H$7),Budget[Amount]))</f>
        <v>0</v>
      </c>
      <c r="I145" s="319">
        <f t="array" ref="I145">SUM(IF((Budget[Sort Code]=$B$6)*(Budget[Account Code]=$B145)*(Budget[Date]=I$7),Budget[Amount]))</f>
        <v>0</v>
      </c>
      <c r="J145" s="319">
        <f t="array" ref="J145">SUM(IF((Budget[Sort Code]=$B$6)*(Budget[Account Code]=$B145)*(Budget[Date]=J$7),Budget[Amount]))</f>
        <v>0</v>
      </c>
      <c r="K145" s="319">
        <f t="array" ref="K145">SUM(IF((Budget[Sort Code]=$B$6)*(Budget[Account Code]=$B145)*(Budget[Date]=K$7),Budget[Amount]))</f>
        <v>0</v>
      </c>
      <c r="L145" s="319">
        <f t="array" ref="L145">SUM(IF((Budget[Sort Code]=$B$6)*(Budget[Account Code]=$B145)*(Budget[Date]=L$7),Budget[Amount]))</f>
        <v>0</v>
      </c>
      <c r="M145" s="319">
        <f t="array" ref="M145">SUM(IF((Budget[Sort Code]=$B$6)*(Budget[Account Code]=$B145)*(Budget[Date]=M$7),Budget[Amount]))</f>
        <v>0</v>
      </c>
      <c r="N145" s="319">
        <f t="array" ref="N145">SUM(IF((Budget[Sort Code]=$B$6)*(Budget[Account Code]=$B145)*(Budget[Date]=N$7),Budget[Amount]))</f>
        <v>0</v>
      </c>
      <c r="O145" s="319">
        <f t="array" ref="O145">SUM(IF((Budget[Sort Code]=$B$6)*(Budget[Account Code]=$B145)*(Budget[Date]=O$7),Budget[Amount]))</f>
        <v>0</v>
      </c>
      <c r="P145" s="319">
        <f t="shared" si="29"/>
        <v>0</v>
      </c>
    </row>
    <row r="146" spans="1:16" x14ac:dyDescent="0.25">
      <c r="A146" s="323" t="s">
        <v>968</v>
      </c>
      <c r="B146" s="317"/>
      <c r="C146" s="319">
        <f t="shared" si="25"/>
        <v>0</v>
      </c>
      <c r="D146" s="319">
        <f>SUM(D147:D148)</f>
        <v>0</v>
      </c>
      <c r="E146" s="319">
        <f t="shared" ref="E146:O146" si="31">SUM(E147:E148)</f>
        <v>0</v>
      </c>
      <c r="F146" s="319">
        <f t="shared" si="31"/>
        <v>0</v>
      </c>
      <c r="G146" s="319">
        <f t="shared" si="31"/>
        <v>0</v>
      </c>
      <c r="H146" s="319">
        <f t="shared" si="31"/>
        <v>0</v>
      </c>
      <c r="I146" s="319">
        <f t="shared" si="31"/>
        <v>0</v>
      </c>
      <c r="J146" s="319">
        <f t="shared" si="31"/>
        <v>0</v>
      </c>
      <c r="K146" s="319">
        <f t="shared" si="31"/>
        <v>0</v>
      </c>
      <c r="L146" s="319">
        <f t="shared" si="31"/>
        <v>0</v>
      </c>
      <c r="M146" s="319">
        <f t="shared" si="31"/>
        <v>0</v>
      </c>
      <c r="N146" s="319">
        <f t="shared" si="31"/>
        <v>0</v>
      </c>
      <c r="O146" s="319">
        <f t="shared" si="31"/>
        <v>0</v>
      </c>
      <c r="P146" s="319">
        <f t="shared" si="29"/>
        <v>0</v>
      </c>
    </row>
    <row r="147" spans="1:16" x14ac:dyDescent="0.25">
      <c r="A147" s="325" t="s">
        <v>1008</v>
      </c>
      <c r="B147" s="317" t="s">
        <v>986</v>
      </c>
      <c r="C147" s="319">
        <f t="shared" si="25"/>
        <v>0</v>
      </c>
      <c r="D147" s="319">
        <f t="array" ref="D147">SUM(IF((Budget[Sort Code]=$B$6)*(Budget[Account Code]=$B147)*(Budget[Date]=D$7),Budget[Amount]))</f>
        <v>0</v>
      </c>
      <c r="E147" s="319">
        <f t="array" ref="E147">SUM(IF((Budget[Sort Code]=$B$6)*(Budget[Account Code]=$B147)*(Budget[Date]=E$7),Budget[Amount]))</f>
        <v>0</v>
      </c>
      <c r="F147" s="319">
        <f t="array" ref="F147">SUM(IF((Budget[Sort Code]=$B$6)*(Budget[Account Code]=$B147)*(Budget[Date]=F$7),Budget[Amount]))</f>
        <v>0</v>
      </c>
      <c r="G147" s="319">
        <f t="array" ref="G147">SUM(IF((Budget[Sort Code]=$B$6)*(Budget[Account Code]=$B147)*(Budget[Date]=G$7),Budget[Amount]))</f>
        <v>0</v>
      </c>
      <c r="H147" s="319">
        <f t="array" ref="H147">SUM(IF((Budget[Sort Code]=$B$6)*(Budget[Account Code]=$B147)*(Budget[Date]=H$7),Budget[Amount]))</f>
        <v>0</v>
      </c>
      <c r="I147" s="319">
        <f t="array" ref="I147">SUM(IF((Budget[Sort Code]=$B$6)*(Budget[Account Code]=$B147)*(Budget[Date]=I$7),Budget[Amount]))</f>
        <v>0</v>
      </c>
      <c r="J147" s="319">
        <f t="array" ref="J147">SUM(IF((Budget[Sort Code]=$B$6)*(Budget[Account Code]=$B147)*(Budget[Date]=J$7),Budget[Amount]))</f>
        <v>0</v>
      </c>
      <c r="K147" s="319">
        <f t="array" ref="K147">SUM(IF((Budget[Sort Code]=$B$6)*(Budget[Account Code]=$B147)*(Budget[Date]=K$7),Budget[Amount]))</f>
        <v>0</v>
      </c>
      <c r="L147" s="319">
        <f t="array" ref="L147">SUM(IF((Budget[Sort Code]=$B$6)*(Budget[Account Code]=$B147)*(Budget[Date]=L$7),Budget[Amount]))</f>
        <v>0</v>
      </c>
      <c r="M147" s="319">
        <f t="array" ref="M147">SUM(IF((Budget[Sort Code]=$B$6)*(Budget[Account Code]=$B147)*(Budget[Date]=M$7),Budget[Amount]))</f>
        <v>0</v>
      </c>
      <c r="N147" s="319">
        <f t="array" ref="N147">SUM(IF((Budget[Sort Code]=$B$6)*(Budget[Account Code]=$B147)*(Budget[Date]=N$7),Budget[Amount]))</f>
        <v>0</v>
      </c>
      <c r="O147" s="319">
        <f t="array" ref="O147">SUM(IF((Budget[Sort Code]=$B$6)*(Budget[Account Code]=$B147)*(Budget[Date]=O$7),Budget[Amount]))</f>
        <v>0</v>
      </c>
      <c r="P147" s="319">
        <f t="shared" si="29"/>
        <v>0</v>
      </c>
    </row>
    <row r="148" spans="1:16" x14ac:dyDescent="0.25">
      <c r="A148" s="325" t="s">
        <v>1009</v>
      </c>
      <c r="B148" s="317" t="s">
        <v>988</v>
      </c>
      <c r="C148" s="319">
        <f t="shared" si="25"/>
        <v>0</v>
      </c>
      <c r="D148" s="319">
        <f t="array" ref="D148">SUM(IF((Budget[Sort Code]=$B$6)*(Budget[Account Code]=$B148)*(Budget[Date]=D$7),Budget[Amount]))</f>
        <v>0</v>
      </c>
      <c r="E148" s="319">
        <f t="array" ref="E148">SUM(IF((Budget[Sort Code]=$B$6)*(Budget[Account Code]=$B148)*(Budget[Date]=E$7),Budget[Amount]))</f>
        <v>0</v>
      </c>
      <c r="F148" s="319">
        <f t="array" ref="F148">SUM(IF((Budget[Sort Code]=$B$6)*(Budget[Account Code]=$B148)*(Budget[Date]=F$7),Budget[Amount]))</f>
        <v>0</v>
      </c>
      <c r="G148" s="319">
        <f t="array" ref="G148">SUM(IF((Budget[Sort Code]=$B$6)*(Budget[Account Code]=$B148)*(Budget[Date]=G$7),Budget[Amount]))</f>
        <v>0</v>
      </c>
      <c r="H148" s="319">
        <f t="array" ref="H148">SUM(IF((Budget[Sort Code]=$B$6)*(Budget[Account Code]=$B148)*(Budget[Date]=H$7),Budget[Amount]))</f>
        <v>0</v>
      </c>
      <c r="I148" s="319">
        <f t="array" ref="I148">SUM(IF((Budget[Sort Code]=$B$6)*(Budget[Account Code]=$B148)*(Budget[Date]=I$7),Budget[Amount]))</f>
        <v>0</v>
      </c>
      <c r="J148" s="319">
        <f t="array" ref="J148">SUM(IF((Budget[Sort Code]=$B$6)*(Budget[Account Code]=$B148)*(Budget[Date]=J$7),Budget[Amount]))</f>
        <v>0</v>
      </c>
      <c r="K148" s="319">
        <f t="array" ref="K148">SUM(IF((Budget[Sort Code]=$B$6)*(Budget[Account Code]=$B148)*(Budget[Date]=K$7),Budget[Amount]))</f>
        <v>0</v>
      </c>
      <c r="L148" s="319">
        <f t="array" ref="L148">SUM(IF((Budget[Sort Code]=$B$6)*(Budget[Account Code]=$B148)*(Budget[Date]=L$7),Budget[Amount]))</f>
        <v>0</v>
      </c>
      <c r="M148" s="319">
        <f t="array" ref="M148">SUM(IF((Budget[Sort Code]=$B$6)*(Budget[Account Code]=$B148)*(Budget[Date]=M$7),Budget[Amount]))</f>
        <v>0</v>
      </c>
      <c r="N148" s="319">
        <f t="array" ref="N148">SUM(IF((Budget[Sort Code]=$B$6)*(Budget[Account Code]=$B148)*(Budget[Date]=N$7),Budget[Amount]))</f>
        <v>0</v>
      </c>
      <c r="O148" s="319">
        <f t="array" ref="O148">SUM(IF((Budget[Sort Code]=$B$6)*(Budget[Account Code]=$B148)*(Budget[Date]=O$7),Budget[Amount]))</f>
        <v>0</v>
      </c>
      <c r="P148" s="319">
        <f t="shared" si="29"/>
        <v>0</v>
      </c>
    </row>
    <row r="149" spans="1:16" s="171" customFormat="1" x14ac:dyDescent="0.25">
      <c r="A149" s="321" t="s">
        <v>969</v>
      </c>
      <c r="B149" s="317" t="s">
        <v>334</v>
      </c>
      <c r="C149" s="322">
        <f t="shared" si="25"/>
        <v>0</v>
      </c>
      <c r="D149" s="319">
        <f t="array" ref="D149">SUM(IF((Budget[Sort Code]=$B$6)*(Budget[Account Code]=$B149)*(Budget[Date]=D$7),Budget[Amount]))</f>
        <v>0</v>
      </c>
      <c r="E149" s="319">
        <f t="array" ref="E149">SUM(IF((Budget[Sort Code]=$B$6)*(Budget[Account Code]=$B149)*(Budget[Date]=E$7),Budget[Amount]))</f>
        <v>0</v>
      </c>
      <c r="F149" s="319">
        <f t="array" ref="F149">SUM(IF((Budget[Sort Code]=$B$6)*(Budget[Account Code]=$B149)*(Budget[Date]=F$7),Budget[Amount]))</f>
        <v>0</v>
      </c>
      <c r="G149" s="319">
        <f t="array" ref="G149">SUM(IF((Budget[Sort Code]=$B$6)*(Budget[Account Code]=$B149)*(Budget[Date]=G$7),Budget[Amount]))</f>
        <v>0</v>
      </c>
      <c r="H149" s="319">
        <f t="array" ref="H149">SUM(IF((Budget[Sort Code]=$B$6)*(Budget[Account Code]=$B149)*(Budget[Date]=H$7),Budget[Amount]))</f>
        <v>0</v>
      </c>
      <c r="I149" s="319">
        <f t="array" ref="I149">SUM(IF((Budget[Sort Code]=$B$6)*(Budget[Account Code]=$B149)*(Budget[Date]=I$7),Budget[Amount]))</f>
        <v>0</v>
      </c>
      <c r="J149" s="319">
        <f t="array" ref="J149">SUM(IF((Budget[Sort Code]=$B$6)*(Budget[Account Code]=$B149)*(Budget[Date]=J$7),Budget[Amount]))</f>
        <v>0</v>
      </c>
      <c r="K149" s="319">
        <f t="array" ref="K149">SUM(IF((Budget[Sort Code]=$B$6)*(Budget[Account Code]=$B149)*(Budget[Date]=K$7),Budget[Amount]))</f>
        <v>0</v>
      </c>
      <c r="L149" s="319">
        <f t="array" ref="L149">SUM(IF((Budget[Sort Code]=$B$6)*(Budget[Account Code]=$B149)*(Budget[Date]=L$7),Budget[Amount]))</f>
        <v>0</v>
      </c>
      <c r="M149" s="319">
        <f t="array" ref="M149">SUM(IF((Budget[Sort Code]=$B$6)*(Budget[Account Code]=$B149)*(Budget[Date]=M$7),Budget[Amount]))</f>
        <v>0</v>
      </c>
      <c r="N149" s="319">
        <f t="array" ref="N149">SUM(IF((Budget[Sort Code]=$B$6)*(Budget[Account Code]=$B149)*(Budget[Date]=N$7),Budget[Amount]))</f>
        <v>0</v>
      </c>
      <c r="O149" s="319">
        <f t="array" ref="O149">SUM(IF((Budget[Sort Code]=$B$6)*(Budget[Account Code]=$B149)*(Budget[Date]=O$7),Budget[Amount]))</f>
        <v>0</v>
      </c>
      <c r="P149" s="322">
        <f t="shared" si="29"/>
        <v>0</v>
      </c>
    </row>
    <row r="150" spans="1:16" s="171" customFormat="1" x14ac:dyDescent="0.25">
      <c r="A150" s="321" t="s">
        <v>970</v>
      </c>
      <c r="B150" s="317" t="s">
        <v>335</v>
      </c>
      <c r="C150" s="322">
        <f t="shared" si="25"/>
        <v>0</v>
      </c>
      <c r="D150" s="319">
        <f t="array" ref="D150">SUM(IF((Budget[Sort Code]=$B$6)*(Budget[Account Code]=$B150)*(Budget[Date]=D$7),Budget[Amount]))</f>
        <v>0</v>
      </c>
      <c r="E150" s="319">
        <f t="array" ref="E150">SUM(IF((Budget[Sort Code]=$B$6)*(Budget[Account Code]=$B150)*(Budget[Date]=E$7),Budget[Amount]))</f>
        <v>0</v>
      </c>
      <c r="F150" s="319">
        <f t="array" ref="F150">SUM(IF((Budget[Sort Code]=$B$6)*(Budget[Account Code]=$B150)*(Budget[Date]=F$7),Budget[Amount]))</f>
        <v>0</v>
      </c>
      <c r="G150" s="319">
        <f t="array" ref="G150">SUM(IF((Budget[Sort Code]=$B$6)*(Budget[Account Code]=$B150)*(Budget[Date]=G$7),Budget[Amount]))</f>
        <v>0</v>
      </c>
      <c r="H150" s="319">
        <f t="array" ref="H150">SUM(IF((Budget[Sort Code]=$B$6)*(Budget[Account Code]=$B150)*(Budget[Date]=H$7),Budget[Amount]))</f>
        <v>0</v>
      </c>
      <c r="I150" s="319">
        <f t="array" ref="I150">SUM(IF((Budget[Sort Code]=$B$6)*(Budget[Account Code]=$B150)*(Budget[Date]=I$7),Budget[Amount]))</f>
        <v>0</v>
      </c>
      <c r="J150" s="319">
        <f t="array" ref="J150">SUM(IF((Budget[Sort Code]=$B$6)*(Budget[Account Code]=$B150)*(Budget[Date]=J$7),Budget[Amount]))</f>
        <v>0</v>
      </c>
      <c r="K150" s="319">
        <f t="array" ref="K150">SUM(IF((Budget[Sort Code]=$B$6)*(Budget[Account Code]=$B150)*(Budget[Date]=K$7),Budget[Amount]))</f>
        <v>0</v>
      </c>
      <c r="L150" s="319">
        <f t="array" ref="L150">SUM(IF((Budget[Sort Code]=$B$6)*(Budget[Account Code]=$B150)*(Budget[Date]=L$7),Budget[Amount]))</f>
        <v>0</v>
      </c>
      <c r="M150" s="319">
        <f t="array" ref="M150">SUM(IF((Budget[Sort Code]=$B$6)*(Budget[Account Code]=$B150)*(Budget[Date]=M$7),Budget[Amount]))</f>
        <v>0</v>
      </c>
      <c r="N150" s="319">
        <f t="array" ref="N150">SUM(IF((Budget[Sort Code]=$B$6)*(Budget[Account Code]=$B150)*(Budget[Date]=N$7),Budget[Amount]))</f>
        <v>0</v>
      </c>
      <c r="O150" s="319">
        <f t="array" ref="O150">SUM(IF((Budget[Sort Code]=$B$6)*(Budget[Account Code]=$B150)*(Budget[Date]=O$7),Budget[Amount]))</f>
        <v>0</v>
      </c>
      <c r="P150" s="322">
        <f t="shared" si="29"/>
        <v>0</v>
      </c>
    </row>
    <row r="151" spans="1:16" x14ac:dyDescent="0.25">
      <c r="A151" s="320" t="s">
        <v>971</v>
      </c>
      <c r="B151" s="317"/>
      <c r="C151" s="326">
        <f t="shared" si="25"/>
        <v>0</v>
      </c>
      <c r="D151" s="326">
        <f>D87+D88+D89+D97+D102+D108+D109+D110+D111+D112+D113+D114+D115+D116+D117+D126+D133+D134+D137+D141+D149+D150</f>
        <v>0</v>
      </c>
      <c r="E151" s="326">
        <f t="shared" ref="E151:O151" si="32">E87+E88+E89+E97+E102+E108+E109+E110+E111+E112+E113+E114+E115+E116+E117+E126+E133+E134+E137+E141+E149+E150</f>
        <v>0</v>
      </c>
      <c r="F151" s="326">
        <f t="shared" si="32"/>
        <v>0</v>
      </c>
      <c r="G151" s="326">
        <f t="shared" si="32"/>
        <v>0</v>
      </c>
      <c r="H151" s="326">
        <f t="shared" si="32"/>
        <v>0</v>
      </c>
      <c r="I151" s="326">
        <f t="shared" si="32"/>
        <v>0</v>
      </c>
      <c r="J151" s="326">
        <f t="shared" si="32"/>
        <v>0</v>
      </c>
      <c r="K151" s="326">
        <f t="shared" si="32"/>
        <v>0</v>
      </c>
      <c r="L151" s="326">
        <f t="shared" si="32"/>
        <v>0</v>
      </c>
      <c r="M151" s="326">
        <f t="shared" si="32"/>
        <v>0</v>
      </c>
      <c r="N151" s="326">
        <f t="shared" si="32"/>
        <v>0</v>
      </c>
      <c r="O151" s="326">
        <f t="shared" si="32"/>
        <v>0</v>
      </c>
      <c r="P151" s="326">
        <f t="shared" si="29"/>
        <v>0</v>
      </c>
    </row>
    <row r="152" spans="1:16" s="171" customFormat="1" hidden="1" x14ac:dyDescent="0.25">
      <c r="A152" s="320" t="s">
        <v>972</v>
      </c>
      <c r="B152" s="317"/>
      <c r="C152" s="322">
        <f>C151-C119-C143</f>
        <v>0</v>
      </c>
      <c r="D152" s="322"/>
      <c r="E152" s="322"/>
      <c r="F152" s="322"/>
      <c r="G152" s="322"/>
      <c r="H152" s="322"/>
      <c r="I152" s="322"/>
      <c r="J152" s="322"/>
      <c r="K152" s="322"/>
      <c r="L152" s="322"/>
      <c r="M152" s="322"/>
      <c r="N152" s="322"/>
      <c r="O152" s="322"/>
      <c r="P152" s="322">
        <f t="shared" si="29"/>
        <v>0</v>
      </c>
    </row>
    <row r="153" spans="1:16" x14ac:dyDescent="0.25">
      <c r="A153" s="320"/>
      <c r="B153" s="317"/>
      <c r="C153" s="326"/>
      <c r="D153" s="326"/>
      <c r="E153" s="326"/>
      <c r="F153" s="326"/>
      <c r="G153" s="326"/>
      <c r="H153" s="326"/>
      <c r="I153" s="326"/>
      <c r="J153" s="326"/>
      <c r="K153" s="326"/>
      <c r="L153" s="326"/>
      <c r="M153" s="326"/>
      <c r="N153" s="326"/>
      <c r="O153" s="326"/>
      <c r="P153" s="326">
        <f t="shared" si="29"/>
        <v>0</v>
      </c>
    </row>
    <row r="154" spans="1:16" x14ac:dyDescent="0.25">
      <c r="A154" s="320" t="s">
        <v>973</v>
      </c>
      <c r="B154" s="317"/>
      <c r="C154" s="319"/>
      <c r="D154" s="319"/>
      <c r="E154" s="319"/>
      <c r="F154" s="319"/>
      <c r="G154" s="319"/>
      <c r="H154" s="319"/>
      <c r="I154" s="319"/>
      <c r="J154" s="319"/>
      <c r="K154" s="319"/>
      <c r="L154" s="319"/>
      <c r="M154" s="319"/>
      <c r="N154" s="319"/>
      <c r="O154" s="319"/>
      <c r="P154" s="319">
        <f t="shared" si="29"/>
        <v>0</v>
      </c>
    </row>
    <row r="155" spans="1:16" s="171" customFormat="1" x14ac:dyDescent="0.25">
      <c r="A155" s="330" t="s">
        <v>974</v>
      </c>
      <c r="B155" s="317" t="s">
        <v>992</v>
      </c>
      <c r="C155" s="322">
        <f t="shared" ref="C155:C168" si="33">SUM(D155:O155)</f>
        <v>0</v>
      </c>
      <c r="D155" s="319">
        <f t="array" ref="D155">SUM(IF((Budget[Sort Code]=$B$6)*(Budget[Account Code]=$B155)*(Budget[Date]=D$7),Budget[Amount]))</f>
        <v>0</v>
      </c>
      <c r="E155" s="319">
        <f t="array" ref="E155">SUM(IF((Budget[Sort Code]=$B$6)*(Budget[Account Code]=$B155)*(Budget[Date]=E$7),Budget[Amount]))</f>
        <v>0</v>
      </c>
      <c r="F155" s="319">
        <f t="array" ref="F155">SUM(IF((Budget[Sort Code]=$B$6)*(Budget[Account Code]=$B155)*(Budget[Date]=F$7),Budget[Amount]))</f>
        <v>0</v>
      </c>
      <c r="G155" s="319">
        <f t="array" ref="G155">SUM(IF((Budget[Sort Code]=$B$6)*(Budget[Account Code]=$B155)*(Budget[Date]=G$7),Budget[Amount]))</f>
        <v>0</v>
      </c>
      <c r="H155" s="319">
        <f t="array" ref="H155">SUM(IF((Budget[Sort Code]=$B$6)*(Budget[Account Code]=$B155)*(Budget[Date]=H$7),Budget[Amount]))</f>
        <v>0</v>
      </c>
      <c r="I155" s="319">
        <f t="array" ref="I155">SUM(IF((Budget[Sort Code]=$B$6)*(Budget[Account Code]=$B155)*(Budget[Date]=I$7),Budget[Amount]))</f>
        <v>0</v>
      </c>
      <c r="J155" s="319">
        <f t="array" ref="J155">SUM(IF((Budget[Sort Code]=$B$6)*(Budget[Account Code]=$B155)*(Budget[Date]=J$7),Budget[Amount]))</f>
        <v>0</v>
      </c>
      <c r="K155" s="319">
        <f t="array" ref="K155">SUM(IF((Budget[Sort Code]=$B$6)*(Budget[Account Code]=$B155)*(Budget[Date]=K$7),Budget[Amount]))</f>
        <v>0</v>
      </c>
      <c r="L155" s="319">
        <f t="array" ref="L155">SUM(IF((Budget[Sort Code]=$B$6)*(Budget[Account Code]=$B155)*(Budget[Date]=L$7),Budget[Amount]))</f>
        <v>0</v>
      </c>
      <c r="M155" s="319">
        <f t="array" ref="M155">SUM(IF((Budget[Sort Code]=$B$6)*(Budget[Account Code]=$B155)*(Budget[Date]=M$7),Budget[Amount]))</f>
        <v>0</v>
      </c>
      <c r="N155" s="319">
        <f t="array" ref="N155">SUM(IF((Budget[Sort Code]=$B$6)*(Budget[Account Code]=$B155)*(Budget[Date]=N$7),Budget[Amount]))</f>
        <v>0</v>
      </c>
      <c r="O155" s="319">
        <f t="array" ref="O155">SUM(IF((Budget[Sort Code]=$B$6)*(Budget[Account Code]=$B155)*(Budget[Date]=O$7),Budget[Amount]))</f>
        <v>0</v>
      </c>
      <c r="P155" s="322">
        <f t="shared" si="29"/>
        <v>0</v>
      </c>
    </row>
    <row r="156" spans="1:16" s="171" customFormat="1" x14ac:dyDescent="0.25">
      <c r="A156" s="330" t="s">
        <v>975</v>
      </c>
      <c r="B156" s="317" t="s">
        <v>333</v>
      </c>
      <c r="C156" s="322">
        <f t="shared" si="33"/>
        <v>0</v>
      </c>
      <c r="D156" s="319">
        <f t="array" ref="D156">SUM(IF((Budget[Sort Code]=$B$6)*(Budget[Account Code]=$B156)*(Budget[Date]=D$7),Budget[Amount]))</f>
        <v>0</v>
      </c>
      <c r="E156" s="319">
        <f t="array" ref="E156">SUM(IF((Budget[Sort Code]=$B$6)*(Budget[Account Code]=$B156)*(Budget[Date]=E$7),Budget[Amount]))</f>
        <v>0</v>
      </c>
      <c r="F156" s="319">
        <f t="array" ref="F156">SUM(IF((Budget[Sort Code]=$B$6)*(Budget[Account Code]=$B156)*(Budget[Date]=F$7),Budget[Amount]))</f>
        <v>0</v>
      </c>
      <c r="G156" s="319">
        <f t="array" ref="G156">SUM(IF((Budget[Sort Code]=$B$6)*(Budget[Account Code]=$B156)*(Budget[Date]=G$7),Budget[Amount]))</f>
        <v>0</v>
      </c>
      <c r="H156" s="319">
        <f t="array" ref="H156">SUM(IF((Budget[Sort Code]=$B$6)*(Budget[Account Code]=$B156)*(Budget[Date]=H$7),Budget[Amount]))</f>
        <v>0</v>
      </c>
      <c r="I156" s="319">
        <f t="array" ref="I156">SUM(IF((Budget[Sort Code]=$B$6)*(Budget[Account Code]=$B156)*(Budget[Date]=I$7),Budget[Amount]))</f>
        <v>0</v>
      </c>
      <c r="J156" s="319">
        <f t="array" ref="J156">SUM(IF((Budget[Sort Code]=$B$6)*(Budget[Account Code]=$B156)*(Budget[Date]=J$7),Budget[Amount]))</f>
        <v>0</v>
      </c>
      <c r="K156" s="319">
        <f t="array" ref="K156">SUM(IF((Budget[Sort Code]=$B$6)*(Budget[Account Code]=$B156)*(Budget[Date]=K$7),Budget[Amount]))</f>
        <v>0</v>
      </c>
      <c r="L156" s="319">
        <f t="array" ref="L156">SUM(IF((Budget[Sort Code]=$B$6)*(Budget[Account Code]=$B156)*(Budget[Date]=L$7),Budget[Amount]))</f>
        <v>0</v>
      </c>
      <c r="M156" s="319">
        <f t="array" ref="M156">SUM(IF((Budget[Sort Code]=$B$6)*(Budget[Account Code]=$B156)*(Budget[Date]=M$7),Budget[Amount]))</f>
        <v>0</v>
      </c>
      <c r="N156" s="319">
        <f t="array" ref="N156">SUM(IF((Budget[Sort Code]=$B$6)*(Budget[Account Code]=$B156)*(Budget[Date]=N$7),Budget[Amount]))</f>
        <v>0</v>
      </c>
      <c r="O156" s="319">
        <f t="array" ref="O156">SUM(IF((Budget[Sort Code]=$B$6)*(Budget[Account Code]=$B156)*(Budget[Date]=O$7),Budget[Amount]))</f>
        <v>0</v>
      </c>
      <c r="P156" s="322">
        <f t="shared" si="29"/>
        <v>0</v>
      </c>
    </row>
    <row r="157" spans="1:16" s="171" customFormat="1" x14ac:dyDescent="0.25">
      <c r="A157" s="330" t="s">
        <v>976</v>
      </c>
      <c r="B157" s="317" t="s">
        <v>991</v>
      </c>
      <c r="C157" s="322">
        <f t="shared" si="33"/>
        <v>0</v>
      </c>
      <c r="D157" s="319">
        <f t="array" ref="D157">SUM(IF((Budget[Sort Code]=$B$6)*(Budget[Account Code]=$B157)*(Budget[Date]=D$7),Budget[Amount]))</f>
        <v>0</v>
      </c>
      <c r="E157" s="319">
        <f t="array" ref="E157">SUM(IF((Budget[Sort Code]=$B$6)*(Budget[Account Code]=$B157)*(Budget[Date]=E$7),Budget[Amount]))</f>
        <v>0</v>
      </c>
      <c r="F157" s="319">
        <f t="array" ref="F157">SUM(IF((Budget[Sort Code]=$B$6)*(Budget[Account Code]=$B157)*(Budget[Date]=F$7),Budget[Amount]))</f>
        <v>0</v>
      </c>
      <c r="G157" s="319">
        <f t="array" ref="G157">SUM(IF((Budget[Sort Code]=$B$6)*(Budget[Account Code]=$B157)*(Budget[Date]=G$7),Budget[Amount]))</f>
        <v>0</v>
      </c>
      <c r="H157" s="319">
        <f t="array" ref="H157">SUM(IF((Budget[Sort Code]=$B$6)*(Budget[Account Code]=$B157)*(Budget[Date]=H$7),Budget[Amount]))</f>
        <v>0</v>
      </c>
      <c r="I157" s="319">
        <f t="array" ref="I157">SUM(IF((Budget[Sort Code]=$B$6)*(Budget[Account Code]=$B157)*(Budget[Date]=I$7),Budget[Amount]))</f>
        <v>0</v>
      </c>
      <c r="J157" s="319">
        <f t="array" ref="J157">SUM(IF((Budget[Sort Code]=$B$6)*(Budget[Account Code]=$B157)*(Budget[Date]=J$7),Budget[Amount]))</f>
        <v>0</v>
      </c>
      <c r="K157" s="319">
        <f t="array" ref="K157">SUM(IF((Budget[Sort Code]=$B$6)*(Budget[Account Code]=$B157)*(Budget[Date]=K$7),Budget[Amount]))</f>
        <v>0</v>
      </c>
      <c r="L157" s="319">
        <f t="array" ref="L157">SUM(IF((Budget[Sort Code]=$B$6)*(Budget[Account Code]=$B157)*(Budget[Date]=L$7),Budget[Amount]))</f>
        <v>0</v>
      </c>
      <c r="M157" s="319">
        <f t="array" ref="M157">SUM(IF((Budget[Sort Code]=$B$6)*(Budget[Account Code]=$B157)*(Budget[Date]=M$7),Budget[Amount]))</f>
        <v>0</v>
      </c>
      <c r="N157" s="319">
        <f t="array" ref="N157">SUM(IF((Budget[Sort Code]=$B$6)*(Budget[Account Code]=$B157)*(Budget[Date]=N$7),Budget[Amount]))</f>
        <v>0</v>
      </c>
      <c r="O157" s="319">
        <f t="array" ref="O157">SUM(IF((Budget[Sort Code]=$B$6)*(Budget[Account Code]=$B157)*(Budget[Date]=O$7),Budget[Amount]))</f>
        <v>0</v>
      </c>
      <c r="P157" s="322">
        <f t="shared" si="29"/>
        <v>0</v>
      </c>
    </row>
    <row r="158" spans="1:16" s="171" customFormat="1" x14ac:dyDescent="0.25">
      <c r="A158" s="330" t="s">
        <v>977</v>
      </c>
      <c r="B158" s="317"/>
      <c r="C158" s="322">
        <f t="shared" si="33"/>
        <v>0</v>
      </c>
      <c r="D158" s="319">
        <f t="array" ref="D158">SUM(IF((Budget[Sort Code]=$B$6)*(Budget[Account Code]=$B158)*(Budget[Date]=D$7),Budget[Amount]))</f>
        <v>0</v>
      </c>
      <c r="E158" s="319">
        <f t="array" ref="E158">SUM(IF((Budget[Sort Code]=$B$6)*(Budget[Account Code]=$B158)*(Budget[Date]=E$7),Budget[Amount]))</f>
        <v>0</v>
      </c>
      <c r="F158" s="319">
        <f t="array" ref="F158">SUM(IF((Budget[Sort Code]=$B$6)*(Budget[Account Code]=$B158)*(Budget[Date]=F$7),Budget[Amount]))</f>
        <v>0</v>
      </c>
      <c r="G158" s="319">
        <f t="array" ref="G158">SUM(IF((Budget[Sort Code]=$B$6)*(Budget[Account Code]=$B158)*(Budget[Date]=G$7),Budget[Amount]))</f>
        <v>0</v>
      </c>
      <c r="H158" s="319">
        <f t="array" ref="H158">SUM(IF((Budget[Sort Code]=$B$6)*(Budget[Account Code]=$B158)*(Budget[Date]=H$7),Budget[Amount]))</f>
        <v>0</v>
      </c>
      <c r="I158" s="319">
        <f t="array" ref="I158">SUM(IF((Budget[Sort Code]=$B$6)*(Budget[Account Code]=$B158)*(Budget[Date]=I$7),Budget[Amount]))</f>
        <v>0</v>
      </c>
      <c r="J158" s="319">
        <f t="array" ref="J158">SUM(IF((Budget[Sort Code]=$B$6)*(Budget[Account Code]=$B158)*(Budget[Date]=J$7),Budget[Amount]))</f>
        <v>0</v>
      </c>
      <c r="K158" s="319">
        <f t="array" ref="K158">SUM(IF((Budget[Sort Code]=$B$6)*(Budget[Account Code]=$B158)*(Budget[Date]=K$7),Budget[Amount]))</f>
        <v>0</v>
      </c>
      <c r="L158" s="319">
        <f t="array" ref="L158">SUM(IF((Budget[Sort Code]=$B$6)*(Budget[Account Code]=$B158)*(Budget[Date]=L$7),Budget[Amount]))</f>
        <v>0</v>
      </c>
      <c r="M158" s="319">
        <f t="array" ref="M158">SUM(IF((Budget[Sort Code]=$B$6)*(Budget[Account Code]=$B158)*(Budget[Date]=M$7),Budget[Amount]))</f>
        <v>0</v>
      </c>
      <c r="N158" s="319">
        <f t="array" ref="N158">SUM(IF((Budget[Sort Code]=$B$6)*(Budget[Account Code]=$B158)*(Budget[Date]=N$7),Budget[Amount]))</f>
        <v>0</v>
      </c>
      <c r="O158" s="319">
        <f t="array" ref="O158">SUM(IF((Budget[Sort Code]=$B$6)*(Budget[Account Code]=$B158)*(Budget[Date]=O$7),Budget[Amount]))</f>
        <v>0</v>
      </c>
      <c r="P158" s="322">
        <f t="shared" si="29"/>
        <v>0</v>
      </c>
    </row>
    <row r="159" spans="1:16" s="171" customFormat="1" x14ac:dyDescent="0.25">
      <c r="A159" s="330" t="s">
        <v>1010</v>
      </c>
      <c r="B159" s="317" t="s">
        <v>267</v>
      </c>
      <c r="C159" s="322">
        <f t="shared" si="33"/>
        <v>0</v>
      </c>
      <c r="D159" s="319">
        <f t="array" ref="D159">SUM(IF((Budget[Sort Code]=$B$6)*(Budget[Account Code]=$B159)*(Budget[Date]=D$7),Budget[Amount]))</f>
        <v>0</v>
      </c>
      <c r="E159" s="319">
        <f t="array" ref="E159">SUM(IF((Budget[Sort Code]=$B$6)*(Budget[Account Code]=$B159)*(Budget[Date]=E$7),Budget[Amount]))</f>
        <v>0</v>
      </c>
      <c r="F159" s="319">
        <f t="array" ref="F159">SUM(IF((Budget[Sort Code]=$B$6)*(Budget[Account Code]=$B159)*(Budget[Date]=F$7),Budget[Amount]))</f>
        <v>0</v>
      </c>
      <c r="G159" s="319">
        <f t="array" ref="G159">SUM(IF((Budget[Sort Code]=$B$6)*(Budget[Account Code]=$B159)*(Budget[Date]=G$7),Budget[Amount]))</f>
        <v>0</v>
      </c>
      <c r="H159" s="319">
        <f t="array" ref="H159">SUM(IF((Budget[Sort Code]=$B$6)*(Budget[Account Code]=$B159)*(Budget[Date]=H$7),Budget[Amount]))</f>
        <v>0</v>
      </c>
      <c r="I159" s="319">
        <f t="array" ref="I159">SUM(IF((Budget[Sort Code]=$B$6)*(Budget[Account Code]=$B159)*(Budget[Date]=I$7),Budget[Amount]))</f>
        <v>0</v>
      </c>
      <c r="J159" s="319">
        <f t="array" ref="J159">SUM(IF((Budget[Sort Code]=$B$6)*(Budget[Account Code]=$B159)*(Budget[Date]=J$7),Budget[Amount]))</f>
        <v>0</v>
      </c>
      <c r="K159" s="319">
        <f t="array" ref="K159">SUM(IF((Budget[Sort Code]=$B$6)*(Budget[Account Code]=$B159)*(Budget[Date]=K$7),Budget[Amount]))</f>
        <v>0</v>
      </c>
      <c r="L159" s="319">
        <f t="array" ref="L159">SUM(IF((Budget[Sort Code]=$B$6)*(Budget[Account Code]=$B159)*(Budget[Date]=L$7),Budget[Amount]))</f>
        <v>0</v>
      </c>
      <c r="M159" s="319">
        <f t="array" ref="M159">SUM(IF((Budget[Sort Code]=$B$6)*(Budget[Account Code]=$B159)*(Budget[Date]=M$7),Budget[Amount]))</f>
        <v>0</v>
      </c>
      <c r="N159" s="319">
        <f t="array" ref="N159">SUM(IF((Budget[Sort Code]=$B$6)*(Budget[Account Code]=$B159)*(Budget[Date]=N$7),Budget[Amount]))</f>
        <v>0</v>
      </c>
      <c r="O159" s="319">
        <f t="array" ref="O159">SUM(IF((Budget[Sort Code]=$B$6)*(Budget[Account Code]=$B159)*(Budget[Date]=O$7),Budget[Amount]))</f>
        <v>0</v>
      </c>
      <c r="P159" s="322">
        <f t="shared" si="29"/>
        <v>0</v>
      </c>
    </row>
    <row r="160" spans="1:16" s="171" customFormat="1" x14ac:dyDescent="0.25">
      <c r="A160" s="330" t="s">
        <v>1011</v>
      </c>
      <c r="B160" s="317" t="s">
        <v>993</v>
      </c>
      <c r="C160" s="322">
        <f t="shared" si="33"/>
        <v>0</v>
      </c>
      <c r="D160" s="319">
        <f t="array" ref="D160">SUM(IF((Budget[Sort Code]=$B$6)*(Budget[Account Code]=$B160)*(Budget[Date]=D$7),Budget[Amount]))</f>
        <v>0</v>
      </c>
      <c r="E160" s="319">
        <f t="array" ref="E160">SUM(IF((Budget[Sort Code]=$B$6)*(Budget[Account Code]=$B160)*(Budget[Date]=E$7),Budget[Amount]))</f>
        <v>0</v>
      </c>
      <c r="F160" s="319">
        <f t="array" ref="F160">SUM(IF((Budget[Sort Code]=$B$6)*(Budget[Account Code]=$B160)*(Budget[Date]=F$7),Budget[Amount]))</f>
        <v>0</v>
      </c>
      <c r="G160" s="319">
        <f t="array" ref="G160">SUM(IF((Budget[Sort Code]=$B$6)*(Budget[Account Code]=$B160)*(Budget[Date]=G$7),Budget[Amount]))</f>
        <v>0</v>
      </c>
      <c r="H160" s="319">
        <f t="array" ref="H160">SUM(IF((Budget[Sort Code]=$B$6)*(Budget[Account Code]=$B160)*(Budget[Date]=H$7),Budget[Amount]))</f>
        <v>0</v>
      </c>
      <c r="I160" s="319">
        <f t="array" ref="I160">SUM(IF((Budget[Sort Code]=$B$6)*(Budget[Account Code]=$B160)*(Budget[Date]=I$7),Budget[Amount]))</f>
        <v>0</v>
      </c>
      <c r="J160" s="319">
        <f t="array" ref="J160">SUM(IF((Budget[Sort Code]=$B$6)*(Budget[Account Code]=$B160)*(Budget[Date]=J$7),Budget[Amount]))</f>
        <v>0</v>
      </c>
      <c r="K160" s="319">
        <f t="array" ref="K160">SUM(IF((Budget[Sort Code]=$B$6)*(Budget[Account Code]=$B160)*(Budget[Date]=K$7),Budget[Amount]))</f>
        <v>0</v>
      </c>
      <c r="L160" s="319">
        <f t="array" ref="L160">SUM(IF((Budget[Sort Code]=$B$6)*(Budget[Account Code]=$B160)*(Budget[Date]=L$7),Budget[Amount]))</f>
        <v>0</v>
      </c>
      <c r="M160" s="319">
        <f t="array" ref="M160">SUM(IF((Budget[Sort Code]=$B$6)*(Budget[Account Code]=$B160)*(Budget[Date]=M$7),Budget[Amount]))</f>
        <v>0</v>
      </c>
      <c r="N160" s="319">
        <f t="array" ref="N160">SUM(IF((Budget[Sort Code]=$B$6)*(Budget[Account Code]=$B160)*(Budget[Date]=N$7),Budget[Amount]))</f>
        <v>0</v>
      </c>
      <c r="O160" s="319">
        <f t="array" ref="O160">SUM(IF((Budget[Sort Code]=$B$6)*(Budget[Account Code]=$B160)*(Budget[Date]=O$7),Budget[Amount]))</f>
        <v>0</v>
      </c>
      <c r="P160" s="322">
        <f t="shared" si="29"/>
        <v>0</v>
      </c>
    </row>
    <row r="161" spans="1:25" x14ac:dyDescent="0.25">
      <c r="A161" s="320" t="s">
        <v>978</v>
      </c>
      <c r="B161" s="317"/>
      <c r="C161" s="319">
        <f t="shared" si="33"/>
        <v>0</v>
      </c>
      <c r="D161" s="319">
        <f>SUM(D155:D160)</f>
        <v>0</v>
      </c>
      <c r="E161" s="319">
        <f t="shared" ref="E161:O161" si="34">SUM(E155:E160)</f>
        <v>0</v>
      </c>
      <c r="F161" s="319">
        <f t="shared" si="34"/>
        <v>0</v>
      </c>
      <c r="G161" s="319">
        <f t="shared" si="34"/>
        <v>0</v>
      </c>
      <c r="H161" s="319">
        <f t="shared" si="34"/>
        <v>0</v>
      </c>
      <c r="I161" s="319">
        <f t="shared" si="34"/>
        <v>0</v>
      </c>
      <c r="J161" s="319">
        <f t="shared" si="34"/>
        <v>0</v>
      </c>
      <c r="K161" s="319">
        <f t="shared" si="34"/>
        <v>0</v>
      </c>
      <c r="L161" s="319">
        <f t="shared" si="34"/>
        <v>0</v>
      </c>
      <c r="M161" s="319">
        <f t="shared" si="34"/>
        <v>0</v>
      </c>
      <c r="N161" s="319">
        <f t="shared" si="34"/>
        <v>0</v>
      </c>
      <c r="O161" s="319">
        <f t="shared" si="34"/>
        <v>0</v>
      </c>
      <c r="P161" s="319">
        <f t="shared" si="29"/>
        <v>0</v>
      </c>
    </row>
    <row r="162" spans="1:25" s="171" customFormat="1" hidden="1" x14ac:dyDescent="0.25">
      <c r="A162" s="320" t="s">
        <v>979</v>
      </c>
      <c r="B162" s="317"/>
      <c r="C162" s="322">
        <f>C161-C157-C160</f>
        <v>0</v>
      </c>
      <c r="D162" s="322"/>
      <c r="E162" s="322"/>
      <c r="F162" s="322"/>
      <c r="G162" s="322"/>
      <c r="H162" s="322"/>
      <c r="I162" s="322"/>
      <c r="J162" s="322"/>
      <c r="K162" s="322"/>
      <c r="L162" s="322"/>
      <c r="M162" s="322"/>
      <c r="N162" s="322"/>
      <c r="O162" s="322"/>
      <c r="P162" s="322">
        <f t="shared" si="29"/>
        <v>0</v>
      </c>
    </row>
    <row r="163" spans="1:25" x14ac:dyDescent="0.25">
      <c r="A163" s="320"/>
      <c r="B163" s="317"/>
      <c r="C163" s="319"/>
      <c r="D163" s="319"/>
      <c r="E163" s="319"/>
      <c r="F163" s="319"/>
      <c r="G163" s="319"/>
      <c r="H163" s="319"/>
      <c r="I163" s="319"/>
      <c r="J163" s="319"/>
      <c r="K163" s="319"/>
      <c r="L163" s="319"/>
      <c r="M163" s="319"/>
      <c r="N163" s="319"/>
      <c r="O163" s="319"/>
      <c r="P163" s="319">
        <f t="shared" si="29"/>
        <v>0</v>
      </c>
    </row>
    <row r="164" spans="1:25" x14ac:dyDescent="0.25">
      <c r="A164" s="320" t="s">
        <v>980</v>
      </c>
      <c r="B164" s="317"/>
      <c r="C164" s="322">
        <f t="shared" si="33"/>
        <v>0</v>
      </c>
      <c r="D164" s="322">
        <f t="shared" ref="D164:O164" si="35">D151+D161</f>
        <v>0</v>
      </c>
      <c r="E164" s="322">
        <f t="shared" si="35"/>
        <v>0</v>
      </c>
      <c r="F164" s="322">
        <f t="shared" si="35"/>
        <v>0</v>
      </c>
      <c r="G164" s="322">
        <f t="shared" si="35"/>
        <v>0</v>
      </c>
      <c r="H164" s="322">
        <f t="shared" si="35"/>
        <v>0</v>
      </c>
      <c r="I164" s="322">
        <f t="shared" si="35"/>
        <v>0</v>
      </c>
      <c r="J164" s="322">
        <f t="shared" si="35"/>
        <v>0</v>
      </c>
      <c r="K164" s="322">
        <f t="shared" si="35"/>
        <v>0</v>
      </c>
      <c r="L164" s="322">
        <f t="shared" si="35"/>
        <v>0</v>
      </c>
      <c r="M164" s="322">
        <f t="shared" si="35"/>
        <v>0</v>
      </c>
      <c r="N164" s="322">
        <f t="shared" si="35"/>
        <v>0</v>
      </c>
      <c r="O164" s="322">
        <f t="shared" si="35"/>
        <v>0</v>
      </c>
      <c r="P164" s="322">
        <f t="shared" si="29"/>
        <v>0</v>
      </c>
    </row>
    <row r="165" spans="1:25" x14ac:dyDescent="0.25">
      <c r="A165" s="327" t="s">
        <v>981</v>
      </c>
      <c r="B165" s="317"/>
      <c r="C165" s="322">
        <f t="shared" si="33"/>
        <v>0</v>
      </c>
      <c r="D165" s="322">
        <f t="shared" ref="D165:O165" si="36">D80+D164</f>
        <v>0</v>
      </c>
      <c r="E165" s="322">
        <f t="shared" si="36"/>
        <v>0</v>
      </c>
      <c r="F165" s="322">
        <f t="shared" si="36"/>
        <v>0</v>
      </c>
      <c r="G165" s="322">
        <f t="shared" si="36"/>
        <v>0</v>
      </c>
      <c r="H165" s="322">
        <f t="shared" si="36"/>
        <v>0</v>
      </c>
      <c r="I165" s="322">
        <f t="shared" si="36"/>
        <v>0</v>
      </c>
      <c r="J165" s="322">
        <f t="shared" si="36"/>
        <v>0</v>
      </c>
      <c r="K165" s="322">
        <f t="shared" si="36"/>
        <v>0</v>
      </c>
      <c r="L165" s="322">
        <f t="shared" si="36"/>
        <v>0</v>
      </c>
      <c r="M165" s="322">
        <f t="shared" si="36"/>
        <v>0</v>
      </c>
      <c r="N165" s="322">
        <f t="shared" si="36"/>
        <v>0</v>
      </c>
      <c r="O165" s="322">
        <f t="shared" si="36"/>
        <v>0</v>
      </c>
      <c r="P165" s="322">
        <f t="shared" si="29"/>
        <v>0</v>
      </c>
    </row>
    <row r="166" spans="1:25" x14ac:dyDescent="0.25">
      <c r="A166" s="327" t="s">
        <v>982</v>
      </c>
      <c r="B166" s="317" t="s">
        <v>1014</v>
      </c>
      <c r="C166" s="322">
        <f>SUM(D166:O166)</f>
        <v>0</v>
      </c>
      <c r="D166" s="319">
        <f t="array" ref="D166">SUM(IF((Budget[Sort Code]=$B$6)*(Budget[Account Code]=$B166)*(Budget[Date]=D$7),Budget[Amount]))</f>
        <v>0</v>
      </c>
      <c r="E166" s="319">
        <f t="array" ref="E166">SUM(IF((Budget[Sort Code]=$B$6)*(Budget[Account Code]=$B166)*(Budget[Date]=E$7),Budget[Amount]))</f>
        <v>0</v>
      </c>
      <c r="F166" s="319">
        <f t="array" ref="F166">SUM(IF((Budget[Sort Code]=$B$6)*(Budget[Account Code]=$B166)*(Budget[Date]=F$7),Budget[Amount]))</f>
        <v>0</v>
      </c>
      <c r="G166" s="319">
        <f t="array" ref="G166">SUM(IF((Budget[Sort Code]=$B$6)*(Budget[Account Code]=$B166)*(Budget[Date]=G$7),Budget[Amount]))</f>
        <v>0</v>
      </c>
      <c r="H166" s="319">
        <f t="array" ref="H166">SUM(IF((Budget[Sort Code]=$B$6)*(Budget[Account Code]=$B166)*(Budget[Date]=H$7),Budget[Amount]))</f>
        <v>0</v>
      </c>
      <c r="I166" s="319">
        <f t="array" ref="I166">SUM(IF((Budget[Sort Code]=$B$6)*(Budget[Account Code]=$B166)*(Budget[Date]=I$7),Budget[Amount]))</f>
        <v>0</v>
      </c>
      <c r="J166" s="319">
        <f t="array" ref="J166">SUM(IF((Budget[Sort Code]=$B$6)*(Budget[Account Code]=$B166)*(Budget[Date]=J$7),Budget[Amount]))</f>
        <v>0</v>
      </c>
      <c r="K166" s="319">
        <f t="array" ref="K166">SUM(IF((Budget[Sort Code]=$B$6)*(Budget[Account Code]=$B166)*(Budget[Date]=K$7),Budget[Amount]))</f>
        <v>0</v>
      </c>
      <c r="L166" s="319">
        <f t="array" ref="L166">SUM(IF((Budget[Sort Code]=$B$6)*(Budget[Account Code]=$B166)*(Budget[Date]=L$7),Budget[Amount]))</f>
        <v>0</v>
      </c>
      <c r="M166" s="319">
        <f t="array" ref="M166">SUM(IF((Budget[Sort Code]=$B$6)*(Budget[Account Code]=$B166)*(Budget[Date]=M$7),Budget[Amount]))</f>
        <v>0</v>
      </c>
      <c r="N166" s="319">
        <f t="array" ref="N166">SUM(IF((Budget[Sort Code]=$B$6)*(Budget[Account Code]=$B166)*(Budget[Date]=N$7),Budget[Amount]))</f>
        <v>0</v>
      </c>
      <c r="O166" s="319">
        <f t="array" ref="O166">SUM(IF((Budget[Sort Code]=$B$6)*(Budget[Account Code]=$B166)*(Budget[Date]=O$7),Budget[Amount]))</f>
        <v>0</v>
      </c>
      <c r="P166" s="322">
        <f>C166</f>
        <v>0</v>
      </c>
      <c r="Q166" s="171"/>
      <c r="R166" s="171"/>
      <c r="S166" s="171"/>
      <c r="T166" s="171"/>
      <c r="U166" s="171"/>
      <c r="V166" s="171"/>
      <c r="W166" s="171"/>
      <c r="X166" s="171"/>
      <c r="Y166" s="171"/>
    </row>
    <row r="167" spans="1:25" x14ac:dyDescent="0.25">
      <c r="A167" s="320" t="s">
        <v>983</v>
      </c>
      <c r="B167" s="317"/>
      <c r="C167" s="322">
        <f t="shared" si="33"/>
        <v>0</v>
      </c>
      <c r="D167" s="322">
        <f>D165+D166</f>
        <v>0</v>
      </c>
      <c r="E167" s="322">
        <f t="shared" ref="E167:O167" si="37">E165+E166</f>
        <v>0</v>
      </c>
      <c r="F167" s="322">
        <f t="shared" si="37"/>
        <v>0</v>
      </c>
      <c r="G167" s="322">
        <f t="shared" si="37"/>
        <v>0</v>
      </c>
      <c r="H167" s="322">
        <f t="shared" si="37"/>
        <v>0</v>
      </c>
      <c r="I167" s="322">
        <f t="shared" si="37"/>
        <v>0</v>
      </c>
      <c r="J167" s="322">
        <f t="shared" si="37"/>
        <v>0</v>
      </c>
      <c r="K167" s="322">
        <f t="shared" si="37"/>
        <v>0</v>
      </c>
      <c r="L167" s="322">
        <f t="shared" si="37"/>
        <v>0</v>
      </c>
      <c r="M167" s="322">
        <f t="shared" si="37"/>
        <v>0</v>
      </c>
      <c r="N167" s="322">
        <f t="shared" si="37"/>
        <v>0</v>
      </c>
      <c r="O167" s="322">
        <f t="shared" si="37"/>
        <v>0</v>
      </c>
      <c r="P167" s="322">
        <f t="shared" si="29"/>
        <v>0</v>
      </c>
    </row>
    <row r="168" spans="1:25" x14ac:dyDescent="0.25">
      <c r="A168" s="320" t="s">
        <v>984</v>
      </c>
      <c r="B168" s="317"/>
      <c r="C168" s="322">
        <f t="shared" si="33"/>
        <v>0</v>
      </c>
      <c r="D168" s="322">
        <f t="shared" ref="D168:O168" si="38">D44-D167</f>
        <v>0</v>
      </c>
      <c r="E168" s="322">
        <f t="shared" si="38"/>
        <v>0</v>
      </c>
      <c r="F168" s="322">
        <f t="shared" si="38"/>
        <v>0</v>
      </c>
      <c r="G168" s="322">
        <f t="shared" si="38"/>
        <v>0</v>
      </c>
      <c r="H168" s="322">
        <f t="shared" si="38"/>
        <v>0</v>
      </c>
      <c r="I168" s="322">
        <f t="shared" si="38"/>
        <v>0</v>
      </c>
      <c r="J168" s="322">
        <f t="shared" si="38"/>
        <v>0</v>
      </c>
      <c r="K168" s="322">
        <f t="shared" si="38"/>
        <v>0</v>
      </c>
      <c r="L168" s="322">
        <f t="shared" si="38"/>
        <v>0</v>
      </c>
      <c r="M168" s="322">
        <f t="shared" si="38"/>
        <v>0</v>
      </c>
      <c r="N168" s="322">
        <f t="shared" si="38"/>
        <v>0</v>
      </c>
      <c r="O168" s="322">
        <f t="shared" si="38"/>
        <v>0</v>
      </c>
      <c r="P168" s="322">
        <f t="shared" si="29"/>
        <v>0</v>
      </c>
    </row>
    <row r="169" spans="1:25" x14ac:dyDescent="0.25">
      <c r="A169" s="320" t="s">
        <v>749</v>
      </c>
      <c r="B169" s="317"/>
      <c r="C169" s="322" t="e">
        <f>C44/C165</f>
        <v>#DIV/0!</v>
      </c>
      <c r="D169" s="322" t="e">
        <f t="shared" ref="D169:O169" si="39">D44/D165</f>
        <v>#DIV/0!</v>
      </c>
      <c r="E169" s="322" t="e">
        <f t="shared" si="39"/>
        <v>#DIV/0!</v>
      </c>
      <c r="F169" s="322" t="e">
        <f t="shared" si="39"/>
        <v>#DIV/0!</v>
      </c>
      <c r="G169" s="322" t="e">
        <f t="shared" si="39"/>
        <v>#DIV/0!</v>
      </c>
      <c r="H169" s="322" t="e">
        <f t="shared" si="39"/>
        <v>#DIV/0!</v>
      </c>
      <c r="I169" s="322" t="e">
        <f t="shared" si="39"/>
        <v>#DIV/0!</v>
      </c>
      <c r="J169" s="322" t="e">
        <f t="shared" si="39"/>
        <v>#DIV/0!</v>
      </c>
      <c r="K169" s="322" t="e">
        <f t="shared" si="39"/>
        <v>#DIV/0!</v>
      </c>
      <c r="L169" s="322" t="e">
        <f t="shared" si="39"/>
        <v>#DIV/0!</v>
      </c>
      <c r="M169" s="322" t="e">
        <f t="shared" si="39"/>
        <v>#DIV/0!</v>
      </c>
      <c r="N169" s="322" t="e">
        <f t="shared" si="39"/>
        <v>#DIV/0!</v>
      </c>
      <c r="O169" s="322" t="e">
        <f t="shared" si="39"/>
        <v>#DIV/0!</v>
      </c>
      <c r="P169" s="322" t="e">
        <f t="shared" si="29"/>
        <v>#DIV/0!</v>
      </c>
    </row>
  </sheetData>
  <printOptions horizontalCentered="1"/>
  <pageMargins left="0.25" right="1.35" top="0.75" bottom="0.25" header="0.3" footer="0.3"/>
  <pageSetup paperSize="5" scale="75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Z169"/>
  <sheetViews>
    <sheetView workbookViewId="0"/>
  </sheetViews>
  <sheetFormatPr defaultColWidth="9" defaultRowHeight="15.75" x14ac:dyDescent="0.25"/>
  <cols>
    <col min="1" max="1" width="64.125" style="25" bestFit="1" customWidth="1"/>
    <col min="2" max="2" width="8" style="315" customWidth="1"/>
    <col min="3" max="16" width="16.125" style="25" customWidth="1"/>
    <col min="17" max="16384" width="9" style="25"/>
  </cols>
  <sheetData>
    <row r="1" spans="1:16" ht="22.5" x14ac:dyDescent="0.5">
      <c r="A1" s="313" t="s">
        <v>355</v>
      </c>
    </row>
    <row r="2" spans="1:16" x14ac:dyDescent="0.25">
      <c r="A2" s="167" t="s">
        <v>400</v>
      </c>
      <c r="C2" s="102"/>
      <c r="D2" s="102"/>
      <c r="E2" s="102"/>
      <c r="F2" s="52"/>
      <c r="G2" s="52"/>
      <c r="H2" s="52"/>
      <c r="I2" s="102"/>
      <c r="J2" s="102"/>
      <c r="K2" s="102"/>
      <c r="L2" s="102"/>
      <c r="M2" s="102"/>
      <c r="N2" s="102"/>
      <c r="O2" s="102"/>
      <c r="P2" s="102"/>
    </row>
    <row r="3" spans="1:16" x14ac:dyDescent="0.25">
      <c r="A3" s="171" t="s">
        <v>995</v>
      </c>
    </row>
    <row r="4" spans="1:16" x14ac:dyDescent="0.25">
      <c r="A4" s="171" t="s">
        <v>996</v>
      </c>
      <c r="C4" s="52"/>
      <c r="D4" s="52"/>
      <c r="E4" s="52"/>
      <c r="F4" s="52"/>
      <c r="G4" s="102"/>
      <c r="H4" s="52"/>
      <c r="I4" s="52"/>
      <c r="J4" s="52"/>
      <c r="K4" s="102"/>
      <c r="L4" s="102"/>
      <c r="M4" s="102"/>
      <c r="N4" s="102"/>
      <c r="O4" s="102"/>
      <c r="P4" s="102"/>
    </row>
    <row r="5" spans="1:16" x14ac:dyDescent="0.25">
      <c r="A5" s="314">
        <f>IF(B6=0,,VLOOKUP((TRIM(B6)),SortCode,2,))</f>
        <v>0</v>
      </c>
      <c r="D5" s="329"/>
    </row>
    <row r="6" spans="1:16" x14ac:dyDescent="0.25">
      <c r="A6" s="167"/>
    </row>
    <row r="7" spans="1:16" x14ac:dyDescent="0.25">
      <c r="A7" s="316" t="s">
        <v>855</v>
      </c>
      <c r="B7" s="317" t="s">
        <v>994</v>
      </c>
      <c r="C7" s="318">
        <v>2017</v>
      </c>
      <c r="D7" s="328">
        <f>Account!G12</f>
        <v>44592</v>
      </c>
      <c r="E7" s="328">
        <f>Account!G13</f>
        <v>44620</v>
      </c>
      <c r="F7" s="328">
        <f>Account!G14</f>
        <v>44651</v>
      </c>
      <c r="G7" s="328">
        <f>Account!G15</f>
        <v>44681</v>
      </c>
      <c r="H7" s="328">
        <f>Account!G16</f>
        <v>44712</v>
      </c>
      <c r="I7" s="328">
        <f>Account!G17</f>
        <v>44742</v>
      </c>
      <c r="J7" s="328">
        <f>Account!G18</f>
        <v>44773</v>
      </c>
      <c r="K7" s="328">
        <f>Account!G19</f>
        <v>44804</v>
      </c>
      <c r="L7" s="328">
        <f>Account!G20</f>
        <v>44834</v>
      </c>
      <c r="M7" s="328">
        <f>Account!G21</f>
        <v>44865</v>
      </c>
      <c r="N7" s="328">
        <f>Account!G22</f>
        <v>44895</v>
      </c>
      <c r="O7" s="328">
        <f>Account!G23</f>
        <v>44926</v>
      </c>
      <c r="P7" s="318" t="s">
        <v>831</v>
      </c>
    </row>
    <row r="8" spans="1:16" x14ac:dyDescent="0.25">
      <c r="A8" s="14"/>
      <c r="B8" s="317"/>
      <c r="C8" s="319"/>
      <c r="D8" s="319"/>
      <c r="E8" s="319"/>
      <c r="F8" s="319"/>
      <c r="G8" s="319"/>
      <c r="H8" s="319"/>
      <c r="I8" s="319"/>
      <c r="J8" s="319"/>
      <c r="K8" s="319"/>
      <c r="L8" s="319"/>
      <c r="M8" s="319"/>
      <c r="N8" s="319"/>
      <c r="O8" s="319"/>
      <c r="P8" s="319"/>
    </row>
    <row r="9" spans="1:16" x14ac:dyDescent="0.25">
      <c r="A9" s="320" t="s">
        <v>856</v>
      </c>
      <c r="B9" s="317"/>
      <c r="C9" s="319"/>
      <c r="D9" s="319"/>
      <c r="E9" s="319"/>
      <c r="F9" s="319"/>
      <c r="G9" s="319"/>
      <c r="H9" s="319"/>
      <c r="I9" s="319"/>
      <c r="J9" s="319"/>
      <c r="K9" s="319"/>
      <c r="L9" s="319"/>
      <c r="M9" s="319"/>
      <c r="N9" s="319"/>
      <c r="O9" s="319"/>
      <c r="P9" s="319"/>
    </row>
    <row r="10" spans="1:16" x14ac:dyDescent="0.25">
      <c r="A10" s="320" t="s">
        <v>857</v>
      </c>
      <c r="B10" s="317"/>
      <c r="C10" s="319"/>
      <c r="D10" s="319"/>
      <c r="E10" s="319"/>
      <c r="F10" s="319"/>
      <c r="G10" s="319"/>
      <c r="H10" s="319"/>
      <c r="I10" s="319"/>
      <c r="J10" s="319"/>
      <c r="K10" s="319"/>
      <c r="L10" s="319"/>
      <c r="M10" s="319"/>
      <c r="N10" s="319"/>
      <c r="O10" s="319"/>
      <c r="P10" s="319"/>
    </row>
    <row r="11" spans="1:16" s="171" customFormat="1" x14ac:dyDescent="0.25">
      <c r="A11" s="321" t="s">
        <v>1007</v>
      </c>
      <c r="B11" s="317"/>
      <c r="C11" s="322">
        <f t="shared" ref="C11:C44" si="0">SUM(D11:O11)</f>
        <v>0</v>
      </c>
      <c r="D11" s="322">
        <f>D12+D13</f>
        <v>0</v>
      </c>
      <c r="E11" s="322">
        <f t="shared" ref="E11:O11" si="1">E12+E13</f>
        <v>0</v>
      </c>
      <c r="F11" s="322">
        <f t="shared" si="1"/>
        <v>0</v>
      </c>
      <c r="G11" s="322">
        <f t="shared" si="1"/>
        <v>0</v>
      </c>
      <c r="H11" s="322">
        <f t="shared" si="1"/>
        <v>0</v>
      </c>
      <c r="I11" s="322">
        <f t="shared" si="1"/>
        <v>0</v>
      </c>
      <c r="J11" s="322">
        <f t="shared" si="1"/>
        <v>0</v>
      </c>
      <c r="K11" s="322">
        <f t="shared" si="1"/>
        <v>0</v>
      </c>
      <c r="L11" s="322">
        <f t="shared" si="1"/>
        <v>0</v>
      </c>
      <c r="M11" s="322">
        <f t="shared" si="1"/>
        <v>0</v>
      </c>
      <c r="N11" s="322">
        <f t="shared" si="1"/>
        <v>0</v>
      </c>
      <c r="O11" s="322">
        <f t="shared" si="1"/>
        <v>0</v>
      </c>
      <c r="P11" s="322">
        <f>C11</f>
        <v>0</v>
      </c>
    </row>
    <row r="12" spans="1:16" x14ac:dyDescent="0.25">
      <c r="A12" s="323" t="s">
        <v>858</v>
      </c>
      <c r="B12" s="317" t="s">
        <v>125</v>
      </c>
      <c r="C12" s="319">
        <f t="shared" si="0"/>
        <v>0</v>
      </c>
      <c r="D12" s="319">
        <f t="array" ref="D12">SUM(IF((Budget[Account Code]=$B12)*(Budget[Date]=D$7),Budget[Amount]))</f>
        <v>0</v>
      </c>
      <c r="E12" s="319">
        <f t="array" ref="E12">SUM(IF((Budget[Account Code]=$B12)*(Budget[Date]=E$7),Budget[Amount]))</f>
        <v>0</v>
      </c>
      <c r="F12" s="319">
        <f t="array" ref="F12">SUM(IF((Budget[Account Code]=$B12)*(Budget[Date]=F$7),Budget[Amount]))</f>
        <v>0</v>
      </c>
      <c r="G12" s="319">
        <f t="array" ref="G12">SUM(IF((Budget[Account Code]=$B12)*(Budget[Date]=G$7),Budget[Amount]))</f>
        <v>0</v>
      </c>
      <c r="H12" s="319">
        <f t="array" ref="H12">SUM(IF((Budget[Account Code]=$B12)*(Budget[Date]=H$7),Budget[Amount]))</f>
        <v>0</v>
      </c>
      <c r="I12" s="319">
        <f t="array" ref="I12">SUM(IF((Budget[Account Code]=$B12)*(Budget[Date]=I$7),Budget[Amount]))</f>
        <v>0</v>
      </c>
      <c r="J12" s="319">
        <f t="array" ref="J12">SUM(IF((Budget[Account Code]=$B12)*(Budget[Date]=J$7),Budget[Amount]))</f>
        <v>0</v>
      </c>
      <c r="K12" s="319">
        <f t="array" ref="K12">SUM(IF((Budget[Account Code]=$B12)*(Budget[Date]=K$7),Budget[Amount]))</f>
        <v>0</v>
      </c>
      <c r="L12" s="319">
        <f t="array" ref="L12">SUM(IF((Budget[Account Code]=$B12)*(Budget[Date]=L$7),Budget[Amount]))</f>
        <v>0</v>
      </c>
      <c r="M12" s="319">
        <f t="array" ref="M12">SUM(IF((Budget[Account Code]=$B12)*(Budget[Date]=M$7),Budget[Amount]))</f>
        <v>0</v>
      </c>
      <c r="N12" s="319">
        <f t="array" ref="N12">SUM(IF((Budget[Account Code]=$B12)*(Budget[Date]=N$7),Budget[Amount]))</f>
        <v>0</v>
      </c>
      <c r="O12" s="319">
        <f t="array" ref="O12">SUM(IF((Budget[Account Code]=$B12)*(Budget[Date]=O$7),Budget[Amount]))</f>
        <v>0</v>
      </c>
      <c r="P12" s="319">
        <f t="shared" ref="P12:P75" si="2">C12</f>
        <v>0</v>
      </c>
    </row>
    <row r="13" spans="1:16" x14ac:dyDescent="0.25">
      <c r="A13" s="323" t="s">
        <v>819</v>
      </c>
      <c r="B13" s="317"/>
      <c r="C13" s="319">
        <f t="shared" si="0"/>
        <v>0</v>
      </c>
      <c r="D13" s="319">
        <f>D14+D15+D16</f>
        <v>0</v>
      </c>
      <c r="E13" s="319">
        <f t="shared" ref="E13:O13" si="3">E14+E15+E16</f>
        <v>0</v>
      </c>
      <c r="F13" s="319">
        <f t="shared" si="3"/>
        <v>0</v>
      </c>
      <c r="G13" s="319">
        <f t="shared" si="3"/>
        <v>0</v>
      </c>
      <c r="H13" s="319">
        <f t="shared" si="3"/>
        <v>0</v>
      </c>
      <c r="I13" s="319">
        <f t="shared" si="3"/>
        <v>0</v>
      </c>
      <c r="J13" s="319">
        <f t="shared" si="3"/>
        <v>0</v>
      </c>
      <c r="K13" s="319">
        <f t="shared" si="3"/>
        <v>0</v>
      </c>
      <c r="L13" s="319">
        <f t="shared" si="3"/>
        <v>0</v>
      </c>
      <c r="M13" s="319">
        <f t="shared" si="3"/>
        <v>0</v>
      </c>
      <c r="N13" s="319">
        <f t="shared" si="3"/>
        <v>0</v>
      </c>
      <c r="O13" s="319">
        <f t="shared" si="3"/>
        <v>0</v>
      </c>
      <c r="P13" s="319">
        <f t="shared" si="2"/>
        <v>0</v>
      </c>
    </row>
    <row r="14" spans="1:16" x14ac:dyDescent="0.25">
      <c r="A14" s="323" t="s">
        <v>859</v>
      </c>
      <c r="B14" s="317" t="s">
        <v>126</v>
      </c>
      <c r="C14" s="319">
        <f t="shared" si="0"/>
        <v>0</v>
      </c>
      <c r="D14" s="319">
        <f t="array" ref="D14">SUM(IF((Budget[Account Code]=$B14)*(Budget[Date]=D$7),Budget[Amount]))</f>
        <v>0</v>
      </c>
      <c r="E14" s="319">
        <f t="array" ref="E14">SUM(IF((Budget[Account Code]=$B14)*(Budget[Date]=E$7),Budget[Amount]))</f>
        <v>0</v>
      </c>
      <c r="F14" s="319">
        <f t="array" ref="F14">SUM(IF((Budget[Account Code]=$B14)*(Budget[Date]=F$7),Budget[Amount]))</f>
        <v>0</v>
      </c>
      <c r="G14" s="319">
        <f t="array" ref="G14">SUM(IF((Budget[Account Code]=$B14)*(Budget[Date]=G$7),Budget[Amount]))</f>
        <v>0</v>
      </c>
      <c r="H14" s="319">
        <f t="array" ref="H14">SUM(IF((Budget[Account Code]=$B14)*(Budget[Date]=H$7),Budget[Amount]))</f>
        <v>0</v>
      </c>
      <c r="I14" s="319">
        <f t="array" ref="I14">SUM(IF((Budget[Account Code]=$B14)*(Budget[Date]=I$7),Budget[Amount]))</f>
        <v>0</v>
      </c>
      <c r="J14" s="319">
        <f t="array" ref="J14">SUM(IF((Budget[Account Code]=$B14)*(Budget[Date]=J$7),Budget[Amount]))</f>
        <v>0</v>
      </c>
      <c r="K14" s="319">
        <f t="array" ref="K14">SUM(IF((Budget[Account Code]=$B14)*(Budget[Date]=K$7),Budget[Amount]))</f>
        <v>0</v>
      </c>
      <c r="L14" s="319">
        <f t="array" ref="L14">SUM(IF((Budget[Account Code]=$B14)*(Budget[Date]=L$7),Budget[Amount]))</f>
        <v>0</v>
      </c>
      <c r="M14" s="319">
        <f t="array" ref="M14">SUM(IF((Budget[Account Code]=$B14)*(Budget[Date]=M$7),Budget[Amount]))</f>
        <v>0</v>
      </c>
      <c r="N14" s="319">
        <f t="array" ref="N14">SUM(IF((Budget[Account Code]=$B14)*(Budget[Date]=N$7),Budget[Amount]))</f>
        <v>0</v>
      </c>
      <c r="O14" s="319">
        <f t="array" ref="O14">SUM(IF((Budget[Account Code]=$B14)*(Budget[Date]=O$7),Budget[Amount]))</f>
        <v>0</v>
      </c>
      <c r="P14" s="319">
        <f t="shared" si="2"/>
        <v>0</v>
      </c>
    </row>
    <row r="15" spans="1:16" x14ac:dyDescent="0.25">
      <c r="A15" s="323" t="s">
        <v>860</v>
      </c>
      <c r="B15" s="317" t="s">
        <v>721</v>
      </c>
      <c r="C15" s="319">
        <f t="shared" si="0"/>
        <v>0</v>
      </c>
      <c r="D15" s="319">
        <f t="array" ref="D15">SUM(IF((Budget[Account Code]=$B15)*(Budget[Date]=D$7),Budget[Amount]))</f>
        <v>0</v>
      </c>
      <c r="E15" s="319">
        <f t="array" ref="E15">SUM(IF((Budget[Account Code]=$B15)*(Budget[Date]=E$7),Budget[Amount]))</f>
        <v>0</v>
      </c>
      <c r="F15" s="319">
        <f t="array" ref="F15">SUM(IF((Budget[Account Code]=$B15)*(Budget[Date]=F$7),Budget[Amount]))</f>
        <v>0</v>
      </c>
      <c r="G15" s="319">
        <f t="array" ref="G15">SUM(IF((Budget[Account Code]=$B15)*(Budget[Date]=G$7),Budget[Amount]))</f>
        <v>0</v>
      </c>
      <c r="H15" s="319">
        <f t="array" ref="H15">SUM(IF((Budget[Account Code]=$B15)*(Budget[Date]=H$7),Budget[Amount]))</f>
        <v>0</v>
      </c>
      <c r="I15" s="319">
        <f t="array" ref="I15">SUM(IF((Budget[Account Code]=$B15)*(Budget[Date]=I$7),Budget[Amount]))</f>
        <v>0</v>
      </c>
      <c r="J15" s="319">
        <f t="array" ref="J15">SUM(IF((Budget[Account Code]=$B15)*(Budget[Date]=J$7),Budget[Amount]))</f>
        <v>0</v>
      </c>
      <c r="K15" s="319">
        <f t="array" ref="K15">SUM(IF((Budget[Account Code]=$B15)*(Budget[Date]=K$7),Budget[Amount]))</f>
        <v>0</v>
      </c>
      <c r="L15" s="319">
        <f t="array" ref="L15">SUM(IF((Budget[Account Code]=$B15)*(Budget[Date]=L$7),Budget[Amount]))</f>
        <v>0</v>
      </c>
      <c r="M15" s="319">
        <f t="array" ref="M15">SUM(IF((Budget[Account Code]=$B15)*(Budget[Date]=M$7),Budget[Amount]))</f>
        <v>0</v>
      </c>
      <c r="N15" s="319">
        <f t="array" ref="N15">SUM(IF((Budget[Account Code]=$B15)*(Budget[Date]=N$7),Budget[Amount]))</f>
        <v>0</v>
      </c>
      <c r="O15" s="319">
        <f t="array" ref="O15">SUM(IF((Budget[Account Code]=$B15)*(Budget[Date]=O$7),Budget[Amount]))</f>
        <v>0</v>
      </c>
      <c r="P15" s="319">
        <f t="shared" si="2"/>
        <v>0</v>
      </c>
    </row>
    <row r="16" spans="1:16" x14ac:dyDescent="0.25">
      <c r="A16" s="323" t="s">
        <v>861</v>
      </c>
      <c r="B16" s="317" t="s">
        <v>143</v>
      </c>
      <c r="C16" s="319">
        <f t="shared" si="0"/>
        <v>0</v>
      </c>
      <c r="D16" s="319">
        <f t="array" ref="D16">SUM(IF((Budget[Account Code]=$B16)*(Budget[Date]=D$7),Budget[Amount]))</f>
        <v>0</v>
      </c>
      <c r="E16" s="319">
        <f t="array" ref="E16">SUM(IF((Budget[Account Code]=$B16)*(Budget[Date]=E$7),Budget[Amount]))</f>
        <v>0</v>
      </c>
      <c r="F16" s="319">
        <f t="array" ref="F16">SUM(IF((Budget[Account Code]=$B16)*(Budget[Date]=F$7),Budget[Amount]))</f>
        <v>0</v>
      </c>
      <c r="G16" s="319">
        <f t="array" ref="G16">SUM(IF((Budget[Account Code]=$B16)*(Budget[Date]=G$7),Budget[Amount]))</f>
        <v>0</v>
      </c>
      <c r="H16" s="319">
        <f t="array" ref="H16">SUM(IF((Budget[Account Code]=$B16)*(Budget[Date]=H$7),Budget[Amount]))</f>
        <v>0</v>
      </c>
      <c r="I16" s="319">
        <f t="array" ref="I16">SUM(IF((Budget[Account Code]=$B16)*(Budget[Date]=I$7),Budget[Amount]))</f>
        <v>0</v>
      </c>
      <c r="J16" s="319">
        <f t="array" ref="J16">SUM(IF((Budget[Account Code]=$B16)*(Budget[Date]=J$7),Budget[Amount]))</f>
        <v>0</v>
      </c>
      <c r="K16" s="319">
        <f t="array" ref="K16">SUM(IF((Budget[Account Code]=$B16)*(Budget[Date]=K$7),Budget[Amount]))</f>
        <v>0</v>
      </c>
      <c r="L16" s="319">
        <f t="array" ref="L16">SUM(IF((Budget[Account Code]=$B16)*(Budget[Date]=L$7),Budget[Amount]))</f>
        <v>0</v>
      </c>
      <c r="M16" s="319">
        <f t="array" ref="M16">SUM(IF((Budget[Account Code]=$B16)*(Budget[Date]=M$7),Budget[Amount]))</f>
        <v>0</v>
      </c>
      <c r="N16" s="319">
        <f t="array" ref="N16">SUM(IF((Budget[Account Code]=$B16)*(Budget[Date]=N$7),Budget[Amount]))</f>
        <v>0</v>
      </c>
      <c r="O16" s="319">
        <f t="array" ref="O16">SUM(IF((Budget[Account Code]=$B16)*(Budget[Date]=O$7),Budget[Amount]))</f>
        <v>0</v>
      </c>
      <c r="P16" s="319">
        <f t="shared" si="2"/>
        <v>0</v>
      </c>
    </row>
    <row r="17" spans="1:16" s="171" customFormat="1" x14ac:dyDescent="0.25">
      <c r="A17" s="321" t="s">
        <v>862</v>
      </c>
      <c r="B17" s="317"/>
      <c r="C17" s="322">
        <f t="shared" si="0"/>
        <v>0</v>
      </c>
      <c r="D17" s="322">
        <f>D18+D19</f>
        <v>0</v>
      </c>
      <c r="E17" s="322">
        <f t="shared" ref="E17:O17" si="4">E18+E19</f>
        <v>0</v>
      </c>
      <c r="F17" s="322">
        <f t="shared" si="4"/>
        <v>0</v>
      </c>
      <c r="G17" s="322">
        <f t="shared" si="4"/>
        <v>0</v>
      </c>
      <c r="H17" s="322">
        <f t="shared" si="4"/>
        <v>0</v>
      </c>
      <c r="I17" s="322">
        <f t="shared" si="4"/>
        <v>0</v>
      </c>
      <c r="J17" s="322">
        <f t="shared" si="4"/>
        <v>0</v>
      </c>
      <c r="K17" s="322">
        <f t="shared" si="4"/>
        <v>0</v>
      </c>
      <c r="L17" s="322">
        <f t="shared" si="4"/>
        <v>0</v>
      </c>
      <c r="M17" s="322">
        <f t="shared" si="4"/>
        <v>0</v>
      </c>
      <c r="N17" s="322">
        <f t="shared" si="4"/>
        <v>0</v>
      </c>
      <c r="O17" s="322">
        <f t="shared" si="4"/>
        <v>0</v>
      </c>
      <c r="P17" s="322">
        <f t="shared" si="2"/>
        <v>0</v>
      </c>
    </row>
    <row r="18" spans="1:16" x14ac:dyDescent="0.25">
      <c r="A18" s="323" t="s">
        <v>863</v>
      </c>
      <c r="B18" s="317" t="s">
        <v>146</v>
      </c>
      <c r="C18" s="319">
        <f t="shared" si="0"/>
        <v>0</v>
      </c>
      <c r="D18" s="319">
        <f t="array" ref="D18">SUM(IF((Budget[Account Code]=$B18)*(Budget[Date]=D$7),Budget[Amount]))</f>
        <v>0</v>
      </c>
      <c r="E18" s="319">
        <f t="array" ref="E18">SUM(IF((Budget[Account Code]=$B18)*(Budget[Date]=E$7),Budget[Amount]))</f>
        <v>0</v>
      </c>
      <c r="F18" s="319">
        <f t="array" ref="F18">SUM(IF((Budget[Account Code]=$B18)*(Budget[Date]=F$7),Budget[Amount]))</f>
        <v>0</v>
      </c>
      <c r="G18" s="319">
        <f t="array" ref="G18">SUM(IF((Budget[Account Code]=$B18)*(Budget[Date]=G$7),Budget[Amount]))</f>
        <v>0</v>
      </c>
      <c r="H18" s="319">
        <f t="array" ref="H18">SUM(IF((Budget[Account Code]=$B18)*(Budget[Date]=H$7),Budget[Amount]))</f>
        <v>0</v>
      </c>
      <c r="I18" s="319">
        <f t="array" ref="I18">SUM(IF((Budget[Account Code]=$B18)*(Budget[Date]=I$7),Budget[Amount]))</f>
        <v>0</v>
      </c>
      <c r="J18" s="319">
        <f t="array" ref="J18">SUM(IF((Budget[Account Code]=$B18)*(Budget[Date]=J$7),Budget[Amount]))</f>
        <v>0</v>
      </c>
      <c r="K18" s="319">
        <f t="array" ref="K18">SUM(IF((Budget[Account Code]=$B18)*(Budget[Date]=K$7),Budget[Amount]))</f>
        <v>0</v>
      </c>
      <c r="L18" s="319">
        <f t="array" ref="L18">SUM(IF((Budget[Account Code]=$B18)*(Budget[Date]=L$7),Budget[Amount]))</f>
        <v>0</v>
      </c>
      <c r="M18" s="319">
        <f t="array" ref="M18">SUM(IF((Budget[Account Code]=$B18)*(Budget[Date]=M$7),Budget[Amount]))</f>
        <v>0</v>
      </c>
      <c r="N18" s="319">
        <f t="array" ref="N18">SUM(IF((Budget[Account Code]=$B18)*(Budget[Date]=N$7),Budget[Amount]))</f>
        <v>0</v>
      </c>
      <c r="O18" s="319">
        <f t="array" ref="O18">SUM(IF((Budget[Account Code]=$B18)*(Budget[Date]=O$7),Budget[Amount]))</f>
        <v>0</v>
      </c>
      <c r="P18" s="319">
        <f t="shared" si="2"/>
        <v>0</v>
      </c>
    </row>
    <row r="19" spans="1:16" x14ac:dyDescent="0.25">
      <c r="A19" s="323" t="s">
        <v>864</v>
      </c>
      <c r="B19" s="317" t="s">
        <v>147</v>
      </c>
      <c r="C19" s="319">
        <f t="shared" si="0"/>
        <v>0</v>
      </c>
      <c r="D19" s="319">
        <f t="array" ref="D19">SUM(IF((Budget[Account Code]=$B19)*(Budget[Date]=D$7),Budget[Amount]))</f>
        <v>0</v>
      </c>
      <c r="E19" s="319">
        <f t="array" ref="E19">SUM(IF((Budget[Account Code]=$B19)*(Budget[Date]=E$7),Budget[Amount]))</f>
        <v>0</v>
      </c>
      <c r="F19" s="319">
        <f t="array" ref="F19">SUM(IF((Budget[Account Code]=$B19)*(Budget[Date]=F$7),Budget[Amount]))</f>
        <v>0</v>
      </c>
      <c r="G19" s="319">
        <f t="array" ref="G19">SUM(IF((Budget[Account Code]=$B19)*(Budget[Date]=G$7),Budget[Amount]))</f>
        <v>0</v>
      </c>
      <c r="H19" s="319">
        <f t="array" ref="H19">SUM(IF((Budget[Account Code]=$B19)*(Budget[Date]=H$7),Budget[Amount]))</f>
        <v>0</v>
      </c>
      <c r="I19" s="319">
        <f t="array" ref="I19">SUM(IF((Budget[Account Code]=$B19)*(Budget[Date]=I$7),Budget[Amount]))</f>
        <v>0</v>
      </c>
      <c r="J19" s="319">
        <f t="array" ref="J19">SUM(IF((Budget[Account Code]=$B19)*(Budget[Date]=J$7),Budget[Amount]))</f>
        <v>0</v>
      </c>
      <c r="K19" s="319">
        <f t="array" ref="K19">SUM(IF((Budget[Account Code]=$B19)*(Budget[Date]=K$7),Budget[Amount]))</f>
        <v>0</v>
      </c>
      <c r="L19" s="319">
        <f t="array" ref="L19">SUM(IF((Budget[Account Code]=$B19)*(Budget[Date]=L$7),Budget[Amount]))</f>
        <v>0</v>
      </c>
      <c r="M19" s="319">
        <f t="array" ref="M19">SUM(IF((Budget[Account Code]=$B19)*(Budget[Date]=M$7),Budget[Amount]))</f>
        <v>0</v>
      </c>
      <c r="N19" s="319">
        <f t="array" ref="N19">SUM(IF((Budget[Account Code]=$B19)*(Budget[Date]=N$7),Budget[Amount]))</f>
        <v>0</v>
      </c>
      <c r="O19" s="319">
        <f t="array" ref="O19">SUM(IF((Budget[Account Code]=$B19)*(Budget[Date]=O$7),Budget[Amount]))</f>
        <v>0</v>
      </c>
      <c r="P19" s="319">
        <f t="shared" si="2"/>
        <v>0</v>
      </c>
    </row>
    <row r="20" spans="1:16" s="171" customFormat="1" x14ac:dyDescent="0.25">
      <c r="A20" s="321" t="s">
        <v>825</v>
      </c>
      <c r="B20" s="317"/>
      <c r="C20" s="322">
        <f t="shared" si="0"/>
        <v>0</v>
      </c>
      <c r="D20" s="322">
        <f>D21+D22</f>
        <v>0</v>
      </c>
      <c r="E20" s="322">
        <f t="shared" ref="E20:O20" si="5">E21+E22</f>
        <v>0</v>
      </c>
      <c r="F20" s="322">
        <f t="shared" si="5"/>
        <v>0</v>
      </c>
      <c r="G20" s="322">
        <f t="shared" si="5"/>
        <v>0</v>
      </c>
      <c r="H20" s="322">
        <f t="shared" si="5"/>
        <v>0</v>
      </c>
      <c r="I20" s="322">
        <f t="shared" si="5"/>
        <v>0</v>
      </c>
      <c r="J20" s="322">
        <f t="shared" si="5"/>
        <v>0</v>
      </c>
      <c r="K20" s="322">
        <f t="shared" si="5"/>
        <v>0</v>
      </c>
      <c r="L20" s="322">
        <f t="shared" si="5"/>
        <v>0</v>
      </c>
      <c r="M20" s="322">
        <f t="shared" si="5"/>
        <v>0</v>
      </c>
      <c r="N20" s="322">
        <f t="shared" si="5"/>
        <v>0</v>
      </c>
      <c r="O20" s="322">
        <f t="shared" si="5"/>
        <v>0</v>
      </c>
      <c r="P20" s="322">
        <f t="shared" si="2"/>
        <v>0</v>
      </c>
    </row>
    <row r="21" spans="1:16" x14ac:dyDescent="0.25">
      <c r="A21" s="323" t="s">
        <v>858</v>
      </c>
      <c r="B21" s="317" t="s">
        <v>131</v>
      </c>
      <c r="C21" s="319">
        <f t="shared" si="0"/>
        <v>0</v>
      </c>
      <c r="D21" s="319">
        <f t="array" ref="D21">SUM(IF((Budget[Account Code]=$B21)*(Budget[Date]=D$7),Budget[Amount]))</f>
        <v>0</v>
      </c>
      <c r="E21" s="319">
        <f t="array" ref="E21">SUM(IF((Budget[Account Code]=$B21)*(Budget[Date]=E$7),Budget[Amount]))</f>
        <v>0</v>
      </c>
      <c r="F21" s="319">
        <f t="array" ref="F21">SUM(IF((Budget[Account Code]=$B21)*(Budget[Date]=F$7),Budget[Amount]))</f>
        <v>0</v>
      </c>
      <c r="G21" s="319">
        <f t="array" ref="G21">SUM(IF((Budget[Account Code]=$B21)*(Budget[Date]=G$7),Budget[Amount]))</f>
        <v>0</v>
      </c>
      <c r="H21" s="319">
        <f t="array" ref="H21">SUM(IF((Budget[Account Code]=$B21)*(Budget[Date]=H$7),Budget[Amount]))</f>
        <v>0</v>
      </c>
      <c r="I21" s="319">
        <f t="array" ref="I21">SUM(IF((Budget[Account Code]=$B21)*(Budget[Date]=I$7),Budget[Amount]))</f>
        <v>0</v>
      </c>
      <c r="J21" s="319">
        <f t="array" ref="J21">SUM(IF((Budget[Account Code]=$B21)*(Budget[Date]=J$7),Budget[Amount]))</f>
        <v>0</v>
      </c>
      <c r="K21" s="319">
        <f t="array" ref="K21">SUM(IF((Budget[Account Code]=$B21)*(Budget[Date]=K$7),Budget[Amount]))</f>
        <v>0</v>
      </c>
      <c r="L21" s="319">
        <f t="array" ref="L21">SUM(IF((Budget[Account Code]=$B21)*(Budget[Date]=L$7),Budget[Amount]))</f>
        <v>0</v>
      </c>
      <c r="M21" s="319">
        <f t="array" ref="M21">SUM(IF((Budget[Account Code]=$B21)*(Budget[Date]=M$7),Budget[Amount]))</f>
        <v>0</v>
      </c>
      <c r="N21" s="319">
        <f t="array" ref="N21">SUM(IF((Budget[Account Code]=$B21)*(Budget[Date]=N$7),Budget[Amount]))</f>
        <v>0</v>
      </c>
      <c r="O21" s="319">
        <f t="array" ref="O21">SUM(IF((Budget[Account Code]=$B21)*(Budget[Date]=O$7),Budget[Amount]))</f>
        <v>0</v>
      </c>
      <c r="P21" s="319">
        <f t="shared" si="2"/>
        <v>0</v>
      </c>
    </row>
    <row r="22" spans="1:16" x14ac:dyDescent="0.25">
      <c r="A22" s="323" t="s">
        <v>819</v>
      </c>
      <c r="B22" s="317"/>
      <c r="C22" s="319">
        <f t="shared" si="0"/>
        <v>0</v>
      </c>
      <c r="D22" s="319">
        <f t="array" ref="D22">SUM(IF((Budget[Account Code]=$B22)*(Budget[Date]=D$7),Budget[Amount]))</f>
        <v>0</v>
      </c>
      <c r="E22" s="319">
        <f t="array" ref="E22">SUM(IF((Budget[Account Code]=$B22)*(Budget[Date]=E$7),Budget[Amount]))</f>
        <v>0</v>
      </c>
      <c r="F22" s="319">
        <f t="array" ref="F22">SUM(IF((Budget[Account Code]=$B22)*(Budget[Date]=F$7),Budget[Amount]))</f>
        <v>0</v>
      </c>
      <c r="G22" s="319">
        <f t="array" ref="G22">SUM(IF((Budget[Account Code]=$B22)*(Budget[Date]=G$7),Budget[Amount]))</f>
        <v>0</v>
      </c>
      <c r="H22" s="319">
        <f t="array" ref="H22">SUM(IF((Budget[Account Code]=$B22)*(Budget[Date]=H$7),Budget[Amount]))</f>
        <v>0</v>
      </c>
      <c r="I22" s="319">
        <f t="array" ref="I22">SUM(IF((Budget[Account Code]=$B22)*(Budget[Date]=I$7),Budget[Amount]))</f>
        <v>0</v>
      </c>
      <c r="J22" s="319">
        <f t="array" ref="J22">SUM(IF((Budget[Account Code]=$B22)*(Budget[Date]=J$7),Budget[Amount]))</f>
        <v>0</v>
      </c>
      <c r="K22" s="319">
        <f t="array" ref="K22">SUM(IF((Budget[Account Code]=$B22)*(Budget[Date]=K$7),Budget[Amount]))</f>
        <v>0</v>
      </c>
      <c r="L22" s="319">
        <f t="array" ref="L22">SUM(IF((Budget[Account Code]=$B22)*(Budget[Date]=L$7),Budget[Amount]))</f>
        <v>0</v>
      </c>
      <c r="M22" s="319">
        <f t="array" ref="M22">SUM(IF((Budget[Account Code]=$B22)*(Budget[Date]=M$7),Budget[Amount]))</f>
        <v>0</v>
      </c>
      <c r="N22" s="319">
        <f t="array" ref="N22">SUM(IF((Budget[Account Code]=$B22)*(Budget[Date]=N$7),Budget[Amount]))</f>
        <v>0</v>
      </c>
      <c r="O22" s="319">
        <f t="array" ref="O22">SUM(IF((Budget[Account Code]=$B22)*(Budget[Date]=O$7),Budget[Amount]))</f>
        <v>0</v>
      </c>
      <c r="P22" s="319">
        <f t="shared" si="2"/>
        <v>0</v>
      </c>
    </row>
    <row r="23" spans="1:16" x14ac:dyDescent="0.25">
      <c r="A23" s="319" t="s">
        <v>831</v>
      </c>
      <c r="B23" s="324"/>
      <c r="C23" s="319">
        <f t="shared" si="0"/>
        <v>0</v>
      </c>
      <c r="D23" s="319">
        <f t="shared" ref="D23:O23" si="6">D11+D17+D20</f>
        <v>0</v>
      </c>
      <c r="E23" s="319">
        <f t="shared" si="6"/>
        <v>0</v>
      </c>
      <c r="F23" s="319">
        <f t="shared" si="6"/>
        <v>0</v>
      </c>
      <c r="G23" s="319">
        <f t="shared" si="6"/>
        <v>0</v>
      </c>
      <c r="H23" s="319">
        <f t="shared" si="6"/>
        <v>0</v>
      </c>
      <c r="I23" s="319">
        <f t="shared" si="6"/>
        <v>0</v>
      </c>
      <c r="J23" s="319">
        <f t="shared" si="6"/>
        <v>0</v>
      </c>
      <c r="K23" s="319">
        <f t="shared" si="6"/>
        <v>0</v>
      </c>
      <c r="L23" s="319">
        <f t="shared" si="6"/>
        <v>0</v>
      </c>
      <c r="M23" s="319">
        <f t="shared" si="6"/>
        <v>0</v>
      </c>
      <c r="N23" s="319">
        <f t="shared" si="6"/>
        <v>0</v>
      </c>
      <c r="O23" s="319">
        <f t="shared" si="6"/>
        <v>0</v>
      </c>
      <c r="P23" s="319">
        <f t="shared" si="2"/>
        <v>0</v>
      </c>
    </row>
    <row r="24" spans="1:16" x14ac:dyDescent="0.25">
      <c r="A24" s="320" t="s">
        <v>865</v>
      </c>
      <c r="B24" s="317"/>
      <c r="C24" s="319"/>
      <c r="D24" s="319"/>
      <c r="E24" s="319"/>
      <c r="F24" s="319"/>
      <c r="G24" s="319"/>
      <c r="H24" s="319"/>
      <c r="I24" s="319"/>
      <c r="J24" s="319"/>
      <c r="K24" s="319"/>
      <c r="L24" s="319"/>
      <c r="M24" s="319"/>
      <c r="N24" s="319"/>
      <c r="O24" s="319"/>
      <c r="P24" s="319">
        <f t="shared" si="2"/>
        <v>0</v>
      </c>
    </row>
    <row r="25" spans="1:16" s="171" customFormat="1" x14ac:dyDescent="0.25">
      <c r="A25" s="321" t="s">
        <v>866</v>
      </c>
      <c r="B25" s="317"/>
      <c r="C25" s="322">
        <f t="shared" si="0"/>
        <v>0</v>
      </c>
      <c r="D25" s="322">
        <v>0</v>
      </c>
      <c r="E25" s="322">
        <v>0</v>
      </c>
      <c r="F25" s="322">
        <v>0</v>
      </c>
      <c r="G25" s="322">
        <v>0</v>
      </c>
      <c r="H25" s="322">
        <v>0</v>
      </c>
      <c r="I25" s="322">
        <v>0</v>
      </c>
      <c r="J25" s="322">
        <v>0</v>
      </c>
      <c r="K25" s="322">
        <v>0</v>
      </c>
      <c r="L25" s="322">
        <v>0</v>
      </c>
      <c r="M25" s="322">
        <v>0</v>
      </c>
      <c r="N25" s="322">
        <v>0</v>
      </c>
      <c r="O25" s="322">
        <v>0</v>
      </c>
      <c r="P25" s="322">
        <f t="shared" si="2"/>
        <v>0</v>
      </c>
    </row>
    <row r="26" spans="1:16" s="171" customFormat="1" x14ac:dyDescent="0.25">
      <c r="A26" s="321" t="s">
        <v>867</v>
      </c>
      <c r="B26" s="317"/>
      <c r="C26" s="322">
        <f t="shared" si="0"/>
        <v>0</v>
      </c>
      <c r="D26" s="322">
        <v>0</v>
      </c>
      <c r="E26" s="322">
        <v>0</v>
      </c>
      <c r="F26" s="322">
        <v>0</v>
      </c>
      <c r="G26" s="322">
        <v>0</v>
      </c>
      <c r="H26" s="322">
        <v>0</v>
      </c>
      <c r="I26" s="322">
        <v>0</v>
      </c>
      <c r="J26" s="322">
        <v>0</v>
      </c>
      <c r="K26" s="322">
        <v>0</v>
      </c>
      <c r="L26" s="322">
        <v>0</v>
      </c>
      <c r="M26" s="322">
        <v>0</v>
      </c>
      <c r="N26" s="322">
        <v>0</v>
      </c>
      <c r="O26" s="322">
        <v>0</v>
      </c>
      <c r="P26" s="322">
        <f t="shared" si="2"/>
        <v>0</v>
      </c>
    </row>
    <row r="27" spans="1:16" s="171" customFormat="1" x14ac:dyDescent="0.25">
      <c r="A27" s="321" t="s">
        <v>997</v>
      </c>
      <c r="B27" s="317"/>
      <c r="C27" s="322">
        <f t="shared" si="0"/>
        <v>0</v>
      </c>
      <c r="D27" s="322">
        <v>0</v>
      </c>
      <c r="E27" s="322">
        <v>0</v>
      </c>
      <c r="F27" s="322">
        <v>0</v>
      </c>
      <c r="G27" s="322">
        <v>0</v>
      </c>
      <c r="H27" s="322">
        <v>0</v>
      </c>
      <c r="I27" s="322">
        <v>0</v>
      </c>
      <c r="J27" s="322">
        <v>0</v>
      </c>
      <c r="K27" s="322">
        <v>0</v>
      </c>
      <c r="L27" s="322">
        <v>0</v>
      </c>
      <c r="M27" s="322">
        <v>0</v>
      </c>
      <c r="N27" s="322">
        <v>0</v>
      </c>
      <c r="O27" s="322">
        <v>0</v>
      </c>
      <c r="P27" s="322">
        <f t="shared" si="2"/>
        <v>0</v>
      </c>
    </row>
    <row r="28" spans="1:16" s="171" customFormat="1" x14ac:dyDescent="0.25">
      <c r="A28" s="321" t="s">
        <v>998</v>
      </c>
      <c r="B28" s="317"/>
      <c r="C28" s="322">
        <f t="shared" si="0"/>
        <v>0</v>
      </c>
      <c r="D28" s="322">
        <v>0</v>
      </c>
      <c r="E28" s="322">
        <v>0</v>
      </c>
      <c r="F28" s="322">
        <v>0</v>
      </c>
      <c r="G28" s="322">
        <v>0</v>
      </c>
      <c r="H28" s="322">
        <v>0</v>
      </c>
      <c r="I28" s="322">
        <v>0</v>
      </c>
      <c r="J28" s="322">
        <v>0</v>
      </c>
      <c r="K28" s="322">
        <v>0</v>
      </c>
      <c r="L28" s="322">
        <v>0</v>
      </c>
      <c r="M28" s="322">
        <v>0</v>
      </c>
      <c r="N28" s="322">
        <v>0</v>
      </c>
      <c r="O28" s="322">
        <v>0</v>
      </c>
      <c r="P28" s="322">
        <f t="shared" si="2"/>
        <v>0</v>
      </c>
    </row>
    <row r="29" spans="1:16" s="171" customFormat="1" x14ac:dyDescent="0.25">
      <c r="A29" s="321" t="s">
        <v>868</v>
      </c>
      <c r="B29" s="317"/>
      <c r="C29" s="322">
        <f t="shared" si="0"/>
        <v>0</v>
      </c>
      <c r="D29" s="322">
        <v>0</v>
      </c>
      <c r="E29" s="322">
        <v>0</v>
      </c>
      <c r="F29" s="322">
        <v>0</v>
      </c>
      <c r="G29" s="322">
        <v>0</v>
      </c>
      <c r="H29" s="322">
        <v>0</v>
      </c>
      <c r="I29" s="322">
        <v>0</v>
      </c>
      <c r="J29" s="322">
        <v>0</v>
      </c>
      <c r="K29" s="322">
        <v>0</v>
      </c>
      <c r="L29" s="322">
        <v>0</v>
      </c>
      <c r="M29" s="322">
        <v>0</v>
      </c>
      <c r="N29" s="322">
        <v>0</v>
      </c>
      <c r="O29" s="322">
        <v>0</v>
      </c>
      <c r="P29" s="322">
        <f t="shared" si="2"/>
        <v>0</v>
      </c>
    </row>
    <row r="30" spans="1:16" s="171" customFormat="1" x14ac:dyDescent="0.25">
      <c r="A30" s="321" t="s">
        <v>999</v>
      </c>
      <c r="B30" s="317"/>
      <c r="C30" s="322">
        <f t="shared" si="0"/>
        <v>0</v>
      </c>
      <c r="D30" s="322">
        <f>D31+D32</f>
        <v>0</v>
      </c>
      <c r="E30" s="322">
        <f t="shared" ref="E30:O30" si="7">E31+E32</f>
        <v>0</v>
      </c>
      <c r="F30" s="322">
        <f t="shared" si="7"/>
        <v>0</v>
      </c>
      <c r="G30" s="322">
        <f t="shared" si="7"/>
        <v>0</v>
      </c>
      <c r="H30" s="322">
        <f t="shared" si="7"/>
        <v>0</v>
      </c>
      <c r="I30" s="322">
        <f t="shared" si="7"/>
        <v>0</v>
      </c>
      <c r="J30" s="322">
        <f t="shared" si="7"/>
        <v>0</v>
      </c>
      <c r="K30" s="322">
        <f t="shared" si="7"/>
        <v>0</v>
      </c>
      <c r="L30" s="322">
        <f t="shared" si="7"/>
        <v>0</v>
      </c>
      <c r="M30" s="322">
        <f t="shared" si="7"/>
        <v>0</v>
      </c>
      <c r="N30" s="322">
        <f t="shared" si="7"/>
        <v>0</v>
      </c>
      <c r="O30" s="322">
        <f t="shared" si="7"/>
        <v>0</v>
      </c>
      <c r="P30" s="322">
        <f t="shared" si="2"/>
        <v>0</v>
      </c>
    </row>
    <row r="31" spans="1:16" x14ac:dyDescent="0.25">
      <c r="A31" s="323" t="s">
        <v>858</v>
      </c>
      <c r="B31" s="317" t="s">
        <v>128</v>
      </c>
      <c r="C31" s="319">
        <f t="shared" si="0"/>
        <v>0</v>
      </c>
      <c r="D31" s="319">
        <f t="array" ref="D31">SUM(IF((Budget[Account Code]=$B31)*(Budget[Date]=D$7),Budget[Amount]))</f>
        <v>0</v>
      </c>
      <c r="E31" s="319">
        <f t="array" ref="E31">SUM(IF((Budget[Account Code]=$B31)*(Budget[Date]=E$7),Budget[Amount]))</f>
        <v>0</v>
      </c>
      <c r="F31" s="319">
        <f t="array" ref="F31">SUM(IF((Budget[Account Code]=$B31)*(Budget[Date]=F$7),Budget[Amount]))</f>
        <v>0</v>
      </c>
      <c r="G31" s="319">
        <f t="array" ref="G31">SUM(IF((Budget[Account Code]=$B31)*(Budget[Date]=G$7),Budget[Amount]))</f>
        <v>0</v>
      </c>
      <c r="H31" s="319">
        <f t="array" ref="H31">SUM(IF((Budget[Account Code]=$B31)*(Budget[Date]=H$7),Budget[Amount]))</f>
        <v>0</v>
      </c>
      <c r="I31" s="319">
        <f t="array" ref="I31">SUM(IF((Budget[Account Code]=$B31)*(Budget[Date]=I$7),Budget[Amount]))</f>
        <v>0</v>
      </c>
      <c r="J31" s="319">
        <f t="array" ref="J31">SUM(IF((Budget[Account Code]=$B31)*(Budget[Date]=J$7),Budget[Amount]))</f>
        <v>0</v>
      </c>
      <c r="K31" s="319">
        <f t="array" ref="K31">SUM(IF((Budget[Account Code]=$B31)*(Budget[Date]=K$7),Budget[Amount]))</f>
        <v>0</v>
      </c>
      <c r="L31" s="319">
        <f t="array" ref="L31">SUM(IF((Budget[Account Code]=$B31)*(Budget[Date]=L$7),Budget[Amount]))</f>
        <v>0</v>
      </c>
      <c r="M31" s="319">
        <f t="array" ref="M31">SUM(IF((Budget[Account Code]=$B31)*(Budget[Date]=M$7),Budget[Amount]))</f>
        <v>0</v>
      </c>
      <c r="N31" s="319">
        <f t="array" ref="N31">SUM(IF((Budget[Account Code]=$B31)*(Budget[Date]=N$7),Budget[Amount]))</f>
        <v>0</v>
      </c>
      <c r="O31" s="319">
        <f t="array" ref="O31">SUM(IF((Budget[Account Code]=$B31)*(Budget[Date]=O$7),Budget[Amount]))</f>
        <v>0</v>
      </c>
      <c r="P31" s="319">
        <f t="shared" si="2"/>
        <v>0</v>
      </c>
    </row>
    <row r="32" spans="1:16" x14ac:dyDescent="0.25">
      <c r="A32" s="323" t="s">
        <v>819</v>
      </c>
      <c r="B32" s="317" t="s">
        <v>129</v>
      </c>
      <c r="C32" s="319">
        <f t="shared" si="0"/>
        <v>0</v>
      </c>
      <c r="D32" s="319">
        <f t="array" ref="D32">SUM(IF((Budget[Account Code]=$B32)*(Budget[Date]=D$7),Budget[Amount]))</f>
        <v>0</v>
      </c>
      <c r="E32" s="319">
        <f t="array" ref="E32">SUM(IF((Budget[Account Code]=$B32)*(Budget[Date]=E$7),Budget[Amount]))</f>
        <v>0</v>
      </c>
      <c r="F32" s="319">
        <f t="array" ref="F32">SUM(IF((Budget[Account Code]=$B32)*(Budget[Date]=F$7),Budget[Amount]))</f>
        <v>0</v>
      </c>
      <c r="G32" s="319">
        <f t="array" ref="G32">SUM(IF((Budget[Account Code]=$B32)*(Budget[Date]=G$7),Budget[Amount]))</f>
        <v>0</v>
      </c>
      <c r="H32" s="319">
        <f t="array" ref="H32">SUM(IF((Budget[Account Code]=$B32)*(Budget[Date]=H$7),Budget[Amount]))</f>
        <v>0</v>
      </c>
      <c r="I32" s="319">
        <f t="array" ref="I32">SUM(IF((Budget[Account Code]=$B32)*(Budget[Date]=I$7),Budget[Amount]))</f>
        <v>0</v>
      </c>
      <c r="J32" s="319">
        <f t="array" ref="J32">SUM(IF((Budget[Account Code]=$B32)*(Budget[Date]=J$7),Budget[Amount]))</f>
        <v>0</v>
      </c>
      <c r="K32" s="319">
        <f t="array" ref="K32">SUM(IF((Budget[Account Code]=$B32)*(Budget[Date]=K$7),Budget[Amount]))</f>
        <v>0</v>
      </c>
      <c r="L32" s="319">
        <f t="array" ref="L32">SUM(IF((Budget[Account Code]=$B32)*(Budget[Date]=L$7),Budget[Amount]))</f>
        <v>0</v>
      </c>
      <c r="M32" s="319">
        <f t="array" ref="M32">SUM(IF((Budget[Account Code]=$B32)*(Budget[Date]=M$7),Budget[Amount]))</f>
        <v>0</v>
      </c>
      <c r="N32" s="319">
        <f t="array" ref="N32">SUM(IF((Budget[Account Code]=$B32)*(Budget[Date]=N$7),Budget[Amount]))</f>
        <v>0</v>
      </c>
      <c r="O32" s="319">
        <f t="array" ref="O32">SUM(IF((Budget[Account Code]=$B32)*(Budget[Date]=O$7),Budget[Amount]))</f>
        <v>0</v>
      </c>
      <c r="P32" s="319">
        <f t="shared" si="2"/>
        <v>0</v>
      </c>
    </row>
    <row r="33" spans="1:16" s="171" customFormat="1" x14ac:dyDescent="0.25">
      <c r="A33" s="321" t="s">
        <v>1000</v>
      </c>
      <c r="B33" s="317" t="s">
        <v>130</v>
      </c>
      <c r="C33" s="322">
        <f t="shared" si="0"/>
        <v>0</v>
      </c>
      <c r="D33" s="319">
        <f t="array" ref="D33">SUM(IF((Budget[Account Code]=$B33)*(Budget[Date]=D$7),Budget[Amount]))</f>
        <v>0</v>
      </c>
      <c r="E33" s="319">
        <f t="array" ref="E33">SUM(IF((Budget[Account Code]=$B33)*(Budget[Date]=E$7),Budget[Amount]))</f>
        <v>0</v>
      </c>
      <c r="F33" s="319">
        <f t="array" ref="F33">SUM(IF((Budget[Account Code]=$B33)*(Budget[Date]=F$7),Budget[Amount]))</f>
        <v>0</v>
      </c>
      <c r="G33" s="319">
        <f t="array" ref="G33">SUM(IF((Budget[Account Code]=$B33)*(Budget[Date]=G$7),Budget[Amount]))</f>
        <v>0</v>
      </c>
      <c r="H33" s="319">
        <f t="array" ref="H33">SUM(IF((Budget[Account Code]=$B33)*(Budget[Date]=H$7),Budget[Amount]))</f>
        <v>0</v>
      </c>
      <c r="I33" s="319">
        <f t="array" ref="I33">SUM(IF((Budget[Account Code]=$B33)*(Budget[Date]=I$7),Budget[Amount]))</f>
        <v>0</v>
      </c>
      <c r="J33" s="319">
        <f t="array" ref="J33">SUM(IF((Budget[Account Code]=$B33)*(Budget[Date]=J$7),Budget[Amount]))</f>
        <v>0</v>
      </c>
      <c r="K33" s="319">
        <f t="array" ref="K33">SUM(IF((Budget[Account Code]=$B33)*(Budget[Date]=K$7),Budget[Amount]))</f>
        <v>0</v>
      </c>
      <c r="L33" s="319">
        <f t="array" ref="L33">SUM(IF((Budget[Account Code]=$B33)*(Budget[Date]=L$7),Budget[Amount]))</f>
        <v>0</v>
      </c>
      <c r="M33" s="319">
        <f t="array" ref="M33">SUM(IF((Budget[Account Code]=$B33)*(Budget[Date]=M$7),Budget[Amount]))</f>
        <v>0</v>
      </c>
      <c r="N33" s="319">
        <f t="array" ref="N33">SUM(IF((Budget[Account Code]=$B33)*(Budget[Date]=N$7),Budget[Amount]))</f>
        <v>0</v>
      </c>
      <c r="O33" s="319">
        <f t="array" ref="O33">SUM(IF((Budget[Account Code]=$B33)*(Budget[Date]=O$7),Budget[Amount]))</f>
        <v>0</v>
      </c>
      <c r="P33" s="322">
        <f t="shared" si="2"/>
        <v>0</v>
      </c>
    </row>
    <row r="34" spans="1:16" s="171" customFormat="1" x14ac:dyDescent="0.25">
      <c r="A34" s="321" t="s">
        <v>1001</v>
      </c>
      <c r="B34" s="317"/>
      <c r="C34" s="322">
        <f t="shared" si="0"/>
        <v>0</v>
      </c>
      <c r="D34" s="322">
        <f>SUM(D35:D40)</f>
        <v>0</v>
      </c>
      <c r="E34" s="322">
        <f t="shared" ref="E34:O34" si="8">SUM(E35:E40)</f>
        <v>0</v>
      </c>
      <c r="F34" s="322">
        <f t="shared" si="8"/>
        <v>0</v>
      </c>
      <c r="G34" s="322">
        <f t="shared" si="8"/>
        <v>0</v>
      </c>
      <c r="H34" s="322">
        <f t="shared" si="8"/>
        <v>0</v>
      </c>
      <c r="I34" s="322">
        <f t="shared" si="8"/>
        <v>0</v>
      </c>
      <c r="J34" s="322">
        <f t="shared" si="8"/>
        <v>0</v>
      </c>
      <c r="K34" s="322">
        <f t="shared" si="8"/>
        <v>0</v>
      </c>
      <c r="L34" s="322">
        <f t="shared" si="8"/>
        <v>0</v>
      </c>
      <c r="M34" s="322">
        <f t="shared" si="8"/>
        <v>0</v>
      </c>
      <c r="N34" s="322">
        <f t="shared" si="8"/>
        <v>0</v>
      </c>
      <c r="O34" s="322">
        <f t="shared" si="8"/>
        <v>0</v>
      </c>
      <c r="P34" s="322">
        <f t="shared" si="2"/>
        <v>0</v>
      </c>
    </row>
    <row r="35" spans="1:16" s="171" customFormat="1" x14ac:dyDescent="0.25">
      <c r="A35" s="323" t="s">
        <v>186</v>
      </c>
      <c r="B35" s="317" t="s">
        <v>150</v>
      </c>
      <c r="C35" s="322">
        <f t="shared" si="0"/>
        <v>0</v>
      </c>
      <c r="D35" s="319">
        <f t="array" ref="D35">SUM(IF((Budget[Account Code]=$B35)*(Budget[Date]=D$7),Budget[Amount]))</f>
        <v>0</v>
      </c>
      <c r="E35" s="319">
        <f t="array" ref="E35">SUM(IF((Budget[Account Code]=$B35)*(Budget[Date]=E$7),Budget[Amount]))</f>
        <v>0</v>
      </c>
      <c r="F35" s="319">
        <f t="array" ref="F35">SUM(IF((Budget[Account Code]=$B35)*(Budget[Date]=F$7),Budget[Amount]))</f>
        <v>0</v>
      </c>
      <c r="G35" s="319">
        <f t="array" ref="G35">SUM(IF((Budget[Account Code]=$B35)*(Budget[Date]=G$7),Budget[Amount]))</f>
        <v>0</v>
      </c>
      <c r="H35" s="319">
        <f t="array" ref="H35">SUM(IF((Budget[Account Code]=$B35)*(Budget[Date]=H$7),Budget[Amount]))</f>
        <v>0</v>
      </c>
      <c r="I35" s="319">
        <f t="array" ref="I35">SUM(IF((Budget[Account Code]=$B35)*(Budget[Date]=I$7),Budget[Amount]))</f>
        <v>0</v>
      </c>
      <c r="J35" s="319">
        <f t="array" ref="J35">SUM(IF((Budget[Account Code]=$B35)*(Budget[Date]=J$7),Budget[Amount]))</f>
        <v>0</v>
      </c>
      <c r="K35" s="319">
        <f t="array" ref="K35">SUM(IF((Budget[Account Code]=$B35)*(Budget[Date]=K$7),Budget[Amount]))</f>
        <v>0</v>
      </c>
      <c r="L35" s="319">
        <f t="array" ref="L35">SUM(IF((Budget[Account Code]=$B35)*(Budget[Date]=L$7),Budget[Amount]))</f>
        <v>0</v>
      </c>
      <c r="M35" s="319">
        <f t="array" ref="M35">SUM(IF((Budget[Account Code]=$B35)*(Budget[Date]=M$7),Budget[Amount]))</f>
        <v>0</v>
      </c>
      <c r="N35" s="319">
        <f t="array" ref="N35">SUM(IF((Budget[Account Code]=$B35)*(Budget[Date]=N$7),Budget[Amount]))</f>
        <v>0</v>
      </c>
      <c r="O35" s="319">
        <f t="array" ref="O35">SUM(IF((Budget[Account Code]=$B35)*(Budget[Date]=O$7),Budget[Amount]))</f>
        <v>0</v>
      </c>
      <c r="P35" s="322">
        <f t="shared" si="2"/>
        <v>0</v>
      </c>
    </row>
    <row r="36" spans="1:16" s="171" customFormat="1" x14ac:dyDescent="0.25">
      <c r="A36" s="323" t="s">
        <v>1003</v>
      </c>
      <c r="B36" s="317" t="s">
        <v>155</v>
      </c>
      <c r="C36" s="322">
        <f t="shared" si="0"/>
        <v>0</v>
      </c>
      <c r="D36" s="319">
        <f t="array" ref="D36">SUM(IF((Budget[Account Code]=$B36)*(Budget[Date]=D$7),Budget[Amount]))</f>
        <v>0</v>
      </c>
      <c r="E36" s="319">
        <f t="array" ref="E36">SUM(IF((Budget[Account Code]=$B36)*(Budget[Date]=E$7),Budget[Amount]))</f>
        <v>0</v>
      </c>
      <c r="F36" s="319">
        <f t="array" ref="F36">SUM(IF((Budget[Account Code]=$B36)*(Budget[Date]=F$7),Budget[Amount]))</f>
        <v>0</v>
      </c>
      <c r="G36" s="319">
        <f t="array" ref="G36">SUM(IF((Budget[Account Code]=$B36)*(Budget[Date]=G$7),Budget[Amount]))</f>
        <v>0</v>
      </c>
      <c r="H36" s="319">
        <f t="array" ref="H36">SUM(IF((Budget[Account Code]=$B36)*(Budget[Date]=H$7),Budget[Amount]))</f>
        <v>0</v>
      </c>
      <c r="I36" s="319">
        <f t="array" ref="I36">SUM(IF((Budget[Account Code]=$B36)*(Budget[Date]=I$7),Budget[Amount]))</f>
        <v>0</v>
      </c>
      <c r="J36" s="319">
        <f t="array" ref="J36">SUM(IF((Budget[Account Code]=$B36)*(Budget[Date]=J$7),Budget[Amount]))</f>
        <v>0</v>
      </c>
      <c r="K36" s="319">
        <f t="array" ref="K36">SUM(IF((Budget[Account Code]=$B36)*(Budget[Date]=K$7),Budget[Amount]))</f>
        <v>0</v>
      </c>
      <c r="L36" s="319">
        <f t="array" ref="L36">SUM(IF((Budget[Account Code]=$B36)*(Budget[Date]=L$7),Budget[Amount]))</f>
        <v>0</v>
      </c>
      <c r="M36" s="319">
        <f t="array" ref="M36">SUM(IF((Budget[Account Code]=$B36)*(Budget[Date]=M$7),Budget[Amount]))</f>
        <v>0</v>
      </c>
      <c r="N36" s="319">
        <f t="array" ref="N36">SUM(IF((Budget[Account Code]=$B36)*(Budget[Date]=N$7),Budget[Amount]))</f>
        <v>0</v>
      </c>
      <c r="O36" s="319">
        <f t="array" ref="O36">SUM(IF((Budget[Account Code]=$B36)*(Budget[Date]=O$7),Budget[Amount]))</f>
        <v>0</v>
      </c>
      <c r="P36" s="322">
        <f t="shared" si="2"/>
        <v>0</v>
      </c>
    </row>
    <row r="37" spans="1:16" s="171" customFormat="1" x14ac:dyDescent="0.25">
      <c r="A37" s="323" t="s">
        <v>1004</v>
      </c>
      <c r="B37" s="317" t="s">
        <v>159</v>
      </c>
      <c r="C37" s="322">
        <f t="shared" si="0"/>
        <v>0</v>
      </c>
      <c r="D37" s="319">
        <f t="array" ref="D37">SUM(IF((Budget[Account Code]=$B37)*(Budget[Date]=D$7),Budget[Amount]))</f>
        <v>0</v>
      </c>
      <c r="E37" s="319">
        <f t="array" ref="E37">SUM(IF((Budget[Account Code]=$B37)*(Budget[Date]=E$7),Budget[Amount]))</f>
        <v>0</v>
      </c>
      <c r="F37" s="319">
        <f t="array" ref="F37">SUM(IF((Budget[Account Code]=$B37)*(Budget[Date]=F$7),Budget[Amount]))</f>
        <v>0</v>
      </c>
      <c r="G37" s="319">
        <f t="array" ref="G37">SUM(IF((Budget[Account Code]=$B37)*(Budget[Date]=G$7),Budget[Amount]))</f>
        <v>0</v>
      </c>
      <c r="H37" s="319">
        <f t="array" ref="H37">SUM(IF((Budget[Account Code]=$B37)*(Budget[Date]=H$7),Budget[Amount]))</f>
        <v>0</v>
      </c>
      <c r="I37" s="319">
        <f t="array" ref="I37">SUM(IF((Budget[Account Code]=$B37)*(Budget[Date]=I$7),Budget[Amount]))</f>
        <v>0</v>
      </c>
      <c r="J37" s="319">
        <f t="array" ref="J37">SUM(IF((Budget[Account Code]=$B37)*(Budget[Date]=J$7),Budget[Amount]))</f>
        <v>0</v>
      </c>
      <c r="K37" s="319">
        <f t="array" ref="K37">SUM(IF((Budget[Account Code]=$B37)*(Budget[Date]=K$7),Budget[Amount]))</f>
        <v>0</v>
      </c>
      <c r="L37" s="319">
        <f t="array" ref="L37">SUM(IF((Budget[Account Code]=$B37)*(Budget[Date]=L$7),Budget[Amount]))</f>
        <v>0</v>
      </c>
      <c r="M37" s="319">
        <f t="array" ref="M37">SUM(IF((Budget[Account Code]=$B37)*(Budget[Date]=M$7),Budget[Amount]))</f>
        <v>0</v>
      </c>
      <c r="N37" s="319">
        <f t="array" ref="N37">SUM(IF((Budget[Account Code]=$B37)*(Budget[Date]=N$7),Budget[Amount]))</f>
        <v>0</v>
      </c>
      <c r="O37" s="319">
        <f t="array" ref="O37">SUM(IF((Budget[Account Code]=$B37)*(Budget[Date]=O$7),Budget[Amount]))</f>
        <v>0</v>
      </c>
      <c r="P37" s="322">
        <f t="shared" si="2"/>
        <v>0</v>
      </c>
    </row>
    <row r="38" spans="1:16" s="171" customFormat="1" x14ac:dyDescent="0.25">
      <c r="A38" s="323" t="s">
        <v>449</v>
      </c>
      <c r="B38" s="317" t="s">
        <v>160</v>
      </c>
      <c r="C38" s="322">
        <f t="shared" si="0"/>
        <v>0</v>
      </c>
      <c r="D38" s="319">
        <f t="array" ref="D38">SUM(IF((Budget[Account Code]=$B38)*(Budget[Date]=D$7),Budget[Amount]))</f>
        <v>0</v>
      </c>
      <c r="E38" s="319">
        <f t="array" ref="E38">SUM(IF((Budget[Account Code]=$B38)*(Budget[Date]=E$7),Budget[Amount]))</f>
        <v>0</v>
      </c>
      <c r="F38" s="319">
        <f t="array" ref="F38">SUM(IF((Budget[Account Code]=$B38)*(Budget[Date]=F$7),Budget[Amount]))</f>
        <v>0</v>
      </c>
      <c r="G38" s="319">
        <f t="array" ref="G38">SUM(IF((Budget[Account Code]=$B38)*(Budget[Date]=G$7),Budget[Amount]))</f>
        <v>0</v>
      </c>
      <c r="H38" s="319">
        <f t="array" ref="H38">SUM(IF((Budget[Account Code]=$B38)*(Budget[Date]=H$7),Budget[Amount]))</f>
        <v>0</v>
      </c>
      <c r="I38" s="319">
        <f t="array" ref="I38">SUM(IF((Budget[Account Code]=$B38)*(Budget[Date]=I$7),Budget[Amount]))</f>
        <v>0</v>
      </c>
      <c r="J38" s="319">
        <f t="array" ref="J38">SUM(IF((Budget[Account Code]=$B38)*(Budget[Date]=J$7),Budget[Amount]))</f>
        <v>0</v>
      </c>
      <c r="K38" s="319">
        <f t="array" ref="K38">SUM(IF((Budget[Account Code]=$B38)*(Budget[Date]=K$7),Budget[Amount]))</f>
        <v>0</v>
      </c>
      <c r="L38" s="319">
        <f t="array" ref="L38">SUM(IF((Budget[Account Code]=$B38)*(Budget[Date]=L$7),Budget[Amount]))</f>
        <v>0</v>
      </c>
      <c r="M38" s="319">
        <f t="array" ref="M38">SUM(IF((Budget[Account Code]=$B38)*(Budget[Date]=M$7),Budget[Amount]))</f>
        <v>0</v>
      </c>
      <c r="N38" s="319">
        <f t="array" ref="N38">SUM(IF((Budget[Account Code]=$B38)*(Budget[Date]=N$7),Budget[Amount]))</f>
        <v>0</v>
      </c>
      <c r="O38" s="319">
        <f t="array" ref="O38">SUM(IF((Budget[Account Code]=$B38)*(Budget[Date]=O$7),Budget[Amount]))</f>
        <v>0</v>
      </c>
      <c r="P38" s="322">
        <f t="shared" si="2"/>
        <v>0</v>
      </c>
    </row>
    <row r="39" spans="1:16" s="171" customFormat="1" x14ac:dyDescent="0.25">
      <c r="A39" s="323" t="s">
        <v>1005</v>
      </c>
      <c r="B39" s="317" t="s">
        <v>352</v>
      </c>
      <c r="C39" s="322">
        <f t="shared" si="0"/>
        <v>0</v>
      </c>
      <c r="D39" s="319">
        <f t="array" ref="D39">SUM(IF((Budget[Account Code]=$B39)*(Budget[Date]=D$7),Budget[Amount]))</f>
        <v>0</v>
      </c>
      <c r="E39" s="319">
        <f t="array" ref="E39">SUM(IF((Budget[Account Code]=$B39)*(Budget[Date]=E$7),Budget[Amount]))</f>
        <v>0</v>
      </c>
      <c r="F39" s="319">
        <f t="array" ref="F39">SUM(IF((Budget[Account Code]=$B39)*(Budget[Date]=F$7),Budget[Amount]))</f>
        <v>0</v>
      </c>
      <c r="G39" s="319">
        <f t="array" ref="G39">SUM(IF((Budget[Account Code]=$B39)*(Budget[Date]=G$7),Budget[Amount]))</f>
        <v>0</v>
      </c>
      <c r="H39" s="319">
        <f t="array" ref="H39">SUM(IF((Budget[Account Code]=$B39)*(Budget[Date]=H$7),Budget[Amount]))</f>
        <v>0</v>
      </c>
      <c r="I39" s="319">
        <f t="array" ref="I39">SUM(IF((Budget[Account Code]=$B39)*(Budget[Date]=I$7),Budget[Amount]))</f>
        <v>0</v>
      </c>
      <c r="J39" s="319">
        <f t="array" ref="J39">SUM(IF((Budget[Account Code]=$B39)*(Budget[Date]=J$7),Budget[Amount]))</f>
        <v>0</v>
      </c>
      <c r="K39" s="319">
        <f t="array" ref="K39">SUM(IF((Budget[Account Code]=$B39)*(Budget[Date]=K$7),Budget[Amount]))</f>
        <v>0</v>
      </c>
      <c r="L39" s="319">
        <f t="array" ref="L39">SUM(IF((Budget[Account Code]=$B39)*(Budget[Date]=L$7),Budget[Amount]))</f>
        <v>0</v>
      </c>
      <c r="M39" s="319">
        <f t="array" ref="M39">SUM(IF((Budget[Account Code]=$B39)*(Budget[Date]=M$7),Budget[Amount]))</f>
        <v>0</v>
      </c>
      <c r="N39" s="319">
        <f t="array" ref="N39">SUM(IF((Budget[Account Code]=$B39)*(Budget[Date]=N$7),Budget[Amount]))</f>
        <v>0</v>
      </c>
      <c r="O39" s="319">
        <f t="array" ref="O39">SUM(IF((Budget[Account Code]=$B39)*(Budget[Date]=O$7),Budget[Amount]))</f>
        <v>0</v>
      </c>
      <c r="P39" s="322">
        <f t="shared" si="2"/>
        <v>0</v>
      </c>
    </row>
    <row r="40" spans="1:16" s="171" customFormat="1" x14ac:dyDescent="0.25">
      <c r="A40" s="323" t="s">
        <v>1006</v>
      </c>
      <c r="B40" s="317" t="s">
        <v>158</v>
      </c>
      <c r="C40" s="322">
        <f t="shared" si="0"/>
        <v>0</v>
      </c>
      <c r="D40" s="319">
        <f t="array" ref="D40">SUM(IF((Budget[Account Code]=$B40)*(Budget[Date]=D$7),Budget[Amount]))</f>
        <v>0</v>
      </c>
      <c r="E40" s="319">
        <f t="array" ref="E40">SUM(IF((Budget[Account Code]=$B40)*(Budget[Date]=E$7),Budget[Amount]))</f>
        <v>0</v>
      </c>
      <c r="F40" s="319">
        <f t="array" ref="F40">SUM(IF((Budget[Account Code]=$B40)*(Budget[Date]=F$7),Budget[Amount]))</f>
        <v>0</v>
      </c>
      <c r="G40" s="319">
        <f t="array" ref="G40">SUM(IF((Budget[Account Code]=$B40)*(Budget[Date]=G$7),Budget[Amount]))</f>
        <v>0</v>
      </c>
      <c r="H40" s="319">
        <f t="array" ref="H40">SUM(IF((Budget[Account Code]=$B40)*(Budget[Date]=H$7),Budget[Amount]))</f>
        <v>0</v>
      </c>
      <c r="I40" s="319">
        <f t="array" ref="I40">SUM(IF((Budget[Account Code]=$B40)*(Budget[Date]=I$7),Budget[Amount]))</f>
        <v>0</v>
      </c>
      <c r="J40" s="319">
        <f t="array" ref="J40">SUM(IF((Budget[Account Code]=$B40)*(Budget[Date]=J$7),Budget[Amount]))</f>
        <v>0</v>
      </c>
      <c r="K40" s="319">
        <f t="array" ref="K40">SUM(IF((Budget[Account Code]=$B40)*(Budget[Date]=K$7),Budget[Amount]))</f>
        <v>0</v>
      </c>
      <c r="L40" s="319">
        <f t="array" ref="L40">SUM(IF((Budget[Account Code]=$B40)*(Budget[Date]=L$7),Budget[Amount]))</f>
        <v>0</v>
      </c>
      <c r="M40" s="319">
        <f t="array" ref="M40">SUM(IF((Budget[Account Code]=$B40)*(Budget[Date]=M$7),Budget[Amount]))</f>
        <v>0</v>
      </c>
      <c r="N40" s="319">
        <f t="array" ref="N40">SUM(IF((Budget[Account Code]=$B40)*(Budget[Date]=N$7),Budget[Amount]))</f>
        <v>0</v>
      </c>
      <c r="O40" s="319">
        <f t="array" ref="O40">SUM(IF((Budget[Account Code]=$B40)*(Budget[Date]=O$7),Budget[Amount]))</f>
        <v>0</v>
      </c>
      <c r="P40" s="322">
        <f t="shared" si="2"/>
        <v>0</v>
      </c>
    </row>
    <row r="41" spans="1:16" s="171" customFormat="1" x14ac:dyDescent="0.25">
      <c r="A41" s="321" t="s">
        <v>1002</v>
      </c>
      <c r="B41" s="317"/>
      <c r="C41" s="322">
        <f t="shared" si="0"/>
        <v>0</v>
      </c>
      <c r="D41" s="319">
        <f t="array" ref="D41">SUM(IF((Budget[Account Code]=$B41)*(Budget[Date]=D$7),Budget[Amount]))</f>
        <v>0</v>
      </c>
      <c r="E41" s="319">
        <f t="array" ref="E41">SUM(IF((Budget[Account Code]=$B41)*(Budget[Date]=E$7),Budget[Amount]))</f>
        <v>0</v>
      </c>
      <c r="F41" s="319">
        <f t="array" ref="F41">SUM(IF((Budget[Account Code]=$B41)*(Budget[Date]=F$7),Budget[Amount]))</f>
        <v>0</v>
      </c>
      <c r="G41" s="319">
        <f t="array" ref="G41">SUM(IF((Budget[Account Code]=$B41)*(Budget[Date]=G$7),Budget[Amount]))</f>
        <v>0</v>
      </c>
      <c r="H41" s="319">
        <f t="array" ref="H41">SUM(IF((Budget[Account Code]=$B41)*(Budget[Date]=H$7),Budget[Amount]))</f>
        <v>0</v>
      </c>
      <c r="I41" s="319">
        <f t="array" ref="I41">SUM(IF((Budget[Account Code]=$B41)*(Budget[Date]=I$7),Budget[Amount]))</f>
        <v>0</v>
      </c>
      <c r="J41" s="319">
        <f t="array" ref="J41">SUM(IF((Budget[Account Code]=$B41)*(Budget[Date]=J$7),Budget[Amount]))</f>
        <v>0</v>
      </c>
      <c r="K41" s="319">
        <f t="array" ref="K41">SUM(IF((Budget[Account Code]=$B41)*(Budget[Date]=K$7),Budget[Amount]))</f>
        <v>0</v>
      </c>
      <c r="L41" s="319">
        <f t="array" ref="L41">SUM(IF((Budget[Account Code]=$B41)*(Budget[Date]=L$7),Budget[Amount]))</f>
        <v>0</v>
      </c>
      <c r="M41" s="319">
        <f t="array" ref="M41">SUM(IF((Budget[Account Code]=$B41)*(Budget[Date]=M$7),Budget[Amount]))</f>
        <v>0</v>
      </c>
      <c r="N41" s="319">
        <f t="array" ref="N41">SUM(IF((Budget[Account Code]=$B41)*(Budget[Date]=N$7),Budget[Amount]))</f>
        <v>0</v>
      </c>
      <c r="O41" s="319">
        <f t="array" ref="O41">SUM(IF((Budget[Account Code]=$B41)*(Budget[Date]=O$7),Budget[Amount]))</f>
        <v>0</v>
      </c>
      <c r="P41" s="322">
        <f t="shared" si="2"/>
        <v>0</v>
      </c>
    </row>
    <row r="42" spans="1:16" x14ac:dyDescent="0.25">
      <c r="A42" s="323" t="s">
        <v>869</v>
      </c>
      <c r="B42" s="317"/>
      <c r="C42" s="319">
        <f t="shared" si="0"/>
        <v>0</v>
      </c>
      <c r="D42" s="319">
        <f t="array" ref="D42">SUM(IF((Budget[Account Code]=$B42)*(Budget[Date]=D$7),Budget[Amount]))</f>
        <v>0</v>
      </c>
      <c r="E42" s="319">
        <f t="array" ref="E42">SUM(IF((Budget[Account Code]=$B42)*(Budget[Date]=E$7),Budget[Amount]))</f>
        <v>0</v>
      </c>
      <c r="F42" s="319">
        <f t="array" ref="F42">SUM(IF((Budget[Account Code]=$B42)*(Budget[Date]=F$7),Budget[Amount]))</f>
        <v>0</v>
      </c>
      <c r="G42" s="319">
        <f t="array" ref="G42">SUM(IF((Budget[Account Code]=$B42)*(Budget[Date]=G$7),Budget[Amount]))</f>
        <v>0</v>
      </c>
      <c r="H42" s="319">
        <f t="array" ref="H42">SUM(IF((Budget[Account Code]=$B42)*(Budget[Date]=H$7),Budget[Amount]))</f>
        <v>0</v>
      </c>
      <c r="I42" s="319">
        <f t="array" ref="I42">SUM(IF((Budget[Account Code]=$B42)*(Budget[Date]=I$7),Budget[Amount]))</f>
        <v>0</v>
      </c>
      <c r="J42" s="319">
        <f t="array" ref="J42">SUM(IF((Budget[Account Code]=$B42)*(Budget[Date]=J$7),Budget[Amount]))</f>
        <v>0</v>
      </c>
      <c r="K42" s="319">
        <f t="array" ref="K42">SUM(IF((Budget[Account Code]=$B42)*(Budget[Date]=K$7),Budget[Amount]))</f>
        <v>0</v>
      </c>
      <c r="L42" s="319">
        <f t="array" ref="L42">SUM(IF((Budget[Account Code]=$B42)*(Budget[Date]=L$7),Budget[Amount]))</f>
        <v>0</v>
      </c>
      <c r="M42" s="319">
        <f t="array" ref="M42">SUM(IF((Budget[Account Code]=$B42)*(Budget[Date]=M$7),Budget[Amount]))</f>
        <v>0</v>
      </c>
      <c r="N42" s="319">
        <f t="array" ref="N42">SUM(IF((Budget[Account Code]=$B42)*(Budget[Date]=N$7),Budget[Amount]))</f>
        <v>0</v>
      </c>
      <c r="O42" s="319">
        <f t="array" ref="O42">SUM(IF((Budget[Account Code]=$B42)*(Budget[Date]=O$7),Budget[Amount]))</f>
        <v>0</v>
      </c>
      <c r="P42" s="319">
        <f t="shared" si="2"/>
        <v>0</v>
      </c>
    </row>
    <row r="43" spans="1:16" x14ac:dyDescent="0.25">
      <c r="A43" s="320" t="s">
        <v>870</v>
      </c>
      <c r="B43" s="317"/>
      <c r="C43" s="319">
        <f t="shared" si="0"/>
        <v>0</v>
      </c>
      <c r="D43" s="319">
        <f t="shared" ref="D43:O43" si="9">D25+D26+D27+D28+D29+D30+D33+D34+D41</f>
        <v>0</v>
      </c>
      <c r="E43" s="319">
        <f t="shared" si="9"/>
        <v>0</v>
      </c>
      <c r="F43" s="319">
        <f t="shared" si="9"/>
        <v>0</v>
      </c>
      <c r="G43" s="319">
        <f t="shared" si="9"/>
        <v>0</v>
      </c>
      <c r="H43" s="319">
        <f t="shared" si="9"/>
        <v>0</v>
      </c>
      <c r="I43" s="319">
        <f t="shared" si="9"/>
        <v>0</v>
      </c>
      <c r="J43" s="319">
        <f t="shared" si="9"/>
        <v>0</v>
      </c>
      <c r="K43" s="319">
        <f t="shared" si="9"/>
        <v>0</v>
      </c>
      <c r="L43" s="319">
        <f t="shared" si="9"/>
        <v>0</v>
      </c>
      <c r="M43" s="319">
        <f t="shared" si="9"/>
        <v>0</v>
      </c>
      <c r="N43" s="319">
        <f t="shared" si="9"/>
        <v>0</v>
      </c>
      <c r="O43" s="319">
        <f t="shared" si="9"/>
        <v>0</v>
      </c>
      <c r="P43" s="319">
        <f t="shared" si="2"/>
        <v>0</v>
      </c>
    </row>
    <row r="44" spans="1:16" x14ac:dyDescent="0.25">
      <c r="A44" s="322" t="s">
        <v>813</v>
      </c>
      <c r="B44" s="324"/>
      <c r="C44" s="322">
        <f t="shared" si="0"/>
        <v>0</v>
      </c>
      <c r="D44" s="322">
        <f t="shared" ref="D44:O44" si="10">D23+D43</f>
        <v>0</v>
      </c>
      <c r="E44" s="322">
        <f t="shared" si="10"/>
        <v>0</v>
      </c>
      <c r="F44" s="322">
        <f t="shared" si="10"/>
        <v>0</v>
      </c>
      <c r="G44" s="322">
        <f t="shared" si="10"/>
        <v>0</v>
      </c>
      <c r="H44" s="322">
        <f t="shared" si="10"/>
        <v>0</v>
      </c>
      <c r="I44" s="322">
        <f t="shared" si="10"/>
        <v>0</v>
      </c>
      <c r="J44" s="322">
        <f t="shared" si="10"/>
        <v>0</v>
      </c>
      <c r="K44" s="322">
        <f t="shared" si="10"/>
        <v>0</v>
      </c>
      <c r="L44" s="322">
        <f t="shared" si="10"/>
        <v>0</v>
      </c>
      <c r="M44" s="322">
        <f t="shared" si="10"/>
        <v>0</v>
      </c>
      <c r="N44" s="322">
        <f t="shared" si="10"/>
        <v>0</v>
      </c>
      <c r="O44" s="322">
        <f t="shared" si="10"/>
        <v>0</v>
      </c>
      <c r="P44" s="322">
        <f t="shared" si="2"/>
        <v>0</v>
      </c>
    </row>
    <row r="45" spans="1:16" x14ac:dyDescent="0.25">
      <c r="A45" s="320" t="s">
        <v>871</v>
      </c>
      <c r="B45" s="317"/>
      <c r="C45" s="319"/>
      <c r="D45" s="319"/>
      <c r="E45" s="319"/>
      <c r="F45" s="319"/>
      <c r="G45" s="319"/>
      <c r="H45" s="319"/>
      <c r="I45" s="319"/>
      <c r="J45" s="319"/>
      <c r="K45" s="319"/>
      <c r="L45" s="319"/>
      <c r="M45" s="319"/>
      <c r="N45" s="319"/>
      <c r="O45" s="319"/>
      <c r="P45" s="319">
        <f t="shared" si="2"/>
        <v>0</v>
      </c>
    </row>
    <row r="46" spans="1:16" x14ac:dyDescent="0.25">
      <c r="A46" s="320" t="s">
        <v>872</v>
      </c>
      <c r="B46" s="317"/>
      <c r="C46" s="319"/>
      <c r="D46" s="319"/>
      <c r="E46" s="319"/>
      <c r="F46" s="319"/>
      <c r="G46" s="319"/>
      <c r="H46" s="319"/>
      <c r="I46" s="319"/>
      <c r="J46" s="319"/>
      <c r="K46" s="319"/>
      <c r="L46" s="319"/>
      <c r="M46" s="319"/>
      <c r="N46" s="319"/>
      <c r="O46" s="319"/>
      <c r="P46" s="319">
        <f t="shared" si="2"/>
        <v>0</v>
      </c>
    </row>
    <row r="47" spans="1:16" s="171" customFormat="1" x14ac:dyDescent="0.25">
      <c r="A47" s="320" t="s">
        <v>873</v>
      </c>
      <c r="B47" s="317"/>
      <c r="C47" s="322">
        <f t="shared" ref="C47:C75" si="11">SUM(D47:O47)</f>
        <v>0</v>
      </c>
      <c r="D47" s="322">
        <f t="shared" ref="D47:O47" si="12">D48+D49</f>
        <v>0</v>
      </c>
      <c r="E47" s="322">
        <f t="shared" si="12"/>
        <v>0</v>
      </c>
      <c r="F47" s="322">
        <f t="shared" si="12"/>
        <v>0</v>
      </c>
      <c r="G47" s="322">
        <f t="shared" si="12"/>
        <v>0</v>
      </c>
      <c r="H47" s="322">
        <f t="shared" si="12"/>
        <v>0</v>
      </c>
      <c r="I47" s="322">
        <f t="shared" si="12"/>
        <v>0</v>
      </c>
      <c r="J47" s="322">
        <f t="shared" si="12"/>
        <v>0</v>
      </c>
      <c r="K47" s="322">
        <f t="shared" si="12"/>
        <v>0</v>
      </c>
      <c r="L47" s="322">
        <f t="shared" si="12"/>
        <v>0</v>
      </c>
      <c r="M47" s="322">
        <f t="shared" si="12"/>
        <v>0</v>
      </c>
      <c r="N47" s="322">
        <f t="shared" si="12"/>
        <v>0</v>
      </c>
      <c r="O47" s="322">
        <f t="shared" si="12"/>
        <v>0</v>
      </c>
      <c r="P47" s="322">
        <f t="shared" si="2"/>
        <v>0</v>
      </c>
    </row>
    <row r="48" spans="1:16" x14ac:dyDescent="0.25">
      <c r="A48" s="323" t="s">
        <v>874</v>
      </c>
      <c r="B48" s="317" t="s">
        <v>162</v>
      </c>
      <c r="C48" s="319">
        <f t="shared" si="11"/>
        <v>0</v>
      </c>
      <c r="D48" s="319">
        <f t="array" ref="D48">SUM(IF((Budget[Account Code]=$B48)*(Budget[Date]=D$7),Budget[Amount]))</f>
        <v>0</v>
      </c>
      <c r="E48" s="319">
        <f t="array" ref="E48">SUM(IF((Budget[Account Code]=$B48)*(Budget[Date]=E$7),Budget[Amount]))</f>
        <v>0</v>
      </c>
      <c r="F48" s="319">
        <f t="array" ref="F48">SUM(IF((Budget[Account Code]=$B48)*(Budget[Date]=F$7),Budget[Amount]))</f>
        <v>0</v>
      </c>
      <c r="G48" s="319">
        <f t="array" ref="G48">SUM(IF((Budget[Account Code]=$B48)*(Budget[Date]=G$7),Budget[Amount]))</f>
        <v>0</v>
      </c>
      <c r="H48" s="319">
        <f t="array" ref="H48">SUM(IF((Budget[Account Code]=$B48)*(Budget[Date]=H$7),Budget[Amount]))</f>
        <v>0</v>
      </c>
      <c r="I48" s="319">
        <f t="array" ref="I48">SUM(IF((Budget[Account Code]=$B48)*(Budget[Date]=I$7),Budget[Amount]))</f>
        <v>0</v>
      </c>
      <c r="J48" s="319">
        <f t="array" ref="J48">SUM(IF((Budget[Account Code]=$B48)*(Budget[Date]=J$7),Budget[Amount]))</f>
        <v>0</v>
      </c>
      <c r="K48" s="319">
        <f t="array" ref="K48">SUM(IF((Budget[Account Code]=$B48)*(Budget[Date]=K$7),Budget[Amount]))</f>
        <v>0</v>
      </c>
      <c r="L48" s="319">
        <f t="array" ref="L48">SUM(IF((Budget[Account Code]=$B48)*(Budget[Date]=L$7),Budget[Amount]))</f>
        <v>0</v>
      </c>
      <c r="M48" s="319">
        <f t="array" ref="M48">SUM(IF((Budget[Account Code]=$B48)*(Budget[Date]=M$7),Budget[Amount]))</f>
        <v>0</v>
      </c>
      <c r="N48" s="319">
        <f t="array" ref="N48">SUM(IF((Budget[Account Code]=$B48)*(Budget[Date]=N$7),Budget[Amount]))</f>
        <v>0</v>
      </c>
      <c r="O48" s="319">
        <f t="array" ref="O48">SUM(IF((Budget[Account Code]=$B48)*(Budget[Date]=O$7),Budget[Amount]))</f>
        <v>0</v>
      </c>
      <c r="P48" s="319">
        <f t="shared" si="2"/>
        <v>0</v>
      </c>
    </row>
    <row r="49" spans="1:16" x14ac:dyDescent="0.25">
      <c r="A49" s="323" t="s">
        <v>875</v>
      </c>
      <c r="B49" s="317" t="s">
        <v>163</v>
      </c>
      <c r="C49" s="319">
        <f t="shared" si="11"/>
        <v>0</v>
      </c>
      <c r="D49" s="319">
        <f t="array" ref="D49">SUM(IF((Budget[Account Code]=$B49)*(Budget[Date]=D$7),Budget[Amount]))</f>
        <v>0</v>
      </c>
      <c r="E49" s="319">
        <f t="array" ref="E49">SUM(IF((Budget[Account Code]=$B49)*(Budget[Date]=E$7),Budget[Amount]))</f>
        <v>0</v>
      </c>
      <c r="F49" s="319">
        <f t="array" ref="F49">SUM(IF((Budget[Account Code]=$B49)*(Budget[Date]=F$7),Budget[Amount]))</f>
        <v>0</v>
      </c>
      <c r="G49" s="319">
        <f t="array" ref="G49">SUM(IF((Budget[Account Code]=$B49)*(Budget[Date]=G$7),Budget[Amount]))</f>
        <v>0</v>
      </c>
      <c r="H49" s="319">
        <f t="array" ref="H49">SUM(IF((Budget[Account Code]=$B49)*(Budget[Date]=H$7),Budget[Amount]))</f>
        <v>0</v>
      </c>
      <c r="I49" s="319">
        <f t="array" ref="I49">SUM(IF((Budget[Account Code]=$B49)*(Budget[Date]=I$7),Budget[Amount]))</f>
        <v>0</v>
      </c>
      <c r="J49" s="319">
        <f t="array" ref="J49">SUM(IF((Budget[Account Code]=$B49)*(Budget[Date]=J$7),Budget[Amount]))</f>
        <v>0</v>
      </c>
      <c r="K49" s="319">
        <f t="array" ref="K49">SUM(IF((Budget[Account Code]=$B49)*(Budget[Date]=K$7),Budget[Amount]))</f>
        <v>0</v>
      </c>
      <c r="L49" s="319">
        <f t="array" ref="L49">SUM(IF((Budget[Account Code]=$B49)*(Budget[Date]=L$7),Budget[Amount]))</f>
        <v>0</v>
      </c>
      <c r="M49" s="319">
        <f t="array" ref="M49">SUM(IF((Budget[Account Code]=$B49)*(Budget[Date]=M$7),Budget[Amount]))</f>
        <v>0</v>
      </c>
      <c r="N49" s="319">
        <f t="array" ref="N49">SUM(IF((Budget[Account Code]=$B49)*(Budget[Date]=N$7),Budget[Amount]))</f>
        <v>0</v>
      </c>
      <c r="O49" s="319">
        <f t="array" ref="O49">SUM(IF((Budget[Account Code]=$B49)*(Budget[Date]=O$7),Budget[Amount]))</f>
        <v>0</v>
      </c>
      <c r="P49" s="319">
        <f t="shared" si="2"/>
        <v>0</v>
      </c>
    </row>
    <row r="50" spans="1:16" s="171" customFormat="1" x14ac:dyDescent="0.25">
      <c r="A50" s="320" t="s">
        <v>876</v>
      </c>
      <c r="B50" s="317"/>
      <c r="C50" s="322">
        <f t="shared" si="11"/>
        <v>0</v>
      </c>
      <c r="D50" s="322">
        <f>SUM(D51:D64)</f>
        <v>0</v>
      </c>
      <c r="E50" s="322">
        <f t="shared" ref="E50:O50" si="13">SUM(E51:E64)</f>
        <v>0</v>
      </c>
      <c r="F50" s="322">
        <f t="shared" si="13"/>
        <v>0</v>
      </c>
      <c r="G50" s="322">
        <f t="shared" si="13"/>
        <v>0</v>
      </c>
      <c r="H50" s="322">
        <f t="shared" si="13"/>
        <v>0</v>
      </c>
      <c r="I50" s="322">
        <f t="shared" si="13"/>
        <v>0</v>
      </c>
      <c r="J50" s="322">
        <f t="shared" si="13"/>
        <v>0</v>
      </c>
      <c r="K50" s="322">
        <f t="shared" si="13"/>
        <v>0</v>
      </c>
      <c r="L50" s="322">
        <f t="shared" si="13"/>
        <v>0</v>
      </c>
      <c r="M50" s="322">
        <f t="shared" si="13"/>
        <v>0</v>
      </c>
      <c r="N50" s="322">
        <f t="shared" si="13"/>
        <v>0</v>
      </c>
      <c r="O50" s="322">
        <f t="shared" si="13"/>
        <v>0</v>
      </c>
      <c r="P50" s="322">
        <f t="shared" si="2"/>
        <v>0</v>
      </c>
    </row>
    <row r="51" spans="1:16" x14ac:dyDescent="0.25">
      <c r="A51" s="325" t="s">
        <v>877</v>
      </c>
      <c r="B51" s="317" t="s">
        <v>164</v>
      </c>
      <c r="C51" s="319">
        <f t="shared" si="11"/>
        <v>0</v>
      </c>
      <c r="D51" s="319">
        <f t="array" ref="D51">SUM(IF((Budget[Account Code]=$B51)*(Budget[Date]=D$7),Budget[Amount]))</f>
        <v>0</v>
      </c>
      <c r="E51" s="319">
        <f t="array" ref="E51">SUM(IF((Budget[Account Code]=$B51)*(Budget[Date]=E$7),Budget[Amount]))</f>
        <v>0</v>
      </c>
      <c r="F51" s="319">
        <f t="array" ref="F51">SUM(IF((Budget[Account Code]=$B51)*(Budget[Date]=F$7),Budget[Amount]))</f>
        <v>0</v>
      </c>
      <c r="G51" s="319">
        <f t="array" ref="G51">SUM(IF((Budget[Account Code]=$B51)*(Budget[Date]=G$7),Budget[Amount]))</f>
        <v>0</v>
      </c>
      <c r="H51" s="319">
        <f t="array" ref="H51">SUM(IF((Budget[Account Code]=$B51)*(Budget[Date]=H$7),Budget[Amount]))</f>
        <v>0</v>
      </c>
      <c r="I51" s="319">
        <f t="array" ref="I51">SUM(IF((Budget[Account Code]=$B51)*(Budget[Date]=I$7),Budget[Amount]))</f>
        <v>0</v>
      </c>
      <c r="J51" s="319">
        <f t="array" ref="J51">SUM(IF((Budget[Account Code]=$B51)*(Budget[Date]=J$7),Budget[Amount]))</f>
        <v>0</v>
      </c>
      <c r="K51" s="319">
        <f t="array" ref="K51">SUM(IF((Budget[Account Code]=$B51)*(Budget[Date]=K$7),Budget[Amount]))</f>
        <v>0</v>
      </c>
      <c r="L51" s="319">
        <f t="array" ref="L51">SUM(IF((Budget[Account Code]=$B51)*(Budget[Date]=L$7),Budget[Amount]))</f>
        <v>0</v>
      </c>
      <c r="M51" s="319">
        <f t="array" ref="M51">SUM(IF((Budget[Account Code]=$B51)*(Budget[Date]=M$7),Budget[Amount]))</f>
        <v>0</v>
      </c>
      <c r="N51" s="319">
        <f t="array" ref="N51">SUM(IF((Budget[Account Code]=$B51)*(Budget[Date]=N$7),Budget[Amount]))</f>
        <v>0</v>
      </c>
      <c r="O51" s="319">
        <f t="array" ref="O51">SUM(IF((Budget[Account Code]=$B51)*(Budget[Date]=O$7),Budget[Amount]))</f>
        <v>0</v>
      </c>
      <c r="P51" s="319">
        <f t="shared" si="2"/>
        <v>0</v>
      </c>
    </row>
    <row r="52" spans="1:16" x14ac:dyDescent="0.25">
      <c r="A52" s="325" t="s">
        <v>878</v>
      </c>
      <c r="B52" s="317" t="s">
        <v>165</v>
      </c>
      <c r="C52" s="319">
        <f t="shared" si="11"/>
        <v>0</v>
      </c>
      <c r="D52" s="319">
        <f t="array" ref="D52">SUM(IF((Budget[Account Code]=$B52)*(Budget[Date]=D$7),Budget[Amount]))</f>
        <v>0</v>
      </c>
      <c r="E52" s="319">
        <f t="array" ref="E52">SUM(IF((Budget[Account Code]=$B52)*(Budget[Date]=E$7),Budget[Amount]))</f>
        <v>0</v>
      </c>
      <c r="F52" s="319">
        <f t="array" ref="F52">SUM(IF((Budget[Account Code]=$B52)*(Budget[Date]=F$7),Budget[Amount]))</f>
        <v>0</v>
      </c>
      <c r="G52" s="319">
        <f t="array" ref="G52">SUM(IF((Budget[Account Code]=$B52)*(Budget[Date]=G$7),Budget[Amount]))</f>
        <v>0</v>
      </c>
      <c r="H52" s="319">
        <f t="array" ref="H52">SUM(IF((Budget[Account Code]=$B52)*(Budget[Date]=H$7),Budget[Amount]))</f>
        <v>0</v>
      </c>
      <c r="I52" s="319">
        <f t="array" ref="I52">SUM(IF((Budget[Account Code]=$B52)*(Budget[Date]=I$7),Budget[Amount]))</f>
        <v>0</v>
      </c>
      <c r="J52" s="319">
        <f t="array" ref="J52">SUM(IF((Budget[Account Code]=$B52)*(Budget[Date]=J$7),Budget[Amount]))</f>
        <v>0</v>
      </c>
      <c r="K52" s="319">
        <f t="array" ref="K52">SUM(IF((Budget[Account Code]=$B52)*(Budget[Date]=K$7),Budget[Amount]))</f>
        <v>0</v>
      </c>
      <c r="L52" s="319">
        <f t="array" ref="L52">SUM(IF((Budget[Account Code]=$B52)*(Budget[Date]=L$7),Budget[Amount]))</f>
        <v>0</v>
      </c>
      <c r="M52" s="319">
        <f t="array" ref="M52">SUM(IF((Budget[Account Code]=$B52)*(Budget[Date]=M$7),Budget[Amount]))</f>
        <v>0</v>
      </c>
      <c r="N52" s="319">
        <f t="array" ref="N52">SUM(IF((Budget[Account Code]=$B52)*(Budget[Date]=N$7),Budget[Amount]))</f>
        <v>0</v>
      </c>
      <c r="O52" s="319">
        <f t="array" ref="O52">SUM(IF((Budget[Account Code]=$B52)*(Budget[Date]=O$7),Budget[Amount]))</f>
        <v>0</v>
      </c>
      <c r="P52" s="319">
        <f t="shared" si="2"/>
        <v>0</v>
      </c>
    </row>
    <row r="53" spans="1:16" x14ac:dyDescent="0.25">
      <c r="A53" s="325" t="s">
        <v>879</v>
      </c>
      <c r="B53" s="317" t="s">
        <v>166</v>
      </c>
      <c r="C53" s="319">
        <f t="shared" si="11"/>
        <v>0</v>
      </c>
      <c r="D53" s="319">
        <f t="array" ref="D53">SUM(IF((Budget[Account Code]=$B53)*(Budget[Date]=D$7),Budget[Amount]))</f>
        <v>0</v>
      </c>
      <c r="E53" s="319">
        <f t="array" ref="E53">SUM(IF((Budget[Account Code]=$B53)*(Budget[Date]=E$7),Budget[Amount]))</f>
        <v>0</v>
      </c>
      <c r="F53" s="319">
        <f t="array" ref="F53">SUM(IF((Budget[Account Code]=$B53)*(Budget[Date]=F$7),Budget[Amount]))</f>
        <v>0</v>
      </c>
      <c r="G53" s="319">
        <f t="array" ref="G53">SUM(IF((Budget[Account Code]=$B53)*(Budget[Date]=G$7),Budget[Amount]))</f>
        <v>0</v>
      </c>
      <c r="H53" s="319">
        <f t="array" ref="H53">SUM(IF((Budget[Account Code]=$B53)*(Budget[Date]=H$7),Budget[Amount]))</f>
        <v>0</v>
      </c>
      <c r="I53" s="319">
        <f t="array" ref="I53">SUM(IF((Budget[Account Code]=$B53)*(Budget[Date]=I$7),Budget[Amount]))</f>
        <v>0</v>
      </c>
      <c r="J53" s="319">
        <f t="array" ref="J53">SUM(IF((Budget[Account Code]=$B53)*(Budget[Date]=J$7),Budget[Amount]))</f>
        <v>0</v>
      </c>
      <c r="K53" s="319">
        <f t="array" ref="K53">SUM(IF((Budget[Account Code]=$B53)*(Budget[Date]=K$7),Budget[Amount]))</f>
        <v>0</v>
      </c>
      <c r="L53" s="319">
        <f t="array" ref="L53">SUM(IF((Budget[Account Code]=$B53)*(Budget[Date]=L$7),Budget[Amount]))</f>
        <v>0</v>
      </c>
      <c r="M53" s="319">
        <f t="array" ref="M53">SUM(IF((Budget[Account Code]=$B53)*(Budget[Date]=M$7),Budget[Amount]))</f>
        <v>0</v>
      </c>
      <c r="N53" s="319">
        <f t="array" ref="N53">SUM(IF((Budget[Account Code]=$B53)*(Budget[Date]=N$7),Budget[Amount]))</f>
        <v>0</v>
      </c>
      <c r="O53" s="319">
        <f t="array" ref="O53">SUM(IF((Budget[Account Code]=$B53)*(Budget[Date]=O$7),Budget[Amount]))</f>
        <v>0</v>
      </c>
      <c r="P53" s="319">
        <f t="shared" si="2"/>
        <v>0</v>
      </c>
    </row>
    <row r="54" spans="1:16" x14ac:dyDescent="0.25">
      <c r="A54" s="325" t="s">
        <v>880</v>
      </c>
      <c r="B54" s="317" t="s">
        <v>167</v>
      </c>
      <c r="C54" s="319">
        <f t="shared" si="11"/>
        <v>0</v>
      </c>
      <c r="D54" s="319">
        <f t="array" ref="D54">SUM(IF((Budget[Account Code]=$B54)*(Budget[Date]=D$7),Budget[Amount]))</f>
        <v>0</v>
      </c>
      <c r="E54" s="319">
        <f t="array" ref="E54">SUM(IF((Budget[Account Code]=$B54)*(Budget[Date]=E$7),Budget[Amount]))</f>
        <v>0</v>
      </c>
      <c r="F54" s="319">
        <f t="array" ref="F54">SUM(IF((Budget[Account Code]=$B54)*(Budget[Date]=F$7),Budget[Amount]))</f>
        <v>0</v>
      </c>
      <c r="G54" s="319">
        <f t="array" ref="G54">SUM(IF((Budget[Account Code]=$B54)*(Budget[Date]=G$7),Budget[Amount]))</f>
        <v>0</v>
      </c>
      <c r="H54" s="319">
        <f t="array" ref="H54">SUM(IF((Budget[Account Code]=$B54)*(Budget[Date]=H$7),Budget[Amount]))</f>
        <v>0</v>
      </c>
      <c r="I54" s="319">
        <f t="array" ref="I54">SUM(IF((Budget[Account Code]=$B54)*(Budget[Date]=I$7),Budget[Amount]))</f>
        <v>0</v>
      </c>
      <c r="J54" s="319">
        <f t="array" ref="J54">SUM(IF((Budget[Account Code]=$B54)*(Budget[Date]=J$7),Budget[Amount]))</f>
        <v>0</v>
      </c>
      <c r="K54" s="319">
        <f t="array" ref="K54">SUM(IF((Budget[Account Code]=$B54)*(Budget[Date]=K$7),Budget[Amount]))</f>
        <v>0</v>
      </c>
      <c r="L54" s="319">
        <f t="array" ref="L54">SUM(IF((Budget[Account Code]=$B54)*(Budget[Date]=L$7),Budget[Amount]))</f>
        <v>0</v>
      </c>
      <c r="M54" s="319">
        <f t="array" ref="M54">SUM(IF((Budget[Account Code]=$B54)*(Budget[Date]=M$7),Budget[Amount]))</f>
        <v>0</v>
      </c>
      <c r="N54" s="319">
        <f t="array" ref="N54">SUM(IF((Budget[Account Code]=$B54)*(Budget[Date]=N$7),Budget[Amount]))</f>
        <v>0</v>
      </c>
      <c r="O54" s="319">
        <f t="array" ref="O54">SUM(IF((Budget[Account Code]=$B54)*(Budget[Date]=O$7),Budget[Amount]))</f>
        <v>0</v>
      </c>
      <c r="P54" s="319">
        <f t="shared" si="2"/>
        <v>0</v>
      </c>
    </row>
    <row r="55" spans="1:16" x14ac:dyDescent="0.25">
      <c r="A55" s="325" t="s">
        <v>881</v>
      </c>
      <c r="B55" s="317" t="s">
        <v>171</v>
      </c>
      <c r="C55" s="319">
        <f t="shared" si="11"/>
        <v>0</v>
      </c>
      <c r="D55" s="319">
        <f t="array" ref="D55">SUM(IF((Budget[Account Code]=$B55)*(Budget[Date]=D$7),Budget[Amount]))</f>
        <v>0</v>
      </c>
      <c r="E55" s="319">
        <f t="array" ref="E55">SUM(IF((Budget[Account Code]=$B55)*(Budget[Date]=E$7),Budget[Amount]))</f>
        <v>0</v>
      </c>
      <c r="F55" s="319">
        <f t="array" ref="F55">SUM(IF((Budget[Account Code]=$B55)*(Budget[Date]=F$7),Budget[Amount]))</f>
        <v>0</v>
      </c>
      <c r="G55" s="319">
        <f t="array" ref="G55">SUM(IF((Budget[Account Code]=$B55)*(Budget[Date]=G$7),Budget[Amount]))</f>
        <v>0</v>
      </c>
      <c r="H55" s="319">
        <f t="array" ref="H55">SUM(IF((Budget[Account Code]=$B55)*(Budget[Date]=H$7),Budget[Amount]))</f>
        <v>0</v>
      </c>
      <c r="I55" s="319">
        <f t="array" ref="I55">SUM(IF((Budget[Account Code]=$B55)*(Budget[Date]=I$7),Budget[Amount]))</f>
        <v>0</v>
      </c>
      <c r="J55" s="319">
        <f t="array" ref="J55">SUM(IF((Budget[Account Code]=$B55)*(Budget[Date]=J$7),Budget[Amount]))</f>
        <v>0</v>
      </c>
      <c r="K55" s="319">
        <f t="array" ref="K55">SUM(IF((Budget[Account Code]=$B55)*(Budget[Date]=K$7),Budget[Amount]))</f>
        <v>0</v>
      </c>
      <c r="L55" s="319">
        <f t="array" ref="L55">SUM(IF((Budget[Account Code]=$B55)*(Budget[Date]=L$7),Budget[Amount]))</f>
        <v>0</v>
      </c>
      <c r="M55" s="319">
        <f t="array" ref="M55">SUM(IF((Budget[Account Code]=$B55)*(Budget[Date]=M$7),Budget[Amount]))</f>
        <v>0</v>
      </c>
      <c r="N55" s="319">
        <f t="array" ref="N55">SUM(IF((Budget[Account Code]=$B55)*(Budget[Date]=N$7),Budget[Amount]))</f>
        <v>0</v>
      </c>
      <c r="O55" s="319">
        <f t="array" ref="O55">SUM(IF((Budget[Account Code]=$B55)*(Budget[Date]=O$7),Budget[Amount]))</f>
        <v>0</v>
      </c>
      <c r="P55" s="319">
        <f t="shared" si="2"/>
        <v>0</v>
      </c>
    </row>
    <row r="56" spans="1:16" x14ac:dyDescent="0.25">
      <c r="A56" s="325" t="s">
        <v>882</v>
      </c>
      <c r="B56" s="317" t="s">
        <v>173</v>
      </c>
      <c r="C56" s="319">
        <f t="shared" si="11"/>
        <v>0</v>
      </c>
      <c r="D56" s="319">
        <f t="array" ref="D56">SUM(IF((Budget[Account Code]=$B56)*(Budget[Date]=D$7),Budget[Amount]))</f>
        <v>0</v>
      </c>
      <c r="E56" s="319">
        <f t="array" ref="E56">SUM(IF((Budget[Account Code]=$B56)*(Budget[Date]=E$7),Budget[Amount]))</f>
        <v>0</v>
      </c>
      <c r="F56" s="319">
        <f t="array" ref="F56">SUM(IF((Budget[Account Code]=$B56)*(Budget[Date]=F$7),Budget[Amount]))</f>
        <v>0</v>
      </c>
      <c r="G56" s="319">
        <f t="array" ref="G56">SUM(IF((Budget[Account Code]=$B56)*(Budget[Date]=G$7),Budget[Amount]))</f>
        <v>0</v>
      </c>
      <c r="H56" s="319">
        <f t="array" ref="H56">SUM(IF((Budget[Account Code]=$B56)*(Budget[Date]=H$7),Budget[Amount]))</f>
        <v>0</v>
      </c>
      <c r="I56" s="319">
        <f t="array" ref="I56">SUM(IF((Budget[Account Code]=$B56)*(Budget[Date]=I$7),Budget[Amount]))</f>
        <v>0</v>
      </c>
      <c r="J56" s="319">
        <f t="array" ref="J56">SUM(IF((Budget[Account Code]=$B56)*(Budget[Date]=J$7),Budget[Amount]))</f>
        <v>0</v>
      </c>
      <c r="K56" s="319">
        <f t="array" ref="K56">SUM(IF((Budget[Account Code]=$B56)*(Budget[Date]=K$7),Budget[Amount]))</f>
        <v>0</v>
      </c>
      <c r="L56" s="319">
        <f t="array" ref="L56">SUM(IF((Budget[Account Code]=$B56)*(Budget[Date]=L$7),Budget[Amount]))</f>
        <v>0</v>
      </c>
      <c r="M56" s="319">
        <f t="array" ref="M56">SUM(IF((Budget[Account Code]=$B56)*(Budget[Date]=M$7),Budget[Amount]))</f>
        <v>0</v>
      </c>
      <c r="N56" s="319">
        <f t="array" ref="N56">SUM(IF((Budget[Account Code]=$B56)*(Budget[Date]=N$7),Budget[Amount]))</f>
        <v>0</v>
      </c>
      <c r="O56" s="319">
        <f t="array" ref="O56">SUM(IF((Budget[Account Code]=$B56)*(Budget[Date]=O$7),Budget[Amount]))</f>
        <v>0</v>
      </c>
      <c r="P56" s="319">
        <f t="shared" si="2"/>
        <v>0</v>
      </c>
    </row>
    <row r="57" spans="1:16" x14ac:dyDescent="0.25">
      <c r="A57" s="325" t="s">
        <v>883</v>
      </c>
      <c r="B57" s="317" t="s">
        <v>7</v>
      </c>
      <c r="C57" s="319">
        <f t="shared" si="11"/>
        <v>0</v>
      </c>
      <c r="D57" s="319">
        <f t="array" ref="D57">SUM(IF((Budget[Account Code]=$B57)*(Budget[Date]=D$7),Budget[Amount]))</f>
        <v>0</v>
      </c>
      <c r="E57" s="319">
        <f t="array" ref="E57">SUM(IF((Budget[Account Code]=$B57)*(Budget[Date]=E$7),Budget[Amount]))</f>
        <v>0</v>
      </c>
      <c r="F57" s="319">
        <f t="array" ref="F57">SUM(IF((Budget[Account Code]=$B57)*(Budget[Date]=F$7),Budget[Amount]))</f>
        <v>0</v>
      </c>
      <c r="G57" s="319">
        <f t="array" ref="G57">SUM(IF((Budget[Account Code]=$B57)*(Budget[Date]=G$7),Budget[Amount]))</f>
        <v>0</v>
      </c>
      <c r="H57" s="319">
        <f t="array" ref="H57">SUM(IF((Budget[Account Code]=$B57)*(Budget[Date]=H$7),Budget[Amount]))</f>
        <v>0</v>
      </c>
      <c r="I57" s="319">
        <f t="array" ref="I57">SUM(IF((Budget[Account Code]=$B57)*(Budget[Date]=I$7),Budget[Amount]))</f>
        <v>0</v>
      </c>
      <c r="J57" s="319">
        <f t="array" ref="J57">SUM(IF((Budget[Account Code]=$B57)*(Budget[Date]=J$7),Budget[Amount]))</f>
        <v>0</v>
      </c>
      <c r="K57" s="319">
        <f t="array" ref="K57">SUM(IF((Budget[Account Code]=$B57)*(Budget[Date]=K$7),Budget[Amount]))</f>
        <v>0</v>
      </c>
      <c r="L57" s="319">
        <f t="array" ref="L57">SUM(IF((Budget[Account Code]=$B57)*(Budget[Date]=L$7),Budget[Amount]))</f>
        <v>0</v>
      </c>
      <c r="M57" s="319">
        <f t="array" ref="M57">SUM(IF((Budget[Account Code]=$B57)*(Budget[Date]=M$7),Budget[Amount]))</f>
        <v>0</v>
      </c>
      <c r="N57" s="319">
        <f t="array" ref="N57">SUM(IF((Budget[Account Code]=$B57)*(Budget[Date]=N$7),Budget[Amount]))</f>
        <v>0</v>
      </c>
      <c r="O57" s="319">
        <f t="array" ref="O57">SUM(IF((Budget[Account Code]=$B57)*(Budget[Date]=O$7),Budget[Amount]))</f>
        <v>0</v>
      </c>
      <c r="P57" s="319">
        <f t="shared" si="2"/>
        <v>0</v>
      </c>
    </row>
    <row r="58" spans="1:16" x14ac:dyDescent="0.25">
      <c r="A58" s="325" t="s">
        <v>884</v>
      </c>
      <c r="B58" s="317" t="s">
        <v>5</v>
      </c>
      <c r="C58" s="319">
        <f t="shared" si="11"/>
        <v>0</v>
      </c>
      <c r="D58" s="319">
        <f t="array" ref="D58">SUM(IF((Budget[Account Code]=$B58)*(Budget[Date]=D$7),Budget[Amount]))</f>
        <v>0</v>
      </c>
      <c r="E58" s="319">
        <f t="array" ref="E58">SUM(IF((Budget[Account Code]=$B58)*(Budget[Date]=E$7),Budget[Amount]))</f>
        <v>0</v>
      </c>
      <c r="F58" s="319">
        <f t="array" ref="F58">SUM(IF((Budget[Account Code]=$B58)*(Budget[Date]=F$7),Budget[Amount]))</f>
        <v>0</v>
      </c>
      <c r="G58" s="319">
        <f t="array" ref="G58">SUM(IF((Budget[Account Code]=$B58)*(Budget[Date]=G$7),Budget[Amount]))</f>
        <v>0</v>
      </c>
      <c r="H58" s="319">
        <f t="array" ref="H58">SUM(IF((Budget[Account Code]=$B58)*(Budget[Date]=H$7),Budget[Amount]))</f>
        <v>0</v>
      </c>
      <c r="I58" s="319">
        <f t="array" ref="I58">SUM(IF((Budget[Account Code]=$B58)*(Budget[Date]=I$7),Budget[Amount]))</f>
        <v>0</v>
      </c>
      <c r="J58" s="319">
        <f t="array" ref="J58">SUM(IF((Budget[Account Code]=$B58)*(Budget[Date]=J$7),Budget[Amount]))</f>
        <v>0</v>
      </c>
      <c r="K58" s="319">
        <f t="array" ref="K58">SUM(IF((Budget[Account Code]=$B58)*(Budget[Date]=K$7),Budget[Amount]))</f>
        <v>0</v>
      </c>
      <c r="L58" s="319">
        <f t="array" ref="L58">SUM(IF((Budget[Account Code]=$B58)*(Budget[Date]=L$7),Budget[Amount]))</f>
        <v>0</v>
      </c>
      <c r="M58" s="319">
        <f t="array" ref="M58">SUM(IF((Budget[Account Code]=$B58)*(Budget[Date]=M$7),Budget[Amount]))</f>
        <v>0</v>
      </c>
      <c r="N58" s="319">
        <f t="array" ref="N58">SUM(IF((Budget[Account Code]=$B58)*(Budget[Date]=N$7),Budget[Amount]))</f>
        <v>0</v>
      </c>
      <c r="O58" s="319">
        <f t="array" ref="O58">SUM(IF((Budget[Account Code]=$B58)*(Budget[Date]=O$7),Budget[Amount]))</f>
        <v>0</v>
      </c>
      <c r="P58" s="319">
        <f t="shared" si="2"/>
        <v>0</v>
      </c>
    </row>
    <row r="59" spans="1:16" x14ac:dyDescent="0.25">
      <c r="A59" s="325" t="s">
        <v>885</v>
      </c>
      <c r="B59" s="317" t="s">
        <v>6</v>
      </c>
      <c r="C59" s="319">
        <f t="shared" si="11"/>
        <v>0</v>
      </c>
      <c r="D59" s="319">
        <f t="array" ref="D59">SUM(IF((Budget[Account Code]=$B59)*(Budget[Date]=D$7),Budget[Amount]))</f>
        <v>0</v>
      </c>
      <c r="E59" s="319">
        <f t="array" ref="E59">SUM(IF((Budget[Account Code]=$B59)*(Budget[Date]=E$7),Budget[Amount]))</f>
        <v>0</v>
      </c>
      <c r="F59" s="319">
        <f t="array" ref="F59">SUM(IF((Budget[Account Code]=$B59)*(Budget[Date]=F$7),Budget[Amount]))</f>
        <v>0</v>
      </c>
      <c r="G59" s="319">
        <f t="array" ref="G59">SUM(IF((Budget[Account Code]=$B59)*(Budget[Date]=G$7),Budget[Amount]))</f>
        <v>0</v>
      </c>
      <c r="H59" s="319">
        <f t="array" ref="H59">SUM(IF((Budget[Account Code]=$B59)*(Budget[Date]=H$7),Budget[Amount]))</f>
        <v>0</v>
      </c>
      <c r="I59" s="319">
        <f t="array" ref="I59">SUM(IF((Budget[Account Code]=$B59)*(Budget[Date]=I$7),Budget[Amount]))</f>
        <v>0</v>
      </c>
      <c r="J59" s="319">
        <f t="array" ref="J59">SUM(IF((Budget[Account Code]=$B59)*(Budget[Date]=J$7),Budget[Amount]))</f>
        <v>0</v>
      </c>
      <c r="K59" s="319">
        <f t="array" ref="K59">SUM(IF((Budget[Account Code]=$B59)*(Budget[Date]=K$7),Budget[Amount]))</f>
        <v>0</v>
      </c>
      <c r="L59" s="319">
        <f t="array" ref="L59">SUM(IF((Budget[Account Code]=$B59)*(Budget[Date]=L$7),Budget[Amount]))</f>
        <v>0</v>
      </c>
      <c r="M59" s="319">
        <f t="array" ref="M59">SUM(IF((Budget[Account Code]=$B59)*(Budget[Date]=M$7),Budget[Amount]))</f>
        <v>0</v>
      </c>
      <c r="N59" s="319">
        <f t="array" ref="N59">SUM(IF((Budget[Account Code]=$B59)*(Budget[Date]=N$7),Budget[Amount]))</f>
        <v>0</v>
      </c>
      <c r="O59" s="319">
        <f t="array" ref="O59">SUM(IF((Budget[Account Code]=$B59)*(Budget[Date]=O$7),Budget[Amount]))</f>
        <v>0</v>
      </c>
      <c r="P59" s="319">
        <f t="shared" si="2"/>
        <v>0</v>
      </c>
    </row>
    <row r="60" spans="1:16" x14ac:dyDescent="0.25">
      <c r="A60" s="325" t="s">
        <v>886</v>
      </c>
      <c r="B60" s="317" t="s">
        <v>172</v>
      </c>
      <c r="C60" s="319">
        <f t="shared" si="11"/>
        <v>0</v>
      </c>
      <c r="D60" s="319">
        <f t="array" ref="D60">SUM(IF((Budget[Account Code]=$B60)*(Budget[Date]=D$7),Budget[Amount]))</f>
        <v>0</v>
      </c>
      <c r="E60" s="319">
        <f t="array" ref="E60">SUM(IF((Budget[Account Code]=$B60)*(Budget[Date]=E$7),Budget[Amount]))</f>
        <v>0</v>
      </c>
      <c r="F60" s="319">
        <f t="array" ref="F60">SUM(IF((Budget[Account Code]=$B60)*(Budget[Date]=F$7),Budget[Amount]))</f>
        <v>0</v>
      </c>
      <c r="G60" s="319">
        <f t="array" ref="G60">SUM(IF((Budget[Account Code]=$B60)*(Budget[Date]=G$7),Budget[Amount]))</f>
        <v>0</v>
      </c>
      <c r="H60" s="319">
        <f t="array" ref="H60">SUM(IF((Budget[Account Code]=$B60)*(Budget[Date]=H$7),Budget[Amount]))</f>
        <v>0</v>
      </c>
      <c r="I60" s="319">
        <f t="array" ref="I60">SUM(IF((Budget[Account Code]=$B60)*(Budget[Date]=I$7),Budget[Amount]))</f>
        <v>0</v>
      </c>
      <c r="J60" s="319">
        <f t="array" ref="J60">SUM(IF((Budget[Account Code]=$B60)*(Budget[Date]=J$7),Budget[Amount]))</f>
        <v>0</v>
      </c>
      <c r="K60" s="319">
        <f t="array" ref="K60">SUM(IF((Budget[Account Code]=$B60)*(Budget[Date]=K$7),Budget[Amount]))</f>
        <v>0</v>
      </c>
      <c r="L60" s="319">
        <f t="array" ref="L60">SUM(IF((Budget[Account Code]=$B60)*(Budget[Date]=L$7),Budget[Amount]))</f>
        <v>0</v>
      </c>
      <c r="M60" s="319">
        <f t="array" ref="M60">SUM(IF((Budget[Account Code]=$B60)*(Budget[Date]=M$7),Budget[Amount]))</f>
        <v>0</v>
      </c>
      <c r="N60" s="319">
        <f t="array" ref="N60">SUM(IF((Budget[Account Code]=$B60)*(Budget[Date]=N$7),Budget[Amount]))</f>
        <v>0</v>
      </c>
      <c r="O60" s="319">
        <f t="array" ref="O60">SUM(IF((Budget[Account Code]=$B60)*(Budget[Date]=O$7),Budget[Amount]))</f>
        <v>0</v>
      </c>
      <c r="P60" s="319">
        <f t="shared" si="2"/>
        <v>0</v>
      </c>
    </row>
    <row r="61" spans="1:16" x14ac:dyDescent="0.25">
      <c r="A61" s="325" t="s">
        <v>887</v>
      </c>
      <c r="B61" s="317" t="s">
        <v>170</v>
      </c>
      <c r="C61" s="319">
        <f t="shared" si="11"/>
        <v>0</v>
      </c>
      <c r="D61" s="319">
        <f t="array" ref="D61">SUM(IF((Budget[Account Code]=$B61)*(Budget[Date]=D$7),Budget[Amount]))</f>
        <v>0</v>
      </c>
      <c r="E61" s="319">
        <f t="array" ref="E61">SUM(IF((Budget[Account Code]=$B61)*(Budget[Date]=E$7),Budget[Amount]))</f>
        <v>0</v>
      </c>
      <c r="F61" s="319">
        <f t="array" ref="F61">SUM(IF((Budget[Account Code]=$B61)*(Budget[Date]=F$7),Budget[Amount]))</f>
        <v>0</v>
      </c>
      <c r="G61" s="319">
        <f t="array" ref="G61">SUM(IF((Budget[Account Code]=$B61)*(Budget[Date]=G$7),Budget[Amount]))</f>
        <v>0</v>
      </c>
      <c r="H61" s="319">
        <f t="array" ref="H61">SUM(IF((Budget[Account Code]=$B61)*(Budget[Date]=H$7),Budget[Amount]))</f>
        <v>0</v>
      </c>
      <c r="I61" s="319">
        <f t="array" ref="I61">SUM(IF((Budget[Account Code]=$B61)*(Budget[Date]=I$7),Budget[Amount]))</f>
        <v>0</v>
      </c>
      <c r="J61" s="319">
        <f t="array" ref="J61">SUM(IF((Budget[Account Code]=$B61)*(Budget[Date]=J$7),Budget[Amount]))</f>
        <v>0</v>
      </c>
      <c r="K61" s="319">
        <f t="array" ref="K61">SUM(IF((Budget[Account Code]=$B61)*(Budget[Date]=K$7),Budget[Amount]))</f>
        <v>0</v>
      </c>
      <c r="L61" s="319">
        <f t="array" ref="L61">SUM(IF((Budget[Account Code]=$B61)*(Budget[Date]=L$7),Budget[Amount]))</f>
        <v>0</v>
      </c>
      <c r="M61" s="319">
        <f t="array" ref="M61">SUM(IF((Budget[Account Code]=$B61)*(Budget[Date]=M$7),Budget[Amount]))</f>
        <v>0</v>
      </c>
      <c r="N61" s="319">
        <f t="array" ref="N61">SUM(IF((Budget[Account Code]=$B61)*(Budget[Date]=N$7),Budget[Amount]))</f>
        <v>0</v>
      </c>
      <c r="O61" s="319">
        <f t="array" ref="O61">SUM(IF((Budget[Account Code]=$B61)*(Budget[Date]=O$7),Budget[Amount]))</f>
        <v>0</v>
      </c>
      <c r="P61" s="319">
        <f t="shared" si="2"/>
        <v>0</v>
      </c>
    </row>
    <row r="62" spans="1:16" x14ac:dyDescent="0.25">
      <c r="A62" s="325" t="s">
        <v>888</v>
      </c>
      <c r="B62" s="317" t="s">
        <v>168</v>
      </c>
      <c r="C62" s="319">
        <f t="shared" si="11"/>
        <v>0</v>
      </c>
      <c r="D62" s="319">
        <f t="array" ref="D62">SUM(IF((Budget[Account Code]=$B62)*(Budget[Date]=D$7),Budget[Amount]))</f>
        <v>0</v>
      </c>
      <c r="E62" s="319">
        <f t="array" ref="E62">SUM(IF((Budget[Account Code]=$B62)*(Budget[Date]=E$7),Budget[Amount]))</f>
        <v>0</v>
      </c>
      <c r="F62" s="319">
        <f t="array" ref="F62">SUM(IF((Budget[Account Code]=$B62)*(Budget[Date]=F$7),Budget[Amount]))</f>
        <v>0</v>
      </c>
      <c r="G62" s="319">
        <f t="array" ref="G62">SUM(IF((Budget[Account Code]=$B62)*(Budget[Date]=G$7),Budget[Amount]))</f>
        <v>0</v>
      </c>
      <c r="H62" s="319">
        <f t="array" ref="H62">SUM(IF((Budget[Account Code]=$B62)*(Budget[Date]=H$7),Budget[Amount]))</f>
        <v>0</v>
      </c>
      <c r="I62" s="319">
        <f t="array" ref="I62">SUM(IF((Budget[Account Code]=$B62)*(Budget[Date]=I$7),Budget[Amount]))</f>
        <v>0</v>
      </c>
      <c r="J62" s="319">
        <f t="array" ref="J62">SUM(IF((Budget[Account Code]=$B62)*(Budget[Date]=J$7),Budget[Amount]))</f>
        <v>0</v>
      </c>
      <c r="K62" s="319">
        <f t="array" ref="K62">SUM(IF((Budget[Account Code]=$B62)*(Budget[Date]=K$7),Budget[Amount]))</f>
        <v>0</v>
      </c>
      <c r="L62" s="319">
        <f t="array" ref="L62">SUM(IF((Budget[Account Code]=$B62)*(Budget[Date]=L$7),Budget[Amount]))</f>
        <v>0</v>
      </c>
      <c r="M62" s="319">
        <f t="array" ref="M62">SUM(IF((Budget[Account Code]=$B62)*(Budget[Date]=M$7),Budget[Amount]))</f>
        <v>0</v>
      </c>
      <c r="N62" s="319">
        <f t="array" ref="N62">SUM(IF((Budget[Account Code]=$B62)*(Budget[Date]=N$7),Budget[Amount]))</f>
        <v>0</v>
      </c>
      <c r="O62" s="319">
        <f t="array" ref="O62">SUM(IF((Budget[Account Code]=$B62)*(Budget[Date]=O$7),Budget[Amount]))</f>
        <v>0</v>
      </c>
      <c r="P62" s="319">
        <f t="shared" si="2"/>
        <v>0</v>
      </c>
    </row>
    <row r="63" spans="1:16" x14ac:dyDescent="0.25">
      <c r="A63" s="325" t="s">
        <v>889</v>
      </c>
      <c r="B63" s="317" t="s">
        <v>174</v>
      </c>
      <c r="C63" s="319">
        <f t="shared" si="11"/>
        <v>0</v>
      </c>
      <c r="D63" s="319">
        <f t="array" ref="D63">SUM(IF((Budget[Account Code]=$B63)*(Budget[Date]=D$7),Budget[Amount]))</f>
        <v>0</v>
      </c>
      <c r="E63" s="319">
        <f t="array" ref="E63">SUM(IF((Budget[Account Code]=$B63)*(Budget[Date]=E$7),Budget[Amount]))</f>
        <v>0</v>
      </c>
      <c r="F63" s="319">
        <f t="array" ref="F63">SUM(IF((Budget[Account Code]=$B63)*(Budget[Date]=F$7),Budget[Amount]))</f>
        <v>0</v>
      </c>
      <c r="G63" s="319">
        <f t="array" ref="G63">SUM(IF((Budget[Account Code]=$B63)*(Budget[Date]=G$7),Budget[Amount]))</f>
        <v>0</v>
      </c>
      <c r="H63" s="319">
        <f t="array" ref="H63">SUM(IF((Budget[Account Code]=$B63)*(Budget[Date]=H$7),Budget[Amount]))</f>
        <v>0</v>
      </c>
      <c r="I63" s="319">
        <f t="array" ref="I63">SUM(IF((Budget[Account Code]=$B63)*(Budget[Date]=I$7),Budget[Amount]))</f>
        <v>0</v>
      </c>
      <c r="J63" s="319">
        <f t="array" ref="J63">SUM(IF((Budget[Account Code]=$B63)*(Budget[Date]=J$7),Budget[Amount]))</f>
        <v>0</v>
      </c>
      <c r="K63" s="319">
        <f t="array" ref="K63">SUM(IF((Budget[Account Code]=$B63)*(Budget[Date]=K$7),Budget[Amount]))</f>
        <v>0</v>
      </c>
      <c r="L63" s="319">
        <f t="array" ref="L63">SUM(IF((Budget[Account Code]=$B63)*(Budget[Date]=L$7),Budget[Amount]))</f>
        <v>0</v>
      </c>
      <c r="M63" s="319">
        <f t="array" ref="M63">SUM(IF((Budget[Account Code]=$B63)*(Budget[Date]=M$7),Budget[Amount]))</f>
        <v>0</v>
      </c>
      <c r="N63" s="319">
        <f t="array" ref="N63">SUM(IF((Budget[Account Code]=$B63)*(Budget[Date]=N$7),Budget[Amount]))</f>
        <v>0</v>
      </c>
      <c r="O63" s="319">
        <f t="array" ref="O63">SUM(IF((Budget[Account Code]=$B63)*(Budget[Date]=O$7),Budget[Amount]))</f>
        <v>0</v>
      </c>
      <c r="P63" s="319">
        <f t="shared" si="2"/>
        <v>0</v>
      </c>
    </row>
    <row r="64" spans="1:16" x14ac:dyDescent="0.25">
      <c r="A64" s="325" t="s">
        <v>890</v>
      </c>
      <c r="B64" s="317" t="s">
        <v>214</v>
      </c>
      <c r="C64" s="319">
        <f t="shared" si="11"/>
        <v>0</v>
      </c>
      <c r="D64" s="319">
        <f t="array" ref="D64">SUM(IF((Budget[Account Code]=$B64)*(Budget[Date]=D$7),Budget[Amount]))</f>
        <v>0</v>
      </c>
      <c r="E64" s="319">
        <f t="array" ref="E64">SUM(IF((Budget[Account Code]=$B64)*(Budget[Date]=E$7),Budget[Amount]))</f>
        <v>0</v>
      </c>
      <c r="F64" s="319">
        <f t="array" ref="F64">SUM(IF((Budget[Account Code]=$B64)*(Budget[Date]=F$7),Budget[Amount]))</f>
        <v>0</v>
      </c>
      <c r="G64" s="319">
        <f t="array" ref="G64">SUM(IF((Budget[Account Code]=$B64)*(Budget[Date]=G$7),Budget[Amount]))</f>
        <v>0</v>
      </c>
      <c r="H64" s="319">
        <f t="array" ref="H64">SUM(IF((Budget[Account Code]=$B64)*(Budget[Date]=H$7),Budget[Amount]))</f>
        <v>0</v>
      </c>
      <c r="I64" s="319">
        <f t="array" ref="I64">SUM(IF((Budget[Account Code]=$B64)*(Budget[Date]=I$7),Budget[Amount]))</f>
        <v>0</v>
      </c>
      <c r="J64" s="319">
        <f t="array" ref="J64">SUM(IF((Budget[Account Code]=$B64)*(Budget[Date]=J$7),Budget[Amount]))</f>
        <v>0</v>
      </c>
      <c r="K64" s="319">
        <f t="array" ref="K64">SUM(IF((Budget[Account Code]=$B64)*(Budget[Date]=K$7),Budget[Amount]))</f>
        <v>0</v>
      </c>
      <c r="L64" s="319">
        <f t="array" ref="L64">SUM(IF((Budget[Account Code]=$B64)*(Budget[Date]=L$7),Budget[Amount]))</f>
        <v>0</v>
      </c>
      <c r="M64" s="319">
        <f t="array" ref="M64">SUM(IF((Budget[Account Code]=$B64)*(Budget[Date]=M$7),Budget[Amount]))</f>
        <v>0</v>
      </c>
      <c r="N64" s="319">
        <f t="array" ref="N64">SUM(IF((Budget[Account Code]=$B64)*(Budget[Date]=N$7),Budget[Amount]))</f>
        <v>0</v>
      </c>
      <c r="O64" s="319">
        <f t="array" ref="O64">SUM(IF((Budget[Account Code]=$B64)*(Budget[Date]=O$7),Budget[Amount]))</f>
        <v>0</v>
      </c>
      <c r="P64" s="319">
        <f t="shared" si="2"/>
        <v>0</v>
      </c>
    </row>
    <row r="65" spans="1:16" s="171" customFormat="1" x14ac:dyDescent="0.25">
      <c r="A65" s="320" t="s">
        <v>891</v>
      </c>
      <c r="B65" s="317"/>
      <c r="C65" s="322">
        <f t="shared" si="11"/>
        <v>0</v>
      </c>
      <c r="D65" s="322">
        <f>SUM(D66:D69)</f>
        <v>0</v>
      </c>
      <c r="E65" s="322">
        <f t="shared" ref="E65:O65" si="14">SUM(E66:E69)</f>
        <v>0</v>
      </c>
      <c r="F65" s="322">
        <f t="shared" si="14"/>
        <v>0</v>
      </c>
      <c r="G65" s="322">
        <f t="shared" si="14"/>
        <v>0</v>
      </c>
      <c r="H65" s="322">
        <f t="shared" si="14"/>
        <v>0</v>
      </c>
      <c r="I65" s="322">
        <f t="shared" si="14"/>
        <v>0</v>
      </c>
      <c r="J65" s="322">
        <f t="shared" si="14"/>
        <v>0</v>
      </c>
      <c r="K65" s="322">
        <f t="shared" si="14"/>
        <v>0</v>
      </c>
      <c r="L65" s="322">
        <f t="shared" si="14"/>
        <v>0</v>
      </c>
      <c r="M65" s="322">
        <f t="shared" si="14"/>
        <v>0</v>
      </c>
      <c r="N65" s="322">
        <f t="shared" si="14"/>
        <v>0</v>
      </c>
      <c r="O65" s="322">
        <f t="shared" si="14"/>
        <v>0</v>
      </c>
      <c r="P65" s="322">
        <f t="shared" si="2"/>
        <v>0</v>
      </c>
    </row>
    <row r="66" spans="1:16" x14ac:dyDescent="0.25">
      <c r="A66" s="325" t="s">
        <v>892</v>
      </c>
      <c r="B66" s="317" t="s">
        <v>175</v>
      </c>
      <c r="C66" s="319">
        <f t="shared" si="11"/>
        <v>0</v>
      </c>
      <c r="D66" s="319">
        <f t="array" ref="D66">SUM(IF((Budget[Account Code]=$B66)*(Budget[Date]=D$7),Budget[Amount]))</f>
        <v>0</v>
      </c>
      <c r="E66" s="319">
        <f t="array" ref="E66">SUM(IF((Budget[Account Code]=$B66)*(Budget[Date]=E$7),Budget[Amount]))</f>
        <v>0</v>
      </c>
      <c r="F66" s="319">
        <f t="array" ref="F66">SUM(IF((Budget[Account Code]=$B66)*(Budget[Date]=F$7),Budget[Amount]))</f>
        <v>0</v>
      </c>
      <c r="G66" s="319">
        <f t="array" ref="G66">SUM(IF((Budget[Account Code]=$B66)*(Budget[Date]=G$7),Budget[Amount]))</f>
        <v>0</v>
      </c>
      <c r="H66" s="319">
        <f t="array" ref="H66">SUM(IF((Budget[Account Code]=$B66)*(Budget[Date]=H$7),Budget[Amount]))</f>
        <v>0</v>
      </c>
      <c r="I66" s="319">
        <f t="array" ref="I66">SUM(IF((Budget[Account Code]=$B66)*(Budget[Date]=I$7),Budget[Amount]))</f>
        <v>0</v>
      </c>
      <c r="J66" s="319">
        <f t="array" ref="J66">SUM(IF((Budget[Account Code]=$B66)*(Budget[Date]=J$7),Budget[Amount]))</f>
        <v>0</v>
      </c>
      <c r="K66" s="319">
        <f t="array" ref="K66">SUM(IF((Budget[Account Code]=$B66)*(Budget[Date]=K$7),Budget[Amount]))</f>
        <v>0</v>
      </c>
      <c r="L66" s="319">
        <f t="array" ref="L66">SUM(IF((Budget[Account Code]=$B66)*(Budget[Date]=L$7),Budget[Amount]))</f>
        <v>0</v>
      </c>
      <c r="M66" s="319">
        <f t="array" ref="M66">SUM(IF((Budget[Account Code]=$B66)*(Budget[Date]=M$7),Budget[Amount]))</f>
        <v>0</v>
      </c>
      <c r="N66" s="319">
        <f t="array" ref="N66">SUM(IF((Budget[Account Code]=$B66)*(Budget[Date]=N$7),Budget[Amount]))</f>
        <v>0</v>
      </c>
      <c r="O66" s="319">
        <f t="array" ref="O66">SUM(IF((Budget[Account Code]=$B66)*(Budget[Date]=O$7),Budget[Amount]))</f>
        <v>0</v>
      </c>
      <c r="P66" s="319">
        <f t="shared" si="2"/>
        <v>0</v>
      </c>
    </row>
    <row r="67" spans="1:16" x14ac:dyDescent="0.25">
      <c r="A67" s="325" t="s">
        <v>893</v>
      </c>
      <c r="B67" s="317" t="s">
        <v>176</v>
      </c>
      <c r="C67" s="319">
        <f t="shared" si="11"/>
        <v>0</v>
      </c>
      <c r="D67" s="319">
        <f t="array" ref="D67">SUM(IF((Budget[Account Code]=$B67)*(Budget[Date]=D$7),Budget[Amount]))</f>
        <v>0</v>
      </c>
      <c r="E67" s="319">
        <f t="array" ref="E67">SUM(IF((Budget[Account Code]=$B67)*(Budget[Date]=E$7),Budget[Amount]))</f>
        <v>0</v>
      </c>
      <c r="F67" s="319">
        <f t="array" ref="F67">SUM(IF((Budget[Account Code]=$B67)*(Budget[Date]=F$7),Budget[Amount]))</f>
        <v>0</v>
      </c>
      <c r="G67" s="319">
        <f t="array" ref="G67">SUM(IF((Budget[Account Code]=$B67)*(Budget[Date]=G$7),Budget[Amount]))</f>
        <v>0</v>
      </c>
      <c r="H67" s="319">
        <f t="array" ref="H67">SUM(IF((Budget[Account Code]=$B67)*(Budget[Date]=H$7),Budget[Amount]))</f>
        <v>0</v>
      </c>
      <c r="I67" s="319">
        <f t="array" ref="I67">SUM(IF((Budget[Account Code]=$B67)*(Budget[Date]=I$7),Budget[Amount]))</f>
        <v>0</v>
      </c>
      <c r="J67" s="319">
        <f t="array" ref="J67">SUM(IF((Budget[Account Code]=$B67)*(Budget[Date]=J$7),Budget[Amount]))</f>
        <v>0</v>
      </c>
      <c r="K67" s="319">
        <f t="array" ref="K67">SUM(IF((Budget[Account Code]=$B67)*(Budget[Date]=K$7),Budget[Amount]))</f>
        <v>0</v>
      </c>
      <c r="L67" s="319">
        <f t="array" ref="L67">SUM(IF((Budget[Account Code]=$B67)*(Budget[Date]=L$7),Budget[Amount]))</f>
        <v>0</v>
      </c>
      <c r="M67" s="319">
        <f t="array" ref="M67">SUM(IF((Budget[Account Code]=$B67)*(Budget[Date]=M$7),Budget[Amount]))</f>
        <v>0</v>
      </c>
      <c r="N67" s="319">
        <f t="array" ref="N67">SUM(IF((Budget[Account Code]=$B67)*(Budget[Date]=N$7),Budget[Amount]))</f>
        <v>0</v>
      </c>
      <c r="O67" s="319">
        <f t="array" ref="O67">SUM(IF((Budget[Account Code]=$B67)*(Budget[Date]=O$7),Budget[Amount]))</f>
        <v>0</v>
      </c>
      <c r="P67" s="319">
        <f t="shared" si="2"/>
        <v>0</v>
      </c>
    </row>
    <row r="68" spans="1:16" x14ac:dyDescent="0.25">
      <c r="A68" s="325" t="s">
        <v>894</v>
      </c>
      <c r="B68" s="317" t="s">
        <v>177</v>
      </c>
      <c r="C68" s="319">
        <f t="shared" si="11"/>
        <v>0</v>
      </c>
      <c r="D68" s="319">
        <f t="array" ref="D68">SUM(IF((Budget[Account Code]=$B68)*(Budget[Date]=D$7),Budget[Amount]))</f>
        <v>0</v>
      </c>
      <c r="E68" s="319">
        <f t="array" ref="E68">SUM(IF((Budget[Account Code]=$B68)*(Budget[Date]=E$7),Budget[Amount]))</f>
        <v>0</v>
      </c>
      <c r="F68" s="319">
        <f t="array" ref="F68">SUM(IF((Budget[Account Code]=$B68)*(Budget[Date]=F$7),Budget[Amount]))</f>
        <v>0</v>
      </c>
      <c r="G68" s="319">
        <f t="array" ref="G68">SUM(IF((Budget[Account Code]=$B68)*(Budget[Date]=G$7),Budget[Amount]))</f>
        <v>0</v>
      </c>
      <c r="H68" s="319">
        <f t="array" ref="H68">SUM(IF((Budget[Account Code]=$B68)*(Budget[Date]=H$7),Budget[Amount]))</f>
        <v>0</v>
      </c>
      <c r="I68" s="319">
        <f t="array" ref="I68">SUM(IF((Budget[Account Code]=$B68)*(Budget[Date]=I$7),Budget[Amount]))</f>
        <v>0</v>
      </c>
      <c r="J68" s="319">
        <f t="array" ref="J68">SUM(IF((Budget[Account Code]=$B68)*(Budget[Date]=J$7),Budget[Amount]))</f>
        <v>0</v>
      </c>
      <c r="K68" s="319">
        <f t="array" ref="K68">SUM(IF((Budget[Account Code]=$B68)*(Budget[Date]=K$7),Budget[Amount]))</f>
        <v>0</v>
      </c>
      <c r="L68" s="319">
        <f t="array" ref="L68">SUM(IF((Budget[Account Code]=$B68)*(Budget[Date]=L$7),Budget[Amount]))</f>
        <v>0</v>
      </c>
      <c r="M68" s="319">
        <f t="array" ref="M68">SUM(IF((Budget[Account Code]=$B68)*(Budget[Date]=M$7),Budget[Amount]))</f>
        <v>0</v>
      </c>
      <c r="N68" s="319">
        <f t="array" ref="N68">SUM(IF((Budget[Account Code]=$B68)*(Budget[Date]=N$7),Budget[Amount]))</f>
        <v>0</v>
      </c>
      <c r="O68" s="319">
        <f t="array" ref="O68">SUM(IF((Budget[Account Code]=$B68)*(Budget[Date]=O$7),Budget[Amount]))</f>
        <v>0</v>
      </c>
      <c r="P68" s="319">
        <f t="shared" si="2"/>
        <v>0</v>
      </c>
    </row>
    <row r="69" spans="1:16" x14ac:dyDescent="0.25">
      <c r="A69" s="325" t="s">
        <v>895</v>
      </c>
      <c r="B69" s="317" t="s">
        <v>178</v>
      </c>
      <c r="C69" s="319">
        <f t="shared" si="11"/>
        <v>0</v>
      </c>
      <c r="D69" s="319">
        <f t="array" ref="D69">SUM(IF((Budget[Account Code]=$B69)*(Budget[Date]=D$7),Budget[Amount]))</f>
        <v>0</v>
      </c>
      <c r="E69" s="319">
        <f t="array" ref="E69">SUM(IF((Budget[Account Code]=$B69)*(Budget[Date]=E$7),Budget[Amount]))</f>
        <v>0</v>
      </c>
      <c r="F69" s="319">
        <f t="array" ref="F69">SUM(IF((Budget[Account Code]=$B69)*(Budget[Date]=F$7),Budget[Amount]))</f>
        <v>0</v>
      </c>
      <c r="G69" s="319">
        <f t="array" ref="G69">SUM(IF((Budget[Account Code]=$B69)*(Budget[Date]=G$7),Budget[Amount]))</f>
        <v>0</v>
      </c>
      <c r="H69" s="319">
        <f t="array" ref="H69">SUM(IF((Budget[Account Code]=$B69)*(Budget[Date]=H$7),Budget[Amount]))</f>
        <v>0</v>
      </c>
      <c r="I69" s="319">
        <f t="array" ref="I69">SUM(IF((Budget[Account Code]=$B69)*(Budget[Date]=I$7),Budget[Amount]))</f>
        <v>0</v>
      </c>
      <c r="J69" s="319">
        <f t="array" ref="J69">SUM(IF((Budget[Account Code]=$B69)*(Budget[Date]=J$7),Budget[Amount]))</f>
        <v>0</v>
      </c>
      <c r="K69" s="319">
        <f t="array" ref="K69">SUM(IF((Budget[Account Code]=$B69)*(Budget[Date]=K$7),Budget[Amount]))</f>
        <v>0</v>
      </c>
      <c r="L69" s="319">
        <f t="array" ref="L69">SUM(IF((Budget[Account Code]=$B69)*(Budget[Date]=L$7),Budget[Amount]))</f>
        <v>0</v>
      </c>
      <c r="M69" s="319">
        <f t="array" ref="M69">SUM(IF((Budget[Account Code]=$B69)*(Budget[Date]=M$7),Budget[Amount]))</f>
        <v>0</v>
      </c>
      <c r="N69" s="319">
        <f t="array" ref="N69">SUM(IF((Budget[Account Code]=$B69)*(Budget[Date]=N$7),Budget[Amount]))</f>
        <v>0</v>
      </c>
      <c r="O69" s="319">
        <f t="array" ref="O69">SUM(IF((Budget[Account Code]=$B69)*(Budget[Date]=O$7),Budget[Amount]))</f>
        <v>0</v>
      </c>
      <c r="P69" s="319">
        <f t="shared" si="2"/>
        <v>0</v>
      </c>
    </row>
    <row r="70" spans="1:16" x14ac:dyDescent="0.25">
      <c r="A70" s="320" t="s">
        <v>896</v>
      </c>
      <c r="B70" s="317"/>
      <c r="C70" s="319">
        <f t="shared" si="11"/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>
        <v>0</v>
      </c>
      <c r="M70" s="319">
        <v>0</v>
      </c>
      <c r="N70" s="319">
        <v>0</v>
      </c>
      <c r="O70" s="319">
        <v>0</v>
      </c>
      <c r="P70" s="319">
        <f t="shared" si="2"/>
        <v>0</v>
      </c>
    </row>
    <row r="71" spans="1:16" x14ac:dyDescent="0.25">
      <c r="A71" s="325" t="s">
        <v>897</v>
      </c>
      <c r="B71" s="317" t="s">
        <v>216</v>
      </c>
      <c r="C71" s="319">
        <f t="shared" si="11"/>
        <v>0</v>
      </c>
      <c r="D71" s="319">
        <f t="array" ref="D71">SUM(IF((Budget[Account Code]=$B71)*(Budget[Date]=D$7),Budget[Amount]))</f>
        <v>0</v>
      </c>
      <c r="E71" s="319">
        <f t="array" ref="E71">SUM(IF((Budget[Account Code]=$B71)*(Budget[Date]=E$7),Budget[Amount]))</f>
        <v>0</v>
      </c>
      <c r="F71" s="319">
        <f t="array" ref="F71">SUM(IF((Budget[Account Code]=$B71)*(Budget[Date]=F$7),Budget[Amount]))</f>
        <v>0</v>
      </c>
      <c r="G71" s="319">
        <f t="array" ref="G71">SUM(IF((Budget[Account Code]=$B71)*(Budget[Date]=G$7),Budget[Amount]))</f>
        <v>0</v>
      </c>
      <c r="H71" s="319">
        <f t="array" ref="H71">SUM(IF((Budget[Account Code]=$B71)*(Budget[Date]=H$7),Budget[Amount]))</f>
        <v>0</v>
      </c>
      <c r="I71" s="319">
        <f t="array" ref="I71">SUM(IF((Budget[Account Code]=$B71)*(Budget[Date]=I$7),Budget[Amount]))</f>
        <v>0</v>
      </c>
      <c r="J71" s="319">
        <f t="array" ref="J71">SUM(IF((Budget[Account Code]=$B71)*(Budget[Date]=J$7),Budget[Amount]))</f>
        <v>0</v>
      </c>
      <c r="K71" s="319">
        <f t="array" ref="K71">SUM(IF((Budget[Account Code]=$B71)*(Budget[Date]=K$7),Budget[Amount]))</f>
        <v>0</v>
      </c>
      <c r="L71" s="319">
        <f t="array" ref="L71">SUM(IF((Budget[Account Code]=$B71)*(Budget[Date]=L$7),Budget[Amount]))</f>
        <v>0</v>
      </c>
      <c r="M71" s="319">
        <f t="array" ref="M71">SUM(IF((Budget[Account Code]=$B71)*(Budget[Date]=M$7),Budget[Amount]))</f>
        <v>0</v>
      </c>
      <c r="N71" s="319">
        <f t="array" ref="N71">SUM(IF((Budget[Account Code]=$B71)*(Budget[Date]=N$7),Budget[Amount]))</f>
        <v>0</v>
      </c>
      <c r="O71" s="319">
        <f t="array" ref="O71">SUM(IF((Budget[Account Code]=$B71)*(Budget[Date]=O$7),Budget[Amount]))</f>
        <v>0</v>
      </c>
      <c r="P71" s="319">
        <f t="shared" si="2"/>
        <v>0</v>
      </c>
    </row>
    <row r="72" spans="1:16" x14ac:dyDescent="0.25">
      <c r="A72" s="325" t="s">
        <v>898</v>
      </c>
      <c r="B72" s="317"/>
      <c r="C72" s="319">
        <f t="shared" si="11"/>
        <v>0</v>
      </c>
      <c r="D72" s="319">
        <f t="array" ref="D72">SUM(IF((Budget[Account Code]=$B72)*(Budget[Date]=D$7),Budget[Amount]))</f>
        <v>0</v>
      </c>
      <c r="E72" s="319">
        <f t="array" ref="E72">SUM(IF((Budget[Account Code]=$B72)*(Budget[Date]=E$7),Budget[Amount]))</f>
        <v>0</v>
      </c>
      <c r="F72" s="319">
        <f t="array" ref="F72">SUM(IF((Budget[Account Code]=$B72)*(Budget[Date]=F$7),Budget[Amount]))</f>
        <v>0</v>
      </c>
      <c r="G72" s="319">
        <f t="array" ref="G72">SUM(IF((Budget[Account Code]=$B72)*(Budget[Date]=G$7),Budget[Amount]))</f>
        <v>0</v>
      </c>
      <c r="H72" s="319">
        <f t="array" ref="H72">SUM(IF((Budget[Account Code]=$B72)*(Budget[Date]=H$7),Budget[Amount]))</f>
        <v>0</v>
      </c>
      <c r="I72" s="319">
        <f t="array" ref="I72">SUM(IF((Budget[Account Code]=$B72)*(Budget[Date]=I$7),Budget[Amount]))</f>
        <v>0</v>
      </c>
      <c r="J72" s="319">
        <f t="array" ref="J72">SUM(IF((Budget[Account Code]=$B72)*(Budget[Date]=J$7),Budget[Amount]))</f>
        <v>0</v>
      </c>
      <c r="K72" s="319">
        <f t="array" ref="K72">SUM(IF((Budget[Account Code]=$B72)*(Budget[Date]=K$7),Budget[Amount]))</f>
        <v>0</v>
      </c>
      <c r="L72" s="319">
        <f t="array" ref="L72">SUM(IF((Budget[Account Code]=$B72)*(Budget[Date]=L$7),Budget[Amount]))</f>
        <v>0</v>
      </c>
      <c r="M72" s="319">
        <f t="array" ref="M72">SUM(IF((Budget[Account Code]=$B72)*(Budget[Date]=M$7),Budget[Amount]))</f>
        <v>0</v>
      </c>
      <c r="N72" s="319">
        <f t="array" ref="N72">SUM(IF((Budget[Account Code]=$B72)*(Budget[Date]=N$7),Budget[Amount]))</f>
        <v>0</v>
      </c>
      <c r="O72" s="319">
        <f t="array" ref="O72">SUM(IF((Budget[Account Code]=$B72)*(Budget[Date]=O$7),Budget[Amount]))</f>
        <v>0</v>
      </c>
      <c r="P72" s="319">
        <f t="shared" si="2"/>
        <v>0</v>
      </c>
    </row>
    <row r="73" spans="1:16" x14ac:dyDescent="0.25">
      <c r="A73" s="325" t="s">
        <v>899</v>
      </c>
      <c r="B73" s="317"/>
      <c r="C73" s="319">
        <f t="shared" si="11"/>
        <v>0</v>
      </c>
      <c r="D73" s="319">
        <f t="array" ref="D73">SUM(IF((Budget[Account Code]=$B73)*(Budget[Date]=D$7),Budget[Amount]))</f>
        <v>0</v>
      </c>
      <c r="E73" s="319">
        <f t="array" ref="E73">SUM(IF((Budget[Account Code]=$B73)*(Budget[Date]=E$7),Budget[Amount]))</f>
        <v>0</v>
      </c>
      <c r="F73" s="319">
        <f t="array" ref="F73">SUM(IF((Budget[Account Code]=$B73)*(Budget[Date]=F$7),Budget[Amount]))</f>
        <v>0</v>
      </c>
      <c r="G73" s="319">
        <f t="array" ref="G73">SUM(IF((Budget[Account Code]=$B73)*(Budget[Date]=G$7),Budget[Amount]))</f>
        <v>0</v>
      </c>
      <c r="H73" s="319">
        <f t="array" ref="H73">SUM(IF((Budget[Account Code]=$B73)*(Budget[Date]=H$7),Budget[Amount]))</f>
        <v>0</v>
      </c>
      <c r="I73" s="319">
        <f t="array" ref="I73">SUM(IF((Budget[Account Code]=$B73)*(Budget[Date]=I$7),Budget[Amount]))</f>
        <v>0</v>
      </c>
      <c r="J73" s="319">
        <f t="array" ref="J73">SUM(IF((Budget[Account Code]=$B73)*(Budget[Date]=J$7),Budget[Amount]))</f>
        <v>0</v>
      </c>
      <c r="K73" s="319">
        <f t="array" ref="K73">SUM(IF((Budget[Account Code]=$B73)*(Budget[Date]=K$7),Budget[Amount]))</f>
        <v>0</v>
      </c>
      <c r="L73" s="319">
        <f t="array" ref="L73">SUM(IF((Budget[Account Code]=$B73)*(Budget[Date]=L$7),Budget[Amount]))</f>
        <v>0</v>
      </c>
      <c r="M73" s="319">
        <f t="array" ref="M73">SUM(IF((Budget[Account Code]=$B73)*(Budget[Date]=M$7),Budget[Amount]))</f>
        <v>0</v>
      </c>
      <c r="N73" s="319">
        <f t="array" ref="N73">SUM(IF((Budget[Account Code]=$B73)*(Budget[Date]=N$7),Budget[Amount]))</f>
        <v>0</v>
      </c>
      <c r="O73" s="319">
        <f t="array" ref="O73">SUM(IF((Budget[Account Code]=$B73)*(Budget[Date]=O$7),Budget[Amount]))</f>
        <v>0</v>
      </c>
      <c r="P73" s="319">
        <f t="shared" si="2"/>
        <v>0</v>
      </c>
    </row>
    <row r="74" spans="1:16" x14ac:dyDescent="0.25">
      <c r="A74" s="325" t="s">
        <v>900</v>
      </c>
      <c r="B74" s="317"/>
      <c r="C74" s="319">
        <f t="shared" si="11"/>
        <v>0</v>
      </c>
      <c r="D74" s="319">
        <f t="array" ref="D74">SUM(IF((Budget[Account Code]=$B74)*(Budget[Date]=D$7),Budget[Amount]))</f>
        <v>0</v>
      </c>
      <c r="E74" s="319">
        <f t="array" ref="E74">SUM(IF((Budget[Account Code]=$B74)*(Budget[Date]=E$7),Budget[Amount]))</f>
        <v>0</v>
      </c>
      <c r="F74" s="319">
        <f t="array" ref="F74">SUM(IF((Budget[Account Code]=$B74)*(Budget[Date]=F$7),Budget[Amount]))</f>
        <v>0</v>
      </c>
      <c r="G74" s="319">
        <f t="array" ref="G74">SUM(IF((Budget[Account Code]=$B74)*(Budget[Date]=G$7),Budget[Amount]))</f>
        <v>0</v>
      </c>
      <c r="H74" s="319">
        <f t="array" ref="H74">SUM(IF((Budget[Account Code]=$B74)*(Budget[Date]=H$7),Budget[Amount]))</f>
        <v>0</v>
      </c>
      <c r="I74" s="319">
        <f t="array" ref="I74">SUM(IF((Budget[Account Code]=$B74)*(Budget[Date]=I$7),Budget[Amount]))</f>
        <v>0</v>
      </c>
      <c r="J74" s="319">
        <f t="array" ref="J74">SUM(IF((Budget[Account Code]=$B74)*(Budget[Date]=J$7),Budget[Amount]))</f>
        <v>0</v>
      </c>
      <c r="K74" s="319">
        <f t="array" ref="K74">SUM(IF((Budget[Account Code]=$B74)*(Budget[Date]=K$7),Budget[Amount]))</f>
        <v>0</v>
      </c>
      <c r="L74" s="319">
        <f t="array" ref="L74">SUM(IF((Budget[Account Code]=$B74)*(Budget[Date]=L$7),Budget[Amount]))</f>
        <v>0</v>
      </c>
      <c r="M74" s="319">
        <f t="array" ref="M74">SUM(IF((Budget[Account Code]=$B74)*(Budget[Date]=M$7),Budget[Amount]))</f>
        <v>0</v>
      </c>
      <c r="N74" s="319">
        <f t="array" ref="N74">SUM(IF((Budget[Account Code]=$B74)*(Budget[Date]=N$7),Budget[Amount]))</f>
        <v>0</v>
      </c>
      <c r="O74" s="319">
        <f t="array" ref="O74">SUM(IF((Budget[Account Code]=$B74)*(Budget[Date]=O$7),Budget[Amount]))</f>
        <v>0</v>
      </c>
      <c r="P74" s="319">
        <f t="shared" si="2"/>
        <v>0</v>
      </c>
    </row>
    <row r="75" spans="1:16" s="171" customFormat="1" x14ac:dyDescent="0.25">
      <c r="A75" s="320" t="s">
        <v>901</v>
      </c>
      <c r="B75" s="317" t="s">
        <v>985</v>
      </c>
      <c r="C75" s="322">
        <f t="shared" si="11"/>
        <v>0</v>
      </c>
      <c r="D75" s="319">
        <f t="array" ref="D75">SUM(IF((Budget[Account Code]=$B75)*(Budget[Date]=D$7),Budget[Amount]))</f>
        <v>0</v>
      </c>
      <c r="E75" s="319">
        <f t="array" ref="E75">SUM(IF((Budget[Account Code]=$B75)*(Budget[Date]=E$7),Budget[Amount]))</f>
        <v>0</v>
      </c>
      <c r="F75" s="319">
        <f t="array" ref="F75">SUM(IF((Budget[Account Code]=$B75)*(Budget[Date]=F$7),Budget[Amount]))</f>
        <v>0</v>
      </c>
      <c r="G75" s="319">
        <f t="array" ref="G75">SUM(IF((Budget[Account Code]=$B75)*(Budget[Date]=G$7),Budget[Amount]))</f>
        <v>0</v>
      </c>
      <c r="H75" s="319">
        <f t="array" ref="H75">SUM(IF((Budget[Account Code]=$B75)*(Budget[Date]=H$7),Budget[Amount]))</f>
        <v>0</v>
      </c>
      <c r="I75" s="319">
        <f t="array" ref="I75">SUM(IF((Budget[Account Code]=$B75)*(Budget[Date]=I$7),Budget[Amount]))</f>
        <v>0</v>
      </c>
      <c r="J75" s="319">
        <f t="array" ref="J75">SUM(IF((Budget[Account Code]=$B75)*(Budget[Date]=J$7),Budget[Amount]))</f>
        <v>0</v>
      </c>
      <c r="K75" s="319">
        <f t="array" ref="K75">SUM(IF((Budget[Account Code]=$B75)*(Budget[Date]=K$7),Budget[Amount]))</f>
        <v>0</v>
      </c>
      <c r="L75" s="319">
        <f t="array" ref="L75">SUM(IF((Budget[Account Code]=$B75)*(Budget[Date]=L$7),Budget[Amount]))</f>
        <v>0</v>
      </c>
      <c r="M75" s="319">
        <f t="array" ref="M75">SUM(IF((Budget[Account Code]=$B75)*(Budget[Date]=M$7),Budget[Amount]))</f>
        <v>0</v>
      </c>
      <c r="N75" s="319">
        <f t="array" ref="N75">SUM(IF((Budget[Account Code]=$B75)*(Budget[Date]=N$7),Budget[Amount]))</f>
        <v>0</v>
      </c>
      <c r="O75" s="319">
        <f t="array" ref="O75">SUM(IF((Budget[Account Code]=$B75)*(Budget[Date]=O$7),Budget[Amount]))</f>
        <v>0</v>
      </c>
      <c r="P75" s="322">
        <f t="shared" si="2"/>
        <v>0</v>
      </c>
    </row>
    <row r="76" spans="1:16" s="171" customFormat="1" x14ac:dyDescent="0.25">
      <c r="A76" s="321" t="s">
        <v>902</v>
      </c>
      <c r="B76" s="317"/>
      <c r="C76" s="322">
        <f>SUM(D76:O76)</f>
        <v>0</v>
      </c>
      <c r="D76" s="322">
        <f>D47+D50+D65+D70+D75</f>
        <v>0</v>
      </c>
      <c r="E76" s="322">
        <f t="shared" ref="E76:O76" si="15">E47+E50+E65+E70+E75</f>
        <v>0</v>
      </c>
      <c r="F76" s="322">
        <f t="shared" si="15"/>
        <v>0</v>
      </c>
      <c r="G76" s="322">
        <f t="shared" si="15"/>
        <v>0</v>
      </c>
      <c r="H76" s="322">
        <f t="shared" si="15"/>
        <v>0</v>
      </c>
      <c r="I76" s="322">
        <f t="shared" si="15"/>
        <v>0</v>
      </c>
      <c r="J76" s="322">
        <f t="shared" si="15"/>
        <v>0</v>
      </c>
      <c r="K76" s="322">
        <f t="shared" si="15"/>
        <v>0</v>
      </c>
      <c r="L76" s="322">
        <f t="shared" si="15"/>
        <v>0</v>
      </c>
      <c r="M76" s="322">
        <f t="shared" si="15"/>
        <v>0</v>
      </c>
      <c r="N76" s="322">
        <f t="shared" si="15"/>
        <v>0</v>
      </c>
      <c r="O76" s="322">
        <f t="shared" si="15"/>
        <v>0</v>
      </c>
      <c r="P76" s="322">
        <f t="shared" ref="P76:P139" si="16">C76</f>
        <v>0</v>
      </c>
    </row>
    <row r="77" spans="1:16" s="171" customFormat="1" x14ac:dyDescent="0.25">
      <c r="A77" s="320" t="s">
        <v>903</v>
      </c>
      <c r="B77" s="317"/>
      <c r="C77" s="322">
        <f t="shared" ref="C77:C123" si="17">SUM(D77:O77)</f>
        <v>0</v>
      </c>
      <c r="D77" s="322">
        <f>D78+D79</f>
        <v>0</v>
      </c>
      <c r="E77" s="322">
        <f t="shared" ref="E77:O77" si="18">E78+E79</f>
        <v>0</v>
      </c>
      <c r="F77" s="322">
        <f t="shared" si="18"/>
        <v>0</v>
      </c>
      <c r="G77" s="322">
        <f t="shared" si="18"/>
        <v>0</v>
      </c>
      <c r="H77" s="322">
        <f t="shared" si="18"/>
        <v>0</v>
      </c>
      <c r="I77" s="322">
        <f t="shared" si="18"/>
        <v>0</v>
      </c>
      <c r="J77" s="322">
        <f t="shared" si="18"/>
        <v>0</v>
      </c>
      <c r="K77" s="322">
        <f t="shared" si="18"/>
        <v>0</v>
      </c>
      <c r="L77" s="322">
        <f t="shared" si="18"/>
        <v>0</v>
      </c>
      <c r="M77" s="322">
        <f t="shared" si="18"/>
        <v>0</v>
      </c>
      <c r="N77" s="322">
        <f t="shared" si="18"/>
        <v>0</v>
      </c>
      <c r="O77" s="322">
        <f t="shared" si="18"/>
        <v>0</v>
      </c>
      <c r="P77" s="322">
        <f t="shared" si="16"/>
        <v>0</v>
      </c>
    </row>
    <row r="78" spans="1:16" x14ac:dyDescent="0.25">
      <c r="A78" s="325" t="s">
        <v>904</v>
      </c>
      <c r="B78" s="317"/>
      <c r="C78" s="319">
        <f t="shared" si="17"/>
        <v>0</v>
      </c>
      <c r="D78" s="319">
        <f t="array" ref="D78">SUM(IF((Budget[Account Code]=$B78)*(Budget[Date]=D$7),Budget[Amount]))</f>
        <v>0</v>
      </c>
      <c r="E78" s="319">
        <f t="array" ref="E78">SUM(IF((Budget[Account Code]=$B78)*(Budget[Date]=E$7),Budget[Amount]))</f>
        <v>0</v>
      </c>
      <c r="F78" s="319">
        <f t="array" ref="F78">SUM(IF((Budget[Account Code]=$B78)*(Budget[Date]=F$7),Budget[Amount]))</f>
        <v>0</v>
      </c>
      <c r="G78" s="319">
        <f t="array" ref="G78">SUM(IF((Budget[Account Code]=$B78)*(Budget[Date]=G$7),Budget[Amount]))</f>
        <v>0</v>
      </c>
      <c r="H78" s="319">
        <f t="array" ref="H78">SUM(IF((Budget[Account Code]=$B78)*(Budget[Date]=H$7),Budget[Amount]))</f>
        <v>0</v>
      </c>
      <c r="I78" s="319">
        <f t="array" ref="I78">SUM(IF((Budget[Account Code]=$B78)*(Budget[Date]=I$7),Budget[Amount]))</f>
        <v>0</v>
      </c>
      <c r="J78" s="319">
        <f t="array" ref="J78">SUM(IF((Budget[Account Code]=$B78)*(Budget[Date]=J$7),Budget[Amount]))</f>
        <v>0</v>
      </c>
      <c r="K78" s="319">
        <f t="array" ref="K78">SUM(IF((Budget[Account Code]=$B78)*(Budget[Date]=K$7),Budget[Amount]))</f>
        <v>0</v>
      </c>
      <c r="L78" s="319">
        <f t="array" ref="L78">SUM(IF((Budget[Account Code]=$B78)*(Budget[Date]=L$7),Budget[Amount]))</f>
        <v>0</v>
      </c>
      <c r="M78" s="319">
        <f t="array" ref="M78">SUM(IF((Budget[Account Code]=$B78)*(Budget[Date]=M$7),Budget[Amount]))</f>
        <v>0</v>
      </c>
      <c r="N78" s="319">
        <f t="array" ref="N78">SUM(IF((Budget[Account Code]=$B78)*(Budget[Date]=N$7),Budget[Amount]))</f>
        <v>0</v>
      </c>
      <c r="O78" s="319">
        <f t="array" ref="O78">SUM(IF((Budget[Account Code]=$B78)*(Budget[Date]=O$7),Budget[Amount]))</f>
        <v>0</v>
      </c>
      <c r="P78" s="319">
        <f t="shared" si="16"/>
        <v>0</v>
      </c>
    </row>
    <row r="79" spans="1:16" x14ac:dyDescent="0.25">
      <c r="A79" s="325" t="s">
        <v>905</v>
      </c>
      <c r="B79" s="317" t="s">
        <v>212</v>
      </c>
      <c r="C79" s="319">
        <f t="shared" si="17"/>
        <v>0</v>
      </c>
      <c r="D79" s="319">
        <f t="array" ref="D79">SUM(IF((Budget[Account Code]=$B79)*(Budget[Date]=D$7),Budget[Amount]))</f>
        <v>0</v>
      </c>
      <c r="E79" s="319">
        <f t="array" ref="E79">SUM(IF((Budget[Account Code]=$B79)*(Budget[Date]=E$7),Budget[Amount]))</f>
        <v>0</v>
      </c>
      <c r="F79" s="319">
        <f t="array" ref="F79">SUM(IF((Budget[Account Code]=$B79)*(Budget[Date]=F$7),Budget[Amount]))</f>
        <v>0</v>
      </c>
      <c r="G79" s="319">
        <f t="array" ref="G79">SUM(IF((Budget[Account Code]=$B79)*(Budget[Date]=G$7),Budget[Amount]))</f>
        <v>0</v>
      </c>
      <c r="H79" s="319">
        <f t="array" ref="H79">SUM(IF((Budget[Account Code]=$B79)*(Budget[Date]=H$7),Budget[Amount]))</f>
        <v>0</v>
      </c>
      <c r="I79" s="319">
        <f t="array" ref="I79">SUM(IF((Budget[Account Code]=$B79)*(Budget[Date]=I$7),Budget[Amount]))</f>
        <v>0</v>
      </c>
      <c r="J79" s="319">
        <f t="array" ref="J79">SUM(IF((Budget[Account Code]=$B79)*(Budget[Date]=J$7),Budget[Amount]))</f>
        <v>0</v>
      </c>
      <c r="K79" s="319">
        <f t="array" ref="K79">SUM(IF((Budget[Account Code]=$B79)*(Budget[Date]=K$7),Budget[Amount]))</f>
        <v>0</v>
      </c>
      <c r="L79" s="319">
        <f t="array" ref="L79">SUM(IF((Budget[Account Code]=$B79)*(Budget[Date]=L$7),Budget[Amount]))</f>
        <v>0</v>
      </c>
      <c r="M79" s="319">
        <f t="array" ref="M79">SUM(IF((Budget[Account Code]=$B79)*(Budget[Date]=M$7),Budget[Amount]))</f>
        <v>0</v>
      </c>
      <c r="N79" s="319">
        <f t="array" ref="N79">SUM(IF((Budget[Account Code]=$B79)*(Budget[Date]=N$7),Budget[Amount]))</f>
        <v>0</v>
      </c>
      <c r="O79" s="319">
        <f t="array" ref="O79">SUM(IF((Budget[Account Code]=$B79)*(Budget[Date]=O$7),Budget[Amount]))</f>
        <v>0</v>
      </c>
      <c r="P79" s="319">
        <f t="shared" si="16"/>
        <v>0</v>
      </c>
    </row>
    <row r="80" spans="1:16" s="171" customFormat="1" x14ac:dyDescent="0.25">
      <c r="A80" s="320" t="s">
        <v>906</v>
      </c>
      <c r="B80" s="317"/>
      <c r="C80" s="322">
        <f t="shared" si="17"/>
        <v>0</v>
      </c>
      <c r="D80" s="322">
        <f>D76+D77</f>
        <v>0</v>
      </c>
      <c r="E80" s="322">
        <f t="shared" ref="E80:O80" si="19">E76+E77</f>
        <v>0</v>
      </c>
      <c r="F80" s="322">
        <f t="shared" si="19"/>
        <v>0</v>
      </c>
      <c r="G80" s="322">
        <f t="shared" si="19"/>
        <v>0</v>
      </c>
      <c r="H80" s="322">
        <f t="shared" si="19"/>
        <v>0</v>
      </c>
      <c r="I80" s="322">
        <f t="shared" si="19"/>
        <v>0</v>
      </c>
      <c r="J80" s="322">
        <f t="shared" si="19"/>
        <v>0</v>
      </c>
      <c r="K80" s="322">
        <f t="shared" si="19"/>
        <v>0</v>
      </c>
      <c r="L80" s="322">
        <f t="shared" si="19"/>
        <v>0</v>
      </c>
      <c r="M80" s="322">
        <f t="shared" si="19"/>
        <v>0</v>
      </c>
      <c r="N80" s="322">
        <f t="shared" si="19"/>
        <v>0</v>
      </c>
      <c r="O80" s="322">
        <f t="shared" si="19"/>
        <v>0</v>
      </c>
      <c r="P80" s="322">
        <f t="shared" si="16"/>
        <v>0</v>
      </c>
    </row>
    <row r="81" spans="1:16" s="171" customFormat="1" x14ac:dyDescent="0.25">
      <c r="A81" s="320"/>
      <c r="B81" s="317"/>
      <c r="C81" s="322"/>
      <c r="D81" s="322"/>
      <c r="E81" s="322"/>
      <c r="F81" s="322"/>
      <c r="G81" s="322"/>
      <c r="H81" s="322"/>
      <c r="I81" s="322"/>
      <c r="J81" s="322"/>
      <c r="K81" s="322"/>
      <c r="L81" s="322"/>
      <c r="M81" s="322"/>
      <c r="N81" s="322"/>
      <c r="O81" s="322"/>
      <c r="P81" s="322">
        <f t="shared" si="16"/>
        <v>0</v>
      </c>
    </row>
    <row r="82" spans="1:16" s="171" customFormat="1" hidden="1" x14ac:dyDescent="0.25">
      <c r="A82" s="320" t="s">
        <v>907</v>
      </c>
      <c r="B82" s="317"/>
      <c r="C82" s="322">
        <f>C80-C61-C62-C71-C72-C74-C78-C79</f>
        <v>0</v>
      </c>
      <c r="D82" s="322"/>
      <c r="E82" s="322"/>
      <c r="F82" s="322"/>
      <c r="G82" s="322"/>
      <c r="H82" s="322"/>
      <c r="I82" s="322"/>
      <c r="J82" s="322"/>
      <c r="K82" s="322"/>
      <c r="L82" s="322"/>
      <c r="M82" s="322"/>
      <c r="N82" s="322"/>
      <c r="O82" s="322"/>
      <c r="P82" s="322">
        <f t="shared" si="16"/>
        <v>0</v>
      </c>
    </row>
    <row r="83" spans="1:16" s="171" customFormat="1" hidden="1" x14ac:dyDescent="0.25">
      <c r="A83" s="320"/>
      <c r="B83" s="317"/>
      <c r="C83" s="322"/>
      <c r="D83" s="322"/>
      <c r="E83" s="322"/>
      <c r="F83" s="322"/>
      <c r="G83" s="322"/>
      <c r="H83" s="322"/>
      <c r="I83" s="322"/>
      <c r="J83" s="322"/>
      <c r="K83" s="322"/>
      <c r="L83" s="322"/>
      <c r="M83" s="322"/>
      <c r="N83" s="322"/>
      <c r="O83" s="322"/>
      <c r="P83" s="322">
        <f t="shared" si="16"/>
        <v>0</v>
      </c>
    </row>
    <row r="84" spans="1:16" s="171" customFormat="1" hidden="1" x14ac:dyDescent="0.25">
      <c r="A84" s="320"/>
      <c r="B84" s="317"/>
      <c r="C84" s="322"/>
      <c r="D84" s="322"/>
      <c r="E84" s="322"/>
      <c r="F84" s="322"/>
      <c r="G84" s="322"/>
      <c r="H84" s="322"/>
      <c r="I84" s="322"/>
      <c r="J84" s="322"/>
      <c r="K84" s="322"/>
      <c r="L84" s="322"/>
      <c r="M84" s="322"/>
      <c r="N84" s="322"/>
      <c r="O84" s="322"/>
      <c r="P84" s="322">
        <f t="shared" si="16"/>
        <v>0</v>
      </c>
    </row>
    <row r="85" spans="1:16" s="171" customFormat="1" hidden="1" x14ac:dyDescent="0.25">
      <c r="A85" s="320"/>
      <c r="B85" s="317"/>
      <c r="C85" s="322"/>
      <c r="D85" s="322"/>
      <c r="E85" s="322"/>
      <c r="F85" s="322"/>
      <c r="G85" s="322"/>
      <c r="H85" s="322"/>
      <c r="I85" s="322"/>
      <c r="J85" s="322"/>
      <c r="K85" s="322"/>
      <c r="L85" s="322"/>
      <c r="M85" s="322"/>
      <c r="N85" s="322"/>
      <c r="O85" s="322"/>
      <c r="P85" s="322">
        <f t="shared" si="16"/>
        <v>0</v>
      </c>
    </row>
    <row r="86" spans="1:16" x14ac:dyDescent="0.25">
      <c r="A86" s="320" t="s">
        <v>908</v>
      </c>
      <c r="B86" s="317"/>
      <c r="C86" s="319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>
        <f t="shared" si="16"/>
        <v>0</v>
      </c>
    </row>
    <row r="87" spans="1:16" s="171" customFormat="1" x14ac:dyDescent="0.25">
      <c r="A87" s="321" t="s">
        <v>909</v>
      </c>
      <c r="B87" s="317" t="s">
        <v>223</v>
      </c>
      <c r="C87" s="322">
        <f t="shared" si="17"/>
        <v>0</v>
      </c>
      <c r="D87" s="319">
        <f t="array" ref="D87">SUM(IF((Budget[Account Code]=$B87)*(Budget[Date]=D$7),Budget[Amount]))</f>
        <v>0</v>
      </c>
      <c r="E87" s="319">
        <f t="array" ref="E87">SUM(IF((Budget[Account Code]=$B87)*(Budget[Date]=E$7),Budget[Amount]))</f>
        <v>0</v>
      </c>
      <c r="F87" s="319">
        <f t="array" ref="F87">SUM(IF((Budget[Account Code]=$B87)*(Budget[Date]=F$7),Budget[Amount]))</f>
        <v>0</v>
      </c>
      <c r="G87" s="319">
        <f t="array" ref="G87">SUM(IF((Budget[Account Code]=$B87)*(Budget[Date]=G$7),Budget[Amount]))</f>
        <v>0</v>
      </c>
      <c r="H87" s="319">
        <f t="array" ref="H87">SUM(IF((Budget[Account Code]=$B87)*(Budget[Date]=H$7),Budget[Amount]))</f>
        <v>0</v>
      </c>
      <c r="I87" s="319">
        <f t="array" ref="I87">SUM(IF((Budget[Account Code]=$B87)*(Budget[Date]=I$7),Budget[Amount]))</f>
        <v>0</v>
      </c>
      <c r="J87" s="319">
        <f t="array" ref="J87">SUM(IF((Budget[Account Code]=$B87)*(Budget[Date]=J$7),Budget[Amount]))</f>
        <v>0</v>
      </c>
      <c r="K87" s="319">
        <f t="array" ref="K87">SUM(IF((Budget[Account Code]=$B87)*(Budget[Date]=K$7),Budget[Amount]))</f>
        <v>0</v>
      </c>
      <c r="L87" s="319">
        <f t="array" ref="L87">SUM(IF((Budget[Account Code]=$B87)*(Budget[Date]=L$7),Budget[Amount]))</f>
        <v>0</v>
      </c>
      <c r="M87" s="319">
        <f t="array" ref="M87">SUM(IF((Budget[Account Code]=$B87)*(Budget[Date]=M$7),Budget[Amount]))</f>
        <v>0</v>
      </c>
      <c r="N87" s="319">
        <f t="array" ref="N87">SUM(IF((Budget[Account Code]=$B87)*(Budget[Date]=N$7),Budget[Amount]))</f>
        <v>0</v>
      </c>
      <c r="O87" s="319">
        <f t="array" ref="O87">SUM(IF((Budget[Account Code]=$B87)*(Budget[Date]=O$7),Budget[Amount]))</f>
        <v>0</v>
      </c>
      <c r="P87" s="322">
        <f t="shared" si="16"/>
        <v>0</v>
      </c>
    </row>
    <row r="88" spans="1:16" s="171" customFormat="1" x14ac:dyDescent="0.25">
      <c r="A88" s="321" t="s">
        <v>910</v>
      </c>
      <c r="B88" s="317" t="s">
        <v>224</v>
      </c>
      <c r="C88" s="322">
        <f t="shared" si="17"/>
        <v>0</v>
      </c>
      <c r="D88" s="319">
        <f t="array" ref="D88">SUM(IF((Budget[Account Code]=$B88)*(Budget[Date]=D$7),Budget[Amount]))</f>
        <v>0</v>
      </c>
      <c r="E88" s="319">
        <f t="array" ref="E88">SUM(IF((Budget[Account Code]=$B88)*(Budget[Date]=E$7),Budget[Amount]))</f>
        <v>0</v>
      </c>
      <c r="F88" s="319">
        <f t="array" ref="F88">SUM(IF((Budget[Account Code]=$B88)*(Budget[Date]=F$7),Budget[Amount]))</f>
        <v>0</v>
      </c>
      <c r="G88" s="319">
        <f t="array" ref="G88">SUM(IF((Budget[Account Code]=$B88)*(Budget[Date]=G$7),Budget[Amount]))</f>
        <v>0</v>
      </c>
      <c r="H88" s="319">
        <f t="array" ref="H88">SUM(IF((Budget[Account Code]=$B88)*(Budget[Date]=H$7),Budget[Amount]))</f>
        <v>0</v>
      </c>
      <c r="I88" s="319">
        <f t="array" ref="I88">SUM(IF((Budget[Account Code]=$B88)*(Budget[Date]=I$7),Budget[Amount]))</f>
        <v>0</v>
      </c>
      <c r="J88" s="319">
        <f t="array" ref="J88">SUM(IF((Budget[Account Code]=$B88)*(Budget[Date]=J$7),Budget[Amount]))</f>
        <v>0</v>
      </c>
      <c r="K88" s="319">
        <f t="array" ref="K88">SUM(IF((Budget[Account Code]=$B88)*(Budget[Date]=K$7),Budget[Amount]))</f>
        <v>0</v>
      </c>
      <c r="L88" s="319">
        <f t="array" ref="L88">SUM(IF((Budget[Account Code]=$B88)*(Budget[Date]=L$7),Budget[Amount]))</f>
        <v>0</v>
      </c>
      <c r="M88" s="319">
        <f t="array" ref="M88">SUM(IF((Budget[Account Code]=$B88)*(Budget[Date]=M$7),Budget[Amount]))</f>
        <v>0</v>
      </c>
      <c r="N88" s="319">
        <f t="array" ref="N88">SUM(IF((Budget[Account Code]=$B88)*(Budget[Date]=N$7),Budget[Amount]))</f>
        <v>0</v>
      </c>
      <c r="O88" s="319">
        <f t="array" ref="O88">SUM(IF((Budget[Account Code]=$B88)*(Budget[Date]=O$7),Budget[Amount]))</f>
        <v>0</v>
      </c>
      <c r="P88" s="322">
        <f t="shared" si="16"/>
        <v>0</v>
      </c>
    </row>
    <row r="89" spans="1:16" s="171" customFormat="1" x14ac:dyDescent="0.25">
      <c r="A89" s="321" t="s">
        <v>911</v>
      </c>
      <c r="B89" s="317"/>
      <c r="C89" s="322">
        <f t="shared" si="17"/>
        <v>0</v>
      </c>
      <c r="D89" s="322">
        <f>SUM(D90:D96)</f>
        <v>0</v>
      </c>
      <c r="E89" s="322">
        <f t="shared" ref="E89:O89" si="20">SUM(E90:E96)</f>
        <v>0</v>
      </c>
      <c r="F89" s="322">
        <f t="shared" si="20"/>
        <v>0</v>
      </c>
      <c r="G89" s="322">
        <f t="shared" si="20"/>
        <v>0</v>
      </c>
      <c r="H89" s="322">
        <f t="shared" si="20"/>
        <v>0</v>
      </c>
      <c r="I89" s="322">
        <f t="shared" si="20"/>
        <v>0</v>
      </c>
      <c r="J89" s="322">
        <f t="shared" si="20"/>
        <v>0</v>
      </c>
      <c r="K89" s="322">
        <f t="shared" si="20"/>
        <v>0</v>
      </c>
      <c r="L89" s="322">
        <f t="shared" si="20"/>
        <v>0</v>
      </c>
      <c r="M89" s="322">
        <f t="shared" si="20"/>
        <v>0</v>
      </c>
      <c r="N89" s="322">
        <f t="shared" si="20"/>
        <v>0</v>
      </c>
      <c r="O89" s="322">
        <f t="shared" si="20"/>
        <v>0</v>
      </c>
      <c r="P89" s="322">
        <f t="shared" si="16"/>
        <v>0</v>
      </c>
    </row>
    <row r="90" spans="1:16" x14ac:dyDescent="0.25">
      <c r="A90" s="323" t="s">
        <v>912</v>
      </c>
      <c r="B90" s="317" t="s">
        <v>225</v>
      </c>
      <c r="C90" s="319">
        <f t="shared" si="17"/>
        <v>0</v>
      </c>
      <c r="D90" s="319">
        <f t="array" ref="D90">SUM(IF((Budget[Account Code]=$B90)*(Budget[Date]=D$7),Budget[Amount]))</f>
        <v>0</v>
      </c>
      <c r="E90" s="319">
        <f t="array" ref="E90">SUM(IF((Budget[Account Code]=$B90)*(Budget[Date]=E$7),Budget[Amount]))</f>
        <v>0</v>
      </c>
      <c r="F90" s="319">
        <f t="array" ref="F90">SUM(IF((Budget[Account Code]=$B90)*(Budget[Date]=F$7),Budget[Amount]))</f>
        <v>0</v>
      </c>
      <c r="G90" s="319">
        <f t="array" ref="G90">SUM(IF((Budget[Account Code]=$B90)*(Budget[Date]=G$7),Budget[Amount]))</f>
        <v>0</v>
      </c>
      <c r="H90" s="319">
        <f t="array" ref="H90">SUM(IF((Budget[Account Code]=$B90)*(Budget[Date]=H$7),Budget[Amount]))</f>
        <v>0</v>
      </c>
      <c r="I90" s="319">
        <f t="array" ref="I90">SUM(IF((Budget[Account Code]=$B90)*(Budget[Date]=I$7),Budget[Amount]))</f>
        <v>0</v>
      </c>
      <c r="J90" s="319">
        <f t="array" ref="J90">SUM(IF((Budget[Account Code]=$B90)*(Budget[Date]=J$7),Budget[Amount]))</f>
        <v>0</v>
      </c>
      <c r="K90" s="319">
        <f t="array" ref="K90">SUM(IF((Budget[Account Code]=$B90)*(Budget[Date]=K$7),Budget[Amount]))</f>
        <v>0</v>
      </c>
      <c r="L90" s="319">
        <f t="array" ref="L90">SUM(IF((Budget[Account Code]=$B90)*(Budget[Date]=L$7),Budget[Amount]))</f>
        <v>0</v>
      </c>
      <c r="M90" s="319">
        <f t="array" ref="M90">SUM(IF((Budget[Account Code]=$B90)*(Budget[Date]=M$7),Budget[Amount]))</f>
        <v>0</v>
      </c>
      <c r="N90" s="319">
        <f t="array" ref="N90">SUM(IF((Budget[Account Code]=$B90)*(Budget[Date]=N$7),Budget[Amount]))</f>
        <v>0</v>
      </c>
      <c r="O90" s="319">
        <f t="array" ref="O90">SUM(IF((Budget[Account Code]=$B90)*(Budget[Date]=O$7),Budget[Amount]))</f>
        <v>0</v>
      </c>
      <c r="P90" s="319">
        <f t="shared" si="16"/>
        <v>0</v>
      </c>
    </row>
    <row r="91" spans="1:16" x14ac:dyDescent="0.25">
      <c r="A91" s="323" t="s">
        <v>913</v>
      </c>
      <c r="B91" s="317" t="s">
        <v>226</v>
      </c>
      <c r="C91" s="319">
        <f t="shared" si="17"/>
        <v>0</v>
      </c>
      <c r="D91" s="319">
        <f t="array" ref="D91">SUM(IF((Budget[Account Code]=$B91)*(Budget[Date]=D$7),Budget[Amount]))</f>
        <v>0</v>
      </c>
      <c r="E91" s="319">
        <f t="array" ref="E91">SUM(IF((Budget[Account Code]=$B91)*(Budget[Date]=E$7),Budget[Amount]))</f>
        <v>0</v>
      </c>
      <c r="F91" s="319">
        <f t="array" ref="F91">SUM(IF((Budget[Account Code]=$B91)*(Budget[Date]=F$7),Budget[Amount]))</f>
        <v>0</v>
      </c>
      <c r="G91" s="319">
        <f t="array" ref="G91">SUM(IF((Budget[Account Code]=$B91)*(Budget[Date]=G$7),Budget[Amount]))</f>
        <v>0</v>
      </c>
      <c r="H91" s="319">
        <f t="array" ref="H91">SUM(IF((Budget[Account Code]=$B91)*(Budget[Date]=H$7),Budget[Amount]))</f>
        <v>0</v>
      </c>
      <c r="I91" s="319">
        <f t="array" ref="I91">SUM(IF((Budget[Account Code]=$B91)*(Budget[Date]=I$7),Budget[Amount]))</f>
        <v>0</v>
      </c>
      <c r="J91" s="319">
        <f t="array" ref="J91">SUM(IF((Budget[Account Code]=$B91)*(Budget[Date]=J$7),Budget[Amount]))</f>
        <v>0</v>
      </c>
      <c r="K91" s="319">
        <f t="array" ref="K91">SUM(IF((Budget[Account Code]=$B91)*(Budget[Date]=K$7),Budget[Amount]))</f>
        <v>0</v>
      </c>
      <c r="L91" s="319">
        <f t="array" ref="L91">SUM(IF((Budget[Account Code]=$B91)*(Budget[Date]=L$7),Budget[Amount]))</f>
        <v>0</v>
      </c>
      <c r="M91" s="319">
        <f t="array" ref="M91">SUM(IF((Budget[Account Code]=$B91)*(Budget[Date]=M$7),Budget[Amount]))</f>
        <v>0</v>
      </c>
      <c r="N91" s="319">
        <f t="array" ref="N91">SUM(IF((Budget[Account Code]=$B91)*(Budget[Date]=N$7),Budget[Amount]))</f>
        <v>0</v>
      </c>
      <c r="O91" s="319">
        <f t="array" ref="O91">SUM(IF((Budget[Account Code]=$B91)*(Budget[Date]=O$7),Budget[Amount]))</f>
        <v>0</v>
      </c>
      <c r="P91" s="319">
        <f t="shared" si="16"/>
        <v>0</v>
      </c>
    </row>
    <row r="92" spans="1:16" x14ac:dyDescent="0.25">
      <c r="A92" s="323" t="s">
        <v>914</v>
      </c>
      <c r="B92" s="317" t="s">
        <v>227</v>
      </c>
      <c r="C92" s="319">
        <f t="shared" si="17"/>
        <v>0</v>
      </c>
      <c r="D92" s="319">
        <f t="array" ref="D92">SUM(IF((Budget[Account Code]=$B92)*(Budget[Date]=D$7),Budget[Amount]))</f>
        <v>0</v>
      </c>
      <c r="E92" s="319">
        <f t="array" ref="E92">SUM(IF((Budget[Account Code]=$B92)*(Budget[Date]=E$7),Budget[Amount]))</f>
        <v>0</v>
      </c>
      <c r="F92" s="319">
        <f t="array" ref="F92">SUM(IF((Budget[Account Code]=$B92)*(Budget[Date]=F$7),Budget[Amount]))</f>
        <v>0</v>
      </c>
      <c r="G92" s="319">
        <f t="array" ref="G92">SUM(IF((Budget[Account Code]=$B92)*(Budget[Date]=G$7),Budget[Amount]))</f>
        <v>0</v>
      </c>
      <c r="H92" s="319">
        <f t="array" ref="H92">SUM(IF((Budget[Account Code]=$B92)*(Budget[Date]=H$7),Budget[Amount]))</f>
        <v>0</v>
      </c>
      <c r="I92" s="319">
        <f t="array" ref="I92">SUM(IF((Budget[Account Code]=$B92)*(Budget[Date]=I$7),Budget[Amount]))</f>
        <v>0</v>
      </c>
      <c r="J92" s="319">
        <f t="array" ref="J92">SUM(IF((Budget[Account Code]=$B92)*(Budget[Date]=J$7),Budget[Amount]))</f>
        <v>0</v>
      </c>
      <c r="K92" s="319">
        <f t="array" ref="K92">SUM(IF((Budget[Account Code]=$B92)*(Budget[Date]=K$7),Budget[Amount]))</f>
        <v>0</v>
      </c>
      <c r="L92" s="319">
        <f t="array" ref="L92">SUM(IF((Budget[Account Code]=$B92)*(Budget[Date]=L$7),Budget[Amount]))</f>
        <v>0</v>
      </c>
      <c r="M92" s="319">
        <f t="array" ref="M92">SUM(IF((Budget[Account Code]=$B92)*(Budget[Date]=M$7),Budget[Amount]))</f>
        <v>0</v>
      </c>
      <c r="N92" s="319">
        <f t="array" ref="N92">SUM(IF((Budget[Account Code]=$B92)*(Budget[Date]=N$7),Budget[Amount]))</f>
        <v>0</v>
      </c>
      <c r="O92" s="319">
        <f t="array" ref="O92">SUM(IF((Budget[Account Code]=$B92)*(Budget[Date]=O$7),Budget[Amount]))</f>
        <v>0</v>
      </c>
      <c r="P92" s="319">
        <f t="shared" si="16"/>
        <v>0</v>
      </c>
    </row>
    <row r="93" spans="1:16" x14ac:dyDescent="0.25">
      <c r="A93" s="323" t="s">
        <v>915</v>
      </c>
      <c r="B93" s="317" t="s">
        <v>228</v>
      </c>
      <c r="C93" s="319">
        <f t="shared" si="17"/>
        <v>0</v>
      </c>
      <c r="D93" s="319">
        <f t="array" ref="D93">SUM(IF((Budget[Account Code]=$B93)*(Budget[Date]=D$7),Budget[Amount]))</f>
        <v>0</v>
      </c>
      <c r="E93" s="319">
        <f t="array" ref="E93">SUM(IF((Budget[Account Code]=$B93)*(Budget[Date]=E$7),Budget[Amount]))</f>
        <v>0</v>
      </c>
      <c r="F93" s="319">
        <f t="array" ref="F93">SUM(IF((Budget[Account Code]=$B93)*(Budget[Date]=F$7),Budget[Amount]))</f>
        <v>0</v>
      </c>
      <c r="G93" s="319">
        <f t="array" ref="G93">SUM(IF((Budget[Account Code]=$B93)*(Budget[Date]=G$7),Budget[Amount]))</f>
        <v>0</v>
      </c>
      <c r="H93" s="319">
        <f t="array" ref="H93">SUM(IF((Budget[Account Code]=$B93)*(Budget[Date]=H$7),Budget[Amount]))</f>
        <v>0</v>
      </c>
      <c r="I93" s="319">
        <f t="array" ref="I93">SUM(IF((Budget[Account Code]=$B93)*(Budget[Date]=I$7),Budget[Amount]))</f>
        <v>0</v>
      </c>
      <c r="J93" s="319">
        <f t="array" ref="J93">SUM(IF((Budget[Account Code]=$B93)*(Budget[Date]=J$7),Budget[Amount]))</f>
        <v>0</v>
      </c>
      <c r="K93" s="319">
        <f t="array" ref="K93">SUM(IF((Budget[Account Code]=$B93)*(Budget[Date]=K$7),Budget[Amount]))</f>
        <v>0</v>
      </c>
      <c r="L93" s="319">
        <f t="array" ref="L93">SUM(IF((Budget[Account Code]=$B93)*(Budget[Date]=L$7),Budget[Amount]))</f>
        <v>0</v>
      </c>
      <c r="M93" s="319">
        <f t="array" ref="M93">SUM(IF((Budget[Account Code]=$B93)*(Budget[Date]=M$7),Budget[Amount]))</f>
        <v>0</v>
      </c>
      <c r="N93" s="319">
        <f t="array" ref="N93">SUM(IF((Budget[Account Code]=$B93)*(Budget[Date]=N$7),Budget[Amount]))</f>
        <v>0</v>
      </c>
      <c r="O93" s="319">
        <f t="array" ref="O93">SUM(IF((Budget[Account Code]=$B93)*(Budget[Date]=O$7),Budget[Amount]))</f>
        <v>0</v>
      </c>
      <c r="P93" s="319">
        <f t="shared" si="16"/>
        <v>0</v>
      </c>
    </row>
    <row r="94" spans="1:16" x14ac:dyDescent="0.25">
      <c r="A94" s="323" t="s">
        <v>916</v>
      </c>
      <c r="B94" s="317" t="s">
        <v>229</v>
      </c>
      <c r="C94" s="319">
        <f t="shared" si="17"/>
        <v>0</v>
      </c>
      <c r="D94" s="319">
        <f t="array" ref="D94">SUM(IF((Budget[Account Code]=$B94)*(Budget[Date]=D$7),Budget[Amount]))</f>
        <v>0</v>
      </c>
      <c r="E94" s="319">
        <f t="array" ref="E94">SUM(IF((Budget[Account Code]=$B94)*(Budget[Date]=E$7),Budget[Amount]))</f>
        <v>0</v>
      </c>
      <c r="F94" s="319">
        <f t="array" ref="F94">SUM(IF((Budget[Account Code]=$B94)*(Budget[Date]=F$7),Budget[Amount]))</f>
        <v>0</v>
      </c>
      <c r="G94" s="319">
        <f t="array" ref="G94">SUM(IF((Budget[Account Code]=$B94)*(Budget[Date]=G$7),Budget[Amount]))</f>
        <v>0</v>
      </c>
      <c r="H94" s="319">
        <f t="array" ref="H94">SUM(IF((Budget[Account Code]=$B94)*(Budget[Date]=H$7),Budget[Amount]))</f>
        <v>0</v>
      </c>
      <c r="I94" s="319">
        <f t="array" ref="I94">SUM(IF((Budget[Account Code]=$B94)*(Budget[Date]=I$7),Budget[Amount]))</f>
        <v>0</v>
      </c>
      <c r="J94" s="319">
        <f t="array" ref="J94">SUM(IF((Budget[Account Code]=$B94)*(Budget[Date]=J$7),Budget[Amount]))</f>
        <v>0</v>
      </c>
      <c r="K94" s="319">
        <f t="array" ref="K94">SUM(IF((Budget[Account Code]=$B94)*(Budget[Date]=K$7),Budget[Amount]))</f>
        <v>0</v>
      </c>
      <c r="L94" s="319">
        <f t="array" ref="L94">SUM(IF((Budget[Account Code]=$B94)*(Budget[Date]=L$7),Budget[Amount]))</f>
        <v>0</v>
      </c>
      <c r="M94" s="319">
        <f t="array" ref="M94">SUM(IF((Budget[Account Code]=$B94)*(Budget[Date]=M$7),Budget[Amount]))</f>
        <v>0</v>
      </c>
      <c r="N94" s="319">
        <f t="array" ref="N94">SUM(IF((Budget[Account Code]=$B94)*(Budget[Date]=N$7),Budget[Amount]))</f>
        <v>0</v>
      </c>
      <c r="O94" s="319">
        <f t="array" ref="O94">SUM(IF((Budget[Account Code]=$B94)*(Budget[Date]=O$7),Budget[Amount]))</f>
        <v>0</v>
      </c>
      <c r="P94" s="319">
        <f t="shared" si="16"/>
        <v>0</v>
      </c>
    </row>
    <row r="95" spans="1:16" x14ac:dyDescent="0.25">
      <c r="A95" s="323" t="s">
        <v>917</v>
      </c>
      <c r="B95" s="317" t="s">
        <v>230</v>
      </c>
      <c r="C95" s="319">
        <f t="shared" si="17"/>
        <v>0</v>
      </c>
      <c r="D95" s="319">
        <f t="array" ref="D95">SUM(IF((Budget[Account Code]=$B95)*(Budget[Date]=D$7),Budget[Amount]))</f>
        <v>0</v>
      </c>
      <c r="E95" s="319">
        <f t="array" ref="E95">SUM(IF((Budget[Account Code]=$B95)*(Budget[Date]=E$7),Budget[Amount]))</f>
        <v>0</v>
      </c>
      <c r="F95" s="319">
        <f t="array" ref="F95">SUM(IF((Budget[Account Code]=$B95)*(Budget[Date]=F$7),Budget[Amount]))</f>
        <v>0</v>
      </c>
      <c r="G95" s="319">
        <f t="array" ref="G95">SUM(IF((Budget[Account Code]=$B95)*(Budget[Date]=G$7),Budget[Amount]))</f>
        <v>0</v>
      </c>
      <c r="H95" s="319">
        <f t="array" ref="H95">SUM(IF((Budget[Account Code]=$B95)*(Budget[Date]=H$7),Budget[Amount]))</f>
        <v>0</v>
      </c>
      <c r="I95" s="319">
        <f t="array" ref="I95">SUM(IF((Budget[Account Code]=$B95)*(Budget[Date]=I$7),Budget[Amount]))</f>
        <v>0</v>
      </c>
      <c r="J95" s="319">
        <f t="array" ref="J95">SUM(IF((Budget[Account Code]=$B95)*(Budget[Date]=J$7),Budget[Amount]))</f>
        <v>0</v>
      </c>
      <c r="K95" s="319">
        <f t="array" ref="K95">SUM(IF((Budget[Account Code]=$B95)*(Budget[Date]=K$7),Budget[Amount]))</f>
        <v>0</v>
      </c>
      <c r="L95" s="319">
        <f t="array" ref="L95">SUM(IF((Budget[Account Code]=$B95)*(Budget[Date]=L$7),Budget[Amount]))</f>
        <v>0</v>
      </c>
      <c r="M95" s="319">
        <f t="array" ref="M95">SUM(IF((Budget[Account Code]=$B95)*(Budget[Date]=M$7),Budget[Amount]))</f>
        <v>0</v>
      </c>
      <c r="N95" s="319">
        <f t="array" ref="N95">SUM(IF((Budget[Account Code]=$B95)*(Budget[Date]=N$7),Budget[Amount]))</f>
        <v>0</v>
      </c>
      <c r="O95" s="319">
        <f t="array" ref="O95">SUM(IF((Budget[Account Code]=$B95)*(Budget[Date]=O$7),Budget[Amount]))</f>
        <v>0</v>
      </c>
      <c r="P95" s="319">
        <f t="shared" si="16"/>
        <v>0</v>
      </c>
    </row>
    <row r="96" spans="1:16" x14ac:dyDescent="0.25">
      <c r="A96" s="323" t="s">
        <v>918</v>
      </c>
      <c r="B96" s="317" t="s">
        <v>231</v>
      </c>
      <c r="C96" s="319">
        <f t="shared" si="17"/>
        <v>0</v>
      </c>
      <c r="D96" s="319">
        <f t="array" ref="D96">SUM(IF((Budget[Account Code]=$B96)*(Budget[Date]=D$7),Budget[Amount]))</f>
        <v>0</v>
      </c>
      <c r="E96" s="319">
        <f t="array" ref="E96">SUM(IF((Budget[Account Code]=$B96)*(Budget[Date]=E$7),Budget[Amount]))</f>
        <v>0</v>
      </c>
      <c r="F96" s="319">
        <f t="array" ref="F96">SUM(IF((Budget[Account Code]=$B96)*(Budget[Date]=F$7),Budget[Amount]))</f>
        <v>0</v>
      </c>
      <c r="G96" s="319">
        <f t="array" ref="G96">SUM(IF((Budget[Account Code]=$B96)*(Budget[Date]=G$7),Budget[Amount]))</f>
        <v>0</v>
      </c>
      <c r="H96" s="319">
        <f t="array" ref="H96">SUM(IF((Budget[Account Code]=$B96)*(Budget[Date]=H$7),Budget[Amount]))</f>
        <v>0</v>
      </c>
      <c r="I96" s="319">
        <f t="array" ref="I96">SUM(IF((Budget[Account Code]=$B96)*(Budget[Date]=I$7),Budget[Amount]))</f>
        <v>0</v>
      </c>
      <c r="J96" s="319">
        <f t="array" ref="J96">SUM(IF((Budget[Account Code]=$B96)*(Budget[Date]=J$7),Budget[Amount]))</f>
        <v>0</v>
      </c>
      <c r="K96" s="319">
        <f t="array" ref="K96">SUM(IF((Budget[Account Code]=$B96)*(Budget[Date]=K$7),Budget[Amount]))</f>
        <v>0</v>
      </c>
      <c r="L96" s="319">
        <f t="array" ref="L96">SUM(IF((Budget[Account Code]=$B96)*(Budget[Date]=L$7),Budget[Amount]))</f>
        <v>0</v>
      </c>
      <c r="M96" s="319">
        <f t="array" ref="M96">SUM(IF((Budget[Account Code]=$B96)*(Budget[Date]=M$7),Budget[Amount]))</f>
        <v>0</v>
      </c>
      <c r="N96" s="319">
        <f t="array" ref="N96">SUM(IF((Budget[Account Code]=$B96)*(Budget[Date]=N$7),Budget[Amount]))</f>
        <v>0</v>
      </c>
      <c r="O96" s="319">
        <f t="array" ref="O96">SUM(IF((Budget[Account Code]=$B96)*(Budget[Date]=O$7),Budget[Amount]))</f>
        <v>0</v>
      </c>
      <c r="P96" s="319">
        <f t="shared" si="16"/>
        <v>0</v>
      </c>
    </row>
    <row r="97" spans="1:16" s="171" customFormat="1" x14ac:dyDescent="0.25">
      <c r="A97" s="321" t="s">
        <v>919</v>
      </c>
      <c r="B97" s="317"/>
      <c r="C97" s="322">
        <f t="shared" si="17"/>
        <v>0</v>
      </c>
      <c r="D97" s="322">
        <f>D98+D99</f>
        <v>0</v>
      </c>
      <c r="E97" s="322">
        <f t="shared" ref="E97:O97" si="21">E98+E99</f>
        <v>0</v>
      </c>
      <c r="F97" s="322">
        <f t="shared" si="21"/>
        <v>0</v>
      </c>
      <c r="G97" s="322">
        <f t="shared" si="21"/>
        <v>0</v>
      </c>
      <c r="H97" s="322">
        <f t="shared" si="21"/>
        <v>0</v>
      </c>
      <c r="I97" s="322">
        <f t="shared" si="21"/>
        <v>0</v>
      </c>
      <c r="J97" s="322">
        <f t="shared" si="21"/>
        <v>0</v>
      </c>
      <c r="K97" s="322">
        <f t="shared" si="21"/>
        <v>0</v>
      </c>
      <c r="L97" s="322">
        <f t="shared" si="21"/>
        <v>0</v>
      </c>
      <c r="M97" s="322">
        <f t="shared" si="21"/>
        <v>0</v>
      </c>
      <c r="N97" s="322">
        <f t="shared" si="21"/>
        <v>0</v>
      </c>
      <c r="O97" s="322">
        <f t="shared" si="21"/>
        <v>0</v>
      </c>
      <c r="P97" s="322">
        <f t="shared" si="16"/>
        <v>0</v>
      </c>
    </row>
    <row r="98" spans="1:16" x14ac:dyDescent="0.25">
      <c r="A98" s="323" t="s">
        <v>920</v>
      </c>
      <c r="B98" s="317" t="s">
        <v>232</v>
      </c>
      <c r="C98" s="319">
        <f t="shared" si="17"/>
        <v>0</v>
      </c>
      <c r="D98" s="319">
        <f t="array" ref="D98">SUM(IF((Budget[Account Code]=$B98)*(Budget[Date]=D$7),Budget[Amount]))</f>
        <v>0</v>
      </c>
      <c r="E98" s="319">
        <f t="array" ref="E98">SUM(IF((Budget[Account Code]=$B98)*(Budget[Date]=E$7),Budget[Amount]))</f>
        <v>0</v>
      </c>
      <c r="F98" s="319">
        <f t="array" ref="F98">SUM(IF((Budget[Account Code]=$B98)*(Budget[Date]=F$7),Budget[Amount]))</f>
        <v>0</v>
      </c>
      <c r="G98" s="319">
        <f t="array" ref="G98">SUM(IF((Budget[Account Code]=$B98)*(Budget[Date]=G$7),Budget[Amount]))</f>
        <v>0</v>
      </c>
      <c r="H98" s="319">
        <f t="array" ref="H98">SUM(IF((Budget[Account Code]=$B98)*(Budget[Date]=H$7),Budget[Amount]))</f>
        <v>0</v>
      </c>
      <c r="I98" s="319">
        <f t="array" ref="I98">SUM(IF((Budget[Account Code]=$B98)*(Budget[Date]=I$7),Budget[Amount]))</f>
        <v>0</v>
      </c>
      <c r="J98" s="319">
        <f t="array" ref="J98">SUM(IF((Budget[Account Code]=$B98)*(Budget[Date]=J$7),Budget[Amount]))</f>
        <v>0</v>
      </c>
      <c r="K98" s="319">
        <f t="array" ref="K98">SUM(IF((Budget[Account Code]=$B98)*(Budget[Date]=K$7),Budget[Amount]))</f>
        <v>0</v>
      </c>
      <c r="L98" s="319">
        <f t="array" ref="L98">SUM(IF((Budget[Account Code]=$B98)*(Budget[Date]=L$7),Budget[Amount]))</f>
        <v>0</v>
      </c>
      <c r="M98" s="319">
        <f t="array" ref="M98">SUM(IF((Budget[Account Code]=$B98)*(Budget[Date]=M$7),Budget[Amount]))</f>
        <v>0</v>
      </c>
      <c r="N98" s="319">
        <f t="array" ref="N98">SUM(IF((Budget[Account Code]=$B98)*(Budget[Date]=N$7),Budget[Amount]))</f>
        <v>0</v>
      </c>
      <c r="O98" s="319">
        <f t="array" ref="O98">SUM(IF((Budget[Account Code]=$B98)*(Budget[Date]=O$7),Budget[Amount]))</f>
        <v>0</v>
      </c>
      <c r="P98" s="319">
        <f t="shared" si="16"/>
        <v>0</v>
      </c>
    </row>
    <row r="99" spans="1:16" x14ac:dyDescent="0.25">
      <c r="A99" s="323" t="s">
        <v>921</v>
      </c>
      <c r="B99" s="317"/>
      <c r="C99" s="319">
        <f t="shared" si="17"/>
        <v>0</v>
      </c>
      <c r="D99" s="319">
        <f>SUM(D100:D101)</f>
        <v>0</v>
      </c>
      <c r="E99" s="319">
        <f t="shared" ref="E99:O99" si="22">SUM(E100:E101)</f>
        <v>0</v>
      </c>
      <c r="F99" s="319">
        <f t="shared" si="22"/>
        <v>0</v>
      </c>
      <c r="G99" s="319">
        <f t="shared" si="22"/>
        <v>0</v>
      </c>
      <c r="H99" s="319">
        <f t="shared" si="22"/>
        <v>0</v>
      </c>
      <c r="I99" s="319">
        <f t="shared" si="22"/>
        <v>0</v>
      </c>
      <c r="J99" s="319">
        <f t="shared" si="22"/>
        <v>0</v>
      </c>
      <c r="K99" s="319">
        <f t="shared" si="22"/>
        <v>0</v>
      </c>
      <c r="L99" s="319">
        <f t="shared" si="22"/>
        <v>0</v>
      </c>
      <c r="M99" s="319">
        <f t="shared" si="22"/>
        <v>0</v>
      </c>
      <c r="N99" s="319">
        <f t="shared" si="22"/>
        <v>0</v>
      </c>
      <c r="O99" s="319">
        <f t="shared" si="22"/>
        <v>0</v>
      </c>
      <c r="P99" s="319">
        <f t="shared" si="16"/>
        <v>0</v>
      </c>
    </row>
    <row r="100" spans="1:16" x14ac:dyDescent="0.25">
      <c r="A100" s="323" t="s">
        <v>922</v>
      </c>
      <c r="B100" s="317" t="s">
        <v>233</v>
      </c>
      <c r="C100" s="319">
        <f t="shared" si="17"/>
        <v>0</v>
      </c>
      <c r="D100" s="319">
        <f t="array" ref="D100">SUM(IF((Budget[Account Code]=$B100)*(Budget[Date]=D$7),Budget[Amount]))</f>
        <v>0</v>
      </c>
      <c r="E100" s="319">
        <f t="array" ref="E100">SUM(IF((Budget[Account Code]=$B100)*(Budget[Date]=E$7),Budget[Amount]))</f>
        <v>0</v>
      </c>
      <c r="F100" s="319">
        <f t="array" ref="F100">SUM(IF((Budget[Account Code]=$B100)*(Budget[Date]=F$7),Budget[Amount]))</f>
        <v>0</v>
      </c>
      <c r="G100" s="319">
        <f t="array" ref="G100">SUM(IF((Budget[Account Code]=$B100)*(Budget[Date]=G$7),Budget[Amount]))</f>
        <v>0</v>
      </c>
      <c r="H100" s="319">
        <f t="array" ref="H100">SUM(IF((Budget[Account Code]=$B100)*(Budget[Date]=H$7),Budget[Amount]))</f>
        <v>0</v>
      </c>
      <c r="I100" s="319">
        <f t="array" ref="I100">SUM(IF((Budget[Account Code]=$B100)*(Budget[Date]=I$7),Budget[Amount]))</f>
        <v>0</v>
      </c>
      <c r="J100" s="319">
        <f t="array" ref="J100">SUM(IF((Budget[Account Code]=$B100)*(Budget[Date]=J$7),Budget[Amount]))</f>
        <v>0</v>
      </c>
      <c r="K100" s="319">
        <f t="array" ref="K100">SUM(IF((Budget[Account Code]=$B100)*(Budget[Date]=K$7),Budget[Amount]))</f>
        <v>0</v>
      </c>
      <c r="L100" s="319">
        <f t="array" ref="L100">SUM(IF((Budget[Account Code]=$B100)*(Budget[Date]=L$7),Budget[Amount]))</f>
        <v>0</v>
      </c>
      <c r="M100" s="319">
        <f t="array" ref="M100">SUM(IF((Budget[Account Code]=$B100)*(Budget[Date]=M$7),Budget[Amount]))</f>
        <v>0</v>
      </c>
      <c r="N100" s="319">
        <f t="array" ref="N100">SUM(IF((Budget[Account Code]=$B100)*(Budget[Date]=N$7),Budget[Amount]))</f>
        <v>0</v>
      </c>
      <c r="O100" s="319">
        <f t="array" ref="O100">SUM(IF((Budget[Account Code]=$B100)*(Budget[Date]=O$7),Budget[Amount]))</f>
        <v>0</v>
      </c>
      <c r="P100" s="319">
        <f t="shared" si="16"/>
        <v>0</v>
      </c>
    </row>
    <row r="101" spans="1:16" x14ac:dyDescent="0.25">
      <c r="A101" s="323" t="s">
        <v>923</v>
      </c>
      <c r="B101" s="317"/>
      <c r="C101" s="319">
        <f t="shared" si="17"/>
        <v>0</v>
      </c>
      <c r="D101" s="319">
        <f t="array" ref="D101">SUM(IF((Budget[Account Code]=$B101)*(Budget[Date]=D$7),Budget[Amount]))</f>
        <v>0</v>
      </c>
      <c r="E101" s="319">
        <f t="array" ref="E101">SUM(IF((Budget[Account Code]=$B101)*(Budget[Date]=E$7),Budget[Amount]))</f>
        <v>0</v>
      </c>
      <c r="F101" s="319">
        <f t="array" ref="F101">SUM(IF((Budget[Account Code]=$B101)*(Budget[Date]=F$7),Budget[Amount]))</f>
        <v>0</v>
      </c>
      <c r="G101" s="319">
        <f t="array" ref="G101">SUM(IF((Budget[Account Code]=$B101)*(Budget[Date]=G$7),Budget[Amount]))</f>
        <v>0</v>
      </c>
      <c r="H101" s="319">
        <f t="array" ref="H101">SUM(IF((Budget[Account Code]=$B101)*(Budget[Date]=H$7),Budget[Amount]))</f>
        <v>0</v>
      </c>
      <c r="I101" s="319">
        <f t="array" ref="I101">SUM(IF((Budget[Account Code]=$B101)*(Budget[Date]=I$7),Budget[Amount]))</f>
        <v>0</v>
      </c>
      <c r="J101" s="319">
        <f t="array" ref="J101">SUM(IF((Budget[Account Code]=$B101)*(Budget[Date]=J$7),Budget[Amount]))</f>
        <v>0</v>
      </c>
      <c r="K101" s="319">
        <f t="array" ref="K101">SUM(IF((Budget[Account Code]=$B101)*(Budget[Date]=K$7),Budget[Amount]))</f>
        <v>0</v>
      </c>
      <c r="L101" s="319">
        <f t="array" ref="L101">SUM(IF((Budget[Account Code]=$B101)*(Budget[Date]=L$7),Budget[Amount]))</f>
        <v>0</v>
      </c>
      <c r="M101" s="319">
        <f t="array" ref="M101">SUM(IF((Budget[Account Code]=$B101)*(Budget[Date]=M$7),Budget[Amount]))</f>
        <v>0</v>
      </c>
      <c r="N101" s="319">
        <f t="array" ref="N101">SUM(IF((Budget[Account Code]=$B101)*(Budget[Date]=N$7),Budget[Amount]))</f>
        <v>0</v>
      </c>
      <c r="O101" s="319">
        <f t="array" ref="O101">SUM(IF((Budget[Account Code]=$B101)*(Budget[Date]=O$7),Budget[Amount]))</f>
        <v>0</v>
      </c>
      <c r="P101" s="319">
        <f t="shared" si="16"/>
        <v>0</v>
      </c>
    </row>
    <row r="102" spans="1:16" s="171" customFormat="1" x14ac:dyDescent="0.25">
      <c r="A102" s="321" t="s">
        <v>924</v>
      </c>
      <c r="B102" s="317"/>
      <c r="C102" s="322">
        <f t="shared" si="17"/>
        <v>0</v>
      </c>
      <c r="D102" s="322">
        <f>SUM(D103:D107)</f>
        <v>0</v>
      </c>
      <c r="E102" s="322">
        <f t="shared" ref="E102:O102" si="23">SUM(E103:E107)</f>
        <v>0</v>
      </c>
      <c r="F102" s="322">
        <f t="shared" si="23"/>
        <v>0</v>
      </c>
      <c r="G102" s="322">
        <f t="shared" si="23"/>
        <v>0</v>
      </c>
      <c r="H102" s="322">
        <f t="shared" si="23"/>
        <v>0</v>
      </c>
      <c r="I102" s="322">
        <f t="shared" si="23"/>
        <v>0</v>
      </c>
      <c r="J102" s="322">
        <f t="shared" si="23"/>
        <v>0</v>
      </c>
      <c r="K102" s="322">
        <f t="shared" si="23"/>
        <v>0</v>
      </c>
      <c r="L102" s="322">
        <f t="shared" si="23"/>
        <v>0</v>
      </c>
      <c r="M102" s="322">
        <f t="shared" si="23"/>
        <v>0</v>
      </c>
      <c r="N102" s="322">
        <f t="shared" si="23"/>
        <v>0</v>
      </c>
      <c r="O102" s="322">
        <f t="shared" si="23"/>
        <v>0</v>
      </c>
      <c r="P102" s="322">
        <f t="shared" si="16"/>
        <v>0</v>
      </c>
    </row>
    <row r="103" spans="1:16" x14ac:dyDescent="0.25">
      <c r="A103" s="323" t="s">
        <v>925</v>
      </c>
      <c r="B103" s="317" t="s">
        <v>234</v>
      </c>
      <c r="C103" s="319">
        <f t="shared" si="17"/>
        <v>0</v>
      </c>
      <c r="D103" s="319">
        <f t="array" ref="D103">SUM(IF((Budget[Account Code]=$B103)*(Budget[Date]=D$7),Budget[Amount]))</f>
        <v>0</v>
      </c>
      <c r="E103" s="319">
        <f t="array" ref="E103">SUM(IF((Budget[Account Code]=$B103)*(Budget[Date]=E$7),Budget[Amount]))</f>
        <v>0</v>
      </c>
      <c r="F103" s="319">
        <f t="array" ref="F103">SUM(IF((Budget[Account Code]=$B103)*(Budget[Date]=F$7),Budget[Amount]))</f>
        <v>0</v>
      </c>
      <c r="G103" s="319">
        <f t="array" ref="G103">SUM(IF((Budget[Account Code]=$B103)*(Budget[Date]=G$7),Budget[Amount]))</f>
        <v>0</v>
      </c>
      <c r="H103" s="319">
        <f t="array" ref="H103">SUM(IF((Budget[Account Code]=$B103)*(Budget[Date]=H$7),Budget[Amount]))</f>
        <v>0</v>
      </c>
      <c r="I103" s="319">
        <f t="array" ref="I103">SUM(IF((Budget[Account Code]=$B103)*(Budget[Date]=I$7),Budget[Amount]))</f>
        <v>0</v>
      </c>
      <c r="J103" s="319">
        <f t="array" ref="J103">SUM(IF((Budget[Account Code]=$B103)*(Budget[Date]=J$7),Budget[Amount]))</f>
        <v>0</v>
      </c>
      <c r="K103" s="319">
        <f t="array" ref="K103">SUM(IF((Budget[Account Code]=$B103)*(Budget[Date]=K$7),Budget[Amount]))</f>
        <v>0</v>
      </c>
      <c r="L103" s="319">
        <f t="array" ref="L103">SUM(IF((Budget[Account Code]=$B103)*(Budget[Date]=L$7),Budget[Amount]))</f>
        <v>0</v>
      </c>
      <c r="M103" s="319">
        <f t="array" ref="M103">SUM(IF((Budget[Account Code]=$B103)*(Budget[Date]=M$7),Budget[Amount]))</f>
        <v>0</v>
      </c>
      <c r="N103" s="319">
        <f t="array" ref="N103">SUM(IF((Budget[Account Code]=$B103)*(Budget[Date]=N$7),Budget[Amount]))</f>
        <v>0</v>
      </c>
      <c r="O103" s="319">
        <f t="array" ref="O103">SUM(IF((Budget[Account Code]=$B103)*(Budget[Date]=O$7),Budget[Amount]))</f>
        <v>0</v>
      </c>
      <c r="P103" s="319">
        <f t="shared" si="16"/>
        <v>0</v>
      </c>
    </row>
    <row r="104" spans="1:16" x14ac:dyDescent="0.25">
      <c r="A104" s="323" t="s">
        <v>926</v>
      </c>
      <c r="B104" s="317" t="s">
        <v>235</v>
      </c>
      <c r="C104" s="319">
        <f t="shared" si="17"/>
        <v>0</v>
      </c>
      <c r="D104" s="319">
        <f t="array" ref="D104">SUM(IF((Budget[Account Code]=$B104)*(Budget[Date]=D$7),Budget[Amount]))</f>
        <v>0</v>
      </c>
      <c r="E104" s="319">
        <f t="array" ref="E104">SUM(IF((Budget[Account Code]=$B104)*(Budget[Date]=E$7),Budget[Amount]))</f>
        <v>0</v>
      </c>
      <c r="F104" s="319">
        <f t="array" ref="F104">SUM(IF((Budget[Account Code]=$B104)*(Budget[Date]=F$7),Budget[Amount]))</f>
        <v>0</v>
      </c>
      <c r="G104" s="319">
        <f t="array" ref="G104">SUM(IF((Budget[Account Code]=$B104)*(Budget[Date]=G$7),Budget[Amount]))</f>
        <v>0</v>
      </c>
      <c r="H104" s="319">
        <f t="array" ref="H104">SUM(IF((Budget[Account Code]=$B104)*(Budget[Date]=H$7),Budget[Amount]))</f>
        <v>0</v>
      </c>
      <c r="I104" s="319">
        <f t="array" ref="I104">SUM(IF((Budget[Account Code]=$B104)*(Budget[Date]=I$7),Budget[Amount]))</f>
        <v>0</v>
      </c>
      <c r="J104" s="319">
        <f t="array" ref="J104">SUM(IF((Budget[Account Code]=$B104)*(Budget[Date]=J$7),Budget[Amount]))</f>
        <v>0</v>
      </c>
      <c r="K104" s="319">
        <f t="array" ref="K104">SUM(IF((Budget[Account Code]=$B104)*(Budget[Date]=K$7),Budget[Amount]))</f>
        <v>0</v>
      </c>
      <c r="L104" s="319">
        <f t="array" ref="L104">SUM(IF((Budget[Account Code]=$B104)*(Budget[Date]=L$7),Budget[Amount]))</f>
        <v>0</v>
      </c>
      <c r="M104" s="319">
        <f t="array" ref="M104">SUM(IF((Budget[Account Code]=$B104)*(Budget[Date]=M$7),Budget[Amount]))</f>
        <v>0</v>
      </c>
      <c r="N104" s="319">
        <f t="array" ref="N104">SUM(IF((Budget[Account Code]=$B104)*(Budget[Date]=N$7),Budget[Amount]))</f>
        <v>0</v>
      </c>
      <c r="O104" s="319">
        <f t="array" ref="O104">SUM(IF((Budget[Account Code]=$B104)*(Budget[Date]=O$7),Budget[Amount]))</f>
        <v>0</v>
      </c>
      <c r="P104" s="319">
        <f t="shared" si="16"/>
        <v>0</v>
      </c>
    </row>
    <row r="105" spans="1:16" x14ac:dyDescent="0.25">
      <c r="A105" s="323" t="s">
        <v>927</v>
      </c>
      <c r="B105" s="317" t="s">
        <v>236</v>
      </c>
      <c r="C105" s="319">
        <f t="shared" si="17"/>
        <v>0</v>
      </c>
      <c r="D105" s="319">
        <f t="array" ref="D105">SUM(IF((Budget[Account Code]=$B105)*(Budget[Date]=D$7),Budget[Amount]))</f>
        <v>0</v>
      </c>
      <c r="E105" s="319">
        <f t="array" ref="E105">SUM(IF((Budget[Account Code]=$B105)*(Budget[Date]=E$7),Budget[Amount]))</f>
        <v>0</v>
      </c>
      <c r="F105" s="319">
        <f t="array" ref="F105">SUM(IF((Budget[Account Code]=$B105)*(Budget[Date]=F$7),Budget[Amount]))</f>
        <v>0</v>
      </c>
      <c r="G105" s="319">
        <f t="array" ref="G105">SUM(IF((Budget[Account Code]=$B105)*(Budget[Date]=G$7),Budget[Amount]))</f>
        <v>0</v>
      </c>
      <c r="H105" s="319">
        <f t="array" ref="H105">SUM(IF((Budget[Account Code]=$B105)*(Budget[Date]=H$7),Budget[Amount]))</f>
        <v>0</v>
      </c>
      <c r="I105" s="319">
        <f t="array" ref="I105">SUM(IF((Budget[Account Code]=$B105)*(Budget[Date]=I$7),Budget[Amount]))</f>
        <v>0</v>
      </c>
      <c r="J105" s="319">
        <f t="array" ref="J105">SUM(IF((Budget[Account Code]=$B105)*(Budget[Date]=J$7),Budget[Amount]))</f>
        <v>0</v>
      </c>
      <c r="K105" s="319">
        <f t="array" ref="K105">SUM(IF((Budget[Account Code]=$B105)*(Budget[Date]=K$7),Budget[Amount]))</f>
        <v>0</v>
      </c>
      <c r="L105" s="319">
        <f t="array" ref="L105">SUM(IF((Budget[Account Code]=$B105)*(Budget[Date]=L$7),Budget[Amount]))</f>
        <v>0</v>
      </c>
      <c r="M105" s="319">
        <f t="array" ref="M105">SUM(IF((Budget[Account Code]=$B105)*(Budget[Date]=M$7),Budget[Amount]))</f>
        <v>0</v>
      </c>
      <c r="N105" s="319">
        <f t="array" ref="N105">SUM(IF((Budget[Account Code]=$B105)*(Budget[Date]=N$7),Budget[Amount]))</f>
        <v>0</v>
      </c>
      <c r="O105" s="319">
        <f t="array" ref="O105">SUM(IF((Budget[Account Code]=$B105)*(Budget[Date]=O$7),Budget[Amount]))</f>
        <v>0</v>
      </c>
      <c r="P105" s="319">
        <f t="shared" si="16"/>
        <v>0</v>
      </c>
    </row>
    <row r="106" spans="1:16" x14ac:dyDescent="0.25">
      <c r="A106" s="323" t="s">
        <v>928</v>
      </c>
      <c r="B106" s="317" t="s">
        <v>237</v>
      </c>
      <c r="C106" s="319">
        <f t="shared" si="17"/>
        <v>0</v>
      </c>
      <c r="D106" s="319">
        <f t="array" ref="D106">SUM(IF((Budget[Account Code]=$B106)*(Budget[Date]=D$7),Budget[Amount]))</f>
        <v>0</v>
      </c>
      <c r="E106" s="319">
        <f t="array" ref="E106">SUM(IF((Budget[Account Code]=$B106)*(Budget[Date]=E$7),Budget[Amount]))</f>
        <v>0</v>
      </c>
      <c r="F106" s="319">
        <f t="array" ref="F106">SUM(IF((Budget[Account Code]=$B106)*(Budget[Date]=F$7),Budget[Amount]))</f>
        <v>0</v>
      </c>
      <c r="G106" s="319">
        <f t="array" ref="G106">SUM(IF((Budget[Account Code]=$B106)*(Budget[Date]=G$7),Budget[Amount]))</f>
        <v>0</v>
      </c>
      <c r="H106" s="319">
        <f t="array" ref="H106">SUM(IF((Budget[Account Code]=$B106)*(Budget[Date]=H$7),Budget[Amount]))</f>
        <v>0</v>
      </c>
      <c r="I106" s="319">
        <f t="array" ref="I106">SUM(IF((Budget[Account Code]=$B106)*(Budget[Date]=I$7),Budget[Amount]))</f>
        <v>0</v>
      </c>
      <c r="J106" s="319">
        <f t="array" ref="J106">SUM(IF((Budget[Account Code]=$B106)*(Budget[Date]=J$7),Budget[Amount]))</f>
        <v>0</v>
      </c>
      <c r="K106" s="319">
        <f t="array" ref="K106">SUM(IF((Budget[Account Code]=$B106)*(Budget[Date]=K$7),Budget[Amount]))</f>
        <v>0</v>
      </c>
      <c r="L106" s="319">
        <f t="array" ref="L106">SUM(IF((Budget[Account Code]=$B106)*(Budget[Date]=L$7),Budget[Amount]))</f>
        <v>0</v>
      </c>
      <c r="M106" s="319">
        <f t="array" ref="M106">SUM(IF((Budget[Account Code]=$B106)*(Budget[Date]=M$7),Budget[Amount]))</f>
        <v>0</v>
      </c>
      <c r="N106" s="319">
        <f t="array" ref="N106">SUM(IF((Budget[Account Code]=$B106)*(Budget[Date]=N$7),Budget[Amount]))</f>
        <v>0</v>
      </c>
      <c r="O106" s="319">
        <f t="array" ref="O106">SUM(IF((Budget[Account Code]=$B106)*(Budget[Date]=O$7),Budget[Amount]))</f>
        <v>0</v>
      </c>
      <c r="P106" s="319">
        <f t="shared" si="16"/>
        <v>0</v>
      </c>
    </row>
    <row r="107" spans="1:16" x14ac:dyDescent="0.25">
      <c r="A107" s="323" t="s">
        <v>929</v>
      </c>
      <c r="B107" s="317" t="s">
        <v>238</v>
      </c>
      <c r="C107" s="319">
        <f t="shared" si="17"/>
        <v>0</v>
      </c>
      <c r="D107" s="319">
        <f t="array" ref="D107">SUM(IF((Budget[Account Code]=$B107)*(Budget[Date]=D$7),Budget[Amount]))</f>
        <v>0</v>
      </c>
      <c r="E107" s="319">
        <f t="array" ref="E107">SUM(IF((Budget[Account Code]=$B107)*(Budget[Date]=E$7),Budget[Amount]))</f>
        <v>0</v>
      </c>
      <c r="F107" s="319">
        <f t="array" ref="F107">SUM(IF((Budget[Account Code]=$B107)*(Budget[Date]=F$7),Budget[Amount]))</f>
        <v>0</v>
      </c>
      <c r="G107" s="319">
        <f t="array" ref="G107">SUM(IF((Budget[Account Code]=$B107)*(Budget[Date]=G$7),Budget[Amount]))</f>
        <v>0</v>
      </c>
      <c r="H107" s="319">
        <f t="array" ref="H107">SUM(IF((Budget[Account Code]=$B107)*(Budget[Date]=H$7),Budget[Amount]))</f>
        <v>0</v>
      </c>
      <c r="I107" s="319">
        <f t="array" ref="I107">SUM(IF((Budget[Account Code]=$B107)*(Budget[Date]=I$7),Budget[Amount]))</f>
        <v>0</v>
      </c>
      <c r="J107" s="319">
        <f t="array" ref="J107">SUM(IF((Budget[Account Code]=$B107)*(Budget[Date]=J$7),Budget[Amount]))</f>
        <v>0</v>
      </c>
      <c r="K107" s="319">
        <f t="array" ref="K107">SUM(IF((Budget[Account Code]=$B107)*(Budget[Date]=K$7),Budget[Amount]))</f>
        <v>0</v>
      </c>
      <c r="L107" s="319">
        <f t="array" ref="L107">SUM(IF((Budget[Account Code]=$B107)*(Budget[Date]=L$7),Budget[Amount]))</f>
        <v>0</v>
      </c>
      <c r="M107" s="319">
        <f t="array" ref="M107">SUM(IF((Budget[Account Code]=$B107)*(Budget[Date]=M$7),Budget[Amount]))</f>
        <v>0</v>
      </c>
      <c r="N107" s="319">
        <f t="array" ref="N107">SUM(IF((Budget[Account Code]=$B107)*(Budget[Date]=N$7),Budget[Amount]))</f>
        <v>0</v>
      </c>
      <c r="O107" s="319">
        <f t="array" ref="O107">SUM(IF((Budget[Account Code]=$B107)*(Budget[Date]=O$7),Budget[Amount]))</f>
        <v>0</v>
      </c>
      <c r="P107" s="319">
        <f t="shared" si="16"/>
        <v>0</v>
      </c>
    </row>
    <row r="108" spans="1:16" s="171" customFormat="1" x14ac:dyDescent="0.25">
      <c r="A108" s="321" t="s">
        <v>930</v>
      </c>
      <c r="B108" s="317" t="s">
        <v>239</v>
      </c>
      <c r="C108" s="322">
        <f t="shared" si="17"/>
        <v>0</v>
      </c>
      <c r="D108" s="322">
        <v>0</v>
      </c>
      <c r="E108" s="322">
        <v>0</v>
      </c>
      <c r="F108" s="322">
        <v>0</v>
      </c>
      <c r="G108" s="322">
        <v>0</v>
      </c>
      <c r="H108" s="322">
        <v>0</v>
      </c>
      <c r="I108" s="322">
        <v>0</v>
      </c>
      <c r="J108" s="322">
        <v>0</v>
      </c>
      <c r="K108" s="322">
        <v>0</v>
      </c>
      <c r="L108" s="322">
        <v>0</v>
      </c>
      <c r="M108" s="322">
        <v>0</v>
      </c>
      <c r="N108" s="322">
        <v>0</v>
      </c>
      <c r="O108" s="322">
        <v>0</v>
      </c>
      <c r="P108" s="322">
        <f t="shared" si="16"/>
        <v>0</v>
      </c>
    </row>
    <row r="109" spans="1:16" s="171" customFormat="1" x14ac:dyDescent="0.25">
      <c r="A109" s="321" t="s">
        <v>931</v>
      </c>
      <c r="B109" s="317" t="s">
        <v>240</v>
      </c>
      <c r="C109" s="322">
        <f t="shared" si="17"/>
        <v>0</v>
      </c>
      <c r="D109" s="319">
        <f t="array" ref="D109">SUM(IF((Budget[Account Code]=$B109)*(Budget[Date]=D$7),Budget[Amount]))</f>
        <v>0</v>
      </c>
      <c r="E109" s="319">
        <f t="array" ref="E109">SUM(IF((Budget[Account Code]=$B109)*(Budget[Date]=E$7),Budget[Amount]))</f>
        <v>0</v>
      </c>
      <c r="F109" s="319">
        <f t="array" ref="F109">SUM(IF((Budget[Account Code]=$B109)*(Budget[Date]=F$7),Budget[Amount]))</f>
        <v>0</v>
      </c>
      <c r="G109" s="319">
        <f t="array" ref="G109">SUM(IF((Budget[Account Code]=$B109)*(Budget[Date]=G$7),Budget[Amount]))</f>
        <v>0</v>
      </c>
      <c r="H109" s="319">
        <f t="array" ref="H109">SUM(IF((Budget[Account Code]=$B109)*(Budget[Date]=H$7),Budget[Amount]))</f>
        <v>0</v>
      </c>
      <c r="I109" s="319">
        <f t="array" ref="I109">SUM(IF((Budget[Account Code]=$B109)*(Budget[Date]=I$7),Budget[Amount]))</f>
        <v>0</v>
      </c>
      <c r="J109" s="319">
        <f t="array" ref="J109">SUM(IF((Budget[Account Code]=$B109)*(Budget[Date]=J$7),Budget[Amount]))</f>
        <v>0</v>
      </c>
      <c r="K109" s="319">
        <f t="array" ref="K109">SUM(IF((Budget[Account Code]=$B109)*(Budget[Date]=K$7),Budget[Amount]))</f>
        <v>0</v>
      </c>
      <c r="L109" s="319">
        <f t="array" ref="L109">SUM(IF((Budget[Account Code]=$B109)*(Budget[Date]=L$7),Budget[Amount]))</f>
        <v>0</v>
      </c>
      <c r="M109" s="319">
        <f t="array" ref="M109">SUM(IF((Budget[Account Code]=$B109)*(Budget[Date]=M$7),Budget[Amount]))</f>
        <v>0</v>
      </c>
      <c r="N109" s="319">
        <f t="array" ref="N109">SUM(IF((Budget[Account Code]=$B109)*(Budget[Date]=N$7),Budget[Amount]))</f>
        <v>0</v>
      </c>
      <c r="O109" s="319">
        <f t="array" ref="O109">SUM(IF((Budget[Account Code]=$B109)*(Budget[Date]=O$7),Budget[Amount]))</f>
        <v>0</v>
      </c>
      <c r="P109" s="322">
        <f t="shared" si="16"/>
        <v>0</v>
      </c>
    </row>
    <row r="110" spans="1:16" s="171" customFormat="1" x14ac:dyDescent="0.25">
      <c r="A110" s="321" t="s">
        <v>932</v>
      </c>
      <c r="B110" s="317" t="s">
        <v>241</v>
      </c>
      <c r="C110" s="322">
        <f t="shared" si="17"/>
        <v>0</v>
      </c>
      <c r="D110" s="319">
        <f t="array" ref="D110">SUM(IF((Budget[Account Code]=$B110)*(Budget[Date]=D$7),Budget[Amount]))</f>
        <v>0</v>
      </c>
      <c r="E110" s="319">
        <f t="array" ref="E110">SUM(IF((Budget[Account Code]=$B110)*(Budget[Date]=E$7),Budget[Amount]))</f>
        <v>0</v>
      </c>
      <c r="F110" s="319">
        <f t="array" ref="F110">SUM(IF((Budget[Account Code]=$B110)*(Budget[Date]=F$7),Budget[Amount]))</f>
        <v>0</v>
      </c>
      <c r="G110" s="319">
        <f t="array" ref="G110">SUM(IF((Budget[Account Code]=$B110)*(Budget[Date]=G$7),Budget[Amount]))</f>
        <v>0</v>
      </c>
      <c r="H110" s="319">
        <f t="array" ref="H110">SUM(IF((Budget[Account Code]=$B110)*(Budget[Date]=H$7),Budget[Amount]))</f>
        <v>0</v>
      </c>
      <c r="I110" s="319">
        <f t="array" ref="I110">SUM(IF((Budget[Account Code]=$B110)*(Budget[Date]=I$7),Budget[Amount]))</f>
        <v>0</v>
      </c>
      <c r="J110" s="319">
        <f t="array" ref="J110">SUM(IF((Budget[Account Code]=$B110)*(Budget[Date]=J$7),Budget[Amount]))</f>
        <v>0</v>
      </c>
      <c r="K110" s="319">
        <f t="array" ref="K110">SUM(IF((Budget[Account Code]=$B110)*(Budget[Date]=K$7),Budget[Amount]))</f>
        <v>0</v>
      </c>
      <c r="L110" s="319">
        <f t="array" ref="L110">SUM(IF((Budget[Account Code]=$B110)*(Budget[Date]=L$7),Budget[Amount]))</f>
        <v>0</v>
      </c>
      <c r="M110" s="319">
        <f t="array" ref="M110">SUM(IF((Budget[Account Code]=$B110)*(Budget[Date]=M$7),Budget[Amount]))</f>
        <v>0</v>
      </c>
      <c r="N110" s="319">
        <f t="array" ref="N110">SUM(IF((Budget[Account Code]=$B110)*(Budget[Date]=N$7),Budget[Amount]))</f>
        <v>0</v>
      </c>
      <c r="O110" s="319">
        <f t="array" ref="O110">SUM(IF((Budget[Account Code]=$B110)*(Budget[Date]=O$7),Budget[Amount]))</f>
        <v>0</v>
      </c>
      <c r="P110" s="322">
        <f t="shared" si="16"/>
        <v>0</v>
      </c>
    </row>
    <row r="111" spans="1:16" s="171" customFormat="1" x14ac:dyDescent="0.25">
      <c r="A111" s="321" t="s">
        <v>933</v>
      </c>
      <c r="B111" s="317" t="s">
        <v>242</v>
      </c>
      <c r="C111" s="322">
        <f t="shared" si="17"/>
        <v>0</v>
      </c>
      <c r="D111" s="319">
        <f t="array" ref="D111">SUM(IF((Budget[Account Code]=$B111)*(Budget[Date]=D$7),Budget[Amount]))</f>
        <v>0</v>
      </c>
      <c r="E111" s="319">
        <f t="array" ref="E111">SUM(IF((Budget[Account Code]=$B111)*(Budget[Date]=E$7),Budget[Amount]))</f>
        <v>0</v>
      </c>
      <c r="F111" s="319">
        <f t="array" ref="F111">SUM(IF((Budget[Account Code]=$B111)*(Budget[Date]=F$7),Budget[Amount]))</f>
        <v>0</v>
      </c>
      <c r="G111" s="319">
        <f t="array" ref="G111">SUM(IF((Budget[Account Code]=$B111)*(Budget[Date]=G$7),Budget[Amount]))</f>
        <v>0</v>
      </c>
      <c r="H111" s="319">
        <f t="array" ref="H111">SUM(IF((Budget[Account Code]=$B111)*(Budget[Date]=H$7),Budget[Amount]))</f>
        <v>0</v>
      </c>
      <c r="I111" s="319">
        <f t="array" ref="I111">SUM(IF((Budget[Account Code]=$B111)*(Budget[Date]=I$7),Budget[Amount]))</f>
        <v>0</v>
      </c>
      <c r="J111" s="319">
        <f t="array" ref="J111">SUM(IF((Budget[Account Code]=$B111)*(Budget[Date]=J$7),Budget[Amount]))</f>
        <v>0</v>
      </c>
      <c r="K111" s="319">
        <f t="array" ref="K111">SUM(IF((Budget[Account Code]=$B111)*(Budget[Date]=K$7),Budget[Amount]))</f>
        <v>0</v>
      </c>
      <c r="L111" s="319">
        <f t="array" ref="L111">SUM(IF((Budget[Account Code]=$B111)*(Budget[Date]=L$7),Budget[Amount]))</f>
        <v>0</v>
      </c>
      <c r="M111" s="319">
        <f t="array" ref="M111">SUM(IF((Budget[Account Code]=$B111)*(Budget[Date]=M$7),Budget[Amount]))</f>
        <v>0</v>
      </c>
      <c r="N111" s="319">
        <f t="array" ref="N111">SUM(IF((Budget[Account Code]=$B111)*(Budget[Date]=N$7),Budget[Amount]))</f>
        <v>0</v>
      </c>
      <c r="O111" s="319">
        <f t="array" ref="O111">SUM(IF((Budget[Account Code]=$B111)*(Budget[Date]=O$7),Budget[Amount]))</f>
        <v>0</v>
      </c>
      <c r="P111" s="322">
        <f t="shared" si="16"/>
        <v>0</v>
      </c>
    </row>
    <row r="112" spans="1:16" s="171" customFormat="1" x14ac:dyDescent="0.25">
      <c r="A112" s="321" t="s">
        <v>934</v>
      </c>
      <c r="B112" s="317" t="s">
        <v>243</v>
      </c>
      <c r="C112" s="322">
        <f t="shared" si="17"/>
        <v>0</v>
      </c>
      <c r="D112" s="319">
        <f t="array" ref="D112">SUM(IF((Budget[Account Code]=$B112)*(Budget[Date]=D$7),Budget[Amount]))</f>
        <v>0</v>
      </c>
      <c r="E112" s="319">
        <f t="array" ref="E112">SUM(IF((Budget[Account Code]=$B112)*(Budget[Date]=E$7),Budget[Amount]))</f>
        <v>0</v>
      </c>
      <c r="F112" s="319">
        <f t="array" ref="F112">SUM(IF((Budget[Account Code]=$B112)*(Budget[Date]=F$7),Budget[Amount]))</f>
        <v>0</v>
      </c>
      <c r="G112" s="319">
        <f t="array" ref="G112">SUM(IF((Budget[Account Code]=$B112)*(Budget[Date]=G$7),Budget[Amount]))</f>
        <v>0</v>
      </c>
      <c r="H112" s="319">
        <f t="array" ref="H112">SUM(IF((Budget[Account Code]=$B112)*(Budget[Date]=H$7),Budget[Amount]))</f>
        <v>0</v>
      </c>
      <c r="I112" s="319">
        <f t="array" ref="I112">SUM(IF((Budget[Account Code]=$B112)*(Budget[Date]=I$7),Budget[Amount]))</f>
        <v>0</v>
      </c>
      <c r="J112" s="319">
        <f t="array" ref="J112">SUM(IF((Budget[Account Code]=$B112)*(Budget[Date]=J$7),Budget[Amount]))</f>
        <v>0</v>
      </c>
      <c r="K112" s="319">
        <f t="array" ref="K112">SUM(IF((Budget[Account Code]=$B112)*(Budget[Date]=K$7),Budget[Amount]))</f>
        <v>0</v>
      </c>
      <c r="L112" s="319">
        <f t="array" ref="L112">SUM(IF((Budget[Account Code]=$B112)*(Budget[Date]=L$7),Budget[Amount]))</f>
        <v>0</v>
      </c>
      <c r="M112" s="319">
        <f t="array" ref="M112">SUM(IF((Budget[Account Code]=$B112)*(Budget[Date]=M$7),Budget[Amount]))</f>
        <v>0</v>
      </c>
      <c r="N112" s="319">
        <f t="array" ref="N112">SUM(IF((Budget[Account Code]=$B112)*(Budget[Date]=N$7),Budget[Amount]))</f>
        <v>0</v>
      </c>
      <c r="O112" s="319">
        <f t="array" ref="O112">SUM(IF((Budget[Account Code]=$B112)*(Budget[Date]=O$7),Budget[Amount]))</f>
        <v>0</v>
      </c>
      <c r="P112" s="322">
        <f t="shared" si="16"/>
        <v>0</v>
      </c>
    </row>
    <row r="113" spans="1:16" s="171" customFormat="1" x14ac:dyDescent="0.25">
      <c r="A113" s="321" t="s">
        <v>935</v>
      </c>
      <c r="B113" s="317" t="s">
        <v>244</v>
      </c>
      <c r="C113" s="322">
        <f t="shared" si="17"/>
        <v>0</v>
      </c>
      <c r="D113" s="319">
        <f t="array" ref="D113">SUM(IF((Budget[Account Code]=$B113)*(Budget[Date]=D$7),Budget[Amount]))</f>
        <v>0</v>
      </c>
      <c r="E113" s="319">
        <f t="array" ref="E113">SUM(IF((Budget[Account Code]=$B113)*(Budget[Date]=E$7),Budget[Amount]))</f>
        <v>0</v>
      </c>
      <c r="F113" s="319">
        <f t="array" ref="F113">SUM(IF((Budget[Account Code]=$B113)*(Budget[Date]=F$7),Budget[Amount]))</f>
        <v>0</v>
      </c>
      <c r="G113" s="319">
        <f t="array" ref="G113">SUM(IF((Budget[Account Code]=$B113)*(Budget[Date]=G$7),Budget[Amount]))</f>
        <v>0</v>
      </c>
      <c r="H113" s="319">
        <f t="array" ref="H113">SUM(IF((Budget[Account Code]=$B113)*(Budget[Date]=H$7),Budget[Amount]))</f>
        <v>0</v>
      </c>
      <c r="I113" s="319">
        <f t="array" ref="I113">SUM(IF((Budget[Account Code]=$B113)*(Budget[Date]=I$7),Budget[Amount]))</f>
        <v>0</v>
      </c>
      <c r="J113" s="319">
        <f t="array" ref="J113">SUM(IF((Budget[Account Code]=$B113)*(Budget[Date]=J$7),Budget[Amount]))</f>
        <v>0</v>
      </c>
      <c r="K113" s="319">
        <f t="array" ref="K113">SUM(IF((Budget[Account Code]=$B113)*(Budget[Date]=K$7),Budget[Amount]))</f>
        <v>0</v>
      </c>
      <c r="L113" s="319">
        <f t="array" ref="L113">SUM(IF((Budget[Account Code]=$B113)*(Budget[Date]=L$7),Budget[Amount]))</f>
        <v>0</v>
      </c>
      <c r="M113" s="319">
        <f t="array" ref="M113">SUM(IF((Budget[Account Code]=$B113)*(Budget[Date]=M$7),Budget[Amount]))</f>
        <v>0</v>
      </c>
      <c r="N113" s="319">
        <f t="array" ref="N113">SUM(IF((Budget[Account Code]=$B113)*(Budget[Date]=N$7),Budget[Amount]))</f>
        <v>0</v>
      </c>
      <c r="O113" s="319">
        <f t="array" ref="O113">SUM(IF((Budget[Account Code]=$B113)*(Budget[Date]=O$7),Budget[Amount]))</f>
        <v>0</v>
      </c>
      <c r="P113" s="322">
        <f t="shared" si="16"/>
        <v>0</v>
      </c>
    </row>
    <row r="114" spans="1:16" s="171" customFormat="1" x14ac:dyDescent="0.25">
      <c r="A114" s="321" t="s">
        <v>936</v>
      </c>
      <c r="B114" s="317" t="s">
        <v>338</v>
      </c>
      <c r="C114" s="322">
        <f t="shared" si="17"/>
        <v>0</v>
      </c>
      <c r="D114" s="319">
        <f t="array" ref="D114">SUM(IF((Budget[Account Code]=$B114)*(Budget[Date]=D$7),Budget[Amount]))</f>
        <v>0</v>
      </c>
      <c r="E114" s="319">
        <f t="array" ref="E114">SUM(IF((Budget[Account Code]=$B114)*(Budget[Date]=E$7),Budget[Amount]))</f>
        <v>0</v>
      </c>
      <c r="F114" s="319">
        <f t="array" ref="F114">SUM(IF((Budget[Account Code]=$B114)*(Budget[Date]=F$7),Budget[Amount]))</f>
        <v>0</v>
      </c>
      <c r="G114" s="319">
        <f t="array" ref="G114">SUM(IF((Budget[Account Code]=$B114)*(Budget[Date]=G$7),Budget[Amount]))</f>
        <v>0</v>
      </c>
      <c r="H114" s="319">
        <f t="array" ref="H114">SUM(IF((Budget[Account Code]=$B114)*(Budget[Date]=H$7),Budget[Amount]))</f>
        <v>0</v>
      </c>
      <c r="I114" s="319">
        <f t="array" ref="I114">SUM(IF((Budget[Account Code]=$B114)*(Budget[Date]=I$7),Budget[Amount]))</f>
        <v>0</v>
      </c>
      <c r="J114" s="319">
        <f t="array" ref="J114">SUM(IF((Budget[Account Code]=$B114)*(Budget[Date]=J$7),Budget[Amount]))</f>
        <v>0</v>
      </c>
      <c r="K114" s="319">
        <f t="array" ref="K114">SUM(IF((Budget[Account Code]=$B114)*(Budget[Date]=K$7),Budget[Amount]))</f>
        <v>0</v>
      </c>
      <c r="L114" s="319">
        <f t="array" ref="L114">SUM(IF((Budget[Account Code]=$B114)*(Budget[Date]=L$7),Budget[Amount]))</f>
        <v>0</v>
      </c>
      <c r="M114" s="319">
        <f t="array" ref="M114">SUM(IF((Budget[Account Code]=$B114)*(Budget[Date]=M$7),Budget[Amount]))</f>
        <v>0</v>
      </c>
      <c r="N114" s="319">
        <f t="array" ref="N114">SUM(IF((Budget[Account Code]=$B114)*(Budget[Date]=N$7),Budget[Amount]))</f>
        <v>0</v>
      </c>
      <c r="O114" s="319">
        <f t="array" ref="O114">SUM(IF((Budget[Account Code]=$B114)*(Budget[Date]=O$7),Budget[Amount]))</f>
        <v>0</v>
      </c>
      <c r="P114" s="322">
        <f t="shared" si="16"/>
        <v>0</v>
      </c>
    </row>
    <row r="115" spans="1:16" s="171" customFormat="1" x14ac:dyDescent="0.25">
      <c r="A115" s="321" t="s">
        <v>937</v>
      </c>
      <c r="B115" s="317" t="s">
        <v>339</v>
      </c>
      <c r="C115" s="322">
        <f t="shared" si="17"/>
        <v>0</v>
      </c>
      <c r="D115" s="319">
        <f t="array" ref="D115">SUM(IF((Budget[Account Code]=$B115)*(Budget[Date]=D$7),Budget[Amount]))</f>
        <v>0</v>
      </c>
      <c r="E115" s="319">
        <f t="array" ref="E115">SUM(IF((Budget[Account Code]=$B115)*(Budget[Date]=E$7),Budget[Amount]))</f>
        <v>0</v>
      </c>
      <c r="F115" s="319">
        <f t="array" ref="F115">SUM(IF((Budget[Account Code]=$B115)*(Budget[Date]=F$7),Budget[Amount]))</f>
        <v>0</v>
      </c>
      <c r="G115" s="319">
        <f t="array" ref="G115">SUM(IF((Budget[Account Code]=$B115)*(Budget[Date]=G$7),Budget[Amount]))</f>
        <v>0</v>
      </c>
      <c r="H115" s="319">
        <f t="array" ref="H115">SUM(IF((Budget[Account Code]=$B115)*(Budget[Date]=H$7),Budget[Amount]))</f>
        <v>0</v>
      </c>
      <c r="I115" s="319">
        <f t="array" ref="I115">SUM(IF((Budget[Account Code]=$B115)*(Budget[Date]=I$7),Budget[Amount]))</f>
        <v>0</v>
      </c>
      <c r="J115" s="319">
        <f t="array" ref="J115">SUM(IF((Budget[Account Code]=$B115)*(Budget[Date]=J$7),Budget[Amount]))</f>
        <v>0</v>
      </c>
      <c r="K115" s="319">
        <f t="array" ref="K115">SUM(IF((Budget[Account Code]=$B115)*(Budget[Date]=K$7),Budget[Amount]))</f>
        <v>0</v>
      </c>
      <c r="L115" s="319">
        <f t="array" ref="L115">SUM(IF((Budget[Account Code]=$B115)*(Budget[Date]=L$7),Budget[Amount]))</f>
        <v>0</v>
      </c>
      <c r="M115" s="319">
        <f t="array" ref="M115">SUM(IF((Budget[Account Code]=$B115)*(Budget[Date]=M$7),Budget[Amount]))</f>
        <v>0</v>
      </c>
      <c r="N115" s="319">
        <f t="array" ref="N115">SUM(IF((Budget[Account Code]=$B115)*(Budget[Date]=N$7),Budget[Amount]))</f>
        <v>0</v>
      </c>
      <c r="O115" s="319">
        <f t="array" ref="O115">SUM(IF((Budget[Account Code]=$B115)*(Budget[Date]=O$7),Budget[Amount]))</f>
        <v>0</v>
      </c>
      <c r="P115" s="322">
        <f t="shared" si="16"/>
        <v>0</v>
      </c>
    </row>
    <row r="116" spans="1:16" s="171" customFormat="1" x14ac:dyDescent="0.25">
      <c r="A116" s="321" t="s">
        <v>938</v>
      </c>
      <c r="B116" s="317" t="s">
        <v>245</v>
      </c>
      <c r="C116" s="322">
        <f t="shared" si="17"/>
        <v>0</v>
      </c>
      <c r="D116" s="319">
        <f t="array" ref="D116">SUM(IF((Budget[Account Code]=$B116)*(Budget[Date]=D$7),Budget[Amount]))</f>
        <v>0</v>
      </c>
      <c r="E116" s="319">
        <f t="array" ref="E116">SUM(IF((Budget[Account Code]=$B116)*(Budget[Date]=E$7),Budget[Amount]))</f>
        <v>0</v>
      </c>
      <c r="F116" s="319">
        <f t="array" ref="F116">SUM(IF((Budget[Account Code]=$B116)*(Budget[Date]=F$7),Budget[Amount]))</f>
        <v>0</v>
      </c>
      <c r="G116" s="319">
        <f t="array" ref="G116">SUM(IF((Budget[Account Code]=$B116)*(Budget[Date]=G$7),Budget[Amount]))</f>
        <v>0</v>
      </c>
      <c r="H116" s="319">
        <f t="array" ref="H116">SUM(IF((Budget[Account Code]=$B116)*(Budget[Date]=H$7),Budget[Amount]))</f>
        <v>0</v>
      </c>
      <c r="I116" s="319">
        <f t="array" ref="I116">SUM(IF((Budget[Account Code]=$B116)*(Budget[Date]=I$7),Budget[Amount]))</f>
        <v>0</v>
      </c>
      <c r="J116" s="319">
        <f t="array" ref="J116">SUM(IF((Budget[Account Code]=$B116)*(Budget[Date]=J$7),Budget[Amount]))</f>
        <v>0</v>
      </c>
      <c r="K116" s="319">
        <f t="array" ref="K116">SUM(IF((Budget[Account Code]=$B116)*(Budget[Date]=K$7),Budget[Amount]))</f>
        <v>0</v>
      </c>
      <c r="L116" s="319">
        <f t="array" ref="L116">SUM(IF((Budget[Account Code]=$B116)*(Budget[Date]=L$7),Budget[Amount]))</f>
        <v>0</v>
      </c>
      <c r="M116" s="319">
        <f t="array" ref="M116">SUM(IF((Budget[Account Code]=$B116)*(Budget[Date]=M$7),Budget[Amount]))</f>
        <v>0</v>
      </c>
      <c r="N116" s="319">
        <f t="array" ref="N116">SUM(IF((Budget[Account Code]=$B116)*(Budget[Date]=N$7),Budget[Amount]))</f>
        <v>0</v>
      </c>
      <c r="O116" s="319">
        <f t="array" ref="O116">SUM(IF((Budget[Account Code]=$B116)*(Budget[Date]=O$7),Budget[Amount]))</f>
        <v>0</v>
      </c>
      <c r="P116" s="322">
        <f t="shared" si="16"/>
        <v>0</v>
      </c>
    </row>
    <row r="117" spans="1:16" s="171" customFormat="1" x14ac:dyDescent="0.25">
      <c r="A117" s="321" t="s">
        <v>939</v>
      </c>
      <c r="B117" s="317"/>
      <c r="C117" s="322">
        <f t="shared" si="17"/>
        <v>0</v>
      </c>
      <c r="D117" s="322">
        <f>SUM(D118:D125)</f>
        <v>0</v>
      </c>
      <c r="E117" s="322">
        <f t="shared" ref="E117:O117" si="24">SUM(E118:E125)</f>
        <v>0</v>
      </c>
      <c r="F117" s="322">
        <f t="shared" si="24"/>
        <v>0</v>
      </c>
      <c r="G117" s="322">
        <f t="shared" si="24"/>
        <v>0</v>
      </c>
      <c r="H117" s="322">
        <f t="shared" si="24"/>
        <v>0</v>
      </c>
      <c r="I117" s="322">
        <f t="shared" si="24"/>
        <v>0</v>
      </c>
      <c r="J117" s="322">
        <f t="shared" si="24"/>
        <v>0</v>
      </c>
      <c r="K117" s="322">
        <f t="shared" si="24"/>
        <v>0</v>
      </c>
      <c r="L117" s="322">
        <f t="shared" si="24"/>
        <v>0</v>
      </c>
      <c r="M117" s="322">
        <f t="shared" si="24"/>
        <v>0</v>
      </c>
      <c r="N117" s="322">
        <f t="shared" si="24"/>
        <v>0</v>
      </c>
      <c r="O117" s="322">
        <f t="shared" si="24"/>
        <v>0</v>
      </c>
      <c r="P117" s="322">
        <f t="shared" si="16"/>
        <v>0</v>
      </c>
    </row>
    <row r="118" spans="1:16" x14ac:dyDescent="0.25">
      <c r="A118" s="323" t="s">
        <v>940</v>
      </c>
      <c r="B118" s="317" t="s">
        <v>246</v>
      </c>
      <c r="C118" s="319">
        <f t="shared" si="17"/>
        <v>0</v>
      </c>
      <c r="D118" s="319">
        <f t="array" ref="D118">SUM(IF((Budget[Account Code]=$B118)*(Budget[Date]=D$7),Budget[Amount]))</f>
        <v>0</v>
      </c>
      <c r="E118" s="319">
        <f t="array" ref="E118">SUM(IF((Budget[Account Code]=$B118)*(Budget[Date]=E$7),Budget[Amount]))</f>
        <v>0</v>
      </c>
      <c r="F118" s="319">
        <f t="array" ref="F118">SUM(IF((Budget[Account Code]=$B118)*(Budget[Date]=F$7),Budget[Amount]))</f>
        <v>0</v>
      </c>
      <c r="G118" s="319">
        <f t="array" ref="G118">SUM(IF((Budget[Account Code]=$B118)*(Budget[Date]=G$7),Budget[Amount]))</f>
        <v>0</v>
      </c>
      <c r="H118" s="319">
        <f t="array" ref="H118">SUM(IF((Budget[Account Code]=$B118)*(Budget[Date]=H$7),Budget[Amount]))</f>
        <v>0</v>
      </c>
      <c r="I118" s="319">
        <f t="array" ref="I118">SUM(IF((Budget[Account Code]=$B118)*(Budget[Date]=I$7),Budget[Amount]))</f>
        <v>0</v>
      </c>
      <c r="J118" s="319">
        <f t="array" ref="J118">SUM(IF((Budget[Account Code]=$B118)*(Budget[Date]=J$7),Budget[Amount]))</f>
        <v>0</v>
      </c>
      <c r="K118" s="319">
        <f t="array" ref="K118">SUM(IF((Budget[Account Code]=$B118)*(Budget[Date]=K$7),Budget[Amount]))</f>
        <v>0</v>
      </c>
      <c r="L118" s="319">
        <f t="array" ref="L118">SUM(IF((Budget[Account Code]=$B118)*(Budget[Date]=L$7),Budget[Amount]))</f>
        <v>0</v>
      </c>
      <c r="M118" s="319">
        <f t="array" ref="M118">SUM(IF((Budget[Account Code]=$B118)*(Budget[Date]=M$7),Budget[Amount]))</f>
        <v>0</v>
      </c>
      <c r="N118" s="319">
        <f t="array" ref="N118">SUM(IF((Budget[Account Code]=$B118)*(Budget[Date]=N$7),Budget[Amount]))</f>
        <v>0</v>
      </c>
      <c r="O118" s="319">
        <f t="array" ref="O118">SUM(IF((Budget[Account Code]=$B118)*(Budget[Date]=O$7),Budget[Amount]))</f>
        <v>0</v>
      </c>
      <c r="P118" s="319">
        <f t="shared" si="16"/>
        <v>0</v>
      </c>
    </row>
    <row r="119" spans="1:16" x14ac:dyDescent="0.25">
      <c r="A119" s="323" t="s">
        <v>941</v>
      </c>
      <c r="B119" s="317" t="s">
        <v>222</v>
      </c>
      <c r="C119" s="319">
        <f t="shared" si="17"/>
        <v>0</v>
      </c>
      <c r="D119" s="319">
        <f t="array" ref="D119">SUM(IF((Budget[Account Code]=$B119)*(Budget[Date]=D$7),Budget[Amount]))</f>
        <v>0</v>
      </c>
      <c r="E119" s="319">
        <f t="array" ref="E119">SUM(IF((Budget[Account Code]=$B119)*(Budget[Date]=E$7),Budget[Amount]))</f>
        <v>0</v>
      </c>
      <c r="F119" s="319">
        <f t="array" ref="F119">SUM(IF((Budget[Account Code]=$B119)*(Budget[Date]=F$7),Budget[Amount]))</f>
        <v>0</v>
      </c>
      <c r="G119" s="319">
        <f t="array" ref="G119">SUM(IF((Budget[Account Code]=$B119)*(Budget[Date]=G$7),Budget[Amount]))</f>
        <v>0</v>
      </c>
      <c r="H119" s="319">
        <f t="array" ref="H119">SUM(IF((Budget[Account Code]=$B119)*(Budget[Date]=H$7),Budget[Amount]))</f>
        <v>0</v>
      </c>
      <c r="I119" s="319">
        <f t="array" ref="I119">SUM(IF((Budget[Account Code]=$B119)*(Budget[Date]=I$7),Budget[Amount]))</f>
        <v>0</v>
      </c>
      <c r="J119" s="319">
        <f t="array" ref="J119">SUM(IF((Budget[Account Code]=$B119)*(Budget[Date]=J$7),Budget[Amount]))</f>
        <v>0</v>
      </c>
      <c r="K119" s="319">
        <f t="array" ref="K119">SUM(IF((Budget[Account Code]=$B119)*(Budget[Date]=K$7),Budget[Amount]))</f>
        <v>0</v>
      </c>
      <c r="L119" s="319">
        <f t="array" ref="L119">SUM(IF((Budget[Account Code]=$B119)*(Budget[Date]=L$7),Budget[Amount]))</f>
        <v>0</v>
      </c>
      <c r="M119" s="319">
        <f t="array" ref="M119">SUM(IF((Budget[Account Code]=$B119)*(Budget[Date]=M$7),Budget[Amount]))</f>
        <v>0</v>
      </c>
      <c r="N119" s="319">
        <f t="array" ref="N119">SUM(IF((Budget[Account Code]=$B119)*(Budget[Date]=N$7),Budget[Amount]))</f>
        <v>0</v>
      </c>
      <c r="O119" s="319">
        <f t="array" ref="O119">SUM(IF((Budget[Account Code]=$B119)*(Budget[Date]=O$7),Budget[Amount]))</f>
        <v>0</v>
      </c>
      <c r="P119" s="319">
        <f t="shared" si="16"/>
        <v>0</v>
      </c>
    </row>
    <row r="120" spans="1:16" x14ac:dyDescent="0.25">
      <c r="A120" s="323" t="s">
        <v>942</v>
      </c>
      <c r="B120" s="317" t="s">
        <v>247</v>
      </c>
      <c r="C120" s="319">
        <f t="shared" si="17"/>
        <v>0</v>
      </c>
      <c r="D120" s="319">
        <f t="array" ref="D120">SUM(IF((Budget[Account Code]=$B120)*(Budget[Date]=D$7),Budget[Amount]))</f>
        <v>0</v>
      </c>
      <c r="E120" s="319">
        <f t="array" ref="E120">SUM(IF((Budget[Account Code]=$B120)*(Budget[Date]=E$7),Budget[Amount]))</f>
        <v>0</v>
      </c>
      <c r="F120" s="319">
        <f t="array" ref="F120">SUM(IF((Budget[Account Code]=$B120)*(Budget[Date]=F$7),Budget[Amount]))</f>
        <v>0</v>
      </c>
      <c r="G120" s="319">
        <f t="array" ref="G120">SUM(IF((Budget[Account Code]=$B120)*(Budget[Date]=G$7),Budget[Amount]))</f>
        <v>0</v>
      </c>
      <c r="H120" s="319">
        <f t="array" ref="H120">SUM(IF((Budget[Account Code]=$B120)*(Budget[Date]=H$7),Budget[Amount]))</f>
        <v>0</v>
      </c>
      <c r="I120" s="319">
        <f t="array" ref="I120">SUM(IF((Budget[Account Code]=$B120)*(Budget[Date]=I$7),Budget[Amount]))</f>
        <v>0</v>
      </c>
      <c r="J120" s="319">
        <f t="array" ref="J120">SUM(IF((Budget[Account Code]=$B120)*(Budget[Date]=J$7),Budget[Amount]))</f>
        <v>0</v>
      </c>
      <c r="K120" s="319">
        <f t="array" ref="K120">SUM(IF((Budget[Account Code]=$B120)*(Budget[Date]=K$7),Budget[Amount]))</f>
        <v>0</v>
      </c>
      <c r="L120" s="319">
        <f t="array" ref="L120">SUM(IF((Budget[Account Code]=$B120)*(Budget[Date]=L$7),Budget[Amount]))</f>
        <v>0</v>
      </c>
      <c r="M120" s="319">
        <f t="array" ref="M120">SUM(IF((Budget[Account Code]=$B120)*(Budget[Date]=M$7),Budget[Amount]))</f>
        <v>0</v>
      </c>
      <c r="N120" s="319">
        <f t="array" ref="N120">SUM(IF((Budget[Account Code]=$B120)*(Budget[Date]=N$7),Budget[Amount]))</f>
        <v>0</v>
      </c>
      <c r="O120" s="319">
        <f t="array" ref="O120">SUM(IF((Budget[Account Code]=$B120)*(Budget[Date]=O$7),Budget[Amount]))</f>
        <v>0</v>
      </c>
      <c r="P120" s="319">
        <f t="shared" si="16"/>
        <v>0</v>
      </c>
    </row>
    <row r="121" spans="1:16" x14ac:dyDescent="0.25">
      <c r="A121" s="323" t="s">
        <v>943</v>
      </c>
      <c r="B121" s="317"/>
      <c r="C121" s="319">
        <f t="shared" si="17"/>
        <v>0</v>
      </c>
      <c r="D121" s="319">
        <f t="array" ref="D121">SUM(IF((Budget[Account Code]=$B121)*(Budget[Date]=D$7),Budget[Amount]))</f>
        <v>0</v>
      </c>
      <c r="E121" s="319">
        <f t="array" ref="E121">SUM(IF((Budget[Account Code]=$B121)*(Budget[Date]=E$7),Budget[Amount]))</f>
        <v>0</v>
      </c>
      <c r="F121" s="319">
        <f t="array" ref="F121">SUM(IF((Budget[Account Code]=$B121)*(Budget[Date]=F$7),Budget[Amount]))</f>
        <v>0</v>
      </c>
      <c r="G121" s="319">
        <f t="array" ref="G121">SUM(IF((Budget[Account Code]=$B121)*(Budget[Date]=G$7),Budget[Amount]))</f>
        <v>0</v>
      </c>
      <c r="H121" s="319">
        <f t="array" ref="H121">SUM(IF((Budget[Account Code]=$B121)*(Budget[Date]=H$7),Budget[Amount]))</f>
        <v>0</v>
      </c>
      <c r="I121" s="319">
        <f t="array" ref="I121">SUM(IF((Budget[Account Code]=$B121)*(Budget[Date]=I$7),Budget[Amount]))</f>
        <v>0</v>
      </c>
      <c r="J121" s="319">
        <f t="array" ref="J121">SUM(IF((Budget[Account Code]=$B121)*(Budget[Date]=J$7),Budget[Amount]))</f>
        <v>0</v>
      </c>
      <c r="K121" s="319">
        <f t="array" ref="K121">SUM(IF((Budget[Account Code]=$B121)*(Budget[Date]=K$7),Budget[Amount]))</f>
        <v>0</v>
      </c>
      <c r="L121" s="319">
        <f t="array" ref="L121">SUM(IF((Budget[Account Code]=$B121)*(Budget[Date]=L$7),Budget[Amount]))</f>
        <v>0</v>
      </c>
      <c r="M121" s="319">
        <f t="array" ref="M121">SUM(IF((Budget[Account Code]=$B121)*(Budget[Date]=M$7),Budget[Amount]))</f>
        <v>0</v>
      </c>
      <c r="N121" s="319">
        <f t="array" ref="N121">SUM(IF((Budget[Account Code]=$B121)*(Budget[Date]=N$7),Budget[Amount]))</f>
        <v>0</v>
      </c>
      <c r="O121" s="319">
        <f t="array" ref="O121">SUM(IF((Budget[Account Code]=$B121)*(Budget[Date]=O$7),Budget[Amount]))</f>
        <v>0</v>
      </c>
      <c r="P121" s="319">
        <f t="shared" si="16"/>
        <v>0</v>
      </c>
    </row>
    <row r="122" spans="1:16" x14ac:dyDescent="0.25">
      <c r="A122" s="323" t="s">
        <v>944</v>
      </c>
      <c r="B122" s="317" t="s">
        <v>248</v>
      </c>
      <c r="C122" s="319">
        <f t="shared" si="17"/>
        <v>0</v>
      </c>
      <c r="D122" s="319">
        <f t="array" ref="D122">SUM(IF((Budget[Account Code]=$B122)*(Budget[Date]=D$7),Budget[Amount]))</f>
        <v>0</v>
      </c>
      <c r="E122" s="319">
        <f t="array" ref="E122">SUM(IF((Budget[Account Code]=$B122)*(Budget[Date]=E$7),Budget[Amount]))</f>
        <v>0</v>
      </c>
      <c r="F122" s="319">
        <f t="array" ref="F122">SUM(IF((Budget[Account Code]=$B122)*(Budget[Date]=F$7),Budget[Amount]))</f>
        <v>0</v>
      </c>
      <c r="G122" s="319">
        <f t="array" ref="G122">SUM(IF((Budget[Account Code]=$B122)*(Budget[Date]=G$7),Budget[Amount]))</f>
        <v>0</v>
      </c>
      <c r="H122" s="319">
        <f t="array" ref="H122">SUM(IF((Budget[Account Code]=$B122)*(Budget[Date]=H$7),Budget[Amount]))</f>
        <v>0</v>
      </c>
      <c r="I122" s="319">
        <f t="array" ref="I122">SUM(IF((Budget[Account Code]=$B122)*(Budget[Date]=I$7),Budget[Amount]))</f>
        <v>0</v>
      </c>
      <c r="J122" s="319">
        <f t="array" ref="J122">SUM(IF((Budget[Account Code]=$B122)*(Budget[Date]=J$7),Budget[Amount]))</f>
        <v>0</v>
      </c>
      <c r="K122" s="319">
        <f t="array" ref="K122">SUM(IF((Budget[Account Code]=$B122)*(Budget[Date]=K$7),Budget[Amount]))</f>
        <v>0</v>
      </c>
      <c r="L122" s="319">
        <f t="array" ref="L122">SUM(IF((Budget[Account Code]=$B122)*(Budget[Date]=L$7),Budget[Amount]))</f>
        <v>0</v>
      </c>
      <c r="M122" s="319">
        <f t="array" ref="M122">SUM(IF((Budget[Account Code]=$B122)*(Budget[Date]=M$7),Budget[Amount]))</f>
        <v>0</v>
      </c>
      <c r="N122" s="319">
        <f t="array" ref="N122">SUM(IF((Budget[Account Code]=$B122)*(Budget[Date]=N$7),Budget[Amount]))</f>
        <v>0</v>
      </c>
      <c r="O122" s="319">
        <f t="array" ref="O122">SUM(IF((Budget[Account Code]=$B122)*(Budget[Date]=O$7),Budget[Amount]))</f>
        <v>0</v>
      </c>
      <c r="P122" s="319">
        <f t="shared" si="16"/>
        <v>0</v>
      </c>
    </row>
    <row r="123" spans="1:16" x14ac:dyDescent="0.25">
      <c r="A123" s="323" t="s">
        <v>945</v>
      </c>
      <c r="B123" s="317" t="s">
        <v>249</v>
      </c>
      <c r="C123" s="319">
        <f t="shared" si="17"/>
        <v>0</v>
      </c>
      <c r="D123" s="319">
        <f t="array" ref="D123">SUM(IF((Budget[Account Code]=$B123)*(Budget[Date]=D$7),Budget[Amount]))</f>
        <v>0</v>
      </c>
      <c r="E123" s="319">
        <f t="array" ref="E123">SUM(IF((Budget[Account Code]=$B123)*(Budget[Date]=E$7),Budget[Amount]))</f>
        <v>0</v>
      </c>
      <c r="F123" s="319">
        <f t="array" ref="F123">SUM(IF((Budget[Account Code]=$B123)*(Budget[Date]=F$7),Budget[Amount]))</f>
        <v>0</v>
      </c>
      <c r="G123" s="319">
        <f t="array" ref="G123">SUM(IF((Budget[Account Code]=$B123)*(Budget[Date]=G$7),Budget[Amount]))</f>
        <v>0</v>
      </c>
      <c r="H123" s="319">
        <f t="array" ref="H123">SUM(IF((Budget[Account Code]=$B123)*(Budget[Date]=H$7),Budget[Amount]))</f>
        <v>0</v>
      </c>
      <c r="I123" s="319">
        <f t="array" ref="I123">SUM(IF((Budget[Account Code]=$B123)*(Budget[Date]=I$7),Budget[Amount]))</f>
        <v>0</v>
      </c>
      <c r="J123" s="319">
        <f t="array" ref="J123">SUM(IF((Budget[Account Code]=$B123)*(Budget[Date]=J$7),Budget[Amount]))</f>
        <v>0</v>
      </c>
      <c r="K123" s="319">
        <f t="array" ref="K123">SUM(IF((Budget[Account Code]=$B123)*(Budget[Date]=K$7),Budget[Amount]))</f>
        <v>0</v>
      </c>
      <c r="L123" s="319">
        <f t="array" ref="L123">SUM(IF((Budget[Account Code]=$B123)*(Budget[Date]=L$7),Budget[Amount]))</f>
        <v>0</v>
      </c>
      <c r="M123" s="319">
        <f t="array" ref="M123">SUM(IF((Budget[Account Code]=$B123)*(Budget[Date]=M$7),Budget[Amount]))</f>
        <v>0</v>
      </c>
      <c r="N123" s="319">
        <f t="array" ref="N123">SUM(IF((Budget[Account Code]=$B123)*(Budget[Date]=N$7),Budget[Amount]))</f>
        <v>0</v>
      </c>
      <c r="O123" s="319">
        <f t="array" ref="O123">SUM(IF((Budget[Account Code]=$B123)*(Budget[Date]=O$7),Budget[Amount]))</f>
        <v>0</v>
      </c>
      <c r="P123" s="319">
        <f t="shared" si="16"/>
        <v>0</v>
      </c>
    </row>
    <row r="124" spans="1:16" x14ac:dyDescent="0.25">
      <c r="A124" s="323" t="s">
        <v>946</v>
      </c>
      <c r="B124" s="317"/>
      <c r="C124" s="319">
        <f t="shared" ref="C124:C151" si="25">SUM(D124:O124)</f>
        <v>0</v>
      </c>
      <c r="D124" s="319">
        <f t="array" ref="D124">SUM(IF((Budget[Account Code]=$B124)*(Budget[Date]=D$7),Budget[Amount]))</f>
        <v>0</v>
      </c>
      <c r="E124" s="319">
        <f t="array" ref="E124">SUM(IF((Budget[Account Code]=$B124)*(Budget[Date]=E$7),Budget[Amount]))</f>
        <v>0</v>
      </c>
      <c r="F124" s="319">
        <f t="array" ref="F124">SUM(IF((Budget[Account Code]=$B124)*(Budget[Date]=F$7),Budget[Amount]))</f>
        <v>0</v>
      </c>
      <c r="G124" s="319">
        <f t="array" ref="G124">SUM(IF((Budget[Account Code]=$B124)*(Budget[Date]=G$7),Budget[Amount]))</f>
        <v>0</v>
      </c>
      <c r="H124" s="319">
        <f t="array" ref="H124">SUM(IF((Budget[Account Code]=$B124)*(Budget[Date]=H$7),Budget[Amount]))</f>
        <v>0</v>
      </c>
      <c r="I124" s="319">
        <f t="array" ref="I124">SUM(IF((Budget[Account Code]=$B124)*(Budget[Date]=I$7),Budget[Amount]))</f>
        <v>0</v>
      </c>
      <c r="J124" s="319">
        <f t="array" ref="J124">SUM(IF((Budget[Account Code]=$B124)*(Budget[Date]=J$7),Budget[Amount]))</f>
        <v>0</v>
      </c>
      <c r="K124" s="319">
        <f t="array" ref="K124">SUM(IF((Budget[Account Code]=$B124)*(Budget[Date]=K$7),Budget[Amount]))</f>
        <v>0</v>
      </c>
      <c r="L124" s="319">
        <f t="array" ref="L124">SUM(IF((Budget[Account Code]=$B124)*(Budget[Date]=L$7),Budget[Amount]))</f>
        <v>0</v>
      </c>
      <c r="M124" s="319">
        <f t="array" ref="M124">SUM(IF((Budget[Account Code]=$B124)*(Budget[Date]=M$7),Budget[Amount]))</f>
        <v>0</v>
      </c>
      <c r="N124" s="319">
        <f t="array" ref="N124">SUM(IF((Budget[Account Code]=$B124)*(Budget[Date]=N$7),Budget[Amount]))</f>
        <v>0</v>
      </c>
      <c r="O124" s="319">
        <f t="array" ref="O124">SUM(IF((Budget[Account Code]=$B124)*(Budget[Date]=O$7),Budget[Amount]))</f>
        <v>0</v>
      </c>
      <c r="P124" s="319">
        <f t="shared" si="16"/>
        <v>0</v>
      </c>
    </row>
    <row r="125" spans="1:16" x14ac:dyDescent="0.25">
      <c r="A125" s="323" t="s">
        <v>947</v>
      </c>
      <c r="B125" s="317" t="s">
        <v>250</v>
      </c>
      <c r="C125" s="319">
        <f t="shared" si="25"/>
        <v>0</v>
      </c>
      <c r="D125" s="319">
        <f t="array" ref="D125">SUM(IF((Budget[Account Code]=$B125)*(Budget[Date]=D$7),Budget[Amount]))</f>
        <v>0</v>
      </c>
      <c r="E125" s="319">
        <f t="array" ref="E125">SUM(IF((Budget[Account Code]=$B125)*(Budget[Date]=E$7),Budget[Amount]))</f>
        <v>0</v>
      </c>
      <c r="F125" s="319">
        <f t="array" ref="F125">SUM(IF((Budget[Account Code]=$B125)*(Budget[Date]=F$7),Budget[Amount]))</f>
        <v>0</v>
      </c>
      <c r="G125" s="319">
        <f t="array" ref="G125">SUM(IF((Budget[Account Code]=$B125)*(Budget[Date]=G$7),Budget[Amount]))</f>
        <v>0</v>
      </c>
      <c r="H125" s="319">
        <f t="array" ref="H125">SUM(IF((Budget[Account Code]=$B125)*(Budget[Date]=H$7),Budget[Amount]))</f>
        <v>0</v>
      </c>
      <c r="I125" s="319">
        <f t="array" ref="I125">SUM(IF((Budget[Account Code]=$B125)*(Budget[Date]=I$7),Budget[Amount]))</f>
        <v>0</v>
      </c>
      <c r="J125" s="319">
        <f t="array" ref="J125">SUM(IF((Budget[Account Code]=$B125)*(Budget[Date]=J$7),Budget[Amount]))</f>
        <v>0</v>
      </c>
      <c r="K125" s="319">
        <f t="array" ref="K125">SUM(IF((Budget[Account Code]=$B125)*(Budget[Date]=K$7),Budget[Amount]))</f>
        <v>0</v>
      </c>
      <c r="L125" s="319">
        <f t="array" ref="L125">SUM(IF((Budget[Account Code]=$B125)*(Budget[Date]=L$7),Budget[Amount]))</f>
        <v>0</v>
      </c>
      <c r="M125" s="319">
        <f t="array" ref="M125">SUM(IF((Budget[Account Code]=$B125)*(Budget[Date]=M$7),Budget[Amount]))</f>
        <v>0</v>
      </c>
      <c r="N125" s="319">
        <f t="array" ref="N125">SUM(IF((Budget[Account Code]=$B125)*(Budget[Date]=N$7),Budget[Amount]))</f>
        <v>0</v>
      </c>
      <c r="O125" s="319">
        <f t="array" ref="O125">SUM(IF((Budget[Account Code]=$B125)*(Budget[Date]=O$7),Budget[Amount]))</f>
        <v>0</v>
      </c>
      <c r="P125" s="319">
        <f t="shared" si="16"/>
        <v>0</v>
      </c>
    </row>
    <row r="126" spans="1:16" s="171" customFormat="1" x14ac:dyDescent="0.25">
      <c r="A126" s="321" t="s">
        <v>948</v>
      </c>
      <c r="B126" s="317"/>
      <c r="C126" s="322">
        <f t="shared" si="25"/>
        <v>0</v>
      </c>
      <c r="D126" s="322">
        <f>SUM(D127:D132)</f>
        <v>0</v>
      </c>
      <c r="E126" s="322">
        <f t="shared" ref="E126:O126" si="26">SUM(E127:E132)</f>
        <v>0</v>
      </c>
      <c r="F126" s="322">
        <f t="shared" si="26"/>
        <v>0</v>
      </c>
      <c r="G126" s="322">
        <f t="shared" si="26"/>
        <v>0</v>
      </c>
      <c r="H126" s="322">
        <f t="shared" si="26"/>
        <v>0</v>
      </c>
      <c r="I126" s="322">
        <f t="shared" si="26"/>
        <v>0</v>
      </c>
      <c r="J126" s="322">
        <f t="shared" si="26"/>
        <v>0</v>
      </c>
      <c r="K126" s="322">
        <f t="shared" si="26"/>
        <v>0</v>
      </c>
      <c r="L126" s="322">
        <f t="shared" si="26"/>
        <v>0</v>
      </c>
      <c r="M126" s="322">
        <f t="shared" si="26"/>
        <v>0</v>
      </c>
      <c r="N126" s="322">
        <f t="shared" si="26"/>
        <v>0</v>
      </c>
      <c r="O126" s="322">
        <f t="shared" si="26"/>
        <v>0</v>
      </c>
      <c r="P126" s="322">
        <f t="shared" si="16"/>
        <v>0</v>
      </c>
    </row>
    <row r="127" spans="1:16" x14ac:dyDescent="0.25">
      <c r="A127" s="323" t="s">
        <v>949</v>
      </c>
      <c r="B127" s="317" t="s">
        <v>253</v>
      </c>
      <c r="C127" s="319">
        <f t="shared" si="25"/>
        <v>0</v>
      </c>
      <c r="D127" s="319">
        <f t="array" ref="D127">SUM(IF((Budget[Account Code]=$B127)*(Budget[Date]=D$7),Budget[Amount]))</f>
        <v>0</v>
      </c>
      <c r="E127" s="319">
        <f t="array" ref="E127">SUM(IF((Budget[Account Code]=$B127)*(Budget[Date]=E$7),Budget[Amount]))</f>
        <v>0</v>
      </c>
      <c r="F127" s="319">
        <f t="array" ref="F127">SUM(IF((Budget[Account Code]=$B127)*(Budget[Date]=F$7),Budget[Amount]))</f>
        <v>0</v>
      </c>
      <c r="G127" s="319">
        <f t="array" ref="G127">SUM(IF((Budget[Account Code]=$B127)*(Budget[Date]=G$7),Budget[Amount]))</f>
        <v>0</v>
      </c>
      <c r="H127" s="319">
        <f t="array" ref="H127">SUM(IF((Budget[Account Code]=$B127)*(Budget[Date]=H$7),Budget[Amount]))</f>
        <v>0</v>
      </c>
      <c r="I127" s="319">
        <f t="array" ref="I127">SUM(IF((Budget[Account Code]=$B127)*(Budget[Date]=I$7),Budget[Amount]))</f>
        <v>0</v>
      </c>
      <c r="J127" s="319">
        <f t="array" ref="J127">SUM(IF((Budget[Account Code]=$B127)*(Budget[Date]=J$7),Budget[Amount]))</f>
        <v>0</v>
      </c>
      <c r="K127" s="319">
        <f t="array" ref="K127">SUM(IF((Budget[Account Code]=$B127)*(Budget[Date]=K$7),Budget[Amount]))</f>
        <v>0</v>
      </c>
      <c r="L127" s="319">
        <f t="array" ref="L127">SUM(IF((Budget[Account Code]=$B127)*(Budget[Date]=L$7),Budget[Amount]))</f>
        <v>0</v>
      </c>
      <c r="M127" s="319">
        <f t="array" ref="M127">SUM(IF((Budget[Account Code]=$B127)*(Budget[Date]=M$7),Budget[Amount]))</f>
        <v>0</v>
      </c>
      <c r="N127" s="319">
        <f t="array" ref="N127">SUM(IF((Budget[Account Code]=$B127)*(Budget[Date]=N$7),Budget[Amount]))</f>
        <v>0</v>
      </c>
      <c r="O127" s="319">
        <f t="array" ref="O127">SUM(IF((Budget[Account Code]=$B127)*(Budget[Date]=O$7),Budget[Amount]))</f>
        <v>0</v>
      </c>
      <c r="P127" s="319">
        <f t="shared" si="16"/>
        <v>0</v>
      </c>
    </row>
    <row r="128" spans="1:16" x14ac:dyDescent="0.25">
      <c r="A128" s="323" t="s">
        <v>950</v>
      </c>
      <c r="B128" s="317" t="s">
        <v>256</v>
      </c>
      <c r="C128" s="319">
        <f t="shared" si="25"/>
        <v>0</v>
      </c>
      <c r="D128" s="319">
        <f t="array" ref="D128">SUM(IF((Budget[Account Code]=$B128)*(Budget[Date]=D$7),Budget[Amount]))</f>
        <v>0</v>
      </c>
      <c r="E128" s="319">
        <f t="array" ref="E128">SUM(IF((Budget[Account Code]=$B128)*(Budget[Date]=E$7),Budget[Amount]))</f>
        <v>0</v>
      </c>
      <c r="F128" s="319">
        <f t="array" ref="F128">SUM(IF((Budget[Account Code]=$B128)*(Budget[Date]=F$7),Budget[Amount]))</f>
        <v>0</v>
      </c>
      <c r="G128" s="319">
        <f t="array" ref="G128">SUM(IF((Budget[Account Code]=$B128)*(Budget[Date]=G$7),Budget[Amount]))</f>
        <v>0</v>
      </c>
      <c r="H128" s="319">
        <f t="array" ref="H128">SUM(IF((Budget[Account Code]=$B128)*(Budget[Date]=H$7),Budget[Amount]))</f>
        <v>0</v>
      </c>
      <c r="I128" s="319">
        <f t="array" ref="I128">SUM(IF((Budget[Account Code]=$B128)*(Budget[Date]=I$7),Budget[Amount]))</f>
        <v>0</v>
      </c>
      <c r="J128" s="319">
        <f t="array" ref="J128">SUM(IF((Budget[Account Code]=$B128)*(Budget[Date]=J$7),Budget[Amount]))</f>
        <v>0</v>
      </c>
      <c r="K128" s="319">
        <f t="array" ref="K128">SUM(IF((Budget[Account Code]=$B128)*(Budget[Date]=K$7),Budget[Amount]))</f>
        <v>0</v>
      </c>
      <c r="L128" s="319">
        <f t="array" ref="L128">SUM(IF((Budget[Account Code]=$B128)*(Budget[Date]=L$7),Budget[Amount]))</f>
        <v>0</v>
      </c>
      <c r="M128" s="319">
        <f t="array" ref="M128">SUM(IF((Budget[Account Code]=$B128)*(Budget[Date]=M$7),Budget[Amount]))</f>
        <v>0</v>
      </c>
      <c r="N128" s="319">
        <f t="array" ref="N128">SUM(IF((Budget[Account Code]=$B128)*(Budget[Date]=N$7),Budget[Amount]))</f>
        <v>0</v>
      </c>
      <c r="O128" s="319">
        <f t="array" ref="O128">SUM(IF((Budget[Account Code]=$B128)*(Budget[Date]=O$7),Budget[Amount]))</f>
        <v>0</v>
      </c>
      <c r="P128" s="319">
        <f t="shared" si="16"/>
        <v>0</v>
      </c>
    </row>
    <row r="129" spans="1:16" x14ac:dyDescent="0.25">
      <c r="A129" s="323" t="s">
        <v>951</v>
      </c>
      <c r="B129" s="317" t="s">
        <v>262</v>
      </c>
      <c r="C129" s="319">
        <f t="shared" si="25"/>
        <v>0</v>
      </c>
      <c r="D129" s="319">
        <f t="array" ref="D129">SUM(IF((Budget[Account Code]=$B129)*(Budget[Date]=D$7),Budget[Amount]))</f>
        <v>0</v>
      </c>
      <c r="E129" s="319">
        <f t="array" ref="E129">SUM(IF((Budget[Account Code]=$B129)*(Budget[Date]=E$7),Budget[Amount]))</f>
        <v>0</v>
      </c>
      <c r="F129" s="319">
        <f t="array" ref="F129">SUM(IF((Budget[Account Code]=$B129)*(Budget[Date]=F$7),Budget[Amount]))</f>
        <v>0</v>
      </c>
      <c r="G129" s="319">
        <f t="array" ref="G129">SUM(IF((Budget[Account Code]=$B129)*(Budget[Date]=G$7),Budget[Amount]))</f>
        <v>0</v>
      </c>
      <c r="H129" s="319">
        <f t="array" ref="H129">SUM(IF((Budget[Account Code]=$B129)*(Budget[Date]=H$7),Budget[Amount]))</f>
        <v>0</v>
      </c>
      <c r="I129" s="319">
        <f t="array" ref="I129">SUM(IF((Budget[Account Code]=$B129)*(Budget[Date]=I$7),Budget[Amount]))</f>
        <v>0</v>
      </c>
      <c r="J129" s="319">
        <f t="array" ref="J129">SUM(IF((Budget[Account Code]=$B129)*(Budget[Date]=J$7),Budget[Amount]))</f>
        <v>0</v>
      </c>
      <c r="K129" s="319">
        <f t="array" ref="K129">SUM(IF((Budget[Account Code]=$B129)*(Budget[Date]=K$7),Budget[Amount]))</f>
        <v>0</v>
      </c>
      <c r="L129" s="319">
        <f t="array" ref="L129">SUM(IF((Budget[Account Code]=$B129)*(Budget[Date]=L$7),Budget[Amount]))</f>
        <v>0</v>
      </c>
      <c r="M129" s="319">
        <f t="array" ref="M129">SUM(IF((Budget[Account Code]=$B129)*(Budget[Date]=M$7),Budget[Amount]))</f>
        <v>0</v>
      </c>
      <c r="N129" s="319">
        <f t="array" ref="N129">SUM(IF((Budget[Account Code]=$B129)*(Budget[Date]=N$7),Budget[Amount]))</f>
        <v>0</v>
      </c>
      <c r="O129" s="319">
        <f t="array" ref="O129">SUM(IF((Budget[Account Code]=$B129)*(Budget[Date]=O$7),Budget[Amount]))</f>
        <v>0</v>
      </c>
      <c r="P129" s="319">
        <f t="shared" si="16"/>
        <v>0</v>
      </c>
    </row>
    <row r="130" spans="1:16" x14ac:dyDescent="0.25">
      <c r="A130" s="323" t="s">
        <v>952</v>
      </c>
      <c r="B130" s="317" t="s">
        <v>251</v>
      </c>
      <c r="C130" s="319">
        <f t="shared" si="25"/>
        <v>0</v>
      </c>
      <c r="D130" s="319">
        <f t="array" ref="D130">SUM(IF((Budget[Account Code]=$B130)*(Budget[Date]=D$7),Budget[Amount]))</f>
        <v>0</v>
      </c>
      <c r="E130" s="319">
        <f t="array" ref="E130">SUM(IF((Budget[Account Code]=$B130)*(Budget[Date]=E$7),Budget[Amount]))</f>
        <v>0</v>
      </c>
      <c r="F130" s="319">
        <f t="array" ref="F130">SUM(IF((Budget[Account Code]=$B130)*(Budget[Date]=F$7),Budget[Amount]))</f>
        <v>0</v>
      </c>
      <c r="G130" s="319">
        <f t="array" ref="G130">SUM(IF((Budget[Account Code]=$B130)*(Budget[Date]=G$7),Budget[Amount]))</f>
        <v>0</v>
      </c>
      <c r="H130" s="319">
        <f t="array" ref="H130">SUM(IF((Budget[Account Code]=$B130)*(Budget[Date]=H$7),Budget[Amount]))</f>
        <v>0</v>
      </c>
      <c r="I130" s="319">
        <f t="array" ref="I130">SUM(IF((Budget[Account Code]=$B130)*(Budget[Date]=I$7),Budget[Amount]))</f>
        <v>0</v>
      </c>
      <c r="J130" s="319">
        <f t="array" ref="J130">SUM(IF((Budget[Account Code]=$B130)*(Budget[Date]=J$7),Budget[Amount]))</f>
        <v>0</v>
      </c>
      <c r="K130" s="319">
        <f t="array" ref="K130">SUM(IF((Budget[Account Code]=$B130)*(Budget[Date]=K$7),Budget[Amount]))</f>
        <v>0</v>
      </c>
      <c r="L130" s="319">
        <f t="array" ref="L130">SUM(IF((Budget[Account Code]=$B130)*(Budget[Date]=L$7),Budget[Amount]))</f>
        <v>0</v>
      </c>
      <c r="M130" s="319">
        <f t="array" ref="M130">SUM(IF((Budget[Account Code]=$B130)*(Budget[Date]=M$7),Budget[Amount]))</f>
        <v>0</v>
      </c>
      <c r="N130" s="319">
        <f t="array" ref="N130">SUM(IF((Budget[Account Code]=$B130)*(Budget[Date]=N$7),Budget[Amount]))</f>
        <v>0</v>
      </c>
      <c r="O130" s="319">
        <f t="array" ref="O130">SUM(IF((Budget[Account Code]=$B130)*(Budget[Date]=O$7),Budget[Amount]))</f>
        <v>0</v>
      </c>
      <c r="P130" s="319">
        <f t="shared" si="16"/>
        <v>0</v>
      </c>
    </row>
    <row r="131" spans="1:16" x14ac:dyDescent="0.25">
      <c r="A131" s="323" t="s">
        <v>953</v>
      </c>
      <c r="B131" s="317" t="s">
        <v>252</v>
      </c>
      <c r="C131" s="319">
        <f t="shared" si="25"/>
        <v>0</v>
      </c>
      <c r="D131" s="319">
        <f t="array" ref="D131">SUM(IF((Budget[Account Code]=$B131)*(Budget[Date]=D$7),Budget[Amount]))</f>
        <v>0</v>
      </c>
      <c r="E131" s="319">
        <f t="array" ref="E131">SUM(IF((Budget[Account Code]=$B131)*(Budget[Date]=E$7),Budget[Amount]))</f>
        <v>0</v>
      </c>
      <c r="F131" s="319">
        <f t="array" ref="F131">SUM(IF((Budget[Account Code]=$B131)*(Budget[Date]=F$7),Budget[Amount]))</f>
        <v>0</v>
      </c>
      <c r="G131" s="319">
        <f t="array" ref="G131">SUM(IF((Budget[Account Code]=$B131)*(Budget[Date]=G$7),Budget[Amount]))</f>
        <v>0</v>
      </c>
      <c r="H131" s="319">
        <f t="array" ref="H131">SUM(IF((Budget[Account Code]=$B131)*(Budget[Date]=H$7),Budget[Amount]))</f>
        <v>0</v>
      </c>
      <c r="I131" s="319">
        <f t="array" ref="I131">SUM(IF((Budget[Account Code]=$B131)*(Budget[Date]=I$7),Budget[Amount]))</f>
        <v>0</v>
      </c>
      <c r="J131" s="319">
        <f t="array" ref="J131">SUM(IF((Budget[Account Code]=$B131)*(Budget[Date]=J$7),Budget[Amount]))</f>
        <v>0</v>
      </c>
      <c r="K131" s="319">
        <f t="array" ref="K131">SUM(IF((Budget[Account Code]=$B131)*(Budget[Date]=K$7),Budget[Amount]))</f>
        <v>0</v>
      </c>
      <c r="L131" s="319">
        <f t="array" ref="L131">SUM(IF((Budget[Account Code]=$B131)*(Budget[Date]=L$7),Budget[Amount]))</f>
        <v>0</v>
      </c>
      <c r="M131" s="319">
        <f t="array" ref="M131">SUM(IF((Budget[Account Code]=$B131)*(Budget[Date]=M$7),Budget[Amount]))</f>
        <v>0</v>
      </c>
      <c r="N131" s="319">
        <f t="array" ref="N131">SUM(IF((Budget[Account Code]=$B131)*(Budget[Date]=N$7),Budget[Amount]))</f>
        <v>0</v>
      </c>
      <c r="O131" s="319">
        <f t="array" ref="O131">SUM(IF((Budget[Account Code]=$B131)*(Budget[Date]=O$7),Budget[Amount]))</f>
        <v>0</v>
      </c>
      <c r="P131" s="319">
        <f t="shared" si="16"/>
        <v>0</v>
      </c>
    </row>
    <row r="132" spans="1:16" x14ac:dyDescent="0.25">
      <c r="A132" s="323" t="s">
        <v>954</v>
      </c>
      <c r="B132" s="317" t="s">
        <v>265</v>
      </c>
      <c r="C132" s="319">
        <f t="shared" si="25"/>
        <v>0</v>
      </c>
      <c r="D132" s="319">
        <f t="array" ref="D132">SUM(IF((Budget[Account Code]=$B132)*(Budget[Date]=D$7),Budget[Amount]))</f>
        <v>0</v>
      </c>
      <c r="E132" s="319">
        <f t="array" ref="E132">SUM(IF((Budget[Account Code]=$B132)*(Budget[Date]=E$7),Budget[Amount]))</f>
        <v>0</v>
      </c>
      <c r="F132" s="319">
        <f t="array" ref="F132">SUM(IF((Budget[Account Code]=$B132)*(Budget[Date]=F$7),Budget[Amount]))</f>
        <v>0</v>
      </c>
      <c r="G132" s="319">
        <f t="array" ref="G132">SUM(IF((Budget[Account Code]=$B132)*(Budget[Date]=G$7),Budget[Amount]))</f>
        <v>0</v>
      </c>
      <c r="H132" s="319">
        <f t="array" ref="H132">SUM(IF((Budget[Account Code]=$B132)*(Budget[Date]=H$7),Budget[Amount]))</f>
        <v>0</v>
      </c>
      <c r="I132" s="319">
        <f t="array" ref="I132">SUM(IF((Budget[Account Code]=$B132)*(Budget[Date]=I$7),Budget[Amount]))</f>
        <v>0</v>
      </c>
      <c r="J132" s="319">
        <f t="array" ref="J132">SUM(IF((Budget[Account Code]=$B132)*(Budget[Date]=J$7),Budget[Amount]))</f>
        <v>0</v>
      </c>
      <c r="K132" s="319">
        <f t="array" ref="K132">SUM(IF((Budget[Account Code]=$B132)*(Budget[Date]=K$7),Budget[Amount]))</f>
        <v>0</v>
      </c>
      <c r="L132" s="319">
        <f t="array" ref="L132">SUM(IF((Budget[Account Code]=$B132)*(Budget[Date]=L$7),Budget[Amount]))</f>
        <v>0</v>
      </c>
      <c r="M132" s="319">
        <f t="array" ref="M132">SUM(IF((Budget[Account Code]=$B132)*(Budget[Date]=M$7),Budget[Amount]))</f>
        <v>0</v>
      </c>
      <c r="N132" s="319">
        <f t="array" ref="N132">SUM(IF((Budget[Account Code]=$B132)*(Budget[Date]=N$7),Budget[Amount]))</f>
        <v>0</v>
      </c>
      <c r="O132" s="319">
        <f t="array" ref="O132">SUM(IF((Budget[Account Code]=$B132)*(Budget[Date]=O$7),Budget[Amount]))</f>
        <v>0</v>
      </c>
      <c r="P132" s="319">
        <f t="shared" si="16"/>
        <v>0</v>
      </c>
    </row>
    <row r="133" spans="1:16" s="171" customFormat="1" x14ac:dyDescent="0.25">
      <c r="A133" s="321" t="s">
        <v>955</v>
      </c>
      <c r="B133" s="317" t="s">
        <v>269</v>
      </c>
      <c r="C133" s="322">
        <f t="shared" si="25"/>
        <v>0</v>
      </c>
      <c r="D133" s="319">
        <f t="array" ref="D133">SUM(IF((Budget[Account Code]=$B133)*(Budget[Date]=D$7),Budget[Amount]))</f>
        <v>0</v>
      </c>
      <c r="E133" s="319">
        <f t="array" ref="E133">SUM(IF((Budget[Account Code]=$B133)*(Budget[Date]=E$7),Budget[Amount]))</f>
        <v>0</v>
      </c>
      <c r="F133" s="319">
        <f t="array" ref="F133">SUM(IF((Budget[Account Code]=$B133)*(Budget[Date]=F$7),Budget[Amount]))</f>
        <v>0</v>
      </c>
      <c r="G133" s="319">
        <f t="array" ref="G133">SUM(IF((Budget[Account Code]=$B133)*(Budget[Date]=G$7),Budget[Amount]))</f>
        <v>0</v>
      </c>
      <c r="H133" s="319">
        <f t="array" ref="H133">SUM(IF((Budget[Account Code]=$B133)*(Budget[Date]=H$7),Budget[Amount]))</f>
        <v>0</v>
      </c>
      <c r="I133" s="319">
        <f t="array" ref="I133">SUM(IF((Budget[Account Code]=$B133)*(Budget[Date]=I$7),Budget[Amount]))</f>
        <v>0</v>
      </c>
      <c r="J133" s="319">
        <f t="array" ref="J133">SUM(IF((Budget[Account Code]=$B133)*(Budget[Date]=J$7),Budget[Amount]))</f>
        <v>0</v>
      </c>
      <c r="K133" s="319">
        <f t="array" ref="K133">SUM(IF((Budget[Account Code]=$B133)*(Budget[Date]=K$7),Budget[Amount]))</f>
        <v>0</v>
      </c>
      <c r="L133" s="319">
        <f t="array" ref="L133">SUM(IF((Budget[Account Code]=$B133)*(Budget[Date]=L$7),Budget[Amount]))</f>
        <v>0</v>
      </c>
      <c r="M133" s="319">
        <f t="array" ref="M133">SUM(IF((Budget[Account Code]=$B133)*(Budget[Date]=M$7),Budget[Amount]))</f>
        <v>0</v>
      </c>
      <c r="N133" s="319">
        <f t="array" ref="N133">SUM(IF((Budget[Account Code]=$B133)*(Budget[Date]=N$7),Budget[Amount]))</f>
        <v>0</v>
      </c>
      <c r="O133" s="319">
        <f t="array" ref="O133">SUM(IF((Budget[Account Code]=$B133)*(Budget[Date]=O$7),Budget[Amount]))</f>
        <v>0</v>
      </c>
      <c r="P133" s="322">
        <f t="shared" si="16"/>
        <v>0</v>
      </c>
    </row>
    <row r="134" spans="1:16" s="171" customFormat="1" x14ac:dyDescent="0.25">
      <c r="A134" s="321" t="s">
        <v>956</v>
      </c>
      <c r="B134" s="317"/>
      <c r="C134" s="322">
        <f t="shared" si="25"/>
        <v>0</v>
      </c>
      <c r="D134" s="322">
        <f>D135+D136</f>
        <v>0</v>
      </c>
      <c r="E134" s="322">
        <f t="shared" ref="E134:O134" si="27">E135+E136</f>
        <v>0</v>
      </c>
      <c r="F134" s="322">
        <f t="shared" si="27"/>
        <v>0</v>
      </c>
      <c r="G134" s="322">
        <f t="shared" si="27"/>
        <v>0</v>
      </c>
      <c r="H134" s="322">
        <f t="shared" si="27"/>
        <v>0</v>
      </c>
      <c r="I134" s="322">
        <f t="shared" si="27"/>
        <v>0</v>
      </c>
      <c r="J134" s="322">
        <f t="shared" si="27"/>
        <v>0</v>
      </c>
      <c r="K134" s="322">
        <f t="shared" si="27"/>
        <v>0</v>
      </c>
      <c r="L134" s="322">
        <f t="shared" si="27"/>
        <v>0</v>
      </c>
      <c r="M134" s="322">
        <f t="shared" si="27"/>
        <v>0</v>
      </c>
      <c r="N134" s="322">
        <f t="shared" si="27"/>
        <v>0</v>
      </c>
      <c r="O134" s="322">
        <f t="shared" si="27"/>
        <v>0</v>
      </c>
      <c r="P134" s="322">
        <f t="shared" si="16"/>
        <v>0</v>
      </c>
    </row>
    <row r="135" spans="1:16" x14ac:dyDescent="0.25">
      <c r="A135" s="323" t="s">
        <v>957</v>
      </c>
      <c r="B135" s="317"/>
      <c r="C135" s="319">
        <f t="shared" si="25"/>
        <v>0</v>
      </c>
      <c r="D135" s="319">
        <f t="array" ref="D135">SUM(IF((Budget[Account Code]=$B135)*(Budget[Date]=D$7),Budget[Amount]))</f>
        <v>0</v>
      </c>
      <c r="E135" s="319">
        <f t="array" ref="E135">SUM(IF((Budget[Account Code]=$B135)*(Budget[Date]=E$7),Budget[Amount]))</f>
        <v>0</v>
      </c>
      <c r="F135" s="319">
        <f t="array" ref="F135">SUM(IF((Budget[Account Code]=$B135)*(Budget[Date]=F$7),Budget[Amount]))</f>
        <v>0</v>
      </c>
      <c r="G135" s="319">
        <f t="array" ref="G135">SUM(IF((Budget[Account Code]=$B135)*(Budget[Date]=G$7),Budget[Amount]))</f>
        <v>0</v>
      </c>
      <c r="H135" s="319">
        <f t="array" ref="H135">SUM(IF((Budget[Account Code]=$B135)*(Budget[Date]=H$7),Budget[Amount]))</f>
        <v>0</v>
      </c>
      <c r="I135" s="319">
        <f t="array" ref="I135">SUM(IF((Budget[Account Code]=$B135)*(Budget[Date]=I$7),Budget[Amount]))</f>
        <v>0</v>
      </c>
      <c r="J135" s="319">
        <f t="array" ref="J135">SUM(IF((Budget[Account Code]=$B135)*(Budget[Date]=J$7),Budget[Amount]))</f>
        <v>0</v>
      </c>
      <c r="K135" s="319">
        <f t="array" ref="K135">SUM(IF((Budget[Account Code]=$B135)*(Budget[Date]=K$7),Budget[Amount]))</f>
        <v>0</v>
      </c>
      <c r="L135" s="319">
        <f t="array" ref="L135">SUM(IF((Budget[Account Code]=$B135)*(Budget[Date]=L$7),Budget[Amount]))</f>
        <v>0</v>
      </c>
      <c r="M135" s="319">
        <f t="array" ref="M135">SUM(IF((Budget[Account Code]=$B135)*(Budget[Date]=M$7),Budget[Amount]))</f>
        <v>0</v>
      </c>
      <c r="N135" s="319">
        <f t="array" ref="N135">SUM(IF((Budget[Account Code]=$B135)*(Budget[Date]=N$7),Budget[Amount]))</f>
        <v>0</v>
      </c>
      <c r="O135" s="319">
        <f t="array" ref="O135">SUM(IF((Budget[Account Code]=$B135)*(Budget[Date]=O$7),Budget[Amount]))</f>
        <v>0</v>
      </c>
      <c r="P135" s="319">
        <f t="shared" si="16"/>
        <v>0</v>
      </c>
    </row>
    <row r="136" spans="1:16" x14ac:dyDescent="0.25">
      <c r="A136" s="323" t="s">
        <v>958</v>
      </c>
      <c r="B136" s="317" t="s">
        <v>271</v>
      </c>
      <c r="C136" s="319">
        <f t="shared" si="25"/>
        <v>0</v>
      </c>
      <c r="D136" s="319">
        <f t="array" ref="D136">SUM(IF((Budget[Account Code]=$B136)*(Budget[Date]=D$7),Budget[Amount]))</f>
        <v>0</v>
      </c>
      <c r="E136" s="319">
        <f t="array" ref="E136">SUM(IF((Budget[Account Code]=$B136)*(Budget[Date]=E$7),Budget[Amount]))</f>
        <v>0</v>
      </c>
      <c r="F136" s="319">
        <f t="array" ref="F136">SUM(IF((Budget[Account Code]=$B136)*(Budget[Date]=F$7),Budget[Amount]))</f>
        <v>0</v>
      </c>
      <c r="G136" s="319">
        <f t="array" ref="G136">SUM(IF((Budget[Account Code]=$B136)*(Budget[Date]=G$7),Budget[Amount]))</f>
        <v>0</v>
      </c>
      <c r="H136" s="319">
        <f t="array" ref="H136">SUM(IF((Budget[Account Code]=$B136)*(Budget[Date]=H$7),Budget[Amount]))</f>
        <v>0</v>
      </c>
      <c r="I136" s="319">
        <f t="array" ref="I136">SUM(IF((Budget[Account Code]=$B136)*(Budget[Date]=I$7),Budget[Amount]))</f>
        <v>0</v>
      </c>
      <c r="J136" s="319">
        <f t="array" ref="J136">SUM(IF((Budget[Account Code]=$B136)*(Budget[Date]=J$7),Budget[Amount]))</f>
        <v>0</v>
      </c>
      <c r="K136" s="319">
        <f t="array" ref="K136">SUM(IF((Budget[Account Code]=$B136)*(Budget[Date]=K$7),Budget[Amount]))</f>
        <v>0</v>
      </c>
      <c r="L136" s="319">
        <f t="array" ref="L136">SUM(IF((Budget[Account Code]=$B136)*(Budget[Date]=L$7),Budget[Amount]))</f>
        <v>0</v>
      </c>
      <c r="M136" s="319">
        <f t="array" ref="M136">SUM(IF((Budget[Account Code]=$B136)*(Budget[Date]=M$7),Budget[Amount]))</f>
        <v>0</v>
      </c>
      <c r="N136" s="319">
        <f t="array" ref="N136">SUM(IF((Budget[Account Code]=$B136)*(Budget[Date]=N$7),Budget[Amount]))</f>
        <v>0</v>
      </c>
      <c r="O136" s="319">
        <f t="array" ref="O136">SUM(IF((Budget[Account Code]=$B136)*(Budget[Date]=O$7),Budget[Amount]))</f>
        <v>0</v>
      </c>
      <c r="P136" s="319">
        <f t="shared" si="16"/>
        <v>0</v>
      </c>
    </row>
    <row r="137" spans="1:16" s="171" customFormat="1" x14ac:dyDescent="0.25">
      <c r="A137" s="321" t="s">
        <v>959</v>
      </c>
      <c r="B137" s="317"/>
      <c r="C137" s="322">
        <f t="shared" si="25"/>
        <v>0</v>
      </c>
      <c r="D137" s="322">
        <f>D138+D139+D140</f>
        <v>0</v>
      </c>
      <c r="E137" s="322">
        <f t="shared" ref="E137:O137" si="28">E138+E139+E140</f>
        <v>0</v>
      </c>
      <c r="F137" s="322">
        <f t="shared" si="28"/>
        <v>0</v>
      </c>
      <c r="G137" s="322">
        <f t="shared" si="28"/>
        <v>0</v>
      </c>
      <c r="H137" s="322">
        <f t="shared" si="28"/>
        <v>0</v>
      </c>
      <c r="I137" s="322">
        <f t="shared" si="28"/>
        <v>0</v>
      </c>
      <c r="J137" s="322">
        <f t="shared" si="28"/>
        <v>0</v>
      </c>
      <c r="K137" s="322">
        <f t="shared" si="28"/>
        <v>0</v>
      </c>
      <c r="L137" s="322">
        <f t="shared" si="28"/>
        <v>0</v>
      </c>
      <c r="M137" s="322">
        <f t="shared" si="28"/>
        <v>0</v>
      </c>
      <c r="N137" s="322">
        <f t="shared" si="28"/>
        <v>0</v>
      </c>
      <c r="O137" s="322">
        <f t="shared" si="28"/>
        <v>0</v>
      </c>
      <c r="P137" s="322">
        <f t="shared" si="16"/>
        <v>0</v>
      </c>
    </row>
    <row r="138" spans="1:16" x14ac:dyDescent="0.25">
      <c r="A138" s="323" t="s">
        <v>960</v>
      </c>
      <c r="B138" s="317" t="s">
        <v>272</v>
      </c>
      <c r="C138" s="319">
        <f t="shared" si="25"/>
        <v>0</v>
      </c>
      <c r="D138" s="319">
        <f t="array" ref="D138">SUM(IF((Budget[Account Code]=$B138)*(Budget[Date]=D$7),Budget[Amount]))</f>
        <v>0</v>
      </c>
      <c r="E138" s="319">
        <f t="array" ref="E138">SUM(IF((Budget[Account Code]=$B138)*(Budget[Date]=E$7),Budget[Amount]))</f>
        <v>0</v>
      </c>
      <c r="F138" s="319">
        <f t="array" ref="F138">SUM(IF((Budget[Account Code]=$B138)*(Budget[Date]=F$7),Budget[Amount]))</f>
        <v>0</v>
      </c>
      <c r="G138" s="319">
        <f t="array" ref="G138">SUM(IF((Budget[Account Code]=$B138)*(Budget[Date]=G$7),Budget[Amount]))</f>
        <v>0</v>
      </c>
      <c r="H138" s="319">
        <f t="array" ref="H138">SUM(IF((Budget[Account Code]=$B138)*(Budget[Date]=H$7),Budget[Amount]))</f>
        <v>0</v>
      </c>
      <c r="I138" s="319">
        <f t="array" ref="I138">SUM(IF((Budget[Account Code]=$B138)*(Budget[Date]=I$7),Budget[Amount]))</f>
        <v>0</v>
      </c>
      <c r="J138" s="319">
        <f t="array" ref="J138">SUM(IF((Budget[Account Code]=$B138)*(Budget[Date]=J$7),Budget[Amount]))</f>
        <v>0</v>
      </c>
      <c r="K138" s="319">
        <f t="array" ref="K138">SUM(IF((Budget[Account Code]=$B138)*(Budget[Date]=K$7),Budget[Amount]))</f>
        <v>0</v>
      </c>
      <c r="L138" s="319">
        <f t="array" ref="L138">SUM(IF((Budget[Account Code]=$B138)*(Budget[Date]=L$7),Budget[Amount]))</f>
        <v>0</v>
      </c>
      <c r="M138" s="319">
        <f t="array" ref="M138">SUM(IF((Budget[Account Code]=$B138)*(Budget[Date]=M$7),Budget[Amount]))</f>
        <v>0</v>
      </c>
      <c r="N138" s="319">
        <f t="array" ref="N138">SUM(IF((Budget[Account Code]=$B138)*(Budget[Date]=N$7),Budget[Amount]))</f>
        <v>0</v>
      </c>
      <c r="O138" s="319">
        <f t="array" ref="O138">SUM(IF((Budget[Account Code]=$B138)*(Budget[Date]=O$7),Budget[Amount]))</f>
        <v>0</v>
      </c>
      <c r="P138" s="319">
        <f t="shared" si="16"/>
        <v>0</v>
      </c>
    </row>
    <row r="139" spans="1:16" x14ac:dyDescent="0.25">
      <c r="A139" s="323" t="s">
        <v>961</v>
      </c>
      <c r="B139" s="317" t="s">
        <v>273</v>
      </c>
      <c r="C139" s="319">
        <f t="shared" si="25"/>
        <v>0</v>
      </c>
      <c r="D139" s="319">
        <f t="array" ref="D139">SUM(IF((Budget[Account Code]=$B139)*(Budget[Date]=D$7),Budget[Amount]))</f>
        <v>0</v>
      </c>
      <c r="E139" s="319">
        <f t="array" ref="E139">SUM(IF((Budget[Account Code]=$B139)*(Budget[Date]=E$7),Budget[Amount]))</f>
        <v>0</v>
      </c>
      <c r="F139" s="319">
        <f t="array" ref="F139">SUM(IF((Budget[Account Code]=$B139)*(Budget[Date]=F$7),Budget[Amount]))</f>
        <v>0</v>
      </c>
      <c r="G139" s="319">
        <f t="array" ref="G139">SUM(IF((Budget[Account Code]=$B139)*(Budget[Date]=G$7),Budget[Amount]))</f>
        <v>0</v>
      </c>
      <c r="H139" s="319">
        <f t="array" ref="H139">SUM(IF((Budget[Account Code]=$B139)*(Budget[Date]=H$7),Budget[Amount]))</f>
        <v>0</v>
      </c>
      <c r="I139" s="319">
        <f t="array" ref="I139">SUM(IF((Budget[Account Code]=$B139)*(Budget[Date]=I$7),Budget[Amount]))</f>
        <v>0</v>
      </c>
      <c r="J139" s="319">
        <f t="array" ref="J139">SUM(IF((Budget[Account Code]=$B139)*(Budget[Date]=J$7),Budget[Amount]))</f>
        <v>0</v>
      </c>
      <c r="K139" s="319">
        <f t="array" ref="K139">SUM(IF((Budget[Account Code]=$B139)*(Budget[Date]=K$7),Budget[Amount]))</f>
        <v>0</v>
      </c>
      <c r="L139" s="319">
        <f t="array" ref="L139">SUM(IF((Budget[Account Code]=$B139)*(Budget[Date]=L$7),Budget[Amount]))</f>
        <v>0</v>
      </c>
      <c r="M139" s="319">
        <f t="array" ref="M139">SUM(IF((Budget[Account Code]=$B139)*(Budget[Date]=M$7),Budget[Amount]))</f>
        <v>0</v>
      </c>
      <c r="N139" s="319">
        <f t="array" ref="N139">SUM(IF((Budget[Account Code]=$B139)*(Budget[Date]=N$7),Budget[Amount]))</f>
        <v>0</v>
      </c>
      <c r="O139" s="319">
        <f t="array" ref="O139">SUM(IF((Budget[Account Code]=$B139)*(Budget[Date]=O$7),Budget[Amount]))</f>
        <v>0</v>
      </c>
      <c r="P139" s="319">
        <f t="shared" si="16"/>
        <v>0</v>
      </c>
    </row>
    <row r="140" spans="1:16" x14ac:dyDescent="0.25">
      <c r="A140" s="323" t="s">
        <v>962</v>
      </c>
      <c r="B140" s="317" t="s">
        <v>274</v>
      </c>
      <c r="C140" s="319">
        <f t="shared" si="25"/>
        <v>0</v>
      </c>
      <c r="D140" s="319">
        <f t="array" ref="D140">SUM(IF((Budget[Account Code]=$B140)*(Budget[Date]=D$7),Budget[Amount]))</f>
        <v>0</v>
      </c>
      <c r="E140" s="319">
        <f t="array" ref="E140">SUM(IF((Budget[Account Code]=$B140)*(Budget[Date]=E$7),Budget[Amount]))</f>
        <v>0</v>
      </c>
      <c r="F140" s="319">
        <f t="array" ref="F140">SUM(IF((Budget[Account Code]=$B140)*(Budget[Date]=F$7),Budget[Amount]))</f>
        <v>0</v>
      </c>
      <c r="G140" s="319">
        <f t="array" ref="G140">SUM(IF((Budget[Account Code]=$B140)*(Budget[Date]=G$7),Budget[Amount]))</f>
        <v>0</v>
      </c>
      <c r="H140" s="319">
        <f t="array" ref="H140">SUM(IF((Budget[Account Code]=$B140)*(Budget[Date]=H$7),Budget[Amount]))</f>
        <v>0</v>
      </c>
      <c r="I140" s="319">
        <f t="array" ref="I140">SUM(IF((Budget[Account Code]=$B140)*(Budget[Date]=I$7),Budget[Amount]))</f>
        <v>0</v>
      </c>
      <c r="J140" s="319">
        <f t="array" ref="J140">SUM(IF((Budget[Account Code]=$B140)*(Budget[Date]=J$7),Budget[Amount]))</f>
        <v>0</v>
      </c>
      <c r="K140" s="319">
        <f t="array" ref="K140">SUM(IF((Budget[Account Code]=$B140)*(Budget[Date]=K$7),Budget[Amount]))</f>
        <v>0</v>
      </c>
      <c r="L140" s="319">
        <f t="array" ref="L140">SUM(IF((Budget[Account Code]=$B140)*(Budget[Date]=L$7),Budget[Amount]))</f>
        <v>0</v>
      </c>
      <c r="M140" s="319">
        <f t="array" ref="M140">SUM(IF((Budget[Account Code]=$B140)*(Budget[Date]=M$7),Budget[Amount]))</f>
        <v>0</v>
      </c>
      <c r="N140" s="319">
        <f t="array" ref="N140">SUM(IF((Budget[Account Code]=$B140)*(Budget[Date]=N$7),Budget[Amount]))</f>
        <v>0</v>
      </c>
      <c r="O140" s="319">
        <f t="array" ref="O140">SUM(IF((Budget[Account Code]=$B140)*(Budget[Date]=O$7),Budget[Amount]))</f>
        <v>0</v>
      </c>
      <c r="P140" s="319">
        <f t="shared" ref="P140:P169" si="29">C140</f>
        <v>0</v>
      </c>
    </row>
    <row r="141" spans="1:16" s="171" customFormat="1" x14ac:dyDescent="0.25">
      <c r="A141" s="321" t="s">
        <v>963</v>
      </c>
      <c r="B141" s="317"/>
      <c r="C141" s="322">
        <f t="shared" si="25"/>
        <v>0</v>
      </c>
      <c r="D141" s="322">
        <f>SUM(D142:D146)</f>
        <v>0</v>
      </c>
      <c r="E141" s="322">
        <f t="shared" ref="E141:O141" si="30">SUM(E142:E146)</f>
        <v>0</v>
      </c>
      <c r="F141" s="322">
        <f t="shared" si="30"/>
        <v>0</v>
      </c>
      <c r="G141" s="322">
        <f t="shared" si="30"/>
        <v>0</v>
      </c>
      <c r="H141" s="322">
        <f t="shared" si="30"/>
        <v>0</v>
      </c>
      <c r="I141" s="322">
        <f t="shared" si="30"/>
        <v>0</v>
      </c>
      <c r="J141" s="322">
        <f t="shared" si="30"/>
        <v>0</v>
      </c>
      <c r="K141" s="322">
        <f t="shared" si="30"/>
        <v>0</v>
      </c>
      <c r="L141" s="322">
        <f t="shared" si="30"/>
        <v>0</v>
      </c>
      <c r="M141" s="322">
        <f t="shared" si="30"/>
        <v>0</v>
      </c>
      <c r="N141" s="322">
        <f t="shared" si="30"/>
        <v>0</v>
      </c>
      <c r="O141" s="322">
        <f t="shared" si="30"/>
        <v>0</v>
      </c>
      <c r="P141" s="322">
        <f t="shared" si="29"/>
        <v>0</v>
      </c>
    </row>
    <row r="142" spans="1:16" x14ac:dyDescent="0.25">
      <c r="A142" s="323" t="s">
        <v>964</v>
      </c>
      <c r="B142" s="317" t="s">
        <v>332</v>
      </c>
      <c r="C142" s="319">
        <f t="shared" si="25"/>
        <v>0</v>
      </c>
      <c r="D142" s="319">
        <f t="array" ref="D142">SUM(IF((Budget[Account Code]=$B142)*(Budget[Date]=D$7),Budget[Amount]))</f>
        <v>0</v>
      </c>
      <c r="E142" s="319">
        <f t="array" ref="E142">SUM(IF((Budget[Account Code]=$B142)*(Budget[Date]=E$7),Budget[Amount]))</f>
        <v>0</v>
      </c>
      <c r="F142" s="319">
        <f t="array" ref="F142">SUM(IF((Budget[Account Code]=$B142)*(Budget[Date]=F$7),Budget[Amount]))</f>
        <v>0</v>
      </c>
      <c r="G142" s="319">
        <f t="array" ref="G142">SUM(IF((Budget[Account Code]=$B142)*(Budget[Date]=G$7),Budget[Amount]))</f>
        <v>0</v>
      </c>
      <c r="H142" s="319">
        <f t="array" ref="H142">SUM(IF((Budget[Account Code]=$B142)*(Budget[Date]=H$7),Budget[Amount]))</f>
        <v>0</v>
      </c>
      <c r="I142" s="319">
        <f t="array" ref="I142">SUM(IF((Budget[Account Code]=$B142)*(Budget[Date]=I$7),Budget[Amount]))</f>
        <v>0</v>
      </c>
      <c r="J142" s="319">
        <f t="array" ref="J142">SUM(IF((Budget[Account Code]=$B142)*(Budget[Date]=J$7),Budget[Amount]))</f>
        <v>0</v>
      </c>
      <c r="K142" s="319">
        <f t="array" ref="K142">SUM(IF((Budget[Account Code]=$B142)*(Budget[Date]=K$7),Budget[Amount]))</f>
        <v>0</v>
      </c>
      <c r="L142" s="319">
        <f t="array" ref="L142">SUM(IF((Budget[Account Code]=$B142)*(Budget[Date]=L$7),Budget[Amount]))</f>
        <v>0</v>
      </c>
      <c r="M142" s="319">
        <f t="array" ref="M142">SUM(IF((Budget[Account Code]=$B142)*(Budget[Date]=M$7),Budget[Amount]))</f>
        <v>0</v>
      </c>
      <c r="N142" s="319">
        <f t="array" ref="N142">SUM(IF((Budget[Account Code]=$B142)*(Budget[Date]=N$7),Budget[Amount]))</f>
        <v>0</v>
      </c>
      <c r="O142" s="319">
        <f t="array" ref="O142">SUM(IF((Budget[Account Code]=$B142)*(Budget[Date]=O$7),Budget[Amount]))</f>
        <v>0</v>
      </c>
      <c r="P142" s="319">
        <f t="shared" si="29"/>
        <v>0</v>
      </c>
    </row>
    <row r="143" spans="1:16" x14ac:dyDescent="0.25">
      <c r="A143" s="323" t="s">
        <v>965</v>
      </c>
      <c r="B143" s="317" t="s">
        <v>331</v>
      </c>
      <c r="C143" s="319">
        <f t="shared" si="25"/>
        <v>0</v>
      </c>
      <c r="D143" s="319">
        <f t="array" ref="D143">SUM(IF((Budget[Account Code]=$B143)*(Budget[Date]=D$7),Budget[Amount]))</f>
        <v>0</v>
      </c>
      <c r="E143" s="319">
        <f t="array" ref="E143">SUM(IF((Budget[Account Code]=$B143)*(Budget[Date]=E$7),Budget[Amount]))</f>
        <v>0</v>
      </c>
      <c r="F143" s="319">
        <f t="array" ref="F143">SUM(IF((Budget[Account Code]=$B143)*(Budget[Date]=F$7),Budget[Amount]))</f>
        <v>0</v>
      </c>
      <c r="G143" s="319">
        <f t="array" ref="G143">SUM(IF((Budget[Account Code]=$B143)*(Budget[Date]=G$7),Budget[Amount]))</f>
        <v>0</v>
      </c>
      <c r="H143" s="319">
        <f t="array" ref="H143">SUM(IF((Budget[Account Code]=$B143)*(Budget[Date]=H$7),Budget[Amount]))</f>
        <v>0</v>
      </c>
      <c r="I143" s="319">
        <f t="array" ref="I143">SUM(IF((Budget[Account Code]=$B143)*(Budget[Date]=I$7),Budget[Amount]))</f>
        <v>0</v>
      </c>
      <c r="J143" s="319">
        <f t="array" ref="J143">SUM(IF((Budget[Account Code]=$B143)*(Budget[Date]=J$7),Budget[Amount]))</f>
        <v>0</v>
      </c>
      <c r="K143" s="319">
        <f t="array" ref="K143">SUM(IF((Budget[Account Code]=$B143)*(Budget[Date]=K$7),Budget[Amount]))</f>
        <v>0</v>
      </c>
      <c r="L143" s="319">
        <f t="array" ref="L143">SUM(IF((Budget[Account Code]=$B143)*(Budget[Date]=L$7),Budget[Amount]))</f>
        <v>0</v>
      </c>
      <c r="M143" s="319">
        <f t="array" ref="M143">SUM(IF((Budget[Account Code]=$B143)*(Budget[Date]=M$7),Budget[Amount]))</f>
        <v>0</v>
      </c>
      <c r="N143" s="319">
        <f t="array" ref="N143">SUM(IF((Budget[Account Code]=$B143)*(Budget[Date]=N$7),Budget[Amount]))</f>
        <v>0</v>
      </c>
      <c r="O143" s="319">
        <f t="array" ref="O143">SUM(IF((Budget[Account Code]=$B143)*(Budget[Date]=O$7),Budget[Amount]))</f>
        <v>0</v>
      </c>
      <c r="P143" s="319">
        <f t="shared" si="29"/>
        <v>0</v>
      </c>
    </row>
    <row r="144" spans="1:16" x14ac:dyDescent="0.25">
      <c r="A144" s="323" t="s">
        <v>966</v>
      </c>
      <c r="B144" s="317" t="s">
        <v>987</v>
      </c>
      <c r="C144" s="319">
        <f t="shared" si="25"/>
        <v>0</v>
      </c>
      <c r="D144" s="319">
        <f t="array" ref="D144">SUM(IF((Budget[Account Code]=$B144)*(Budget[Date]=D$7),Budget[Amount]))</f>
        <v>0</v>
      </c>
      <c r="E144" s="319">
        <f t="array" ref="E144">SUM(IF((Budget[Account Code]=$B144)*(Budget[Date]=E$7),Budget[Amount]))</f>
        <v>0</v>
      </c>
      <c r="F144" s="319">
        <f t="array" ref="F144">SUM(IF((Budget[Account Code]=$B144)*(Budget[Date]=F$7),Budget[Amount]))</f>
        <v>0</v>
      </c>
      <c r="G144" s="319">
        <f t="array" ref="G144">SUM(IF((Budget[Account Code]=$B144)*(Budget[Date]=G$7),Budget[Amount]))</f>
        <v>0</v>
      </c>
      <c r="H144" s="319">
        <f t="array" ref="H144">SUM(IF((Budget[Account Code]=$B144)*(Budget[Date]=H$7),Budget[Amount]))</f>
        <v>0</v>
      </c>
      <c r="I144" s="319">
        <f t="array" ref="I144">SUM(IF((Budget[Account Code]=$B144)*(Budget[Date]=I$7),Budget[Amount]))</f>
        <v>0</v>
      </c>
      <c r="J144" s="319">
        <f t="array" ref="J144">SUM(IF((Budget[Account Code]=$B144)*(Budget[Date]=J$7),Budget[Amount]))</f>
        <v>0</v>
      </c>
      <c r="K144" s="319">
        <f t="array" ref="K144">SUM(IF((Budget[Account Code]=$B144)*(Budget[Date]=K$7),Budget[Amount]))</f>
        <v>0</v>
      </c>
      <c r="L144" s="319">
        <f t="array" ref="L144">SUM(IF((Budget[Account Code]=$B144)*(Budget[Date]=L$7),Budget[Amount]))</f>
        <v>0</v>
      </c>
      <c r="M144" s="319">
        <f t="array" ref="M144">SUM(IF((Budget[Account Code]=$B144)*(Budget[Date]=M$7),Budget[Amount]))</f>
        <v>0</v>
      </c>
      <c r="N144" s="319">
        <f t="array" ref="N144">SUM(IF((Budget[Account Code]=$B144)*(Budget[Date]=N$7),Budget[Amount]))</f>
        <v>0</v>
      </c>
      <c r="O144" s="319">
        <f t="array" ref="O144">SUM(IF((Budget[Account Code]=$B144)*(Budget[Date]=O$7),Budget[Amount]))</f>
        <v>0</v>
      </c>
      <c r="P144" s="319">
        <f t="shared" si="29"/>
        <v>0</v>
      </c>
    </row>
    <row r="145" spans="1:16" x14ac:dyDescent="0.25">
      <c r="A145" s="323" t="s">
        <v>967</v>
      </c>
      <c r="B145" s="317"/>
      <c r="C145" s="319">
        <f t="shared" si="25"/>
        <v>0</v>
      </c>
      <c r="D145" s="319">
        <f t="array" ref="D145">SUM(IF((Budget[Account Code]=$B145)*(Budget[Date]=D$7),Budget[Amount]))</f>
        <v>0</v>
      </c>
      <c r="E145" s="319">
        <f t="array" ref="E145">SUM(IF((Budget[Account Code]=$B145)*(Budget[Date]=E$7),Budget[Amount]))</f>
        <v>0</v>
      </c>
      <c r="F145" s="319">
        <f t="array" ref="F145">SUM(IF((Budget[Account Code]=$B145)*(Budget[Date]=F$7),Budget[Amount]))</f>
        <v>0</v>
      </c>
      <c r="G145" s="319">
        <f t="array" ref="G145">SUM(IF((Budget[Account Code]=$B145)*(Budget[Date]=G$7),Budget[Amount]))</f>
        <v>0</v>
      </c>
      <c r="H145" s="319">
        <f t="array" ref="H145">SUM(IF((Budget[Account Code]=$B145)*(Budget[Date]=H$7),Budget[Amount]))</f>
        <v>0</v>
      </c>
      <c r="I145" s="319">
        <f t="array" ref="I145">SUM(IF((Budget[Account Code]=$B145)*(Budget[Date]=I$7),Budget[Amount]))</f>
        <v>0</v>
      </c>
      <c r="J145" s="319">
        <f t="array" ref="J145">SUM(IF((Budget[Account Code]=$B145)*(Budget[Date]=J$7),Budget[Amount]))</f>
        <v>0</v>
      </c>
      <c r="K145" s="319">
        <f t="array" ref="K145">SUM(IF((Budget[Account Code]=$B145)*(Budget[Date]=K$7),Budget[Amount]))</f>
        <v>0</v>
      </c>
      <c r="L145" s="319">
        <f t="array" ref="L145">SUM(IF((Budget[Account Code]=$B145)*(Budget[Date]=L$7),Budget[Amount]))</f>
        <v>0</v>
      </c>
      <c r="M145" s="319">
        <f t="array" ref="M145">SUM(IF((Budget[Account Code]=$B145)*(Budget[Date]=M$7),Budget[Amount]))</f>
        <v>0</v>
      </c>
      <c r="N145" s="319">
        <f t="array" ref="N145">SUM(IF((Budget[Account Code]=$B145)*(Budget[Date]=N$7),Budget[Amount]))</f>
        <v>0</v>
      </c>
      <c r="O145" s="319">
        <f t="array" ref="O145">SUM(IF((Budget[Account Code]=$B145)*(Budget[Date]=O$7),Budget[Amount]))</f>
        <v>0</v>
      </c>
      <c r="P145" s="319">
        <f t="shared" si="29"/>
        <v>0</v>
      </c>
    </row>
    <row r="146" spans="1:16" x14ac:dyDescent="0.25">
      <c r="A146" s="323" t="s">
        <v>968</v>
      </c>
      <c r="B146" s="317"/>
      <c r="C146" s="319">
        <f t="shared" si="25"/>
        <v>0</v>
      </c>
      <c r="D146" s="319">
        <f>SUM(D147:D148)</f>
        <v>0</v>
      </c>
      <c r="E146" s="319">
        <f t="shared" ref="E146:O146" si="31">SUM(E147:E148)</f>
        <v>0</v>
      </c>
      <c r="F146" s="319">
        <f t="shared" si="31"/>
        <v>0</v>
      </c>
      <c r="G146" s="319">
        <f t="shared" si="31"/>
        <v>0</v>
      </c>
      <c r="H146" s="319">
        <f t="shared" si="31"/>
        <v>0</v>
      </c>
      <c r="I146" s="319">
        <f t="shared" si="31"/>
        <v>0</v>
      </c>
      <c r="J146" s="319">
        <f t="shared" si="31"/>
        <v>0</v>
      </c>
      <c r="K146" s="319">
        <f t="shared" si="31"/>
        <v>0</v>
      </c>
      <c r="L146" s="319">
        <f t="shared" si="31"/>
        <v>0</v>
      </c>
      <c r="M146" s="319">
        <f t="shared" si="31"/>
        <v>0</v>
      </c>
      <c r="N146" s="319">
        <f t="shared" si="31"/>
        <v>0</v>
      </c>
      <c r="O146" s="319">
        <f t="shared" si="31"/>
        <v>0</v>
      </c>
      <c r="P146" s="319">
        <f t="shared" si="29"/>
        <v>0</v>
      </c>
    </row>
    <row r="147" spans="1:16" x14ac:dyDescent="0.25">
      <c r="A147" s="325" t="s">
        <v>1008</v>
      </c>
      <c r="B147" s="317" t="s">
        <v>986</v>
      </c>
      <c r="C147" s="319">
        <f t="shared" si="25"/>
        <v>0</v>
      </c>
      <c r="D147" s="319">
        <f t="array" ref="D147">SUM(IF((Budget[Account Code]=$B147)*(Budget[Date]=D$7),Budget[Amount]))</f>
        <v>0</v>
      </c>
      <c r="E147" s="319">
        <f t="array" ref="E147">SUM(IF((Budget[Account Code]=$B147)*(Budget[Date]=E$7),Budget[Amount]))</f>
        <v>0</v>
      </c>
      <c r="F147" s="319">
        <f t="array" ref="F147">SUM(IF((Budget[Account Code]=$B147)*(Budget[Date]=F$7),Budget[Amount]))</f>
        <v>0</v>
      </c>
      <c r="G147" s="319">
        <f t="array" ref="G147">SUM(IF((Budget[Account Code]=$B147)*(Budget[Date]=G$7),Budget[Amount]))</f>
        <v>0</v>
      </c>
      <c r="H147" s="319">
        <f t="array" ref="H147">SUM(IF((Budget[Account Code]=$B147)*(Budget[Date]=H$7),Budget[Amount]))</f>
        <v>0</v>
      </c>
      <c r="I147" s="319">
        <f t="array" ref="I147">SUM(IF((Budget[Account Code]=$B147)*(Budget[Date]=I$7),Budget[Amount]))</f>
        <v>0</v>
      </c>
      <c r="J147" s="319">
        <f t="array" ref="J147">SUM(IF((Budget[Account Code]=$B147)*(Budget[Date]=J$7),Budget[Amount]))</f>
        <v>0</v>
      </c>
      <c r="K147" s="319">
        <f t="array" ref="K147">SUM(IF((Budget[Account Code]=$B147)*(Budget[Date]=K$7),Budget[Amount]))</f>
        <v>0</v>
      </c>
      <c r="L147" s="319">
        <f t="array" ref="L147">SUM(IF((Budget[Account Code]=$B147)*(Budget[Date]=L$7),Budget[Amount]))</f>
        <v>0</v>
      </c>
      <c r="M147" s="319">
        <f t="array" ref="M147">SUM(IF((Budget[Account Code]=$B147)*(Budget[Date]=M$7),Budget[Amount]))</f>
        <v>0</v>
      </c>
      <c r="N147" s="319">
        <f t="array" ref="N147">SUM(IF((Budget[Account Code]=$B147)*(Budget[Date]=N$7),Budget[Amount]))</f>
        <v>0</v>
      </c>
      <c r="O147" s="319">
        <f t="array" ref="O147">SUM(IF((Budget[Account Code]=$B147)*(Budget[Date]=O$7),Budget[Amount]))</f>
        <v>0</v>
      </c>
      <c r="P147" s="319">
        <f t="shared" si="29"/>
        <v>0</v>
      </c>
    </row>
    <row r="148" spans="1:16" x14ac:dyDescent="0.25">
      <c r="A148" s="325" t="s">
        <v>1009</v>
      </c>
      <c r="B148" s="317" t="s">
        <v>988</v>
      </c>
      <c r="C148" s="319">
        <f t="shared" si="25"/>
        <v>0</v>
      </c>
      <c r="D148" s="319">
        <f t="array" ref="D148">SUM(IF((Budget[Account Code]=$B148)*(Budget[Date]=D$7),Budget[Amount]))</f>
        <v>0</v>
      </c>
      <c r="E148" s="319">
        <f t="array" ref="E148">SUM(IF((Budget[Account Code]=$B148)*(Budget[Date]=E$7),Budget[Amount]))</f>
        <v>0</v>
      </c>
      <c r="F148" s="319">
        <f t="array" ref="F148">SUM(IF((Budget[Account Code]=$B148)*(Budget[Date]=F$7),Budget[Amount]))</f>
        <v>0</v>
      </c>
      <c r="G148" s="319">
        <f t="array" ref="G148">SUM(IF((Budget[Account Code]=$B148)*(Budget[Date]=G$7),Budget[Amount]))</f>
        <v>0</v>
      </c>
      <c r="H148" s="319">
        <f t="array" ref="H148">SUM(IF((Budget[Account Code]=$B148)*(Budget[Date]=H$7),Budget[Amount]))</f>
        <v>0</v>
      </c>
      <c r="I148" s="319">
        <f t="array" ref="I148">SUM(IF((Budget[Account Code]=$B148)*(Budget[Date]=I$7),Budget[Amount]))</f>
        <v>0</v>
      </c>
      <c r="J148" s="319">
        <f t="array" ref="J148">SUM(IF((Budget[Account Code]=$B148)*(Budget[Date]=J$7),Budget[Amount]))</f>
        <v>0</v>
      </c>
      <c r="K148" s="319">
        <f t="array" ref="K148">SUM(IF((Budget[Account Code]=$B148)*(Budget[Date]=K$7),Budget[Amount]))</f>
        <v>0</v>
      </c>
      <c r="L148" s="319">
        <f t="array" ref="L148">SUM(IF((Budget[Account Code]=$B148)*(Budget[Date]=L$7),Budget[Amount]))</f>
        <v>0</v>
      </c>
      <c r="M148" s="319">
        <f t="array" ref="M148">SUM(IF((Budget[Account Code]=$B148)*(Budget[Date]=M$7),Budget[Amount]))</f>
        <v>0</v>
      </c>
      <c r="N148" s="319">
        <f t="array" ref="N148">SUM(IF((Budget[Account Code]=$B148)*(Budget[Date]=N$7),Budget[Amount]))</f>
        <v>0</v>
      </c>
      <c r="O148" s="319">
        <f t="array" ref="O148">SUM(IF((Budget[Account Code]=$B148)*(Budget[Date]=O$7),Budget[Amount]))</f>
        <v>0</v>
      </c>
      <c r="P148" s="319">
        <f t="shared" si="29"/>
        <v>0</v>
      </c>
    </row>
    <row r="149" spans="1:16" s="171" customFormat="1" x14ac:dyDescent="0.25">
      <c r="A149" s="321" t="s">
        <v>969</v>
      </c>
      <c r="B149" s="317" t="s">
        <v>334</v>
      </c>
      <c r="C149" s="322">
        <f t="shared" si="25"/>
        <v>0</v>
      </c>
      <c r="D149" s="319">
        <f t="array" ref="D149">SUM(IF((Budget[Account Code]=$B149)*(Budget[Date]=D$7),Budget[Amount]))</f>
        <v>0</v>
      </c>
      <c r="E149" s="319">
        <f t="array" ref="E149">SUM(IF((Budget[Account Code]=$B149)*(Budget[Date]=E$7),Budget[Amount]))</f>
        <v>0</v>
      </c>
      <c r="F149" s="319">
        <f t="array" ref="F149">SUM(IF((Budget[Account Code]=$B149)*(Budget[Date]=F$7),Budget[Amount]))</f>
        <v>0</v>
      </c>
      <c r="G149" s="319">
        <f t="array" ref="G149">SUM(IF((Budget[Account Code]=$B149)*(Budget[Date]=G$7),Budget[Amount]))</f>
        <v>0</v>
      </c>
      <c r="H149" s="319">
        <f t="array" ref="H149">SUM(IF((Budget[Account Code]=$B149)*(Budget[Date]=H$7),Budget[Amount]))</f>
        <v>0</v>
      </c>
      <c r="I149" s="319">
        <f t="array" ref="I149">SUM(IF((Budget[Account Code]=$B149)*(Budget[Date]=I$7),Budget[Amount]))</f>
        <v>0</v>
      </c>
      <c r="J149" s="319">
        <f t="array" ref="J149">SUM(IF((Budget[Account Code]=$B149)*(Budget[Date]=J$7),Budget[Amount]))</f>
        <v>0</v>
      </c>
      <c r="K149" s="319">
        <f t="array" ref="K149">SUM(IF((Budget[Account Code]=$B149)*(Budget[Date]=K$7),Budget[Amount]))</f>
        <v>0</v>
      </c>
      <c r="L149" s="319">
        <f t="array" ref="L149">SUM(IF((Budget[Account Code]=$B149)*(Budget[Date]=L$7),Budget[Amount]))</f>
        <v>0</v>
      </c>
      <c r="M149" s="319">
        <f t="array" ref="M149">SUM(IF((Budget[Account Code]=$B149)*(Budget[Date]=M$7),Budget[Amount]))</f>
        <v>0</v>
      </c>
      <c r="N149" s="319">
        <f t="array" ref="N149">SUM(IF((Budget[Account Code]=$B149)*(Budget[Date]=N$7),Budget[Amount]))</f>
        <v>0</v>
      </c>
      <c r="O149" s="319">
        <f t="array" ref="O149">SUM(IF((Budget[Account Code]=$B149)*(Budget[Date]=O$7),Budget[Amount]))</f>
        <v>0</v>
      </c>
      <c r="P149" s="322">
        <f t="shared" si="29"/>
        <v>0</v>
      </c>
    </row>
    <row r="150" spans="1:16" s="171" customFormat="1" x14ac:dyDescent="0.25">
      <c r="A150" s="321" t="s">
        <v>970</v>
      </c>
      <c r="B150" s="317" t="s">
        <v>335</v>
      </c>
      <c r="C150" s="322">
        <f t="shared" si="25"/>
        <v>0</v>
      </c>
      <c r="D150" s="319">
        <f t="array" ref="D150">SUM(IF((Budget[Account Code]=$B150)*(Budget[Date]=D$7),Budget[Amount]))</f>
        <v>0</v>
      </c>
      <c r="E150" s="319">
        <f t="array" ref="E150">SUM(IF((Budget[Account Code]=$B150)*(Budget[Date]=E$7),Budget[Amount]))</f>
        <v>0</v>
      </c>
      <c r="F150" s="319">
        <f t="array" ref="F150">SUM(IF((Budget[Account Code]=$B150)*(Budget[Date]=F$7),Budget[Amount]))</f>
        <v>0</v>
      </c>
      <c r="G150" s="319">
        <f t="array" ref="G150">SUM(IF((Budget[Account Code]=$B150)*(Budget[Date]=G$7),Budget[Amount]))</f>
        <v>0</v>
      </c>
      <c r="H150" s="319">
        <f t="array" ref="H150">SUM(IF((Budget[Account Code]=$B150)*(Budget[Date]=H$7),Budget[Amount]))</f>
        <v>0</v>
      </c>
      <c r="I150" s="319">
        <f t="array" ref="I150">SUM(IF((Budget[Account Code]=$B150)*(Budget[Date]=I$7),Budget[Amount]))</f>
        <v>0</v>
      </c>
      <c r="J150" s="319">
        <f t="array" ref="J150">SUM(IF((Budget[Account Code]=$B150)*(Budget[Date]=J$7),Budget[Amount]))</f>
        <v>0</v>
      </c>
      <c r="K150" s="319">
        <f t="array" ref="K150">SUM(IF((Budget[Account Code]=$B150)*(Budget[Date]=K$7),Budget[Amount]))</f>
        <v>0</v>
      </c>
      <c r="L150" s="319">
        <f t="array" ref="L150">SUM(IF((Budget[Account Code]=$B150)*(Budget[Date]=L$7),Budget[Amount]))</f>
        <v>0</v>
      </c>
      <c r="M150" s="319">
        <f t="array" ref="M150">SUM(IF((Budget[Account Code]=$B150)*(Budget[Date]=M$7),Budget[Amount]))</f>
        <v>0</v>
      </c>
      <c r="N150" s="319">
        <f t="array" ref="N150">SUM(IF((Budget[Account Code]=$B150)*(Budget[Date]=N$7),Budget[Amount]))</f>
        <v>0</v>
      </c>
      <c r="O150" s="319">
        <f t="array" ref="O150">SUM(IF((Budget[Account Code]=$B150)*(Budget[Date]=O$7),Budget[Amount]))</f>
        <v>0</v>
      </c>
      <c r="P150" s="322">
        <f t="shared" si="29"/>
        <v>0</v>
      </c>
    </row>
    <row r="151" spans="1:16" x14ac:dyDescent="0.25">
      <c r="A151" s="320" t="s">
        <v>971</v>
      </c>
      <c r="B151" s="317"/>
      <c r="C151" s="326">
        <f t="shared" si="25"/>
        <v>0</v>
      </c>
      <c r="D151" s="326">
        <f>D87+D88+D89+D97+D102+D108+D109+D110+D111+D112+D113+D114+D115+D116+D117+D126+D133+D134+D137+D141+D149+D150</f>
        <v>0</v>
      </c>
      <c r="E151" s="326">
        <f t="shared" ref="E151:O151" si="32">E87+E88+E89+E97+E102+E108+E109+E110+E111+E112+E113+E114+E115+E116+E117+E126+E133+E134+E137+E141+E149+E150</f>
        <v>0</v>
      </c>
      <c r="F151" s="326">
        <f t="shared" si="32"/>
        <v>0</v>
      </c>
      <c r="G151" s="326">
        <f t="shared" si="32"/>
        <v>0</v>
      </c>
      <c r="H151" s="326">
        <f t="shared" si="32"/>
        <v>0</v>
      </c>
      <c r="I151" s="326">
        <f t="shared" si="32"/>
        <v>0</v>
      </c>
      <c r="J151" s="326">
        <f t="shared" si="32"/>
        <v>0</v>
      </c>
      <c r="K151" s="326">
        <f t="shared" si="32"/>
        <v>0</v>
      </c>
      <c r="L151" s="326">
        <f t="shared" si="32"/>
        <v>0</v>
      </c>
      <c r="M151" s="326">
        <f t="shared" si="32"/>
        <v>0</v>
      </c>
      <c r="N151" s="326">
        <f t="shared" si="32"/>
        <v>0</v>
      </c>
      <c r="O151" s="326">
        <f t="shared" si="32"/>
        <v>0</v>
      </c>
      <c r="P151" s="326">
        <f t="shared" si="29"/>
        <v>0</v>
      </c>
    </row>
    <row r="152" spans="1:16" s="171" customFormat="1" hidden="1" x14ac:dyDescent="0.25">
      <c r="A152" s="320" t="s">
        <v>972</v>
      </c>
      <c r="B152" s="317"/>
      <c r="C152" s="322">
        <f>C151-C119-C143</f>
        <v>0</v>
      </c>
      <c r="D152" s="322"/>
      <c r="E152" s="322"/>
      <c r="F152" s="322"/>
      <c r="G152" s="322"/>
      <c r="H152" s="322"/>
      <c r="I152" s="322"/>
      <c r="J152" s="322"/>
      <c r="K152" s="322"/>
      <c r="L152" s="322"/>
      <c r="M152" s="322"/>
      <c r="N152" s="322"/>
      <c r="O152" s="322"/>
      <c r="P152" s="322">
        <f t="shared" si="29"/>
        <v>0</v>
      </c>
    </row>
    <row r="153" spans="1:16" x14ac:dyDescent="0.25">
      <c r="A153" s="320"/>
      <c r="B153" s="317"/>
      <c r="C153" s="326"/>
      <c r="D153" s="326"/>
      <c r="E153" s="326"/>
      <c r="F153" s="326"/>
      <c r="G153" s="326"/>
      <c r="H153" s="326"/>
      <c r="I153" s="326"/>
      <c r="J153" s="326"/>
      <c r="K153" s="326"/>
      <c r="L153" s="326"/>
      <c r="M153" s="326"/>
      <c r="N153" s="326"/>
      <c r="O153" s="326"/>
      <c r="P153" s="326">
        <f t="shared" si="29"/>
        <v>0</v>
      </c>
    </row>
    <row r="154" spans="1:16" x14ac:dyDescent="0.25">
      <c r="A154" s="320" t="s">
        <v>973</v>
      </c>
      <c r="B154" s="317"/>
      <c r="C154" s="319"/>
      <c r="D154" s="319"/>
      <c r="E154" s="319"/>
      <c r="F154" s="319"/>
      <c r="G154" s="319"/>
      <c r="H154" s="319"/>
      <c r="I154" s="319"/>
      <c r="J154" s="319"/>
      <c r="K154" s="319"/>
      <c r="L154" s="319"/>
      <c r="M154" s="319"/>
      <c r="N154" s="319"/>
      <c r="O154" s="319"/>
      <c r="P154" s="319">
        <f t="shared" si="29"/>
        <v>0</v>
      </c>
    </row>
    <row r="155" spans="1:16" s="171" customFormat="1" x14ac:dyDescent="0.25">
      <c r="A155" s="330" t="s">
        <v>974</v>
      </c>
      <c r="B155" s="317" t="s">
        <v>992</v>
      </c>
      <c r="C155" s="322">
        <f t="shared" ref="C155:C168" si="33">SUM(D155:O155)</f>
        <v>0</v>
      </c>
      <c r="D155" s="319">
        <f t="array" ref="D155">SUM(IF((Budget[Account Code]=$B155)*(Budget[Date]=D$7),Budget[Amount]))</f>
        <v>0</v>
      </c>
      <c r="E155" s="319">
        <f t="array" ref="E155">SUM(IF((Budget[Account Code]=$B155)*(Budget[Date]=E$7),Budget[Amount]))</f>
        <v>0</v>
      </c>
      <c r="F155" s="319">
        <f t="array" ref="F155">SUM(IF((Budget[Account Code]=$B155)*(Budget[Date]=F$7),Budget[Amount]))</f>
        <v>0</v>
      </c>
      <c r="G155" s="319">
        <f t="array" ref="G155">SUM(IF((Budget[Account Code]=$B155)*(Budget[Date]=G$7),Budget[Amount]))</f>
        <v>0</v>
      </c>
      <c r="H155" s="319">
        <f t="array" ref="H155">SUM(IF((Budget[Account Code]=$B155)*(Budget[Date]=H$7),Budget[Amount]))</f>
        <v>0</v>
      </c>
      <c r="I155" s="319">
        <f t="array" ref="I155">SUM(IF((Budget[Account Code]=$B155)*(Budget[Date]=I$7),Budget[Amount]))</f>
        <v>0</v>
      </c>
      <c r="J155" s="319">
        <f t="array" ref="J155">SUM(IF((Budget[Account Code]=$B155)*(Budget[Date]=J$7),Budget[Amount]))</f>
        <v>0</v>
      </c>
      <c r="K155" s="319">
        <f t="array" ref="K155">SUM(IF((Budget[Account Code]=$B155)*(Budget[Date]=K$7),Budget[Amount]))</f>
        <v>0</v>
      </c>
      <c r="L155" s="319">
        <f t="array" ref="L155">SUM(IF((Budget[Account Code]=$B155)*(Budget[Date]=L$7),Budget[Amount]))</f>
        <v>0</v>
      </c>
      <c r="M155" s="319">
        <f t="array" ref="M155">SUM(IF((Budget[Account Code]=$B155)*(Budget[Date]=M$7),Budget[Amount]))</f>
        <v>0</v>
      </c>
      <c r="N155" s="319">
        <f t="array" ref="N155">SUM(IF((Budget[Account Code]=$B155)*(Budget[Date]=N$7),Budget[Amount]))</f>
        <v>0</v>
      </c>
      <c r="O155" s="319">
        <f t="array" ref="O155">SUM(IF((Budget[Account Code]=$B155)*(Budget[Date]=O$7),Budget[Amount]))</f>
        <v>0</v>
      </c>
      <c r="P155" s="322">
        <f t="shared" si="29"/>
        <v>0</v>
      </c>
    </row>
    <row r="156" spans="1:16" s="171" customFormat="1" x14ac:dyDescent="0.25">
      <c r="A156" s="330" t="s">
        <v>975</v>
      </c>
      <c r="B156" s="317" t="s">
        <v>333</v>
      </c>
      <c r="C156" s="322">
        <f t="shared" si="33"/>
        <v>0</v>
      </c>
      <c r="D156" s="319">
        <f t="array" ref="D156">SUM(IF((Budget[Account Code]=$B156)*(Budget[Date]=D$7),Budget[Amount]))</f>
        <v>0</v>
      </c>
      <c r="E156" s="319">
        <f t="array" ref="E156">SUM(IF((Budget[Account Code]=$B156)*(Budget[Date]=E$7),Budget[Amount]))</f>
        <v>0</v>
      </c>
      <c r="F156" s="319">
        <f t="array" ref="F156">SUM(IF((Budget[Account Code]=$B156)*(Budget[Date]=F$7),Budget[Amount]))</f>
        <v>0</v>
      </c>
      <c r="G156" s="319">
        <f t="array" ref="G156">SUM(IF((Budget[Account Code]=$B156)*(Budget[Date]=G$7),Budget[Amount]))</f>
        <v>0</v>
      </c>
      <c r="H156" s="319">
        <f t="array" ref="H156">SUM(IF((Budget[Account Code]=$B156)*(Budget[Date]=H$7),Budget[Amount]))</f>
        <v>0</v>
      </c>
      <c r="I156" s="319">
        <f t="array" ref="I156">SUM(IF((Budget[Account Code]=$B156)*(Budget[Date]=I$7),Budget[Amount]))</f>
        <v>0</v>
      </c>
      <c r="J156" s="319">
        <f t="array" ref="J156">SUM(IF((Budget[Account Code]=$B156)*(Budget[Date]=J$7),Budget[Amount]))</f>
        <v>0</v>
      </c>
      <c r="K156" s="319">
        <f t="array" ref="K156">SUM(IF((Budget[Account Code]=$B156)*(Budget[Date]=K$7),Budget[Amount]))</f>
        <v>0</v>
      </c>
      <c r="L156" s="319">
        <f t="array" ref="L156">SUM(IF((Budget[Account Code]=$B156)*(Budget[Date]=L$7),Budget[Amount]))</f>
        <v>0</v>
      </c>
      <c r="M156" s="319">
        <f t="array" ref="M156">SUM(IF((Budget[Account Code]=$B156)*(Budget[Date]=M$7),Budget[Amount]))</f>
        <v>0</v>
      </c>
      <c r="N156" s="319">
        <f t="array" ref="N156">SUM(IF((Budget[Account Code]=$B156)*(Budget[Date]=N$7),Budget[Amount]))</f>
        <v>0</v>
      </c>
      <c r="O156" s="319">
        <f t="array" ref="O156">SUM(IF((Budget[Account Code]=$B156)*(Budget[Date]=O$7),Budget[Amount]))</f>
        <v>0</v>
      </c>
      <c r="P156" s="322">
        <f t="shared" si="29"/>
        <v>0</v>
      </c>
    </row>
    <row r="157" spans="1:16" s="171" customFormat="1" x14ac:dyDescent="0.25">
      <c r="A157" s="330" t="s">
        <v>976</v>
      </c>
      <c r="B157" s="317" t="s">
        <v>991</v>
      </c>
      <c r="C157" s="322">
        <f t="shared" si="33"/>
        <v>0</v>
      </c>
      <c r="D157" s="319">
        <f t="array" ref="D157">SUM(IF((Budget[Account Code]=$B157)*(Budget[Date]=D$7),Budget[Amount]))</f>
        <v>0</v>
      </c>
      <c r="E157" s="319">
        <f t="array" ref="E157">SUM(IF((Budget[Account Code]=$B157)*(Budget[Date]=E$7),Budget[Amount]))</f>
        <v>0</v>
      </c>
      <c r="F157" s="319">
        <f t="array" ref="F157">SUM(IF((Budget[Account Code]=$B157)*(Budget[Date]=F$7),Budget[Amount]))</f>
        <v>0</v>
      </c>
      <c r="G157" s="319">
        <f t="array" ref="G157">SUM(IF((Budget[Account Code]=$B157)*(Budget[Date]=G$7),Budget[Amount]))</f>
        <v>0</v>
      </c>
      <c r="H157" s="319">
        <f t="array" ref="H157">SUM(IF((Budget[Account Code]=$B157)*(Budget[Date]=H$7),Budget[Amount]))</f>
        <v>0</v>
      </c>
      <c r="I157" s="319">
        <f t="array" ref="I157">SUM(IF((Budget[Account Code]=$B157)*(Budget[Date]=I$7),Budget[Amount]))</f>
        <v>0</v>
      </c>
      <c r="J157" s="319">
        <f t="array" ref="J157">SUM(IF((Budget[Account Code]=$B157)*(Budget[Date]=J$7),Budget[Amount]))</f>
        <v>0</v>
      </c>
      <c r="K157" s="319">
        <f t="array" ref="K157">SUM(IF((Budget[Account Code]=$B157)*(Budget[Date]=K$7),Budget[Amount]))</f>
        <v>0</v>
      </c>
      <c r="L157" s="319">
        <f t="array" ref="L157">SUM(IF((Budget[Account Code]=$B157)*(Budget[Date]=L$7),Budget[Amount]))</f>
        <v>0</v>
      </c>
      <c r="M157" s="319">
        <f t="array" ref="M157">SUM(IF((Budget[Account Code]=$B157)*(Budget[Date]=M$7),Budget[Amount]))</f>
        <v>0</v>
      </c>
      <c r="N157" s="319">
        <f t="array" ref="N157">SUM(IF((Budget[Account Code]=$B157)*(Budget[Date]=N$7),Budget[Amount]))</f>
        <v>0</v>
      </c>
      <c r="O157" s="319">
        <f t="array" ref="O157">SUM(IF((Budget[Account Code]=$B157)*(Budget[Date]=O$7),Budget[Amount]))</f>
        <v>0</v>
      </c>
      <c r="P157" s="322">
        <f t="shared" si="29"/>
        <v>0</v>
      </c>
    </row>
    <row r="158" spans="1:16" s="171" customFormat="1" x14ac:dyDescent="0.25">
      <c r="A158" s="330" t="s">
        <v>977</v>
      </c>
      <c r="B158" s="317"/>
      <c r="C158" s="322">
        <f t="shared" si="33"/>
        <v>0</v>
      </c>
      <c r="D158" s="319">
        <f t="array" ref="D158">SUM(IF((Budget[Account Code]=$B158)*(Budget[Date]=D$7),Budget[Amount]))</f>
        <v>0</v>
      </c>
      <c r="E158" s="319">
        <f t="array" ref="E158">SUM(IF((Budget[Account Code]=$B158)*(Budget[Date]=E$7),Budget[Amount]))</f>
        <v>0</v>
      </c>
      <c r="F158" s="319">
        <f t="array" ref="F158">SUM(IF((Budget[Account Code]=$B158)*(Budget[Date]=F$7),Budget[Amount]))</f>
        <v>0</v>
      </c>
      <c r="G158" s="319">
        <f t="array" ref="G158">SUM(IF((Budget[Account Code]=$B158)*(Budget[Date]=G$7),Budget[Amount]))</f>
        <v>0</v>
      </c>
      <c r="H158" s="319">
        <f t="array" ref="H158">SUM(IF((Budget[Account Code]=$B158)*(Budget[Date]=H$7),Budget[Amount]))</f>
        <v>0</v>
      </c>
      <c r="I158" s="319">
        <f t="array" ref="I158">SUM(IF((Budget[Account Code]=$B158)*(Budget[Date]=I$7),Budget[Amount]))</f>
        <v>0</v>
      </c>
      <c r="J158" s="319">
        <f t="array" ref="J158">SUM(IF((Budget[Account Code]=$B158)*(Budget[Date]=J$7),Budget[Amount]))</f>
        <v>0</v>
      </c>
      <c r="K158" s="319">
        <f t="array" ref="K158">SUM(IF((Budget[Account Code]=$B158)*(Budget[Date]=K$7),Budget[Amount]))</f>
        <v>0</v>
      </c>
      <c r="L158" s="319">
        <f t="array" ref="L158">SUM(IF((Budget[Account Code]=$B158)*(Budget[Date]=L$7),Budget[Amount]))</f>
        <v>0</v>
      </c>
      <c r="M158" s="319">
        <f t="array" ref="M158">SUM(IF((Budget[Account Code]=$B158)*(Budget[Date]=M$7),Budget[Amount]))</f>
        <v>0</v>
      </c>
      <c r="N158" s="319">
        <f t="array" ref="N158">SUM(IF((Budget[Account Code]=$B158)*(Budget[Date]=N$7),Budget[Amount]))</f>
        <v>0</v>
      </c>
      <c r="O158" s="319">
        <f t="array" ref="O158">SUM(IF((Budget[Account Code]=$B158)*(Budget[Date]=O$7),Budget[Amount]))</f>
        <v>0</v>
      </c>
      <c r="P158" s="322">
        <f t="shared" si="29"/>
        <v>0</v>
      </c>
    </row>
    <row r="159" spans="1:16" s="171" customFormat="1" x14ac:dyDescent="0.25">
      <c r="A159" s="330" t="s">
        <v>1010</v>
      </c>
      <c r="B159" s="317" t="s">
        <v>267</v>
      </c>
      <c r="C159" s="322">
        <f t="shared" si="33"/>
        <v>0</v>
      </c>
      <c r="D159" s="319">
        <f t="array" ref="D159">SUM(IF((Budget[Account Code]=$B159)*(Budget[Date]=D$7),Budget[Amount]))</f>
        <v>0</v>
      </c>
      <c r="E159" s="319">
        <f t="array" ref="E159">SUM(IF((Budget[Account Code]=$B159)*(Budget[Date]=E$7),Budget[Amount]))</f>
        <v>0</v>
      </c>
      <c r="F159" s="319">
        <f t="array" ref="F159">SUM(IF((Budget[Account Code]=$B159)*(Budget[Date]=F$7),Budget[Amount]))</f>
        <v>0</v>
      </c>
      <c r="G159" s="319">
        <f t="array" ref="G159">SUM(IF((Budget[Account Code]=$B159)*(Budget[Date]=G$7),Budget[Amount]))</f>
        <v>0</v>
      </c>
      <c r="H159" s="319">
        <f t="array" ref="H159">SUM(IF((Budget[Account Code]=$B159)*(Budget[Date]=H$7),Budget[Amount]))</f>
        <v>0</v>
      </c>
      <c r="I159" s="319">
        <f t="array" ref="I159">SUM(IF((Budget[Account Code]=$B159)*(Budget[Date]=I$7),Budget[Amount]))</f>
        <v>0</v>
      </c>
      <c r="J159" s="319">
        <f t="array" ref="J159">SUM(IF((Budget[Account Code]=$B159)*(Budget[Date]=J$7),Budget[Amount]))</f>
        <v>0</v>
      </c>
      <c r="K159" s="319">
        <f t="array" ref="K159">SUM(IF((Budget[Account Code]=$B159)*(Budget[Date]=K$7),Budget[Amount]))</f>
        <v>0</v>
      </c>
      <c r="L159" s="319">
        <f t="array" ref="L159">SUM(IF((Budget[Account Code]=$B159)*(Budget[Date]=L$7),Budget[Amount]))</f>
        <v>0</v>
      </c>
      <c r="M159" s="319">
        <f t="array" ref="M159">SUM(IF((Budget[Account Code]=$B159)*(Budget[Date]=M$7),Budget[Amount]))</f>
        <v>0</v>
      </c>
      <c r="N159" s="319">
        <f t="array" ref="N159">SUM(IF((Budget[Account Code]=$B159)*(Budget[Date]=N$7),Budget[Amount]))</f>
        <v>0</v>
      </c>
      <c r="O159" s="319">
        <f t="array" ref="O159">SUM(IF((Budget[Account Code]=$B159)*(Budget[Date]=O$7),Budget[Amount]))</f>
        <v>0</v>
      </c>
      <c r="P159" s="322">
        <f t="shared" si="29"/>
        <v>0</v>
      </c>
    </row>
    <row r="160" spans="1:16" s="171" customFormat="1" x14ac:dyDescent="0.25">
      <c r="A160" s="330" t="s">
        <v>1011</v>
      </c>
      <c r="B160" s="317" t="s">
        <v>251</v>
      </c>
      <c r="C160" s="322">
        <f t="shared" si="33"/>
        <v>0</v>
      </c>
      <c r="D160" s="319">
        <f t="array" ref="D160">SUM(IF((Budget[Account Code]=$B160)*(Budget[Date]=D$7),Budget[Amount]))</f>
        <v>0</v>
      </c>
      <c r="E160" s="319">
        <f t="array" ref="E160">SUM(IF((Budget[Account Code]=$B160)*(Budget[Date]=E$7),Budget[Amount]))</f>
        <v>0</v>
      </c>
      <c r="F160" s="319">
        <f t="array" ref="F160">SUM(IF((Budget[Account Code]=$B160)*(Budget[Date]=F$7),Budget[Amount]))</f>
        <v>0</v>
      </c>
      <c r="G160" s="319">
        <f t="array" ref="G160">SUM(IF((Budget[Account Code]=$B160)*(Budget[Date]=G$7),Budget[Amount]))</f>
        <v>0</v>
      </c>
      <c r="H160" s="319">
        <f t="array" ref="H160">SUM(IF((Budget[Account Code]=$B160)*(Budget[Date]=H$7),Budget[Amount]))</f>
        <v>0</v>
      </c>
      <c r="I160" s="319">
        <f t="array" ref="I160">SUM(IF((Budget[Account Code]=$B160)*(Budget[Date]=I$7),Budget[Amount]))</f>
        <v>0</v>
      </c>
      <c r="J160" s="319">
        <f t="array" ref="J160">SUM(IF((Budget[Account Code]=$B160)*(Budget[Date]=J$7),Budget[Amount]))</f>
        <v>0</v>
      </c>
      <c r="K160" s="319">
        <f t="array" ref="K160">SUM(IF((Budget[Account Code]=$B160)*(Budget[Date]=K$7),Budget[Amount]))</f>
        <v>0</v>
      </c>
      <c r="L160" s="319">
        <f t="array" ref="L160">SUM(IF((Budget[Account Code]=$B160)*(Budget[Date]=L$7),Budget[Amount]))</f>
        <v>0</v>
      </c>
      <c r="M160" s="319">
        <f t="array" ref="M160">SUM(IF((Budget[Account Code]=$B160)*(Budget[Date]=M$7),Budget[Amount]))</f>
        <v>0</v>
      </c>
      <c r="N160" s="319">
        <f t="array" ref="N160">SUM(IF((Budget[Account Code]=$B160)*(Budget[Date]=N$7),Budget[Amount]))</f>
        <v>0</v>
      </c>
      <c r="O160" s="319">
        <f t="array" ref="O160">SUM(IF((Budget[Account Code]=$B160)*(Budget[Date]=O$7),Budget[Amount]))</f>
        <v>0</v>
      </c>
      <c r="P160" s="322">
        <f t="shared" si="29"/>
        <v>0</v>
      </c>
    </row>
    <row r="161" spans="1:26" x14ac:dyDescent="0.25">
      <c r="A161" s="320" t="s">
        <v>978</v>
      </c>
      <c r="B161" s="317"/>
      <c r="C161" s="322">
        <f t="shared" si="33"/>
        <v>0</v>
      </c>
      <c r="D161" s="322">
        <f>SUM(D155:D160)</f>
        <v>0</v>
      </c>
      <c r="E161" s="322">
        <f t="shared" ref="E161:O161" si="34">SUM(E155:E160)</f>
        <v>0</v>
      </c>
      <c r="F161" s="322">
        <f t="shared" si="34"/>
        <v>0</v>
      </c>
      <c r="G161" s="322">
        <f t="shared" si="34"/>
        <v>0</v>
      </c>
      <c r="H161" s="322">
        <f t="shared" si="34"/>
        <v>0</v>
      </c>
      <c r="I161" s="322">
        <f t="shared" si="34"/>
        <v>0</v>
      </c>
      <c r="J161" s="322">
        <f t="shared" si="34"/>
        <v>0</v>
      </c>
      <c r="K161" s="322">
        <f t="shared" si="34"/>
        <v>0</v>
      </c>
      <c r="L161" s="322">
        <f t="shared" si="34"/>
        <v>0</v>
      </c>
      <c r="M161" s="322">
        <f t="shared" si="34"/>
        <v>0</v>
      </c>
      <c r="N161" s="322">
        <f t="shared" si="34"/>
        <v>0</v>
      </c>
      <c r="O161" s="322">
        <f t="shared" si="34"/>
        <v>0</v>
      </c>
      <c r="P161" s="322">
        <f t="shared" si="29"/>
        <v>0</v>
      </c>
      <c r="Q161" s="171"/>
      <c r="R161" s="171"/>
      <c r="S161" s="171"/>
      <c r="T161" s="171"/>
      <c r="U161" s="171"/>
      <c r="V161" s="171"/>
      <c r="W161" s="171"/>
      <c r="X161" s="171"/>
      <c r="Y161" s="171"/>
    </row>
    <row r="162" spans="1:26" s="171" customFormat="1" hidden="1" x14ac:dyDescent="0.25">
      <c r="A162" s="320" t="s">
        <v>979</v>
      </c>
      <c r="B162" s="317"/>
      <c r="C162" s="322">
        <f>C161-C157-C160</f>
        <v>0</v>
      </c>
      <c r="D162" s="322"/>
      <c r="E162" s="322"/>
      <c r="F162" s="322"/>
      <c r="G162" s="322"/>
      <c r="H162" s="322"/>
      <c r="I162" s="322"/>
      <c r="J162" s="322"/>
      <c r="K162" s="322"/>
      <c r="L162" s="322"/>
      <c r="M162" s="322"/>
      <c r="N162" s="322"/>
      <c r="O162" s="322"/>
      <c r="P162" s="322">
        <f t="shared" si="29"/>
        <v>0</v>
      </c>
    </row>
    <row r="163" spans="1:26" x14ac:dyDescent="0.25">
      <c r="A163" s="320"/>
      <c r="B163" s="317"/>
      <c r="C163" s="319"/>
      <c r="D163" s="319"/>
      <c r="E163" s="319"/>
      <c r="F163" s="319"/>
      <c r="G163" s="319"/>
      <c r="H163" s="319"/>
      <c r="I163" s="319"/>
      <c r="J163" s="319"/>
      <c r="K163" s="319"/>
      <c r="L163" s="319"/>
      <c r="M163" s="319"/>
      <c r="N163" s="319"/>
      <c r="O163" s="319"/>
      <c r="P163" s="319">
        <f t="shared" si="29"/>
        <v>0</v>
      </c>
    </row>
    <row r="164" spans="1:26" x14ac:dyDescent="0.25">
      <c r="A164" s="320" t="s">
        <v>980</v>
      </c>
      <c r="B164" s="317"/>
      <c r="C164" s="322">
        <f t="shared" si="33"/>
        <v>0</v>
      </c>
      <c r="D164" s="322">
        <f t="shared" ref="D164:O164" si="35">D151+D161</f>
        <v>0</v>
      </c>
      <c r="E164" s="322">
        <f t="shared" si="35"/>
        <v>0</v>
      </c>
      <c r="F164" s="322">
        <f t="shared" si="35"/>
        <v>0</v>
      </c>
      <c r="G164" s="322">
        <f t="shared" si="35"/>
        <v>0</v>
      </c>
      <c r="H164" s="322">
        <f t="shared" si="35"/>
        <v>0</v>
      </c>
      <c r="I164" s="322">
        <f t="shared" si="35"/>
        <v>0</v>
      </c>
      <c r="J164" s="322">
        <f t="shared" si="35"/>
        <v>0</v>
      </c>
      <c r="K164" s="322">
        <f t="shared" si="35"/>
        <v>0</v>
      </c>
      <c r="L164" s="322">
        <f t="shared" si="35"/>
        <v>0</v>
      </c>
      <c r="M164" s="322">
        <f t="shared" si="35"/>
        <v>0</v>
      </c>
      <c r="N164" s="322">
        <f t="shared" si="35"/>
        <v>0</v>
      </c>
      <c r="O164" s="322">
        <f t="shared" si="35"/>
        <v>0</v>
      </c>
      <c r="P164" s="322">
        <f t="shared" si="29"/>
        <v>0</v>
      </c>
    </row>
    <row r="165" spans="1:26" x14ac:dyDescent="0.25">
      <c r="A165" s="327" t="s">
        <v>981</v>
      </c>
      <c r="B165" s="317"/>
      <c r="C165" s="322">
        <f t="shared" si="33"/>
        <v>0</v>
      </c>
      <c r="D165" s="322">
        <f t="shared" ref="D165:O165" si="36">D80+D164</f>
        <v>0</v>
      </c>
      <c r="E165" s="322">
        <f t="shared" si="36"/>
        <v>0</v>
      </c>
      <c r="F165" s="322">
        <f t="shared" si="36"/>
        <v>0</v>
      </c>
      <c r="G165" s="322">
        <f t="shared" si="36"/>
        <v>0</v>
      </c>
      <c r="H165" s="322">
        <f t="shared" si="36"/>
        <v>0</v>
      </c>
      <c r="I165" s="322">
        <f t="shared" si="36"/>
        <v>0</v>
      </c>
      <c r="J165" s="322">
        <f t="shared" si="36"/>
        <v>0</v>
      </c>
      <c r="K165" s="322">
        <f t="shared" si="36"/>
        <v>0</v>
      </c>
      <c r="L165" s="322">
        <f t="shared" si="36"/>
        <v>0</v>
      </c>
      <c r="M165" s="322">
        <f t="shared" si="36"/>
        <v>0</v>
      </c>
      <c r="N165" s="322">
        <f t="shared" si="36"/>
        <v>0</v>
      </c>
      <c r="O165" s="322">
        <f t="shared" si="36"/>
        <v>0</v>
      </c>
      <c r="P165" s="322">
        <f t="shared" si="29"/>
        <v>0</v>
      </c>
    </row>
    <row r="166" spans="1:26" x14ac:dyDescent="0.25">
      <c r="A166" s="327" t="s">
        <v>982</v>
      </c>
      <c r="B166" s="317" t="s">
        <v>1014</v>
      </c>
      <c r="C166" s="322">
        <f>SUM(D166:O166)</f>
        <v>0</v>
      </c>
      <c r="D166" s="319">
        <f t="array" ref="D166">SUM(IF((Budget[Account Code]=$B166)*(Budget[Date]=D$7),Budget[Amount]))</f>
        <v>0</v>
      </c>
      <c r="E166" s="319">
        <f t="array" ref="E166">SUM(IF((Budget[Account Code]=$B166)*(Budget[Date]=E$7),Budget[Amount]))</f>
        <v>0</v>
      </c>
      <c r="F166" s="319">
        <f t="array" ref="F166">SUM(IF((Budget[Account Code]=$B166)*(Budget[Date]=F$7),Budget[Amount]))</f>
        <v>0</v>
      </c>
      <c r="G166" s="319">
        <f t="array" ref="G166">SUM(IF((Budget[Account Code]=$B166)*(Budget[Date]=G$7),Budget[Amount]))</f>
        <v>0</v>
      </c>
      <c r="H166" s="319">
        <f t="array" ref="H166">SUM(IF((Budget[Account Code]=$B166)*(Budget[Date]=H$7),Budget[Amount]))</f>
        <v>0</v>
      </c>
      <c r="I166" s="319">
        <f t="array" ref="I166">SUM(IF((Budget[Account Code]=$B166)*(Budget[Date]=I$7),Budget[Amount]))</f>
        <v>0</v>
      </c>
      <c r="J166" s="319">
        <f t="array" ref="J166">SUM(IF((Budget[Account Code]=$B166)*(Budget[Date]=J$7),Budget[Amount]))</f>
        <v>0</v>
      </c>
      <c r="K166" s="319">
        <f t="array" ref="K166">SUM(IF((Budget[Account Code]=$B166)*(Budget[Date]=K$7),Budget[Amount]))</f>
        <v>0</v>
      </c>
      <c r="L166" s="319">
        <f t="array" ref="L166">SUM(IF((Budget[Account Code]=$B166)*(Budget[Date]=L$7),Budget[Amount]))</f>
        <v>0</v>
      </c>
      <c r="M166" s="319">
        <f t="array" ref="M166">SUM(IF((Budget[Account Code]=$B166)*(Budget[Date]=M$7),Budget[Amount]))</f>
        <v>0</v>
      </c>
      <c r="N166" s="319">
        <f t="array" ref="N166">SUM(IF((Budget[Account Code]=$B166)*(Budget[Date]=N$7),Budget[Amount]))</f>
        <v>0</v>
      </c>
      <c r="O166" s="319">
        <f t="array" ref="O166">SUM(IF((Budget[Account Code]=$B166)*(Budget[Date]=O$7),Budget[Amount]))</f>
        <v>0</v>
      </c>
      <c r="P166" s="322">
        <f>C166</f>
        <v>0</v>
      </c>
      <c r="Q166" s="171"/>
      <c r="R166" s="171"/>
      <c r="S166" s="171"/>
      <c r="T166" s="171"/>
      <c r="U166" s="171"/>
      <c r="V166" s="171"/>
      <c r="W166" s="171"/>
      <c r="X166" s="171"/>
      <c r="Y166" s="171"/>
      <c r="Z166" s="171"/>
    </row>
    <row r="167" spans="1:26" x14ac:dyDescent="0.25">
      <c r="A167" s="320" t="s">
        <v>983</v>
      </c>
      <c r="B167" s="317"/>
      <c r="C167" s="322">
        <f t="shared" si="33"/>
        <v>0</v>
      </c>
      <c r="D167" s="322">
        <f>D165+D166</f>
        <v>0</v>
      </c>
      <c r="E167" s="322">
        <f t="shared" ref="E167:O167" si="37">E165+E166</f>
        <v>0</v>
      </c>
      <c r="F167" s="322">
        <f t="shared" si="37"/>
        <v>0</v>
      </c>
      <c r="G167" s="322">
        <f t="shared" si="37"/>
        <v>0</v>
      </c>
      <c r="H167" s="322">
        <f t="shared" si="37"/>
        <v>0</v>
      </c>
      <c r="I167" s="322">
        <f t="shared" si="37"/>
        <v>0</v>
      </c>
      <c r="J167" s="322">
        <f t="shared" si="37"/>
        <v>0</v>
      </c>
      <c r="K167" s="322">
        <f t="shared" si="37"/>
        <v>0</v>
      </c>
      <c r="L167" s="322">
        <f t="shared" si="37"/>
        <v>0</v>
      </c>
      <c r="M167" s="322">
        <f t="shared" si="37"/>
        <v>0</v>
      </c>
      <c r="N167" s="322">
        <f t="shared" si="37"/>
        <v>0</v>
      </c>
      <c r="O167" s="322">
        <f t="shared" si="37"/>
        <v>0</v>
      </c>
      <c r="P167" s="322">
        <f t="shared" si="29"/>
        <v>0</v>
      </c>
    </row>
    <row r="168" spans="1:26" x14ac:dyDescent="0.25">
      <c r="A168" s="320" t="s">
        <v>984</v>
      </c>
      <c r="B168" s="317"/>
      <c r="C168" s="322">
        <f t="shared" si="33"/>
        <v>0</v>
      </c>
      <c r="D168" s="322">
        <f t="shared" ref="D168:O168" si="38">D44-D167</f>
        <v>0</v>
      </c>
      <c r="E168" s="322">
        <f t="shared" si="38"/>
        <v>0</v>
      </c>
      <c r="F168" s="322">
        <f t="shared" si="38"/>
        <v>0</v>
      </c>
      <c r="G168" s="322">
        <f t="shared" si="38"/>
        <v>0</v>
      </c>
      <c r="H168" s="322">
        <f t="shared" si="38"/>
        <v>0</v>
      </c>
      <c r="I168" s="322">
        <f t="shared" si="38"/>
        <v>0</v>
      </c>
      <c r="J168" s="322">
        <f t="shared" si="38"/>
        <v>0</v>
      </c>
      <c r="K168" s="322">
        <f t="shared" si="38"/>
        <v>0</v>
      </c>
      <c r="L168" s="322">
        <f t="shared" si="38"/>
        <v>0</v>
      </c>
      <c r="M168" s="322">
        <f t="shared" si="38"/>
        <v>0</v>
      </c>
      <c r="N168" s="322">
        <f t="shared" si="38"/>
        <v>0</v>
      </c>
      <c r="O168" s="322">
        <f t="shared" si="38"/>
        <v>0</v>
      </c>
      <c r="P168" s="322">
        <f t="shared" si="29"/>
        <v>0</v>
      </c>
    </row>
    <row r="169" spans="1:26" x14ac:dyDescent="0.25">
      <c r="A169" s="320" t="s">
        <v>749</v>
      </c>
      <c r="B169" s="317"/>
      <c r="C169" s="322" t="e">
        <f>C44/C165</f>
        <v>#DIV/0!</v>
      </c>
      <c r="D169" s="322" t="e">
        <f t="shared" ref="D169:O169" si="39">D44/D165</f>
        <v>#DIV/0!</v>
      </c>
      <c r="E169" s="322" t="e">
        <f t="shared" si="39"/>
        <v>#DIV/0!</v>
      </c>
      <c r="F169" s="322" t="e">
        <f t="shared" si="39"/>
        <v>#DIV/0!</v>
      </c>
      <c r="G169" s="322" t="e">
        <f t="shared" si="39"/>
        <v>#DIV/0!</v>
      </c>
      <c r="H169" s="322" t="e">
        <f t="shared" si="39"/>
        <v>#DIV/0!</v>
      </c>
      <c r="I169" s="322" t="e">
        <f t="shared" si="39"/>
        <v>#DIV/0!</v>
      </c>
      <c r="J169" s="322" t="e">
        <f t="shared" si="39"/>
        <v>#DIV/0!</v>
      </c>
      <c r="K169" s="322" t="e">
        <f t="shared" si="39"/>
        <v>#DIV/0!</v>
      </c>
      <c r="L169" s="322" t="e">
        <f t="shared" si="39"/>
        <v>#DIV/0!</v>
      </c>
      <c r="M169" s="322" t="e">
        <f t="shared" si="39"/>
        <v>#DIV/0!</v>
      </c>
      <c r="N169" s="322" t="e">
        <f t="shared" si="39"/>
        <v>#DIV/0!</v>
      </c>
      <c r="O169" s="322" t="e">
        <f t="shared" si="39"/>
        <v>#DIV/0!</v>
      </c>
      <c r="P169" s="322" t="e">
        <f t="shared" si="29"/>
        <v>#DIV/0!</v>
      </c>
    </row>
  </sheetData>
  <printOptions horizontalCentered="1"/>
  <pageMargins left="0.5" right="1.5" top="0.75" bottom="0.5" header="0.3" footer="0.3"/>
  <pageSetup paperSize="5" scale="70" orientation="landscape" r:id="rId1"/>
  <headerFooter>
    <oddFooter>&amp;CPage &amp;P of &amp;N</oddFooter>
  </headerFooter>
  <colBreaks count="1" manualBreakCount="1">
    <brk id="9" max="1048575" man="1"/>
  </col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1"/>
  </sheetPr>
  <dimension ref="A1:F2917"/>
  <sheetViews>
    <sheetView workbookViewId="0"/>
  </sheetViews>
  <sheetFormatPr defaultColWidth="9" defaultRowHeight="15.75" x14ac:dyDescent="0.25"/>
  <cols>
    <col min="1" max="1" width="13" style="307" customWidth="1"/>
    <col min="2" max="2" width="10.625" style="309" customWidth="1"/>
    <col min="3" max="3" width="10.375" style="309" customWidth="1"/>
    <col min="4" max="4" width="50.125" style="307" customWidth="1"/>
    <col min="5" max="5" width="13.875" style="310" customWidth="1"/>
    <col min="6" max="6" width="20.125" style="311" customWidth="1"/>
    <col min="7" max="16384" width="9" style="307"/>
  </cols>
  <sheetData>
    <row r="1" spans="1:6" x14ac:dyDescent="0.25">
      <c r="A1" s="305" t="s">
        <v>0</v>
      </c>
      <c r="B1" s="306" t="s">
        <v>718</v>
      </c>
      <c r="C1" s="306" t="s">
        <v>740</v>
      </c>
      <c r="D1" s="493" t="s">
        <v>369</v>
      </c>
      <c r="E1" s="306" t="s">
        <v>370</v>
      </c>
      <c r="F1" s="312" t="s">
        <v>453</v>
      </c>
    </row>
    <row r="2" spans="1:6" x14ac:dyDescent="0.25">
      <c r="A2" s="308">
        <v>43220</v>
      </c>
      <c r="B2" s="24" t="s">
        <v>494</v>
      </c>
      <c r="C2" s="24" t="s">
        <v>494</v>
      </c>
      <c r="D2" s="52" t="str">
        <f t="array" ref="D2">IF(E2=0,0,(INDEX(AccountCodes[ACCOUNT NAME],MATCH(E2,AccountCodes[NGAS CODE],0))))</f>
        <v>Equipment Rental - Internal (CA)</v>
      </c>
      <c r="E2" s="24" t="s">
        <v>146</v>
      </c>
      <c r="F2" s="311">
        <v>200000</v>
      </c>
    </row>
    <row r="3" spans="1:6" x14ac:dyDescent="0.25">
      <c r="A3" s="308">
        <v>43373</v>
      </c>
      <c r="B3" s="24" t="s">
        <v>494</v>
      </c>
      <c r="C3" s="24" t="s">
        <v>494</v>
      </c>
      <c r="D3" s="136" t="str">
        <f t="array" ref="D3">IF(E3=0,0,(INDEX(AccountCodes[ACCOUNT NAME],MATCH(E3,AccountCodes[NGAS CODE],0))))</f>
        <v>Equipment Rental - Internal (CA)</v>
      </c>
      <c r="E3" s="24" t="s">
        <v>146</v>
      </c>
      <c r="F3" s="311">
        <v>100000</v>
      </c>
    </row>
    <row r="4" spans="1:6" x14ac:dyDescent="0.25">
      <c r="A4" s="308">
        <v>43465</v>
      </c>
      <c r="B4" s="309" t="s">
        <v>494</v>
      </c>
      <c r="C4" s="309" t="s">
        <v>494</v>
      </c>
      <c r="D4" s="136" t="str">
        <f t="array" ref="D4">IF(E4=0,0,(INDEX(AccountCodes[ACCOUNT NAME],MATCH(E4,AccountCodes[NGAS CODE],0))))</f>
        <v>Equipment Rental - Internal (CA)</v>
      </c>
      <c r="E4" s="24" t="s">
        <v>146</v>
      </c>
      <c r="F4" s="501">
        <v>200000</v>
      </c>
    </row>
    <row r="5" spans="1:6" x14ac:dyDescent="0.25">
      <c r="A5" s="308">
        <v>43190</v>
      </c>
      <c r="B5" s="309" t="s">
        <v>494</v>
      </c>
      <c r="C5" s="309" t="s">
        <v>494</v>
      </c>
      <c r="D5" s="136" t="str">
        <f t="array" ref="D5">IF(E5=0,0,(INDEX(AccountCodes[ACCOUNT NAME],MATCH(E5,AccountCodes[NGAS CODE],0))))</f>
        <v>Miscellaneous Income (Bid Documents)</v>
      </c>
      <c r="E5" s="309" t="s">
        <v>155</v>
      </c>
      <c r="F5" s="501">
        <v>100000</v>
      </c>
    </row>
    <row r="6" spans="1:6" x14ac:dyDescent="0.25">
      <c r="A6" s="308">
        <v>43404</v>
      </c>
      <c r="B6" s="309" t="s">
        <v>494</v>
      </c>
      <c r="C6" s="309" t="s">
        <v>494</v>
      </c>
      <c r="D6" s="136" t="str">
        <f t="array" ref="D6">IF(E6=0,0,(INDEX(AccountCodes[ACCOUNT NAME],MATCH(E6,AccountCodes[NGAS CODE],0))))</f>
        <v>Miscellaneous Income (Bid Documents)</v>
      </c>
      <c r="E6" s="309" t="s">
        <v>155</v>
      </c>
      <c r="F6" s="501">
        <v>200000</v>
      </c>
    </row>
    <row r="7" spans="1:6" x14ac:dyDescent="0.25">
      <c r="A7" s="308">
        <v>43465</v>
      </c>
      <c r="B7" s="309" t="s">
        <v>494</v>
      </c>
      <c r="C7" s="309" t="s">
        <v>494</v>
      </c>
      <c r="D7" s="136" t="str">
        <f t="array" ref="D7">IF(E7=0,0,(INDEX(AccountCodes[ACCOUNT NAME],MATCH(E7,AccountCodes[NGAS CODE],0))))</f>
        <v>Miscellaneous Income (Bid Documents)</v>
      </c>
      <c r="E7" s="309" t="s">
        <v>155</v>
      </c>
      <c r="F7" s="501">
        <v>200000</v>
      </c>
    </row>
    <row r="8" spans="1:6" x14ac:dyDescent="0.25">
      <c r="A8" s="308">
        <v>43131</v>
      </c>
      <c r="B8" s="309" t="s">
        <v>494</v>
      </c>
      <c r="C8" s="309" t="s">
        <v>494</v>
      </c>
      <c r="D8" s="136" t="str">
        <f t="array" ref="D8">IF(E8=0,0,(INDEX(AccountCodes[ACCOUNT NAME],MATCH(E8,AccountCodes[NGAS CODE],0))))</f>
        <v>Salaries and Wages-Regular</v>
      </c>
      <c r="E8" s="309" t="s">
        <v>162</v>
      </c>
      <c r="F8" s="501">
        <v>1655877</v>
      </c>
    </row>
    <row r="9" spans="1:6" x14ac:dyDescent="0.25">
      <c r="A9" s="308">
        <v>43159</v>
      </c>
      <c r="B9" s="309" t="s">
        <v>494</v>
      </c>
      <c r="C9" s="309" t="s">
        <v>494</v>
      </c>
      <c r="D9" s="136" t="str">
        <f t="array" ref="D9">IF(E9=0,0,(INDEX(AccountCodes[ACCOUNT NAME],MATCH(E9,AccountCodes[NGAS CODE],0))))</f>
        <v>Salaries and Wages-Regular</v>
      </c>
      <c r="E9" s="309" t="s">
        <v>162</v>
      </c>
      <c r="F9" s="501">
        <v>1655877</v>
      </c>
    </row>
    <row r="10" spans="1:6" x14ac:dyDescent="0.25">
      <c r="A10" s="308">
        <v>43190</v>
      </c>
      <c r="B10" s="309" t="s">
        <v>494</v>
      </c>
      <c r="C10" s="309" t="s">
        <v>494</v>
      </c>
      <c r="D10" s="136" t="str">
        <f t="array" ref="D10">IF(E10=0,0,(INDEX(AccountCodes[ACCOUNT NAME],MATCH(E10,AccountCodes[NGAS CODE],0))))</f>
        <v>Salaries and Wages-Regular</v>
      </c>
      <c r="E10" s="309" t="s">
        <v>162</v>
      </c>
      <c r="F10" s="501">
        <v>1655877</v>
      </c>
    </row>
    <row r="11" spans="1:6" x14ac:dyDescent="0.25">
      <c r="A11" s="308">
        <v>43220</v>
      </c>
      <c r="B11" s="309" t="s">
        <v>494</v>
      </c>
      <c r="C11" s="309" t="s">
        <v>494</v>
      </c>
      <c r="D11" s="136" t="str">
        <f t="array" ref="D11">IF(E11=0,0,(INDEX(AccountCodes[ACCOUNT NAME],MATCH(E11,AccountCodes[NGAS CODE],0))))</f>
        <v>Salaries and Wages-Regular</v>
      </c>
      <c r="E11" s="309" t="s">
        <v>162</v>
      </c>
      <c r="F11" s="501">
        <v>1655877</v>
      </c>
    </row>
    <row r="12" spans="1:6" x14ac:dyDescent="0.25">
      <c r="A12" s="308">
        <v>43251</v>
      </c>
      <c r="B12" s="309" t="s">
        <v>494</v>
      </c>
      <c r="C12" s="309" t="s">
        <v>494</v>
      </c>
      <c r="D12" s="136" t="str">
        <f t="array" ref="D12">IF(E12=0,0,(INDEX(AccountCodes[ACCOUNT NAME],MATCH(E12,AccountCodes[NGAS CODE],0))))</f>
        <v>Salaries and Wages-Regular</v>
      </c>
      <c r="E12" s="309" t="s">
        <v>162</v>
      </c>
      <c r="F12" s="501">
        <v>1655877</v>
      </c>
    </row>
    <row r="13" spans="1:6" x14ac:dyDescent="0.25">
      <c r="A13" s="308">
        <v>43281</v>
      </c>
      <c r="B13" s="309" t="s">
        <v>494</v>
      </c>
      <c r="C13" s="309" t="s">
        <v>494</v>
      </c>
      <c r="D13" s="136" t="str">
        <f t="array" ref="D13">IF(E13=0,0,(INDEX(AccountCodes[ACCOUNT NAME],MATCH(E13,AccountCodes[NGAS CODE],0))))</f>
        <v>Salaries and Wages-Regular</v>
      </c>
      <c r="E13" s="309" t="s">
        <v>162</v>
      </c>
      <c r="F13" s="501">
        <v>1655877</v>
      </c>
    </row>
    <row r="14" spans="1:6" x14ac:dyDescent="0.25">
      <c r="A14" s="308">
        <v>43312</v>
      </c>
      <c r="B14" s="309" t="s">
        <v>494</v>
      </c>
      <c r="C14" s="309" t="s">
        <v>494</v>
      </c>
      <c r="D14" s="136" t="str">
        <f t="array" ref="D14">IF(E14=0,0,(INDEX(AccountCodes[ACCOUNT NAME],MATCH(E14,AccountCodes[NGAS CODE],0))))</f>
        <v>Salaries and Wages-Regular</v>
      </c>
      <c r="E14" s="309" t="s">
        <v>162</v>
      </c>
      <c r="F14" s="501">
        <v>1655877</v>
      </c>
    </row>
    <row r="15" spans="1:6" x14ac:dyDescent="0.25">
      <c r="A15" s="308">
        <v>43343</v>
      </c>
      <c r="B15" s="309" t="s">
        <v>494</v>
      </c>
      <c r="C15" s="309" t="s">
        <v>494</v>
      </c>
      <c r="D15" s="136" t="str">
        <f t="array" ref="D15">IF(E15=0,0,(INDEX(AccountCodes[ACCOUNT NAME],MATCH(E15,AccountCodes[NGAS CODE],0))))</f>
        <v>Salaries and Wages-Regular</v>
      </c>
      <c r="E15" s="309" t="s">
        <v>162</v>
      </c>
      <c r="F15" s="501">
        <v>1655877</v>
      </c>
    </row>
    <row r="16" spans="1:6" x14ac:dyDescent="0.25">
      <c r="A16" s="308">
        <v>43373</v>
      </c>
      <c r="B16" s="309" t="s">
        <v>494</v>
      </c>
      <c r="C16" s="309" t="s">
        <v>494</v>
      </c>
      <c r="D16" s="136" t="str">
        <f t="array" ref="D16">IF(E16=0,0,(INDEX(AccountCodes[ACCOUNT NAME],MATCH(E16,AccountCodes[NGAS CODE],0))))</f>
        <v>Salaries and Wages-Regular</v>
      </c>
      <c r="E16" s="309" t="s">
        <v>162</v>
      </c>
      <c r="F16" s="501">
        <v>1655877</v>
      </c>
    </row>
    <row r="17" spans="1:6" x14ac:dyDescent="0.25">
      <c r="A17" s="308">
        <v>43404</v>
      </c>
      <c r="B17" s="309" t="s">
        <v>494</v>
      </c>
      <c r="C17" s="309" t="s">
        <v>494</v>
      </c>
      <c r="D17" s="136" t="str">
        <f t="array" ref="D17">IF(E17=0,0,(INDEX(AccountCodes[ACCOUNT NAME],MATCH(E17,AccountCodes[NGAS CODE],0))))</f>
        <v>Salaries and Wages-Regular</v>
      </c>
      <c r="E17" s="309" t="s">
        <v>162</v>
      </c>
      <c r="F17" s="501">
        <v>1655877</v>
      </c>
    </row>
    <row r="18" spans="1:6" x14ac:dyDescent="0.25">
      <c r="A18" s="308">
        <v>43434</v>
      </c>
      <c r="B18" s="309" t="s">
        <v>494</v>
      </c>
      <c r="C18" s="309" t="s">
        <v>494</v>
      </c>
      <c r="D18" s="136" t="str">
        <f t="array" ref="D18">IF(E18=0,0,(INDEX(AccountCodes[ACCOUNT NAME],MATCH(E18,AccountCodes[NGAS CODE],0))))</f>
        <v>Salaries and Wages-Regular</v>
      </c>
      <c r="E18" s="309" t="s">
        <v>162</v>
      </c>
      <c r="F18" s="501">
        <v>1655877</v>
      </c>
    </row>
    <row r="19" spans="1:6" x14ac:dyDescent="0.25">
      <c r="A19" s="308">
        <v>43465</v>
      </c>
      <c r="B19" s="309" t="s">
        <v>494</v>
      </c>
      <c r="C19" s="309" t="s">
        <v>494</v>
      </c>
      <c r="D19" s="136" t="str">
        <f t="array" ref="D19">IF(E19=0,0,(INDEX(AccountCodes[ACCOUNT NAME],MATCH(E19,AccountCodes[NGAS CODE],0))))</f>
        <v>Salaries and Wages-Regular</v>
      </c>
      <c r="E19" s="309" t="s">
        <v>162</v>
      </c>
      <c r="F19" s="501">
        <v>1655877</v>
      </c>
    </row>
    <row r="20" spans="1:6" x14ac:dyDescent="0.25">
      <c r="A20" s="308">
        <v>43131</v>
      </c>
      <c r="B20" s="309" t="s">
        <v>494</v>
      </c>
      <c r="C20" s="309" t="s">
        <v>494</v>
      </c>
      <c r="D20" s="136" t="str">
        <f t="array" ref="D20">IF(E20=0,0,(INDEX(AccountCodes[ACCOUNT NAME],MATCH(E20,AccountCodes[NGAS CODE],0))))</f>
        <v>Salaries and Wages-Casual/Contractual</v>
      </c>
      <c r="E20" s="309" t="s">
        <v>163</v>
      </c>
      <c r="F20" s="501">
        <v>79843</v>
      </c>
    </row>
    <row r="21" spans="1:6" x14ac:dyDescent="0.25">
      <c r="A21" s="308">
        <v>43159</v>
      </c>
      <c r="B21" s="309" t="s">
        <v>494</v>
      </c>
      <c r="C21" s="309" t="s">
        <v>494</v>
      </c>
      <c r="D21" s="136" t="str">
        <f t="array" ref="D21">IF(E21=0,0,(INDEX(AccountCodes[ACCOUNT NAME],MATCH(E21,AccountCodes[NGAS CODE],0))))</f>
        <v>Salaries and Wages-Casual/Contractual</v>
      </c>
      <c r="E21" s="309" t="s">
        <v>163</v>
      </c>
      <c r="F21" s="501">
        <v>79843</v>
      </c>
    </row>
    <row r="22" spans="1:6" x14ac:dyDescent="0.25">
      <c r="A22" s="308">
        <v>43190</v>
      </c>
      <c r="B22" s="309" t="s">
        <v>494</v>
      </c>
      <c r="C22" s="309" t="s">
        <v>494</v>
      </c>
      <c r="D22" s="136" t="str">
        <f t="array" ref="D22">IF(E22=0,0,(INDEX(AccountCodes[ACCOUNT NAME],MATCH(E22,AccountCodes[NGAS CODE],0))))</f>
        <v>Salaries and Wages-Casual/Contractual</v>
      </c>
      <c r="E22" s="309" t="s">
        <v>163</v>
      </c>
      <c r="F22" s="501">
        <v>79843</v>
      </c>
    </row>
    <row r="23" spans="1:6" x14ac:dyDescent="0.25">
      <c r="A23" s="308">
        <v>43220</v>
      </c>
      <c r="B23" s="309" t="s">
        <v>494</v>
      </c>
      <c r="C23" s="309" t="s">
        <v>494</v>
      </c>
      <c r="D23" s="136" t="str">
        <f t="array" ref="D23">IF(E23=0,0,(INDEX(AccountCodes[ACCOUNT NAME],MATCH(E23,AccountCodes[NGAS CODE],0))))</f>
        <v>Salaries and Wages-Casual/Contractual</v>
      </c>
      <c r="E23" s="309" t="s">
        <v>163</v>
      </c>
      <c r="F23" s="501">
        <v>79843</v>
      </c>
    </row>
    <row r="24" spans="1:6" x14ac:dyDescent="0.25">
      <c r="A24" s="308">
        <v>43251</v>
      </c>
      <c r="B24" s="309" t="s">
        <v>494</v>
      </c>
      <c r="C24" s="309" t="s">
        <v>494</v>
      </c>
      <c r="D24" s="136" t="str">
        <f t="array" ref="D24">IF(E24=0,0,(INDEX(AccountCodes[ACCOUNT NAME],MATCH(E24,AccountCodes[NGAS CODE],0))))</f>
        <v>Salaries and Wages-Casual/Contractual</v>
      </c>
      <c r="E24" s="309" t="s">
        <v>163</v>
      </c>
      <c r="F24" s="501">
        <v>79843</v>
      </c>
    </row>
    <row r="25" spans="1:6" x14ac:dyDescent="0.25">
      <c r="A25" s="308">
        <v>43281</v>
      </c>
      <c r="B25" s="309" t="s">
        <v>494</v>
      </c>
      <c r="C25" s="309" t="s">
        <v>494</v>
      </c>
      <c r="D25" s="136" t="str">
        <f t="array" ref="D25">IF(E25=0,0,(INDEX(AccountCodes[ACCOUNT NAME],MATCH(E25,AccountCodes[NGAS CODE],0))))</f>
        <v>Salaries and Wages-Casual/Contractual</v>
      </c>
      <c r="E25" s="309" t="s">
        <v>163</v>
      </c>
      <c r="F25" s="501">
        <v>79843</v>
      </c>
    </row>
    <row r="26" spans="1:6" x14ac:dyDescent="0.25">
      <c r="A26" s="308">
        <v>43312</v>
      </c>
      <c r="B26" s="309" t="s">
        <v>494</v>
      </c>
      <c r="C26" s="309" t="s">
        <v>494</v>
      </c>
      <c r="D26" s="136" t="str">
        <f t="array" ref="D26">IF(E26=0,0,(INDEX(AccountCodes[ACCOUNT NAME],MATCH(E26,AccountCodes[NGAS CODE],0))))</f>
        <v>Salaries and Wages-Casual/Contractual</v>
      </c>
      <c r="E26" s="309" t="s">
        <v>163</v>
      </c>
      <c r="F26" s="501">
        <v>79843</v>
      </c>
    </row>
    <row r="27" spans="1:6" x14ac:dyDescent="0.25">
      <c r="A27" s="308">
        <v>43343</v>
      </c>
      <c r="B27" s="309" t="s">
        <v>494</v>
      </c>
      <c r="C27" s="309" t="s">
        <v>494</v>
      </c>
      <c r="D27" s="136" t="str">
        <f t="array" ref="D27">IF(E27=0,0,(INDEX(AccountCodes[ACCOUNT NAME],MATCH(E27,AccountCodes[NGAS CODE],0))))</f>
        <v>Salaries and Wages-Casual/Contractual</v>
      </c>
      <c r="E27" s="309" t="s">
        <v>163</v>
      </c>
      <c r="F27" s="501">
        <v>79843</v>
      </c>
    </row>
    <row r="28" spans="1:6" x14ac:dyDescent="0.25">
      <c r="A28" s="308">
        <v>43373</v>
      </c>
      <c r="B28" s="309" t="s">
        <v>494</v>
      </c>
      <c r="C28" s="309" t="s">
        <v>494</v>
      </c>
      <c r="D28" s="136" t="str">
        <f t="array" ref="D28">IF(E28=0,0,(INDEX(AccountCodes[ACCOUNT NAME],MATCH(E28,AccountCodes[NGAS CODE],0))))</f>
        <v>Salaries and Wages-Casual/Contractual</v>
      </c>
      <c r="E28" s="309" t="s">
        <v>163</v>
      </c>
      <c r="F28" s="501">
        <v>79843</v>
      </c>
    </row>
    <row r="29" spans="1:6" x14ac:dyDescent="0.25">
      <c r="A29" s="308">
        <v>43404</v>
      </c>
      <c r="B29" s="309" t="s">
        <v>494</v>
      </c>
      <c r="C29" s="309" t="s">
        <v>494</v>
      </c>
      <c r="D29" s="136" t="str">
        <f t="array" ref="D29">IF(E29=0,0,(INDEX(AccountCodes[ACCOUNT NAME],MATCH(E29,AccountCodes[NGAS CODE],0))))</f>
        <v>Salaries and Wages-Casual/Contractual</v>
      </c>
      <c r="E29" s="309" t="s">
        <v>163</v>
      </c>
      <c r="F29" s="501">
        <v>79843</v>
      </c>
    </row>
    <row r="30" spans="1:6" x14ac:dyDescent="0.25">
      <c r="A30" s="308">
        <v>43434</v>
      </c>
      <c r="B30" s="309" t="s">
        <v>494</v>
      </c>
      <c r="C30" s="309" t="s">
        <v>494</v>
      </c>
      <c r="D30" s="136" t="str">
        <f t="array" ref="D30">IF(E30=0,0,(INDEX(AccountCodes[ACCOUNT NAME],MATCH(E30,AccountCodes[NGAS CODE],0))))</f>
        <v>Salaries and Wages-Casual/Contractual</v>
      </c>
      <c r="E30" s="309" t="s">
        <v>163</v>
      </c>
      <c r="F30" s="501">
        <v>79843</v>
      </c>
    </row>
    <row r="31" spans="1:6" x14ac:dyDescent="0.25">
      <c r="A31" s="308">
        <v>43465</v>
      </c>
      <c r="B31" s="309" t="s">
        <v>494</v>
      </c>
      <c r="C31" s="309" t="s">
        <v>494</v>
      </c>
      <c r="D31" s="136" t="str">
        <f t="array" ref="D31">IF(E31=0,0,(INDEX(AccountCodes[ACCOUNT NAME],MATCH(E31,AccountCodes[NGAS CODE],0))))</f>
        <v>Salaries and Wages-Casual/Contractual</v>
      </c>
      <c r="E31" s="309" t="s">
        <v>163</v>
      </c>
      <c r="F31" s="501">
        <v>79843</v>
      </c>
    </row>
    <row r="32" spans="1:6" x14ac:dyDescent="0.25">
      <c r="A32" s="308">
        <v>43131</v>
      </c>
      <c r="B32" s="309" t="s">
        <v>494</v>
      </c>
      <c r="C32" s="309" t="s">
        <v>494</v>
      </c>
      <c r="D32" s="136" t="str">
        <f t="array" ref="D32">IF(E32=0,0,(INDEX(AccountCodes[ACCOUNT NAME],MATCH(E32,AccountCodes[NGAS CODE],0))))</f>
        <v>Personal Economic Relief Allowance (PERA)</v>
      </c>
      <c r="E32" s="309" t="s">
        <v>164</v>
      </c>
      <c r="F32" s="501">
        <v>120000</v>
      </c>
    </row>
    <row r="33" spans="1:6" x14ac:dyDescent="0.25">
      <c r="A33" s="308">
        <v>43159</v>
      </c>
      <c r="B33" s="309" t="s">
        <v>494</v>
      </c>
      <c r="C33" s="309" t="s">
        <v>494</v>
      </c>
      <c r="D33" s="136" t="str">
        <f t="array" ref="D33">IF(E33=0,0,(INDEX(AccountCodes[ACCOUNT NAME],MATCH(E33,AccountCodes[NGAS CODE],0))))</f>
        <v>Personal Economic Relief Allowance (PERA)</v>
      </c>
      <c r="E33" s="309" t="s">
        <v>164</v>
      </c>
      <c r="F33" s="501">
        <v>120000</v>
      </c>
    </row>
    <row r="34" spans="1:6" x14ac:dyDescent="0.25">
      <c r="A34" s="308">
        <v>43190</v>
      </c>
      <c r="B34" s="309" t="s">
        <v>494</v>
      </c>
      <c r="C34" s="309" t="s">
        <v>494</v>
      </c>
      <c r="D34" s="136" t="str">
        <f t="array" ref="D34">IF(E34=0,0,(INDEX(AccountCodes[ACCOUNT NAME],MATCH(E34,AccountCodes[NGAS CODE],0))))</f>
        <v>Personal Economic Relief Allowance (PERA)</v>
      </c>
      <c r="E34" s="309" t="s">
        <v>164</v>
      </c>
      <c r="F34" s="501">
        <v>120000</v>
      </c>
    </row>
    <row r="35" spans="1:6" x14ac:dyDescent="0.25">
      <c r="A35" s="308">
        <v>43220</v>
      </c>
      <c r="B35" s="309" t="s">
        <v>494</v>
      </c>
      <c r="C35" s="309" t="s">
        <v>494</v>
      </c>
      <c r="D35" s="136" t="str">
        <f t="array" ref="D35">IF(E35=0,0,(INDEX(AccountCodes[ACCOUNT NAME],MATCH(E35,AccountCodes[NGAS CODE],0))))</f>
        <v>Personal Economic Relief Allowance (PERA)</v>
      </c>
      <c r="E35" s="309" t="s">
        <v>164</v>
      </c>
      <c r="F35" s="501">
        <v>120000</v>
      </c>
    </row>
    <row r="36" spans="1:6" x14ac:dyDescent="0.25">
      <c r="A36" s="308">
        <v>43251</v>
      </c>
      <c r="B36" s="309" t="s">
        <v>494</v>
      </c>
      <c r="C36" s="309" t="s">
        <v>494</v>
      </c>
      <c r="D36" s="136" t="str">
        <f t="array" ref="D36">IF(E36=0,0,(INDEX(AccountCodes[ACCOUNT NAME],MATCH(E36,AccountCodes[NGAS CODE],0))))</f>
        <v>Personal Economic Relief Allowance (PERA)</v>
      </c>
      <c r="E36" s="309" t="s">
        <v>164</v>
      </c>
      <c r="F36" s="501">
        <v>120000</v>
      </c>
    </row>
    <row r="37" spans="1:6" x14ac:dyDescent="0.25">
      <c r="A37" s="308">
        <v>43281</v>
      </c>
      <c r="B37" s="309" t="s">
        <v>494</v>
      </c>
      <c r="C37" s="309" t="s">
        <v>494</v>
      </c>
      <c r="D37" s="136" t="str">
        <f t="array" ref="D37">IF(E37=0,0,(INDEX(AccountCodes[ACCOUNT NAME],MATCH(E37,AccountCodes[NGAS CODE],0))))</f>
        <v>Personal Economic Relief Allowance (PERA)</v>
      </c>
      <c r="E37" s="309" t="s">
        <v>164</v>
      </c>
      <c r="F37" s="501">
        <v>120000</v>
      </c>
    </row>
    <row r="38" spans="1:6" x14ac:dyDescent="0.25">
      <c r="A38" s="308">
        <v>43312</v>
      </c>
      <c r="B38" s="309" t="s">
        <v>494</v>
      </c>
      <c r="C38" s="309" t="s">
        <v>494</v>
      </c>
      <c r="D38" s="136" t="str">
        <f t="array" ref="D38">IF(E38=0,0,(INDEX(AccountCodes[ACCOUNT NAME],MATCH(E38,AccountCodes[NGAS CODE],0))))</f>
        <v>Personal Economic Relief Allowance (PERA)</v>
      </c>
      <c r="E38" s="309" t="s">
        <v>164</v>
      </c>
      <c r="F38" s="501">
        <v>120000</v>
      </c>
    </row>
    <row r="39" spans="1:6" x14ac:dyDescent="0.25">
      <c r="A39" s="308">
        <v>43343</v>
      </c>
      <c r="B39" s="309" t="s">
        <v>494</v>
      </c>
      <c r="C39" s="309" t="s">
        <v>494</v>
      </c>
      <c r="D39" s="136" t="str">
        <f t="array" ref="D39">IF(E39=0,0,(INDEX(AccountCodes[ACCOUNT NAME],MATCH(E39,AccountCodes[NGAS CODE],0))))</f>
        <v>Personal Economic Relief Allowance (PERA)</v>
      </c>
      <c r="E39" s="309" t="s">
        <v>164</v>
      </c>
      <c r="F39" s="501">
        <v>120000</v>
      </c>
    </row>
    <row r="40" spans="1:6" x14ac:dyDescent="0.25">
      <c r="A40" s="308">
        <v>43373</v>
      </c>
      <c r="B40" s="309" t="s">
        <v>494</v>
      </c>
      <c r="C40" s="309" t="s">
        <v>494</v>
      </c>
      <c r="D40" s="136" t="str">
        <f t="array" ref="D40">IF(E40=0,0,(INDEX(AccountCodes[ACCOUNT NAME],MATCH(E40,AccountCodes[NGAS CODE],0))))</f>
        <v>Personal Economic Relief Allowance (PERA)</v>
      </c>
      <c r="E40" s="309" t="s">
        <v>164</v>
      </c>
      <c r="F40" s="501">
        <v>120000</v>
      </c>
    </row>
    <row r="41" spans="1:6" x14ac:dyDescent="0.25">
      <c r="A41" s="308">
        <v>43404</v>
      </c>
      <c r="B41" s="309" t="s">
        <v>494</v>
      </c>
      <c r="C41" s="309" t="s">
        <v>494</v>
      </c>
      <c r="D41" s="136" t="str">
        <f t="array" ref="D41">IF(E41=0,0,(INDEX(AccountCodes[ACCOUNT NAME],MATCH(E41,AccountCodes[NGAS CODE],0))))</f>
        <v>Personal Economic Relief Allowance (PERA)</v>
      </c>
      <c r="E41" s="309" t="s">
        <v>164</v>
      </c>
      <c r="F41" s="501">
        <v>120000</v>
      </c>
    </row>
    <row r="42" spans="1:6" x14ac:dyDescent="0.25">
      <c r="A42" s="308">
        <v>43434</v>
      </c>
      <c r="B42" s="309" t="s">
        <v>494</v>
      </c>
      <c r="C42" s="309" t="s">
        <v>494</v>
      </c>
      <c r="D42" s="136" t="str">
        <f t="array" ref="D42">IF(E42=0,0,(INDEX(AccountCodes[ACCOUNT NAME],MATCH(E42,AccountCodes[NGAS CODE],0))))</f>
        <v>Personal Economic Relief Allowance (PERA)</v>
      </c>
      <c r="E42" s="309" t="s">
        <v>164</v>
      </c>
      <c r="F42" s="501">
        <v>120000</v>
      </c>
    </row>
    <row r="43" spans="1:6" x14ac:dyDescent="0.25">
      <c r="A43" s="308">
        <v>43465</v>
      </c>
      <c r="B43" s="309" t="s">
        <v>494</v>
      </c>
      <c r="C43" s="309" t="s">
        <v>494</v>
      </c>
      <c r="D43" s="136" t="str">
        <f t="array" ref="D43">IF(E43=0,0,(INDEX(AccountCodes[ACCOUNT NAME],MATCH(E43,AccountCodes[NGAS CODE],0))))</f>
        <v>Personal Economic Relief Allowance (PERA)</v>
      </c>
      <c r="E43" s="309" t="s">
        <v>164</v>
      </c>
      <c r="F43" s="501">
        <v>120000</v>
      </c>
    </row>
    <row r="44" spans="1:6" x14ac:dyDescent="0.25">
      <c r="A44" s="308">
        <v>43131</v>
      </c>
      <c r="B44" s="309" t="s">
        <v>494</v>
      </c>
      <c r="C44" s="309" t="s">
        <v>494</v>
      </c>
      <c r="D44" s="136" t="str">
        <f t="array" ref="D44">IF(E44=0,0,(INDEX(AccountCodes[ACCOUNT NAME],MATCH(E44,AccountCodes[NGAS CODE],0))))</f>
        <v>Representation Allowance (RA)</v>
      </c>
      <c r="E44" s="309" t="s">
        <v>165</v>
      </c>
      <c r="F44" s="501">
        <v>10000</v>
      </c>
    </row>
    <row r="45" spans="1:6" x14ac:dyDescent="0.25">
      <c r="A45" s="308">
        <v>43159</v>
      </c>
      <c r="B45" s="309" t="s">
        <v>494</v>
      </c>
      <c r="C45" s="309" t="s">
        <v>494</v>
      </c>
      <c r="D45" s="136" t="str">
        <f t="array" ref="D45">IF(E45=0,0,(INDEX(AccountCodes[ACCOUNT NAME],MATCH(E45,AccountCodes[NGAS CODE],0))))</f>
        <v>Representation Allowance (RA)</v>
      </c>
      <c r="E45" s="309" t="s">
        <v>165</v>
      </c>
      <c r="F45" s="501">
        <v>10000</v>
      </c>
    </row>
    <row r="46" spans="1:6" x14ac:dyDescent="0.25">
      <c r="A46" s="308">
        <v>43190</v>
      </c>
      <c r="B46" s="309" t="s">
        <v>494</v>
      </c>
      <c r="C46" s="309" t="s">
        <v>494</v>
      </c>
      <c r="D46" s="136" t="str">
        <f t="array" ref="D46">IF(E46=0,0,(INDEX(AccountCodes[ACCOUNT NAME],MATCH(E46,AccountCodes[NGAS CODE],0))))</f>
        <v>Representation Allowance (RA)</v>
      </c>
      <c r="E46" s="309" t="s">
        <v>165</v>
      </c>
      <c r="F46" s="501">
        <v>10000</v>
      </c>
    </row>
    <row r="47" spans="1:6" x14ac:dyDescent="0.25">
      <c r="A47" s="308">
        <v>43220</v>
      </c>
      <c r="B47" s="309" t="s">
        <v>494</v>
      </c>
      <c r="C47" s="309" t="s">
        <v>494</v>
      </c>
      <c r="D47" s="136" t="str">
        <f t="array" ref="D47">IF(E47=0,0,(INDEX(AccountCodes[ACCOUNT NAME],MATCH(E47,AccountCodes[NGAS CODE],0))))</f>
        <v>Representation Allowance (RA)</v>
      </c>
      <c r="E47" s="309" t="s">
        <v>165</v>
      </c>
      <c r="F47" s="501">
        <v>10000</v>
      </c>
    </row>
    <row r="48" spans="1:6" x14ac:dyDescent="0.25">
      <c r="A48" s="308">
        <v>43251</v>
      </c>
      <c r="B48" s="309" t="s">
        <v>494</v>
      </c>
      <c r="C48" s="309" t="s">
        <v>494</v>
      </c>
      <c r="D48" s="136" t="str">
        <f t="array" ref="D48">IF(E48=0,0,(INDEX(AccountCodes[ACCOUNT NAME],MATCH(E48,AccountCodes[NGAS CODE],0))))</f>
        <v>Representation Allowance (RA)</v>
      </c>
      <c r="E48" s="309" t="s">
        <v>165</v>
      </c>
      <c r="F48" s="501">
        <v>10000</v>
      </c>
    </row>
    <row r="49" spans="1:6" x14ac:dyDescent="0.25">
      <c r="A49" s="308">
        <v>43281</v>
      </c>
      <c r="B49" s="309" t="s">
        <v>494</v>
      </c>
      <c r="C49" s="309" t="s">
        <v>494</v>
      </c>
      <c r="D49" s="136" t="str">
        <f t="array" ref="D49">IF(E49=0,0,(INDEX(AccountCodes[ACCOUNT NAME],MATCH(E49,AccountCodes[NGAS CODE],0))))</f>
        <v>Representation Allowance (RA)</v>
      </c>
      <c r="E49" s="309" t="s">
        <v>165</v>
      </c>
      <c r="F49" s="501">
        <v>10000</v>
      </c>
    </row>
    <row r="50" spans="1:6" x14ac:dyDescent="0.25">
      <c r="A50" s="308">
        <v>43312</v>
      </c>
      <c r="B50" s="309" t="s">
        <v>494</v>
      </c>
      <c r="C50" s="309" t="s">
        <v>494</v>
      </c>
      <c r="D50" s="136" t="str">
        <f t="array" ref="D50">IF(E50=0,0,(INDEX(AccountCodes[ACCOUNT NAME],MATCH(E50,AccountCodes[NGAS CODE],0))))</f>
        <v>Representation Allowance (RA)</v>
      </c>
      <c r="E50" s="309" t="s">
        <v>165</v>
      </c>
      <c r="F50" s="501">
        <v>10000</v>
      </c>
    </row>
    <row r="51" spans="1:6" x14ac:dyDescent="0.25">
      <c r="A51" s="308">
        <v>43343</v>
      </c>
      <c r="B51" s="309" t="s">
        <v>494</v>
      </c>
      <c r="C51" s="309" t="s">
        <v>494</v>
      </c>
      <c r="D51" s="136" t="str">
        <f t="array" ref="D51">IF(E51=0,0,(INDEX(AccountCodes[ACCOUNT NAME],MATCH(E51,AccountCodes[NGAS CODE],0))))</f>
        <v>Representation Allowance (RA)</v>
      </c>
      <c r="E51" s="309" t="s">
        <v>165</v>
      </c>
      <c r="F51" s="501">
        <v>10000</v>
      </c>
    </row>
    <row r="52" spans="1:6" x14ac:dyDescent="0.25">
      <c r="A52" s="308">
        <v>43373</v>
      </c>
      <c r="B52" s="309" t="s">
        <v>494</v>
      </c>
      <c r="C52" s="309" t="s">
        <v>494</v>
      </c>
      <c r="D52" s="136" t="str">
        <f t="array" ref="D52">IF(E52=0,0,(INDEX(AccountCodes[ACCOUNT NAME],MATCH(E52,AccountCodes[NGAS CODE],0))))</f>
        <v>Representation Allowance (RA)</v>
      </c>
      <c r="E52" s="309" t="s">
        <v>165</v>
      </c>
      <c r="F52" s="501">
        <v>10000</v>
      </c>
    </row>
    <row r="53" spans="1:6" x14ac:dyDescent="0.25">
      <c r="A53" s="308">
        <v>43404</v>
      </c>
      <c r="B53" s="309" t="s">
        <v>494</v>
      </c>
      <c r="C53" s="309" t="s">
        <v>494</v>
      </c>
      <c r="D53" s="136" t="str">
        <f t="array" ref="D53">IF(E53=0,0,(INDEX(AccountCodes[ACCOUNT NAME],MATCH(E53,AccountCodes[NGAS CODE],0))))</f>
        <v>Representation Allowance (RA)</v>
      </c>
      <c r="E53" s="309" t="s">
        <v>165</v>
      </c>
      <c r="F53" s="501">
        <v>10000</v>
      </c>
    </row>
    <row r="54" spans="1:6" x14ac:dyDescent="0.25">
      <c r="A54" s="308">
        <v>43434</v>
      </c>
      <c r="B54" s="309" t="s">
        <v>494</v>
      </c>
      <c r="C54" s="309" t="s">
        <v>494</v>
      </c>
      <c r="D54" s="136" t="str">
        <f t="array" ref="D54">IF(E54=0,0,(INDEX(AccountCodes[ACCOUNT NAME],MATCH(E54,AccountCodes[NGAS CODE],0))))</f>
        <v>Representation Allowance (RA)</v>
      </c>
      <c r="E54" s="309" t="s">
        <v>165</v>
      </c>
      <c r="F54" s="501">
        <v>10000</v>
      </c>
    </row>
    <row r="55" spans="1:6" x14ac:dyDescent="0.25">
      <c r="A55" s="308">
        <v>43465</v>
      </c>
      <c r="B55" s="309" t="s">
        <v>494</v>
      </c>
      <c r="C55" s="309" t="s">
        <v>494</v>
      </c>
      <c r="D55" s="136" t="str">
        <f t="array" ref="D55">IF(E55=0,0,(INDEX(AccountCodes[ACCOUNT NAME],MATCH(E55,AccountCodes[NGAS CODE],0))))</f>
        <v>Representation Allowance (RA)</v>
      </c>
      <c r="E55" s="309" t="s">
        <v>165</v>
      </c>
      <c r="F55" s="501">
        <v>10000</v>
      </c>
    </row>
    <row r="56" spans="1:6" x14ac:dyDescent="0.25">
      <c r="A56" s="308">
        <v>43159</v>
      </c>
      <c r="B56" s="309" t="s">
        <v>494</v>
      </c>
      <c r="C56" s="309" t="s">
        <v>494</v>
      </c>
      <c r="D56" s="136" t="str">
        <f t="array" ref="D56">IF(E56=0,0,(INDEX(AccountCodes[ACCOUNT NAME],MATCH(E56,AccountCodes[NGAS CODE],0))))</f>
        <v>Clothing/Uniform Allowance</v>
      </c>
      <c r="E56" s="309" t="s">
        <v>167</v>
      </c>
      <c r="F56" s="501">
        <v>300000</v>
      </c>
    </row>
    <row r="57" spans="1:6" x14ac:dyDescent="0.25">
      <c r="A57" s="308">
        <v>43465</v>
      </c>
      <c r="B57" s="309" t="s">
        <v>494</v>
      </c>
      <c r="C57" s="309" t="s">
        <v>494</v>
      </c>
      <c r="D57" s="136" t="str">
        <f t="array" ref="D57">IF(E57=0,0,(INDEX(AccountCodes[ACCOUNT NAME],MATCH(E57,AccountCodes[NGAS CODE],0))))</f>
        <v>Other Bonuses and Allowances - Productivity Enhancement Incentive-Civilian</v>
      </c>
      <c r="E57" s="309" t="s">
        <v>170</v>
      </c>
      <c r="F57" s="501">
        <v>300000</v>
      </c>
    </row>
    <row r="58" spans="1:6" x14ac:dyDescent="0.25">
      <c r="A58" s="308">
        <v>43465</v>
      </c>
      <c r="B58" s="309" t="s">
        <v>494</v>
      </c>
      <c r="C58" s="309" t="s">
        <v>494</v>
      </c>
      <c r="D58" s="136" t="str">
        <f t="array" ref="D58">IF(E58=0,0,(INDEX(AccountCodes[ACCOUNT NAME],MATCH(E58,AccountCodes[NGAS CODE],0))))</f>
        <v>Honoraria</v>
      </c>
      <c r="E58" s="309" t="s">
        <v>173</v>
      </c>
      <c r="F58" s="501">
        <v>400000</v>
      </c>
    </row>
    <row r="59" spans="1:6" x14ac:dyDescent="0.25">
      <c r="A59" s="308">
        <v>43131</v>
      </c>
      <c r="B59" s="309" t="s">
        <v>494</v>
      </c>
      <c r="C59" s="309" t="s">
        <v>494</v>
      </c>
      <c r="D59" s="136" t="str">
        <f t="array" ref="D59">IF(E59=0,0,(INDEX(AccountCodes[ACCOUNT NAME],MATCH(E59,AccountCodes[NGAS CODE],0))))</f>
        <v>Other Bonuses and Allowances - Children Allowance</v>
      </c>
      <c r="E59" s="309" t="s">
        <v>7</v>
      </c>
      <c r="F59" s="501">
        <v>870</v>
      </c>
    </row>
    <row r="60" spans="1:6" x14ac:dyDescent="0.25">
      <c r="A60" s="308">
        <v>43159</v>
      </c>
      <c r="B60" s="309" t="s">
        <v>494</v>
      </c>
      <c r="C60" s="309" t="s">
        <v>494</v>
      </c>
      <c r="D60" s="136" t="str">
        <f t="array" ref="D60">IF(E60=0,0,(INDEX(AccountCodes[ACCOUNT NAME],MATCH(E60,AccountCodes[NGAS CODE],0))))</f>
        <v>Other Bonuses and Allowances - Children Allowance</v>
      </c>
      <c r="E60" s="309" t="s">
        <v>7</v>
      </c>
      <c r="F60" s="501">
        <v>870</v>
      </c>
    </row>
    <row r="61" spans="1:6" x14ac:dyDescent="0.25">
      <c r="A61" s="308">
        <v>43190</v>
      </c>
      <c r="B61" s="309" t="s">
        <v>494</v>
      </c>
      <c r="C61" s="309" t="s">
        <v>494</v>
      </c>
      <c r="D61" s="136" t="str">
        <f t="array" ref="D61">IF(E61=0,0,(INDEX(AccountCodes[ACCOUNT NAME],MATCH(E61,AccountCodes[NGAS CODE],0))))</f>
        <v>Other Bonuses and Allowances - Children Allowance</v>
      </c>
      <c r="E61" s="309" t="s">
        <v>7</v>
      </c>
      <c r="F61" s="501">
        <v>870</v>
      </c>
    </row>
    <row r="62" spans="1:6" x14ac:dyDescent="0.25">
      <c r="A62" s="308">
        <v>43220</v>
      </c>
      <c r="B62" s="309" t="s">
        <v>494</v>
      </c>
      <c r="C62" s="309" t="s">
        <v>494</v>
      </c>
      <c r="D62" s="136" t="str">
        <f t="array" ref="D62">IF(E62=0,0,(INDEX(AccountCodes[ACCOUNT NAME],MATCH(E62,AccountCodes[NGAS CODE],0))))</f>
        <v>Other Bonuses and Allowances - Children Allowance</v>
      </c>
      <c r="E62" s="309" t="s">
        <v>7</v>
      </c>
      <c r="F62" s="501">
        <v>870</v>
      </c>
    </row>
    <row r="63" spans="1:6" x14ac:dyDescent="0.25">
      <c r="A63" s="308">
        <v>43251</v>
      </c>
      <c r="B63" s="309" t="s">
        <v>494</v>
      </c>
      <c r="C63" s="309" t="s">
        <v>494</v>
      </c>
      <c r="D63" s="136" t="str">
        <f t="array" ref="D63">IF(E63=0,0,(INDEX(AccountCodes[ACCOUNT NAME],MATCH(E63,AccountCodes[NGAS CODE],0))))</f>
        <v>Other Bonuses and Allowances - Children Allowance</v>
      </c>
      <c r="E63" s="309" t="s">
        <v>7</v>
      </c>
      <c r="F63" s="501">
        <v>870</v>
      </c>
    </row>
    <row r="64" spans="1:6" x14ac:dyDescent="0.25">
      <c r="A64" s="308">
        <v>43281</v>
      </c>
      <c r="B64" s="309" t="s">
        <v>494</v>
      </c>
      <c r="C64" s="309" t="s">
        <v>494</v>
      </c>
      <c r="D64" s="136" t="str">
        <f t="array" ref="D64">IF(E64=0,0,(INDEX(AccountCodes[ACCOUNT NAME],MATCH(E64,AccountCodes[NGAS CODE],0))))</f>
        <v>Other Bonuses and Allowances - Children Allowance</v>
      </c>
      <c r="E64" s="309" t="s">
        <v>7</v>
      </c>
      <c r="F64" s="501">
        <v>870</v>
      </c>
    </row>
    <row r="65" spans="1:6" x14ac:dyDescent="0.25">
      <c r="A65" s="308">
        <v>43312</v>
      </c>
      <c r="B65" s="309" t="s">
        <v>494</v>
      </c>
      <c r="C65" s="309" t="s">
        <v>494</v>
      </c>
      <c r="D65" s="136" t="str">
        <f t="array" ref="D65">IF(E65=0,0,(INDEX(AccountCodes[ACCOUNT NAME],MATCH(E65,AccountCodes[NGAS CODE],0))))</f>
        <v>Other Bonuses and Allowances - Children Allowance</v>
      </c>
      <c r="E65" s="309" t="s">
        <v>7</v>
      </c>
      <c r="F65" s="501">
        <v>870</v>
      </c>
    </row>
    <row r="66" spans="1:6" x14ac:dyDescent="0.25">
      <c r="A66" s="308">
        <v>43343</v>
      </c>
      <c r="B66" s="309" t="s">
        <v>494</v>
      </c>
      <c r="C66" s="309" t="s">
        <v>494</v>
      </c>
      <c r="D66" s="136" t="str">
        <f t="array" ref="D66">IF(E66=0,0,(INDEX(AccountCodes[ACCOUNT NAME],MATCH(E66,AccountCodes[NGAS CODE],0))))</f>
        <v>Other Bonuses and Allowances - Children Allowance</v>
      </c>
      <c r="E66" s="309" t="s">
        <v>7</v>
      </c>
      <c r="F66" s="501">
        <v>870</v>
      </c>
    </row>
    <row r="67" spans="1:6" x14ac:dyDescent="0.25">
      <c r="A67" s="308">
        <v>43373</v>
      </c>
      <c r="B67" s="309" t="s">
        <v>494</v>
      </c>
      <c r="C67" s="309" t="s">
        <v>494</v>
      </c>
      <c r="D67" s="136" t="str">
        <f t="array" ref="D67">IF(E67=0,0,(INDEX(AccountCodes[ACCOUNT NAME],MATCH(E67,AccountCodes[NGAS CODE],0))))</f>
        <v>Other Bonuses and Allowances - Children Allowance</v>
      </c>
      <c r="E67" s="309" t="s">
        <v>7</v>
      </c>
      <c r="F67" s="501">
        <v>870</v>
      </c>
    </row>
    <row r="68" spans="1:6" x14ac:dyDescent="0.25">
      <c r="A68" s="308">
        <v>43404</v>
      </c>
      <c r="B68" s="309" t="s">
        <v>494</v>
      </c>
      <c r="C68" s="309" t="s">
        <v>494</v>
      </c>
      <c r="D68" s="136" t="str">
        <f t="array" ref="D68">IF(E68=0,0,(INDEX(AccountCodes[ACCOUNT NAME],MATCH(E68,AccountCodes[NGAS CODE],0))))</f>
        <v>Other Bonuses and Allowances - Children Allowance</v>
      </c>
      <c r="E68" s="309" t="s">
        <v>7</v>
      </c>
      <c r="F68" s="501">
        <v>870</v>
      </c>
    </row>
    <row r="69" spans="1:6" x14ac:dyDescent="0.25">
      <c r="A69" s="308">
        <v>43434</v>
      </c>
      <c r="B69" s="309" t="s">
        <v>494</v>
      </c>
      <c r="C69" s="309" t="s">
        <v>494</v>
      </c>
      <c r="D69" s="136" t="str">
        <f t="array" ref="D69">IF(E69=0,0,(INDEX(AccountCodes[ACCOUNT NAME],MATCH(E69,AccountCodes[NGAS CODE],0))))</f>
        <v>Other Bonuses and Allowances - Children Allowance</v>
      </c>
      <c r="E69" s="309" t="s">
        <v>7</v>
      </c>
      <c r="F69" s="501">
        <v>870</v>
      </c>
    </row>
    <row r="70" spans="1:6" x14ac:dyDescent="0.25">
      <c r="A70" s="308">
        <v>43465</v>
      </c>
      <c r="B70" s="309" t="s">
        <v>494</v>
      </c>
      <c r="C70" s="309" t="s">
        <v>494</v>
      </c>
      <c r="D70" s="136" t="str">
        <f t="array" ref="D70">IF(E70=0,0,(INDEX(AccountCodes[ACCOUNT NAME],MATCH(E70,AccountCodes[NGAS CODE],0))))</f>
        <v>Other Bonuses and Allowances - Children Allowance</v>
      </c>
      <c r="E70" s="309" t="s">
        <v>7</v>
      </c>
      <c r="F70" s="501">
        <v>870</v>
      </c>
    </row>
    <row r="71" spans="1:6" x14ac:dyDescent="0.25">
      <c r="A71" s="308">
        <v>43131</v>
      </c>
      <c r="B71" s="309" t="s">
        <v>494</v>
      </c>
      <c r="C71" s="309" t="s">
        <v>494</v>
      </c>
      <c r="D71" s="136" t="str">
        <f t="array" ref="D71">IF(E71=0,0,(INDEX(AccountCodes[ACCOUNT NAME],MATCH(E71,AccountCodes[NGAS CODE],0))))</f>
        <v>Other Bonuses and Allowances - Medical Allowance</v>
      </c>
      <c r="E71" s="309" t="s">
        <v>5</v>
      </c>
      <c r="F71" s="501">
        <v>4800</v>
      </c>
    </row>
    <row r="72" spans="1:6" x14ac:dyDescent="0.25">
      <c r="A72" s="308">
        <v>43159</v>
      </c>
      <c r="B72" s="309" t="s">
        <v>494</v>
      </c>
      <c r="C72" s="309" t="s">
        <v>494</v>
      </c>
      <c r="D72" s="136" t="str">
        <f t="array" ref="D72">IF(E72=0,0,(INDEX(AccountCodes[ACCOUNT NAME],MATCH(E72,AccountCodes[NGAS CODE],0))))</f>
        <v>Other Bonuses and Allowances - Medical Allowance</v>
      </c>
      <c r="E72" s="309" t="s">
        <v>5</v>
      </c>
      <c r="F72" s="501">
        <v>4800</v>
      </c>
    </row>
    <row r="73" spans="1:6" x14ac:dyDescent="0.25">
      <c r="A73" s="308">
        <v>43190</v>
      </c>
      <c r="B73" s="309" t="s">
        <v>494</v>
      </c>
      <c r="C73" s="309" t="s">
        <v>494</v>
      </c>
      <c r="D73" s="136" t="str">
        <f t="array" ref="D73">IF(E73=0,0,(INDEX(AccountCodes[ACCOUNT NAME],MATCH(E73,AccountCodes[NGAS CODE],0))))</f>
        <v>Other Bonuses and Allowances - Medical Allowance</v>
      </c>
      <c r="E73" s="309" t="s">
        <v>5</v>
      </c>
      <c r="F73" s="501">
        <v>4800</v>
      </c>
    </row>
    <row r="74" spans="1:6" x14ac:dyDescent="0.25">
      <c r="A74" s="308">
        <v>43220</v>
      </c>
      <c r="B74" s="309" t="s">
        <v>494</v>
      </c>
      <c r="C74" s="309" t="s">
        <v>494</v>
      </c>
      <c r="D74" s="136" t="str">
        <f t="array" ref="D74">IF(E74=0,0,(INDEX(AccountCodes[ACCOUNT NAME],MATCH(E74,AccountCodes[NGAS CODE],0))))</f>
        <v>Other Bonuses and Allowances - Medical Allowance</v>
      </c>
      <c r="E74" s="309" t="s">
        <v>5</v>
      </c>
      <c r="F74" s="501">
        <v>4800</v>
      </c>
    </row>
    <row r="75" spans="1:6" x14ac:dyDescent="0.25">
      <c r="A75" s="308">
        <v>43251</v>
      </c>
      <c r="B75" s="309" t="s">
        <v>494</v>
      </c>
      <c r="C75" s="309" t="s">
        <v>494</v>
      </c>
      <c r="D75" s="136" t="str">
        <f t="array" ref="D75">IF(E75=0,0,(INDEX(AccountCodes[ACCOUNT NAME],MATCH(E75,AccountCodes[NGAS CODE],0))))</f>
        <v>Other Bonuses and Allowances - Medical Allowance</v>
      </c>
      <c r="E75" s="309" t="s">
        <v>5</v>
      </c>
      <c r="F75" s="501">
        <v>4800</v>
      </c>
    </row>
    <row r="76" spans="1:6" x14ac:dyDescent="0.25">
      <c r="A76" s="308">
        <v>43281</v>
      </c>
      <c r="B76" s="309" t="s">
        <v>494</v>
      </c>
      <c r="C76" s="309" t="s">
        <v>494</v>
      </c>
      <c r="D76" s="136" t="str">
        <f t="array" ref="D76">IF(E76=0,0,(INDEX(AccountCodes[ACCOUNT NAME],MATCH(E76,AccountCodes[NGAS CODE],0))))</f>
        <v>Other Bonuses and Allowances - Medical Allowance</v>
      </c>
      <c r="E76" s="309" t="s">
        <v>5</v>
      </c>
      <c r="F76" s="501">
        <v>4800</v>
      </c>
    </row>
    <row r="77" spans="1:6" x14ac:dyDescent="0.25">
      <c r="A77" s="308">
        <v>43312</v>
      </c>
      <c r="B77" s="309" t="s">
        <v>494</v>
      </c>
      <c r="C77" s="309" t="s">
        <v>494</v>
      </c>
      <c r="D77" s="136" t="str">
        <f t="array" ref="D77">IF(E77=0,0,(INDEX(AccountCodes[ACCOUNT NAME],MATCH(E77,AccountCodes[NGAS CODE],0))))</f>
        <v>Other Bonuses and Allowances - Medical Allowance</v>
      </c>
      <c r="E77" s="309" t="s">
        <v>5</v>
      </c>
      <c r="F77" s="501">
        <v>4800</v>
      </c>
    </row>
    <row r="78" spans="1:6" x14ac:dyDescent="0.25">
      <c r="A78" s="308">
        <v>43343</v>
      </c>
      <c r="B78" s="309" t="s">
        <v>494</v>
      </c>
      <c r="C78" s="309" t="s">
        <v>494</v>
      </c>
      <c r="D78" s="136" t="str">
        <f t="array" ref="D78">IF(E78=0,0,(INDEX(AccountCodes[ACCOUNT NAME],MATCH(E78,AccountCodes[NGAS CODE],0))))</f>
        <v>Other Bonuses and Allowances - Medical Allowance</v>
      </c>
      <c r="E78" s="309" t="s">
        <v>5</v>
      </c>
      <c r="F78" s="501">
        <v>4800</v>
      </c>
    </row>
    <row r="79" spans="1:6" x14ac:dyDescent="0.25">
      <c r="A79" s="308">
        <v>43373</v>
      </c>
      <c r="B79" s="309" t="s">
        <v>494</v>
      </c>
      <c r="C79" s="309" t="s">
        <v>494</v>
      </c>
      <c r="D79" s="136" t="str">
        <f t="array" ref="D79">IF(E79=0,0,(INDEX(AccountCodes[ACCOUNT NAME],MATCH(E79,AccountCodes[NGAS CODE],0))))</f>
        <v>Other Bonuses and Allowances - Medical Allowance</v>
      </c>
      <c r="E79" s="309" t="s">
        <v>5</v>
      </c>
      <c r="F79" s="501">
        <v>4800</v>
      </c>
    </row>
    <row r="80" spans="1:6" x14ac:dyDescent="0.25">
      <c r="A80" s="308">
        <v>43404</v>
      </c>
      <c r="B80" s="309" t="s">
        <v>494</v>
      </c>
      <c r="C80" s="309" t="s">
        <v>494</v>
      </c>
      <c r="D80" s="136" t="str">
        <f t="array" ref="D80">IF(E80=0,0,(INDEX(AccountCodes[ACCOUNT NAME],MATCH(E80,AccountCodes[NGAS CODE],0))))</f>
        <v>Other Bonuses and Allowances - Medical Allowance</v>
      </c>
      <c r="E80" s="309" t="s">
        <v>5</v>
      </c>
      <c r="F80" s="501">
        <v>4800</v>
      </c>
    </row>
    <row r="81" spans="1:6" x14ac:dyDescent="0.25">
      <c r="A81" s="308">
        <v>43434</v>
      </c>
      <c r="B81" s="309" t="s">
        <v>494</v>
      </c>
      <c r="C81" s="309" t="s">
        <v>494</v>
      </c>
      <c r="D81" s="136" t="str">
        <f t="array" ref="D81">IF(E81=0,0,(INDEX(AccountCodes[ACCOUNT NAME],MATCH(E81,AccountCodes[NGAS CODE],0))))</f>
        <v>Other Bonuses and Allowances - Medical Allowance</v>
      </c>
      <c r="E81" s="309" t="s">
        <v>5</v>
      </c>
      <c r="F81" s="501">
        <v>4800</v>
      </c>
    </row>
    <row r="82" spans="1:6" x14ac:dyDescent="0.25">
      <c r="A82" s="308">
        <v>43465</v>
      </c>
      <c r="B82" s="309" t="s">
        <v>494</v>
      </c>
      <c r="C82" s="309" t="s">
        <v>494</v>
      </c>
      <c r="D82" s="136" t="str">
        <f t="array" ref="D82">IF(E82=0,0,(INDEX(AccountCodes[ACCOUNT NAME],MATCH(E82,AccountCodes[NGAS CODE],0))))</f>
        <v>Other Bonuses and Allowances - Medical Allowance</v>
      </c>
      <c r="E82" s="309" t="s">
        <v>5</v>
      </c>
      <c r="F82" s="501">
        <v>4800</v>
      </c>
    </row>
    <row r="83" spans="1:6" x14ac:dyDescent="0.25">
      <c r="A83" s="308">
        <v>43131</v>
      </c>
      <c r="B83" s="309" t="s">
        <v>494</v>
      </c>
      <c r="C83" s="309" t="s">
        <v>494</v>
      </c>
      <c r="D83" s="136" t="str">
        <f t="array" ref="D83">IF(E83=0,0,(INDEX(AccountCodes[ACCOUNT NAME],MATCH(E83,AccountCodes[NGAS CODE],0))))</f>
        <v>Other Bonuses and Allowances - Meal Allowance</v>
      </c>
      <c r="E83" s="309" t="s">
        <v>6</v>
      </c>
      <c r="F83" s="501">
        <v>1584</v>
      </c>
    </row>
    <row r="84" spans="1:6" x14ac:dyDescent="0.25">
      <c r="A84" s="308">
        <v>43159</v>
      </c>
      <c r="B84" s="309" t="s">
        <v>494</v>
      </c>
      <c r="C84" s="309" t="s">
        <v>494</v>
      </c>
      <c r="D84" s="136" t="str">
        <f t="array" ref="D84">IF(E84=0,0,(INDEX(AccountCodes[ACCOUNT NAME],MATCH(E84,AccountCodes[NGAS CODE],0))))</f>
        <v>Other Bonuses and Allowances - Meal Allowance</v>
      </c>
      <c r="E84" s="309" t="s">
        <v>6</v>
      </c>
      <c r="F84" s="501">
        <v>1584</v>
      </c>
    </row>
    <row r="85" spans="1:6" x14ac:dyDescent="0.25">
      <c r="A85" s="308">
        <v>43190</v>
      </c>
      <c r="B85" s="309" t="s">
        <v>494</v>
      </c>
      <c r="C85" s="309" t="s">
        <v>494</v>
      </c>
      <c r="D85" s="136" t="str">
        <f t="array" ref="D85">IF(E85=0,0,(INDEX(AccountCodes[ACCOUNT NAME],MATCH(E85,AccountCodes[NGAS CODE],0))))</f>
        <v>Other Bonuses and Allowances - Meal Allowance</v>
      </c>
      <c r="E85" s="309" t="s">
        <v>6</v>
      </c>
      <c r="F85" s="501">
        <v>1584</v>
      </c>
    </row>
    <row r="86" spans="1:6" x14ac:dyDescent="0.25">
      <c r="A86" s="308">
        <v>43220</v>
      </c>
      <c r="B86" s="309" t="s">
        <v>494</v>
      </c>
      <c r="C86" s="309" t="s">
        <v>494</v>
      </c>
      <c r="D86" s="136" t="str">
        <f t="array" ref="D86">IF(E86=0,0,(INDEX(AccountCodes[ACCOUNT NAME],MATCH(E86,AccountCodes[NGAS CODE],0))))</f>
        <v>Other Bonuses and Allowances - Meal Allowance</v>
      </c>
      <c r="E86" s="309" t="s">
        <v>6</v>
      </c>
      <c r="F86" s="501">
        <v>1584</v>
      </c>
    </row>
    <row r="87" spans="1:6" x14ac:dyDescent="0.25">
      <c r="A87" s="308">
        <v>43251</v>
      </c>
      <c r="B87" s="309" t="s">
        <v>494</v>
      </c>
      <c r="C87" s="309" t="s">
        <v>494</v>
      </c>
      <c r="D87" s="136" t="str">
        <f t="array" ref="D87">IF(E87=0,0,(INDEX(AccountCodes[ACCOUNT NAME],MATCH(E87,AccountCodes[NGAS CODE],0))))</f>
        <v>Other Bonuses and Allowances - Meal Allowance</v>
      </c>
      <c r="E87" s="309" t="s">
        <v>6</v>
      </c>
      <c r="F87" s="501">
        <v>1584</v>
      </c>
    </row>
    <row r="88" spans="1:6" x14ac:dyDescent="0.25">
      <c r="A88" s="308">
        <v>43281</v>
      </c>
      <c r="B88" s="309" t="s">
        <v>494</v>
      </c>
      <c r="C88" s="309" t="s">
        <v>494</v>
      </c>
      <c r="D88" s="136" t="str">
        <f t="array" ref="D88">IF(E88=0,0,(INDEX(AccountCodes[ACCOUNT NAME],MATCH(E88,AccountCodes[NGAS CODE],0))))</f>
        <v>Other Bonuses and Allowances - Meal Allowance</v>
      </c>
      <c r="E88" s="309" t="s">
        <v>6</v>
      </c>
      <c r="F88" s="501">
        <v>1584</v>
      </c>
    </row>
    <row r="89" spans="1:6" x14ac:dyDescent="0.25">
      <c r="A89" s="308">
        <v>43312</v>
      </c>
      <c r="B89" s="309" t="s">
        <v>494</v>
      </c>
      <c r="C89" s="309" t="s">
        <v>494</v>
      </c>
      <c r="D89" s="136" t="str">
        <f t="array" ref="D89">IF(E89=0,0,(INDEX(AccountCodes[ACCOUNT NAME],MATCH(E89,AccountCodes[NGAS CODE],0))))</f>
        <v>Other Bonuses and Allowances - Meal Allowance</v>
      </c>
      <c r="E89" s="309" t="s">
        <v>6</v>
      </c>
      <c r="F89" s="501">
        <v>1584</v>
      </c>
    </row>
    <row r="90" spans="1:6" x14ac:dyDescent="0.25">
      <c r="A90" s="308">
        <v>43343</v>
      </c>
      <c r="B90" s="309" t="s">
        <v>494</v>
      </c>
      <c r="C90" s="309" t="s">
        <v>494</v>
      </c>
      <c r="D90" s="136" t="str">
        <f t="array" ref="D90">IF(E90=0,0,(INDEX(AccountCodes[ACCOUNT NAME],MATCH(E90,AccountCodes[NGAS CODE],0))))</f>
        <v>Other Bonuses and Allowances - Meal Allowance</v>
      </c>
      <c r="E90" s="309" t="s">
        <v>6</v>
      </c>
      <c r="F90" s="501">
        <v>1584</v>
      </c>
    </row>
    <row r="91" spans="1:6" x14ac:dyDescent="0.25">
      <c r="A91" s="308">
        <v>43373</v>
      </c>
      <c r="B91" s="309" t="s">
        <v>494</v>
      </c>
      <c r="C91" s="309" t="s">
        <v>494</v>
      </c>
      <c r="D91" s="136" t="str">
        <f t="array" ref="D91">IF(E91=0,0,(INDEX(AccountCodes[ACCOUNT NAME],MATCH(E91,AccountCodes[NGAS CODE],0))))</f>
        <v>Other Bonuses and Allowances - Meal Allowance</v>
      </c>
      <c r="E91" s="309" t="s">
        <v>6</v>
      </c>
      <c r="F91" s="501">
        <v>1584</v>
      </c>
    </row>
    <row r="92" spans="1:6" x14ac:dyDescent="0.25">
      <c r="A92" s="308">
        <v>43404</v>
      </c>
      <c r="B92" s="309" t="s">
        <v>494</v>
      </c>
      <c r="C92" s="309" t="s">
        <v>494</v>
      </c>
      <c r="D92" s="136" t="str">
        <f t="array" ref="D92">IF(E92=0,0,(INDEX(AccountCodes[ACCOUNT NAME],MATCH(E92,AccountCodes[NGAS CODE],0))))</f>
        <v>Other Bonuses and Allowances - Meal Allowance</v>
      </c>
      <c r="E92" s="309" t="s">
        <v>6</v>
      </c>
      <c r="F92" s="501">
        <v>1584</v>
      </c>
    </row>
    <row r="93" spans="1:6" x14ac:dyDescent="0.25">
      <c r="A93" s="308">
        <v>43434</v>
      </c>
      <c r="B93" s="309" t="s">
        <v>494</v>
      </c>
      <c r="C93" s="309" t="s">
        <v>494</v>
      </c>
      <c r="D93" s="136" t="str">
        <f t="array" ref="D93">IF(E93=0,0,(INDEX(AccountCodes[ACCOUNT NAME],MATCH(E93,AccountCodes[NGAS CODE],0))))</f>
        <v>Other Bonuses and Allowances - Meal Allowance</v>
      </c>
      <c r="E93" s="309" t="s">
        <v>6</v>
      </c>
      <c r="F93" s="501">
        <v>1584</v>
      </c>
    </row>
    <row r="94" spans="1:6" x14ac:dyDescent="0.25">
      <c r="A94" s="308">
        <v>43465</v>
      </c>
      <c r="B94" s="309" t="s">
        <v>494</v>
      </c>
      <c r="C94" s="309" t="s">
        <v>494</v>
      </c>
      <c r="D94" s="136" t="str">
        <f t="array" ref="D94">IF(E94=0,0,(INDEX(AccountCodes[ACCOUNT NAME],MATCH(E94,AccountCodes[NGAS CODE],0))))</f>
        <v>Other Bonuses and Allowances - Meal Allowance</v>
      </c>
      <c r="E94" s="309" t="s">
        <v>6</v>
      </c>
      <c r="F94" s="501">
        <v>1584</v>
      </c>
    </row>
    <row r="95" spans="1:6" x14ac:dyDescent="0.25">
      <c r="A95" s="308">
        <v>43465</v>
      </c>
      <c r="B95" s="309" t="s">
        <v>494</v>
      </c>
      <c r="C95" s="309" t="s">
        <v>494</v>
      </c>
      <c r="D95" s="136" t="str">
        <f t="array" ref="D95">IF(E95=0,0,(INDEX(AccountCodes[ACCOUNT NAME],MATCH(E95,AccountCodes[NGAS CODE],0))))</f>
        <v>Cash Gift</v>
      </c>
      <c r="E95" s="309" t="s">
        <v>172</v>
      </c>
      <c r="F95" s="501">
        <v>300000</v>
      </c>
    </row>
    <row r="96" spans="1:6" x14ac:dyDescent="0.25">
      <c r="A96" s="308">
        <v>43251</v>
      </c>
      <c r="B96" s="309" t="s">
        <v>494</v>
      </c>
      <c r="C96" s="309" t="s">
        <v>494</v>
      </c>
      <c r="D96" s="136" t="str">
        <f t="array" ref="D96">IF(E96=0,0,(INDEX(AccountCodes[ACCOUNT NAME],MATCH(E96,AccountCodes[NGAS CODE],0))))</f>
        <v>Mid-Year/Year End Bonus</v>
      </c>
      <c r="E96" s="309" t="s">
        <v>174</v>
      </c>
      <c r="F96" s="501">
        <v>1735720</v>
      </c>
    </row>
    <row r="97" spans="1:6" x14ac:dyDescent="0.25">
      <c r="A97" s="308">
        <v>43434</v>
      </c>
      <c r="B97" s="309" t="s">
        <v>494</v>
      </c>
      <c r="C97" s="309" t="s">
        <v>494</v>
      </c>
      <c r="D97" s="136" t="str">
        <f t="array" ref="D97">IF(E97=0,0,(INDEX(AccountCodes[ACCOUNT NAME],MATCH(E97,AccountCodes[NGAS CODE],0))))</f>
        <v>Mid-Year/Year End Bonus</v>
      </c>
      <c r="E97" s="309" t="s">
        <v>174</v>
      </c>
      <c r="F97" s="501">
        <v>1735720</v>
      </c>
    </row>
    <row r="98" spans="1:6" x14ac:dyDescent="0.25">
      <c r="A98" s="308">
        <v>43465</v>
      </c>
      <c r="B98" s="309" t="s">
        <v>494</v>
      </c>
      <c r="C98" s="309" t="s">
        <v>494</v>
      </c>
      <c r="D98" s="136" t="str">
        <f t="array" ref="D98">IF(E98=0,0,(INDEX(AccountCodes[ACCOUNT NAME],MATCH(E98,AccountCodes[NGAS CODE],0))))</f>
        <v>Other Bonuses and Allowances - Collective Negotiation Agreement Incentive-Civilian</v>
      </c>
      <c r="E98" s="309" t="s">
        <v>168</v>
      </c>
      <c r="F98" s="501">
        <v>1500000</v>
      </c>
    </row>
    <row r="99" spans="1:6" x14ac:dyDescent="0.25">
      <c r="A99" s="308">
        <v>43131</v>
      </c>
      <c r="B99" s="309" t="s">
        <v>494</v>
      </c>
      <c r="C99" s="309" t="s">
        <v>494</v>
      </c>
      <c r="D99" s="136" t="str">
        <f t="array" ref="D99">IF(E99=0,0,(INDEX(AccountCodes[ACCOUNT NAME],MATCH(E99,AccountCodes[NGAS CODE],0))))</f>
        <v>Retirement and Life Insurance Premiums</v>
      </c>
      <c r="E99" s="309" t="s">
        <v>175</v>
      </c>
      <c r="F99" s="501">
        <v>208286.4</v>
      </c>
    </row>
    <row r="100" spans="1:6" x14ac:dyDescent="0.25">
      <c r="A100" s="308">
        <v>43159</v>
      </c>
      <c r="B100" s="309" t="s">
        <v>494</v>
      </c>
      <c r="C100" s="309" t="s">
        <v>494</v>
      </c>
      <c r="D100" s="136" t="str">
        <f t="array" ref="D100">IF(E100=0,0,(INDEX(AccountCodes[ACCOUNT NAME],MATCH(E100,AccountCodes[NGAS CODE],0))))</f>
        <v>Retirement and Life Insurance Premiums</v>
      </c>
      <c r="E100" s="309" t="s">
        <v>175</v>
      </c>
      <c r="F100" s="501">
        <v>208286.4</v>
      </c>
    </row>
    <row r="101" spans="1:6" x14ac:dyDescent="0.25">
      <c r="A101" s="308">
        <v>43190</v>
      </c>
      <c r="B101" s="309" t="s">
        <v>494</v>
      </c>
      <c r="C101" s="309" t="s">
        <v>494</v>
      </c>
      <c r="D101" s="136" t="str">
        <f t="array" ref="D101">IF(E101=0,0,(INDEX(AccountCodes[ACCOUNT NAME],MATCH(E101,AccountCodes[NGAS CODE],0))))</f>
        <v>Retirement and Life Insurance Premiums</v>
      </c>
      <c r="E101" s="309" t="s">
        <v>175</v>
      </c>
      <c r="F101" s="501">
        <v>208286.4</v>
      </c>
    </row>
    <row r="102" spans="1:6" x14ac:dyDescent="0.25">
      <c r="A102" s="308">
        <v>43220</v>
      </c>
      <c r="B102" s="309" t="s">
        <v>494</v>
      </c>
      <c r="C102" s="309" t="s">
        <v>494</v>
      </c>
      <c r="D102" s="136" t="str">
        <f t="array" ref="D102">IF(E102=0,0,(INDEX(AccountCodes[ACCOUNT NAME],MATCH(E102,AccountCodes[NGAS CODE],0))))</f>
        <v>Retirement and Life Insurance Premiums</v>
      </c>
      <c r="E102" s="309" t="s">
        <v>175</v>
      </c>
      <c r="F102" s="501">
        <v>208286.4</v>
      </c>
    </row>
    <row r="103" spans="1:6" x14ac:dyDescent="0.25">
      <c r="A103" s="308">
        <v>43251</v>
      </c>
      <c r="B103" s="309" t="s">
        <v>494</v>
      </c>
      <c r="C103" s="309" t="s">
        <v>494</v>
      </c>
      <c r="D103" s="136" t="str">
        <f t="array" ref="D103">IF(E103=0,0,(INDEX(AccountCodes[ACCOUNT NAME],MATCH(E103,AccountCodes[NGAS CODE],0))))</f>
        <v>Retirement and Life Insurance Premiums</v>
      </c>
      <c r="E103" s="309" t="s">
        <v>175</v>
      </c>
      <c r="F103" s="501">
        <v>208286.4</v>
      </c>
    </row>
    <row r="104" spans="1:6" x14ac:dyDescent="0.25">
      <c r="A104" s="308">
        <v>43281</v>
      </c>
      <c r="B104" s="309" t="s">
        <v>494</v>
      </c>
      <c r="C104" s="309" t="s">
        <v>494</v>
      </c>
      <c r="D104" s="136" t="str">
        <f t="array" ref="D104">IF(E104=0,0,(INDEX(AccountCodes[ACCOUNT NAME],MATCH(E104,AccountCodes[NGAS CODE],0))))</f>
        <v>Retirement and Life Insurance Premiums</v>
      </c>
      <c r="E104" s="309" t="s">
        <v>175</v>
      </c>
      <c r="F104" s="501">
        <v>208286.4</v>
      </c>
    </row>
    <row r="105" spans="1:6" x14ac:dyDescent="0.25">
      <c r="A105" s="308">
        <v>43312</v>
      </c>
      <c r="B105" s="309" t="s">
        <v>494</v>
      </c>
      <c r="C105" s="309" t="s">
        <v>494</v>
      </c>
      <c r="D105" s="136" t="str">
        <f t="array" ref="D105">IF(E105=0,0,(INDEX(AccountCodes[ACCOUNT NAME],MATCH(E105,AccountCodes[NGAS CODE],0))))</f>
        <v>Retirement and Life Insurance Premiums</v>
      </c>
      <c r="E105" s="309" t="s">
        <v>175</v>
      </c>
      <c r="F105" s="501">
        <v>208286.4</v>
      </c>
    </row>
    <row r="106" spans="1:6" x14ac:dyDescent="0.25">
      <c r="A106" s="308">
        <v>43343</v>
      </c>
      <c r="B106" s="309" t="s">
        <v>494</v>
      </c>
      <c r="C106" s="309" t="s">
        <v>494</v>
      </c>
      <c r="D106" s="136" t="str">
        <f t="array" ref="D106">IF(E106=0,0,(INDEX(AccountCodes[ACCOUNT NAME],MATCH(E106,AccountCodes[NGAS CODE],0))))</f>
        <v>Retirement and Life Insurance Premiums</v>
      </c>
      <c r="E106" s="309" t="s">
        <v>175</v>
      </c>
      <c r="F106" s="501">
        <v>208286.4</v>
      </c>
    </row>
    <row r="107" spans="1:6" x14ac:dyDescent="0.25">
      <c r="A107" s="308">
        <v>43373</v>
      </c>
      <c r="B107" s="309" t="s">
        <v>494</v>
      </c>
      <c r="C107" s="309" t="s">
        <v>494</v>
      </c>
      <c r="D107" s="136" t="str">
        <f t="array" ref="D107">IF(E107=0,0,(INDEX(AccountCodes[ACCOUNT NAME],MATCH(E107,AccountCodes[NGAS CODE],0))))</f>
        <v>Retirement and Life Insurance Premiums</v>
      </c>
      <c r="E107" s="309" t="s">
        <v>175</v>
      </c>
      <c r="F107" s="501">
        <v>208286.4</v>
      </c>
    </row>
    <row r="108" spans="1:6" x14ac:dyDescent="0.25">
      <c r="A108" s="308">
        <v>43404</v>
      </c>
      <c r="B108" s="309" t="s">
        <v>494</v>
      </c>
      <c r="C108" s="309" t="s">
        <v>494</v>
      </c>
      <c r="D108" s="136" t="str">
        <f t="array" ref="D108">IF(E108=0,0,(INDEX(AccountCodes[ACCOUNT NAME],MATCH(E108,AccountCodes[NGAS CODE],0))))</f>
        <v>Retirement and Life Insurance Premiums</v>
      </c>
      <c r="E108" s="309" t="s">
        <v>175</v>
      </c>
      <c r="F108" s="501">
        <v>208286.4</v>
      </c>
    </row>
    <row r="109" spans="1:6" x14ac:dyDescent="0.25">
      <c r="A109" s="308">
        <v>43434</v>
      </c>
      <c r="B109" s="309" t="s">
        <v>494</v>
      </c>
      <c r="C109" s="309" t="s">
        <v>494</v>
      </c>
      <c r="D109" s="136" t="str">
        <f t="array" ref="D109">IF(E109=0,0,(INDEX(AccountCodes[ACCOUNT NAME],MATCH(E109,AccountCodes[NGAS CODE],0))))</f>
        <v>Retirement and Life Insurance Premiums</v>
      </c>
      <c r="E109" s="309" t="s">
        <v>175</v>
      </c>
      <c r="F109" s="501">
        <v>208286.4</v>
      </c>
    </row>
    <row r="110" spans="1:6" x14ac:dyDescent="0.25">
      <c r="A110" s="308">
        <v>43465</v>
      </c>
      <c r="B110" s="309" t="s">
        <v>494</v>
      </c>
      <c r="C110" s="309" t="s">
        <v>494</v>
      </c>
      <c r="D110" s="136" t="str">
        <f t="array" ref="D110">IF(E110=0,0,(INDEX(AccountCodes[ACCOUNT NAME],MATCH(E110,AccountCodes[NGAS CODE],0))))</f>
        <v>Retirement and Life Insurance Premiums</v>
      </c>
      <c r="E110" s="309" t="s">
        <v>175</v>
      </c>
      <c r="F110" s="501">
        <v>208286.4</v>
      </c>
    </row>
    <row r="111" spans="1:6" x14ac:dyDescent="0.25">
      <c r="A111" s="308">
        <v>43131</v>
      </c>
      <c r="B111" s="309" t="s">
        <v>494</v>
      </c>
      <c r="C111" s="309" t="s">
        <v>494</v>
      </c>
      <c r="D111" s="136" t="str">
        <f t="array" ref="D111">IF(E111=0,0,(INDEX(AccountCodes[ACCOUNT NAME],MATCH(E111,AccountCodes[NGAS CODE],0))))</f>
        <v>Pag-IBIG Contributions</v>
      </c>
      <c r="E111" s="309" t="s">
        <v>176</v>
      </c>
      <c r="F111" s="501">
        <v>6000</v>
      </c>
    </row>
    <row r="112" spans="1:6" x14ac:dyDescent="0.25">
      <c r="A112" s="308">
        <v>43159</v>
      </c>
      <c r="B112" s="309" t="s">
        <v>494</v>
      </c>
      <c r="C112" s="309" t="s">
        <v>494</v>
      </c>
      <c r="D112" s="136" t="str">
        <f t="array" ref="D112">IF(E112=0,0,(INDEX(AccountCodes[ACCOUNT NAME],MATCH(E112,AccountCodes[NGAS CODE],0))))</f>
        <v>Pag-IBIG Contributions</v>
      </c>
      <c r="E112" s="309" t="s">
        <v>176</v>
      </c>
      <c r="F112" s="501">
        <v>6000</v>
      </c>
    </row>
    <row r="113" spans="1:6" x14ac:dyDescent="0.25">
      <c r="A113" s="308">
        <v>43190</v>
      </c>
      <c r="B113" s="309" t="s">
        <v>494</v>
      </c>
      <c r="C113" s="309" t="s">
        <v>494</v>
      </c>
      <c r="D113" s="136" t="str">
        <f t="array" ref="D113">IF(E113=0,0,(INDEX(AccountCodes[ACCOUNT NAME],MATCH(E113,AccountCodes[NGAS CODE],0))))</f>
        <v>Pag-IBIG Contributions</v>
      </c>
      <c r="E113" s="309" t="s">
        <v>176</v>
      </c>
      <c r="F113" s="501">
        <v>6000</v>
      </c>
    </row>
    <row r="114" spans="1:6" x14ac:dyDescent="0.25">
      <c r="A114" s="308">
        <v>43220</v>
      </c>
      <c r="B114" s="309" t="s">
        <v>494</v>
      </c>
      <c r="C114" s="309" t="s">
        <v>494</v>
      </c>
      <c r="D114" s="136" t="str">
        <f t="array" ref="D114">IF(E114=0,0,(INDEX(AccountCodes[ACCOUNT NAME],MATCH(E114,AccountCodes[NGAS CODE],0))))</f>
        <v>Pag-IBIG Contributions</v>
      </c>
      <c r="E114" s="309" t="s">
        <v>176</v>
      </c>
      <c r="F114" s="501">
        <v>6000</v>
      </c>
    </row>
    <row r="115" spans="1:6" x14ac:dyDescent="0.25">
      <c r="A115" s="308">
        <v>43251</v>
      </c>
      <c r="B115" s="309" t="s">
        <v>494</v>
      </c>
      <c r="C115" s="309" t="s">
        <v>494</v>
      </c>
      <c r="D115" s="136" t="str">
        <f t="array" ref="D115">IF(E115=0,0,(INDEX(AccountCodes[ACCOUNT NAME],MATCH(E115,AccountCodes[NGAS CODE],0))))</f>
        <v>Pag-IBIG Contributions</v>
      </c>
      <c r="E115" s="309" t="s">
        <v>176</v>
      </c>
      <c r="F115" s="501">
        <v>6000</v>
      </c>
    </row>
    <row r="116" spans="1:6" x14ac:dyDescent="0.25">
      <c r="A116" s="308">
        <v>43281</v>
      </c>
      <c r="B116" s="309" t="s">
        <v>494</v>
      </c>
      <c r="C116" s="309" t="s">
        <v>494</v>
      </c>
      <c r="D116" s="136" t="str">
        <f t="array" ref="D116">IF(E116=0,0,(INDEX(AccountCodes[ACCOUNT NAME],MATCH(E116,AccountCodes[NGAS CODE],0))))</f>
        <v>Pag-IBIG Contributions</v>
      </c>
      <c r="E116" s="309" t="s">
        <v>176</v>
      </c>
      <c r="F116" s="501">
        <v>6000</v>
      </c>
    </row>
    <row r="117" spans="1:6" x14ac:dyDescent="0.25">
      <c r="A117" s="308">
        <v>43312</v>
      </c>
      <c r="B117" s="309" t="s">
        <v>494</v>
      </c>
      <c r="C117" s="309" t="s">
        <v>494</v>
      </c>
      <c r="D117" s="136" t="str">
        <f t="array" ref="D117">IF(E117=0,0,(INDEX(AccountCodes[ACCOUNT NAME],MATCH(E117,AccountCodes[NGAS CODE],0))))</f>
        <v>Pag-IBIG Contributions</v>
      </c>
      <c r="E117" s="309" t="s">
        <v>176</v>
      </c>
      <c r="F117" s="501">
        <v>6000</v>
      </c>
    </row>
    <row r="118" spans="1:6" x14ac:dyDescent="0.25">
      <c r="A118" s="308">
        <v>43343</v>
      </c>
      <c r="B118" s="309" t="s">
        <v>494</v>
      </c>
      <c r="C118" s="309" t="s">
        <v>494</v>
      </c>
      <c r="D118" s="136" t="str">
        <f t="array" ref="D118">IF(E118=0,0,(INDEX(AccountCodes[ACCOUNT NAME],MATCH(E118,AccountCodes[NGAS CODE],0))))</f>
        <v>Pag-IBIG Contributions</v>
      </c>
      <c r="E118" s="309" t="s">
        <v>176</v>
      </c>
      <c r="F118" s="501">
        <v>6000</v>
      </c>
    </row>
    <row r="119" spans="1:6" x14ac:dyDescent="0.25">
      <c r="A119" s="308">
        <v>43373</v>
      </c>
      <c r="B119" s="309" t="s">
        <v>494</v>
      </c>
      <c r="C119" s="309" t="s">
        <v>494</v>
      </c>
      <c r="D119" s="136" t="str">
        <f t="array" ref="D119">IF(E119=0,0,(INDEX(AccountCodes[ACCOUNT NAME],MATCH(E119,AccountCodes[NGAS CODE],0))))</f>
        <v>Pag-IBIG Contributions</v>
      </c>
      <c r="E119" s="309" t="s">
        <v>176</v>
      </c>
      <c r="F119" s="501">
        <v>6000</v>
      </c>
    </row>
    <row r="120" spans="1:6" x14ac:dyDescent="0.25">
      <c r="A120" s="308">
        <v>43404</v>
      </c>
      <c r="B120" s="309" t="s">
        <v>494</v>
      </c>
      <c r="C120" s="309" t="s">
        <v>494</v>
      </c>
      <c r="D120" s="136" t="str">
        <f t="array" ref="D120">IF(E120=0,0,(INDEX(AccountCodes[ACCOUNT NAME],MATCH(E120,AccountCodes[NGAS CODE],0))))</f>
        <v>Pag-IBIG Contributions</v>
      </c>
      <c r="E120" s="309" t="s">
        <v>176</v>
      </c>
      <c r="F120" s="501">
        <v>6000</v>
      </c>
    </row>
    <row r="121" spans="1:6" x14ac:dyDescent="0.25">
      <c r="A121" s="308">
        <v>43434</v>
      </c>
      <c r="B121" s="309" t="s">
        <v>494</v>
      </c>
      <c r="C121" s="309" t="s">
        <v>494</v>
      </c>
      <c r="D121" s="136" t="str">
        <f t="array" ref="D121">IF(E121=0,0,(INDEX(AccountCodes[ACCOUNT NAME],MATCH(E121,AccountCodes[NGAS CODE],0))))</f>
        <v>Pag-IBIG Contributions</v>
      </c>
      <c r="E121" s="309" t="s">
        <v>176</v>
      </c>
      <c r="F121" s="501">
        <v>6000</v>
      </c>
    </row>
    <row r="122" spans="1:6" x14ac:dyDescent="0.25">
      <c r="A122" s="308">
        <v>43465</v>
      </c>
      <c r="B122" s="309" t="s">
        <v>494</v>
      </c>
      <c r="C122" s="309" t="s">
        <v>494</v>
      </c>
      <c r="D122" s="136" t="str">
        <f t="array" ref="D122">IF(E122=0,0,(INDEX(AccountCodes[ACCOUNT NAME],MATCH(E122,AccountCodes[NGAS CODE],0))))</f>
        <v>Pag-IBIG Contributions</v>
      </c>
      <c r="E122" s="309" t="s">
        <v>176</v>
      </c>
      <c r="F122" s="501">
        <v>6000</v>
      </c>
    </row>
    <row r="123" spans="1:6" x14ac:dyDescent="0.25">
      <c r="A123" s="308">
        <v>43131</v>
      </c>
      <c r="B123" s="309" t="s">
        <v>494</v>
      </c>
      <c r="C123" s="309" t="s">
        <v>494</v>
      </c>
      <c r="D123" s="136" t="str">
        <f t="array" ref="D123">IF(E123=0,0,(INDEX(AccountCodes[ACCOUNT NAME],MATCH(E123,AccountCodes[NGAS CODE],0))))</f>
        <v>PhilHealth Contributions</v>
      </c>
      <c r="E123" s="309" t="s">
        <v>177</v>
      </c>
      <c r="F123" s="501">
        <v>21544.11</v>
      </c>
    </row>
    <row r="124" spans="1:6" x14ac:dyDescent="0.25">
      <c r="A124" s="308">
        <v>43159</v>
      </c>
      <c r="B124" s="309" t="s">
        <v>494</v>
      </c>
      <c r="C124" s="309" t="s">
        <v>494</v>
      </c>
      <c r="D124" s="136" t="str">
        <f t="array" ref="D124">IF(E124=0,0,(INDEX(AccountCodes[ACCOUNT NAME],MATCH(E124,AccountCodes[NGAS CODE],0))))</f>
        <v>PhilHealth Contributions</v>
      </c>
      <c r="E124" s="309" t="s">
        <v>177</v>
      </c>
      <c r="F124" s="501">
        <v>21544.11</v>
      </c>
    </row>
    <row r="125" spans="1:6" x14ac:dyDescent="0.25">
      <c r="A125" s="308">
        <v>43190</v>
      </c>
      <c r="B125" s="309" t="s">
        <v>494</v>
      </c>
      <c r="C125" s="309" t="s">
        <v>494</v>
      </c>
      <c r="D125" s="136" t="str">
        <f t="array" ref="D125">IF(E125=0,0,(INDEX(AccountCodes[ACCOUNT NAME],MATCH(E125,AccountCodes[NGAS CODE],0))))</f>
        <v>PhilHealth Contributions</v>
      </c>
      <c r="E125" s="309" t="s">
        <v>177</v>
      </c>
      <c r="F125" s="501">
        <v>21544.11</v>
      </c>
    </row>
    <row r="126" spans="1:6" x14ac:dyDescent="0.25">
      <c r="A126" s="308">
        <v>43220</v>
      </c>
      <c r="B126" s="309" t="s">
        <v>494</v>
      </c>
      <c r="C126" s="309" t="s">
        <v>494</v>
      </c>
      <c r="D126" s="136" t="str">
        <f t="array" ref="D126">IF(E126=0,0,(INDEX(AccountCodes[ACCOUNT NAME],MATCH(E126,AccountCodes[NGAS CODE],0))))</f>
        <v>PhilHealth Contributions</v>
      </c>
      <c r="E126" s="309" t="s">
        <v>177</v>
      </c>
      <c r="F126" s="501">
        <v>21544.11</v>
      </c>
    </row>
    <row r="127" spans="1:6" x14ac:dyDescent="0.25">
      <c r="A127" s="308">
        <v>43251</v>
      </c>
      <c r="B127" s="309" t="s">
        <v>494</v>
      </c>
      <c r="C127" s="309" t="s">
        <v>494</v>
      </c>
      <c r="D127" s="136" t="str">
        <f t="array" ref="D127">IF(E127=0,0,(INDEX(AccountCodes[ACCOUNT NAME],MATCH(E127,AccountCodes[NGAS CODE],0))))</f>
        <v>PhilHealth Contributions</v>
      </c>
      <c r="E127" s="309" t="s">
        <v>177</v>
      </c>
      <c r="F127" s="501">
        <v>21544.11</v>
      </c>
    </row>
    <row r="128" spans="1:6" x14ac:dyDescent="0.25">
      <c r="A128" s="308">
        <v>43281</v>
      </c>
      <c r="B128" s="309" t="s">
        <v>494</v>
      </c>
      <c r="C128" s="309" t="s">
        <v>494</v>
      </c>
      <c r="D128" s="136" t="str">
        <f t="array" ref="D128">IF(E128=0,0,(INDEX(AccountCodes[ACCOUNT NAME],MATCH(E128,AccountCodes[NGAS CODE],0))))</f>
        <v>PhilHealth Contributions</v>
      </c>
      <c r="E128" s="309" t="s">
        <v>177</v>
      </c>
      <c r="F128" s="501">
        <v>21544.11</v>
      </c>
    </row>
    <row r="129" spans="1:6" x14ac:dyDescent="0.25">
      <c r="A129" s="308">
        <v>43312</v>
      </c>
      <c r="B129" s="309" t="s">
        <v>494</v>
      </c>
      <c r="C129" s="309" t="s">
        <v>494</v>
      </c>
      <c r="D129" s="136" t="str">
        <f t="array" ref="D129">IF(E129=0,0,(INDEX(AccountCodes[ACCOUNT NAME],MATCH(E129,AccountCodes[NGAS CODE],0))))</f>
        <v>PhilHealth Contributions</v>
      </c>
      <c r="E129" s="309" t="s">
        <v>177</v>
      </c>
      <c r="F129" s="501">
        <v>21544.11</v>
      </c>
    </row>
    <row r="130" spans="1:6" x14ac:dyDescent="0.25">
      <c r="A130" s="308">
        <v>43343</v>
      </c>
      <c r="B130" s="309" t="s">
        <v>494</v>
      </c>
      <c r="C130" s="309" t="s">
        <v>494</v>
      </c>
      <c r="D130" s="136" t="str">
        <f t="array" ref="D130">IF(E130=0,0,(INDEX(AccountCodes[ACCOUNT NAME],MATCH(E130,AccountCodes[NGAS CODE],0))))</f>
        <v>PhilHealth Contributions</v>
      </c>
      <c r="E130" s="309" t="s">
        <v>177</v>
      </c>
      <c r="F130" s="501">
        <v>21544.11</v>
      </c>
    </row>
    <row r="131" spans="1:6" x14ac:dyDescent="0.25">
      <c r="A131" s="308">
        <v>43373</v>
      </c>
      <c r="B131" s="309" t="s">
        <v>494</v>
      </c>
      <c r="C131" s="309" t="s">
        <v>494</v>
      </c>
      <c r="D131" s="136" t="str">
        <f t="array" ref="D131">IF(E131=0,0,(INDEX(AccountCodes[ACCOUNT NAME],MATCH(E131,AccountCodes[NGAS CODE],0))))</f>
        <v>PhilHealth Contributions</v>
      </c>
      <c r="E131" s="309" t="s">
        <v>177</v>
      </c>
      <c r="F131" s="501">
        <v>21544.11</v>
      </c>
    </row>
    <row r="132" spans="1:6" x14ac:dyDescent="0.25">
      <c r="A132" s="308">
        <v>43404</v>
      </c>
      <c r="B132" s="309" t="s">
        <v>494</v>
      </c>
      <c r="C132" s="309" t="s">
        <v>494</v>
      </c>
      <c r="D132" s="136" t="str">
        <f t="array" ref="D132">IF(E132=0,0,(INDEX(AccountCodes[ACCOUNT NAME],MATCH(E132,AccountCodes[NGAS CODE],0))))</f>
        <v>PhilHealth Contributions</v>
      </c>
      <c r="E132" s="309" t="s">
        <v>177</v>
      </c>
      <c r="F132" s="501">
        <v>21544.11</v>
      </c>
    </row>
    <row r="133" spans="1:6" x14ac:dyDescent="0.25">
      <c r="A133" s="308">
        <v>43434</v>
      </c>
      <c r="B133" s="309" t="s">
        <v>494</v>
      </c>
      <c r="C133" s="309" t="s">
        <v>494</v>
      </c>
      <c r="D133" s="136" t="str">
        <f t="array" ref="D133">IF(E133=0,0,(INDEX(AccountCodes[ACCOUNT NAME],MATCH(E133,AccountCodes[NGAS CODE],0))))</f>
        <v>PhilHealth Contributions</v>
      </c>
      <c r="E133" s="309" t="s">
        <v>177</v>
      </c>
      <c r="F133" s="501">
        <v>21544.11</v>
      </c>
    </row>
    <row r="134" spans="1:6" x14ac:dyDescent="0.25">
      <c r="A134" s="308">
        <v>43465</v>
      </c>
      <c r="B134" s="309" t="s">
        <v>494</v>
      </c>
      <c r="C134" s="309" t="s">
        <v>494</v>
      </c>
      <c r="D134" s="136" t="str">
        <f t="array" ref="D134">IF(E134=0,0,(INDEX(AccountCodes[ACCOUNT NAME],MATCH(E134,AccountCodes[NGAS CODE],0))))</f>
        <v>PhilHealth Contributions</v>
      </c>
      <c r="E134" s="309" t="s">
        <v>177</v>
      </c>
      <c r="F134" s="501">
        <v>21544.11</v>
      </c>
    </row>
    <row r="135" spans="1:6" x14ac:dyDescent="0.25">
      <c r="A135" s="308">
        <v>43131</v>
      </c>
      <c r="B135" s="309" t="s">
        <v>494</v>
      </c>
      <c r="C135" s="309" t="s">
        <v>494</v>
      </c>
      <c r="D135" s="136" t="str">
        <f t="array" ref="D135">IF(E135=0,0,(INDEX(AccountCodes[ACCOUNT NAME],MATCH(E135,AccountCodes[NGAS CODE],0))))</f>
        <v>Employees Compensation Insurance Premiums</v>
      </c>
      <c r="E135" s="309" t="s">
        <v>178</v>
      </c>
      <c r="F135" s="501">
        <v>6000</v>
      </c>
    </row>
    <row r="136" spans="1:6" x14ac:dyDescent="0.25">
      <c r="A136" s="308">
        <v>43159</v>
      </c>
      <c r="B136" s="309" t="s">
        <v>494</v>
      </c>
      <c r="C136" s="309" t="s">
        <v>494</v>
      </c>
      <c r="D136" s="136" t="str">
        <f t="array" ref="D136">IF(E136=0,0,(INDEX(AccountCodes[ACCOUNT NAME],MATCH(E136,AccountCodes[NGAS CODE],0))))</f>
        <v>Employees Compensation Insurance Premiums</v>
      </c>
      <c r="E136" s="309" t="s">
        <v>178</v>
      </c>
      <c r="F136" s="501">
        <v>6000</v>
      </c>
    </row>
    <row r="137" spans="1:6" x14ac:dyDescent="0.25">
      <c r="A137" s="308">
        <v>43190</v>
      </c>
      <c r="B137" s="309" t="s">
        <v>494</v>
      </c>
      <c r="C137" s="309" t="s">
        <v>494</v>
      </c>
      <c r="D137" s="136" t="str">
        <f t="array" ref="D137">IF(E137=0,0,(INDEX(AccountCodes[ACCOUNT NAME],MATCH(E137,AccountCodes[NGAS CODE],0))))</f>
        <v>Employees Compensation Insurance Premiums</v>
      </c>
      <c r="E137" s="309" t="s">
        <v>178</v>
      </c>
      <c r="F137" s="501">
        <v>6000</v>
      </c>
    </row>
    <row r="138" spans="1:6" x14ac:dyDescent="0.25">
      <c r="A138" s="308">
        <v>43220</v>
      </c>
      <c r="B138" s="309" t="s">
        <v>494</v>
      </c>
      <c r="C138" s="309" t="s">
        <v>494</v>
      </c>
      <c r="D138" s="136" t="str">
        <f t="array" ref="D138">IF(E138=0,0,(INDEX(AccountCodes[ACCOUNT NAME],MATCH(E138,AccountCodes[NGAS CODE],0))))</f>
        <v>Employees Compensation Insurance Premiums</v>
      </c>
      <c r="E138" s="309" t="s">
        <v>178</v>
      </c>
      <c r="F138" s="501">
        <v>6000</v>
      </c>
    </row>
    <row r="139" spans="1:6" x14ac:dyDescent="0.25">
      <c r="A139" s="308">
        <v>43251</v>
      </c>
      <c r="B139" s="309" t="s">
        <v>494</v>
      </c>
      <c r="C139" s="309" t="s">
        <v>494</v>
      </c>
      <c r="D139" s="136" t="str">
        <f t="array" ref="D139">IF(E139=0,0,(INDEX(AccountCodes[ACCOUNT NAME],MATCH(E139,AccountCodes[NGAS CODE],0))))</f>
        <v>Employees Compensation Insurance Premiums</v>
      </c>
      <c r="E139" s="309" t="s">
        <v>178</v>
      </c>
      <c r="F139" s="501">
        <v>6000</v>
      </c>
    </row>
    <row r="140" spans="1:6" x14ac:dyDescent="0.25">
      <c r="A140" s="308">
        <v>43281</v>
      </c>
      <c r="B140" s="309" t="s">
        <v>494</v>
      </c>
      <c r="C140" s="309" t="s">
        <v>494</v>
      </c>
      <c r="D140" s="136" t="str">
        <f t="array" ref="D140">IF(E140=0,0,(INDEX(AccountCodes[ACCOUNT NAME],MATCH(E140,AccountCodes[NGAS CODE],0))))</f>
        <v>Employees Compensation Insurance Premiums</v>
      </c>
      <c r="E140" s="309" t="s">
        <v>178</v>
      </c>
      <c r="F140" s="501">
        <v>6000</v>
      </c>
    </row>
    <row r="141" spans="1:6" x14ac:dyDescent="0.25">
      <c r="A141" s="308">
        <v>43312</v>
      </c>
      <c r="B141" s="309" t="s">
        <v>494</v>
      </c>
      <c r="C141" s="309" t="s">
        <v>494</v>
      </c>
      <c r="D141" s="136" t="str">
        <f t="array" ref="D141">IF(E141=0,0,(INDEX(AccountCodes[ACCOUNT NAME],MATCH(E141,AccountCodes[NGAS CODE],0))))</f>
        <v>Employees Compensation Insurance Premiums</v>
      </c>
      <c r="E141" s="309" t="s">
        <v>178</v>
      </c>
      <c r="F141" s="501">
        <v>6000</v>
      </c>
    </row>
    <row r="142" spans="1:6" x14ac:dyDescent="0.25">
      <c r="A142" s="308">
        <v>43343</v>
      </c>
      <c r="B142" s="309" t="s">
        <v>494</v>
      </c>
      <c r="C142" s="309" t="s">
        <v>494</v>
      </c>
      <c r="D142" s="136" t="str">
        <f t="array" ref="D142">IF(E142=0,0,(INDEX(AccountCodes[ACCOUNT NAME],MATCH(E142,AccountCodes[NGAS CODE],0))))</f>
        <v>Employees Compensation Insurance Premiums</v>
      </c>
      <c r="E142" s="309" t="s">
        <v>178</v>
      </c>
      <c r="F142" s="501">
        <v>6000</v>
      </c>
    </row>
    <row r="143" spans="1:6" x14ac:dyDescent="0.25">
      <c r="A143" s="308">
        <v>43373</v>
      </c>
      <c r="B143" s="309" t="s">
        <v>494</v>
      </c>
      <c r="C143" s="309" t="s">
        <v>494</v>
      </c>
      <c r="D143" s="136" t="str">
        <f t="array" ref="D143">IF(E143=0,0,(INDEX(AccountCodes[ACCOUNT NAME],MATCH(E143,AccountCodes[NGAS CODE],0))))</f>
        <v>Employees Compensation Insurance Premiums</v>
      </c>
      <c r="E143" s="309" t="s">
        <v>178</v>
      </c>
      <c r="F143" s="501">
        <v>6000</v>
      </c>
    </row>
    <row r="144" spans="1:6" x14ac:dyDescent="0.25">
      <c r="A144" s="308">
        <v>43404</v>
      </c>
      <c r="B144" s="309" t="s">
        <v>494</v>
      </c>
      <c r="C144" s="309" t="s">
        <v>494</v>
      </c>
      <c r="D144" s="136" t="str">
        <f t="array" ref="D144">IF(E144=0,0,(INDEX(AccountCodes[ACCOUNT NAME],MATCH(E144,AccountCodes[NGAS CODE],0))))</f>
        <v>Employees Compensation Insurance Premiums</v>
      </c>
      <c r="E144" s="309" t="s">
        <v>178</v>
      </c>
      <c r="F144" s="501">
        <v>6000</v>
      </c>
    </row>
    <row r="145" spans="1:6" x14ac:dyDescent="0.25">
      <c r="A145" s="308">
        <v>43434</v>
      </c>
      <c r="B145" s="309" t="s">
        <v>494</v>
      </c>
      <c r="C145" s="309" t="s">
        <v>494</v>
      </c>
      <c r="D145" s="136" t="str">
        <f t="array" ref="D145">IF(E145=0,0,(INDEX(AccountCodes[ACCOUNT NAME],MATCH(E145,AccountCodes[NGAS CODE],0))))</f>
        <v>Employees Compensation Insurance Premiums</v>
      </c>
      <c r="E145" s="309" t="s">
        <v>178</v>
      </c>
      <c r="F145" s="501">
        <v>6000</v>
      </c>
    </row>
    <row r="146" spans="1:6" x14ac:dyDescent="0.25">
      <c r="A146" s="308">
        <v>43465</v>
      </c>
      <c r="B146" s="309" t="s">
        <v>494</v>
      </c>
      <c r="C146" s="309" t="s">
        <v>494</v>
      </c>
      <c r="D146" s="136" t="str">
        <f t="array" ref="D146">IF(E146=0,0,(INDEX(AccountCodes[ACCOUNT NAME],MATCH(E146,AccountCodes[NGAS CODE],0))))</f>
        <v>Employees Compensation Insurance Premiums</v>
      </c>
      <c r="E146" s="309" t="s">
        <v>178</v>
      </c>
      <c r="F146" s="501">
        <v>6000</v>
      </c>
    </row>
    <row r="147" spans="1:6" x14ac:dyDescent="0.25">
      <c r="A147" s="308">
        <v>43281</v>
      </c>
      <c r="B147" s="309" t="s">
        <v>494</v>
      </c>
      <c r="C147" s="309" t="s">
        <v>494</v>
      </c>
      <c r="D147" s="136" t="str">
        <f t="array" ref="D147">IF(E147=0,0,(INDEX(AccountCodes[ACCOUNT NAME],MATCH(E147,AccountCodes[NGAS CODE],0))))</f>
        <v>Longevity Pay</v>
      </c>
      <c r="E147" s="309" t="s">
        <v>216</v>
      </c>
      <c r="F147" s="501">
        <v>55000</v>
      </c>
    </row>
    <row r="148" spans="1:6" x14ac:dyDescent="0.25">
      <c r="A148" s="308">
        <v>43190</v>
      </c>
      <c r="B148" s="309" t="s">
        <v>494</v>
      </c>
      <c r="C148" s="309" t="s">
        <v>494</v>
      </c>
      <c r="D148" s="136" t="str">
        <f t="array" ref="D148">IF(E148=0,0,(INDEX(AccountCodes[ACCOUNT NAME],MATCH(E148,AccountCodes[NGAS CODE],0))))</f>
        <v>Terminal Leave Benefits</v>
      </c>
      <c r="E148" s="309" t="s">
        <v>212</v>
      </c>
      <c r="F148" s="501">
        <v>348829.66</v>
      </c>
    </row>
    <row r="149" spans="1:6" x14ac:dyDescent="0.25">
      <c r="A149" s="308">
        <v>43373</v>
      </c>
      <c r="B149" s="309" t="s">
        <v>494</v>
      </c>
      <c r="C149" s="309" t="s">
        <v>494</v>
      </c>
      <c r="D149" s="136" t="str">
        <f t="array" ref="D149">IF(E149=0,0,(INDEX(AccountCodes[ACCOUNT NAME],MATCH(E149,AccountCodes[NGAS CODE],0))))</f>
        <v>Terminal Leave Benefits</v>
      </c>
      <c r="E149" s="309" t="s">
        <v>212</v>
      </c>
      <c r="F149" s="501">
        <v>612831.96</v>
      </c>
    </row>
    <row r="150" spans="1:6" x14ac:dyDescent="0.25">
      <c r="A150" s="308">
        <v>43465</v>
      </c>
      <c r="B150" s="309" t="s">
        <v>494</v>
      </c>
      <c r="C150" s="309" t="s">
        <v>494</v>
      </c>
      <c r="D150" s="136" t="str">
        <f t="array" ref="D150">IF(E150=0,0,(INDEX(AccountCodes[ACCOUNT NAME],MATCH(E150,AccountCodes[NGAS CODE],0))))</f>
        <v>Terminal Leave Benefits</v>
      </c>
      <c r="E150" s="309" t="s">
        <v>212</v>
      </c>
      <c r="F150" s="311">
        <v>384409.5</v>
      </c>
    </row>
    <row r="151" spans="1:6" x14ac:dyDescent="0.25">
      <c r="A151" s="308">
        <v>43131</v>
      </c>
      <c r="B151" s="309" t="s">
        <v>494</v>
      </c>
      <c r="C151" s="309" t="s">
        <v>494</v>
      </c>
      <c r="D151" s="136" t="str">
        <f t="array" ref="D151">IF(E151=0,0,(INDEX(AccountCodes[ACCOUNT NAME],MATCH(E151,AccountCodes[NGAS CODE],0))))</f>
        <v>Traveling Expenses-Local</v>
      </c>
      <c r="E151" s="309" t="s">
        <v>223</v>
      </c>
      <c r="F151" s="501">
        <v>15000</v>
      </c>
    </row>
    <row r="152" spans="1:6" x14ac:dyDescent="0.25">
      <c r="A152" s="308">
        <v>43159</v>
      </c>
      <c r="B152" s="309" t="s">
        <v>494</v>
      </c>
      <c r="C152" s="309" t="s">
        <v>494</v>
      </c>
      <c r="D152" s="136" t="str">
        <f t="array" ref="D152">IF(E152=0,0,(INDEX(AccountCodes[ACCOUNT NAME],MATCH(E152,AccountCodes[NGAS CODE],0))))</f>
        <v>Traveling Expenses-Local</v>
      </c>
      <c r="E152" s="309" t="s">
        <v>223</v>
      </c>
      <c r="F152" s="501">
        <v>15000</v>
      </c>
    </row>
    <row r="153" spans="1:6" x14ac:dyDescent="0.25">
      <c r="A153" s="308">
        <v>43190</v>
      </c>
      <c r="B153" s="309" t="s">
        <v>494</v>
      </c>
      <c r="C153" s="309" t="s">
        <v>494</v>
      </c>
      <c r="D153" s="136" t="str">
        <f t="array" ref="D153">IF(E153=0,0,(INDEX(AccountCodes[ACCOUNT NAME],MATCH(E153,AccountCodes[NGAS CODE],0))))</f>
        <v>Traveling Expenses-Local</v>
      </c>
      <c r="E153" s="309" t="s">
        <v>223</v>
      </c>
      <c r="F153" s="501">
        <v>15000</v>
      </c>
    </row>
    <row r="154" spans="1:6" x14ac:dyDescent="0.25">
      <c r="A154" s="308">
        <v>43220</v>
      </c>
      <c r="B154" s="309" t="s">
        <v>494</v>
      </c>
      <c r="C154" s="309" t="s">
        <v>494</v>
      </c>
      <c r="D154" s="136" t="str">
        <f t="array" ref="D154">IF(E154=0,0,(INDEX(AccountCodes[ACCOUNT NAME],MATCH(E154,AccountCodes[NGAS CODE],0))))</f>
        <v>Traveling Expenses-Local</v>
      </c>
      <c r="E154" s="309" t="s">
        <v>223</v>
      </c>
      <c r="F154" s="501">
        <v>15000</v>
      </c>
    </row>
    <row r="155" spans="1:6" x14ac:dyDescent="0.25">
      <c r="A155" s="308">
        <v>43251</v>
      </c>
      <c r="B155" s="309" t="s">
        <v>494</v>
      </c>
      <c r="C155" s="309" t="s">
        <v>494</v>
      </c>
      <c r="D155" s="136" t="str">
        <f t="array" ref="D155">IF(E155=0,0,(INDEX(AccountCodes[ACCOUNT NAME],MATCH(E155,AccountCodes[NGAS CODE],0))))</f>
        <v>Traveling Expenses-Local</v>
      </c>
      <c r="E155" s="309" t="s">
        <v>223</v>
      </c>
      <c r="F155" s="501">
        <v>15000</v>
      </c>
    </row>
    <row r="156" spans="1:6" x14ac:dyDescent="0.25">
      <c r="A156" s="308">
        <v>43281</v>
      </c>
      <c r="B156" s="309" t="s">
        <v>494</v>
      </c>
      <c r="C156" s="309" t="s">
        <v>494</v>
      </c>
      <c r="D156" s="136" t="str">
        <f t="array" ref="D156">IF(E156=0,0,(INDEX(AccountCodes[ACCOUNT NAME],MATCH(E156,AccountCodes[NGAS CODE],0))))</f>
        <v>Traveling Expenses-Local</v>
      </c>
      <c r="E156" s="309" t="s">
        <v>223</v>
      </c>
      <c r="F156" s="501">
        <v>15000</v>
      </c>
    </row>
    <row r="157" spans="1:6" x14ac:dyDescent="0.25">
      <c r="A157" s="308">
        <v>43312</v>
      </c>
      <c r="B157" s="309" t="s">
        <v>494</v>
      </c>
      <c r="C157" s="309" t="s">
        <v>494</v>
      </c>
      <c r="D157" s="136" t="str">
        <f t="array" ref="D157">IF(E157=0,0,(INDEX(AccountCodes[ACCOUNT NAME],MATCH(E157,AccountCodes[NGAS CODE],0))))</f>
        <v>Traveling Expenses-Local</v>
      </c>
      <c r="E157" s="309" t="s">
        <v>223</v>
      </c>
      <c r="F157" s="501">
        <v>15000</v>
      </c>
    </row>
    <row r="158" spans="1:6" x14ac:dyDescent="0.25">
      <c r="A158" s="308">
        <v>43343</v>
      </c>
      <c r="B158" s="309" t="s">
        <v>494</v>
      </c>
      <c r="C158" s="309" t="s">
        <v>494</v>
      </c>
      <c r="D158" s="136" t="str">
        <f t="array" ref="D158">IF(E158=0,0,(INDEX(AccountCodes[ACCOUNT NAME],MATCH(E158,AccountCodes[NGAS CODE],0))))</f>
        <v>Traveling Expenses-Local</v>
      </c>
      <c r="E158" s="309" t="s">
        <v>223</v>
      </c>
      <c r="F158" s="501">
        <v>15000</v>
      </c>
    </row>
    <row r="159" spans="1:6" x14ac:dyDescent="0.25">
      <c r="A159" s="308">
        <v>43373</v>
      </c>
      <c r="B159" s="309" t="s">
        <v>494</v>
      </c>
      <c r="C159" s="309" t="s">
        <v>494</v>
      </c>
      <c r="D159" s="136" t="str">
        <f t="array" ref="D159">IF(E159=0,0,(INDEX(AccountCodes[ACCOUNT NAME],MATCH(E159,AccountCodes[NGAS CODE],0))))</f>
        <v>Traveling Expenses-Local</v>
      </c>
      <c r="E159" s="309" t="s">
        <v>223</v>
      </c>
      <c r="F159" s="501">
        <v>15000</v>
      </c>
    </row>
    <row r="160" spans="1:6" x14ac:dyDescent="0.25">
      <c r="A160" s="308">
        <v>43404</v>
      </c>
      <c r="B160" s="309" t="s">
        <v>494</v>
      </c>
      <c r="C160" s="309" t="s">
        <v>494</v>
      </c>
      <c r="D160" s="136" t="str">
        <f t="array" ref="D160">IF(E160=0,0,(INDEX(AccountCodes[ACCOUNT NAME],MATCH(E160,AccountCodes[NGAS CODE],0))))</f>
        <v>Traveling Expenses-Local</v>
      </c>
      <c r="E160" s="309" t="s">
        <v>223</v>
      </c>
      <c r="F160" s="501">
        <v>15000</v>
      </c>
    </row>
    <row r="161" spans="1:6" x14ac:dyDescent="0.25">
      <c r="A161" s="308">
        <v>43434</v>
      </c>
      <c r="B161" s="309" t="s">
        <v>494</v>
      </c>
      <c r="C161" s="309" t="s">
        <v>494</v>
      </c>
      <c r="D161" s="136" t="str">
        <f t="array" ref="D161">IF(E161=0,0,(INDEX(AccountCodes[ACCOUNT NAME],MATCH(E161,AccountCodes[NGAS CODE],0))))</f>
        <v>Traveling Expenses-Local</v>
      </c>
      <c r="E161" s="309" t="s">
        <v>223</v>
      </c>
      <c r="F161" s="501">
        <v>15000</v>
      </c>
    </row>
    <row r="162" spans="1:6" x14ac:dyDescent="0.25">
      <c r="A162" s="308">
        <v>43465</v>
      </c>
      <c r="B162" s="309" t="s">
        <v>494</v>
      </c>
      <c r="C162" s="309" t="s">
        <v>494</v>
      </c>
      <c r="D162" s="136" t="str">
        <f t="array" ref="D162">IF(E162=0,0,(INDEX(AccountCodes[ACCOUNT NAME],MATCH(E162,AccountCodes[NGAS CODE],0))))</f>
        <v>Traveling Expenses-Local</v>
      </c>
      <c r="E162" s="309" t="s">
        <v>223</v>
      </c>
      <c r="F162" s="501">
        <v>15000</v>
      </c>
    </row>
    <row r="163" spans="1:6" x14ac:dyDescent="0.25">
      <c r="A163" s="308">
        <v>43190</v>
      </c>
      <c r="B163" s="309" t="s">
        <v>494</v>
      </c>
      <c r="C163" s="309" t="s">
        <v>494</v>
      </c>
      <c r="D163" s="136" t="str">
        <f t="array" ref="D163">IF(E163=0,0,(INDEX(AccountCodes[ACCOUNT NAME],MATCH(E163,AccountCodes[NGAS CODE],0))))</f>
        <v>Training Expenses</v>
      </c>
      <c r="E163" s="309" t="s">
        <v>224</v>
      </c>
      <c r="F163" s="501">
        <v>50000</v>
      </c>
    </row>
    <row r="164" spans="1:6" x14ac:dyDescent="0.25">
      <c r="A164" s="308">
        <v>43281</v>
      </c>
      <c r="B164" s="309" t="s">
        <v>494</v>
      </c>
      <c r="C164" s="309" t="s">
        <v>494</v>
      </c>
      <c r="D164" s="136" t="str">
        <f t="array" ref="D164">IF(E164=0,0,(INDEX(AccountCodes[ACCOUNT NAME],MATCH(E164,AccountCodes[NGAS CODE],0))))</f>
        <v>Training Expenses</v>
      </c>
      <c r="E164" s="309" t="s">
        <v>224</v>
      </c>
      <c r="F164" s="501">
        <v>50000</v>
      </c>
    </row>
    <row r="165" spans="1:6" x14ac:dyDescent="0.25">
      <c r="A165" s="308">
        <v>43373</v>
      </c>
      <c r="B165" s="309" t="s">
        <v>494</v>
      </c>
      <c r="C165" s="309" t="s">
        <v>494</v>
      </c>
      <c r="D165" s="136" t="str">
        <f t="array" ref="D165">IF(E165=0,0,(INDEX(AccountCodes[ACCOUNT NAME],MATCH(E165,AccountCodes[NGAS CODE],0))))</f>
        <v>Training Expenses</v>
      </c>
      <c r="E165" s="309" t="s">
        <v>224</v>
      </c>
      <c r="F165" s="501">
        <v>50000</v>
      </c>
    </row>
    <row r="166" spans="1:6" x14ac:dyDescent="0.25">
      <c r="A166" s="308">
        <v>43465</v>
      </c>
      <c r="B166" s="309" t="s">
        <v>494</v>
      </c>
      <c r="C166" s="309" t="s">
        <v>494</v>
      </c>
      <c r="D166" s="136" t="str">
        <f t="array" ref="D166">IF(E166=0,0,(INDEX(AccountCodes[ACCOUNT NAME],MATCH(E166,AccountCodes[NGAS CODE],0))))</f>
        <v>Training Expenses</v>
      </c>
      <c r="E166" s="309" t="s">
        <v>224</v>
      </c>
      <c r="F166" s="501">
        <v>53820</v>
      </c>
    </row>
    <row r="167" spans="1:6" x14ac:dyDescent="0.25">
      <c r="A167" s="308">
        <v>43131</v>
      </c>
      <c r="B167" s="309" t="s">
        <v>494</v>
      </c>
      <c r="C167" s="309" t="s">
        <v>494</v>
      </c>
      <c r="D167" s="136" t="str">
        <f t="array" ref="D167">IF(E167=0,0,(INDEX(AccountCodes[ACCOUNT NAME],MATCH(E167,AccountCodes[NGAS CODE],0))))</f>
        <v>Office Supplies Expenses</v>
      </c>
      <c r="E167" s="309" t="s">
        <v>225</v>
      </c>
      <c r="F167" s="501">
        <v>40000</v>
      </c>
    </row>
    <row r="168" spans="1:6" x14ac:dyDescent="0.25">
      <c r="A168" s="308">
        <v>43190</v>
      </c>
      <c r="B168" s="309" t="s">
        <v>494</v>
      </c>
      <c r="C168" s="309" t="s">
        <v>494</v>
      </c>
      <c r="D168" s="136" t="str">
        <f t="array" ref="D168">IF(E168=0,0,(INDEX(AccountCodes[ACCOUNT NAME],MATCH(E168,AccountCodes[NGAS CODE],0))))</f>
        <v>Office Supplies Expenses</v>
      </c>
      <c r="E168" s="309" t="s">
        <v>225</v>
      </c>
      <c r="F168" s="501">
        <v>40000</v>
      </c>
    </row>
    <row r="169" spans="1:6" x14ac:dyDescent="0.25">
      <c r="A169" s="308">
        <v>43281</v>
      </c>
      <c r="B169" s="309" t="s">
        <v>494</v>
      </c>
      <c r="C169" s="309" t="s">
        <v>494</v>
      </c>
      <c r="D169" s="136" t="str">
        <f t="array" ref="D169">IF(E169=0,0,(INDEX(AccountCodes[ACCOUNT NAME],MATCH(E169,AccountCodes[NGAS CODE],0))))</f>
        <v>Office Supplies Expenses</v>
      </c>
      <c r="E169" s="309" t="s">
        <v>225</v>
      </c>
      <c r="F169" s="501">
        <v>80000</v>
      </c>
    </row>
    <row r="170" spans="1:6" x14ac:dyDescent="0.25">
      <c r="A170" s="308">
        <v>43373</v>
      </c>
      <c r="B170" s="309" t="s">
        <v>494</v>
      </c>
      <c r="C170" s="309" t="s">
        <v>494</v>
      </c>
      <c r="D170" s="136" t="str">
        <f t="array" ref="D170">IF(E170=0,0,(INDEX(AccountCodes[ACCOUNT NAME],MATCH(E170,AccountCodes[NGAS CODE],0))))</f>
        <v>Office Supplies Expenses</v>
      </c>
      <c r="E170" s="309" t="s">
        <v>225</v>
      </c>
      <c r="F170" s="501">
        <v>80000</v>
      </c>
    </row>
    <row r="171" spans="1:6" x14ac:dyDescent="0.25">
      <c r="A171" s="308">
        <v>43465</v>
      </c>
      <c r="B171" s="309" t="s">
        <v>494</v>
      </c>
      <c r="C171" s="309" t="s">
        <v>494</v>
      </c>
      <c r="D171" s="136" t="str">
        <f t="array" ref="D171">IF(E171=0,0,(INDEX(AccountCodes[ACCOUNT NAME],MATCH(E171,AccountCodes[NGAS CODE],0))))</f>
        <v>Office Supplies Expenses</v>
      </c>
      <c r="E171" s="309" t="s">
        <v>225</v>
      </c>
      <c r="F171" s="501">
        <v>74903</v>
      </c>
    </row>
    <row r="172" spans="1:6" x14ac:dyDescent="0.25">
      <c r="A172" s="308">
        <v>43131</v>
      </c>
      <c r="B172" s="309" t="s">
        <v>494</v>
      </c>
      <c r="C172" s="309" t="s">
        <v>494</v>
      </c>
      <c r="D172" s="136" t="str">
        <f t="array" ref="D172">IF(E172=0,0,(INDEX(AccountCodes[ACCOUNT NAME],MATCH(E172,AccountCodes[NGAS CODE],0))))</f>
        <v>Accountable Forms Expenses</v>
      </c>
      <c r="E172" s="309" t="s">
        <v>226</v>
      </c>
      <c r="F172" s="501">
        <v>15000</v>
      </c>
    </row>
    <row r="173" spans="1:6" x14ac:dyDescent="0.25">
      <c r="A173" s="308">
        <v>43190</v>
      </c>
      <c r="B173" s="309" t="s">
        <v>494</v>
      </c>
      <c r="C173" s="309" t="s">
        <v>494</v>
      </c>
      <c r="D173" s="136" t="str">
        <f t="array" ref="D173">IF(E173=0,0,(INDEX(AccountCodes[ACCOUNT NAME],MATCH(E173,AccountCodes[NGAS CODE],0))))</f>
        <v>Accountable Forms Expenses</v>
      </c>
      <c r="E173" s="309" t="s">
        <v>226</v>
      </c>
      <c r="F173" s="501">
        <v>10000</v>
      </c>
    </row>
    <row r="174" spans="1:6" x14ac:dyDescent="0.25">
      <c r="A174" s="308">
        <v>43281</v>
      </c>
      <c r="B174" s="309" t="s">
        <v>494</v>
      </c>
      <c r="C174" s="309" t="s">
        <v>494</v>
      </c>
      <c r="D174" s="136" t="str">
        <f t="array" ref="D174">IF(E174=0,0,(INDEX(AccountCodes[ACCOUNT NAME],MATCH(E174,AccountCodes[NGAS CODE],0))))</f>
        <v>Accountable Forms Expenses</v>
      </c>
      <c r="E174" s="309" t="s">
        <v>226</v>
      </c>
      <c r="F174" s="501">
        <v>10000</v>
      </c>
    </row>
    <row r="175" spans="1:6" x14ac:dyDescent="0.25">
      <c r="A175" s="308">
        <v>43373</v>
      </c>
      <c r="B175" s="309" t="s">
        <v>494</v>
      </c>
      <c r="C175" s="309" t="s">
        <v>494</v>
      </c>
      <c r="D175" s="136" t="str">
        <f t="array" ref="D175">IF(E175=0,0,(INDEX(AccountCodes[ACCOUNT NAME],MATCH(E175,AccountCodes[NGAS CODE],0))))</f>
        <v>Accountable Forms Expenses</v>
      </c>
      <c r="E175" s="309" t="s">
        <v>226</v>
      </c>
      <c r="F175" s="501">
        <v>10000</v>
      </c>
    </row>
    <row r="176" spans="1:6" x14ac:dyDescent="0.25">
      <c r="A176" s="308">
        <v>43465</v>
      </c>
      <c r="B176" s="309" t="s">
        <v>494</v>
      </c>
      <c r="C176" s="309" t="s">
        <v>494</v>
      </c>
      <c r="D176" s="136" t="str">
        <f t="array" ref="D176">IF(E176=0,0,(INDEX(AccountCodes[ACCOUNT NAME],MATCH(E176,AccountCodes[NGAS CODE],0))))</f>
        <v>Accountable Forms Expenses</v>
      </c>
      <c r="E176" s="309" t="s">
        <v>226</v>
      </c>
      <c r="F176" s="501">
        <v>7600</v>
      </c>
    </row>
    <row r="177" spans="1:6" x14ac:dyDescent="0.25">
      <c r="A177" s="308">
        <v>43131</v>
      </c>
      <c r="B177" s="309" t="s">
        <v>494</v>
      </c>
      <c r="C177" s="309" t="s">
        <v>494</v>
      </c>
      <c r="D177" s="136" t="str">
        <f t="array" ref="D177">IF(E177=0,0,(INDEX(AccountCodes[ACCOUNT NAME],MATCH(E177,AccountCodes[NGAS CODE],0))))</f>
        <v>Fuel, Oil and Lubricants Expenses</v>
      </c>
      <c r="E177" s="309" t="s">
        <v>229</v>
      </c>
      <c r="F177" s="501">
        <v>108375.75</v>
      </c>
    </row>
    <row r="178" spans="1:6" x14ac:dyDescent="0.25">
      <c r="A178" s="308">
        <v>43159</v>
      </c>
      <c r="B178" s="309" t="s">
        <v>494</v>
      </c>
      <c r="C178" s="309" t="s">
        <v>494</v>
      </c>
      <c r="D178" s="136" t="str">
        <f t="array" ref="D178">IF(E178=0,0,(INDEX(AccountCodes[ACCOUNT NAME],MATCH(E178,AccountCodes[NGAS CODE],0))))</f>
        <v>Fuel, Oil and Lubricants Expenses</v>
      </c>
      <c r="E178" s="309" t="s">
        <v>229</v>
      </c>
      <c r="F178" s="501">
        <v>108375.75</v>
      </c>
    </row>
    <row r="179" spans="1:6" x14ac:dyDescent="0.25">
      <c r="A179" s="308">
        <v>43190</v>
      </c>
      <c r="B179" s="309" t="s">
        <v>494</v>
      </c>
      <c r="C179" s="309" t="s">
        <v>494</v>
      </c>
      <c r="D179" s="136" t="str">
        <f t="array" ref="D179">IF(E179=0,0,(INDEX(AccountCodes[ACCOUNT NAME],MATCH(E179,AccountCodes[NGAS CODE],0))))</f>
        <v>Fuel, Oil and Lubricants Expenses</v>
      </c>
      <c r="E179" s="309" t="s">
        <v>229</v>
      </c>
      <c r="F179" s="501">
        <v>108375.75</v>
      </c>
    </row>
    <row r="180" spans="1:6" x14ac:dyDescent="0.25">
      <c r="A180" s="308">
        <v>43220</v>
      </c>
      <c r="B180" s="309" t="s">
        <v>494</v>
      </c>
      <c r="C180" s="309" t="s">
        <v>494</v>
      </c>
      <c r="D180" s="136" t="str">
        <f t="array" ref="D180">IF(E180=0,0,(INDEX(AccountCodes[ACCOUNT NAME],MATCH(E180,AccountCodes[NGAS CODE],0))))</f>
        <v>Fuel, Oil and Lubricants Expenses</v>
      </c>
      <c r="E180" s="309" t="s">
        <v>229</v>
      </c>
      <c r="F180" s="501">
        <v>108375.75</v>
      </c>
    </row>
    <row r="181" spans="1:6" x14ac:dyDescent="0.25">
      <c r="A181" s="308">
        <v>43251</v>
      </c>
      <c r="B181" s="309" t="s">
        <v>494</v>
      </c>
      <c r="C181" s="309" t="s">
        <v>494</v>
      </c>
      <c r="D181" s="136" t="str">
        <f t="array" ref="D181">IF(E181=0,0,(INDEX(AccountCodes[ACCOUNT NAME],MATCH(E181,AccountCodes[NGAS CODE],0))))</f>
        <v>Fuel, Oil and Lubricants Expenses</v>
      </c>
      <c r="E181" s="309" t="s">
        <v>229</v>
      </c>
      <c r="F181" s="501">
        <v>108375.75</v>
      </c>
    </row>
    <row r="182" spans="1:6" x14ac:dyDescent="0.25">
      <c r="A182" s="308">
        <v>43281</v>
      </c>
      <c r="B182" s="309" t="s">
        <v>494</v>
      </c>
      <c r="C182" s="309" t="s">
        <v>494</v>
      </c>
      <c r="D182" s="136" t="str">
        <f t="array" ref="D182">IF(E182=0,0,(INDEX(AccountCodes[ACCOUNT NAME],MATCH(E182,AccountCodes[NGAS CODE],0))))</f>
        <v>Fuel, Oil and Lubricants Expenses</v>
      </c>
      <c r="E182" s="309" t="s">
        <v>229</v>
      </c>
      <c r="F182" s="501">
        <v>108375.75</v>
      </c>
    </row>
    <row r="183" spans="1:6" x14ac:dyDescent="0.25">
      <c r="A183" s="308">
        <v>43312</v>
      </c>
      <c r="B183" s="309" t="s">
        <v>494</v>
      </c>
      <c r="C183" s="309" t="s">
        <v>494</v>
      </c>
      <c r="D183" s="136" t="str">
        <f t="array" ref="D183">IF(E183=0,0,(INDEX(AccountCodes[ACCOUNT NAME],MATCH(E183,AccountCodes[NGAS CODE],0))))</f>
        <v>Fuel, Oil and Lubricants Expenses</v>
      </c>
      <c r="E183" s="309" t="s">
        <v>229</v>
      </c>
      <c r="F183" s="501">
        <v>108375.75</v>
      </c>
    </row>
    <row r="184" spans="1:6" x14ac:dyDescent="0.25">
      <c r="A184" s="308">
        <v>43343</v>
      </c>
      <c r="B184" s="309" t="s">
        <v>494</v>
      </c>
      <c r="C184" s="309" t="s">
        <v>494</v>
      </c>
      <c r="D184" s="136" t="str">
        <f t="array" ref="D184">IF(E184=0,0,(INDEX(AccountCodes[ACCOUNT NAME],MATCH(E184,AccountCodes[NGAS CODE],0))))</f>
        <v>Fuel, Oil and Lubricants Expenses</v>
      </c>
      <c r="E184" s="309" t="s">
        <v>229</v>
      </c>
      <c r="F184" s="501">
        <v>108375.75</v>
      </c>
    </row>
    <row r="185" spans="1:6" x14ac:dyDescent="0.25">
      <c r="A185" s="308">
        <v>43373</v>
      </c>
      <c r="B185" s="309" t="s">
        <v>494</v>
      </c>
      <c r="C185" s="309" t="s">
        <v>494</v>
      </c>
      <c r="D185" s="136" t="str">
        <f t="array" ref="D185">IF(E185=0,0,(INDEX(AccountCodes[ACCOUNT NAME],MATCH(E185,AccountCodes[NGAS CODE],0))))</f>
        <v>Fuel, Oil and Lubricants Expenses</v>
      </c>
      <c r="E185" s="309" t="s">
        <v>229</v>
      </c>
      <c r="F185" s="501">
        <v>108375.75</v>
      </c>
    </row>
    <row r="186" spans="1:6" x14ac:dyDescent="0.25">
      <c r="A186" s="308">
        <v>43404</v>
      </c>
      <c r="B186" s="309" t="s">
        <v>494</v>
      </c>
      <c r="C186" s="309" t="s">
        <v>494</v>
      </c>
      <c r="D186" s="136" t="str">
        <f t="array" ref="D186">IF(E186=0,0,(INDEX(AccountCodes[ACCOUNT NAME],MATCH(E186,AccountCodes[NGAS CODE],0))))</f>
        <v>Fuel, Oil and Lubricants Expenses</v>
      </c>
      <c r="E186" s="309" t="s">
        <v>229</v>
      </c>
      <c r="F186" s="501">
        <v>108375.75</v>
      </c>
    </row>
    <row r="187" spans="1:6" x14ac:dyDescent="0.25">
      <c r="A187" s="308">
        <v>43434</v>
      </c>
      <c r="B187" s="309" t="s">
        <v>494</v>
      </c>
      <c r="C187" s="309" t="s">
        <v>494</v>
      </c>
      <c r="D187" s="136" t="str">
        <f t="array" ref="D187">IF(E187=0,0,(INDEX(AccountCodes[ACCOUNT NAME],MATCH(E187,AccountCodes[NGAS CODE],0))))</f>
        <v>Fuel, Oil and Lubricants Expenses</v>
      </c>
      <c r="E187" s="309" t="s">
        <v>229</v>
      </c>
      <c r="F187" s="501">
        <v>108375.75</v>
      </c>
    </row>
    <row r="188" spans="1:6" x14ac:dyDescent="0.25">
      <c r="A188" s="308">
        <v>43465</v>
      </c>
      <c r="B188" s="309" t="s">
        <v>494</v>
      </c>
      <c r="C188" s="309" t="s">
        <v>494</v>
      </c>
      <c r="D188" s="136" t="str">
        <f t="array" ref="D188">IF(E188=0,0,(INDEX(AccountCodes[ACCOUNT NAME],MATCH(E188,AccountCodes[NGAS CODE],0))))</f>
        <v>Fuel, Oil and Lubricants Expenses</v>
      </c>
      <c r="E188" s="309" t="s">
        <v>229</v>
      </c>
      <c r="F188" s="501">
        <v>108375.75</v>
      </c>
    </row>
    <row r="189" spans="1:6" x14ac:dyDescent="0.25">
      <c r="A189" s="308">
        <v>43190</v>
      </c>
      <c r="B189" s="309" t="s">
        <v>494</v>
      </c>
      <c r="C189" s="309" t="s">
        <v>494</v>
      </c>
      <c r="D189" s="136" t="str">
        <f t="array" ref="D189">IF(E189=0,0,(INDEX(AccountCodes[ACCOUNT NAME],MATCH(E189,AccountCodes[NGAS CODE],0))))</f>
        <v>Other Supplies and Materials Expenses</v>
      </c>
      <c r="E189" s="309" t="s">
        <v>231</v>
      </c>
      <c r="F189" s="501">
        <v>40000</v>
      </c>
    </row>
    <row r="190" spans="1:6" x14ac:dyDescent="0.25">
      <c r="A190" s="308">
        <v>43281</v>
      </c>
      <c r="B190" s="309" t="s">
        <v>494</v>
      </c>
      <c r="C190" s="309" t="s">
        <v>494</v>
      </c>
      <c r="D190" s="136" t="str">
        <f t="array" ref="D190">IF(E190=0,0,(INDEX(AccountCodes[ACCOUNT NAME],MATCH(E190,AccountCodes[NGAS CODE],0))))</f>
        <v>Other Supplies and Materials Expenses</v>
      </c>
      <c r="E190" s="309" t="s">
        <v>231</v>
      </c>
      <c r="F190" s="501">
        <v>40000</v>
      </c>
    </row>
    <row r="191" spans="1:6" x14ac:dyDescent="0.25">
      <c r="A191" s="308">
        <v>43373</v>
      </c>
      <c r="B191" s="309" t="s">
        <v>494</v>
      </c>
      <c r="C191" s="309" t="s">
        <v>494</v>
      </c>
      <c r="D191" s="136" t="str">
        <f t="array" ref="D191">IF(E191=0,0,(INDEX(AccountCodes[ACCOUNT NAME],MATCH(E191,AccountCodes[NGAS CODE],0))))</f>
        <v>Other Supplies and Materials Expenses</v>
      </c>
      <c r="E191" s="309" t="s">
        <v>231</v>
      </c>
      <c r="F191" s="501">
        <v>40000</v>
      </c>
    </row>
    <row r="192" spans="1:6" x14ac:dyDescent="0.25">
      <c r="A192" s="308">
        <v>43465</v>
      </c>
      <c r="B192" s="309" t="s">
        <v>494</v>
      </c>
      <c r="C192" s="309" t="s">
        <v>494</v>
      </c>
      <c r="D192" s="136" t="str">
        <f t="array" ref="D192">IF(E192=0,0,(INDEX(AccountCodes[ACCOUNT NAME],MATCH(E192,AccountCodes[NGAS CODE],0))))</f>
        <v>Other Supplies and Materials Expenses</v>
      </c>
      <c r="E192" s="309" t="s">
        <v>231</v>
      </c>
      <c r="F192" s="501">
        <v>42725</v>
      </c>
    </row>
    <row r="193" spans="1:6" x14ac:dyDescent="0.25">
      <c r="A193" s="308">
        <v>43131</v>
      </c>
      <c r="B193" s="309" t="s">
        <v>494</v>
      </c>
      <c r="C193" s="309" t="s">
        <v>494</v>
      </c>
      <c r="D193" s="136" t="str">
        <f t="array" ref="D193">IF(E193=0,0,(INDEX(AccountCodes[ACCOUNT NAME],MATCH(E193,AccountCodes[NGAS CODE],0))))</f>
        <v>Water Expenses</v>
      </c>
      <c r="E193" s="309" t="s">
        <v>232</v>
      </c>
      <c r="F193" s="501">
        <v>4889</v>
      </c>
    </row>
    <row r="194" spans="1:6" x14ac:dyDescent="0.25">
      <c r="A194" s="308">
        <v>43159</v>
      </c>
      <c r="B194" s="309" t="s">
        <v>494</v>
      </c>
      <c r="C194" s="309" t="s">
        <v>494</v>
      </c>
      <c r="D194" s="136" t="str">
        <f t="array" ref="D194">IF(E194=0,0,(INDEX(AccountCodes[ACCOUNT NAME],MATCH(E194,AccountCodes[NGAS CODE],0))))</f>
        <v>Water Expenses</v>
      </c>
      <c r="E194" s="309" t="s">
        <v>232</v>
      </c>
      <c r="F194" s="501">
        <v>4889</v>
      </c>
    </row>
    <row r="195" spans="1:6" x14ac:dyDescent="0.25">
      <c r="A195" s="308">
        <v>43190</v>
      </c>
      <c r="B195" s="309" t="s">
        <v>494</v>
      </c>
      <c r="C195" s="309" t="s">
        <v>494</v>
      </c>
      <c r="D195" s="136" t="str">
        <f t="array" ref="D195">IF(E195=0,0,(INDEX(AccountCodes[ACCOUNT NAME],MATCH(E195,AccountCodes[NGAS CODE],0))))</f>
        <v>Water Expenses</v>
      </c>
      <c r="E195" s="309" t="s">
        <v>232</v>
      </c>
      <c r="F195" s="501">
        <v>4889</v>
      </c>
    </row>
    <row r="196" spans="1:6" x14ac:dyDescent="0.25">
      <c r="A196" s="308">
        <v>43220</v>
      </c>
      <c r="B196" s="309" t="s">
        <v>494</v>
      </c>
      <c r="C196" s="309" t="s">
        <v>494</v>
      </c>
      <c r="D196" s="136" t="str">
        <f t="array" ref="D196">IF(E196=0,0,(INDEX(AccountCodes[ACCOUNT NAME],MATCH(E196,AccountCodes[NGAS CODE],0))))</f>
        <v>Water Expenses</v>
      </c>
      <c r="E196" s="309" t="s">
        <v>232</v>
      </c>
      <c r="F196" s="501">
        <v>4889</v>
      </c>
    </row>
    <row r="197" spans="1:6" x14ac:dyDescent="0.25">
      <c r="A197" s="308">
        <v>43251</v>
      </c>
      <c r="B197" s="309" t="s">
        <v>494</v>
      </c>
      <c r="C197" s="309" t="s">
        <v>494</v>
      </c>
      <c r="D197" s="136" t="str">
        <f t="array" ref="D197">IF(E197=0,0,(INDEX(AccountCodes[ACCOUNT NAME],MATCH(E197,AccountCodes[NGAS CODE],0))))</f>
        <v>Water Expenses</v>
      </c>
      <c r="E197" s="309" t="s">
        <v>232</v>
      </c>
      <c r="F197" s="501">
        <v>4889</v>
      </c>
    </row>
    <row r="198" spans="1:6" x14ac:dyDescent="0.25">
      <c r="A198" s="308">
        <v>43281</v>
      </c>
      <c r="B198" s="309" t="s">
        <v>494</v>
      </c>
      <c r="C198" s="309" t="s">
        <v>494</v>
      </c>
      <c r="D198" s="136" t="str">
        <f t="array" ref="D198">IF(E198=0,0,(INDEX(AccountCodes[ACCOUNT NAME],MATCH(E198,AccountCodes[NGAS CODE],0))))</f>
        <v>Water Expenses</v>
      </c>
      <c r="E198" s="309" t="s">
        <v>232</v>
      </c>
      <c r="F198" s="501">
        <v>4889</v>
      </c>
    </row>
    <row r="199" spans="1:6" x14ac:dyDescent="0.25">
      <c r="A199" s="308">
        <v>43312</v>
      </c>
      <c r="B199" s="309" t="s">
        <v>494</v>
      </c>
      <c r="C199" s="309" t="s">
        <v>494</v>
      </c>
      <c r="D199" s="136" t="str">
        <f t="array" ref="D199">IF(E199=0,0,(INDEX(AccountCodes[ACCOUNT NAME],MATCH(E199,AccountCodes[NGAS CODE],0))))</f>
        <v>Water Expenses</v>
      </c>
      <c r="E199" s="309" t="s">
        <v>232</v>
      </c>
      <c r="F199" s="501">
        <v>4889</v>
      </c>
    </row>
    <row r="200" spans="1:6" x14ac:dyDescent="0.25">
      <c r="A200" s="308">
        <v>43343</v>
      </c>
      <c r="B200" s="309" t="s">
        <v>494</v>
      </c>
      <c r="C200" s="309" t="s">
        <v>494</v>
      </c>
      <c r="D200" s="136" t="str">
        <f t="array" ref="D200">IF(E200=0,0,(INDEX(AccountCodes[ACCOUNT NAME],MATCH(E200,AccountCodes[NGAS CODE],0))))</f>
        <v>Water Expenses</v>
      </c>
      <c r="E200" s="309" t="s">
        <v>232</v>
      </c>
      <c r="F200" s="501">
        <v>4889</v>
      </c>
    </row>
    <row r="201" spans="1:6" x14ac:dyDescent="0.25">
      <c r="A201" s="308">
        <v>43373</v>
      </c>
      <c r="B201" s="309" t="s">
        <v>494</v>
      </c>
      <c r="C201" s="309" t="s">
        <v>494</v>
      </c>
      <c r="D201" s="136" t="str">
        <f t="array" ref="D201">IF(E201=0,0,(INDEX(AccountCodes[ACCOUNT NAME],MATCH(E201,AccountCodes[NGAS CODE],0))))</f>
        <v>Water Expenses</v>
      </c>
      <c r="E201" s="309" t="s">
        <v>232</v>
      </c>
      <c r="F201" s="501">
        <v>4889</v>
      </c>
    </row>
    <row r="202" spans="1:6" x14ac:dyDescent="0.25">
      <c r="A202" s="308">
        <v>43404</v>
      </c>
      <c r="B202" s="309" t="s">
        <v>494</v>
      </c>
      <c r="C202" s="309" t="s">
        <v>494</v>
      </c>
      <c r="D202" s="136" t="str">
        <f t="array" ref="D202">IF(E202=0,0,(INDEX(AccountCodes[ACCOUNT NAME],MATCH(E202,AccountCodes[NGAS CODE],0))))</f>
        <v>Water Expenses</v>
      </c>
      <c r="E202" s="309" t="s">
        <v>232</v>
      </c>
      <c r="F202" s="501">
        <v>4889</v>
      </c>
    </row>
    <row r="203" spans="1:6" x14ac:dyDescent="0.25">
      <c r="A203" s="308">
        <v>43434</v>
      </c>
      <c r="B203" s="309" t="s">
        <v>494</v>
      </c>
      <c r="C203" s="309" t="s">
        <v>494</v>
      </c>
      <c r="D203" s="136" t="str">
        <f t="array" ref="D203">IF(E203=0,0,(INDEX(AccountCodes[ACCOUNT NAME],MATCH(E203,AccountCodes[NGAS CODE],0))))</f>
        <v>Water Expenses</v>
      </c>
      <c r="E203" s="309" t="s">
        <v>232</v>
      </c>
      <c r="F203" s="501">
        <v>4889</v>
      </c>
    </row>
    <row r="204" spans="1:6" x14ac:dyDescent="0.25">
      <c r="A204" s="308">
        <v>43465</v>
      </c>
      <c r="B204" s="309" t="s">
        <v>494</v>
      </c>
      <c r="C204" s="309" t="s">
        <v>494</v>
      </c>
      <c r="D204" s="136" t="str">
        <f t="array" ref="D204">IF(E204=0,0,(INDEX(AccountCodes[ACCOUNT NAME],MATCH(E204,AccountCodes[NGAS CODE],0))))</f>
        <v>Water Expenses</v>
      </c>
      <c r="E204" s="309" t="s">
        <v>232</v>
      </c>
      <c r="F204" s="501">
        <v>4889</v>
      </c>
    </row>
    <row r="205" spans="1:6" x14ac:dyDescent="0.25">
      <c r="A205" s="308">
        <v>43131</v>
      </c>
      <c r="B205" s="309" t="s">
        <v>494</v>
      </c>
      <c r="C205" s="309" t="s">
        <v>494</v>
      </c>
      <c r="D205" s="136" t="str">
        <f t="array" ref="D205">IF(E205=0,0,(INDEX(AccountCodes[ACCOUNT NAME],MATCH(E205,AccountCodes[NGAS CODE],0))))</f>
        <v>Electricity Expenses</v>
      </c>
      <c r="E205" s="309" t="s">
        <v>233</v>
      </c>
      <c r="F205" s="501">
        <v>83333.33</v>
      </c>
    </row>
    <row r="206" spans="1:6" x14ac:dyDescent="0.25">
      <c r="A206" s="308">
        <v>43159</v>
      </c>
      <c r="B206" s="309" t="s">
        <v>494</v>
      </c>
      <c r="C206" s="309" t="s">
        <v>494</v>
      </c>
      <c r="D206" s="136" t="str">
        <f t="array" ref="D206">IF(E206=0,0,(INDEX(AccountCodes[ACCOUNT NAME],MATCH(E206,AccountCodes[NGAS CODE],0))))</f>
        <v>Electricity Expenses</v>
      </c>
      <c r="E206" s="309" t="s">
        <v>233</v>
      </c>
      <c r="F206" s="501">
        <v>83333.33</v>
      </c>
    </row>
    <row r="207" spans="1:6" x14ac:dyDescent="0.25">
      <c r="A207" s="308">
        <v>43190</v>
      </c>
      <c r="B207" s="309" t="s">
        <v>494</v>
      </c>
      <c r="C207" s="309" t="s">
        <v>494</v>
      </c>
      <c r="D207" s="136" t="str">
        <f t="array" ref="D207">IF(E207=0,0,(INDEX(AccountCodes[ACCOUNT NAME],MATCH(E207,AccountCodes[NGAS CODE],0))))</f>
        <v>Electricity Expenses</v>
      </c>
      <c r="E207" s="309" t="s">
        <v>233</v>
      </c>
      <c r="F207" s="501">
        <v>83333.33</v>
      </c>
    </row>
    <row r="208" spans="1:6" x14ac:dyDescent="0.25">
      <c r="A208" s="308">
        <v>43220</v>
      </c>
      <c r="B208" s="309" t="s">
        <v>494</v>
      </c>
      <c r="C208" s="309" t="s">
        <v>494</v>
      </c>
      <c r="D208" s="136" t="str">
        <f t="array" ref="D208">IF(E208=0,0,(INDEX(AccountCodes[ACCOUNT NAME],MATCH(E208,AccountCodes[NGAS CODE],0))))</f>
        <v>Electricity Expenses</v>
      </c>
      <c r="E208" s="309" t="s">
        <v>233</v>
      </c>
      <c r="F208" s="501">
        <v>83333.33</v>
      </c>
    </row>
    <row r="209" spans="1:6" x14ac:dyDescent="0.25">
      <c r="A209" s="308">
        <v>43251</v>
      </c>
      <c r="B209" s="309" t="s">
        <v>494</v>
      </c>
      <c r="C209" s="309" t="s">
        <v>494</v>
      </c>
      <c r="D209" s="136" t="str">
        <f t="array" ref="D209">IF(E209=0,0,(INDEX(AccountCodes[ACCOUNT NAME],MATCH(E209,AccountCodes[NGAS CODE],0))))</f>
        <v>Electricity Expenses</v>
      </c>
      <c r="E209" s="309" t="s">
        <v>233</v>
      </c>
      <c r="F209" s="501">
        <v>83333.33</v>
      </c>
    </row>
    <row r="210" spans="1:6" x14ac:dyDescent="0.25">
      <c r="A210" s="308">
        <v>43281</v>
      </c>
      <c r="B210" s="309" t="s">
        <v>494</v>
      </c>
      <c r="C210" s="309" t="s">
        <v>494</v>
      </c>
      <c r="D210" s="136" t="str">
        <f t="array" ref="D210">IF(E210=0,0,(INDEX(AccountCodes[ACCOUNT NAME],MATCH(E210,AccountCodes[NGAS CODE],0))))</f>
        <v>Electricity Expenses</v>
      </c>
      <c r="E210" s="309" t="s">
        <v>233</v>
      </c>
      <c r="F210" s="501">
        <v>83333.33</v>
      </c>
    </row>
    <row r="211" spans="1:6" x14ac:dyDescent="0.25">
      <c r="A211" s="308">
        <v>43312</v>
      </c>
      <c r="B211" s="309" t="s">
        <v>494</v>
      </c>
      <c r="C211" s="309" t="s">
        <v>494</v>
      </c>
      <c r="D211" s="136" t="str">
        <f t="array" ref="D211">IF(E211=0,0,(INDEX(AccountCodes[ACCOUNT NAME],MATCH(E211,AccountCodes[NGAS CODE],0))))</f>
        <v>Electricity Expenses</v>
      </c>
      <c r="E211" s="309" t="s">
        <v>233</v>
      </c>
      <c r="F211" s="501">
        <v>83333.33</v>
      </c>
    </row>
    <row r="212" spans="1:6" x14ac:dyDescent="0.25">
      <c r="A212" s="308">
        <v>43343</v>
      </c>
      <c r="B212" s="309" t="s">
        <v>494</v>
      </c>
      <c r="C212" s="309" t="s">
        <v>494</v>
      </c>
      <c r="D212" s="136" t="str">
        <f t="array" ref="D212">IF(E212=0,0,(INDEX(AccountCodes[ACCOUNT NAME],MATCH(E212,AccountCodes[NGAS CODE],0))))</f>
        <v>Electricity Expenses</v>
      </c>
      <c r="E212" s="309" t="s">
        <v>233</v>
      </c>
      <c r="F212" s="501">
        <v>83333.33</v>
      </c>
    </row>
    <row r="213" spans="1:6" x14ac:dyDescent="0.25">
      <c r="A213" s="308">
        <v>43373</v>
      </c>
      <c r="B213" s="309" t="s">
        <v>494</v>
      </c>
      <c r="C213" s="309" t="s">
        <v>494</v>
      </c>
      <c r="D213" s="136" t="str">
        <f t="array" ref="D213">IF(E213=0,0,(INDEX(AccountCodes[ACCOUNT NAME],MATCH(E213,AccountCodes[NGAS CODE],0))))</f>
        <v>Electricity Expenses</v>
      </c>
      <c r="E213" s="309" t="s">
        <v>233</v>
      </c>
      <c r="F213" s="501">
        <v>83333.33</v>
      </c>
    </row>
    <row r="214" spans="1:6" x14ac:dyDescent="0.25">
      <c r="A214" s="308">
        <v>43404</v>
      </c>
      <c r="B214" s="309" t="s">
        <v>494</v>
      </c>
      <c r="C214" s="309" t="s">
        <v>494</v>
      </c>
      <c r="D214" s="136" t="str">
        <f t="array" ref="D214">IF(E214=0,0,(INDEX(AccountCodes[ACCOUNT NAME],MATCH(E214,AccountCodes[NGAS CODE],0))))</f>
        <v>Electricity Expenses</v>
      </c>
      <c r="E214" s="309" t="s">
        <v>233</v>
      </c>
      <c r="F214" s="501">
        <v>83333.33</v>
      </c>
    </row>
    <row r="215" spans="1:6" x14ac:dyDescent="0.25">
      <c r="A215" s="308">
        <v>43434</v>
      </c>
      <c r="B215" s="309" t="s">
        <v>494</v>
      </c>
      <c r="C215" s="309" t="s">
        <v>494</v>
      </c>
      <c r="D215" s="136" t="str">
        <f t="array" ref="D215">IF(E215=0,0,(INDEX(AccountCodes[ACCOUNT NAME],MATCH(E215,AccountCodes[NGAS CODE],0))))</f>
        <v>Electricity Expenses</v>
      </c>
      <c r="E215" s="309" t="s">
        <v>233</v>
      </c>
      <c r="F215" s="501">
        <v>83333.33</v>
      </c>
    </row>
    <row r="216" spans="1:6" x14ac:dyDescent="0.25">
      <c r="A216" s="308">
        <v>43465</v>
      </c>
      <c r="B216" s="309" t="s">
        <v>494</v>
      </c>
      <c r="C216" s="309" t="s">
        <v>494</v>
      </c>
      <c r="D216" s="136" t="str">
        <f t="array" ref="D216">IF(E216=0,0,(INDEX(AccountCodes[ACCOUNT NAME],MATCH(E216,AccountCodes[NGAS CODE],0))))</f>
        <v>Electricity Expenses</v>
      </c>
      <c r="E216" s="309" t="s">
        <v>233</v>
      </c>
      <c r="F216" s="501">
        <v>83333.33</v>
      </c>
    </row>
    <row r="217" spans="1:6" x14ac:dyDescent="0.25">
      <c r="A217" s="308">
        <v>43131</v>
      </c>
      <c r="B217" s="309" t="s">
        <v>494</v>
      </c>
      <c r="C217" s="309" t="s">
        <v>494</v>
      </c>
      <c r="D217" s="136" t="str">
        <f t="array" ref="D217">IF(E217=0,0,(INDEX(AccountCodes[ACCOUNT NAME],MATCH(E217,AccountCodes[NGAS CODE],0))))</f>
        <v>Telephone Expenses - Landline</v>
      </c>
      <c r="E217" s="309" t="s">
        <v>235</v>
      </c>
      <c r="F217" s="501">
        <v>22684.5</v>
      </c>
    </row>
    <row r="218" spans="1:6" x14ac:dyDescent="0.25">
      <c r="A218" s="308">
        <v>43159</v>
      </c>
      <c r="B218" s="309" t="s">
        <v>494</v>
      </c>
      <c r="C218" s="309" t="s">
        <v>494</v>
      </c>
      <c r="D218" s="136" t="str">
        <f t="array" ref="D218">IF(E218=0,0,(INDEX(AccountCodes[ACCOUNT NAME],MATCH(E218,AccountCodes[NGAS CODE],0))))</f>
        <v>Telephone Expenses - Landline</v>
      </c>
      <c r="E218" s="309" t="s">
        <v>235</v>
      </c>
      <c r="F218" s="501">
        <v>22684.5</v>
      </c>
    </row>
    <row r="219" spans="1:6" x14ac:dyDescent="0.25">
      <c r="A219" s="308">
        <v>43190</v>
      </c>
      <c r="B219" s="309" t="s">
        <v>494</v>
      </c>
      <c r="C219" s="309" t="s">
        <v>494</v>
      </c>
      <c r="D219" s="136" t="str">
        <f t="array" ref="D219">IF(E219=0,0,(INDEX(AccountCodes[ACCOUNT NAME],MATCH(E219,AccountCodes[NGAS CODE],0))))</f>
        <v>Telephone Expenses - Landline</v>
      </c>
      <c r="E219" s="309" t="s">
        <v>235</v>
      </c>
      <c r="F219" s="501">
        <v>22684.5</v>
      </c>
    </row>
    <row r="220" spans="1:6" x14ac:dyDescent="0.25">
      <c r="A220" s="308">
        <v>43220</v>
      </c>
      <c r="B220" s="309" t="s">
        <v>494</v>
      </c>
      <c r="C220" s="309" t="s">
        <v>494</v>
      </c>
      <c r="D220" s="136" t="str">
        <f t="array" ref="D220">IF(E220=0,0,(INDEX(AccountCodes[ACCOUNT NAME],MATCH(E220,AccountCodes[NGAS CODE],0))))</f>
        <v>Telephone Expenses - Landline</v>
      </c>
      <c r="E220" s="309" t="s">
        <v>235</v>
      </c>
      <c r="F220" s="501">
        <v>22684.5</v>
      </c>
    </row>
    <row r="221" spans="1:6" x14ac:dyDescent="0.25">
      <c r="A221" s="308">
        <v>43251</v>
      </c>
      <c r="B221" s="309" t="s">
        <v>494</v>
      </c>
      <c r="C221" s="309" t="s">
        <v>494</v>
      </c>
      <c r="D221" s="136" t="str">
        <f t="array" ref="D221">IF(E221=0,0,(INDEX(AccountCodes[ACCOUNT NAME],MATCH(E221,AccountCodes[NGAS CODE],0))))</f>
        <v>Telephone Expenses - Landline</v>
      </c>
      <c r="E221" s="309" t="s">
        <v>235</v>
      </c>
      <c r="F221" s="501">
        <v>22684.5</v>
      </c>
    </row>
    <row r="222" spans="1:6" x14ac:dyDescent="0.25">
      <c r="A222" s="308">
        <v>43281</v>
      </c>
      <c r="B222" s="309" t="s">
        <v>494</v>
      </c>
      <c r="C222" s="309" t="s">
        <v>494</v>
      </c>
      <c r="D222" s="136" t="str">
        <f t="array" ref="D222">IF(E222=0,0,(INDEX(AccountCodes[ACCOUNT NAME],MATCH(E222,AccountCodes[NGAS CODE],0))))</f>
        <v>Telephone Expenses - Landline</v>
      </c>
      <c r="E222" s="309" t="s">
        <v>235</v>
      </c>
      <c r="F222" s="501">
        <v>22684.5</v>
      </c>
    </row>
    <row r="223" spans="1:6" x14ac:dyDescent="0.25">
      <c r="A223" s="308">
        <v>43312</v>
      </c>
      <c r="B223" s="309" t="s">
        <v>494</v>
      </c>
      <c r="C223" s="309" t="s">
        <v>494</v>
      </c>
      <c r="D223" s="136" t="str">
        <f t="array" ref="D223">IF(E223=0,0,(INDEX(AccountCodes[ACCOUNT NAME],MATCH(E223,AccountCodes[NGAS CODE],0))))</f>
        <v>Telephone Expenses - Landline</v>
      </c>
      <c r="E223" s="309" t="s">
        <v>235</v>
      </c>
      <c r="F223" s="501">
        <v>22684.5</v>
      </c>
    </row>
    <row r="224" spans="1:6" x14ac:dyDescent="0.25">
      <c r="A224" s="308">
        <v>43343</v>
      </c>
      <c r="B224" s="309" t="s">
        <v>494</v>
      </c>
      <c r="C224" s="309" t="s">
        <v>494</v>
      </c>
      <c r="D224" s="136" t="str">
        <f t="array" ref="D224">IF(E224=0,0,(INDEX(AccountCodes[ACCOUNT NAME],MATCH(E224,AccountCodes[NGAS CODE],0))))</f>
        <v>Telephone Expenses - Landline</v>
      </c>
      <c r="E224" s="309" t="s">
        <v>235</v>
      </c>
      <c r="F224" s="501">
        <v>22684.5</v>
      </c>
    </row>
    <row r="225" spans="1:6" x14ac:dyDescent="0.25">
      <c r="A225" s="308">
        <v>43373</v>
      </c>
      <c r="B225" s="309" t="s">
        <v>494</v>
      </c>
      <c r="C225" s="309" t="s">
        <v>494</v>
      </c>
      <c r="D225" s="136" t="str">
        <f t="array" ref="D225">IF(E225=0,0,(INDEX(AccountCodes[ACCOUNT NAME],MATCH(E225,AccountCodes[NGAS CODE],0))))</f>
        <v>Telephone Expenses - Landline</v>
      </c>
      <c r="E225" s="309" t="s">
        <v>235</v>
      </c>
      <c r="F225" s="501">
        <v>22684.5</v>
      </c>
    </row>
    <row r="226" spans="1:6" x14ac:dyDescent="0.25">
      <c r="A226" s="308">
        <v>43404</v>
      </c>
      <c r="B226" s="309" t="s">
        <v>494</v>
      </c>
      <c r="C226" s="309" t="s">
        <v>494</v>
      </c>
      <c r="D226" s="136" t="str">
        <f t="array" ref="D226">IF(E226=0,0,(INDEX(AccountCodes[ACCOUNT NAME],MATCH(E226,AccountCodes[NGAS CODE],0))))</f>
        <v>Telephone Expenses - Landline</v>
      </c>
      <c r="E226" s="309" t="s">
        <v>235</v>
      </c>
      <c r="F226" s="501">
        <v>22684.5</v>
      </c>
    </row>
    <row r="227" spans="1:6" x14ac:dyDescent="0.25">
      <c r="A227" s="308">
        <v>43434</v>
      </c>
      <c r="B227" s="309" t="s">
        <v>494</v>
      </c>
      <c r="C227" s="309" t="s">
        <v>494</v>
      </c>
      <c r="D227" s="136" t="str">
        <f t="array" ref="D227">IF(E227=0,0,(INDEX(AccountCodes[ACCOUNT NAME],MATCH(E227,AccountCodes[NGAS CODE],0))))</f>
        <v>Telephone Expenses - Landline</v>
      </c>
      <c r="E227" s="309" t="s">
        <v>235</v>
      </c>
      <c r="F227" s="501">
        <v>22684.5</v>
      </c>
    </row>
    <row r="228" spans="1:6" x14ac:dyDescent="0.25">
      <c r="A228" s="308">
        <v>43465</v>
      </c>
      <c r="B228" s="309" t="s">
        <v>494</v>
      </c>
      <c r="C228" s="309" t="s">
        <v>494</v>
      </c>
      <c r="D228" s="136" t="str">
        <f t="array" ref="D228">IF(E228=0,0,(INDEX(AccountCodes[ACCOUNT NAME],MATCH(E228,AccountCodes[NGAS CODE],0))))</f>
        <v>Telephone Expenses - Landline</v>
      </c>
      <c r="E228" s="309" t="s">
        <v>235</v>
      </c>
      <c r="F228" s="501">
        <v>22684.5</v>
      </c>
    </row>
    <row r="229" spans="1:6" x14ac:dyDescent="0.25">
      <c r="A229" s="308">
        <v>43190</v>
      </c>
      <c r="B229" s="309" t="s">
        <v>494</v>
      </c>
      <c r="C229" s="309" t="s">
        <v>494</v>
      </c>
      <c r="D229" s="136" t="str">
        <f t="array" ref="D229">IF(E229=0,0,(INDEX(AccountCodes[ACCOUNT NAME],MATCH(E229,AccountCodes[NGAS CODE],0))))</f>
        <v>Membership Dues and Contributions to Organizations</v>
      </c>
      <c r="E229" s="309" t="s">
        <v>239</v>
      </c>
      <c r="F229" s="501">
        <v>10000</v>
      </c>
    </row>
    <row r="230" spans="1:6" x14ac:dyDescent="0.25">
      <c r="A230" s="308">
        <v>43281</v>
      </c>
      <c r="B230" s="309" t="s">
        <v>494</v>
      </c>
      <c r="C230" s="309" t="s">
        <v>494</v>
      </c>
      <c r="D230" s="136" t="str">
        <f t="array" ref="D230">IF(E230=0,0,(INDEX(AccountCodes[ACCOUNT NAME],MATCH(E230,AccountCodes[NGAS CODE],0))))</f>
        <v>Membership Dues and Contributions to Organizations</v>
      </c>
      <c r="E230" s="309" t="s">
        <v>239</v>
      </c>
      <c r="F230" s="501">
        <v>10000</v>
      </c>
    </row>
    <row r="231" spans="1:6" x14ac:dyDescent="0.25">
      <c r="A231" s="308">
        <v>43373</v>
      </c>
      <c r="B231" s="309" t="s">
        <v>494</v>
      </c>
      <c r="C231" s="309" t="s">
        <v>494</v>
      </c>
      <c r="D231" s="136" t="str">
        <f t="array" ref="D231">IF(E231=0,0,(INDEX(AccountCodes[ACCOUNT NAME],MATCH(E231,AccountCodes[NGAS CODE],0))))</f>
        <v>Membership Dues and Contributions to Organizations</v>
      </c>
      <c r="E231" s="309" t="s">
        <v>239</v>
      </c>
      <c r="F231" s="501">
        <v>10000</v>
      </c>
    </row>
    <row r="232" spans="1:6" x14ac:dyDescent="0.25">
      <c r="A232" s="308">
        <v>43465</v>
      </c>
      <c r="B232" s="309" t="s">
        <v>494</v>
      </c>
      <c r="C232" s="309" t="s">
        <v>494</v>
      </c>
      <c r="D232" s="136" t="str">
        <f t="array" ref="D232">IF(E232=0,0,(INDEX(AccountCodes[ACCOUNT NAME],MATCH(E232,AccountCodes[NGAS CODE],0))))</f>
        <v>Membership Dues and Contributions to Organizations</v>
      </c>
      <c r="E232" s="309" t="s">
        <v>239</v>
      </c>
      <c r="F232" s="501">
        <v>10800</v>
      </c>
    </row>
    <row r="233" spans="1:6" x14ac:dyDescent="0.25">
      <c r="A233" s="308">
        <v>43131</v>
      </c>
      <c r="B233" s="309" t="s">
        <v>494</v>
      </c>
      <c r="C233" s="309" t="s">
        <v>494</v>
      </c>
      <c r="D233" s="136" t="str">
        <f t="array" ref="D233">IF(E233=0,0,(INDEX(AccountCodes[ACCOUNT NAME],MATCH(E233,AccountCodes[NGAS CODE],0))))</f>
        <v>Advertising Expenses</v>
      </c>
      <c r="E233" s="309" t="s">
        <v>240</v>
      </c>
      <c r="F233" s="501">
        <v>9724</v>
      </c>
    </row>
    <row r="234" spans="1:6" x14ac:dyDescent="0.25">
      <c r="A234" s="308">
        <v>43190</v>
      </c>
      <c r="B234" s="309" t="s">
        <v>494</v>
      </c>
      <c r="C234" s="309" t="s">
        <v>494</v>
      </c>
      <c r="D234" s="136" t="str">
        <f t="array" ref="D234">IF(E234=0,0,(INDEX(AccountCodes[ACCOUNT NAME],MATCH(E234,AccountCodes[NGAS CODE],0))))</f>
        <v>Advertising Expenses</v>
      </c>
      <c r="E234" s="309" t="s">
        <v>240</v>
      </c>
      <c r="F234" s="501">
        <v>9724</v>
      </c>
    </row>
    <row r="235" spans="1:6" x14ac:dyDescent="0.25">
      <c r="A235" s="308">
        <v>43251</v>
      </c>
      <c r="B235" s="309" t="s">
        <v>494</v>
      </c>
      <c r="C235" s="309" t="s">
        <v>494</v>
      </c>
      <c r="D235" s="136" t="str">
        <f t="array" ref="D235">IF(E235=0,0,(INDEX(AccountCodes[ACCOUNT NAME],MATCH(E235,AccountCodes[NGAS CODE],0))))</f>
        <v>Advertising Expenses</v>
      </c>
      <c r="E235" s="309" t="s">
        <v>240</v>
      </c>
      <c r="F235" s="501">
        <v>9724</v>
      </c>
    </row>
    <row r="236" spans="1:6" x14ac:dyDescent="0.25">
      <c r="A236" s="308">
        <v>43312</v>
      </c>
      <c r="B236" s="309" t="s">
        <v>494</v>
      </c>
      <c r="C236" s="309" t="s">
        <v>494</v>
      </c>
      <c r="D236" s="136" t="str">
        <f t="array" ref="D236">IF(E236=0,0,(INDEX(AccountCodes[ACCOUNT NAME],MATCH(E236,AccountCodes[NGAS CODE],0))))</f>
        <v>Advertising Expenses</v>
      </c>
      <c r="E236" s="309" t="s">
        <v>240</v>
      </c>
      <c r="F236" s="501">
        <v>9724</v>
      </c>
    </row>
    <row r="237" spans="1:6" x14ac:dyDescent="0.25">
      <c r="A237" s="308">
        <v>43373</v>
      </c>
      <c r="B237" s="309" t="s">
        <v>494</v>
      </c>
      <c r="C237" s="309" t="s">
        <v>494</v>
      </c>
      <c r="D237" s="136" t="str">
        <f t="array" ref="D237">IF(E237=0,0,(INDEX(AccountCodes[ACCOUNT NAME],MATCH(E237,AccountCodes[NGAS CODE],0))))</f>
        <v>Advertising Expenses</v>
      </c>
      <c r="E237" s="309" t="s">
        <v>240</v>
      </c>
      <c r="F237" s="501">
        <v>9724</v>
      </c>
    </row>
    <row r="238" spans="1:6" x14ac:dyDescent="0.25">
      <c r="A238" s="308">
        <v>43434</v>
      </c>
      <c r="B238" s="309" t="s">
        <v>494</v>
      </c>
      <c r="C238" s="309" t="s">
        <v>494</v>
      </c>
      <c r="D238" s="136" t="str">
        <f t="array" ref="D238">IF(E238=0,0,(INDEX(AccountCodes[ACCOUNT NAME],MATCH(E238,AccountCodes[NGAS CODE],0))))</f>
        <v>Advertising Expenses</v>
      </c>
      <c r="E238" s="309" t="s">
        <v>240</v>
      </c>
      <c r="F238" s="501">
        <v>9724</v>
      </c>
    </row>
    <row r="239" spans="1:6" x14ac:dyDescent="0.25">
      <c r="A239" s="308">
        <v>43159</v>
      </c>
      <c r="B239" s="309" t="s">
        <v>494</v>
      </c>
      <c r="C239" s="309" t="s">
        <v>494</v>
      </c>
      <c r="D239" s="136" t="str">
        <f t="array" ref="D239">IF(E239=0,0,(INDEX(AccountCodes[ACCOUNT NAME],MATCH(E239,AccountCodes[NGAS CODE],0))))</f>
        <v>Printing and Publication Expenses</v>
      </c>
      <c r="E239" s="309" t="s">
        <v>241</v>
      </c>
      <c r="F239" s="501">
        <v>1000</v>
      </c>
    </row>
    <row r="240" spans="1:6" x14ac:dyDescent="0.25">
      <c r="A240" s="308">
        <v>43220</v>
      </c>
      <c r="B240" s="309" t="s">
        <v>494</v>
      </c>
      <c r="C240" s="309" t="s">
        <v>494</v>
      </c>
      <c r="D240" s="136" t="str">
        <f t="array" ref="D240">IF(E240=0,0,(INDEX(AccountCodes[ACCOUNT NAME],MATCH(E240,AccountCodes[NGAS CODE],0))))</f>
        <v>Printing and Publication Expenses</v>
      </c>
      <c r="E240" s="309" t="s">
        <v>241</v>
      </c>
      <c r="F240" s="501">
        <v>1000</v>
      </c>
    </row>
    <row r="241" spans="1:6" x14ac:dyDescent="0.25">
      <c r="A241" s="308">
        <v>43312</v>
      </c>
      <c r="B241" s="309" t="s">
        <v>494</v>
      </c>
      <c r="C241" s="309" t="s">
        <v>494</v>
      </c>
      <c r="D241" s="136" t="str">
        <f t="array" ref="D241">IF(E241=0,0,(INDEX(AccountCodes[ACCOUNT NAME],MATCH(E241,AccountCodes[NGAS CODE],0))))</f>
        <v>Printing and Publication Expenses</v>
      </c>
      <c r="E241" s="309" t="s">
        <v>241</v>
      </c>
      <c r="F241" s="501">
        <v>2000</v>
      </c>
    </row>
    <row r="242" spans="1:6" x14ac:dyDescent="0.25">
      <c r="A242" s="308">
        <v>43434</v>
      </c>
      <c r="B242" s="309" t="s">
        <v>494</v>
      </c>
      <c r="C242" s="309" t="s">
        <v>494</v>
      </c>
      <c r="D242" s="136" t="str">
        <f t="array" ref="D242">IF(E242=0,0,(INDEX(AccountCodes[ACCOUNT NAME],MATCH(E242,AccountCodes[NGAS CODE],0))))</f>
        <v>Printing and Publication Expenses</v>
      </c>
      <c r="E242" s="309" t="s">
        <v>241</v>
      </c>
      <c r="F242" s="501">
        <v>1141</v>
      </c>
    </row>
    <row r="243" spans="1:6" x14ac:dyDescent="0.25">
      <c r="A243" s="308">
        <v>43131</v>
      </c>
      <c r="B243" s="309" t="s">
        <v>494</v>
      </c>
      <c r="C243" s="309" t="s">
        <v>494</v>
      </c>
      <c r="D243" s="136" t="str">
        <f t="array" ref="D243">IF(E243=0,0,(INDEX(AccountCodes[ACCOUNT NAME],MATCH(E243,AccountCodes[NGAS CODE],0))))</f>
        <v>Representation Expenses</v>
      </c>
      <c r="E243" s="309" t="s">
        <v>243</v>
      </c>
      <c r="F243" s="501">
        <v>10200</v>
      </c>
    </row>
    <row r="244" spans="1:6" x14ac:dyDescent="0.25">
      <c r="A244" s="308">
        <v>43190</v>
      </c>
      <c r="B244" s="309" t="s">
        <v>494</v>
      </c>
      <c r="C244" s="309" t="s">
        <v>494</v>
      </c>
      <c r="D244" s="136" t="str">
        <f t="array" ref="D244">IF(E244=0,0,(INDEX(AccountCodes[ACCOUNT NAME],MATCH(E244,AccountCodes[NGAS CODE],0))))</f>
        <v>Representation Expenses</v>
      </c>
      <c r="E244" s="309" t="s">
        <v>243</v>
      </c>
      <c r="F244" s="501">
        <v>10200</v>
      </c>
    </row>
    <row r="245" spans="1:6" x14ac:dyDescent="0.25">
      <c r="A245" s="308">
        <v>43251</v>
      </c>
      <c r="B245" s="309" t="s">
        <v>494</v>
      </c>
      <c r="C245" s="309" t="s">
        <v>494</v>
      </c>
      <c r="D245" s="136" t="str">
        <f t="array" ref="D245">IF(E245=0,0,(INDEX(AccountCodes[ACCOUNT NAME],MATCH(E245,AccountCodes[NGAS CODE],0))))</f>
        <v>Representation Expenses</v>
      </c>
      <c r="E245" s="309" t="s">
        <v>243</v>
      </c>
      <c r="F245" s="501">
        <v>10200</v>
      </c>
    </row>
    <row r="246" spans="1:6" x14ac:dyDescent="0.25">
      <c r="A246" s="308">
        <v>43312</v>
      </c>
      <c r="B246" s="309" t="s">
        <v>494</v>
      </c>
      <c r="C246" s="309" t="s">
        <v>494</v>
      </c>
      <c r="D246" s="136" t="str">
        <f t="array" ref="D246">IF(E246=0,0,(INDEX(AccountCodes[ACCOUNT NAME],MATCH(E246,AccountCodes[NGAS CODE],0))))</f>
        <v>Representation Expenses</v>
      </c>
      <c r="E246" s="309" t="s">
        <v>243</v>
      </c>
      <c r="F246" s="501">
        <v>10200</v>
      </c>
    </row>
    <row r="247" spans="1:6" x14ac:dyDescent="0.25">
      <c r="A247" s="308">
        <v>43373</v>
      </c>
      <c r="B247" s="309" t="s">
        <v>494</v>
      </c>
      <c r="C247" s="309" t="s">
        <v>494</v>
      </c>
      <c r="D247" s="136" t="str">
        <f t="array" ref="D247">IF(E247=0,0,(INDEX(AccountCodes[ACCOUNT NAME],MATCH(E247,AccountCodes[NGAS CODE],0))))</f>
        <v>Representation Expenses</v>
      </c>
      <c r="E247" s="309" t="s">
        <v>243</v>
      </c>
      <c r="F247" s="501">
        <v>10200</v>
      </c>
    </row>
    <row r="248" spans="1:6" x14ac:dyDescent="0.25">
      <c r="A248" s="308">
        <v>43434</v>
      </c>
      <c r="B248" s="309" t="s">
        <v>494</v>
      </c>
      <c r="C248" s="309" t="s">
        <v>494</v>
      </c>
      <c r="D248" s="136" t="str">
        <f t="array" ref="D248">IF(E248=0,0,(INDEX(AccountCodes[ACCOUNT NAME],MATCH(E248,AccountCodes[NGAS CODE],0))))</f>
        <v>Representation Expenses</v>
      </c>
      <c r="E248" s="309" t="s">
        <v>243</v>
      </c>
      <c r="F248" s="501">
        <v>10200</v>
      </c>
    </row>
    <row r="249" spans="1:6" x14ac:dyDescent="0.25">
      <c r="A249" s="308">
        <v>43131</v>
      </c>
      <c r="B249" s="309" t="s">
        <v>494</v>
      </c>
      <c r="C249" s="309" t="s">
        <v>494</v>
      </c>
      <c r="D249" s="136" t="str">
        <f t="array" ref="D249">IF(E249=0,0,(INDEX(AccountCodes[ACCOUNT NAME],MATCH(E249,AccountCodes[NGAS CODE],0))))</f>
        <v>Transportation and Delivery Expenses</v>
      </c>
      <c r="E249" s="309" t="s">
        <v>244</v>
      </c>
      <c r="F249" s="501">
        <v>2040</v>
      </c>
    </row>
    <row r="250" spans="1:6" x14ac:dyDescent="0.25">
      <c r="A250" s="308">
        <v>43159</v>
      </c>
      <c r="B250" s="309" t="s">
        <v>494</v>
      </c>
      <c r="C250" s="309" t="s">
        <v>494</v>
      </c>
      <c r="D250" s="136" t="str">
        <f t="array" ref="D250">IF(E250=0,0,(INDEX(AccountCodes[ACCOUNT NAME],MATCH(E250,AccountCodes[NGAS CODE],0))))</f>
        <v>Transportation and Delivery Expenses</v>
      </c>
      <c r="E250" s="309" t="s">
        <v>244</v>
      </c>
      <c r="F250" s="501">
        <v>2040</v>
      </c>
    </row>
    <row r="251" spans="1:6" x14ac:dyDescent="0.25">
      <c r="A251" s="308">
        <v>43190</v>
      </c>
      <c r="B251" s="309" t="s">
        <v>494</v>
      </c>
      <c r="C251" s="309" t="s">
        <v>494</v>
      </c>
      <c r="D251" s="136" t="str">
        <f t="array" ref="D251">IF(E251=0,0,(INDEX(AccountCodes[ACCOUNT NAME],MATCH(E251,AccountCodes[NGAS CODE],0))))</f>
        <v>Transportation and Delivery Expenses</v>
      </c>
      <c r="E251" s="309" t="s">
        <v>244</v>
      </c>
      <c r="F251" s="501">
        <v>2040</v>
      </c>
    </row>
    <row r="252" spans="1:6" x14ac:dyDescent="0.25">
      <c r="A252" s="308">
        <v>43220</v>
      </c>
      <c r="B252" s="309" t="s">
        <v>494</v>
      </c>
      <c r="C252" s="309" t="s">
        <v>494</v>
      </c>
      <c r="D252" s="136" t="str">
        <f t="array" ref="D252">IF(E252=0,0,(INDEX(AccountCodes[ACCOUNT NAME],MATCH(E252,AccountCodes[NGAS CODE],0))))</f>
        <v>Transportation and Delivery Expenses</v>
      </c>
      <c r="E252" s="309" t="s">
        <v>244</v>
      </c>
      <c r="F252" s="501">
        <v>2040</v>
      </c>
    </row>
    <row r="253" spans="1:6" x14ac:dyDescent="0.25">
      <c r="A253" s="308">
        <v>43251</v>
      </c>
      <c r="B253" s="309" t="s">
        <v>494</v>
      </c>
      <c r="C253" s="309" t="s">
        <v>494</v>
      </c>
      <c r="D253" s="136" t="str">
        <f t="array" ref="D253">IF(E253=0,0,(INDEX(AccountCodes[ACCOUNT NAME],MATCH(E253,AccountCodes[NGAS CODE],0))))</f>
        <v>Transportation and Delivery Expenses</v>
      </c>
      <c r="E253" s="309" t="s">
        <v>244</v>
      </c>
      <c r="F253" s="501">
        <v>2040</v>
      </c>
    </row>
    <row r="254" spans="1:6" x14ac:dyDescent="0.25">
      <c r="A254" s="308">
        <v>43281</v>
      </c>
      <c r="B254" s="309" t="s">
        <v>494</v>
      </c>
      <c r="C254" s="309" t="s">
        <v>494</v>
      </c>
      <c r="D254" s="136" t="str">
        <f t="array" ref="D254">IF(E254=0,0,(INDEX(AccountCodes[ACCOUNT NAME],MATCH(E254,AccountCodes[NGAS CODE],0))))</f>
        <v>Transportation and Delivery Expenses</v>
      </c>
      <c r="E254" s="309" t="s">
        <v>244</v>
      </c>
      <c r="F254" s="501">
        <v>2040</v>
      </c>
    </row>
    <row r="255" spans="1:6" x14ac:dyDescent="0.25">
      <c r="A255" s="308">
        <v>43312</v>
      </c>
      <c r="B255" s="309" t="s">
        <v>494</v>
      </c>
      <c r="C255" s="309" t="s">
        <v>494</v>
      </c>
      <c r="D255" s="136" t="str">
        <f t="array" ref="D255">IF(E255=0,0,(INDEX(AccountCodes[ACCOUNT NAME],MATCH(E255,AccountCodes[NGAS CODE],0))))</f>
        <v>Transportation and Delivery Expenses</v>
      </c>
      <c r="E255" s="309" t="s">
        <v>244</v>
      </c>
      <c r="F255" s="501">
        <v>2040</v>
      </c>
    </row>
    <row r="256" spans="1:6" x14ac:dyDescent="0.25">
      <c r="A256" s="308">
        <v>43343</v>
      </c>
      <c r="B256" s="309" t="s">
        <v>494</v>
      </c>
      <c r="C256" s="309" t="s">
        <v>494</v>
      </c>
      <c r="D256" s="136" t="str">
        <f t="array" ref="D256">IF(E256=0,0,(INDEX(AccountCodes[ACCOUNT NAME],MATCH(E256,AccountCodes[NGAS CODE],0))))</f>
        <v>Transportation and Delivery Expenses</v>
      </c>
      <c r="E256" s="309" t="s">
        <v>244</v>
      </c>
      <c r="F256" s="501">
        <v>2040</v>
      </c>
    </row>
    <row r="257" spans="1:6" x14ac:dyDescent="0.25">
      <c r="A257" s="308">
        <v>43373</v>
      </c>
      <c r="B257" s="309" t="s">
        <v>494</v>
      </c>
      <c r="C257" s="309" t="s">
        <v>494</v>
      </c>
      <c r="D257" s="136" t="str">
        <f t="array" ref="D257">IF(E257=0,0,(INDEX(AccountCodes[ACCOUNT NAME],MATCH(E257,AccountCodes[NGAS CODE],0))))</f>
        <v>Transportation and Delivery Expenses</v>
      </c>
      <c r="E257" s="309" t="s">
        <v>244</v>
      </c>
      <c r="F257" s="501">
        <v>2040</v>
      </c>
    </row>
    <row r="258" spans="1:6" x14ac:dyDescent="0.25">
      <c r="A258" s="308">
        <v>43404</v>
      </c>
      <c r="B258" s="309" t="s">
        <v>494</v>
      </c>
      <c r="C258" s="309" t="s">
        <v>494</v>
      </c>
      <c r="D258" s="136" t="str">
        <f t="array" ref="D258">IF(E258=0,0,(INDEX(AccountCodes[ACCOUNT NAME],MATCH(E258,AccountCodes[NGAS CODE],0))))</f>
        <v>Transportation and Delivery Expenses</v>
      </c>
      <c r="E258" s="309" t="s">
        <v>244</v>
      </c>
      <c r="F258" s="501">
        <v>2040</v>
      </c>
    </row>
    <row r="259" spans="1:6" x14ac:dyDescent="0.25">
      <c r="A259" s="308">
        <v>43434</v>
      </c>
      <c r="B259" s="309" t="s">
        <v>494</v>
      </c>
      <c r="C259" s="309" t="s">
        <v>494</v>
      </c>
      <c r="D259" s="136" t="str">
        <f t="array" ref="D259">IF(E259=0,0,(INDEX(AccountCodes[ACCOUNT NAME],MATCH(E259,AccountCodes[NGAS CODE],0))))</f>
        <v>Transportation and Delivery Expenses</v>
      </c>
      <c r="E259" s="309" t="s">
        <v>244</v>
      </c>
      <c r="F259" s="501">
        <v>2040</v>
      </c>
    </row>
    <row r="260" spans="1:6" x14ac:dyDescent="0.25">
      <c r="A260" s="308">
        <v>43465</v>
      </c>
      <c r="B260" s="309" t="s">
        <v>494</v>
      </c>
      <c r="C260" s="309" t="s">
        <v>494</v>
      </c>
      <c r="D260" s="136" t="str">
        <f t="array" ref="D260">IF(E260=0,0,(INDEX(AccountCodes[ACCOUNT NAME],MATCH(E260,AccountCodes[NGAS CODE],0))))</f>
        <v>Transportation and Delivery Expenses</v>
      </c>
      <c r="E260" s="309" t="s">
        <v>244</v>
      </c>
      <c r="F260" s="501">
        <v>2040</v>
      </c>
    </row>
    <row r="261" spans="1:6" x14ac:dyDescent="0.25">
      <c r="A261" s="308">
        <v>43131</v>
      </c>
      <c r="B261" s="309" t="s">
        <v>494</v>
      </c>
      <c r="C261" s="309" t="s">
        <v>494</v>
      </c>
      <c r="D261" s="136" t="str">
        <f t="array" ref="D261">IF(E261=0,0,(INDEX(AccountCodes[ACCOUNT NAME],MATCH(E261,AccountCodes[NGAS CODE],0))))</f>
        <v>Auditing Services</v>
      </c>
      <c r="E261" s="309" t="s">
        <v>222</v>
      </c>
      <c r="F261" s="501">
        <v>9716.67</v>
      </c>
    </row>
    <row r="262" spans="1:6" x14ac:dyDescent="0.25">
      <c r="A262" s="308">
        <v>43159</v>
      </c>
      <c r="B262" s="309" t="s">
        <v>494</v>
      </c>
      <c r="C262" s="309" t="s">
        <v>494</v>
      </c>
      <c r="D262" s="136" t="str">
        <f t="array" ref="D262">IF(E262=0,0,(INDEX(AccountCodes[ACCOUNT NAME],MATCH(E262,AccountCodes[NGAS CODE],0))))</f>
        <v>Auditing Services</v>
      </c>
      <c r="E262" s="309" t="s">
        <v>222</v>
      </c>
      <c r="F262" s="501">
        <v>9716.67</v>
      </c>
    </row>
    <row r="263" spans="1:6" x14ac:dyDescent="0.25">
      <c r="A263" s="308">
        <v>43190</v>
      </c>
      <c r="B263" s="309" t="s">
        <v>494</v>
      </c>
      <c r="C263" s="309" t="s">
        <v>494</v>
      </c>
      <c r="D263" s="136" t="str">
        <f t="array" ref="D263">IF(E263=0,0,(INDEX(AccountCodes[ACCOUNT NAME],MATCH(E263,AccountCodes[NGAS CODE],0))))</f>
        <v>Auditing Services</v>
      </c>
      <c r="E263" s="309" t="s">
        <v>222</v>
      </c>
      <c r="F263" s="501">
        <v>9716.67</v>
      </c>
    </row>
    <row r="264" spans="1:6" x14ac:dyDescent="0.25">
      <c r="A264" s="308">
        <v>43220</v>
      </c>
      <c r="B264" s="309" t="s">
        <v>494</v>
      </c>
      <c r="C264" s="309" t="s">
        <v>494</v>
      </c>
      <c r="D264" s="136" t="str">
        <f t="array" ref="D264">IF(E264=0,0,(INDEX(AccountCodes[ACCOUNT NAME],MATCH(E264,AccountCodes[NGAS CODE],0))))</f>
        <v>Auditing Services</v>
      </c>
      <c r="E264" s="309" t="s">
        <v>222</v>
      </c>
      <c r="F264" s="501">
        <v>9716.67</v>
      </c>
    </row>
    <row r="265" spans="1:6" x14ac:dyDescent="0.25">
      <c r="A265" s="308">
        <v>43251</v>
      </c>
      <c r="B265" s="309" t="s">
        <v>494</v>
      </c>
      <c r="C265" s="309" t="s">
        <v>494</v>
      </c>
      <c r="D265" s="136" t="str">
        <f t="array" ref="D265">IF(E265=0,0,(INDEX(AccountCodes[ACCOUNT NAME],MATCH(E265,AccountCodes[NGAS CODE],0))))</f>
        <v>Auditing Services</v>
      </c>
      <c r="E265" s="309" t="s">
        <v>222</v>
      </c>
      <c r="F265" s="501">
        <v>9716.67</v>
      </c>
    </row>
    <row r="266" spans="1:6" x14ac:dyDescent="0.25">
      <c r="A266" s="308">
        <v>43281</v>
      </c>
      <c r="B266" s="309" t="s">
        <v>494</v>
      </c>
      <c r="C266" s="309" t="s">
        <v>494</v>
      </c>
      <c r="D266" s="136" t="str">
        <f t="array" ref="D266">IF(E266=0,0,(INDEX(AccountCodes[ACCOUNT NAME],MATCH(E266,AccountCodes[NGAS CODE],0))))</f>
        <v>Auditing Services</v>
      </c>
      <c r="E266" s="309" t="s">
        <v>222</v>
      </c>
      <c r="F266" s="501">
        <v>9716.67</v>
      </c>
    </row>
    <row r="267" spans="1:6" x14ac:dyDescent="0.25">
      <c r="A267" s="308">
        <v>43312</v>
      </c>
      <c r="B267" s="309" t="s">
        <v>494</v>
      </c>
      <c r="C267" s="309" t="s">
        <v>494</v>
      </c>
      <c r="D267" s="136" t="str">
        <f t="array" ref="D267">IF(E267=0,0,(INDEX(AccountCodes[ACCOUNT NAME],MATCH(E267,AccountCodes[NGAS CODE],0))))</f>
        <v>Auditing Services</v>
      </c>
      <c r="E267" s="309" t="s">
        <v>222</v>
      </c>
      <c r="F267" s="501">
        <v>9716.67</v>
      </c>
    </row>
    <row r="268" spans="1:6" x14ac:dyDescent="0.25">
      <c r="A268" s="308">
        <v>43343</v>
      </c>
      <c r="B268" s="309" t="s">
        <v>494</v>
      </c>
      <c r="C268" s="309" t="s">
        <v>494</v>
      </c>
      <c r="D268" s="136" t="str">
        <f t="array" ref="D268">IF(E268=0,0,(INDEX(AccountCodes[ACCOUNT NAME],MATCH(E268,AccountCodes[NGAS CODE],0))))</f>
        <v>Auditing Services</v>
      </c>
      <c r="E268" s="309" t="s">
        <v>222</v>
      </c>
      <c r="F268" s="501">
        <v>9716.67</v>
      </c>
    </row>
    <row r="269" spans="1:6" x14ac:dyDescent="0.25">
      <c r="A269" s="308">
        <v>43373</v>
      </c>
      <c r="B269" s="309" t="s">
        <v>494</v>
      </c>
      <c r="C269" s="309" t="s">
        <v>494</v>
      </c>
      <c r="D269" s="136" t="str">
        <f t="array" ref="D269">IF(E269=0,0,(INDEX(AccountCodes[ACCOUNT NAME],MATCH(E269,AccountCodes[NGAS CODE],0))))</f>
        <v>Auditing Services</v>
      </c>
      <c r="E269" s="309" t="s">
        <v>222</v>
      </c>
      <c r="F269" s="501">
        <v>9716.67</v>
      </c>
    </row>
    <row r="270" spans="1:6" x14ac:dyDescent="0.25">
      <c r="A270" s="308">
        <v>43404</v>
      </c>
      <c r="B270" s="309" t="s">
        <v>494</v>
      </c>
      <c r="C270" s="309" t="s">
        <v>494</v>
      </c>
      <c r="D270" s="136" t="str">
        <f t="array" ref="D270">IF(E270=0,0,(INDEX(AccountCodes[ACCOUNT NAME],MATCH(E270,AccountCodes[NGAS CODE],0))))</f>
        <v>Auditing Services</v>
      </c>
      <c r="E270" s="309" t="s">
        <v>222</v>
      </c>
      <c r="F270" s="501">
        <v>9716.67</v>
      </c>
    </row>
    <row r="271" spans="1:6" x14ac:dyDescent="0.25">
      <c r="A271" s="308">
        <v>43434</v>
      </c>
      <c r="B271" s="309" t="s">
        <v>494</v>
      </c>
      <c r="C271" s="309" t="s">
        <v>494</v>
      </c>
      <c r="D271" s="136" t="str">
        <f t="array" ref="D271">IF(E271=0,0,(INDEX(AccountCodes[ACCOUNT NAME],MATCH(E271,AccountCodes[NGAS CODE],0))))</f>
        <v>Auditing Services</v>
      </c>
      <c r="E271" s="309" t="s">
        <v>222</v>
      </c>
      <c r="F271" s="501">
        <v>9716.67</v>
      </c>
    </row>
    <row r="272" spans="1:6" x14ac:dyDescent="0.25">
      <c r="A272" s="308">
        <v>43465</v>
      </c>
      <c r="B272" s="309" t="s">
        <v>494</v>
      </c>
      <c r="C272" s="309" t="s">
        <v>494</v>
      </c>
      <c r="D272" s="136" t="str">
        <f t="array" ref="D272">IF(E272=0,0,(INDEX(AccountCodes[ACCOUNT NAME],MATCH(E272,AccountCodes[NGAS CODE],0))))</f>
        <v>Auditing Services</v>
      </c>
      <c r="E272" s="309" t="s">
        <v>222</v>
      </c>
      <c r="F272" s="501">
        <v>9716.67</v>
      </c>
    </row>
    <row r="273" spans="1:6" x14ac:dyDescent="0.25">
      <c r="A273" s="308">
        <v>43131</v>
      </c>
      <c r="B273" s="309" t="s">
        <v>494</v>
      </c>
      <c r="C273" s="309" t="s">
        <v>494</v>
      </c>
      <c r="D273" s="136" t="str">
        <f t="array" ref="D273">IF(E273=0,0,(INDEX(AccountCodes[ACCOUNT NAME],MATCH(E273,AccountCodes[NGAS CODE],0))))</f>
        <v>Other General Services</v>
      </c>
      <c r="E273" s="309" t="s">
        <v>248</v>
      </c>
      <c r="F273" s="501">
        <v>850</v>
      </c>
    </row>
    <row r="274" spans="1:6" x14ac:dyDescent="0.25">
      <c r="A274" s="308">
        <v>43159</v>
      </c>
      <c r="B274" s="309" t="s">
        <v>494</v>
      </c>
      <c r="C274" s="309" t="s">
        <v>494</v>
      </c>
      <c r="D274" s="136" t="str">
        <f t="array" ref="D274">IF(E274=0,0,(INDEX(AccountCodes[ACCOUNT NAME],MATCH(E274,AccountCodes[NGAS CODE],0))))</f>
        <v>Other General Services</v>
      </c>
      <c r="E274" s="309" t="s">
        <v>248</v>
      </c>
      <c r="F274" s="501">
        <v>850</v>
      </c>
    </row>
    <row r="275" spans="1:6" x14ac:dyDescent="0.25">
      <c r="A275" s="308">
        <v>43190</v>
      </c>
      <c r="B275" s="309" t="s">
        <v>494</v>
      </c>
      <c r="C275" s="309" t="s">
        <v>494</v>
      </c>
      <c r="D275" s="136" t="str">
        <f t="array" ref="D275">IF(E275=0,0,(INDEX(AccountCodes[ACCOUNT NAME],MATCH(E275,AccountCodes[NGAS CODE],0))))</f>
        <v>Other General Services</v>
      </c>
      <c r="E275" s="309" t="s">
        <v>248</v>
      </c>
      <c r="F275" s="501">
        <v>850</v>
      </c>
    </row>
    <row r="276" spans="1:6" x14ac:dyDescent="0.25">
      <c r="A276" s="308">
        <v>43220</v>
      </c>
      <c r="B276" s="309" t="s">
        <v>494</v>
      </c>
      <c r="C276" s="309" t="s">
        <v>494</v>
      </c>
      <c r="D276" s="136" t="str">
        <f t="array" ref="D276">IF(E276=0,0,(INDEX(AccountCodes[ACCOUNT NAME],MATCH(E276,AccountCodes[NGAS CODE],0))))</f>
        <v>Other General Services</v>
      </c>
      <c r="E276" s="309" t="s">
        <v>248</v>
      </c>
      <c r="F276" s="501">
        <v>850</v>
      </c>
    </row>
    <row r="277" spans="1:6" x14ac:dyDescent="0.25">
      <c r="A277" s="308">
        <v>43251</v>
      </c>
      <c r="B277" s="309" t="s">
        <v>494</v>
      </c>
      <c r="C277" s="309" t="s">
        <v>494</v>
      </c>
      <c r="D277" s="136" t="str">
        <f t="array" ref="D277">IF(E277=0,0,(INDEX(AccountCodes[ACCOUNT NAME],MATCH(E277,AccountCodes[NGAS CODE],0))))</f>
        <v>Other General Services</v>
      </c>
      <c r="E277" s="309" t="s">
        <v>248</v>
      </c>
      <c r="F277" s="501">
        <v>850</v>
      </c>
    </row>
    <row r="278" spans="1:6" x14ac:dyDescent="0.25">
      <c r="A278" s="308">
        <v>43281</v>
      </c>
      <c r="B278" s="309" t="s">
        <v>494</v>
      </c>
      <c r="C278" s="309" t="s">
        <v>494</v>
      </c>
      <c r="D278" s="136" t="str">
        <f t="array" ref="D278">IF(E278=0,0,(INDEX(AccountCodes[ACCOUNT NAME],MATCH(E278,AccountCodes[NGAS CODE],0))))</f>
        <v>Other General Services</v>
      </c>
      <c r="E278" s="309" t="s">
        <v>248</v>
      </c>
      <c r="F278" s="501">
        <v>850</v>
      </c>
    </row>
    <row r="279" spans="1:6" x14ac:dyDescent="0.25">
      <c r="A279" s="308">
        <v>43312</v>
      </c>
      <c r="B279" s="309" t="s">
        <v>494</v>
      </c>
      <c r="C279" s="309" t="s">
        <v>494</v>
      </c>
      <c r="D279" s="136" t="str">
        <f t="array" ref="D279">IF(E279=0,0,(INDEX(AccountCodes[ACCOUNT NAME],MATCH(E279,AccountCodes[NGAS CODE],0))))</f>
        <v>Other General Services</v>
      </c>
      <c r="E279" s="309" t="s">
        <v>248</v>
      </c>
      <c r="F279" s="501">
        <v>850</v>
      </c>
    </row>
    <row r="280" spans="1:6" x14ac:dyDescent="0.25">
      <c r="A280" s="308">
        <v>43343</v>
      </c>
      <c r="B280" s="309" t="s">
        <v>494</v>
      </c>
      <c r="C280" s="309" t="s">
        <v>494</v>
      </c>
      <c r="D280" s="136" t="str">
        <f t="array" ref="D280">IF(E280=0,0,(INDEX(AccountCodes[ACCOUNT NAME],MATCH(E280,AccountCodes[NGAS CODE],0))))</f>
        <v>Other General Services</v>
      </c>
      <c r="E280" s="309" t="s">
        <v>248</v>
      </c>
      <c r="F280" s="501">
        <v>850</v>
      </c>
    </row>
    <row r="281" spans="1:6" x14ac:dyDescent="0.25">
      <c r="A281" s="308">
        <v>43373</v>
      </c>
      <c r="B281" s="309" t="s">
        <v>494</v>
      </c>
      <c r="C281" s="309" t="s">
        <v>494</v>
      </c>
      <c r="D281" s="136" t="str">
        <f t="array" ref="D281">IF(E281=0,0,(INDEX(AccountCodes[ACCOUNT NAME],MATCH(E281,AccountCodes[NGAS CODE],0))))</f>
        <v>Other General Services</v>
      </c>
      <c r="E281" s="309" t="s">
        <v>248</v>
      </c>
      <c r="F281" s="501">
        <v>850</v>
      </c>
    </row>
    <row r="282" spans="1:6" x14ac:dyDescent="0.25">
      <c r="A282" s="308">
        <v>43404</v>
      </c>
      <c r="B282" s="309" t="s">
        <v>494</v>
      </c>
      <c r="C282" s="309" t="s">
        <v>494</v>
      </c>
      <c r="D282" s="136" t="str">
        <f t="array" ref="D282">IF(E282=0,0,(INDEX(AccountCodes[ACCOUNT NAME],MATCH(E282,AccountCodes[NGAS CODE],0))))</f>
        <v>Other General Services</v>
      </c>
      <c r="E282" s="309" t="s">
        <v>248</v>
      </c>
      <c r="F282" s="501">
        <v>850</v>
      </c>
    </row>
    <row r="283" spans="1:6" x14ac:dyDescent="0.25">
      <c r="A283" s="308">
        <v>43434</v>
      </c>
      <c r="B283" s="309" t="s">
        <v>494</v>
      </c>
      <c r="C283" s="309" t="s">
        <v>494</v>
      </c>
      <c r="D283" s="136" t="str">
        <f t="array" ref="D283">IF(E283=0,0,(INDEX(AccountCodes[ACCOUNT NAME],MATCH(E283,AccountCodes[NGAS CODE],0))))</f>
        <v>Other General Services</v>
      </c>
      <c r="E283" s="309" t="s">
        <v>248</v>
      </c>
      <c r="F283" s="501">
        <v>850</v>
      </c>
    </row>
    <row r="284" spans="1:6" x14ac:dyDescent="0.25">
      <c r="A284" s="308">
        <v>43465</v>
      </c>
      <c r="B284" s="309" t="s">
        <v>494</v>
      </c>
      <c r="C284" s="309" t="s">
        <v>494</v>
      </c>
      <c r="D284" s="136" t="str">
        <f t="array" ref="D284">IF(E284=0,0,(INDEX(AccountCodes[ACCOUNT NAME],MATCH(E284,AccountCodes[NGAS CODE],0))))</f>
        <v>Other General Services</v>
      </c>
      <c r="E284" s="309" t="s">
        <v>248</v>
      </c>
      <c r="F284" s="501">
        <v>850</v>
      </c>
    </row>
    <row r="285" spans="1:6" x14ac:dyDescent="0.25">
      <c r="A285" s="308">
        <v>43190</v>
      </c>
      <c r="B285" s="309" t="s">
        <v>494</v>
      </c>
      <c r="C285" s="309" t="s">
        <v>494</v>
      </c>
      <c r="D285" s="136" t="str">
        <f t="array" ref="D285">IF(E285=0,0,(INDEX(AccountCodes[ACCOUNT NAME],MATCH(E285,AccountCodes[NGAS CODE],0))))</f>
        <v>Repairs and Maintenance-Machinery and Equipment - Office Equipment</v>
      </c>
      <c r="E285" s="309" t="s">
        <v>253</v>
      </c>
      <c r="F285" s="501">
        <v>25000</v>
      </c>
    </row>
    <row r="286" spans="1:6" x14ac:dyDescent="0.25">
      <c r="A286" s="308">
        <v>43281</v>
      </c>
      <c r="B286" s="309" t="s">
        <v>494</v>
      </c>
      <c r="C286" s="309" t="s">
        <v>494</v>
      </c>
      <c r="D286" s="136" t="str">
        <f t="array" ref="D286">IF(E286=0,0,(INDEX(AccountCodes[ACCOUNT NAME],MATCH(E286,AccountCodes[NGAS CODE],0))))</f>
        <v>Repairs and Maintenance-Machinery and Equipment - Office Equipment</v>
      </c>
      <c r="E286" s="309" t="s">
        <v>253</v>
      </c>
      <c r="F286" s="501">
        <v>25000</v>
      </c>
    </row>
    <row r="287" spans="1:6" x14ac:dyDescent="0.25">
      <c r="A287" s="308">
        <v>43373</v>
      </c>
      <c r="B287" s="309" t="s">
        <v>494</v>
      </c>
      <c r="C287" s="309" t="s">
        <v>494</v>
      </c>
      <c r="D287" s="136" t="str">
        <f t="array" ref="D287">IF(E287=0,0,(INDEX(AccountCodes[ACCOUNT NAME],MATCH(E287,AccountCodes[NGAS CODE],0))))</f>
        <v>Repairs and Maintenance-Machinery and Equipment - Office Equipment</v>
      </c>
      <c r="E287" s="309" t="s">
        <v>253</v>
      </c>
      <c r="F287" s="501">
        <v>25000</v>
      </c>
    </row>
    <row r="288" spans="1:6" x14ac:dyDescent="0.25">
      <c r="A288" s="308">
        <v>43465</v>
      </c>
      <c r="B288" s="309" t="s">
        <v>494</v>
      </c>
      <c r="C288" s="309" t="s">
        <v>494</v>
      </c>
      <c r="D288" s="136" t="str">
        <f t="array" ref="D288">IF(E288=0,0,(INDEX(AccountCodes[ACCOUNT NAME],MATCH(E288,AccountCodes[NGAS CODE],0))))</f>
        <v>Repairs and Maintenance-Machinery and Equipment - Office Equipment</v>
      </c>
      <c r="E288" s="309" t="s">
        <v>253</v>
      </c>
      <c r="F288" s="501">
        <v>25000</v>
      </c>
    </row>
    <row r="289" spans="1:6" x14ac:dyDescent="0.25">
      <c r="A289" s="308">
        <v>43190</v>
      </c>
      <c r="B289" s="309" t="s">
        <v>494</v>
      </c>
      <c r="C289" s="309" t="s">
        <v>494</v>
      </c>
      <c r="D289" s="136" t="str">
        <f t="array" ref="D289">IF(E289=0,0,(INDEX(AccountCodes[ACCOUNT NAME],MATCH(E289,AccountCodes[NGAS CODE],0))))</f>
        <v>Repairs and Maintenance-Transportation Equipment - Motor Vehicles</v>
      </c>
      <c r="E289" s="309" t="s">
        <v>262</v>
      </c>
      <c r="F289" s="501">
        <v>132037.25</v>
      </c>
    </row>
    <row r="290" spans="1:6" x14ac:dyDescent="0.25">
      <c r="A290" s="308">
        <v>43281</v>
      </c>
      <c r="B290" s="309" t="s">
        <v>494</v>
      </c>
      <c r="C290" s="309" t="s">
        <v>494</v>
      </c>
      <c r="D290" s="136" t="str">
        <f t="array" ref="D290">IF(E290=0,0,(INDEX(AccountCodes[ACCOUNT NAME],MATCH(E290,AccountCodes[NGAS CODE],0))))</f>
        <v>Repairs and Maintenance-Transportation Equipment - Motor Vehicles</v>
      </c>
      <c r="E290" s="309" t="s">
        <v>262</v>
      </c>
      <c r="F290" s="501">
        <v>132037.25</v>
      </c>
    </row>
    <row r="291" spans="1:6" x14ac:dyDescent="0.25">
      <c r="A291" s="308">
        <v>43373</v>
      </c>
      <c r="B291" s="309" t="s">
        <v>494</v>
      </c>
      <c r="C291" s="309" t="s">
        <v>494</v>
      </c>
      <c r="D291" s="136" t="str">
        <f t="array" ref="D291">IF(E291=0,0,(INDEX(AccountCodes[ACCOUNT NAME],MATCH(E291,AccountCodes[NGAS CODE],0))))</f>
        <v>Repairs and Maintenance-Transportation Equipment - Motor Vehicles</v>
      </c>
      <c r="E291" s="309" t="s">
        <v>262</v>
      </c>
      <c r="F291" s="501">
        <v>132037.25</v>
      </c>
    </row>
    <row r="292" spans="1:6" x14ac:dyDescent="0.25">
      <c r="A292" s="308">
        <v>43465</v>
      </c>
      <c r="B292" s="309" t="s">
        <v>494</v>
      </c>
      <c r="C292" s="309" t="s">
        <v>494</v>
      </c>
      <c r="D292" s="136" t="str">
        <f t="array" ref="D292">IF(E292=0,0,(INDEX(AccountCodes[ACCOUNT NAME],MATCH(E292,AccountCodes[NGAS CODE],0))))</f>
        <v>Repairs and Maintenance-Transportation Equipment - Motor Vehicles</v>
      </c>
      <c r="E292" s="309" t="s">
        <v>262</v>
      </c>
      <c r="F292" s="501">
        <v>132037.25</v>
      </c>
    </row>
    <row r="293" spans="1:6" x14ac:dyDescent="0.25">
      <c r="A293" s="308">
        <v>43434</v>
      </c>
      <c r="B293" s="309" t="s">
        <v>494</v>
      </c>
      <c r="C293" s="309" t="s">
        <v>494</v>
      </c>
      <c r="D293" s="136" t="str">
        <f t="array" ref="D293">IF(E293=0,0,(INDEX(AccountCodes[ACCOUNT NAME],MATCH(E293,AccountCodes[NGAS CODE],0))))</f>
        <v>Repairs and Maintenance-Buildings and Other Structures - Buildings</v>
      </c>
      <c r="E293" s="309" t="s">
        <v>251</v>
      </c>
      <c r="F293" s="501">
        <v>50000</v>
      </c>
    </row>
    <row r="294" spans="1:6" x14ac:dyDescent="0.25">
      <c r="A294" s="308">
        <v>43465</v>
      </c>
      <c r="B294" s="309" t="s">
        <v>494</v>
      </c>
      <c r="C294" s="309" t="s">
        <v>494</v>
      </c>
      <c r="D294" s="136" t="str">
        <f t="array" ref="D294">IF(E294=0,0,(INDEX(AccountCodes[ACCOUNT NAME],MATCH(E294,AccountCodes[NGAS CODE],0))))</f>
        <v>Repairs and Maintenance-Buildings and Other Structures - Buildings</v>
      </c>
      <c r="E294" s="309" t="s">
        <v>251</v>
      </c>
      <c r="F294" s="501">
        <v>50000</v>
      </c>
    </row>
    <row r="295" spans="1:6" x14ac:dyDescent="0.25">
      <c r="A295" s="308">
        <v>43404</v>
      </c>
      <c r="B295" s="309" t="s">
        <v>494</v>
      </c>
      <c r="C295" s="309" t="s">
        <v>494</v>
      </c>
      <c r="D295" s="136" t="str">
        <f t="array" ref="D295">IF(E295=0,0,(INDEX(AccountCodes[ACCOUNT NAME],MATCH(E295,AccountCodes[NGAS CODE],0))))</f>
        <v>Repairs and Maintenance-Buildings and Other Structures - Other Structures</v>
      </c>
      <c r="E295" s="309" t="s">
        <v>252</v>
      </c>
      <c r="F295" s="501">
        <v>1000000</v>
      </c>
    </row>
    <row r="296" spans="1:6" x14ac:dyDescent="0.25">
      <c r="A296" s="308">
        <v>43434</v>
      </c>
      <c r="B296" s="309" t="s">
        <v>494</v>
      </c>
      <c r="C296" s="309" t="s">
        <v>494</v>
      </c>
      <c r="D296" s="136" t="str">
        <f t="array" ref="D296">IF(E296=0,0,(INDEX(AccountCodes[ACCOUNT NAME],MATCH(E296,AccountCodes[NGAS CODE],0))))</f>
        <v>Repairs and Maintenance-Buildings and Other Structures - Other Structures</v>
      </c>
      <c r="E296" s="309" t="s">
        <v>252</v>
      </c>
      <c r="F296" s="501">
        <v>2000000</v>
      </c>
    </row>
    <row r="297" spans="1:6" x14ac:dyDescent="0.25">
      <c r="A297" s="308">
        <v>43465</v>
      </c>
      <c r="B297" s="309" t="s">
        <v>494</v>
      </c>
      <c r="C297" s="309" t="s">
        <v>494</v>
      </c>
      <c r="D297" s="136" t="str">
        <f t="array" ref="D297">IF(E297=0,0,(INDEX(AccountCodes[ACCOUNT NAME],MATCH(E297,AccountCodes[NGAS CODE],0))))</f>
        <v>Repairs and Maintenance-Buildings and Other Structures - Other Structures</v>
      </c>
      <c r="E297" s="309" t="s">
        <v>252</v>
      </c>
      <c r="F297" s="501">
        <v>2000000</v>
      </c>
    </row>
    <row r="298" spans="1:6" x14ac:dyDescent="0.25">
      <c r="A298" s="308">
        <v>43281</v>
      </c>
      <c r="B298" s="309" t="s">
        <v>494</v>
      </c>
      <c r="C298" s="309" t="s">
        <v>494</v>
      </c>
      <c r="D298" s="136" t="str">
        <f t="array" ref="D298">IF(E298=0,0,(INDEX(AccountCodes[ACCOUNT NAME],MATCH(E298,AccountCodes[NGAS CODE],0))))</f>
        <v>Other Maintenance and Operating Expenses - Other Maintenance and Operating Expenses</v>
      </c>
      <c r="E298" s="309" t="s">
        <v>271</v>
      </c>
      <c r="F298" s="501">
        <v>500000</v>
      </c>
    </row>
    <row r="299" spans="1:6" x14ac:dyDescent="0.25">
      <c r="A299" s="308">
        <v>43465</v>
      </c>
      <c r="B299" s="309" t="s">
        <v>494</v>
      </c>
      <c r="C299" s="309" t="s">
        <v>494</v>
      </c>
      <c r="D299" s="136" t="str">
        <f t="array" ref="D299">IF(E299=0,0,(INDEX(AccountCodes[ACCOUNT NAME],MATCH(E299,AccountCodes[NGAS CODE],0))))</f>
        <v>Other Maintenance and Operating Expenses - Other Maintenance and Operating Expenses</v>
      </c>
      <c r="E299" s="309" t="s">
        <v>271</v>
      </c>
      <c r="F299" s="501">
        <v>441795</v>
      </c>
    </row>
    <row r="300" spans="1:6" x14ac:dyDescent="0.25">
      <c r="A300" s="308">
        <v>43190</v>
      </c>
      <c r="B300" s="309" t="s">
        <v>494</v>
      </c>
      <c r="C300" s="309" t="s">
        <v>494</v>
      </c>
      <c r="D300" s="136" t="str">
        <f t="array" ref="D300">IF(E300=0,0,(INDEX(AccountCodes[ACCOUNT NAME],MATCH(E300,AccountCodes[NGAS CODE],0))))</f>
        <v>Taxes, Duties and Licenses</v>
      </c>
      <c r="E300" s="309" t="s">
        <v>272</v>
      </c>
      <c r="F300" s="501">
        <v>100000</v>
      </c>
    </row>
    <row r="301" spans="1:6" x14ac:dyDescent="0.25">
      <c r="A301" s="308">
        <v>43281</v>
      </c>
      <c r="B301" s="309" t="s">
        <v>494</v>
      </c>
      <c r="C301" s="309" t="s">
        <v>494</v>
      </c>
      <c r="D301" s="136" t="str">
        <f t="array" ref="D301">IF(E301=0,0,(INDEX(AccountCodes[ACCOUNT NAME],MATCH(E301,AccountCodes[NGAS CODE],0))))</f>
        <v>Taxes, Duties and Licenses</v>
      </c>
      <c r="E301" s="309" t="s">
        <v>272</v>
      </c>
      <c r="F301" s="501">
        <v>50000</v>
      </c>
    </row>
    <row r="302" spans="1:6" x14ac:dyDescent="0.25">
      <c r="A302" s="308">
        <v>43373</v>
      </c>
      <c r="B302" s="309" t="s">
        <v>494</v>
      </c>
      <c r="C302" s="309" t="s">
        <v>494</v>
      </c>
      <c r="D302" s="136" t="str">
        <f t="array" ref="D302">IF(E302=0,0,(INDEX(AccountCodes[ACCOUNT NAME],MATCH(E302,AccountCodes[NGAS CODE],0))))</f>
        <v>Taxes, Duties and Licenses</v>
      </c>
      <c r="E302" s="309" t="s">
        <v>272</v>
      </c>
      <c r="F302" s="501">
        <v>29254</v>
      </c>
    </row>
    <row r="303" spans="1:6" x14ac:dyDescent="0.25">
      <c r="A303" s="308"/>
      <c r="D303" s="136">
        <f t="array" ref="D303">IF(E303=0,0,(INDEX(AccountCodes[ACCOUNT NAME],MATCH(E303,AccountCodes[NGAS CODE],0))))</f>
        <v>0</v>
      </c>
      <c r="E303" s="309"/>
      <c r="F303" s="502"/>
    </row>
    <row r="304" spans="1:6" x14ac:dyDescent="0.25">
      <c r="A304" s="308">
        <v>43131</v>
      </c>
      <c r="B304" s="24" t="s">
        <v>484</v>
      </c>
      <c r="C304" s="24" t="s">
        <v>487</v>
      </c>
      <c r="D304" s="136" t="str">
        <f t="array" ref="D304">IF(E304=0,0,(INDEX(AccountCodes[ACCOUNT NAME],MATCH(E304,AccountCodes[NGAS CODE],0))))</f>
        <v>Other Service Income - Irrigation Service Fee (Back Account)</v>
      </c>
      <c r="E304" s="309" t="s">
        <v>126</v>
      </c>
      <c r="F304" s="502">
        <v>875000</v>
      </c>
    </row>
    <row r="305" spans="1:6" x14ac:dyDescent="0.25">
      <c r="A305" s="308">
        <v>43159</v>
      </c>
      <c r="B305" s="24" t="s">
        <v>484</v>
      </c>
      <c r="C305" s="24" t="s">
        <v>487</v>
      </c>
      <c r="D305" s="136" t="str">
        <f t="array" ref="D305">IF(E305=0,0,(INDEX(AccountCodes[ACCOUNT NAME],MATCH(E305,AccountCodes[NGAS CODE],0))))</f>
        <v>Other Service Income - Irrigation Service Fee (Back Account)</v>
      </c>
      <c r="E305" s="309" t="s">
        <v>126</v>
      </c>
      <c r="F305" s="502">
        <v>875000</v>
      </c>
    </row>
    <row r="306" spans="1:6" x14ac:dyDescent="0.25">
      <c r="A306" s="308">
        <v>43190</v>
      </c>
      <c r="B306" s="24" t="s">
        <v>484</v>
      </c>
      <c r="C306" s="24" t="s">
        <v>487</v>
      </c>
      <c r="D306" s="136" t="str">
        <f t="array" ref="D306">IF(E306=0,0,(INDEX(AccountCodes[ACCOUNT NAME],MATCH(E306,AccountCodes[NGAS CODE],0))))</f>
        <v>Other Service Income - Irrigation Service Fee (Back Account)</v>
      </c>
      <c r="E306" s="309" t="s">
        <v>126</v>
      </c>
      <c r="F306" s="502">
        <v>875000</v>
      </c>
    </row>
    <row r="307" spans="1:6" x14ac:dyDescent="0.25">
      <c r="A307" s="308">
        <v>43220</v>
      </c>
      <c r="B307" s="24" t="s">
        <v>484</v>
      </c>
      <c r="C307" s="24" t="s">
        <v>487</v>
      </c>
      <c r="D307" s="136" t="str">
        <f t="array" ref="D307">IF(E307=0,0,(INDEX(AccountCodes[ACCOUNT NAME],MATCH(E307,AccountCodes[NGAS CODE],0))))</f>
        <v>Other Service Income - Irrigation Service Fee (Back Account)</v>
      </c>
      <c r="E307" s="309" t="s">
        <v>126</v>
      </c>
      <c r="F307" s="502">
        <v>875000</v>
      </c>
    </row>
    <row r="308" spans="1:6" x14ac:dyDescent="0.25">
      <c r="A308" s="308">
        <v>43251</v>
      </c>
      <c r="B308" s="24" t="s">
        <v>484</v>
      </c>
      <c r="C308" s="24" t="s">
        <v>487</v>
      </c>
      <c r="D308" s="136" t="str">
        <f t="array" ref="D308">IF(E308=0,0,(INDEX(AccountCodes[ACCOUNT NAME],MATCH(E308,AccountCodes[NGAS CODE],0))))</f>
        <v>Other Service Income - Irrigation Service Fee (Back Account)</v>
      </c>
      <c r="E308" s="309" t="s">
        <v>126</v>
      </c>
      <c r="F308" s="502">
        <v>875000</v>
      </c>
    </row>
    <row r="309" spans="1:6" x14ac:dyDescent="0.25">
      <c r="A309" s="308">
        <v>43281</v>
      </c>
      <c r="B309" s="24" t="s">
        <v>484</v>
      </c>
      <c r="C309" s="24" t="s">
        <v>487</v>
      </c>
      <c r="D309" s="136" t="str">
        <f t="array" ref="D309">IF(E309=0,0,(INDEX(AccountCodes[ACCOUNT NAME],MATCH(E309,AccountCodes[NGAS CODE],0))))</f>
        <v>Other Service Income - Irrigation Service Fee (Back Account)</v>
      </c>
      <c r="E309" s="309" t="s">
        <v>126</v>
      </c>
      <c r="F309" s="502">
        <v>875000</v>
      </c>
    </row>
    <row r="310" spans="1:6" x14ac:dyDescent="0.25">
      <c r="A310" s="308">
        <v>43312</v>
      </c>
      <c r="B310" s="24" t="s">
        <v>484</v>
      </c>
      <c r="C310" s="24" t="s">
        <v>487</v>
      </c>
      <c r="D310" s="136" t="str">
        <f t="array" ref="D310">IF(E310=0,0,(INDEX(AccountCodes[ACCOUNT NAME],MATCH(E310,AccountCodes[NGAS CODE],0))))</f>
        <v>Other Service Income - Irrigation Service Fee (Back Account)</v>
      </c>
      <c r="E310" s="309" t="s">
        <v>126</v>
      </c>
      <c r="F310" s="502">
        <v>875000</v>
      </c>
    </row>
    <row r="311" spans="1:6" x14ac:dyDescent="0.25">
      <c r="A311" s="308">
        <v>43343</v>
      </c>
      <c r="B311" s="24" t="s">
        <v>484</v>
      </c>
      <c r="C311" s="24" t="s">
        <v>487</v>
      </c>
      <c r="D311" s="136" t="str">
        <f t="array" ref="D311">IF(E311=0,0,(INDEX(AccountCodes[ACCOUNT NAME],MATCH(E311,AccountCodes[NGAS CODE],0))))</f>
        <v>Other Service Income - Irrigation Service Fee (Back Account)</v>
      </c>
      <c r="E311" s="309" t="s">
        <v>126</v>
      </c>
      <c r="F311" s="502">
        <v>875000</v>
      </c>
    </row>
    <row r="312" spans="1:6" x14ac:dyDescent="0.25">
      <c r="A312" s="308">
        <v>43373</v>
      </c>
      <c r="B312" s="24" t="s">
        <v>484</v>
      </c>
      <c r="C312" s="24" t="s">
        <v>487</v>
      </c>
      <c r="D312" s="136" t="str">
        <f t="array" ref="D312">IF(E312=0,0,(INDEX(AccountCodes[ACCOUNT NAME],MATCH(E312,AccountCodes[NGAS CODE],0))))</f>
        <v>Other Service Income - Irrigation Service Fee (Back Account)</v>
      </c>
      <c r="E312" s="309" t="s">
        <v>126</v>
      </c>
      <c r="F312" s="502">
        <v>875000</v>
      </c>
    </row>
    <row r="313" spans="1:6" x14ac:dyDescent="0.25">
      <c r="A313" s="308">
        <v>43404</v>
      </c>
      <c r="B313" s="24" t="s">
        <v>484</v>
      </c>
      <c r="C313" s="24" t="s">
        <v>487</v>
      </c>
      <c r="D313" s="136" t="str">
        <f t="array" ref="D313">IF(E313=0,0,(INDEX(AccountCodes[ACCOUNT NAME],MATCH(E313,AccountCodes[NGAS CODE],0))))</f>
        <v>Other Service Income - Irrigation Service Fee (Back Account)</v>
      </c>
      <c r="E313" s="309" t="s">
        <v>126</v>
      </c>
      <c r="F313" s="502">
        <v>875000</v>
      </c>
    </row>
    <row r="314" spans="1:6" x14ac:dyDescent="0.25">
      <c r="A314" s="308">
        <v>43434</v>
      </c>
      <c r="B314" s="24" t="s">
        <v>484</v>
      </c>
      <c r="C314" s="24" t="s">
        <v>487</v>
      </c>
      <c r="D314" s="136" t="str">
        <f t="array" ref="D314">IF(E314=0,0,(INDEX(AccountCodes[ACCOUNT NAME],MATCH(E314,AccountCodes[NGAS CODE],0))))</f>
        <v>Other Service Income - Irrigation Service Fee (Back Account)</v>
      </c>
      <c r="E314" s="309" t="s">
        <v>126</v>
      </c>
      <c r="F314" s="502">
        <v>875000</v>
      </c>
    </row>
    <row r="315" spans="1:6" x14ac:dyDescent="0.25">
      <c r="A315" s="308">
        <v>43465</v>
      </c>
      <c r="B315" s="24" t="s">
        <v>484</v>
      </c>
      <c r="C315" s="24" t="s">
        <v>487</v>
      </c>
      <c r="D315" s="136" t="str">
        <f t="array" ref="D315">IF(E315=0,0,(INDEX(AccountCodes[ACCOUNT NAME],MATCH(E315,AccountCodes[NGAS CODE],0))))</f>
        <v>Other Service Income - Irrigation Service Fee (Back Account)</v>
      </c>
      <c r="E315" s="309" t="s">
        <v>126</v>
      </c>
      <c r="F315" s="502">
        <v>875000</v>
      </c>
    </row>
    <row r="316" spans="1:6" x14ac:dyDescent="0.25">
      <c r="A316" s="308">
        <v>43220</v>
      </c>
      <c r="B316" s="24" t="s">
        <v>484</v>
      </c>
      <c r="C316" s="24" t="s">
        <v>487</v>
      </c>
      <c r="D316" s="136" t="str">
        <f t="array" ref="D316">IF(E316=0,0,(INDEX(AccountCodes[ACCOUNT NAME],MATCH(E316,AccountCodes[NGAS CODE],0))))</f>
        <v>Other Service Income - CIS Amortization (Back Account)</v>
      </c>
      <c r="E316" s="24" t="s">
        <v>129</v>
      </c>
      <c r="F316" s="502">
        <v>250000</v>
      </c>
    </row>
    <row r="317" spans="1:6" x14ac:dyDescent="0.25">
      <c r="A317" s="308">
        <v>43251</v>
      </c>
      <c r="B317" s="24" t="s">
        <v>484</v>
      </c>
      <c r="C317" s="24" t="s">
        <v>487</v>
      </c>
      <c r="D317" s="136" t="str">
        <f t="array" ref="D317">IF(E317=0,0,(INDEX(AccountCodes[ACCOUNT NAME],MATCH(E317,AccountCodes[NGAS CODE],0))))</f>
        <v>Other Service Income - CIS Amortization (Back Account)</v>
      </c>
      <c r="E317" s="24" t="s">
        <v>129</v>
      </c>
      <c r="F317" s="502">
        <v>500000</v>
      </c>
    </row>
    <row r="318" spans="1:6" x14ac:dyDescent="0.25">
      <c r="A318" s="308">
        <v>43281</v>
      </c>
      <c r="B318" s="24" t="s">
        <v>484</v>
      </c>
      <c r="C318" s="24" t="s">
        <v>487</v>
      </c>
      <c r="D318" s="136" t="str">
        <f t="array" ref="D318">IF(E318=0,0,(INDEX(AccountCodes[ACCOUNT NAME],MATCH(E318,AccountCodes[NGAS CODE],0))))</f>
        <v>Other Service Income - CIS Amortization (Back Account)</v>
      </c>
      <c r="E318" s="24" t="s">
        <v>129</v>
      </c>
      <c r="F318" s="502">
        <v>750000</v>
      </c>
    </row>
    <row r="319" spans="1:6" x14ac:dyDescent="0.25">
      <c r="A319" s="308">
        <v>43312</v>
      </c>
      <c r="B319" s="24" t="s">
        <v>484</v>
      </c>
      <c r="C319" s="24" t="s">
        <v>487</v>
      </c>
      <c r="D319" s="136" t="str">
        <f t="array" ref="D319">IF(E319=0,0,(INDEX(AccountCodes[ACCOUNT NAME],MATCH(E319,AccountCodes[NGAS CODE],0))))</f>
        <v>Other Service Income - CIS Amortization (Back Account)</v>
      </c>
      <c r="E319" s="24" t="s">
        <v>129</v>
      </c>
      <c r="F319" s="502">
        <v>400000</v>
      </c>
    </row>
    <row r="320" spans="1:6" x14ac:dyDescent="0.25">
      <c r="A320" s="308">
        <v>43404</v>
      </c>
      <c r="B320" s="24" t="s">
        <v>484</v>
      </c>
      <c r="C320" s="24" t="s">
        <v>487</v>
      </c>
      <c r="D320" s="136" t="str">
        <f t="array" ref="D320">IF(E320=0,0,(INDEX(AccountCodes[ACCOUNT NAME],MATCH(E320,AccountCodes[NGAS CODE],0))))</f>
        <v>Other Service Income - CIS Amortization (Back Account)</v>
      </c>
      <c r="E320" s="24" t="s">
        <v>129</v>
      </c>
      <c r="F320" s="502">
        <v>500000</v>
      </c>
    </row>
    <row r="321" spans="1:6" x14ac:dyDescent="0.25">
      <c r="A321" s="308">
        <v>43434</v>
      </c>
      <c r="B321" s="24" t="s">
        <v>484</v>
      </c>
      <c r="C321" s="24" t="s">
        <v>487</v>
      </c>
      <c r="D321" s="136" t="str">
        <f t="array" ref="D321">IF(E321=0,0,(INDEX(AccountCodes[ACCOUNT NAME],MATCH(E321,AccountCodes[NGAS CODE],0))))</f>
        <v>Other Service Income - CIS Amortization (Back Account)</v>
      </c>
      <c r="E321" s="24" t="s">
        <v>129</v>
      </c>
      <c r="F321" s="502">
        <v>300000</v>
      </c>
    </row>
    <row r="322" spans="1:6" x14ac:dyDescent="0.25">
      <c r="A322" s="308">
        <v>43465</v>
      </c>
      <c r="B322" s="24" t="s">
        <v>484</v>
      </c>
      <c r="C322" s="24" t="s">
        <v>487</v>
      </c>
      <c r="D322" s="136" t="str">
        <f t="array" ref="D322">IF(E322=0,0,(INDEX(AccountCodes[ACCOUNT NAME],MATCH(E322,AccountCodes[NGAS CODE],0))))</f>
        <v>Other Service Income - CIS Amortization (Back Account)</v>
      </c>
      <c r="E322" s="24" t="s">
        <v>129</v>
      </c>
      <c r="F322" s="502">
        <v>300000</v>
      </c>
    </row>
    <row r="323" spans="1:6" x14ac:dyDescent="0.25">
      <c r="A323" s="308">
        <v>43131</v>
      </c>
      <c r="B323" s="24" t="s">
        <v>484</v>
      </c>
      <c r="C323" s="24" t="s">
        <v>487</v>
      </c>
      <c r="D323" s="136" t="str">
        <f t="array" ref="D323">IF(E323=0,0,(INDEX(AccountCodes[ACCOUNT NAME],MATCH(E323,AccountCodes[NGAS CODE],0))))</f>
        <v>Income from Hostels/Dormitories and Other Like Facilities</v>
      </c>
      <c r="E323" s="309" t="s">
        <v>150</v>
      </c>
      <c r="F323" s="502">
        <v>1500</v>
      </c>
    </row>
    <row r="324" spans="1:6" x14ac:dyDescent="0.25">
      <c r="A324" s="308">
        <v>43159</v>
      </c>
      <c r="B324" s="24" t="s">
        <v>484</v>
      </c>
      <c r="C324" s="24" t="s">
        <v>487</v>
      </c>
      <c r="D324" s="136" t="str">
        <f t="array" ref="D324">IF(E324=0,0,(INDEX(AccountCodes[ACCOUNT NAME],MATCH(E324,AccountCodes[NGAS CODE],0))))</f>
        <v>Income from Hostels/Dormitories and Other Like Facilities</v>
      </c>
      <c r="E324" s="309" t="s">
        <v>150</v>
      </c>
      <c r="F324" s="502">
        <v>1500</v>
      </c>
    </row>
    <row r="325" spans="1:6" x14ac:dyDescent="0.25">
      <c r="A325" s="308">
        <v>43190</v>
      </c>
      <c r="B325" s="24" t="s">
        <v>484</v>
      </c>
      <c r="C325" s="24" t="s">
        <v>487</v>
      </c>
      <c r="D325" s="136" t="str">
        <f t="array" ref="D325">IF(E325=0,0,(INDEX(AccountCodes[ACCOUNT NAME],MATCH(E325,AccountCodes[NGAS CODE],0))))</f>
        <v>Income from Hostels/Dormitories and Other Like Facilities</v>
      </c>
      <c r="E325" s="309" t="s">
        <v>150</v>
      </c>
      <c r="F325" s="502">
        <v>1500</v>
      </c>
    </row>
    <row r="326" spans="1:6" x14ac:dyDescent="0.25">
      <c r="A326" s="308">
        <v>43220</v>
      </c>
      <c r="B326" s="24" t="s">
        <v>484</v>
      </c>
      <c r="C326" s="24" t="s">
        <v>487</v>
      </c>
      <c r="D326" s="136" t="str">
        <f t="array" ref="D326">IF(E326=0,0,(INDEX(AccountCodes[ACCOUNT NAME],MATCH(E326,AccountCodes[NGAS CODE],0))))</f>
        <v>Income from Hostels/Dormitories and Other Like Facilities</v>
      </c>
      <c r="E326" s="309" t="s">
        <v>150</v>
      </c>
      <c r="F326" s="502">
        <v>1500</v>
      </c>
    </row>
    <row r="327" spans="1:6" x14ac:dyDescent="0.25">
      <c r="A327" s="308">
        <v>43251</v>
      </c>
      <c r="B327" s="24" t="s">
        <v>484</v>
      </c>
      <c r="C327" s="24" t="s">
        <v>487</v>
      </c>
      <c r="D327" s="136" t="str">
        <f t="array" ref="D327">IF(E327=0,0,(INDEX(AccountCodes[ACCOUNT NAME],MATCH(E327,AccountCodes[NGAS CODE],0))))</f>
        <v>Income from Hostels/Dormitories and Other Like Facilities</v>
      </c>
      <c r="E327" s="309" t="s">
        <v>150</v>
      </c>
      <c r="F327" s="502">
        <v>1500</v>
      </c>
    </row>
    <row r="328" spans="1:6" x14ac:dyDescent="0.25">
      <c r="A328" s="308">
        <v>43281</v>
      </c>
      <c r="B328" s="24" t="s">
        <v>484</v>
      </c>
      <c r="C328" s="24" t="s">
        <v>487</v>
      </c>
      <c r="D328" s="136" t="str">
        <f t="array" ref="D328">IF(E328=0,0,(INDEX(AccountCodes[ACCOUNT NAME],MATCH(E328,AccountCodes[NGAS CODE],0))))</f>
        <v>Income from Hostels/Dormitories and Other Like Facilities</v>
      </c>
      <c r="E328" s="309" t="s">
        <v>150</v>
      </c>
      <c r="F328" s="502">
        <v>2000</v>
      </c>
    </row>
    <row r="329" spans="1:6" x14ac:dyDescent="0.25">
      <c r="A329" s="308">
        <v>43312</v>
      </c>
      <c r="B329" s="24" t="s">
        <v>484</v>
      </c>
      <c r="C329" s="24" t="s">
        <v>487</v>
      </c>
      <c r="D329" s="136" t="str">
        <f t="array" ref="D329">IF(E329=0,0,(INDEX(AccountCodes[ACCOUNT NAME],MATCH(E329,AccountCodes[NGAS CODE],0))))</f>
        <v>Income from Hostels/Dormitories and Other Like Facilities</v>
      </c>
      <c r="E329" s="309" t="s">
        <v>150</v>
      </c>
      <c r="F329" s="502">
        <v>2000</v>
      </c>
    </row>
    <row r="330" spans="1:6" x14ac:dyDescent="0.25">
      <c r="A330" s="308">
        <v>43343</v>
      </c>
      <c r="B330" s="24" t="s">
        <v>484</v>
      </c>
      <c r="C330" s="24" t="s">
        <v>487</v>
      </c>
      <c r="D330" s="136" t="str">
        <f t="array" ref="D330">IF(E330=0,0,(INDEX(AccountCodes[ACCOUNT NAME],MATCH(E330,AccountCodes[NGAS CODE],0))))</f>
        <v>Income from Hostels/Dormitories and Other Like Facilities</v>
      </c>
      <c r="E330" s="309" t="s">
        <v>150</v>
      </c>
      <c r="F330" s="502">
        <v>1500</v>
      </c>
    </row>
    <row r="331" spans="1:6" x14ac:dyDescent="0.25">
      <c r="A331" s="308">
        <v>43373</v>
      </c>
      <c r="B331" s="24" t="s">
        <v>484</v>
      </c>
      <c r="C331" s="24" t="s">
        <v>487</v>
      </c>
      <c r="D331" s="136" t="str">
        <f t="array" ref="D331">IF(E331=0,0,(INDEX(AccountCodes[ACCOUNT NAME],MATCH(E331,AccountCodes[NGAS CODE],0))))</f>
        <v>Income from Hostels/Dormitories and Other Like Facilities</v>
      </c>
      <c r="E331" s="309" t="s">
        <v>150</v>
      </c>
      <c r="F331" s="502">
        <v>1500</v>
      </c>
    </row>
    <row r="332" spans="1:6" x14ac:dyDescent="0.25">
      <c r="A332" s="308">
        <v>43404</v>
      </c>
      <c r="B332" s="24" t="s">
        <v>484</v>
      </c>
      <c r="C332" s="24" t="s">
        <v>487</v>
      </c>
      <c r="D332" s="136" t="str">
        <f t="array" ref="D332">IF(E332=0,0,(INDEX(AccountCodes[ACCOUNT NAME],MATCH(E332,AccountCodes[NGAS CODE],0))))</f>
        <v>Income from Hostels/Dormitories and Other Like Facilities</v>
      </c>
      <c r="E332" s="309" t="s">
        <v>150</v>
      </c>
      <c r="F332" s="502">
        <v>1500</v>
      </c>
    </row>
    <row r="333" spans="1:6" x14ac:dyDescent="0.25">
      <c r="A333" s="308">
        <v>43434</v>
      </c>
      <c r="B333" s="24" t="s">
        <v>484</v>
      </c>
      <c r="C333" s="24" t="s">
        <v>487</v>
      </c>
      <c r="D333" s="136" t="str">
        <f t="array" ref="D333">IF(E333=0,0,(INDEX(AccountCodes[ACCOUNT NAME],MATCH(E333,AccountCodes[NGAS CODE],0))))</f>
        <v>Income from Hostels/Dormitories and Other Like Facilities</v>
      </c>
      <c r="E333" s="309" t="s">
        <v>150</v>
      </c>
      <c r="F333" s="502">
        <v>2000</v>
      </c>
    </row>
    <row r="334" spans="1:6" x14ac:dyDescent="0.25">
      <c r="A334" s="308">
        <v>43465</v>
      </c>
      <c r="B334" s="24" t="s">
        <v>484</v>
      </c>
      <c r="C334" s="24" t="s">
        <v>487</v>
      </c>
      <c r="D334" s="136" t="str">
        <f t="array" ref="D334">IF(E334=0,0,(INDEX(AccountCodes[ACCOUNT NAME],MATCH(E334,AccountCodes[NGAS CODE],0))))</f>
        <v>Income from Hostels/Dormitories and Other Like Facilities</v>
      </c>
      <c r="E334" s="309" t="s">
        <v>150</v>
      </c>
      <c r="F334" s="502">
        <v>2000</v>
      </c>
    </row>
    <row r="335" spans="1:6" x14ac:dyDescent="0.25">
      <c r="A335" s="308">
        <v>43131</v>
      </c>
      <c r="B335" s="24" t="s">
        <v>484</v>
      </c>
      <c r="C335" s="24" t="s">
        <v>487</v>
      </c>
      <c r="D335" s="136" t="str">
        <f t="array" ref="D335">IF(E335=0,0,(INDEX(AccountCodes[ACCOUNT NAME],MATCH(E335,AccountCodes[NGAS CODE],0))))</f>
        <v>Miscellaneous Income (Bid Documents)</v>
      </c>
      <c r="E335" s="309" t="s">
        <v>155</v>
      </c>
      <c r="F335" s="502">
        <v>23000</v>
      </c>
    </row>
    <row r="336" spans="1:6" x14ac:dyDescent="0.25">
      <c r="A336" s="308">
        <v>43159</v>
      </c>
      <c r="B336" s="24" t="s">
        <v>484</v>
      </c>
      <c r="C336" s="24" t="s">
        <v>487</v>
      </c>
      <c r="D336" s="136" t="str">
        <f t="array" ref="D336">IF(E336=0,0,(INDEX(AccountCodes[ACCOUNT NAME],MATCH(E336,AccountCodes[NGAS CODE],0))))</f>
        <v>Miscellaneous Income (Bid Documents)</v>
      </c>
      <c r="E336" s="309" t="s">
        <v>155</v>
      </c>
      <c r="F336" s="502">
        <v>23000</v>
      </c>
    </row>
    <row r="337" spans="1:6" x14ac:dyDescent="0.25">
      <c r="A337" s="308">
        <v>43190</v>
      </c>
      <c r="B337" s="24" t="s">
        <v>484</v>
      </c>
      <c r="C337" s="24" t="s">
        <v>487</v>
      </c>
      <c r="D337" s="136" t="str">
        <f t="array" ref="D337">IF(E337=0,0,(INDEX(AccountCodes[ACCOUNT NAME],MATCH(E337,AccountCodes[NGAS CODE],0))))</f>
        <v>Miscellaneous Income (Bid Documents)</v>
      </c>
      <c r="E337" s="309" t="s">
        <v>155</v>
      </c>
      <c r="F337" s="502">
        <v>23000</v>
      </c>
    </row>
    <row r="338" spans="1:6" x14ac:dyDescent="0.25">
      <c r="A338" s="308">
        <v>43220</v>
      </c>
      <c r="B338" s="24" t="s">
        <v>484</v>
      </c>
      <c r="C338" s="24" t="s">
        <v>487</v>
      </c>
      <c r="D338" s="136" t="str">
        <f t="array" ref="D338">IF(E338=0,0,(INDEX(AccountCodes[ACCOUNT NAME],MATCH(E338,AccountCodes[NGAS CODE],0))))</f>
        <v>Miscellaneous Income (Bid Documents)</v>
      </c>
      <c r="E338" s="309" t="s">
        <v>155</v>
      </c>
      <c r="F338" s="502">
        <v>23000</v>
      </c>
    </row>
    <row r="339" spans="1:6" x14ac:dyDescent="0.25">
      <c r="A339" s="308">
        <v>43251</v>
      </c>
      <c r="B339" s="24" t="s">
        <v>484</v>
      </c>
      <c r="C339" s="24" t="s">
        <v>487</v>
      </c>
      <c r="D339" s="136" t="str">
        <f t="array" ref="D339">IF(E339=0,0,(INDEX(AccountCodes[ACCOUNT NAME],MATCH(E339,AccountCodes[NGAS CODE],0))))</f>
        <v>Miscellaneous Income (Bid Documents)</v>
      </c>
      <c r="E339" s="309" t="s">
        <v>155</v>
      </c>
      <c r="F339" s="502">
        <v>23000</v>
      </c>
    </row>
    <row r="340" spans="1:6" x14ac:dyDescent="0.25">
      <c r="A340" s="308">
        <v>43281</v>
      </c>
      <c r="B340" s="24" t="s">
        <v>484</v>
      </c>
      <c r="C340" s="24" t="s">
        <v>487</v>
      </c>
      <c r="D340" s="136" t="str">
        <f t="array" ref="D340">IF(E340=0,0,(INDEX(AccountCodes[ACCOUNT NAME],MATCH(E340,AccountCodes[NGAS CODE],0))))</f>
        <v>Miscellaneous Income (Bid Documents)</v>
      </c>
      <c r="E340" s="309" t="s">
        <v>155</v>
      </c>
      <c r="F340" s="502">
        <v>23000</v>
      </c>
    </row>
    <row r="341" spans="1:6" x14ac:dyDescent="0.25">
      <c r="A341" s="308">
        <v>43312</v>
      </c>
      <c r="B341" s="24" t="s">
        <v>484</v>
      </c>
      <c r="C341" s="24" t="s">
        <v>487</v>
      </c>
      <c r="D341" s="136" t="str">
        <f t="array" ref="D341">IF(E341=0,0,(INDEX(AccountCodes[ACCOUNT NAME],MATCH(E341,AccountCodes[NGAS CODE],0))))</f>
        <v>Miscellaneous Income (Bid Documents)</v>
      </c>
      <c r="E341" s="309" t="s">
        <v>155</v>
      </c>
      <c r="F341" s="502">
        <v>23000</v>
      </c>
    </row>
    <row r="342" spans="1:6" x14ac:dyDescent="0.25">
      <c r="A342" s="308">
        <v>43343</v>
      </c>
      <c r="B342" s="24" t="s">
        <v>484</v>
      </c>
      <c r="C342" s="24" t="s">
        <v>487</v>
      </c>
      <c r="D342" s="136" t="str">
        <f t="array" ref="D342">IF(E342=0,0,(INDEX(AccountCodes[ACCOUNT NAME],MATCH(E342,AccountCodes[NGAS CODE],0))))</f>
        <v>Miscellaneous Income (Bid Documents)</v>
      </c>
      <c r="E342" s="309" t="s">
        <v>155</v>
      </c>
      <c r="F342" s="502">
        <v>23000</v>
      </c>
    </row>
    <row r="343" spans="1:6" x14ac:dyDescent="0.25">
      <c r="A343" s="308">
        <v>43373</v>
      </c>
      <c r="B343" s="24" t="s">
        <v>484</v>
      </c>
      <c r="C343" s="24" t="s">
        <v>487</v>
      </c>
      <c r="D343" s="136" t="str">
        <f t="array" ref="D343">IF(E343=0,0,(INDEX(AccountCodes[ACCOUNT NAME],MATCH(E343,AccountCodes[NGAS CODE],0))))</f>
        <v>Miscellaneous Income (Bid Documents)</v>
      </c>
      <c r="E343" s="309" t="s">
        <v>155</v>
      </c>
      <c r="F343" s="502">
        <v>23000</v>
      </c>
    </row>
    <row r="344" spans="1:6" x14ac:dyDescent="0.25">
      <c r="A344" s="308">
        <v>43404</v>
      </c>
      <c r="B344" s="24" t="s">
        <v>484</v>
      </c>
      <c r="C344" s="24" t="s">
        <v>487</v>
      </c>
      <c r="D344" s="136" t="str">
        <f t="array" ref="D344">IF(E344=0,0,(INDEX(AccountCodes[ACCOUNT NAME],MATCH(E344,AccountCodes[NGAS CODE],0))))</f>
        <v>Miscellaneous Income (Bid Documents)</v>
      </c>
      <c r="E344" s="309" t="s">
        <v>155</v>
      </c>
      <c r="F344" s="502">
        <v>23000</v>
      </c>
    </row>
    <row r="345" spans="1:6" x14ac:dyDescent="0.25">
      <c r="A345" s="308">
        <v>43434</v>
      </c>
      <c r="B345" s="24" t="s">
        <v>484</v>
      </c>
      <c r="C345" s="24" t="s">
        <v>487</v>
      </c>
      <c r="D345" s="136" t="str">
        <f t="array" ref="D345">IF(E345=0,0,(INDEX(AccountCodes[ACCOUNT NAME],MATCH(E345,AccountCodes[NGAS CODE],0))))</f>
        <v>Miscellaneous Income (Bid Documents)</v>
      </c>
      <c r="E345" s="309" t="s">
        <v>155</v>
      </c>
      <c r="F345" s="502">
        <v>23000</v>
      </c>
    </row>
    <row r="346" spans="1:6" x14ac:dyDescent="0.25">
      <c r="A346" s="308">
        <v>43465</v>
      </c>
      <c r="B346" s="24" t="s">
        <v>484</v>
      </c>
      <c r="C346" s="24" t="s">
        <v>487</v>
      </c>
      <c r="D346" s="136" t="str">
        <f t="array" ref="D346">IF(E346=0,0,(INDEX(AccountCodes[ACCOUNT NAME],MATCH(E346,AccountCodes[NGAS CODE],0))))</f>
        <v>Miscellaneous Income (Bid Documents)</v>
      </c>
      <c r="E346" s="309" t="s">
        <v>155</v>
      </c>
      <c r="F346" s="502">
        <v>27000</v>
      </c>
    </row>
    <row r="347" spans="1:6" x14ac:dyDescent="0.25">
      <c r="A347" s="308">
        <v>43131</v>
      </c>
      <c r="B347" s="24" t="s">
        <v>484</v>
      </c>
      <c r="C347" s="24" t="s">
        <v>487</v>
      </c>
      <c r="D347" s="136" t="str">
        <f t="array" ref="D347">IF(E347=0,0,(INDEX(AccountCodes[ACCOUNT NAME],MATCH(E347,AccountCodes[NGAS CODE],0))))</f>
        <v>Miscellaneous Income (Others)</v>
      </c>
      <c r="E347" s="24" t="s">
        <v>160</v>
      </c>
      <c r="F347" s="502">
        <v>211100</v>
      </c>
    </row>
    <row r="348" spans="1:6" x14ac:dyDescent="0.25">
      <c r="A348" s="308">
        <v>43159</v>
      </c>
      <c r="B348" s="24" t="s">
        <v>484</v>
      </c>
      <c r="C348" s="24" t="s">
        <v>487</v>
      </c>
      <c r="D348" s="136" t="str">
        <f t="array" ref="D348">IF(E348=0,0,(INDEX(AccountCodes[ACCOUNT NAME],MATCH(E348,AccountCodes[NGAS CODE],0))))</f>
        <v>Miscellaneous Income (Others)</v>
      </c>
      <c r="E348" s="24" t="s">
        <v>160</v>
      </c>
      <c r="F348" s="502">
        <v>211100</v>
      </c>
    </row>
    <row r="349" spans="1:6" x14ac:dyDescent="0.25">
      <c r="A349" s="308">
        <v>43190</v>
      </c>
      <c r="B349" s="24" t="s">
        <v>484</v>
      </c>
      <c r="C349" s="24" t="s">
        <v>487</v>
      </c>
      <c r="D349" s="136" t="str">
        <f t="array" ref="D349">IF(E349=0,0,(INDEX(AccountCodes[ACCOUNT NAME],MATCH(E349,AccountCodes[NGAS CODE],0))))</f>
        <v>Miscellaneous Income (Others)</v>
      </c>
      <c r="E349" s="24" t="s">
        <v>160</v>
      </c>
      <c r="F349" s="502">
        <v>211100</v>
      </c>
    </row>
    <row r="350" spans="1:6" x14ac:dyDescent="0.25">
      <c r="A350" s="308">
        <v>43220</v>
      </c>
      <c r="B350" s="24" t="s">
        <v>484</v>
      </c>
      <c r="C350" s="24" t="s">
        <v>487</v>
      </c>
      <c r="D350" s="136" t="str">
        <f t="array" ref="D350">IF(E350=0,0,(INDEX(AccountCodes[ACCOUNT NAME],MATCH(E350,AccountCodes[NGAS CODE],0))))</f>
        <v>Miscellaneous Income (Others)</v>
      </c>
      <c r="E350" s="24" t="s">
        <v>160</v>
      </c>
      <c r="F350" s="502">
        <v>211100</v>
      </c>
    </row>
    <row r="351" spans="1:6" x14ac:dyDescent="0.25">
      <c r="A351" s="308">
        <v>43251</v>
      </c>
      <c r="B351" s="24" t="s">
        <v>484</v>
      </c>
      <c r="C351" s="24" t="s">
        <v>487</v>
      </c>
      <c r="D351" s="136" t="str">
        <f t="array" ref="D351">IF(E351=0,0,(INDEX(AccountCodes[ACCOUNT NAME],MATCH(E351,AccountCodes[NGAS CODE],0))))</f>
        <v>Miscellaneous Income (Others)</v>
      </c>
      <c r="E351" s="24" t="s">
        <v>160</v>
      </c>
      <c r="F351" s="502">
        <v>211100</v>
      </c>
    </row>
    <row r="352" spans="1:6" x14ac:dyDescent="0.25">
      <c r="A352" s="308">
        <v>43281</v>
      </c>
      <c r="B352" s="24" t="s">
        <v>484</v>
      </c>
      <c r="C352" s="24" t="s">
        <v>487</v>
      </c>
      <c r="D352" s="136" t="str">
        <f t="array" ref="D352">IF(E352=0,0,(INDEX(AccountCodes[ACCOUNT NAME],MATCH(E352,AccountCodes[NGAS CODE],0))))</f>
        <v>Miscellaneous Income (Others)</v>
      </c>
      <c r="E352" s="24" t="s">
        <v>160</v>
      </c>
      <c r="F352" s="502">
        <v>211100</v>
      </c>
    </row>
    <row r="353" spans="1:6" x14ac:dyDescent="0.25">
      <c r="A353" s="308">
        <v>43312</v>
      </c>
      <c r="B353" s="24" t="s">
        <v>484</v>
      </c>
      <c r="C353" s="24" t="s">
        <v>487</v>
      </c>
      <c r="D353" s="136" t="str">
        <f t="array" ref="D353">IF(E353=0,0,(INDEX(AccountCodes[ACCOUNT NAME],MATCH(E353,AccountCodes[NGAS CODE],0))))</f>
        <v>Miscellaneous Income (Others)</v>
      </c>
      <c r="E353" s="24" t="s">
        <v>160</v>
      </c>
      <c r="F353" s="502">
        <v>213100</v>
      </c>
    </row>
    <row r="354" spans="1:6" x14ac:dyDescent="0.25">
      <c r="A354" s="308">
        <v>43343</v>
      </c>
      <c r="B354" s="24" t="s">
        <v>484</v>
      </c>
      <c r="C354" s="24" t="s">
        <v>487</v>
      </c>
      <c r="D354" s="136" t="str">
        <f t="array" ref="D354">IF(E354=0,0,(INDEX(AccountCodes[ACCOUNT NAME],MATCH(E354,AccountCodes[NGAS CODE],0))))</f>
        <v>Miscellaneous Income (Others)</v>
      </c>
      <c r="E354" s="24" t="s">
        <v>160</v>
      </c>
      <c r="F354" s="502">
        <v>213100</v>
      </c>
    </row>
    <row r="355" spans="1:6" x14ac:dyDescent="0.25">
      <c r="A355" s="308">
        <v>43373</v>
      </c>
      <c r="B355" s="24" t="s">
        <v>484</v>
      </c>
      <c r="C355" s="24" t="s">
        <v>487</v>
      </c>
      <c r="D355" s="136" t="str">
        <f t="array" ref="D355">IF(E355=0,0,(INDEX(AccountCodes[ACCOUNT NAME],MATCH(E355,AccountCodes[NGAS CODE],0))))</f>
        <v>Miscellaneous Income (Others)</v>
      </c>
      <c r="E355" s="24" t="s">
        <v>160</v>
      </c>
      <c r="F355" s="502">
        <v>211100</v>
      </c>
    </row>
    <row r="356" spans="1:6" x14ac:dyDescent="0.25">
      <c r="A356" s="308">
        <v>43404</v>
      </c>
      <c r="B356" s="24" t="s">
        <v>484</v>
      </c>
      <c r="C356" s="24" t="s">
        <v>487</v>
      </c>
      <c r="D356" s="136" t="str">
        <f t="array" ref="D356">IF(E356=0,0,(INDEX(AccountCodes[ACCOUNT NAME],MATCH(E356,AccountCodes[NGAS CODE],0))))</f>
        <v>Miscellaneous Income (Others)</v>
      </c>
      <c r="E356" s="24" t="s">
        <v>160</v>
      </c>
      <c r="F356" s="502">
        <v>211100</v>
      </c>
    </row>
    <row r="357" spans="1:6" x14ac:dyDescent="0.25">
      <c r="A357" s="308">
        <v>43434</v>
      </c>
      <c r="B357" s="24" t="s">
        <v>484</v>
      </c>
      <c r="C357" s="24" t="s">
        <v>487</v>
      </c>
      <c r="D357" s="136" t="str">
        <f t="array" ref="D357">IF(E357=0,0,(INDEX(AccountCodes[ACCOUNT NAME],MATCH(E357,AccountCodes[NGAS CODE],0))))</f>
        <v>Miscellaneous Income (Others)</v>
      </c>
      <c r="E357" s="24" t="s">
        <v>160</v>
      </c>
      <c r="F357" s="502">
        <v>217100</v>
      </c>
    </row>
    <row r="358" spans="1:6" x14ac:dyDescent="0.25">
      <c r="A358" s="308">
        <v>43465</v>
      </c>
      <c r="B358" s="24" t="s">
        <v>484</v>
      </c>
      <c r="C358" s="24" t="s">
        <v>487</v>
      </c>
      <c r="D358" s="136" t="str">
        <f t="array" ref="D358">IF(E358=0,0,(INDEX(AccountCodes[ACCOUNT NAME],MATCH(E358,AccountCodes[NGAS CODE],0))))</f>
        <v>Miscellaneous Income (Others)</v>
      </c>
      <c r="E358" s="24" t="s">
        <v>160</v>
      </c>
      <c r="F358" s="502">
        <v>217900</v>
      </c>
    </row>
    <row r="359" spans="1:6" x14ac:dyDescent="0.25">
      <c r="A359" s="308">
        <v>43131</v>
      </c>
      <c r="B359" s="24" t="s">
        <v>484</v>
      </c>
      <c r="C359" s="24" t="s">
        <v>487</v>
      </c>
      <c r="D359" s="136" t="str">
        <f t="array" ref="D359">IF(E359=0,0,(INDEX(AccountCodes[ACCOUNT NAME],MATCH(E359,AccountCodes[NGAS CODE],0))))</f>
        <v>Miscellaneous Income (Power)</v>
      </c>
      <c r="E359" s="24" t="s">
        <v>352</v>
      </c>
      <c r="F359" s="502">
        <v>1500000</v>
      </c>
    </row>
    <row r="360" spans="1:6" x14ac:dyDescent="0.25">
      <c r="A360" s="308">
        <v>43159</v>
      </c>
      <c r="B360" s="24" t="s">
        <v>484</v>
      </c>
      <c r="C360" s="24" t="s">
        <v>487</v>
      </c>
      <c r="D360" s="136" t="str">
        <f t="array" ref="D360">IF(E360=0,0,(INDEX(AccountCodes[ACCOUNT NAME],MATCH(E360,AccountCodes[NGAS CODE],0))))</f>
        <v>Miscellaneous Income (Power)</v>
      </c>
      <c r="E360" s="24" t="s">
        <v>352</v>
      </c>
      <c r="F360" s="502">
        <v>1000000</v>
      </c>
    </row>
    <row r="361" spans="1:6" x14ac:dyDescent="0.25">
      <c r="A361" s="308">
        <v>43190</v>
      </c>
      <c r="B361" s="24" t="s">
        <v>484</v>
      </c>
      <c r="C361" s="24" t="s">
        <v>487</v>
      </c>
      <c r="D361" s="136" t="str">
        <f t="array" ref="D361">IF(E361=0,0,(INDEX(AccountCodes[ACCOUNT NAME],MATCH(E361,AccountCodes[NGAS CODE],0))))</f>
        <v>Miscellaneous Income (Power)</v>
      </c>
      <c r="E361" s="24" t="s">
        <v>352</v>
      </c>
      <c r="F361" s="502">
        <v>1000000</v>
      </c>
    </row>
    <row r="362" spans="1:6" x14ac:dyDescent="0.25">
      <c r="A362" s="308">
        <v>43220</v>
      </c>
      <c r="B362" s="24" t="s">
        <v>484</v>
      </c>
      <c r="C362" s="24" t="s">
        <v>487</v>
      </c>
      <c r="D362" s="136" t="str">
        <f t="array" ref="D362">IF(E362=0,0,(INDEX(AccountCodes[ACCOUNT NAME],MATCH(E362,AccountCodes[NGAS CODE],0))))</f>
        <v>Miscellaneous Income (Power)</v>
      </c>
      <c r="E362" s="24" t="s">
        <v>352</v>
      </c>
      <c r="F362" s="502">
        <v>1500000</v>
      </c>
    </row>
    <row r="363" spans="1:6" x14ac:dyDescent="0.25">
      <c r="A363" s="308">
        <v>43251</v>
      </c>
      <c r="B363" s="24" t="s">
        <v>484</v>
      </c>
      <c r="C363" s="24" t="s">
        <v>487</v>
      </c>
      <c r="D363" s="136" t="str">
        <f t="array" ref="D363">IF(E363=0,0,(INDEX(AccountCodes[ACCOUNT NAME],MATCH(E363,AccountCodes[NGAS CODE],0))))</f>
        <v>Miscellaneous Income (Power)</v>
      </c>
      <c r="E363" s="24" t="s">
        <v>352</v>
      </c>
      <c r="F363" s="502">
        <v>2500000</v>
      </c>
    </row>
    <row r="364" spans="1:6" x14ac:dyDescent="0.25">
      <c r="A364" s="308">
        <v>43281</v>
      </c>
      <c r="B364" s="24" t="s">
        <v>484</v>
      </c>
      <c r="C364" s="24" t="s">
        <v>487</v>
      </c>
      <c r="D364" s="136" t="str">
        <f t="array" ref="D364">IF(E364=0,0,(INDEX(AccountCodes[ACCOUNT NAME],MATCH(E364,AccountCodes[NGAS CODE],0))))</f>
        <v>Miscellaneous Income (Power)</v>
      </c>
      <c r="E364" s="24" t="s">
        <v>352</v>
      </c>
      <c r="F364" s="502">
        <v>1000000</v>
      </c>
    </row>
    <row r="365" spans="1:6" x14ac:dyDescent="0.25">
      <c r="A365" s="308">
        <v>43312</v>
      </c>
      <c r="B365" s="24" t="s">
        <v>484</v>
      </c>
      <c r="C365" s="24" t="s">
        <v>487</v>
      </c>
      <c r="D365" s="136" t="str">
        <f t="array" ref="D365">IF(E365=0,0,(INDEX(AccountCodes[ACCOUNT NAME],MATCH(E365,AccountCodes[NGAS CODE],0))))</f>
        <v>Miscellaneous Income (Power)</v>
      </c>
      <c r="E365" s="24" t="s">
        <v>352</v>
      </c>
      <c r="F365" s="502">
        <v>500000</v>
      </c>
    </row>
    <row r="366" spans="1:6" x14ac:dyDescent="0.25">
      <c r="A366" s="308">
        <v>43373</v>
      </c>
      <c r="B366" s="24" t="s">
        <v>484</v>
      </c>
      <c r="C366" s="24" t="s">
        <v>487</v>
      </c>
      <c r="D366" s="136" t="str">
        <f t="array" ref="D366">IF(E366=0,0,(INDEX(AccountCodes[ACCOUNT NAME],MATCH(E366,AccountCodes[NGAS CODE],0))))</f>
        <v>Miscellaneous Income (Power)</v>
      </c>
      <c r="E366" s="24" t="s">
        <v>352</v>
      </c>
      <c r="F366" s="502">
        <v>500000</v>
      </c>
    </row>
    <row r="367" spans="1:6" x14ac:dyDescent="0.25">
      <c r="A367" s="308">
        <v>43404</v>
      </c>
      <c r="B367" s="24" t="s">
        <v>484</v>
      </c>
      <c r="C367" s="24" t="s">
        <v>487</v>
      </c>
      <c r="D367" s="136" t="str">
        <f t="array" ref="D367">IF(E367=0,0,(INDEX(AccountCodes[ACCOUNT NAME],MATCH(E367,AccountCodes[NGAS CODE],0))))</f>
        <v>Miscellaneous Income (Power)</v>
      </c>
      <c r="E367" s="24" t="s">
        <v>352</v>
      </c>
      <c r="F367" s="502">
        <v>1000000</v>
      </c>
    </row>
    <row r="368" spans="1:6" x14ac:dyDescent="0.25">
      <c r="A368" s="308">
        <v>43434</v>
      </c>
      <c r="B368" s="24" t="s">
        <v>484</v>
      </c>
      <c r="C368" s="24" t="s">
        <v>487</v>
      </c>
      <c r="D368" s="136" t="str">
        <f t="array" ref="D368">IF(E368=0,0,(INDEX(AccountCodes[ACCOUNT NAME],MATCH(E368,AccountCodes[NGAS CODE],0))))</f>
        <v>Miscellaneous Income (Power)</v>
      </c>
      <c r="E368" s="24" t="s">
        <v>352</v>
      </c>
      <c r="F368" s="502">
        <v>3000000</v>
      </c>
    </row>
    <row r="369" spans="1:6" x14ac:dyDescent="0.25">
      <c r="A369" s="308">
        <v>43465</v>
      </c>
      <c r="B369" s="24" t="s">
        <v>484</v>
      </c>
      <c r="C369" s="24" t="s">
        <v>487</v>
      </c>
      <c r="D369" s="136" t="str">
        <f t="array" ref="D369">IF(E369=0,0,(INDEX(AccountCodes[ACCOUNT NAME],MATCH(E369,AccountCodes[NGAS CODE],0))))</f>
        <v>Miscellaneous Income (Power)</v>
      </c>
      <c r="E369" s="24" t="s">
        <v>352</v>
      </c>
      <c r="F369" s="502">
        <v>1500000</v>
      </c>
    </row>
    <row r="370" spans="1:6" x14ac:dyDescent="0.25">
      <c r="A370" s="308">
        <v>43131</v>
      </c>
      <c r="B370" s="24" t="s">
        <v>484</v>
      </c>
      <c r="C370" s="24" t="s">
        <v>487</v>
      </c>
      <c r="D370" s="136" t="str">
        <f t="array" ref="D370">IF(E370=0,0,(INDEX(AccountCodes[ACCOUNT NAME],MATCH(E370,AccountCodes[NGAS CODE],0))))</f>
        <v>Salaries and Wages-Regular</v>
      </c>
      <c r="E370" s="24" t="s">
        <v>162</v>
      </c>
      <c r="F370" s="502">
        <v>1012558</v>
      </c>
    </row>
    <row r="371" spans="1:6" x14ac:dyDescent="0.25">
      <c r="A371" s="308">
        <v>43159</v>
      </c>
      <c r="B371" s="24" t="s">
        <v>484</v>
      </c>
      <c r="C371" s="24" t="s">
        <v>487</v>
      </c>
      <c r="D371" s="136" t="str">
        <f t="array" ref="D371">IF(E371=0,0,(INDEX(AccountCodes[ACCOUNT NAME],MATCH(E371,AccountCodes[NGAS CODE],0))))</f>
        <v>Salaries and Wages-Regular</v>
      </c>
      <c r="E371" s="24" t="s">
        <v>162</v>
      </c>
      <c r="F371" s="502">
        <v>1012558</v>
      </c>
    </row>
    <row r="372" spans="1:6" x14ac:dyDescent="0.25">
      <c r="A372" s="308">
        <v>43190</v>
      </c>
      <c r="B372" s="24" t="s">
        <v>484</v>
      </c>
      <c r="C372" s="24" t="s">
        <v>487</v>
      </c>
      <c r="D372" s="136" t="str">
        <f t="array" ref="D372">IF(E372=0,0,(INDEX(AccountCodes[ACCOUNT NAME],MATCH(E372,AccountCodes[NGAS CODE],0))))</f>
        <v>Salaries and Wages-Regular</v>
      </c>
      <c r="E372" s="24" t="s">
        <v>162</v>
      </c>
      <c r="F372" s="502">
        <v>1012819</v>
      </c>
    </row>
    <row r="373" spans="1:6" x14ac:dyDescent="0.25">
      <c r="A373" s="308">
        <v>43220</v>
      </c>
      <c r="B373" s="24" t="s">
        <v>484</v>
      </c>
      <c r="C373" s="24" t="s">
        <v>487</v>
      </c>
      <c r="D373" s="136" t="str">
        <f t="array" ref="D373">IF(E373=0,0,(INDEX(AccountCodes[ACCOUNT NAME],MATCH(E373,AccountCodes[NGAS CODE],0))))</f>
        <v>Salaries and Wages-Regular</v>
      </c>
      <c r="E373" s="24" t="s">
        <v>162</v>
      </c>
      <c r="F373" s="502">
        <v>1012819</v>
      </c>
    </row>
    <row r="374" spans="1:6" x14ac:dyDescent="0.25">
      <c r="A374" s="308">
        <v>43251</v>
      </c>
      <c r="B374" s="24" t="s">
        <v>484</v>
      </c>
      <c r="C374" s="24" t="s">
        <v>487</v>
      </c>
      <c r="D374" s="136" t="str">
        <f t="array" ref="D374">IF(E374=0,0,(INDEX(AccountCodes[ACCOUNT NAME],MATCH(E374,AccountCodes[NGAS CODE],0))))</f>
        <v>Salaries and Wages-Regular</v>
      </c>
      <c r="E374" s="24" t="s">
        <v>162</v>
      </c>
      <c r="F374" s="502">
        <v>1012819</v>
      </c>
    </row>
    <row r="375" spans="1:6" x14ac:dyDescent="0.25">
      <c r="A375" s="308">
        <v>43281</v>
      </c>
      <c r="B375" s="24" t="s">
        <v>484</v>
      </c>
      <c r="C375" s="24" t="s">
        <v>487</v>
      </c>
      <c r="D375" s="136" t="str">
        <f t="array" ref="D375">IF(E375=0,0,(INDEX(AccountCodes[ACCOUNT NAME],MATCH(E375,AccountCodes[NGAS CODE],0))))</f>
        <v>Salaries and Wages-Regular</v>
      </c>
      <c r="E375" s="24" t="s">
        <v>162</v>
      </c>
      <c r="F375" s="502">
        <v>1012819</v>
      </c>
    </row>
    <row r="376" spans="1:6" x14ac:dyDescent="0.25">
      <c r="A376" s="308">
        <v>43312</v>
      </c>
      <c r="B376" s="24" t="s">
        <v>484</v>
      </c>
      <c r="C376" s="24" t="s">
        <v>487</v>
      </c>
      <c r="D376" s="136" t="str">
        <f t="array" ref="D376">IF(E376=0,0,(INDEX(AccountCodes[ACCOUNT NAME],MATCH(E376,AccountCodes[NGAS CODE],0))))</f>
        <v>Salaries and Wages-Regular</v>
      </c>
      <c r="E376" s="24" t="s">
        <v>162</v>
      </c>
      <c r="F376" s="502">
        <v>1013483</v>
      </c>
    </row>
    <row r="377" spans="1:6" x14ac:dyDescent="0.25">
      <c r="A377" s="308">
        <v>43343</v>
      </c>
      <c r="B377" s="24" t="s">
        <v>484</v>
      </c>
      <c r="C377" s="24" t="s">
        <v>487</v>
      </c>
      <c r="D377" s="136" t="str">
        <f t="array" ref="D377">IF(E377=0,0,(INDEX(AccountCodes[ACCOUNT NAME],MATCH(E377,AccountCodes[NGAS CODE],0))))</f>
        <v>Salaries and Wages-Regular</v>
      </c>
      <c r="E377" s="24" t="s">
        <v>162</v>
      </c>
      <c r="F377" s="502">
        <v>1013912</v>
      </c>
    </row>
    <row r="378" spans="1:6" x14ac:dyDescent="0.25">
      <c r="A378" s="308">
        <v>43373</v>
      </c>
      <c r="B378" s="24" t="s">
        <v>484</v>
      </c>
      <c r="C378" s="24" t="s">
        <v>487</v>
      </c>
      <c r="D378" s="136" t="str">
        <f t="array" ref="D378">IF(E378=0,0,(INDEX(AccountCodes[ACCOUNT NAME],MATCH(E378,AccountCodes[NGAS CODE],0))))</f>
        <v>Salaries and Wages-Regular</v>
      </c>
      <c r="E378" s="24" t="s">
        <v>162</v>
      </c>
      <c r="F378" s="502">
        <v>1014540</v>
      </c>
    </row>
    <row r="379" spans="1:6" x14ac:dyDescent="0.25">
      <c r="A379" s="308">
        <v>43404</v>
      </c>
      <c r="B379" s="24" t="s">
        <v>484</v>
      </c>
      <c r="C379" s="24" t="s">
        <v>487</v>
      </c>
      <c r="D379" s="136" t="str">
        <f t="array" ref="D379">IF(E379=0,0,(INDEX(AccountCodes[ACCOUNT NAME],MATCH(E379,AccountCodes[NGAS CODE],0))))</f>
        <v>Salaries and Wages-Regular</v>
      </c>
      <c r="E379" s="24" t="s">
        <v>162</v>
      </c>
      <c r="F379" s="502">
        <v>1014958</v>
      </c>
    </row>
    <row r="380" spans="1:6" x14ac:dyDescent="0.25">
      <c r="A380" s="308">
        <v>43434</v>
      </c>
      <c r="B380" s="24" t="s">
        <v>484</v>
      </c>
      <c r="C380" s="24" t="s">
        <v>487</v>
      </c>
      <c r="D380" s="136" t="str">
        <f t="array" ref="D380">IF(E380=0,0,(INDEX(AccountCodes[ACCOUNT NAME],MATCH(E380,AccountCodes[NGAS CODE],0))))</f>
        <v>Salaries and Wages-Regular</v>
      </c>
      <c r="E380" s="24" t="s">
        <v>162</v>
      </c>
      <c r="F380" s="502">
        <v>1015266</v>
      </c>
    </row>
    <row r="381" spans="1:6" x14ac:dyDescent="0.25">
      <c r="A381" s="308">
        <v>43465</v>
      </c>
      <c r="B381" s="24" t="s">
        <v>484</v>
      </c>
      <c r="C381" s="24" t="s">
        <v>487</v>
      </c>
      <c r="D381" s="136" t="str">
        <f t="array" ref="D381">IF(E381=0,0,(INDEX(AccountCodes[ACCOUNT NAME],MATCH(E381,AccountCodes[NGAS CODE],0))))</f>
        <v>Salaries and Wages-Regular</v>
      </c>
      <c r="E381" s="24" t="s">
        <v>162</v>
      </c>
      <c r="F381" s="502">
        <v>1015266</v>
      </c>
    </row>
    <row r="382" spans="1:6" x14ac:dyDescent="0.25">
      <c r="A382" s="308">
        <v>43131</v>
      </c>
      <c r="B382" s="24" t="s">
        <v>484</v>
      </c>
      <c r="C382" s="24" t="s">
        <v>487</v>
      </c>
      <c r="D382" s="136" t="str">
        <f t="array" ref="D382">IF(E382=0,0,(INDEX(AccountCodes[ACCOUNT NAME],MATCH(E382,AccountCodes[NGAS CODE],0))))</f>
        <v>Personal Economic Relief Allowance (PERA)</v>
      </c>
      <c r="E382" s="24" t="s">
        <v>164</v>
      </c>
      <c r="F382" s="502">
        <v>92000</v>
      </c>
    </row>
    <row r="383" spans="1:6" x14ac:dyDescent="0.25">
      <c r="A383" s="308">
        <v>43159</v>
      </c>
      <c r="B383" s="24" t="s">
        <v>484</v>
      </c>
      <c r="C383" s="24" t="s">
        <v>487</v>
      </c>
      <c r="D383" s="136" t="str">
        <f t="array" ref="D383">IF(E383=0,0,(INDEX(AccountCodes[ACCOUNT NAME],MATCH(E383,AccountCodes[NGAS CODE],0))))</f>
        <v>Personal Economic Relief Allowance (PERA)</v>
      </c>
      <c r="E383" s="24" t="s">
        <v>164</v>
      </c>
      <c r="F383" s="502">
        <v>92000</v>
      </c>
    </row>
    <row r="384" spans="1:6" x14ac:dyDescent="0.25">
      <c r="A384" s="308">
        <v>43190</v>
      </c>
      <c r="B384" s="24" t="s">
        <v>484</v>
      </c>
      <c r="C384" s="24" t="s">
        <v>487</v>
      </c>
      <c r="D384" s="136" t="str">
        <f t="array" ref="D384">IF(E384=0,0,(INDEX(AccountCodes[ACCOUNT NAME],MATCH(E384,AccountCodes[NGAS CODE],0))))</f>
        <v>Personal Economic Relief Allowance (PERA)</v>
      </c>
      <c r="E384" s="24" t="s">
        <v>164</v>
      </c>
      <c r="F384" s="502">
        <v>92000</v>
      </c>
    </row>
    <row r="385" spans="1:6" x14ac:dyDescent="0.25">
      <c r="A385" s="308">
        <v>43220</v>
      </c>
      <c r="B385" s="24" t="s">
        <v>484</v>
      </c>
      <c r="C385" s="24" t="s">
        <v>487</v>
      </c>
      <c r="D385" s="136" t="str">
        <f t="array" ref="D385">IF(E385=0,0,(INDEX(AccountCodes[ACCOUNT NAME],MATCH(E385,AccountCodes[NGAS CODE],0))))</f>
        <v>Personal Economic Relief Allowance (PERA)</v>
      </c>
      <c r="E385" s="24" t="s">
        <v>164</v>
      </c>
      <c r="F385" s="502">
        <v>92000</v>
      </c>
    </row>
    <row r="386" spans="1:6" x14ac:dyDescent="0.25">
      <c r="A386" s="308">
        <v>43251</v>
      </c>
      <c r="B386" s="24" t="s">
        <v>484</v>
      </c>
      <c r="C386" s="24" t="s">
        <v>487</v>
      </c>
      <c r="D386" s="136" t="str">
        <f t="array" ref="D386">IF(E386=0,0,(INDEX(AccountCodes[ACCOUNT NAME],MATCH(E386,AccountCodes[NGAS CODE],0))))</f>
        <v>Personal Economic Relief Allowance (PERA)</v>
      </c>
      <c r="E386" s="24" t="s">
        <v>164</v>
      </c>
      <c r="F386" s="502">
        <v>92000</v>
      </c>
    </row>
    <row r="387" spans="1:6" x14ac:dyDescent="0.25">
      <c r="A387" s="308">
        <v>43281</v>
      </c>
      <c r="B387" s="24" t="s">
        <v>484</v>
      </c>
      <c r="C387" s="24" t="s">
        <v>487</v>
      </c>
      <c r="D387" s="136" t="str">
        <f t="array" ref="D387">IF(E387=0,0,(INDEX(AccountCodes[ACCOUNT NAME],MATCH(E387,AccountCodes[NGAS CODE],0))))</f>
        <v>Personal Economic Relief Allowance (PERA)</v>
      </c>
      <c r="E387" s="24" t="s">
        <v>164</v>
      </c>
      <c r="F387" s="502">
        <v>92000</v>
      </c>
    </row>
    <row r="388" spans="1:6" x14ac:dyDescent="0.25">
      <c r="A388" s="308">
        <v>43312</v>
      </c>
      <c r="B388" s="24" t="s">
        <v>484</v>
      </c>
      <c r="C388" s="24" t="s">
        <v>487</v>
      </c>
      <c r="D388" s="136" t="str">
        <f t="array" ref="D388">IF(E388=0,0,(INDEX(AccountCodes[ACCOUNT NAME],MATCH(E388,AccountCodes[NGAS CODE],0))))</f>
        <v>Personal Economic Relief Allowance (PERA)</v>
      </c>
      <c r="E388" s="24" t="s">
        <v>164</v>
      </c>
      <c r="F388" s="502">
        <v>92000</v>
      </c>
    </row>
    <row r="389" spans="1:6" x14ac:dyDescent="0.25">
      <c r="A389" s="308">
        <v>43343</v>
      </c>
      <c r="B389" s="24" t="s">
        <v>484</v>
      </c>
      <c r="C389" s="24" t="s">
        <v>487</v>
      </c>
      <c r="D389" s="136" t="str">
        <f t="array" ref="D389">IF(E389=0,0,(INDEX(AccountCodes[ACCOUNT NAME],MATCH(E389,AccountCodes[NGAS CODE],0))))</f>
        <v>Personal Economic Relief Allowance (PERA)</v>
      </c>
      <c r="E389" s="24" t="s">
        <v>164</v>
      </c>
      <c r="F389" s="502">
        <v>92000</v>
      </c>
    </row>
    <row r="390" spans="1:6" x14ac:dyDescent="0.25">
      <c r="A390" s="308">
        <v>43373</v>
      </c>
      <c r="B390" s="24" t="s">
        <v>484</v>
      </c>
      <c r="C390" s="24" t="s">
        <v>487</v>
      </c>
      <c r="D390" s="136" t="str">
        <f t="array" ref="D390">IF(E390=0,0,(INDEX(AccountCodes[ACCOUNT NAME],MATCH(E390,AccountCodes[NGAS CODE],0))))</f>
        <v>Personal Economic Relief Allowance (PERA)</v>
      </c>
      <c r="E390" s="24" t="s">
        <v>164</v>
      </c>
      <c r="F390" s="502">
        <v>92000</v>
      </c>
    </row>
    <row r="391" spans="1:6" x14ac:dyDescent="0.25">
      <c r="A391" s="308">
        <v>43404</v>
      </c>
      <c r="B391" s="24" t="s">
        <v>484</v>
      </c>
      <c r="C391" s="24" t="s">
        <v>487</v>
      </c>
      <c r="D391" s="136" t="str">
        <f t="array" ref="D391">IF(E391=0,0,(INDEX(AccountCodes[ACCOUNT NAME],MATCH(E391,AccountCodes[NGAS CODE],0))))</f>
        <v>Personal Economic Relief Allowance (PERA)</v>
      </c>
      <c r="E391" s="24" t="s">
        <v>164</v>
      </c>
      <c r="F391" s="502">
        <v>92000</v>
      </c>
    </row>
    <row r="392" spans="1:6" x14ac:dyDescent="0.25">
      <c r="A392" s="308">
        <v>43434</v>
      </c>
      <c r="B392" s="24" t="s">
        <v>484</v>
      </c>
      <c r="C392" s="24" t="s">
        <v>487</v>
      </c>
      <c r="D392" s="136" t="str">
        <f t="array" ref="D392">IF(E392=0,0,(INDEX(AccountCodes[ACCOUNT NAME],MATCH(E392,AccountCodes[NGAS CODE],0))))</f>
        <v>Personal Economic Relief Allowance (PERA)</v>
      </c>
      <c r="E392" s="24" t="s">
        <v>164</v>
      </c>
      <c r="F392" s="502">
        <v>92000</v>
      </c>
    </row>
    <row r="393" spans="1:6" x14ac:dyDescent="0.25">
      <c r="A393" s="308">
        <v>43465</v>
      </c>
      <c r="B393" s="24" t="s">
        <v>484</v>
      </c>
      <c r="C393" s="24" t="s">
        <v>487</v>
      </c>
      <c r="D393" s="136" t="str">
        <f t="array" ref="D393">IF(E393=0,0,(INDEX(AccountCodes[ACCOUNT NAME],MATCH(E393,AccountCodes[NGAS CODE],0))))</f>
        <v>Personal Economic Relief Allowance (PERA)</v>
      </c>
      <c r="E393" s="24" t="s">
        <v>164</v>
      </c>
      <c r="F393" s="502">
        <v>92000</v>
      </c>
    </row>
    <row r="394" spans="1:6" x14ac:dyDescent="0.25">
      <c r="A394" s="308">
        <v>43131</v>
      </c>
      <c r="B394" s="24" t="s">
        <v>484</v>
      </c>
      <c r="C394" s="24" t="s">
        <v>487</v>
      </c>
      <c r="D394" s="136" t="str">
        <f t="array" ref="D394">IF(E394=0,0,(INDEX(AccountCodes[ACCOUNT NAME],MATCH(E394,AccountCodes[NGAS CODE],0))))</f>
        <v>Representation Allowance (RA)</v>
      </c>
      <c r="E394" s="24" t="s">
        <v>165</v>
      </c>
      <c r="F394" s="502">
        <v>5000</v>
      </c>
    </row>
    <row r="395" spans="1:6" x14ac:dyDescent="0.25">
      <c r="A395" s="308">
        <v>43159</v>
      </c>
      <c r="B395" s="24" t="s">
        <v>484</v>
      </c>
      <c r="C395" s="24" t="s">
        <v>487</v>
      </c>
      <c r="D395" s="136" t="str">
        <f t="array" ref="D395">IF(E395=0,0,(INDEX(AccountCodes[ACCOUNT NAME],MATCH(E395,AccountCodes[NGAS CODE],0))))</f>
        <v>Representation Allowance (RA)</v>
      </c>
      <c r="E395" s="24" t="s">
        <v>165</v>
      </c>
      <c r="F395" s="502">
        <v>5000</v>
      </c>
    </row>
    <row r="396" spans="1:6" x14ac:dyDescent="0.25">
      <c r="A396" s="308">
        <v>43190</v>
      </c>
      <c r="B396" s="24" t="s">
        <v>484</v>
      </c>
      <c r="C396" s="24" t="s">
        <v>487</v>
      </c>
      <c r="D396" s="136" t="str">
        <f t="array" ref="D396">IF(E396=0,0,(INDEX(AccountCodes[ACCOUNT NAME],MATCH(E396,AccountCodes[NGAS CODE],0))))</f>
        <v>Representation Allowance (RA)</v>
      </c>
      <c r="E396" s="24" t="s">
        <v>165</v>
      </c>
      <c r="F396" s="502">
        <v>5000</v>
      </c>
    </row>
    <row r="397" spans="1:6" x14ac:dyDescent="0.25">
      <c r="A397" s="308">
        <v>43220</v>
      </c>
      <c r="B397" s="24" t="s">
        <v>484</v>
      </c>
      <c r="C397" s="24" t="s">
        <v>487</v>
      </c>
      <c r="D397" s="136" t="str">
        <f t="array" ref="D397">IF(E397=0,0,(INDEX(AccountCodes[ACCOUNT NAME],MATCH(E397,AccountCodes[NGAS CODE],0))))</f>
        <v>Representation Allowance (RA)</v>
      </c>
      <c r="E397" s="24" t="s">
        <v>165</v>
      </c>
      <c r="F397" s="502">
        <v>5000</v>
      </c>
    </row>
    <row r="398" spans="1:6" x14ac:dyDescent="0.25">
      <c r="A398" s="308">
        <v>43251</v>
      </c>
      <c r="B398" s="24" t="s">
        <v>484</v>
      </c>
      <c r="C398" s="24" t="s">
        <v>487</v>
      </c>
      <c r="D398" s="136" t="str">
        <f t="array" ref="D398">IF(E398=0,0,(INDEX(AccountCodes[ACCOUNT NAME],MATCH(E398,AccountCodes[NGAS CODE],0))))</f>
        <v>Representation Allowance (RA)</v>
      </c>
      <c r="E398" s="24" t="s">
        <v>165</v>
      </c>
      <c r="F398" s="502">
        <v>5000</v>
      </c>
    </row>
    <row r="399" spans="1:6" x14ac:dyDescent="0.25">
      <c r="A399" s="308">
        <v>43281</v>
      </c>
      <c r="B399" s="24" t="s">
        <v>484</v>
      </c>
      <c r="C399" s="24" t="s">
        <v>487</v>
      </c>
      <c r="D399" s="136" t="str">
        <f t="array" ref="D399">IF(E399=0,0,(INDEX(AccountCodes[ACCOUNT NAME],MATCH(E399,AccountCodes[NGAS CODE],0))))</f>
        <v>Representation Allowance (RA)</v>
      </c>
      <c r="E399" s="24" t="s">
        <v>165</v>
      </c>
      <c r="F399" s="502">
        <v>5000</v>
      </c>
    </row>
    <row r="400" spans="1:6" x14ac:dyDescent="0.25">
      <c r="A400" s="308">
        <v>43312</v>
      </c>
      <c r="B400" s="24" t="s">
        <v>484</v>
      </c>
      <c r="C400" s="24" t="s">
        <v>487</v>
      </c>
      <c r="D400" s="136" t="str">
        <f t="array" ref="D400">IF(E400=0,0,(INDEX(AccountCodes[ACCOUNT NAME],MATCH(E400,AccountCodes[NGAS CODE],0))))</f>
        <v>Representation Allowance (RA)</v>
      </c>
      <c r="E400" s="24" t="s">
        <v>165</v>
      </c>
      <c r="F400" s="502">
        <v>5000</v>
      </c>
    </row>
    <row r="401" spans="1:6" x14ac:dyDescent="0.25">
      <c r="A401" s="308">
        <v>43343</v>
      </c>
      <c r="B401" s="24" t="s">
        <v>484</v>
      </c>
      <c r="C401" s="24" t="s">
        <v>487</v>
      </c>
      <c r="D401" s="136" t="str">
        <f t="array" ref="D401">IF(E401=0,0,(INDEX(AccountCodes[ACCOUNT NAME],MATCH(E401,AccountCodes[NGAS CODE],0))))</f>
        <v>Representation Allowance (RA)</v>
      </c>
      <c r="E401" s="24" t="s">
        <v>165</v>
      </c>
      <c r="F401" s="502">
        <v>5000</v>
      </c>
    </row>
    <row r="402" spans="1:6" x14ac:dyDescent="0.25">
      <c r="A402" s="308">
        <v>43373</v>
      </c>
      <c r="B402" s="24" t="s">
        <v>484</v>
      </c>
      <c r="C402" s="24" t="s">
        <v>487</v>
      </c>
      <c r="D402" s="136" t="str">
        <f t="array" ref="D402">IF(E402=0,0,(INDEX(AccountCodes[ACCOUNT NAME],MATCH(E402,AccountCodes[NGAS CODE],0))))</f>
        <v>Representation Allowance (RA)</v>
      </c>
      <c r="E402" s="24" t="s">
        <v>165</v>
      </c>
      <c r="F402" s="502">
        <v>5000</v>
      </c>
    </row>
    <row r="403" spans="1:6" x14ac:dyDescent="0.25">
      <c r="A403" s="308">
        <v>43404</v>
      </c>
      <c r="B403" s="24" t="s">
        <v>484</v>
      </c>
      <c r="C403" s="24" t="s">
        <v>487</v>
      </c>
      <c r="D403" s="136" t="str">
        <f t="array" ref="D403">IF(E403=0,0,(INDEX(AccountCodes[ACCOUNT NAME],MATCH(E403,AccountCodes[NGAS CODE],0))))</f>
        <v>Representation Allowance (RA)</v>
      </c>
      <c r="E403" s="24" t="s">
        <v>165</v>
      </c>
      <c r="F403" s="502">
        <v>5000</v>
      </c>
    </row>
    <row r="404" spans="1:6" x14ac:dyDescent="0.25">
      <c r="A404" s="308">
        <v>43434</v>
      </c>
      <c r="B404" s="24" t="s">
        <v>484</v>
      </c>
      <c r="C404" s="24" t="s">
        <v>487</v>
      </c>
      <c r="D404" s="136" t="str">
        <f t="array" ref="D404">IF(E404=0,0,(INDEX(AccountCodes[ACCOUNT NAME],MATCH(E404,AccountCodes[NGAS CODE],0))))</f>
        <v>Representation Allowance (RA)</v>
      </c>
      <c r="E404" s="24" t="s">
        <v>165</v>
      </c>
      <c r="F404" s="502">
        <v>5000</v>
      </c>
    </row>
    <row r="405" spans="1:6" x14ac:dyDescent="0.25">
      <c r="A405" s="308">
        <v>43465</v>
      </c>
      <c r="B405" s="24" t="s">
        <v>484</v>
      </c>
      <c r="C405" s="24" t="s">
        <v>487</v>
      </c>
      <c r="D405" s="136" t="str">
        <f t="array" ref="D405">IF(E405=0,0,(INDEX(AccountCodes[ACCOUNT NAME],MATCH(E405,AccountCodes[NGAS CODE],0))))</f>
        <v>Representation Allowance (RA)</v>
      </c>
      <c r="E405" s="24" t="s">
        <v>165</v>
      </c>
      <c r="F405" s="502">
        <v>5000</v>
      </c>
    </row>
    <row r="406" spans="1:6" x14ac:dyDescent="0.25">
      <c r="A406" s="308">
        <v>43190</v>
      </c>
      <c r="B406" s="24" t="s">
        <v>484</v>
      </c>
      <c r="C406" s="24" t="s">
        <v>487</v>
      </c>
      <c r="D406" s="136" t="str">
        <f t="array" ref="D406">IF(E406=0,0,(INDEX(AccountCodes[ACCOUNT NAME],MATCH(E406,AccountCodes[NGAS CODE],0))))</f>
        <v>Clothing/Uniform Allowance</v>
      </c>
      <c r="E406" s="24" t="s">
        <v>167</v>
      </c>
      <c r="F406" s="502">
        <v>230000</v>
      </c>
    </row>
    <row r="407" spans="1:6" x14ac:dyDescent="0.25">
      <c r="A407" s="308">
        <v>43131</v>
      </c>
      <c r="B407" s="24" t="s">
        <v>484</v>
      </c>
      <c r="C407" s="24" t="s">
        <v>487</v>
      </c>
      <c r="D407" s="136" t="str">
        <f t="array" ref="D407">IF(E407=0,0,(INDEX(AccountCodes[ACCOUNT NAME],MATCH(E407,AccountCodes[NGAS CODE],0))))</f>
        <v>Other Bonuses and Allowances - Children Allowance</v>
      </c>
      <c r="E407" s="24" t="s">
        <v>7</v>
      </c>
      <c r="F407" s="502">
        <v>480</v>
      </c>
    </row>
    <row r="408" spans="1:6" x14ac:dyDescent="0.25">
      <c r="A408" s="308">
        <v>43159</v>
      </c>
      <c r="B408" s="24" t="s">
        <v>484</v>
      </c>
      <c r="C408" s="24" t="s">
        <v>487</v>
      </c>
      <c r="D408" s="136" t="str">
        <f t="array" ref="D408">IF(E408=0,0,(INDEX(AccountCodes[ACCOUNT NAME],MATCH(E408,AccountCodes[NGAS CODE],0))))</f>
        <v>Other Bonuses and Allowances - Children Allowance</v>
      </c>
      <c r="E408" s="24" t="s">
        <v>7</v>
      </c>
      <c r="F408" s="502">
        <v>480</v>
      </c>
    </row>
    <row r="409" spans="1:6" x14ac:dyDescent="0.25">
      <c r="A409" s="308">
        <v>43190</v>
      </c>
      <c r="B409" s="24" t="s">
        <v>484</v>
      </c>
      <c r="C409" s="24" t="s">
        <v>487</v>
      </c>
      <c r="D409" s="136" t="str">
        <f t="array" ref="D409">IF(E409=0,0,(INDEX(AccountCodes[ACCOUNT NAME],MATCH(E409,AccountCodes[NGAS CODE],0))))</f>
        <v>Other Bonuses and Allowances - Children Allowance</v>
      </c>
      <c r="E409" s="24" t="s">
        <v>7</v>
      </c>
      <c r="F409" s="502">
        <v>480</v>
      </c>
    </row>
    <row r="410" spans="1:6" x14ac:dyDescent="0.25">
      <c r="A410" s="308">
        <v>43220</v>
      </c>
      <c r="B410" s="24" t="s">
        <v>484</v>
      </c>
      <c r="C410" s="24" t="s">
        <v>487</v>
      </c>
      <c r="D410" s="136" t="str">
        <f t="array" ref="D410">IF(E410=0,0,(INDEX(AccountCodes[ACCOUNT NAME],MATCH(E410,AccountCodes[NGAS CODE],0))))</f>
        <v>Other Bonuses and Allowances - Children Allowance</v>
      </c>
      <c r="E410" s="24" t="s">
        <v>7</v>
      </c>
      <c r="F410" s="502">
        <v>480</v>
      </c>
    </row>
    <row r="411" spans="1:6" x14ac:dyDescent="0.25">
      <c r="A411" s="308">
        <v>43251</v>
      </c>
      <c r="B411" s="24" t="s">
        <v>484</v>
      </c>
      <c r="C411" s="24" t="s">
        <v>487</v>
      </c>
      <c r="D411" s="136" t="str">
        <f t="array" ref="D411">IF(E411=0,0,(INDEX(AccountCodes[ACCOUNT NAME],MATCH(E411,AccountCodes[NGAS CODE],0))))</f>
        <v>Other Bonuses and Allowances - Children Allowance</v>
      </c>
      <c r="E411" s="24" t="s">
        <v>7</v>
      </c>
      <c r="F411" s="502">
        <v>480</v>
      </c>
    </row>
    <row r="412" spans="1:6" x14ac:dyDescent="0.25">
      <c r="A412" s="308">
        <v>43281</v>
      </c>
      <c r="B412" s="24" t="s">
        <v>484</v>
      </c>
      <c r="C412" s="24" t="s">
        <v>487</v>
      </c>
      <c r="D412" s="136" t="str">
        <f t="array" ref="D412">IF(E412=0,0,(INDEX(AccountCodes[ACCOUNT NAME],MATCH(E412,AccountCodes[NGAS CODE],0))))</f>
        <v>Other Bonuses and Allowances - Children Allowance</v>
      </c>
      <c r="E412" s="24" t="s">
        <v>7</v>
      </c>
      <c r="F412" s="502">
        <v>480</v>
      </c>
    </row>
    <row r="413" spans="1:6" x14ac:dyDescent="0.25">
      <c r="A413" s="308">
        <v>43312</v>
      </c>
      <c r="B413" s="24" t="s">
        <v>484</v>
      </c>
      <c r="C413" s="24" t="s">
        <v>487</v>
      </c>
      <c r="D413" s="136" t="str">
        <f t="array" ref="D413">IF(E413=0,0,(INDEX(AccountCodes[ACCOUNT NAME],MATCH(E413,AccountCodes[NGAS CODE],0))))</f>
        <v>Other Bonuses and Allowances - Children Allowance</v>
      </c>
      <c r="E413" s="24" t="s">
        <v>7</v>
      </c>
      <c r="F413" s="502">
        <v>480</v>
      </c>
    </row>
    <row r="414" spans="1:6" x14ac:dyDescent="0.25">
      <c r="A414" s="308">
        <v>43343</v>
      </c>
      <c r="B414" s="24" t="s">
        <v>484</v>
      </c>
      <c r="C414" s="24" t="s">
        <v>487</v>
      </c>
      <c r="D414" s="136" t="str">
        <f t="array" ref="D414">IF(E414=0,0,(INDEX(AccountCodes[ACCOUNT NAME],MATCH(E414,AccountCodes[NGAS CODE],0))))</f>
        <v>Other Bonuses and Allowances - Children Allowance</v>
      </c>
      <c r="E414" s="24" t="s">
        <v>7</v>
      </c>
      <c r="F414" s="502">
        <v>480</v>
      </c>
    </row>
    <row r="415" spans="1:6" x14ac:dyDescent="0.25">
      <c r="A415" s="308">
        <v>43373</v>
      </c>
      <c r="B415" s="24" t="s">
        <v>484</v>
      </c>
      <c r="C415" s="24" t="s">
        <v>487</v>
      </c>
      <c r="D415" s="136" t="str">
        <f t="array" ref="D415">IF(E415=0,0,(INDEX(AccountCodes[ACCOUNT NAME],MATCH(E415,AccountCodes[NGAS CODE],0))))</f>
        <v>Other Bonuses and Allowances - Children Allowance</v>
      </c>
      <c r="E415" s="24" t="s">
        <v>7</v>
      </c>
      <c r="F415" s="502">
        <v>480</v>
      </c>
    </row>
    <row r="416" spans="1:6" x14ac:dyDescent="0.25">
      <c r="A416" s="308">
        <v>43404</v>
      </c>
      <c r="B416" s="24" t="s">
        <v>484</v>
      </c>
      <c r="C416" s="24" t="s">
        <v>487</v>
      </c>
      <c r="D416" s="136" t="str">
        <f t="array" ref="D416">IF(E416=0,0,(INDEX(AccountCodes[ACCOUNT NAME],MATCH(E416,AccountCodes[NGAS CODE],0))))</f>
        <v>Other Bonuses and Allowances - Children Allowance</v>
      </c>
      <c r="E416" s="24" t="s">
        <v>7</v>
      </c>
      <c r="F416" s="502">
        <v>480</v>
      </c>
    </row>
    <row r="417" spans="1:6" x14ac:dyDescent="0.25">
      <c r="A417" s="308">
        <v>43434</v>
      </c>
      <c r="B417" s="24" t="s">
        <v>484</v>
      </c>
      <c r="C417" s="24" t="s">
        <v>487</v>
      </c>
      <c r="D417" s="136" t="str">
        <f t="array" ref="D417">IF(E417=0,0,(INDEX(AccountCodes[ACCOUNT NAME],MATCH(E417,AccountCodes[NGAS CODE],0))))</f>
        <v>Other Bonuses and Allowances - Children Allowance</v>
      </c>
      <c r="E417" s="24" t="s">
        <v>7</v>
      </c>
      <c r="F417" s="502">
        <v>480</v>
      </c>
    </row>
    <row r="418" spans="1:6" x14ac:dyDescent="0.25">
      <c r="A418" s="308">
        <v>43465</v>
      </c>
      <c r="B418" s="24" t="s">
        <v>484</v>
      </c>
      <c r="C418" s="24" t="s">
        <v>487</v>
      </c>
      <c r="D418" s="136" t="str">
        <f t="array" ref="D418">IF(E418=0,0,(INDEX(AccountCodes[ACCOUNT NAME],MATCH(E418,AccountCodes[NGAS CODE],0))))</f>
        <v>Other Bonuses and Allowances - Children Allowance</v>
      </c>
      <c r="E418" s="24" t="s">
        <v>7</v>
      </c>
      <c r="F418" s="502">
        <v>480</v>
      </c>
    </row>
    <row r="419" spans="1:6" x14ac:dyDescent="0.25">
      <c r="A419" s="308">
        <v>43131</v>
      </c>
      <c r="B419" s="24" t="s">
        <v>484</v>
      </c>
      <c r="C419" s="24" t="s">
        <v>487</v>
      </c>
      <c r="D419" s="136" t="str">
        <f t="array" ref="D419">IF(E419=0,0,(INDEX(AccountCodes[ACCOUNT NAME],MATCH(E419,AccountCodes[NGAS CODE],0))))</f>
        <v>Other Bonuses and Allowances - Medical Allowance</v>
      </c>
      <c r="E419" s="309" t="s">
        <v>5</v>
      </c>
      <c r="F419" s="502">
        <v>6200</v>
      </c>
    </row>
    <row r="420" spans="1:6" x14ac:dyDescent="0.25">
      <c r="A420" s="308">
        <v>43159</v>
      </c>
      <c r="B420" s="24" t="s">
        <v>484</v>
      </c>
      <c r="C420" s="24" t="s">
        <v>487</v>
      </c>
      <c r="D420" s="136" t="str">
        <f t="array" ref="D420">IF(E420=0,0,(INDEX(AccountCodes[ACCOUNT NAME],MATCH(E420,AccountCodes[NGAS CODE],0))))</f>
        <v>Other Bonuses and Allowances - Medical Allowance</v>
      </c>
      <c r="E420" s="309" t="s">
        <v>5</v>
      </c>
      <c r="F420" s="502">
        <v>6200</v>
      </c>
    </row>
    <row r="421" spans="1:6" x14ac:dyDescent="0.25">
      <c r="A421" s="308">
        <v>43190</v>
      </c>
      <c r="B421" s="24" t="s">
        <v>484</v>
      </c>
      <c r="C421" s="24" t="s">
        <v>487</v>
      </c>
      <c r="D421" s="136" t="str">
        <f t="array" ref="D421">IF(E421=0,0,(INDEX(AccountCodes[ACCOUNT NAME],MATCH(E421,AccountCodes[NGAS CODE],0))))</f>
        <v>Other Bonuses and Allowances - Medical Allowance</v>
      </c>
      <c r="E421" s="309" t="s">
        <v>5</v>
      </c>
      <c r="F421" s="502">
        <v>6200</v>
      </c>
    </row>
    <row r="422" spans="1:6" x14ac:dyDescent="0.25">
      <c r="A422" s="308">
        <v>43220</v>
      </c>
      <c r="B422" s="24" t="s">
        <v>484</v>
      </c>
      <c r="C422" s="24" t="s">
        <v>487</v>
      </c>
      <c r="D422" s="136" t="str">
        <f t="array" ref="D422">IF(E422=0,0,(INDEX(AccountCodes[ACCOUNT NAME],MATCH(E422,AccountCodes[NGAS CODE],0))))</f>
        <v>Other Bonuses and Allowances - Medical Allowance</v>
      </c>
      <c r="E422" s="309" t="s">
        <v>5</v>
      </c>
      <c r="F422" s="502">
        <v>6200</v>
      </c>
    </row>
    <row r="423" spans="1:6" x14ac:dyDescent="0.25">
      <c r="A423" s="308">
        <v>43251</v>
      </c>
      <c r="B423" s="24" t="s">
        <v>484</v>
      </c>
      <c r="C423" s="24" t="s">
        <v>487</v>
      </c>
      <c r="D423" s="136" t="str">
        <f t="array" ref="D423">IF(E423=0,0,(INDEX(AccountCodes[ACCOUNT NAME],MATCH(E423,AccountCodes[NGAS CODE],0))))</f>
        <v>Other Bonuses and Allowances - Medical Allowance</v>
      </c>
      <c r="E423" s="309" t="s">
        <v>5</v>
      </c>
      <c r="F423" s="502">
        <v>6200</v>
      </c>
    </row>
    <row r="424" spans="1:6" x14ac:dyDescent="0.25">
      <c r="A424" s="308">
        <v>43281</v>
      </c>
      <c r="B424" s="24" t="s">
        <v>484</v>
      </c>
      <c r="C424" s="24" t="s">
        <v>487</v>
      </c>
      <c r="D424" s="136" t="str">
        <f t="array" ref="D424">IF(E424=0,0,(INDEX(AccountCodes[ACCOUNT NAME],MATCH(E424,AccountCodes[NGAS CODE],0))))</f>
        <v>Other Bonuses and Allowances - Medical Allowance</v>
      </c>
      <c r="E424" s="309" t="s">
        <v>5</v>
      </c>
      <c r="F424" s="502">
        <v>6200</v>
      </c>
    </row>
    <row r="425" spans="1:6" x14ac:dyDescent="0.25">
      <c r="A425" s="308">
        <v>43312</v>
      </c>
      <c r="B425" s="24" t="s">
        <v>484</v>
      </c>
      <c r="C425" s="24" t="s">
        <v>487</v>
      </c>
      <c r="D425" s="136" t="str">
        <f t="array" ref="D425">IF(E425=0,0,(INDEX(AccountCodes[ACCOUNT NAME],MATCH(E425,AccountCodes[NGAS CODE],0))))</f>
        <v>Other Bonuses and Allowances - Medical Allowance</v>
      </c>
      <c r="E425" s="309" t="s">
        <v>5</v>
      </c>
      <c r="F425" s="502">
        <v>6200</v>
      </c>
    </row>
    <row r="426" spans="1:6" x14ac:dyDescent="0.25">
      <c r="A426" s="308">
        <v>43343</v>
      </c>
      <c r="B426" s="24" t="s">
        <v>484</v>
      </c>
      <c r="C426" s="24" t="s">
        <v>487</v>
      </c>
      <c r="D426" s="136" t="str">
        <f t="array" ref="D426">IF(E426=0,0,(INDEX(AccountCodes[ACCOUNT NAME],MATCH(E426,AccountCodes[NGAS CODE],0))))</f>
        <v>Other Bonuses and Allowances - Medical Allowance</v>
      </c>
      <c r="E426" s="309" t="s">
        <v>5</v>
      </c>
      <c r="F426" s="502">
        <v>6200</v>
      </c>
    </row>
    <row r="427" spans="1:6" x14ac:dyDescent="0.25">
      <c r="A427" s="308">
        <v>43373</v>
      </c>
      <c r="B427" s="24" t="s">
        <v>484</v>
      </c>
      <c r="C427" s="24" t="s">
        <v>487</v>
      </c>
      <c r="D427" s="136" t="str">
        <f t="array" ref="D427">IF(E427=0,0,(INDEX(AccountCodes[ACCOUNT NAME],MATCH(E427,AccountCodes[NGAS CODE],0))))</f>
        <v>Other Bonuses and Allowances - Medical Allowance</v>
      </c>
      <c r="E427" s="309" t="s">
        <v>5</v>
      </c>
      <c r="F427" s="502">
        <v>6200</v>
      </c>
    </row>
    <row r="428" spans="1:6" x14ac:dyDescent="0.25">
      <c r="A428" s="308">
        <v>43404</v>
      </c>
      <c r="B428" s="24" t="s">
        <v>484</v>
      </c>
      <c r="C428" s="24" t="s">
        <v>487</v>
      </c>
      <c r="D428" s="136" t="str">
        <f t="array" ref="D428">IF(E428=0,0,(INDEX(AccountCodes[ACCOUNT NAME],MATCH(E428,AccountCodes[NGAS CODE],0))))</f>
        <v>Other Bonuses and Allowances - Medical Allowance</v>
      </c>
      <c r="E428" s="309" t="s">
        <v>5</v>
      </c>
      <c r="F428" s="502">
        <v>6200</v>
      </c>
    </row>
    <row r="429" spans="1:6" x14ac:dyDescent="0.25">
      <c r="A429" s="308">
        <v>43434</v>
      </c>
      <c r="B429" s="24" t="s">
        <v>484</v>
      </c>
      <c r="C429" s="24" t="s">
        <v>487</v>
      </c>
      <c r="D429" s="136" t="str">
        <f t="array" ref="D429">IF(E429=0,0,(INDEX(AccountCodes[ACCOUNT NAME],MATCH(E429,AccountCodes[NGAS CODE],0))))</f>
        <v>Other Bonuses and Allowances - Medical Allowance</v>
      </c>
      <c r="E429" s="309" t="s">
        <v>5</v>
      </c>
      <c r="F429" s="502">
        <v>6200</v>
      </c>
    </row>
    <row r="430" spans="1:6" x14ac:dyDescent="0.25">
      <c r="A430" s="308">
        <v>43465</v>
      </c>
      <c r="B430" s="24" t="s">
        <v>484</v>
      </c>
      <c r="C430" s="24" t="s">
        <v>487</v>
      </c>
      <c r="D430" s="136" t="str">
        <f t="array" ref="D430">IF(E430=0,0,(INDEX(AccountCodes[ACCOUNT NAME],MATCH(E430,AccountCodes[NGAS CODE],0))))</f>
        <v>Other Bonuses and Allowances - Medical Allowance</v>
      </c>
      <c r="E430" s="309" t="s">
        <v>5</v>
      </c>
      <c r="F430" s="502">
        <v>6200</v>
      </c>
    </row>
    <row r="431" spans="1:6" x14ac:dyDescent="0.25">
      <c r="A431" s="308">
        <v>43131</v>
      </c>
      <c r="B431" s="24" t="s">
        <v>484</v>
      </c>
      <c r="C431" s="24" t="s">
        <v>487</v>
      </c>
      <c r="D431" s="136" t="str">
        <f t="array" ref="D431">IF(E431=0,0,(INDEX(AccountCodes[ACCOUNT NAME],MATCH(E431,AccountCodes[NGAS CODE],0))))</f>
        <v>Other Bonuses and Allowances - Meal Allowance</v>
      </c>
      <c r="E431" s="24" t="s">
        <v>6</v>
      </c>
      <c r="F431" s="502">
        <v>2046</v>
      </c>
    </row>
    <row r="432" spans="1:6" x14ac:dyDescent="0.25">
      <c r="A432" s="308">
        <v>43159</v>
      </c>
      <c r="B432" s="24" t="s">
        <v>484</v>
      </c>
      <c r="C432" s="24" t="s">
        <v>487</v>
      </c>
      <c r="D432" s="136" t="str">
        <f t="array" ref="D432">IF(E432=0,0,(INDEX(AccountCodes[ACCOUNT NAME],MATCH(E432,AccountCodes[NGAS CODE],0))))</f>
        <v>Other Bonuses and Allowances - Meal Allowance</v>
      </c>
      <c r="E432" s="24" t="s">
        <v>6</v>
      </c>
      <c r="F432" s="502">
        <v>2046</v>
      </c>
    </row>
    <row r="433" spans="1:6" x14ac:dyDescent="0.25">
      <c r="A433" s="308">
        <v>43190</v>
      </c>
      <c r="B433" s="24" t="s">
        <v>484</v>
      </c>
      <c r="C433" s="24" t="s">
        <v>487</v>
      </c>
      <c r="D433" s="136" t="str">
        <f t="array" ref="D433">IF(E433=0,0,(INDEX(AccountCodes[ACCOUNT NAME],MATCH(E433,AccountCodes[NGAS CODE],0))))</f>
        <v>Other Bonuses and Allowances - Meal Allowance</v>
      </c>
      <c r="E433" s="24" t="s">
        <v>6</v>
      </c>
      <c r="F433" s="502">
        <v>2046</v>
      </c>
    </row>
    <row r="434" spans="1:6" x14ac:dyDescent="0.25">
      <c r="A434" s="308">
        <v>43220</v>
      </c>
      <c r="B434" s="24" t="s">
        <v>484</v>
      </c>
      <c r="C434" s="24" t="s">
        <v>487</v>
      </c>
      <c r="D434" s="136" t="str">
        <f t="array" ref="D434">IF(E434=0,0,(INDEX(AccountCodes[ACCOUNT NAME],MATCH(E434,AccountCodes[NGAS CODE],0))))</f>
        <v>Other Bonuses and Allowances - Meal Allowance</v>
      </c>
      <c r="E434" s="24" t="s">
        <v>6</v>
      </c>
      <c r="F434" s="502">
        <v>2046</v>
      </c>
    </row>
    <row r="435" spans="1:6" x14ac:dyDescent="0.25">
      <c r="A435" s="308">
        <v>43251</v>
      </c>
      <c r="B435" s="24" t="s">
        <v>484</v>
      </c>
      <c r="C435" s="24" t="s">
        <v>487</v>
      </c>
      <c r="D435" s="136" t="str">
        <f t="array" ref="D435">IF(E435=0,0,(INDEX(AccountCodes[ACCOUNT NAME],MATCH(E435,AccountCodes[NGAS CODE],0))))</f>
        <v>Other Bonuses and Allowances - Meal Allowance</v>
      </c>
      <c r="E435" s="24" t="s">
        <v>6</v>
      </c>
      <c r="F435" s="502">
        <v>2046</v>
      </c>
    </row>
    <row r="436" spans="1:6" x14ac:dyDescent="0.25">
      <c r="A436" s="308">
        <v>43281</v>
      </c>
      <c r="B436" s="24" t="s">
        <v>484</v>
      </c>
      <c r="C436" s="24" t="s">
        <v>487</v>
      </c>
      <c r="D436" s="136" t="str">
        <f t="array" ref="D436">IF(E436=0,0,(INDEX(AccountCodes[ACCOUNT NAME],MATCH(E436,AccountCodes[NGAS CODE],0))))</f>
        <v>Other Bonuses and Allowances - Meal Allowance</v>
      </c>
      <c r="E436" s="24" t="s">
        <v>6</v>
      </c>
      <c r="F436" s="502">
        <v>2046</v>
      </c>
    </row>
    <row r="437" spans="1:6" x14ac:dyDescent="0.25">
      <c r="A437" s="308">
        <v>43312</v>
      </c>
      <c r="B437" s="24" t="s">
        <v>484</v>
      </c>
      <c r="C437" s="24" t="s">
        <v>487</v>
      </c>
      <c r="D437" s="136" t="str">
        <f t="array" ref="D437">IF(E437=0,0,(INDEX(AccountCodes[ACCOUNT NAME],MATCH(E437,AccountCodes[NGAS CODE],0))))</f>
        <v>Other Bonuses and Allowances - Meal Allowance</v>
      </c>
      <c r="E437" s="24" t="s">
        <v>6</v>
      </c>
      <c r="F437" s="502">
        <v>2046</v>
      </c>
    </row>
    <row r="438" spans="1:6" x14ac:dyDescent="0.25">
      <c r="A438" s="308">
        <v>43343</v>
      </c>
      <c r="B438" s="24" t="s">
        <v>484</v>
      </c>
      <c r="C438" s="24" t="s">
        <v>487</v>
      </c>
      <c r="D438" s="136" t="str">
        <f t="array" ref="D438">IF(E438=0,0,(INDEX(AccountCodes[ACCOUNT NAME],MATCH(E438,AccountCodes[NGAS CODE],0))))</f>
        <v>Other Bonuses and Allowances - Meal Allowance</v>
      </c>
      <c r="E438" s="24" t="s">
        <v>6</v>
      </c>
      <c r="F438" s="502">
        <v>2046</v>
      </c>
    </row>
    <row r="439" spans="1:6" x14ac:dyDescent="0.25">
      <c r="A439" s="308">
        <v>43373</v>
      </c>
      <c r="B439" s="24" t="s">
        <v>484</v>
      </c>
      <c r="C439" s="24" t="s">
        <v>487</v>
      </c>
      <c r="D439" s="136" t="str">
        <f t="array" ref="D439">IF(E439=0,0,(INDEX(AccountCodes[ACCOUNT NAME],MATCH(E439,AccountCodes[NGAS CODE],0))))</f>
        <v>Other Bonuses and Allowances - Meal Allowance</v>
      </c>
      <c r="E439" s="24" t="s">
        <v>6</v>
      </c>
      <c r="F439" s="502">
        <v>2046</v>
      </c>
    </row>
    <row r="440" spans="1:6" x14ac:dyDescent="0.25">
      <c r="A440" s="308">
        <v>43404</v>
      </c>
      <c r="B440" s="24" t="s">
        <v>484</v>
      </c>
      <c r="C440" s="24" t="s">
        <v>487</v>
      </c>
      <c r="D440" s="136" t="str">
        <f t="array" ref="D440">IF(E440=0,0,(INDEX(AccountCodes[ACCOUNT NAME],MATCH(E440,AccountCodes[NGAS CODE],0))))</f>
        <v>Other Bonuses and Allowances - Meal Allowance</v>
      </c>
      <c r="E440" s="24" t="s">
        <v>6</v>
      </c>
      <c r="F440" s="502">
        <v>2046</v>
      </c>
    </row>
    <row r="441" spans="1:6" x14ac:dyDescent="0.25">
      <c r="A441" s="308">
        <v>43434</v>
      </c>
      <c r="B441" s="24" t="s">
        <v>484</v>
      </c>
      <c r="C441" s="24" t="s">
        <v>487</v>
      </c>
      <c r="D441" s="136" t="str">
        <f t="array" ref="D441">IF(E441=0,0,(INDEX(AccountCodes[ACCOUNT NAME],MATCH(E441,AccountCodes[NGAS CODE],0))))</f>
        <v>Other Bonuses and Allowances - Meal Allowance</v>
      </c>
      <c r="E441" s="24" t="s">
        <v>6</v>
      </c>
      <c r="F441" s="502">
        <v>2046</v>
      </c>
    </row>
    <row r="442" spans="1:6" x14ac:dyDescent="0.25">
      <c r="A442" s="308">
        <v>43465</v>
      </c>
      <c r="B442" s="24" t="s">
        <v>484</v>
      </c>
      <c r="C442" s="24" t="s">
        <v>487</v>
      </c>
      <c r="D442" s="136" t="str">
        <f t="array" ref="D442">IF(E442=0,0,(INDEX(AccountCodes[ACCOUNT NAME],MATCH(E442,AccountCodes[NGAS CODE],0))))</f>
        <v>Other Bonuses and Allowances - Meal Allowance</v>
      </c>
      <c r="E442" s="24" t="s">
        <v>6</v>
      </c>
      <c r="F442" s="502">
        <v>2046</v>
      </c>
    </row>
    <row r="443" spans="1:6" x14ac:dyDescent="0.25">
      <c r="A443" s="308">
        <v>43465</v>
      </c>
      <c r="B443" s="24" t="s">
        <v>484</v>
      </c>
      <c r="C443" s="24" t="s">
        <v>487</v>
      </c>
      <c r="D443" s="136" t="str">
        <f t="array" ref="D443">IF(E443=0,0,(INDEX(AccountCodes[ACCOUNT NAME],MATCH(E443,AccountCodes[NGAS CODE],0))))</f>
        <v>Other Bonuses and Allowances - Productivity Enhancement Incentive-Civilian</v>
      </c>
      <c r="E443" s="309" t="s">
        <v>170</v>
      </c>
      <c r="F443" s="502">
        <v>1015266</v>
      </c>
    </row>
    <row r="444" spans="1:6" x14ac:dyDescent="0.25">
      <c r="A444" s="308">
        <v>43434</v>
      </c>
      <c r="B444" s="24" t="s">
        <v>484</v>
      </c>
      <c r="C444" s="24" t="s">
        <v>487</v>
      </c>
      <c r="D444" s="136" t="str">
        <f t="array" ref="D444">IF(E444=0,0,(INDEX(AccountCodes[ACCOUNT NAME],MATCH(E444,AccountCodes[NGAS CODE],0))))</f>
        <v>Cash Gift</v>
      </c>
      <c r="E444" s="24" t="s">
        <v>172</v>
      </c>
      <c r="F444" s="502">
        <v>230000</v>
      </c>
    </row>
    <row r="445" spans="1:6" x14ac:dyDescent="0.25">
      <c r="A445" s="308">
        <v>43251</v>
      </c>
      <c r="B445" s="24" t="s">
        <v>484</v>
      </c>
      <c r="C445" s="24" t="s">
        <v>487</v>
      </c>
      <c r="D445" s="136" t="str">
        <f t="array" ref="D445">IF(E445=0,0,(INDEX(AccountCodes[ACCOUNT NAME],MATCH(E445,AccountCodes[NGAS CODE],0))))</f>
        <v>Mid-Year/Year End Bonus</v>
      </c>
      <c r="E445" s="24" t="s">
        <v>174</v>
      </c>
      <c r="F445" s="502">
        <v>1014042.5</v>
      </c>
    </row>
    <row r="446" spans="1:6" x14ac:dyDescent="0.25">
      <c r="A446" s="308">
        <v>43434</v>
      </c>
      <c r="B446" s="24" t="s">
        <v>484</v>
      </c>
      <c r="C446" s="24" t="s">
        <v>487</v>
      </c>
      <c r="D446" s="136" t="str">
        <f t="array" ref="D446">IF(E446=0,0,(INDEX(AccountCodes[ACCOUNT NAME],MATCH(E446,AccountCodes[NGAS CODE],0))))</f>
        <v>Mid-Year/Year End Bonus</v>
      </c>
      <c r="E446" s="24" t="s">
        <v>174</v>
      </c>
      <c r="F446" s="502">
        <v>1014042.5</v>
      </c>
    </row>
    <row r="447" spans="1:6" x14ac:dyDescent="0.25">
      <c r="A447" s="308">
        <v>43281</v>
      </c>
      <c r="B447" s="24" t="s">
        <v>484</v>
      </c>
      <c r="C447" s="24" t="s">
        <v>487</v>
      </c>
      <c r="D447" s="136" t="str">
        <f t="array" ref="D447">IF(E447=0,0,(INDEX(AccountCodes[ACCOUNT NAME],MATCH(E447,AccountCodes[NGAS CODE],0))))</f>
        <v>Longevity Pay</v>
      </c>
      <c r="E447" s="309" t="s">
        <v>216</v>
      </c>
      <c r="F447" s="502">
        <v>35000</v>
      </c>
    </row>
    <row r="448" spans="1:6" x14ac:dyDescent="0.25">
      <c r="A448" s="308">
        <v>43190</v>
      </c>
      <c r="B448" s="24" t="s">
        <v>484</v>
      </c>
      <c r="C448" s="24" t="s">
        <v>487</v>
      </c>
      <c r="D448" s="136" t="str">
        <f t="array" ref="D448">IF(E448=0,0,(INDEX(AccountCodes[ACCOUNT NAME],MATCH(E448,AccountCodes[NGAS CODE],0))))</f>
        <v>Terminal Leave Benefits</v>
      </c>
      <c r="E448" s="309" t="s">
        <v>212</v>
      </c>
      <c r="F448" s="502">
        <v>237557.15</v>
      </c>
    </row>
    <row r="449" spans="1:6" x14ac:dyDescent="0.25">
      <c r="A449" s="308">
        <v>43220</v>
      </c>
      <c r="B449" s="24" t="s">
        <v>484</v>
      </c>
      <c r="C449" s="24" t="s">
        <v>487</v>
      </c>
      <c r="D449" s="136" t="str">
        <f t="array" ref="D449">IF(E449=0,0,(INDEX(AccountCodes[ACCOUNT NAME],MATCH(E449,AccountCodes[NGAS CODE],0))))</f>
        <v>Terminal Leave Benefits</v>
      </c>
      <c r="E449" s="309" t="s">
        <v>212</v>
      </c>
      <c r="F449" s="502">
        <v>441098.22</v>
      </c>
    </row>
    <row r="450" spans="1:6" x14ac:dyDescent="0.25">
      <c r="A450" s="308">
        <v>43373</v>
      </c>
      <c r="B450" s="24" t="s">
        <v>484</v>
      </c>
      <c r="C450" s="24" t="s">
        <v>487</v>
      </c>
      <c r="D450" s="136" t="str">
        <f t="array" ref="D450">IF(E450=0,0,(INDEX(AccountCodes[ACCOUNT NAME],MATCH(E450,AccountCodes[NGAS CODE],0))))</f>
        <v>Terminal Leave Benefits</v>
      </c>
      <c r="E450" s="309" t="s">
        <v>212</v>
      </c>
      <c r="F450" s="502">
        <v>753816</v>
      </c>
    </row>
    <row r="451" spans="1:6" x14ac:dyDescent="0.25">
      <c r="A451" s="308">
        <v>43465</v>
      </c>
      <c r="B451" s="24" t="s">
        <v>484</v>
      </c>
      <c r="C451" s="24" t="s">
        <v>487</v>
      </c>
      <c r="D451" s="136" t="str">
        <f t="array" ref="D451">IF(E451=0,0,(INDEX(AccountCodes[ACCOUNT NAME],MATCH(E451,AccountCodes[NGAS CODE],0))))</f>
        <v>Terminal Leave Benefits</v>
      </c>
      <c r="E451" s="309" t="s">
        <v>212</v>
      </c>
      <c r="F451" s="502">
        <v>133704.67000000001</v>
      </c>
    </row>
    <row r="452" spans="1:6" x14ac:dyDescent="0.25">
      <c r="A452" s="308">
        <v>43131</v>
      </c>
      <c r="B452" s="24" t="s">
        <v>484</v>
      </c>
      <c r="C452" s="24" t="s">
        <v>487</v>
      </c>
      <c r="D452" s="136" t="str">
        <f t="array" ref="D452">IF(E452=0,0,(INDEX(AccountCodes[ACCOUNT NAME],MATCH(E452,AccountCodes[NGAS CODE],0))))</f>
        <v>Retirement and Life Insurance Premiums</v>
      </c>
      <c r="E452" s="24" t="s">
        <v>175</v>
      </c>
      <c r="F452" s="502">
        <v>121638.17</v>
      </c>
    </row>
    <row r="453" spans="1:6" x14ac:dyDescent="0.25">
      <c r="A453" s="308">
        <v>43159</v>
      </c>
      <c r="B453" s="24" t="s">
        <v>484</v>
      </c>
      <c r="C453" s="24" t="s">
        <v>487</v>
      </c>
      <c r="D453" s="136" t="str">
        <f t="array" ref="D453">IF(E453=0,0,(INDEX(AccountCodes[ACCOUNT NAME],MATCH(E453,AccountCodes[NGAS CODE],0))))</f>
        <v>Retirement and Life Insurance Premiums</v>
      </c>
      <c r="E453" s="24" t="s">
        <v>175</v>
      </c>
      <c r="F453" s="502">
        <v>121638.17</v>
      </c>
    </row>
    <row r="454" spans="1:6" x14ac:dyDescent="0.25">
      <c r="A454" s="308">
        <v>43190</v>
      </c>
      <c r="B454" s="24" t="s">
        <v>484</v>
      </c>
      <c r="C454" s="24" t="s">
        <v>487</v>
      </c>
      <c r="D454" s="136" t="str">
        <f t="array" ref="D454">IF(E454=0,0,(INDEX(AccountCodes[ACCOUNT NAME],MATCH(E454,AccountCodes[NGAS CODE],0))))</f>
        <v>Retirement and Life Insurance Premiums</v>
      </c>
      <c r="E454" s="24" t="s">
        <v>175</v>
      </c>
      <c r="F454" s="502">
        <v>121638.17</v>
      </c>
    </row>
    <row r="455" spans="1:6" x14ac:dyDescent="0.25">
      <c r="A455" s="308">
        <v>43220</v>
      </c>
      <c r="B455" s="24" t="s">
        <v>484</v>
      </c>
      <c r="C455" s="24" t="s">
        <v>487</v>
      </c>
      <c r="D455" s="136" t="str">
        <f t="array" ref="D455">IF(E455=0,0,(INDEX(AccountCodes[ACCOUNT NAME],MATCH(E455,AccountCodes[NGAS CODE],0))))</f>
        <v>Retirement and Life Insurance Premiums</v>
      </c>
      <c r="E455" s="24" t="s">
        <v>175</v>
      </c>
      <c r="F455" s="502">
        <v>121638.17</v>
      </c>
    </row>
    <row r="456" spans="1:6" x14ac:dyDescent="0.25">
      <c r="A456" s="308">
        <v>43251</v>
      </c>
      <c r="B456" s="24" t="s">
        <v>484</v>
      </c>
      <c r="C456" s="24" t="s">
        <v>487</v>
      </c>
      <c r="D456" s="136" t="str">
        <f t="array" ref="D456">IF(E456=0,0,(INDEX(AccountCodes[ACCOUNT NAME],MATCH(E456,AccountCodes[NGAS CODE],0))))</f>
        <v>Retirement and Life Insurance Premiums</v>
      </c>
      <c r="E456" s="24" t="s">
        <v>175</v>
      </c>
      <c r="F456" s="502">
        <v>121638.17</v>
      </c>
    </row>
    <row r="457" spans="1:6" x14ac:dyDescent="0.25">
      <c r="A457" s="308">
        <v>43281</v>
      </c>
      <c r="B457" s="24" t="s">
        <v>484</v>
      </c>
      <c r="C457" s="24" t="s">
        <v>487</v>
      </c>
      <c r="D457" s="136" t="str">
        <f t="array" ref="D457">IF(E457=0,0,(INDEX(AccountCodes[ACCOUNT NAME],MATCH(E457,AccountCodes[NGAS CODE],0))))</f>
        <v>Retirement and Life Insurance Premiums</v>
      </c>
      <c r="E457" s="24" t="s">
        <v>175</v>
      </c>
      <c r="F457" s="502">
        <v>121638.17</v>
      </c>
    </row>
    <row r="458" spans="1:6" x14ac:dyDescent="0.25">
      <c r="A458" s="308">
        <v>43312</v>
      </c>
      <c r="B458" s="24" t="s">
        <v>484</v>
      </c>
      <c r="C458" s="24" t="s">
        <v>487</v>
      </c>
      <c r="D458" s="136" t="str">
        <f t="array" ref="D458">IF(E458=0,0,(INDEX(AccountCodes[ACCOUNT NAME],MATCH(E458,AccountCodes[NGAS CODE],0))))</f>
        <v>Retirement and Life Insurance Premiums</v>
      </c>
      <c r="E458" s="24" t="s">
        <v>175</v>
      </c>
      <c r="F458" s="502">
        <v>121638.17</v>
      </c>
    </row>
    <row r="459" spans="1:6" x14ac:dyDescent="0.25">
      <c r="A459" s="308">
        <v>43343</v>
      </c>
      <c r="B459" s="24" t="s">
        <v>484</v>
      </c>
      <c r="C459" s="24" t="s">
        <v>487</v>
      </c>
      <c r="D459" s="136" t="str">
        <f t="array" ref="D459">IF(E459=0,0,(INDEX(AccountCodes[ACCOUNT NAME],MATCH(E459,AccountCodes[NGAS CODE],0))))</f>
        <v>Retirement and Life Insurance Premiums</v>
      </c>
      <c r="E459" s="24" t="s">
        <v>175</v>
      </c>
      <c r="F459" s="502">
        <v>121638.17</v>
      </c>
    </row>
    <row r="460" spans="1:6" x14ac:dyDescent="0.25">
      <c r="A460" s="308">
        <v>43373</v>
      </c>
      <c r="B460" s="24" t="s">
        <v>484</v>
      </c>
      <c r="C460" s="24" t="s">
        <v>487</v>
      </c>
      <c r="D460" s="136" t="str">
        <f t="array" ref="D460">IF(E460=0,0,(INDEX(AccountCodes[ACCOUNT NAME],MATCH(E460,AccountCodes[NGAS CODE],0))))</f>
        <v>Retirement and Life Insurance Premiums</v>
      </c>
      <c r="E460" s="24" t="s">
        <v>175</v>
      </c>
      <c r="F460" s="502">
        <v>121638.17</v>
      </c>
    </row>
    <row r="461" spans="1:6" x14ac:dyDescent="0.25">
      <c r="A461" s="308">
        <v>43404</v>
      </c>
      <c r="B461" s="24" t="s">
        <v>484</v>
      </c>
      <c r="C461" s="24" t="s">
        <v>487</v>
      </c>
      <c r="D461" s="136" t="str">
        <f t="array" ref="D461">IF(E461=0,0,(INDEX(AccountCodes[ACCOUNT NAME],MATCH(E461,AccountCodes[NGAS CODE],0))))</f>
        <v>Retirement and Life Insurance Premiums</v>
      </c>
      <c r="E461" s="24" t="s">
        <v>175</v>
      </c>
      <c r="F461" s="502">
        <v>121638.17</v>
      </c>
    </row>
    <row r="462" spans="1:6" x14ac:dyDescent="0.25">
      <c r="A462" s="308">
        <v>43434</v>
      </c>
      <c r="B462" s="24" t="s">
        <v>484</v>
      </c>
      <c r="C462" s="24" t="s">
        <v>487</v>
      </c>
      <c r="D462" s="136" t="str">
        <f t="array" ref="D462">IF(E462=0,0,(INDEX(AccountCodes[ACCOUNT NAME],MATCH(E462,AccountCodes[NGAS CODE],0))))</f>
        <v>Retirement and Life Insurance Premiums</v>
      </c>
      <c r="E462" s="24" t="s">
        <v>175</v>
      </c>
      <c r="F462" s="502">
        <v>121638.17</v>
      </c>
    </row>
    <row r="463" spans="1:6" x14ac:dyDescent="0.25">
      <c r="A463" s="308">
        <v>43465</v>
      </c>
      <c r="B463" s="24" t="s">
        <v>484</v>
      </c>
      <c r="C463" s="24" t="s">
        <v>487</v>
      </c>
      <c r="D463" s="136" t="str">
        <f t="array" ref="D463">IF(E463=0,0,(INDEX(AccountCodes[ACCOUNT NAME],MATCH(E463,AccountCodes[NGAS CODE],0))))</f>
        <v>Retirement and Life Insurance Premiums</v>
      </c>
      <c r="E463" s="24" t="s">
        <v>175</v>
      </c>
      <c r="F463" s="502">
        <v>121638.17</v>
      </c>
    </row>
    <row r="464" spans="1:6" x14ac:dyDescent="0.25">
      <c r="A464" s="308">
        <v>43131</v>
      </c>
      <c r="B464" s="24" t="s">
        <v>484</v>
      </c>
      <c r="C464" s="24" t="s">
        <v>487</v>
      </c>
      <c r="D464" s="136" t="str">
        <f t="array" ref="D464">IF(E464=0,0,(INDEX(AccountCodes[ACCOUNT NAME],MATCH(E464,AccountCodes[NGAS CODE],0))))</f>
        <v>Pag-IBIG Contributions</v>
      </c>
      <c r="E464" s="24" t="s">
        <v>176</v>
      </c>
      <c r="F464" s="502">
        <v>4600</v>
      </c>
    </row>
    <row r="465" spans="1:6" x14ac:dyDescent="0.25">
      <c r="A465" s="308">
        <v>43159</v>
      </c>
      <c r="B465" s="24" t="s">
        <v>484</v>
      </c>
      <c r="C465" s="24" t="s">
        <v>487</v>
      </c>
      <c r="D465" s="136" t="str">
        <f t="array" ref="D465">IF(E465=0,0,(INDEX(AccountCodes[ACCOUNT NAME],MATCH(E465,AccountCodes[NGAS CODE],0))))</f>
        <v>Pag-IBIG Contributions</v>
      </c>
      <c r="E465" s="24" t="s">
        <v>176</v>
      </c>
      <c r="F465" s="502">
        <v>4600</v>
      </c>
    </row>
    <row r="466" spans="1:6" x14ac:dyDescent="0.25">
      <c r="A466" s="308">
        <v>43190</v>
      </c>
      <c r="B466" s="24" t="s">
        <v>484</v>
      </c>
      <c r="C466" s="24" t="s">
        <v>487</v>
      </c>
      <c r="D466" s="136" t="str">
        <f t="array" ref="D466">IF(E466=0,0,(INDEX(AccountCodes[ACCOUNT NAME],MATCH(E466,AccountCodes[NGAS CODE],0))))</f>
        <v>Pag-IBIG Contributions</v>
      </c>
      <c r="E466" s="24" t="s">
        <v>176</v>
      </c>
      <c r="F466" s="502">
        <v>4600</v>
      </c>
    </row>
    <row r="467" spans="1:6" x14ac:dyDescent="0.25">
      <c r="A467" s="308">
        <v>43220</v>
      </c>
      <c r="B467" s="24" t="s">
        <v>484</v>
      </c>
      <c r="C467" s="24" t="s">
        <v>487</v>
      </c>
      <c r="D467" s="136" t="str">
        <f t="array" ref="D467">IF(E467=0,0,(INDEX(AccountCodes[ACCOUNT NAME],MATCH(E467,AccountCodes[NGAS CODE],0))))</f>
        <v>Pag-IBIG Contributions</v>
      </c>
      <c r="E467" s="24" t="s">
        <v>176</v>
      </c>
      <c r="F467" s="502">
        <v>4600</v>
      </c>
    </row>
    <row r="468" spans="1:6" x14ac:dyDescent="0.25">
      <c r="A468" s="308">
        <v>43251</v>
      </c>
      <c r="B468" s="24" t="s">
        <v>484</v>
      </c>
      <c r="C468" s="24" t="s">
        <v>487</v>
      </c>
      <c r="D468" s="136" t="str">
        <f t="array" ref="D468">IF(E468=0,0,(INDEX(AccountCodes[ACCOUNT NAME],MATCH(E468,AccountCodes[NGAS CODE],0))))</f>
        <v>Pag-IBIG Contributions</v>
      </c>
      <c r="E468" s="24" t="s">
        <v>176</v>
      </c>
      <c r="F468" s="502">
        <v>4600</v>
      </c>
    </row>
    <row r="469" spans="1:6" x14ac:dyDescent="0.25">
      <c r="A469" s="308">
        <v>43281</v>
      </c>
      <c r="B469" s="24" t="s">
        <v>484</v>
      </c>
      <c r="C469" s="24" t="s">
        <v>487</v>
      </c>
      <c r="D469" s="136" t="str">
        <f t="array" ref="D469">IF(E469=0,0,(INDEX(AccountCodes[ACCOUNT NAME],MATCH(E469,AccountCodes[NGAS CODE],0))))</f>
        <v>Pag-IBIG Contributions</v>
      </c>
      <c r="E469" s="24" t="s">
        <v>176</v>
      </c>
      <c r="F469" s="502">
        <v>4600</v>
      </c>
    </row>
    <row r="470" spans="1:6" x14ac:dyDescent="0.25">
      <c r="A470" s="308">
        <v>43312</v>
      </c>
      <c r="B470" s="24" t="s">
        <v>484</v>
      </c>
      <c r="C470" s="24" t="s">
        <v>487</v>
      </c>
      <c r="D470" s="136" t="str">
        <f t="array" ref="D470">IF(E470=0,0,(INDEX(AccountCodes[ACCOUNT NAME],MATCH(E470,AccountCodes[NGAS CODE],0))))</f>
        <v>Pag-IBIG Contributions</v>
      </c>
      <c r="E470" s="24" t="s">
        <v>176</v>
      </c>
      <c r="F470" s="502">
        <v>4600</v>
      </c>
    </row>
    <row r="471" spans="1:6" x14ac:dyDescent="0.25">
      <c r="A471" s="308">
        <v>43343</v>
      </c>
      <c r="B471" s="24" t="s">
        <v>484</v>
      </c>
      <c r="C471" s="24" t="s">
        <v>487</v>
      </c>
      <c r="D471" s="136" t="str">
        <f t="array" ref="D471">IF(E471=0,0,(INDEX(AccountCodes[ACCOUNT NAME],MATCH(E471,AccountCodes[NGAS CODE],0))))</f>
        <v>Pag-IBIG Contributions</v>
      </c>
      <c r="E471" s="24" t="s">
        <v>176</v>
      </c>
      <c r="F471" s="502">
        <v>4600</v>
      </c>
    </row>
    <row r="472" spans="1:6" x14ac:dyDescent="0.25">
      <c r="A472" s="308">
        <v>43373</v>
      </c>
      <c r="B472" s="24" t="s">
        <v>484</v>
      </c>
      <c r="C472" s="24" t="s">
        <v>487</v>
      </c>
      <c r="D472" s="136" t="str">
        <f t="array" ref="D472">IF(E472=0,0,(INDEX(AccountCodes[ACCOUNT NAME],MATCH(E472,AccountCodes[NGAS CODE],0))))</f>
        <v>Pag-IBIG Contributions</v>
      </c>
      <c r="E472" s="24" t="s">
        <v>176</v>
      </c>
      <c r="F472" s="502">
        <v>4600</v>
      </c>
    </row>
    <row r="473" spans="1:6" x14ac:dyDescent="0.25">
      <c r="A473" s="308">
        <v>43404</v>
      </c>
      <c r="B473" s="24" t="s">
        <v>484</v>
      </c>
      <c r="C473" s="24" t="s">
        <v>487</v>
      </c>
      <c r="D473" s="136" t="str">
        <f t="array" ref="D473">IF(E473=0,0,(INDEX(AccountCodes[ACCOUNT NAME],MATCH(E473,AccountCodes[NGAS CODE],0))))</f>
        <v>Pag-IBIG Contributions</v>
      </c>
      <c r="E473" s="24" t="s">
        <v>176</v>
      </c>
      <c r="F473" s="502">
        <v>4600</v>
      </c>
    </row>
    <row r="474" spans="1:6" x14ac:dyDescent="0.25">
      <c r="A474" s="308">
        <v>43434</v>
      </c>
      <c r="B474" s="24" t="s">
        <v>484</v>
      </c>
      <c r="C474" s="24" t="s">
        <v>487</v>
      </c>
      <c r="D474" s="136" t="str">
        <f t="array" ref="D474">IF(E474=0,0,(INDEX(AccountCodes[ACCOUNT NAME],MATCH(E474,AccountCodes[NGAS CODE],0))))</f>
        <v>Pag-IBIG Contributions</v>
      </c>
      <c r="E474" s="24" t="s">
        <v>176</v>
      </c>
      <c r="F474" s="502">
        <v>4600</v>
      </c>
    </row>
    <row r="475" spans="1:6" x14ac:dyDescent="0.25">
      <c r="A475" s="308">
        <v>43465</v>
      </c>
      <c r="B475" s="24" t="s">
        <v>484</v>
      </c>
      <c r="C475" s="24" t="s">
        <v>487</v>
      </c>
      <c r="D475" s="136" t="str">
        <f t="array" ref="D475">IF(E475=0,0,(INDEX(AccountCodes[ACCOUNT NAME],MATCH(E475,AccountCodes[NGAS CODE],0))))</f>
        <v>Pag-IBIG Contributions</v>
      </c>
      <c r="E475" s="24" t="s">
        <v>176</v>
      </c>
      <c r="F475" s="502">
        <v>4600</v>
      </c>
    </row>
    <row r="476" spans="1:6" x14ac:dyDescent="0.25">
      <c r="A476" s="308">
        <v>43131</v>
      </c>
      <c r="B476" s="24" t="s">
        <v>484</v>
      </c>
      <c r="C476" s="24" t="s">
        <v>487</v>
      </c>
      <c r="D476" s="136" t="str">
        <f t="array" ref="D476">IF(E476=0,0,(INDEX(AccountCodes[ACCOUNT NAME],MATCH(E476,AccountCodes[NGAS CODE],0))))</f>
        <v>PhilHealth Contributions</v>
      </c>
      <c r="E476" s="24" t="s">
        <v>177</v>
      </c>
      <c r="F476" s="502">
        <v>13237.5</v>
      </c>
    </row>
    <row r="477" spans="1:6" x14ac:dyDescent="0.25">
      <c r="A477" s="308">
        <v>43159</v>
      </c>
      <c r="B477" s="24" t="s">
        <v>484</v>
      </c>
      <c r="C477" s="24" t="s">
        <v>487</v>
      </c>
      <c r="D477" s="136" t="str">
        <f t="array" ref="D477">IF(E477=0,0,(INDEX(AccountCodes[ACCOUNT NAME],MATCH(E477,AccountCodes[NGAS CODE],0))))</f>
        <v>PhilHealth Contributions</v>
      </c>
      <c r="E477" s="24" t="s">
        <v>177</v>
      </c>
      <c r="F477" s="502">
        <v>13237.5</v>
      </c>
    </row>
    <row r="478" spans="1:6" x14ac:dyDescent="0.25">
      <c r="A478" s="308">
        <v>43190</v>
      </c>
      <c r="B478" s="24" t="s">
        <v>484</v>
      </c>
      <c r="C478" s="24" t="s">
        <v>487</v>
      </c>
      <c r="D478" s="136" t="str">
        <f t="array" ref="D478">IF(E478=0,0,(INDEX(AccountCodes[ACCOUNT NAME],MATCH(E478,AccountCodes[NGAS CODE],0))))</f>
        <v>PhilHealth Contributions</v>
      </c>
      <c r="E478" s="24" t="s">
        <v>177</v>
      </c>
      <c r="F478" s="502">
        <v>13237.5</v>
      </c>
    </row>
    <row r="479" spans="1:6" x14ac:dyDescent="0.25">
      <c r="A479" s="308">
        <v>43220</v>
      </c>
      <c r="B479" s="24" t="s">
        <v>484</v>
      </c>
      <c r="C479" s="24" t="s">
        <v>487</v>
      </c>
      <c r="D479" s="136" t="str">
        <f t="array" ref="D479">IF(E479=0,0,(INDEX(AccountCodes[ACCOUNT NAME],MATCH(E479,AccountCodes[NGAS CODE],0))))</f>
        <v>PhilHealth Contributions</v>
      </c>
      <c r="E479" s="24" t="s">
        <v>177</v>
      </c>
      <c r="F479" s="502">
        <v>13237.5</v>
      </c>
    </row>
    <row r="480" spans="1:6" x14ac:dyDescent="0.25">
      <c r="A480" s="308">
        <v>43251</v>
      </c>
      <c r="B480" s="24" t="s">
        <v>484</v>
      </c>
      <c r="C480" s="24" t="s">
        <v>487</v>
      </c>
      <c r="D480" s="136" t="str">
        <f t="array" ref="D480">IF(E480=0,0,(INDEX(AccountCodes[ACCOUNT NAME],MATCH(E480,AccountCodes[NGAS CODE],0))))</f>
        <v>PhilHealth Contributions</v>
      </c>
      <c r="E480" s="24" t="s">
        <v>177</v>
      </c>
      <c r="F480" s="502">
        <v>13237.5</v>
      </c>
    </row>
    <row r="481" spans="1:6" x14ac:dyDescent="0.25">
      <c r="A481" s="308">
        <v>43281</v>
      </c>
      <c r="B481" s="24" t="s">
        <v>484</v>
      </c>
      <c r="C481" s="24" t="s">
        <v>487</v>
      </c>
      <c r="D481" s="136" t="str">
        <f t="array" ref="D481">IF(E481=0,0,(INDEX(AccountCodes[ACCOUNT NAME],MATCH(E481,AccountCodes[NGAS CODE],0))))</f>
        <v>PhilHealth Contributions</v>
      </c>
      <c r="E481" s="24" t="s">
        <v>177</v>
      </c>
      <c r="F481" s="502">
        <v>13237.5</v>
      </c>
    </row>
    <row r="482" spans="1:6" x14ac:dyDescent="0.25">
      <c r="A482" s="308">
        <v>43312</v>
      </c>
      <c r="B482" s="24" t="s">
        <v>484</v>
      </c>
      <c r="C482" s="24" t="s">
        <v>487</v>
      </c>
      <c r="D482" s="136" t="str">
        <f t="array" ref="D482">IF(E482=0,0,(INDEX(AccountCodes[ACCOUNT NAME],MATCH(E482,AccountCodes[NGAS CODE],0))))</f>
        <v>PhilHealth Contributions</v>
      </c>
      <c r="E482" s="24" t="s">
        <v>177</v>
      </c>
      <c r="F482" s="502">
        <v>13237.5</v>
      </c>
    </row>
    <row r="483" spans="1:6" x14ac:dyDescent="0.25">
      <c r="A483" s="308">
        <v>43343</v>
      </c>
      <c r="B483" s="24" t="s">
        <v>484</v>
      </c>
      <c r="C483" s="24" t="s">
        <v>487</v>
      </c>
      <c r="D483" s="136" t="str">
        <f t="array" ref="D483">IF(E483=0,0,(INDEX(AccountCodes[ACCOUNT NAME],MATCH(E483,AccountCodes[NGAS CODE],0))))</f>
        <v>PhilHealth Contributions</v>
      </c>
      <c r="E483" s="24" t="s">
        <v>177</v>
      </c>
      <c r="F483" s="502">
        <v>13237.5</v>
      </c>
    </row>
    <row r="484" spans="1:6" x14ac:dyDescent="0.25">
      <c r="A484" s="308">
        <v>43373</v>
      </c>
      <c r="B484" s="24" t="s">
        <v>484</v>
      </c>
      <c r="C484" s="24" t="s">
        <v>487</v>
      </c>
      <c r="D484" s="136" t="str">
        <f t="array" ref="D484">IF(E484=0,0,(INDEX(AccountCodes[ACCOUNT NAME],MATCH(E484,AccountCodes[NGAS CODE],0))))</f>
        <v>PhilHealth Contributions</v>
      </c>
      <c r="E484" s="24" t="s">
        <v>177</v>
      </c>
      <c r="F484" s="502">
        <v>13237.5</v>
      </c>
    </row>
    <row r="485" spans="1:6" x14ac:dyDescent="0.25">
      <c r="A485" s="308">
        <v>43404</v>
      </c>
      <c r="B485" s="24" t="s">
        <v>484</v>
      </c>
      <c r="C485" s="24" t="s">
        <v>487</v>
      </c>
      <c r="D485" s="136" t="str">
        <f t="array" ref="D485">IF(E485=0,0,(INDEX(AccountCodes[ACCOUNT NAME],MATCH(E485,AccountCodes[NGAS CODE],0))))</f>
        <v>PhilHealth Contributions</v>
      </c>
      <c r="E485" s="24" t="s">
        <v>177</v>
      </c>
      <c r="F485" s="502">
        <v>13237.5</v>
      </c>
    </row>
    <row r="486" spans="1:6" x14ac:dyDescent="0.25">
      <c r="A486" s="308">
        <v>43434</v>
      </c>
      <c r="B486" s="24" t="s">
        <v>484</v>
      </c>
      <c r="C486" s="24" t="s">
        <v>487</v>
      </c>
      <c r="D486" s="136" t="str">
        <f t="array" ref="D486">IF(E486=0,0,(INDEX(AccountCodes[ACCOUNT NAME],MATCH(E486,AccountCodes[NGAS CODE],0))))</f>
        <v>PhilHealth Contributions</v>
      </c>
      <c r="E486" s="24" t="s">
        <v>177</v>
      </c>
      <c r="F486" s="502">
        <v>13237.5</v>
      </c>
    </row>
    <row r="487" spans="1:6" x14ac:dyDescent="0.25">
      <c r="A487" s="308">
        <v>43465</v>
      </c>
      <c r="B487" s="24" t="s">
        <v>484</v>
      </c>
      <c r="C487" s="24" t="s">
        <v>487</v>
      </c>
      <c r="D487" s="136" t="str">
        <f t="array" ref="D487">IF(E487=0,0,(INDEX(AccountCodes[ACCOUNT NAME],MATCH(E487,AccountCodes[NGAS CODE],0))))</f>
        <v>PhilHealth Contributions</v>
      </c>
      <c r="E487" s="24" t="s">
        <v>177</v>
      </c>
      <c r="F487" s="502">
        <v>13237.5</v>
      </c>
    </row>
    <row r="488" spans="1:6" x14ac:dyDescent="0.25">
      <c r="A488" s="308">
        <v>43131</v>
      </c>
      <c r="B488" s="24" t="s">
        <v>484</v>
      </c>
      <c r="C488" s="24" t="s">
        <v>487</v>
      </c>
      <c r="D488" s="136" t="str">
        <f t="array" ref="D488">IF(E488=0,0,(INDEX(AccountCodes[ACCOUNT NAME],MATCH(E488,AccountCodes[NGAS CODE],0))))</f>
        <v>Employees Compensation Insurance Premiums</v>
      </c>
      <c r="E488" s="24" t="s">
        <v>178</v>
      </c>
      <c r="F488" s="502">
        <v>4600</v>
      </c>
    </row>
    <row r="489" spans="1:6" x14ac:dyDescent="0.25">
      <c r="A489" s="308">
        <v>43159</v>
      </c>
      <c r="B489" s="24" t="s">
        <v>484</v>
      </c>
      <c r="C489" s="24" t="s">
        <v>487</v>
      </c>
      <c r="D489" s="136" t="str">
        <f t="array" ref="D489">IF(E489=0,0,(INDEX(AccountCodes[ACCOUNT NAME],MATCH(E489,AccountCodes[NGAS CODE],0))))</f>
        <v>Employees Compensation Insurance Premiums</v>
      </c>
      <c r="E489" s="24" t="s">
        <v>178</v>
      </c>
      <c r="F489" s="502">
        <v>4600</v>
      </c>
    </row>
    <row r="490" spans="1:6" x14ac:dyDescent="0.25">
      <c r="A490" s="308">
        <v>43190</v>
      </c>
      <c r="B490" s="24" t="s">
        <v>484</v>
      </c>
      <c r="C490" s="24" t="s">
        <v>487</v>
      </c>
      <c r="D490" s="136" t="str">
        <f t="array" ref="D490">IF(E490=0,0,(INDEX(AccountCodes[ACCOUNT NAME],MATCH(E490,AccountCodes[NGAS CODE],0))))</f>
        <v>Employees Compensation Insurance Premiums</v>
      </c>
      <c r="E490" s="24" t="s">
        <v>178</v>
      </c>
      <c r="F490" s="502">
        <v>4600</v>
      </c>
    </row>
    <row r="491" spans="1:6" x14ac:dyDescent="0.25">
      <c r="A491" s="308">
        <v>43220</v>
      </c>
      <c r="B491" s="24" t="s">
        <v>484</v>
      </c>
      <c r="C491" s="24" t="s">
        <v>487</v>
      </c>
      <c r="D491" s="136" t="str">
        <f t="array" ref="D491">IF(E491=0,0,(INDEX(AccountCodes[ACCOUNT NAME],MATCH(E491,AccountCodes[NGAS CODE],0))))</f>
        <v>Employees Compensation Insurance Premiums</v>
      </c>
      <c r="E491" s="24" t="s">
        <v>178</v>
      </c>
      <c r="F491" s="502">
        <v>4600</v>
      </c>
    </row>
    <row r="492" spans="1:6" x14ac:dyDescent="0.25">
      <c r="A492" s="308">
        <v>43251</v>
      </c>
      <c r="B492" s="24" t="s">
        <v>484</v>
      </c>
      <c r="C492" s="24" t="s">
        <v>487</v>
      </c>
      <c r="D492" s="136" t="str">
        <f t="array" ref="D492">IF(E492=0,0,(INDEX(AccountCodes[ACCOUNT NAME],MATCH(E492,AccountCodes[NGAS CODE],0))))</f>
        <v>Employees Compensation Insurance Premiums</v>
      </c>
      <c r="E492" s="24" t="s">
        <v>178</v>
      </c>
      <c r="F492" s="502">
        <v>4600</v>
      </c>
    </row>
    <row r="493" spans="1:6" x14ac:dyDescent="0.25">
      <c r="A493" s="308">
        <v>43281</v>
      </c>
      <c r="B493" s="24" t="s">
        <v>484</v>
      </c>
      <c r="C493" s="24" t="s">
        <v>487</v>
      </c>
      <c r="D493" s="136" t="str">
        <f t="array" ref="D493">IF(E493=0,0,(INDEX(AccountCodes[ACCOUNT NAME],MATCH(E493,AccountCodes[NGAS CODE],0))))</f>
        <v>Employees Compensation Insurance Premiums</v>
      </c>
      <c r="E493" s="24" t="s">
        <v>178</v>
      </c>
      <c r="F493" s="502">
        <v>4600</v>
      </c>
    </row>
    <row r="494" spans="1:6" x14ac:dyDescent="0.25">
      <c r="A494" s="308">
        <v>43312</v>
      </c>
      <c r="B494" s="24" t="s">
        <v>484</v>
      </c>
      <c r="C494" s="24" t="s">
        <v>487</v>
      </c>
      <c r="D494" s="136" t="str">
        <f t="array" ref="D494">IF(E494=0,0,(INDEX(AccountCodes[ACCOUNT NAME],MATCH(E494,AccountCodes[NGAS CODE],0))))</f>
        <v>Employees Compensation Insurance Premiums</v>
      </c>
      <c r="E494" s="24" t="s">
        <v>178</v>
      </c>
      <c r="F494" s="502">
        <v>4600</v>
      </c>
    </row>
    <row r="495" spans="1:6" x14ac:dyDescent="0.25">
      <c r="A495" s="308">
        <v>43343</v>
      </c>
      <c r="B495" s="24" t="s">
        <v>484</v>
      </c>
      <c r="C495" s="24" t="s">
        <v>487</v>
      </c>
      <c r="D495" s="136" t="str">
        <f t="array" ref="D495">IF(E495=0,0,(INDEX(AccountCodes[ACCOUNT NAME],MATCH(E495,AccountCodes[NGAS CODE],0))))</f>
        <v>Employees Compensation Insurance Premiums</v>
      </c>
      <c r="E495" s="24" t="s">
        <v>178</v>
      </c>
      <c r="F495" s="502">
        <v>4600</v>
      </c>
    </row>
    <row r="496" spans="1:6" x14ac:dyDescent="0.25">
      <c r="A496" s="308">
        <v>43373</v>
      </c>
      <c r="B496" s="24" t="s">
        <v>484</v>
      </c>
      <c r="C496" s="24" t="s">
        <v>487</v>
      </c>
      <c r="D496" s="136" t="str">
        <f t="array" ref="D496">IF(E496=0,0,(INDEX(AccountCodes[ACCOUNT NAME],MATCH(E496,AccountCodes[NGAS CODE],0))))</f>
        <v>Employees Compensation Insurance Premiums</v>
      </c>
      <c r="E496" s="24" t="s">
        <v>178</v>
      </c>
      <c r="F496" s="502">
        <v>4600</v>
      </c>
    </row>
    <row r="497" spans="1:6" x14ac:dyDescent="0.25">
      <c r="A497" s="308">
        <v>43404</v>
      </c>
      <c r="B497" s="24" t="s">
        <v>484</v>
      </c>
      <c r="C497" s="24" t="s">
        <v>487</v>
      </c>
      <c r="D497" s="136" t="str">
        <f t="array" ref="D497">IF(E497=0,0,(INDEX(AccountCodes[ACCOUNT NAME],MATCH(E497,AccountCodes[NGAS CODE],0))))</f>
        <v>Employees Compensation Insurance Premiums</v>
      </c>
      <c r="E497" s="24" t="s">
        <v>178</v>
      </c>
      <c r="F497" s="502">
        <v>4600</v>
      </c>
    </row>
    <row r="498" spans="1:6" x14ac:dyDescent="0.25">
      <c r="A498" s="308">
        <v>43434</v>
      </c>
      <c r="B498" s="24" t="s">
        <v>484</v>
      </c>
      <c r="C498" s="24" t="s">
        <v>487</v>
      </c>
      <c r="D498" s="136" t="str">
        <f t="array" ref="D498">IF(E498=0,0,(INDEX(AccountCodes[ACCOUNT NAME],MATCH(E498,AccountCodes[NGAS CODE],0))))</f>
        <v>Employees Compensation Insurance Premiums</v>
      </c>
      <c r="E498" s="24" t="s">
        <v>178</v>
      </c>
      <c r="F498" s="502">
        <v>4600</v>
      </c>
    </row>
    <row r="499" spans="1:6" x14ac:dyDescent="0.25">
      <c r="A499" s="308">
        <v>43465</v>
      </c>
      <c r="B499" s="24" t="s">
        <v>484</v>
      </c>
      <c r="C499" s="24" t="s">
        <v>487</v>
      </c>
      <c r="D499" s="136" t="str">
        <f t="array" ref="D499">IF(E499=0,0,(INDEX(AccountCodes[ACCOUNT NAME],MATCH(E499,AccountCodes[NGAS CODE],0))))</f>
        <v>Employees Compensation Insurance Premiums</v>
      </c>
      <c r="E499" s="24" t="s">
        <v>178</v>
      </c>
      <c r="F499" s="502">
        <v>4600</v>
      </c>
    </row>
    <row r="500" spans="1:6" x14ac:dyDescent="0.25">
      <c r="A500" s="308">
        <v>43131</v>
      </c>
      <c r="B500" s="24" t="s">
        <v>484</v>
      </c>
      <c r="C500" s="24" t="s">
        <v>487</v>
      </c>
      <c r="D500" s="136" t="str">
        <f t="array" ref="D500">IF(E500=0,0,(INDEX(AccountCodes[ACCOUNT NAME],MATCH(E500,AccountCodes[NGAS CODE],0))))</f>
        <v>Traveling Expenses-Local</v>
      </c>
      <c r="E500" s="24" t="s">
        <v>223</v>
      </c>
      <c r="F500" s="502">
        <v>14880</v>
      </c>
    </row>
    <row r="501" spans="1:6" x14ac:dyDescent="0.25">
      <c r="A501" s="308">
        <v>43159</v>
      </c>
      <c r="B501" s="24" t="s">
        <v>484</v>
      </c>
      <c r="C501" s="24" t="s">
        <v>487</v>
      </c>
      <c r="D501" s="136" t="str">
        <f t="array" ref="D501">IF(E501=0,0,(INDEX(AccountCodes[ACCOUNT NAME],MATCH(E501,AccountCodes[NGAS CODE],0))))</f>
        <v>Traveling Expenses-Local</v>
      </c>
      <c r="E501" s="24" t="s">
        <v>223</v>
      </c>
      <c r="F501" s="502">
        <v>14880</v>
      </c>
    </row>
    <row r="502" spans="1:6" x14ac:dyDescent="0.25">
      <c r="A502" s="308">
        <v>43190</v>
      </c>
      <c r="B502" s="24" t="s">
        <v>484</v>
      </c>
      <c r="C502" s="24" t="s">
        <v>487</v>
      </c>
      <c r="D502" s="136" t="str">
        <f t="array" ref="D502">IF(E502=0,0,(INDEX(AccountCodes[ACCOUNT NAME],MATCH(E502,AccountCodes[NGAS CODE],0))))</f>
        <v>Traveling Expenses-Local</v>
      </c>
      <c r="E502" s="24" t="s">
        <v>223</v>
      </c>
      <c r="F502" s="502">
        <v>14880</v>
      </c>
    </row>
    <row r="503" spans="1:6" x14ac:dyDescent="0.25">
      <c r="A503" s="308">
        <v>43220</v>
      </c>
      <c r="B503" s="24" t="s">
        <v>484</v>
      </c>
      <c r="C503" s="24" t="s">
        <v>487</v>
      </c>
      <c r="D503" s="136" t="str">
        <f t="array" ref="D503">IF(E503=0,0,(INDEX(AccountCodes[ACCOUNT NAME],MATCH(E503,AccountCodes[NGAS CODE],0))))</f>
        <v>Traveling Expenses-Local</v>
      </c>
      <c r="E503" s="24" t="s">
        <v>223</v>
      </c>
      <c r="F503" s="502">
        <v>14880</v>
      </c>
    </row>
    <row r="504" spans="1:6" x14ac:dyDescent="0.25">
      <c r="A504" s="308">
        <v>43251</v>
      </c>
      <c r="B504" s="24" t="s">
        <v>484</v>
      </c>
      <c r="C504" s="24" t="s">
        <v>487</v>
      </c>
      <c r="D504" s="136" t="str">
        <f t="array" ref="D504">IF(E504=0,0,(INDEX(AccountCodes[ACCOUNT NAME],MATCH(E504,AccountCodes[NGAS CODE],0))))</f>
        <v>Traveling Expenses-Local</v>
      </c>
      <c r="E504" s="24" t="s">
        <v>223</v>
      </c>
      <c r="F504" s="502">
        <v>14880</v>
      </c>
    </row>
    <row r="505" spans="1:6" x14ac:dyDescent="0.25">
      <c r="A505" s="308">
        <v>43281</v>
      </c>
      <c r="B505" s="24" t="s">
        <v>484</v>
      </c>
      <c r="C505" s="24" t="s">
        <v>487</v>
      </c>
      <c r="D505" s="136" t="str">
        <f t="array" ref="D505">IF(E505=0,0,(INDEX(AccountCodes[ACCOUNT NAME],MATCH(E505,AccountCodes[NGAS CODE],0))))</f>
        <v>Traveling Expenses-Local</v>
      </c>
      <c r="E505" s="24" t="s">
        <v>223</v>
      </c>
      <c r="F505" s="502">
        <v>14880</v>
      </c>
    </row>
    <row r="506" spans="1:6" x14ac:dyDescent="0.25">
      <c r="A506" s="308">
        <v>43312</v>
      </c>
      <c r="B506" s="24" t="s">
        <v>484</v>
      </c>
      <c r="C506" s="24" t="s">
        <v>487</v>
      </c>
      <c r="D506" s="136" t="str">
        <f t="array" ref="D506">IF(E506=0,0,(INDEX(AccountCodes[ACCOUNT NAME],MATCH(E506,AccountCodes[NGAS CODE],0))))</f>
        <v>Traveling Expenses-Local</v>
      </c>
      <c r="E506" s="24" t="s">
        <v>223</v>
      </c>
      <c r="F506" s="502">
        <v>14880</v>
      </c>
    </row>
    <row r="507" spans="1:6" x14ac:dyDescent="0.25">
      <c r="A507" s="308">
        <v>43343</v>
      </c>
      <c r="B507" s="24" t="s">
        <v>484</v>
      </c>
      <c r="C507" s="24" t="s">
        <v>487</v>
      </c>
      <c r="D507" s="136" t="str">
        <f t="array" ref="D507">IF(E507=0,0,(INDEX(AccountCodes[ACCOUNT NAME],MATCH(E507,AccountCodes[NGAS CODE],0))))</f>
        <v>Traveling Expenses-Local</v>
      </c>
      <c r="E507" s="24" t="s">
        <v>223</v>
      </c>
      <c r="F507" s="502">
        <v>14880</v>
      </c>
    </row>
    <row r="508" spans="1:6" x14ac:dyDescent="0.25">
      <c r="A508" s="308">
        <v>43373</v>
      </c>
      <c r="B508" s="24" t="s">
        <v>484</v>
      </c>
      <c r="C508" s="24" t="s">
        <v>487</v>
      </c>
      <c r="D508" s="136" t="str">
        <f t="array" ref="D508">IF(E508=0,0,(INDEX(AccountCodes[ACCOUNT NAME],MATCH(E508,AccountCodes[NGAS CODE],0))))</f>
        <v>Traveling Expenses-Local</v>
      </c>
      <c r="E508" s="24" t="s">
        <v>223</v>
      </c>
      <c r="F508" s="502">
        <v>14880</v>
      </c>
    </row>
    <row r="509" spans="1:6" x14ac:dyDescent="0.25">
      <c r="A509" s="308">
        <v>43404</v>
      </c>
      <c r="B509" s="24" t="s">
        <v>484</v>
      </c>
      <c r="C509" s="24" t="s">
        <v>487</v>
      </c>
      <c r="D509" s="136" t="str">
        <f t="array" ref="D509">IF(E509=0,0,(INDEX(AccountCodes[ACCOUNT NAME],MATCH(E509,AccountCodes[NGAS CODE],0))))</f>
        <v>Traveling Expenses-Local</v>
      </c>
      <c r="E509" s="24" t="s">
        <v>223</v>
      </c>
      <c r="F509" s="502">
        <v>14880</v>
      </c>
    </row>
    <row r="510" spans="1:6" x14ac:dyDescent="0.25">
      <c r="A510" s="308">
        <v>43434</v>
      </c>
      <c r="B510" s="24" t="s">
        <v>484</v>
      </c>
      <c r="C510" s="24" t="s">
        <v>487</v>
      </c>
      <c r="D510" s="136" t="str">
        <f t="array" ref="D510">IF(E510=0,0,(INDEX(AccountCodes[ACCOUNT NAME],MATCH(E510,AccountCodes[NGAS CODE],0))))</f>
        <v>Traveling Expenses-Local</v>
      </c>
      <c r="E510" s="24" t="s">
        <v>223</v>
      </c>
      <c r="F510" s="502">
        <v>14880</v>
      </c>
    </row>
    <row r="511" spans="1:6" x14ac:dyDescent="0.25">
      <c r="A511" s="308">
        <v>43465</v>
      </c>
      <c r="B511" s="24" t="s">
        <v>484</v>
      </c>
      <c r="C511" s="24" t="s">
        <v>487</v>
      </c>
      <c r="D511" s="136" t="str">
        <f t="array" ref="D511">IF(E511=0,0,(INDEX(AccountCodes[ACCOUNT NAME],MATCH(E511,AccountCodes[NGAS CODE],0))))</f>
        <v>Traveling Expenses-Local</v>
      </c>
      <c r="E511" s="24" t="s">
        <v>223</v>
      </c>
      <c r="F511" s="502">
        <v>14880</v>
      </c>
    </row>
    <row r="512" spans="1:6" x14ac:dyDescent="0.25">
      <c r="A512" s="308">
        <v>43190</v>
      </c>
      <c r="B512" s="24" t="s">
        <v>484</v>
      </c>
      <c r="C512" s="24" t="s">
        <v>487</v>
      </c>
      <c r="D512" s="136" t="str">
        <f t="array" ref="D512">IF(E512=0,0,(INDEX(AccountCodes[ACCOUNT NAME],MATCH(E512,AccountCodes[NGAS CODE],0))))</f>
        <v>Training Expenses</v>
      </c>
      <c r="E512" s="24" t="s">
        <v>224</v>
      </c>
      <c r="F512" s="502">
        <v>75000</v>
      </c>
    </row>
    <row r="513" spans="1:6" x14ac:dyDescent="0.25">
      <c r="A513" s="308">
        <v>43131</v>
      </c>
      <c r="B513" s="24" t="s">
        <v>484</v>
      </c>
      <c r="C513" s="24" t="s">
        <v>487</v>
      </c>
      <c r="D513" s="136" t="str">
        <f t="array" ref="D513">IF(E513=0,0,(INDEX(AccountCodes[ACCOUNT NAME],MATCH(E513,AccountCodes[NGAS CODE],0))))</f>
        <v>Office Supplies Expenses</v>
      </c>
      <c r="E513" s="309" t="s">
        <v>225</v>
      </c>
      <c r="F513" s="502">
        <v>16500</v>
      </c>
    </row>
    <row r="514" spans="1:6" x14ac:dyDescent="0.25">
      <c r="A514" s="308">
        <v>43159</v>
      </c>
      <c r="B514" s="24" t="s">
        <v>484</v>
      </c>
      <c r="C514" s="24" t="s">
        <v>487</v>
      </c>
      <c r="D514" s="136" t="str">
        <f t="array" ref="D514">IF(E514=0,0,(INDEX(AccountCodes[ACCOUNT NAME],MATCH(E514,AccountCodes[NGAS CODE],0))))</f>
        <v>Office Supplies Expenses</v>
      </c>
      <c r="E514" s="309" t="s">
        <v>225</v>
      </c>
      <c r="F514" s="502">
        <v>16500</v>
      </c>
    </row>
    <row r="515" spans="1:6" x14ac:dyDescent="0.25">
      <c r="A515" s="308">
        <v>43190</v>
      </c>
      <c r="B515" s="24" t="s">
        <v>484</v>
      </c>
      <c r="C515" s="24" t="s">
        <v>487</v>
      </c>
      <c r="D515" s="136" t="str">
        <f t="array" ref="D515">IF(E515=0,0,(INDEX(AccountCodes[ACCOUNT NAME],MATCH(E515,AccountCodes[NGAS CODE],0))))</f>
        <v>Office Supplies Expenses</v>
      </c>
      <c r="E515" s="309" t="s">
        <v>225</v>
      </c>
      <c r="F515" s="502">
        <v>16500</v>
      </c>
    </row>
    <row r="516" spans="1:6" x14ac:dyDescent="0.25">
      <c r="A516" s="308">
        <v>43220</v>
      </c>
      <c r="B516" s="24" t="s">
        <v>484</v>
      </c>
      <c r="C516" s="24" t="s">
        <v>487</v>
      </c>
      <c r="D516" s="136" t="str">
        <f t="array" ref="D516">IF(E516=0,0,(INDEX(AccountCodes[ACCOUNT NAME],MATCH(E516,AccountCodes[NGAS CODE],0))))</f>
        <v>Office Supplies Expenses</v>
      </c>
      <c r="E516" s="309" t="s">
        <v>225</v>
      </c>
      <c r="F516" s="502">
        <v>16500</v>
      </c>
    </row>
    <row r="517" spans="1:6" x14ac:dyDescent="0.25">
      <c r="A517" s="308">
        <v>43251</v>
      </c>
      <c r="B517" s="24" t="s">
        <v>484</v>
      </c>
      <c r="C517" s="24" t="s">
        <v>487</v>
      </c>
      <c r="D517" s="136" t="str">
        <f t="array" ref="D517">IF(E517=0,0,(INDEX(AccountCodes[ACCOUNT NAME],MATCH(E517,AccountCodes[NGAS CODE],0))))</f>
        <v>Office Supplies Expenses</v>
      </c>
      <c r="E517" s="309" t="s">
        <v>225</v>
      </c>
      <c r="F517" s="502">
        <v>16500</v>
      </c>
    </row>
    <row r="518" spans="1:6" x14ac:dyDescent="0.25">
      <c r="A518" s="308">
        <v>43281</v>
      </c>
      <c r="B518" s="24" t="s">
        <v>484</v>
      </c>
      <c r="C518" s="24" t="s">
        <v>487</v>
      </c>
      <c r="D518" s="136" t="str">
        <f t="array" ref="D518">IF(E518=0,0,(INDEX(AccountCodes[ACCOUNT NAME],MATCH(E518,AccountCodes[NGAS CODE],0))))</f>
        <v>Office Supplies Expenses</v>
      </c>
      <c r="E518" s="309" t="s">
        <v>225</v>
      </c>
      <c r="F518" s="502">
        <v>16500</v>
      </c>
    </row>
    <row r="519" spans="1:6" x14ac:dyDescent="0.25">
      <c r="A519" s="308">
        <v>43312</v>
      </c>
      <c r="B519" s="24" t="s">
        <v>484</v>
      </c>
      <c r="C519" s="24" t="s">
        <v>487</v>
      </c>
      <c r="D519" s="136" t="str">
        <f t="array" ref="D519">IF(E519=0,0,(INDEX(AccountCodes[ACCOUNT NAME],MATCH(E519,AccountCodes[NGAS CODE],0))))</f>
        <v>Office Supplies Expenses</v>
      </c>
      <c r="E519" s="309" t="s">
        <v>225</v>
      </c>
      <c r="F519" s="502">
        <v>16500</v>
      </c>
    </row>
    <row r="520" spans="1:6" x14ac:dyDescent="0.25">
      <c r="A520" s="308">
        <v>43343</v>
      </c>
      <c r="B520" s="24" t="s">
        <v>484</v>
      </c>
      <c r="C520" s="24" t="s">
        <v>487</v>
      </c>
      <c r="D520" s="136" t="str">
        <f t="array" ref="D520">IF(E520=0,0,(INDEX(AccountCodes[ACCOUNT NAME],MATCH(E520,AccountCodes[NGAS CODE],0))))</f>
        <v>Office Supplies Expenses</v>
      </c>
      <c r="E520" s="309" t="s">
        <v>225</v>
      </c>
      <c r="F520" s="502">
        <v>16500</v>
      </c>
    </row>
    <row r="521" spans="1:6" x14ac:dyDescent="0.25">
      <c r="A521" s="308">
        <v>43373</v>
      </c>
      <c r="B521" s="24" t="s">
        <v>484</v>
      </c>
      <c r="C521" s="24" t="s">
        <v>487</v>
      </c>
      <c r="D521" s="136" t="str">
        <f t="array" ref="D521">IF(E521=0,0,(INDEX(AccountCodes[ACCOUNT NAME],MATCH(E521,AccountCodes[NGAS CODE],0))))</f>
        <v>Office Supplies Expenses</v>
      </c>
      <c r="E521" s="309" t="s">
        <v>225</v>
      </c>
      <c r="F521" s="502">
        <v>16500</v>
      </c>
    </row>
    <row r="522" spans="1:6" x14ac:dyDescent="0.25">
      <c r="A522" s="308">
        <v>43404</v>
      </c>
      <c r="B522" s="24" t="s">
        <v>484</v>
      </c>
      <c r="C522" s="24" t="s">
        <v>487</v>
      </c>
      <c r="D522" s="136" t="str">
        <f t="array" ref="D522">IF(E522=0,0,(INDEX(AccountCodes[ACCOUNT NAME],MATCH(E522,AccountCodes[NGAS CODE],0))))</f>
        <v>Office Supplies Expenses</v>
      </c>
      <c r="E522" s="309" t="s">
        <v>225</v>
      </c>
      <c r="F522" s="502">
        <v>16500</v>
      </c>
    </row>
    <row r="523" spans="1:6" x14ac:dyDescent="0.25">
      <c r="A523" s="308">
        <v>43434</v>
      </c>
      <c r="B523" s="24" t="s">
        <v>484</v>
      </c>
      <c r="C523" s="24" t="s">
        <v>487</v>
      </c>
      <c r="D523" s="136" t="str">
        <f t="array" ref="D523">IF(E523=0,0,(INDEX(AccountCodes[ACCOUNT NAME],MATCH(E523,AccountCodes[NGAS CODE],0))))</f>
        <v>Office Supplies Expenses</v>
      </c>
      <c r="E523" s="309" t="s">
        <v>225</v>
      </c>
      <c r="F523" s="502">
        <v>16500</v>
      </c>
    </row>
    <row r="524" spans="1:6" x14ac:dyDescent="0.25">
      <c r="A524" s="308">
        <v>43465</v>
      </c>
      <c r="B524" s="24" t="s">
        <v>484</v>
      </c>
      <c r="C524" s="24" t="s">
        <v>487</v>
      </c>
      <c r="D524" s="136" t="str">
        <f t="array" ref="D524">IF(E524=0,0,(INDEX(AccountCodes[ACCOUNT NAME],MATCH(E524,AccountCodes[NGAS CODE],0))))</f>
        <v>Office Supplies Expenses</v>
      </c>
      <c r="E524" s="309" t="s">
        <v>225</v>
      </c>
      <c r="F524" s="502">
        <v>16500</v>
      </c>
    </row>
    <row r="525" spans="1:6" x14ac:dyDescent="0.25">
      <c r="A525" s="308">
        <v>43190</v>
      </c>
      <c r="B525" s="24" t="s">
        <v>484</v>
      </c>
      <c r="C525" s="24" t="s">
        <v>487</v>
      </c>
      <c r="D525" s="136" t="str">
        <f t="array" ref="D525">IF(E525=0,0,(INDEX(AccountCodes[ACCOUNT NAME],MATCH(E525,AccountCodes[NGAS CODE],0))))</f>
        <v>Accountable Forms Expenses</v>
      </c>
      <c r="E525" s="309" t="s">
        <v>226</v>
      </c>
      <c r="F525" s="502">
        <v>35750</v>
      </c>
    </row>
    <row r="526" spans="1:6" x14ac:dyDescent="0.25">
      <c r="A526" s="308">
        <v>43281</v>
      </c>
      <c r="B526" s="24" t="s">
        <v>484</v>
      </c>
      <c r="C526" s="24" t="s">
        <v>487</v>
      </c>
      <c r="D526" s="136" t="str">
        <f t="array" ref="D526">IF(E526=0,0,(INDEX(AccountCodes[ACCOUNT NAME],MATCH(E526,AccountCodes[NGAS CODE],0))))</f>
        <v>Accountable Forms Expenses</v>
      </c>
      <c r="E526" s="309" t="s">
        <v>226</v>
      </c>
      <c r="F526" s="502">
        <v>35750</v>
      </c>
    </row>
    <row r="527" spans="1:6" x14ac:dyDescent="0.25">
      <c r="A527" s="308">
        <v>43373</v>
      </c>
      <c r="B527" s="24" t="s">
        <v>484</v>
      </c>
      <c r="C527" s="24" t="s">
        <v>487</v>
      </c>
      <c r="D527" s="136" t="str">
        <f t="array" ref="D527">IF(E527=0,0,(INDEX(AccountCodes[ACCOUNT NAME],MATCH(E527,AccountCodes[NGAS CODE],0))))</f>
        <v>Accountable Forms Expenses</v>
      </c>
      <c r="E527" s="309" t="s">
        <v>226</v>
      </c>
      <c r="F527" s="502">
        <v>35750</v>
      </c>
    </row>
    <row r="528" spans="1:6" x14ac:dyDescent="0.25">
      <c r="A528" s="308">
        <v>43465</v>
      </c>
      <c r="B528" s="24" t="s">
        <v>484</v>
      </c>
      <c r="C528" s="24" t="s">
        <v>487</v>
      </c>
      <c r="D528" s="136" t="str">
        <f t="array" ref="D528">IF(E528=0,0,(INDEX(AccountCodes[ACCOUNT NAME],MATCH(E528,AccountCodes[NGAS CODE],0))))</f>
        <v>Accountable Forms Expenses</v>
      </c>
      <c r="E528" s="309" t="s">
        <v>226</v>
      </c>
      <c r="F528" s="502">
        <v>35750</v>
      </c>
    </row>
    <row r="529" spans="1:6" x14ac:dyDescent="0.25">
      <c r="A529" s="308">
        <v>43131</v>
      </c>
      <c r="B529" s="24" t="s">
        <v>484</v>
      </c>
      <c r="C529" s="24" t="s">
        <v>487</v>
      </c>
      <c r="D529" s="136" t="str">
        <f t="array" ref="D529">IF(E529=0,0,(INDEX(AccountCodes[ACCOUNT NAME],MATCH(E529,AccountCodes[NGAS CODE],0))))</f>
        <v>Drugs and Medicines Expenses</v>
      </c>
      <c r="E529" s="309" t="s">
        <v>227</v>
      </c>
      <c r="F529" s="502">
        <v>916.67</v>
      </c>
    </row>
    <row r="530" spans="1:6" x14ac:dyDescent="0.25">
      <c r="A530" s="308">
        <v>43159</v>
      </c>
      <c r="B530" s="24" t="s">
        <v>484</v>
      </c>
      <c r="C530" s="24" t="s">
        <v>487</v>
      </c>
      <c r="D530" s="136" t="str">
        <f t="array" ref="D530">IF(E530=0,0,(INDEX(AccountCodes[ACCOUNT NAME],MATCH(E530,AccountCodes[NGAS CODE],0))))</f>
        <v>Drugs and Medicines Expenses</v>
      </c>
      <c r="E530" s="309" t="s">
        <v>227</v>
      </c>
      <c r="F530" s="502">
        <v>916.67</v>
      </c>
    </row>
    <row r="531" spans="1:6" x14ac:dyDescent="0.25">
      <c r="A531" s="308">
        <v>43190</v>
      </c>
      <c r="B531" s="24" t="s">
        <v>484</v>
      </c>
      <c r="C531" s="24" t="s">
        <v>487</v>
      </c>
      <c r="D531" s="136" t="str">
        <f t="array" ref="D531">IF(E531=0,0,(INDEX(AccountCodes[ACCOUNT NAME],MATCH(E531,AccountCodes[NGAS CODE],0))))</f>
        <v>Drugs and Medicines Expenses</v>
      </c>
      <c r="E531" s="309" t="s">
        <v>227</v>
      </c>
      <c r="F531" s="502">
        <v>916.67</v>
      </c>
    </row>
    <row r="532" spans="1:6" x14ac:dyDescent="0.25">
      <c r="A532" s="308">
        <v>43220</v>
      </c>
      <c r="B532" s="24" t="s">
        <v>484</v>
      </c>
      <c r="C532" s="24" t="s">
        <v>487</v>
      </c>
      <c r="D532" s="136" t="str">
        <f t="array" ref="D532">IF(E532=0,0,(INDEX(AccountCodes[ACCOUNT NAME],MATCH(E532,AccountCodes[NGAS CODE],0))))</f>
        <v>Drugs and Medicines Expenses</v>
      </c>
      <c r="E532" s="309" t="s">
        <v>227</v>
      </c>
      <c r="F532" s="502">
        <v>916.67</v>
      </c>
    </row>
    <row r="533" spans="1:6" x14ac:dyDescent="0.25">
      <c r="A533" s="308">
        <v>43251</v>
      </c>
      <c r="B533" s="24" t="s">
        <v>484</v>
      </c>
      <c r="C533" s="24" t="s">
        <v>487</v>
      </c>
      <c r="D533" s="136" t="str">
        <f t="array" ref="D533">IF(E533=0,0,(INDEX(AccountCodes[ACCOUNT NAME],MATCH(E533,AccountCodes[NGAS CODE],0))))</f>
        <v>Drugs and Medicines Expenses</v>
      </c>
      <c r="E533" s="309" t="s">
        <v>227</v>
      </c>
      <c r="F533" s="502">
        <v>916.67</v>
      </c>
    </row>
    <row r="534" spans="1:6" x14ac:dyDescent="0.25">
      <c r="A534" s="308">
        <v>43281</v>
      </c>
      <c r="B534" s="24" t="s">
        <v>484</v>
      </c>
      <c r="C534" s="24" t="s">
        <v>487</v>
      </c>
      <c r="D534" s="136" t="str">
        <f t="array" ref="D534">IF(E534=0,0,(INDEX(AccountCodes[ACCOUNT NAME],MATCH(E534,AccountCodes[NGAS CODE],0))))</f>
        <v>Drugs and Medicines Expenses</v>
      </c>
      <c r="E534" s="309" t="s">
        <v>227</v>
      </c>
      <c r="F534" s="502">
        <v>916.67</v>
      </c>
    </row>
    <row r="535" spans="1:6" x14ac:dyDescent="0.25">
      <c r="A535" s="308">
        <v>43312</v>
      </c>
      <c r="B535" s="24" t="s">
        <v>484</v>
      </c>
      <c r="C535" s="24" t="s">
        <v>487</v>
      </c>
      <c r="D535" s="136" t="str">
        <f t="array" ref="D535">IF(E535=0,0,(INDEX(AccountCodes[ACCOUNT NAME],MATCH(E535,AccountCodes[NGAS CODE],0))))</f>
        <v>Drugs and Medicines Expenses</v>
      </c>
      <c r="E535" s="309" t="s">
        <v>227</v>
      </c>
      <c r="F535" s="502">
        <v>916.67</v>
      </c>
    </row>
    <row r="536" spans="1:6" x14ac:dyDescent="0.25">
      <c r="A536" s="308">
        <v>43343</v>
      </c>
      <c r="B536" s="24" t="s">
        <v>484</v>
      </c>
      <c r="C536" s="24" t="s">
        <v>487</v>
      </c>
      <c r="D536" s="136" t="str">
        <f t="array" ref="D536">IF(E536=0,0,(INDEX(AccountCodes[ACCOUNT NAME],MATCH(E536,AccountCodes[NGAS CODE],0))))</f>
        <v>Drugs and Medicines Expenses</v>
      </c>
      <c r="E536" s="309" t="s">
        <v>227</v>
      </c>
      <c r="F536" s="502">
        <v>916.67</v>
      </c>
    </row>
    <row r="537" spans="1:6" x14ac:dyDescent="0.25">
      <c r="A537" s="308">
        <v>43373</v>
      </c>
      <c r="B537" s="24" t="s">
        <v>484</v>
      </c>
      <c r="C537" s="24" t="s">
        <v>487</v>
      </c>
      <c r="D537" s="136" t="str">
        <f t="array" ref="D537">IF(E537=0,0,(INDEX(AccountCodes[ACCOUNT NAME],MATCH(E537,AccountCodes[NGAS CODE],0))))</f>
        <v>Drugs and Medicines Expenses</v>
      </c>
      <c r="E537" s="309" t="s">
        <v>227</v>
      </c>
      <c r="F537" s="502">
        <v>916.67</v>
      </c>
    </row>
    <row r="538" spans="1:6" x14ac:dyDescent="0.25">
      <c r="A538" s="308">
        <v>43404</v>
      </c>
      <c r="B538" s="24" t="s">
        <v>484</v>
      </c>
      <c r="C538" s="24" t="s">
        <v>487</v>
      </c>
      <c r="D538" s="136" t="str">
        <f t="array" ref="D538">IF(E538=0,0,(INDEX(AccountCodes[ACCOUNT NAME],MATCH(E538,AccountCodes[NGAS CODE],0))))</f>
        <v>Drugs and Medicines Expenses</v>
      </c>
      <c r="E538" s="309" t="s">
        <v>227</v>
      </c>
      <c r="F538" s="502">
        <v>916.67</v>
      </c>
    </row>
    <row r="539" spans="1:6" x14ac:dyDescent="0.25">
      <c r="A539" s="308">
        <v>43434</v>
      </c>
      <c r="B539" s="24" t="s">
        <v>484</v>
      </c>
      <c r="C539" s="24" t="s">
        <v>487</v>
      </c>
      <c r="D539" s="136" t="str">
        <f t="array" ref="D539">IF(E539=0,0,(INDEX(AccountCodes[ACCOUNT NAME],MATCH(E539,AccountCodes[NGAS CODE],0))))</f>
        <v>Drugs and Medicines Expenses</v>
      </c>
      <c r="E539" s="309" t="s">
        <v>227</v>
      </c>
      <c r="F539" s="502">
        <v>916.67</v>
      </c>
    </row>
    <row r="540" spans="1:6" x14ac:dyDescent="0.25">
      <c r="A540" s="308">
        <v>43465</v>
      </c>
      <c r="B540" s="24" t="s">
        <v>484</v>
      </c>
      <c r="C540" s="24" t="s">
        <v>487</v>
      </c>
      <c r="D540" s="136" t="str">
        <f t="array" ref="D540">IF(E540=0,0,(INDEX(AccountCodes[ACCOUNT NAME],MATCH(E540,AccountCodes[NGAS CODE],0))))</f>
        <v>Drugs and Medicines Expenses</v>
      </c>
      <c r="E540" s="309" t="s">
        <v>227</v>
      </c>
      <c r="F540" s="502">
        <v>916.67</v>
      </c>
    </row>
    <row r="541" spans="1:6" x14ac:dyDescent="0.25">
      <c r="A541" s="308">
        <v>43131</v>
      </c>
      <c r="B541" s="24" t="s">
        <v>484</v>
      </c>
      <c r="C541" s="24" t="s">
        <v>487</v>
      </c>
      <c r="D541" s="136" t="str">
        <f t="array" ref="D541">IF(E541=0,0,(INDEX(AccountCodes[ACCOUNT NAME],MATCH(E541,AccountCodes[NGAS CODE],0))))</f>
        <v>Medical, Dental and Laboratory Supplies Expenses</v>
      </c>
      <c r="E541" s="309" t="s">
        <v>228</v>
      </c>
      <c r="F541" s="502">
        <v>458.33</v>
      </c>
    </row>
    <row r="542" spans="1:6" x14ac:dyDescent="0.25">
      <c r="A542" s="308">
        <v>43159</v>
      </c>
      <c r="B542" s="24" t="s">
        <v>484</v>
      </c>
      <c r="C542" s="24" t="s">
        <v>487</v>
      </c>
      <c r="D542" s="136" t="str">
        <f t="array" ref="D542">IF(E542=0,0,(INDEX(AccountCodes[ACCOUNT NAME],MATCH(E542,AccountCodes[NGAS CODE],0))))</f>
        <v>Medical, Dental and Laboratory Supplies Expenses</v>
      </c>
      <c r="E542" s="309" t="s">
        <v>228</v>
      </c>
      <c r="F542" s="502">
        <v>458.33</v>
      </c>
    </row>
    <row r="543" spans="1:6" x14ac:dyDescent="0.25">
      <c r="A543" s="308">
        <v>43190</v>
      </c>
      <c r="B543" s="24" t="s">
        <v>484</v>
      </c>
      <c r="C543" s="24" t="s">
        <v>487</v>
      </c>
      <c r="D543" s="136" t="str">
        <f t="array" ref="D543">IF(E543=0,0,(INDEX(AccountCodes[ACCOUNT NAME],MATCH(E543,AccountCodes[NGAS CODE],0))))</f>
        <v>Medical, Dental and Laboratory Supplies Expenses</v>
      </c>
      <c r="E543" s="309" t="s">
        <v>228</v>
      </c>
      <c r="F543" s="502">
        <v>458.33</v>
      </c>
    </row>
    <row r="544" spans="1:6" x14ac:dyDescent="0.25">
      <c r="A544" s="308">
        <v>43220</v>
      </c>
      <c r="B544" s="24" t="s">
        <v>484</v>
      </c>
      <c r="C544" s="24" t="s">
        <v>487</v>
      </c>
      <c r="D544" s="136" t="str">
        <f t="array" ref="D544">IF(E544=0,0,(INDEX(AccountCodes[ACCOUNT NAME],MATCH(E544,AccountCodes[NGAS CODE],0))))</f>
        <v>Medical, Dental and Laboratory Supplies Expenses</v>
      </c>
      <c r="E544" s="309" t="s">
        <v>228</v>
      </c>
      <c r="F544" s="502">
        <v>458.33</v>
      </c>
    </row>
    <row r="545" spans="1:6" x14ac:dyDescent="0.25">
      <c r="A545" s="308">
        <v>43251</v>
      </c>
      <c r="B545" s="24" t="s">
        <v>484</v>
      </c>
      <c r="C545" s="24" t="s">
        <v>487</v>
      </c>
      <c r="D545" s="136" t="str">
        <f t="array" ref="D545">IF(E545=0,0,(INDEX(AccountCodes[ACCOUNT NAME],MATCH(E545,AccountCodes[NGAS CODE],0))))</f>
        <v>Medical, Dental and Laboratory Supplies Expenses</v>
      </c>
      <c r="E545" s="309" t="s">
        <v>228</v>
      </c>
      <c r="F545" s="502">
        <v>458.33</v>
      </c>
    </row>
    <row r="546" spans="1:6" x14ac:dyDescent="0.25">
      <c r="A546" s="308">
        <v>43281</v>
      </c>
      <c r="B546" s="24" t="s">
        <v>484</v>
      </c>
      <c r="C546" s="24" t="s">
        <v>487</v>
      </c>
      <c r="D546" s="136" t="str">
        <f t="array" ref="D546">IF(E546=0,0,(INDEX(AccountCodes[ACCOUNT NAME],MATCH(E546,AccountCodes[NGAS CODE],0))))</f>
        <v>Medical, Dental and Laboratory Supplies Expenses</v>
      </c>
      <c r="E546" s="309" t="s">
        <v>228</v>
      </c>
      <c r="F546" s="502">
        <v>458.33</v>
      </c>
    </row>
    <row r="547" spans="1:6" x14ac:dyDescent="0.25">
      <c r="A547" s="308">
        <v>43312</v>
      </c>
      <c r="B547" s="24" t="s">
        <v>484</v>
      </c>
      <c r="C547" s="24" t="s">
        <v>487</v>
      </c>
      <c r="D547" s="136" t="str">
        <f t="array" ref="D547">IF(E547=0,0,(INDEX(AccountCodes[ACCOUNT NAME],MATCH(E547,AccountCodes[NGAS CODE],0))))</f>
        <v>Medical, Dental and Laboratory Supplies Expenses</v>
      </c>
      <c r="E547" s="309" t="s">
        <v>228</v>
      </c>
      <c r="F547" s="502">
        <v>458.33</v>
      </c>
    </row>
    <row r="548" spans="1:6" x14ac:dyDescent="0.25">
      <c r="A548" s="308">
        <v>43343</v>
      </c>
      <c r="B548" s="24" t="s">
        <v>484</v>
      </c>
      <c r="C548" s="24" t="s">
        <v>487</v>
      </c>
      <c r="D548" s="136" t="str">
        <f t="array" ref="D548">IF(E548=0,0,(INDEX(AccountCodes[ACCOUNT NAME],MATCH(E548,AccountCodes[NGAS CODE],0))))</f>
        <v>Medical, Dental and Laboratory Supplies Expenses</v>
      </c>
      <c r="E548" s="309" t="s">
        <v>228</v>
      </c>
      <c r="F548" s="502">
        <v>458.33</v>
      </c>
    </row>
    <row r="549" spans="1:6" x14ac:dyDescent="0.25">
      <c r="A549" s="308">
        <v>43373</v>
      </c>
      <c r="B549" s="24" t="s">
        <v>484</v>
      </c>
      <c r="C549" s="24" t="s">
        <v>487</v>
      </c>
      <c r="D549" s="136" t="str">
        <f t="array" ref="D549">IF(E549=0,0,(INDEX(AccountCodes[ACCOUNT NAME],MATCH(E549,AccountCodes[NGAS CODE],0))))</f>
        <v>Medical, Dental and Laboratory Supplies Expenses</v>
      </c>
      <c r="E549" s="309" t="s">
        <v>228</v>
      </c>
      <c r="F549" s="502">
        <v>458.33</v>
      </c>
    </row>
    <row r="550" spans="1:6" x14ac:dyDescent="0.25">
      <c r="A550" s="308">
        <v>43404</v>
      </c>
      <c r="B550" s="24" t="s">
        <v>484</v>
      </c>
      <c r="C550" s="24" t="s">
        <v>487</v>
      </c>
      <c r="D550" s="136" t="str">
        <f t="array" ref="D550">IF(E550=0,0,(INDEX(AccountCodes[ACCOUNT NAME],MATCH(E550,AccountCodes[NGAS CODE],0))))</f>
        <v>Medical, Dental and Laboratory Supplies Expenses</v>
      </c>
      <c r="E550" s="309" t="s">
        <v>228</v>
      </c>
      <c r="F550" s="502">
        <v>458.33</v>
      </c>
    </row>
    <row r="551" spans="1:6" x14ac:dyDescent="0.25">
      <c r="A551" s="308">
        <v>43434</v>
      </c>
      <c r="B551" s="24" t="s">
        <v>484</v>
      </c>
      <c r="C551" s="24" t="s">
        <v>487</v>
      </c>
      <c r="D551" s="136" t="str">
        <f t="array" ref="D551">IF(E551=0,0,(INDEX(AccountCodes[ACCOUNT NAME],MATCH(E551,AccountCodes[NGAS CODE],0))))</f>
        <v>Medical, Dental and Laboratory Supplies Expenses</v>
      </c>
      <c r="E551" s="309" t="s">
        <v>228</v>
      </c>
      <c r="F551" s="502">
        <v>458.33</v>
      </c>
    </row>
    <row r="552" spans="1:6" x14ac:dyDescent="0.25">
      <c r="A552" s="308">
        <v>43465</v>
      </c>
      <c r="B552" s="24" t="s">
        <v>484</v>
      </c>
      <c r="C552" s="24" t="s">
        <v>487</v>
      </c>
      <c r="D552" s="136" t="str">
        <f t="array" ref="D552">IF(E552=0,0,(INDEX(AccountCodes[ACCOUNT NAME],MATCH(E552,AccountCodes[NGAS CODE],0))))</f>
        <v>Medical, Dental and Laboratory Supplies Expenses</v>
      </c>
      <c r="E552" s="309" t="s">
        <v>228</v>
      </c>
      <c r="F552" s="502">
        <v>458.33</v>
      </c>
    </row>
    <row r="553" spans="1:6" x14ac:dyDescent="0.25">
      <c r="A553" s="308">
        <v>43131</v>
      </c>
      <c r="B553" s="24" t="s">
        <v>484</v>
      </c>
      <c r="C553" s="24" t="s">
        <v>487</v>
      </c>
      <c r="D553" s="136" t="str">
        <f t="array" ref="D553">IF(E553=0,0,(INDEX(AccountCodes[ACCOUNT NAME],MATCH(E553,AccountCodes[NGAS CODE],0))))</f>
        <v>Fuel, Oil and Lubricants Expenses</v>
      </c>
      <c r="E553" s="309" t="s">
        <v>229</v>
      </c>
      <c r="F553" s="502">
        <v>299735.15000000002</v>
      </c>
    </row>
    <row r="554" spans="1:6" x14ac:dyDescent="0.25">
      <c r="A554" s="308">
        <v>43159</v>
      </c>
      <c r="B554" s="24" t="s">
        <v>484</v>
      </c>
      <c r="C554" s="24" t="s">
        <v>487</v>
      </c>
      <c r="D554" s="136" t="str">
        <f t="array" ref="D554">IF(E554=0,0,(INDEX(AccountCodes[ACCOUNT NAME],MATCH(E554,AccountCodes[NGAS CODE],0))))</f>
        <v>Fuel, Oil and Lubricants Expenses</v>
      </c>
      <c r="E554" s="309" t="s">
        <v>229</v>
      </c>
      <c r="F554" s="502">
        <v>299735.15000000002</v>
      </c>
    </row>
    <row r="555" spans="1:6" x14ac:dyDescent="0.25">
      <c r="A555" s="308">
        <v>43190</v>
      </c>
      <c r="B555" s="24" t="s">
        <v>484</v>
      </c>
      <c r="C555" s="24" t="s">
        <v>487</v>
      </c>
      <c r="D555" s="136" t="str">
        <f t="array" ref="D555">IF(E555=0,0,(INDEX(AccountCodes[ACCOUNT NAME],MATCH(E555,AccountCodes[NGAS CODE],0))))</f>
        <v>Fuel, Oil and Lubricants Expenses</v>
      </c>
      <c r="E555" s="309" t="s">
        <v>229</v>
      </c>
      <c r="F555" s="502">
        <v>299735.15000000002</v>
      </c>
    </row>
    <row r="556" spans="1:6" x14ac:dyDescent="0.25">
      <c r="A556" s="308">
        <v>43220</v>
      </c>
      <c r="B556" s="24" t="s">
        <v>484</v>
      </c>
      <c r="C556" s="24" t="s">
        <v>487</v>
      </c>
      <c r="D556" s="136" t="str">
        <f t="array" ref="D556">IF(E556=0,0,(INDEX(AccountCodes[ACCOUNT NAME],MATCH(E556,AccountCodes[NGAS CODE],0))))</f>
        <v>Fuel, Oil and Lubricants Expenses</v>
      </c>
      <c r="E556" s="309" t="s">
        <v>229</v>
      </c>
      <c r="F556" s="502">
        <v>299735.15000000002</v>
      </c>
    </row>
    <row r="557" spans="1:6" x14ac:dyDescent="0.25">
      <c r="A557" s="308">
        <v>43251</v>
      </c>
      <c r="B557" s="24" t="s">
        <v>484</v>
      </c>
      <c r="C557" s="24" t="s">
        <v>487</v>
      </c>
      <c r="D557" s="136" t="str">
        <f t="array" ref="D557">IF(E557=0,0,(INDEX(AccountCodes[ACCOUNT NAME],MATCH(E557,AccountCodes[NGAS CODE],0))))</f>
        <v>Fuel, Oil and Lubricants Expenses</v>
      </c>
      <c r="E557" s="309" t="s">
        <v>229</v>
      </c>
      <c r="F557" s="502">
        <v>299735.15000000002</v>
      </c>
    </row>
    <row r="558" spans="1:6" x14ac:dyDescent="0.25">
      <c r="A558" s="308">
        <v>43281</v>
      </c>
      <c r="B558" s="24" t="s">
        <v>484</v>
      </c>
      <c r="C558" s="24" t="s">
        <v>487</v>
      </c>
      <c r="D558" s="136" t="str">
        <f t="array" ref="D558">IF(E558=0,0,(INDEX(AccountCodes[ACCOUNT NAME],MATCH(E558,AccountCodes[NGAS CODE],0))))</f>
        <v>Fuel, Oil and Lubricants Expenses</v>
      </c>
      <c r="E558" s="309" t="s">
        <v>229</v>
      </c>
      <c r="F558" s="502">
        <v>299735.15000000002</v>
      </c>
    </row>
    <row r="559" spans="1:6" x14ac:dyDescent="0.25">
      <c r="A559" s="308">
        <v>43312</v>
      </c>
      <c r="B559" s="24" t="s">
        <v>484</v>
      </c>
      <c r="C559" s="24" t="s">
        <v>487</v>
      </c>
      <c r="D559" s="136" t="str">
        <f t="array" ref="D559">IF(E559=0,0,(INDEX(AccountCodes[ACCOUNT NAME],MATCH(E559,AccountCodes[NGAS CODE],0))))</f>
        <v>Fuel, Oil and Lubricants Expenses</v>
      </c>
      <c r="E559" s="309" t="s">
        <v>229</v>
      </c>
      <c r="F559" s="502">
        <v>299735.15000000002</v>
      </c>
    </row>
    <row r="560" spans="1:6" x14ac:dyDescent="0.25">
      <c r="A560" s="308">
        <v>43343</v>
      </c>
      <c r="B560" s="24" t="s">
        <v>484</v>
      </c>
      <c r="C560" s="24" t="s">
        <v>487</v>
      </c>
      <c r="D560" s="136" t="str">
        <f t="array" ref="D560">IF(E560=0,0,(INDEX(AccountCodes[ACCOUNT NAME],MATCH(E560,AccountCodes[NGAS CODE],0))))</f>
        <v>Fuel, Oil and Lubricants Expenses</v>
      </c>
      <c r="E560" s="309" t="s">
        <v>229</v>
      </c>
      <c r="F560" s="502">
        <v>299735.15000000002</v>
      </c>
    </row>
    <row r="561" spans="1:6" x14ac:dyDescent="0.25">
      <c r="A561" s="308">
        <v>43373</v>
      </c>
      <c r="B561" s="24" t="s">
        <v>484</v>
      </c>
      <c r="C561" s="24" t="s">
        <v>487</v>
      </c>
      <c r="D561" s="136" t="str">
        <f t="array" ref="D561">IF(E561=0,0,(INDEX(AccountCodes[ACCOUNT NAME],MATCH(E561,AccountCodes[NGAS CODE],0))))</f>
        <v>Fuel, Oil and Lubricants Expenses</v>
      </c>
      <c r="E561" s="309" t="s">
        <v>229</v>
      </c>
      <c r="F561" s="502">
        <v>299735.15000000002</v>
      </c>
    </row>
    <row r="562" spans="1:6" x14ac:dyDescent="0.25">
      <c r="A562" s="308">
        <v>43404</v>
      </c>
      <c r="B562" s="24" t="s">
        <v>484</v>
      </c>
      <c r="C562" s="24" t="s">
        <v>487</v>
      </c>
      <c r="D562" s="136" t="str">
        <f t="array" ref="D562">IF(E562=0,0,(INDEX(AccountCodes[ACCOUNT NAME],MATCH(E562,AccountCodes[NGAS CODE],0))))</f>
        <v>Fuel, Oil and Lubricants Expenses</v>
      </c>
      <c r="E562" s="309" t="s">
        <v>229</v>
      </c>
      <c r="F562" s="502">
        <v>299735.15000000002</v>
      </c>
    </row>
    <row r="563" spans="1:6" x14ac:dyDescent="0.25">
      <c r="A563" s="308">
        <v>43434</v>
      </c>
      <c r="B563" s="24" t="s">
        <v>484</v>
      </c>
      <c r="C563" s="24" t="s">
        <v>487</v>
      </c>
      <c r="D563" s="136" t="str">
        <f t="array" ref="D563">IF(E563=0,0,(INDEX(AccountCodes[ACCOUNT NAME],MATCH(E563,AccountCodes[NGAS CODE],0))))</f>
        <v>Fuel, Oil and Lubricants Expenses</v>
      </c>
      <c r="E563" s="309" t="s">
        <v>229</v>
      </c>
      <c r="F563" s="502">
        <v>299735.15000000002</v>
      </c>
    </row>
    <row r="564" spans="1:6" x14ac:dyDescent="0.25">
      <c r="A564" s="308">
        <v>43465</v>
      </c>
      <c r="B564" s="24" t="s">
        <v>484</v>
      </c>
      <c r="C564" s="24" t="s">
        <v>487</v>
      </c>
      <c r="D564" s="136" t="str">
        <f t="array" ref="D564">IF(E564=0,0,(INDEX(AccountCodes[ACCOUNT NAME],MATCH(E564,AccountCodes[NGAS CODE],0))))</f>
        <v>Fuel, Oil and Lubricants Expenses</v>
      </c>
      <c r="E564" s="309" t="s">
        <v>229</v>
      </c>
      <c r="F564" s="502">
        <v>299735.15000000002</v>
      </c>
    </row>
    <row r="565" spans="1:6" x14ac:dyDescent="0.25">
      <c r="A565" s="308">
        <v>43131</v>
      </c>
      <c r="B565" s="24" t="s">
        <v>484</v>
      </c>
      <c r="C565" s="24" t="s">
        <v>487</v>
      </c>
      <c r="D565" s="136" t="str">
        <f t="array" ref="D565">IF(E565=0,0,(INDEX(AccountCodes[ACCOUNT NAME],MATCH(E565,AccountCodes[NGAS CODE],0))))</f>
        <v>Other Supplies and Materials Expenses</v>
      </c>
      <c r="E565" s="309" t="s">
        <v>231</v>
      </c>
      <c r="F565" s="502">
        <v>14666.67</v>
      </c>
    </row>
    <row r="566" spans="1:6" x14ac:dyDescent="0.25">
      <c r="A566" s="308">
        <v>43159</v>
      </c>
      <c r="B566" s="24" t="s">
        <v>484</v>
      </c>
      <c r="C566" s="24" t="s">
        <v>487</v>
      </c>
      <c r="D566" s="136" t="str">
        <f t="array" ref="D566">IF(E566=0,0,(INDEX(AccountCodes[ACCOUNT NAME],MATCH(E566,AccountCodes[NGAS CODE],0))))</f>
        <v>Other Supplies and Materials Expenses</v>
      </c>
      <c r="E566" s="309" t="s">
        <v>231</v>
      </c>
      <c r="F566" s="502">
        <v>14666.67</v>
      </c>
    </row>
    <row r="567" spans="1:6" x14ac:dyDescent="0.25">
      <c r="A567" s="308">
        <v>43190</v>
      </c>
      <c r="B567" s="24" t="s">
        <v>484</v>
      </c>
      <c r="C567" s="24" t="s">
        <v>487</v>
      </c>
      <c r="D567" s="136" t="str">
        <f t="array" ref="D567">IF(E567=0,0,(INDEX(AccountCodes[ACCOUNT NAME],MATCH(E567,AccountCodes[NGAS CODE],0))))</f>
        <v>Other Supplies and Materials Expenses</v>
      </c>
      <c r="E567" s="309" t="s">
        <v>231</v>
      </c>
      <c r="F567" s="502">
        <v>14666.67</v>
      </c>
    </row>
    <row r="568" spans="1:6" x14ac:dyDescent="0.25">
      <c r="A568" s="308">
        <v>43220</v>
      </c>
      <c r="B568" s="24" t="s">
        <v>484</v>
      </c>
      <c r="C568" s="24" t="s">
        <v>487</v>
      </c>
      <c r="D568" s="136" t="str">
        <f t="array" ref="D568">IF(E568=0,0,(INDEX(AccountCodes[ACCOUNT NAME],MATCH(E568,AccountCodes[NGAS CODE],0))))</f>
        <v>Other Supplies and Materials Expenses</v>
      </c>
      <c r="E568" s="309" t="s">
        <v>231</v>
      </c>
      <c r="F568" s="502">
        <v>14666.67</v>
      </c>
    </row>
    <row r="569" spans="1:6" x14ac:dyDescent="0.25">
      <c r="A569" s="308">
        <v>43251</v>
      </c>
      <c r="B569" s="24" t="s">
        <v>484</v>
      </c>
      <c r="C569" s="24" t="s">
        <v>487</v>
      </c>
      <c r="D569" s="136" t="str">
        <f t="array" ref="D569">IF(E569=0,0,(INDEX(AccountCodes[ACCOUNT NAME],MATCH(E569,AccountCodes[NGAS CODE],0))))</f>
        <v>Other Supplies and Materials Expenses</v>
      </c>
      <c r="E569" s="309" t="s">
        <v>231</v>
      </c>
      <c r="F569" s="502">
        <v>14666.67</v>
      </c>
    </row>
    <row r="570" spans="1:6" x14ac:dyDescent="0.25">
      <c r="A570" s="308">
        <v>43281</v>
      </c>
      <c r="B570" s="24" t="s">
        <v>484</v>
      </c>
      <c r="C570" s="24" t="s">
        <v>487</v>
      </c>
      <c r="D570" s="136" t="str">
        <f t="array" ref="D570">IF(E570=0,0,(INDEX(AccountCodes[ACCOUNT NAME],MATCH(E570,AccountCodes[NGAS CODE],0))))</f>
        <v>Other Supplies and Materials Expenses</v>
      </c>
      <c r="E570" s="309" t="s">
        <v>231</v>
      </c>
      <c r="F570" s="502">
        <v>14666.67</v>
      </c>
    </row>
    <row r="571" spans="1:6" x14ac:dyDescent="0.25">
      <c r="A571" s="308">
        <v>43312</v>
      </c>
      <c r="B571" s="24" t="s">
        <v>484</v>
      </c>
      <c r="C571" s="24" t="s">
        <v>487</v>
      </c>
      <c r="D571" s="136" t="str">
        <f t="array" ref="D571">IF(E571=0,0,(INDEX(AccountCodes[ACCOUNT NAME],MATCH(E571,AccountCodes[NGAS CODE],0))))</f>
        <v>Other Supplies and Materials Expenses</v>
      </c>
      <c r="E571" s="309" t="s">
        <v>231</v>
      </c>
      <c r="F571" s="502">
        <v>14666.67</v>
      </c>
    </row>
    <row r="572" spans="1:6" x14ac:dyDescent="0.25">
      <c r="A572" s="308">
        <v>43343</v>
      </c>
      <c r="B572" s="24" t="s">
        <v>484</v>
      </c>
      <c r="C572" s="24" t="s">
        <v>487</v>
      </c>
      <c r="D572" s="136" t="str">
        <f t="array" ref="D572">IF(E572=0,0,(INDEX(AccountCodes[ACCOUNT NAME],MATCH(E572,AccountCodes[NGAS CODE],0))))</f>
        <v>Other Supplies and Materials Expenses</v>
      </c>
      <c r="E572" s="309" t="s">
        <v>231</v>
      </c>
      <c r="F572" s="502">
        <v>14666.67</v>
      </c>
    </row>
    <row r="573" spans="1:6" x14ac:dyDescent="0.25">
      <c r="A573" s="308">
        <v>43373</v>
      </c>
      <c r="B573" s="24" t="s">
        <v>484</v>
      </c>
      <c r="C573" s="24" t="s">
        <v>487</v>
      </c>
      <c r="D573" s="136" t="str">
        <f t="array" ref="D573">IF(E573=0,0,(INDEX(AccountCodes[ACCOUNT NAME],MATCH(E573,AccountCodes[NGAS CODE],0))))</f>
        <v>Other Supplies and Materials Expenses</v>
      </c>
      <c r="E573" s="309" t="s">
        <v>231</v>
      </c>
      <c r="F573" s="502">
        <v>14666.67</v>
      </c>
    </row>
    <row r="574" spans="1:6" x14ac:dyDescent="0.25">
      <c r="A574" s="308">
        <v>43404</v>
      </c>
      <c r="B574" s="24" t="s">
        <v>484</v>
      </c>
      <c r="C574" s="24" t="s">
        <v>487</v>
      </c>
      <c r="D574" s="136" t="str">
        <f t="array" ref="D574">IF(E574=0,0,(INDEX(AccountCodes[ACCOUNT NAME],MATCH(E574,AccountCodes[NGAS CODE],0))))</f>
        <v>Other Supplies and Materials Expenses</v>
      </c>
      <c r="E574" s="309" t="s">
        <v>231</v>
      </c>
      <c r="F574" s="502">
        <v>14666.67</v>
      </c>
    </row>
    <row r="575" spans="1:6" x14ac:dyDescent="0.25">
      <c r="A575" s="308">
        <v>43434</v>
      </c>
      <c r="B575" s="24" t="s">
        <v>484</v>
      </c>
      <c r="C575" s="24" t="s">
        <v>487</v>
      </c>
      <c r="D575" s="136" t="str">
        <f t="array" ref="D575">IF(E575=0,0,(INDEX(AccountCodes[ACCOUNT NAME],MATCH(E575,AccountCodes[NGAS CODE],0))))</f>
        <v>Other Supplies and Materials Expenses</v>
      </c>
      <c r="E575" s="309" t="s">
        <v>231</v>
      </c>
      <c r="F575" s="502">
        <v>14666.67</v>
      </c>
    </row>
    <row r="576" spans="1:6" x14ac:dyDescent="0.25">
      <c r="A576" s="308">
        <v>43465</v>
      </c>
      <c r="B576" s="24" t="s">
        <v>484</v>
      </c>
      <c r="C576" s="24" t="s">
        <v>487</v>
      </c>
      <c r="D576" s="136" t="str">
        <f t="array" ref="D576">IF(E576=0,0,(INDEX(AccountCodes[ACCOUNT NAME],MATCH(E576,AccountCodes[NGAS CODE],0))))</f>
        <v>Other Supplies and Materials Expenses</v>
      </c>
      <c r="E576" s="309" t="s">
        <v>231</v>
      </c>
      <c r="F576" s="502">
        <v>14666.67</v>
      </c>
    </row>
    <row r="577" spans="1:6" x14ac:dyDescent="0.25">
      <c r="A577" s="308">
        <v>43131</v>
      </c>
      <c r="B577" s="24" t="s">
        <v>484</v>
      </c>
      <c r="C577" s="24" t="s">
        <v>487</v>
      </c>
      <c r="D577" s="136" t="str">
        <f t="array" ref="D577">IF(E577=0,0,(INDEX(AccountCodes[ACCOUNT NAME],MATCH(E577,AccountCodes[NGAS CODE],0))))</f>
        <v>Water Expenses</v>
      </c>
      <c r="E577" s="309" t="s">
        <v>232</v>
      </c>
      <c r="F577" s="502">
        <v>11183.33</v>
      </c>
    </row>
    <row r="578" spans="1:6" x14ac:dyDescent="0.25">
      <c r="A578" s="308">
        <v>43159</v>
      </c>
      <c r="B578" s="24" t="s">
        <v>484</v>
      </c>
      <c r="C578" s="24" t="s">
        <v>487</v>
      </c>
      <c r="D578" s="136" t="str">
        <f t="array" ref="D578">IF(E578=0,0,(INDEX(AccountCodes[ACCOUNT NAME],MATCH(E578,AccountCodes[NGAS CODE],0))))</f>
        <v>Water Expenses</v>
      </c>
      <c r="E578" s="309" t="s">
        <v>232</v>
      </c>
      <c r="F578" s="502">
        <v>11183.33</v>
      </c>
    </row>
    <row r="579" spans="1:6" x14ac:dyDescent="0.25">
      <c r="A579" s="308">
        <v>43190</v>
      </c>
      <c r="B579" s="24" t="s">
        <v>484</v>
      </c>
      <c r="C579" s="24" t="s">
        <v>487</v>
      </c>
      <c r="D579" s="136" t="str">
        <f t="array" ref="D579">IF(E579=0,0,(INDEX(AccountCodes[ACCOUNT NAME],MATCH(E579,AccountCodes[NGAS CODE],0))))</f>
        <v>Water Expenses</v>
      </c>
      <c r="E579" s="309" t="s">
        <v>232</v>
      </c>
      <c r="F579" s="502">
        <v>11183.33</v>
      </c>
    </row>
    <row r="580" spans="1:6" x14ac:dyDescent="0.25">
      <c r="A580" s="308">
        <v>43220</v>
      </c>
      <c r="B580" s="24" t="s">
        <v>484</v>
      </c>
      <c r="C580" s="24" t="s">
        <v>487</v>
      </c>
      <c r="D580" s="136" t="str">
        <f t="array" ref="D580">IF(E580=0,0,(INDEX(AccountCodes[ACCOUNT NAME],MATCH(E580,AccountCodes[NGAS CODE],0))))</f>
        <v>Water Expenses</v>
      </c>
      <c r="E580" s="309" t="s">
        <v>232</v>
      </c>
      <c r="F580" s="502">
        <v>11183.33</v>
      </c>
    </row>
    <row r="581" spans="1:6" x14ac:dyDescent="0.25">
      <c r="A581" s="308">
        <v>43251</v>
      </c>
      <c r="B581" s="24" t="s">
        <v>484</v>
      </c>
      <c r="C581" s="24" t="s">
        <v>487</v>
      </c>
      <c r="D581" s="136" t="str">
        <f t="array" ref="D581">IF(E581=0,0,(INDEX(AccountCodes[ACCOUNT NAME],MATCH(E581,AccountCodes[NGAS CODE],0))))</f>
        <v>Water Expenses</v>
      </c>
      <c r="E581" s="309" t="s">
        <v>232</v>
      </c>
      <c r="F581" s="502">
        <v>11183.33</v>
      </c>
    </row>
    <row r="582" spans="1:6" x14ac:dyDescent="0.25">
      <c r="A582" s="308">
        <v>43281</v>
      </c>
      <c r="B582" s="24" t="s">
        <v>484</v>
      </c>
      <c r="C582" s="24" t="s">
        <v>487</v>
      </c>
      <c r="D582" s="136" t="str">
        <f t="array" ref="D582">IF(E582=0,0,(INDEX(AccountCodes[ACCOUNT NAME],MATCH(E582,AccountCodes[NGAS CODE],0))))</f>
        <v>Water Expenses</v>
      </c>
      <c r="E582" s="309" t="s">
        <v>232</v>
      </c>
      <c r="F582" s="502">
        <v>11183.33</v>
      </c>
    </row>
    <row r="583" spans="1:6" x14ac:dyDescent="0.25">
      <c r="A583" s="308">
        <v>43312</v>
      </c>
      <c r="B583" s="24" t="s">
        <v>484</v>
      </c>
      <c r="C583" s="24" t="s">
        <v>487</v>
      </c>
      <c r="D583" s="136" t="str">
        <f t="array" ref="D583">IF(E583=0,0,(INDEX(AccountCodes[ACCOUNT NAME],MATCH(E583,AccountCodes[NGAS CODE],0))))</f>
        <v>Water Expenses</v>
      </c>
      <c r="E583" s="309" t="s">
        <v>232</v>
      </c>
      <c r="F583" s="502">
        <v>11183.33</v>
      </c>
    </row>
    <row r="584" spans="1:6" x14ac:dyDescent="0.25">
      <c r="A584" s="308">
        <v>43343</v>
      </c>
      <c r="B584" s="24" t="s">
        <v>484</v>
      </c>
      <c r="C584" s="24" t="s">
        <v>487</v>
      </c>
      <c r="D584" s="136" t="str">
        <f t="array" ref="D584">IF(E584=0,0,(INDEX(AccountCodes[ACCOUNT NAME],MATCH(E584,AccountCodes[NGAS CODE],0))))</f>
        <v>Water Expenses</v>
      </c>
      <c r="E584" s="309" t="s">
        <v>232</v>
      </c>
      <c r="F584" s="502">
        <v>11183.33</v>
      </c>
    </row>
    <row r="585" spans="1:6" x14ac:dyDescent="0.25">
      <c r="A585" s="308">
        <v>43373</v>
      </c>
      <c r="B585" s="24" t="s">
        <v>484</v>
      </c>
      <c r="C585" s="24" t="s">
        <v>487</v>
      </c>
      <c r="D585" s="136" t="str">
        <f t="array" ref="D585">IF(E585=0,0,(INDEX(AccountCodes[ACCOUNT NAME],MATCH(E585,AccountCodes[NGAS CODE],0))))</f>
        <v>Water Expenses</v>
      </c>
      <c r="E585" s="309" t="s">
        <v>232</v>
      </c>
      <c r="F585" s="502">
        <v>11183.33</v>
      </c>
    </row>
    <row r="586" spans="1:6" x14ac:dyDescent="0.25">
      <c r="A586" s="308">
        <v>43404</v>
      </c>
      <c r="B586" s="24" t="s">
        <v>484</v>
      </c>
      <c r="C586" s="24" t="s">
        <v>487</v>
      </c>
      <c r="D586" s="136" t="str">
        <f t="array" ref="D586">IF(E586=0,0,(INDEX(AccountCodes[ACCOUNT NAME],MATCH(E586,AccountCodes[NGAS CODE],0))))</f>
        <v>Water Expenses</v>
      </c>
      <c r="E586" s="309" t="s">
        <v>232</v>
      </c>
      <c r="F586" s="502">
        <v>11183.33</v>
      </c>
    </row>
    <row r="587" spans="1:6" x14ac:dyDescent="0.25">
      <c r="A587" s="308">
        <v>43434</v>
      </c>
      <c r="B587" s="24" t="s">
        <v>484</v>
      </c>
      <c r="C587" s="24" t="s">
        <v>487</v>
      </c>
      <c r="D587" s="136" t="str">
        <f t="array" ref="D587">IF(E587=0,0,(INDEX(AccountCodes[ACCOUNT NAME],MATCH(E587,AccountCodes[NGAS CODE],0))))</f>
        <v>Water Expenses</v>
      </c>
      <c r="E587" s="309" t="s">
        <v>232</v>
      </c>
      <c r="F587" s="502">
        <v>11183.33</v>
      </c>
    </row>
    <row r="588" spans="1:6" x14ac:dyDescent="0.25">
      <c r="A588" s="308">
        <v>43465</v>
      </c>
      <c r="B588" s="24" t="s">
        <v>484</v>
      </c>
      <c r="C588" s="24" t="s">
        <v>487</v>
      </c>
      <c r="D588" s="136" t="str">
        <f t="array" ref="D588">IF(E588=0,0,(INDEX(AccountCodes[ACCOUNT NAME],MATCH(E588,AccountCodes[NGAS CODE],0))))</f>
        <v>Water Expenses</v>
      </c>
      <c r="E588" s="309" t="s">
        <v>232</v>
      </c>
      <c r="F588" s="502">
        <v>11183.33</v>
      </c>
    </row>
    <row r="589" spans="1:6" x14ac:dyDescent="0.25">
      <c r="A589" s="308">
        <v>43131</v>
      </c>
      <c r="B589" s="24" t="s">
        <v>484</v>
      </c>
      <c r="C589" s="24" t="s">
        <v>487</v>
      </c>
      <c r="D589" s="136" t="str">
        <f t="array" ref="D589">IF(E589=0,0,(INDEX(AccountCodes[ACCOUNT NAME],MATCH(E589,AccountCodes[NGAS CODE],0))))</f>
        <v>Electricity Expenses</v>
      </c>
      <c r="E589" s="24" t="s">
        <v>233</v>
      </c>
      <c r="F589" s="502">
        <v>214133.33</v>
      </c>
    </row>
    <row r="590" spans="1:6" x14ac:dyDescent="0.25">
      <c r="A590" s="308">
        <v>43159</v>
      </c>
      <c r="B590" s="24" t="s">
        <v>484</v>
      </c>
      <c r="C590" s="24" t="s">
        <v>487</v>
      </c>
      <c r="D590" s="136" t="str">
        <f t="array" ref="D590">IF(E590=0,0,(INDEX(AccountCodes[ACCOUNT NAME],MATCH(E590,AccountCodes[NGAS CODE],0))))</f>
        <v>Electricity Expenses</v>
      </c>
      <c r="E590" s="24" t="s">
        <v>233</v>
      </c>
      <c r="F590" s="502">
        <v>214133.33</v>
      </c>
    </row>
    <row r="591" spans="1:6" x14ac:dyDescent="0.25">
      <c r="A591" s="308">
        <v>43190</v>
      </c>
      <c r="B591" s="24" t="s">
        <v>484</v>
      </c>
      <c r="C591" s="24" t="s">
        <v>487</v>
      </c>
      <c r="D591" s="136" t="str">
        <f t="array" ref="D591">IF(E591=0,0,(INDEX(AccountCodes[ACCOUNT NAME],MATCH(E591,AccountCodes[NGAS CODE],0))))</f>
        <v>Electricity Expenses</v>
      </c>
      <c r="E591" s="24" t="s">
        <v>233</v>
      </c>
      <c r="F591" s="502">
        <v>214133.33</v>
      </c>
    </row>
    <row r="592" spans="1:6" x14ac:dyDescent="0.25">
      <c r="A592" s="308">
        <v>43220</v>
      </c>
      <c r="B592" s="24" t="s">
        <v>484</v>
      </c>
      <c r="C592" s="24" t="s">
        <v>487</v>
      </c>
      <c r="D592" s="136" t="str">
        <f t="array" ref="D592">IF(E592=0,0,(INDEX(AccountCodes[ACCOUNT NAME],MATCH(E592,AccountCodes[NGAS CODE],0))))</f>
        <v>Electricity Expenses</v>
      </c>
      <c r="E592" s="24" t="s">
        <v>233</v>
      </c>
      <c r="F592" s="502">
        <v>214133.33</v>
      </c>
    </row>
    <row r="593" spans="1:6" x14ac:dyDescent="0.25">
      <c r="A593" s="308">
        <v>43251</v>
      </c>
      <c r="B593" s="24" t="s">
        <v>484</v>
      </c>
      <c r="C593" s="24" t="s">
        <v>487</v>
      </c>
      <c r="D593" s="136" t="str">
        <f t="array" ref="D593">IF(E593=0,0,(INDEX(AccountCodes[ACCOUNT NAME],MATCH(E593,AccountCodes[NGAS CODE],0))))</f>
        <v>Electricity Expenses</v>
      </c>
      <c r="E593" s="24" t="s">
        <v>233</v>
      </c>
      <c r="F593" s="502">
        <v>214133.33</v>
      </c>
    </row>
    <row r="594" spans="1:6" x14ac:dyDescent="0.25">
      <c r="A594" s="308">
        <v>43281</v>
      </c>
      <c r="B594" s="24" t="s">
        <v>484</v>
      </c>
      <c r="C594" s="24" t="s">
        <v>487</v>
      </c>
      <c r="D594" s="136" t="str">
        <f t="array" ref="D594">IF(E594=0,0,(INDEX(AccountCodes[ACCOUNT NAME],MATCH(E594,AccountCodes[NGAS CODE],0))))</f>
        <v>Electricity Expenses</v>
      </c>
      <c r="E594" s="24" t="s">
        <v>233</v>
      </c>
      <c r="F594" s="502">
        <v>214133.33</v>
      </c>
    </row>
    <row r="595" spans="1:6" x14ac:dyDescent="0.25">
      <c r="A595" s="308">
        <v>43312</v>
      </c>
      <c r="B595" s="24" t="s">
        <v>484</v>
      </c>
      <c r="C595" s="24" t="s">
        <v>487</v>
      </c>
      <c r="D595" s="136" t="str">
        <f t="array" ref="D595">IF(E595=0,0,(INDEX(AccountCodes[ACCOUNT NAME],MATCH(E595,AccountCodes[NGAS CODE],0))))</f>
        <v>Electricity Expenses</v>
      </c>
      <c r="E595" s="24" t="s">
        <v>233</v>
      </c>
      <c r="F595" s="502">
        <v>214133.33</v>
      </c>
    </row>
    <row r="596" spans="1:6" x14ac:dyDescent="0.25">
      <c r="A596" s="308">
        <v>43343</v>
      </c>
      <c r="B596" s="24" t="s">
        <v>484</v>
      </c>
      <c r="C596" s="24" t="s">
        <v>487</v>
      </c>
      <c r="D596" s="136" t="str">
        <f t="array" ref="D596">IF(E596=0,0,(INDEX(AccountCodes[ACCOUNT NAME],MATCH(E596,AccountCodes[NGAS CODE],0))))</f>
        <v>Electricity Expenses</v>
      </c>
      <c r="E596" s="24" t="s">
        <v>233</v>
      </c>
      <c r="F596" s="502">
        <v>214133.33</v>
      </c>
    </row>
    <row r="597" spans="1:6" x14ac:dyDescent="0.25">
      <c r="A597" s="308">
        <v>43373</v>
      </c>
      <c r="B597" s="24" t="s">
        <v>484</v>
      </c>
      <c r="C597" s="24" t="s">
        <v>487</v>
      </c>
      <c r="D597" s="136" t="str">
        <f t="array" ref="D597">IF(E597=0,0,(INDEX(AccountCodes[ACCOUNT NAME],MATCH(E597,AccountCodes[NGAS CODE],0))))</f>
        <v>Electricity Expenses</v>
      </c>
      <c r="E597" s="24" t="s">
        <v>233</v>
      </c>
      <c r="F597" s="502">
        <v>214133.33</v>
      </c>
    </row>
    <row r="598" spans="1:6" x14ac:dyDescent="0.25">
      <c r="A598" s="308">
        <v>43404</v>
      </c>
      <c r="B598" s="24" t="s">
        <v>484</v>
      </c>
      <c r="C598" s="24" t="s">
        <v>487</v>
      </c>
      <c r="D598" s="136" t="str">
        <f t="array" ref="D598">IF(E598=0,0,(INDEX(AccountCodes[ACCOUNT NAME],MATCH(E598,AccountCodes[NGAS CODE],0))))</f>
        <v>Electricity Expenses</v>
      </c>
      <c r="E598" s="24" t="s">
        <v>233</v>
      </c>
      <c r="F598" s="502">
        <v>214133.33</v>
      </c>
    </row>
    <row r="599" spans="1:6" x14ac:dyDescent="0.25">
      <c r="A599" s="308">
        <v>43434</v>
      </c>
      <c r="B599" s="24" t="s">
        <v>484</v>
      </c>
      <c r="C599" s="24" t="s">
        <v>487</v>
      </c>
      <c r="D599" s="136" t="str">
        <f t="array" ref="D599">IF(E599=0,0,(INDEX(AccountCodes[ACCOUNT NAME],MATCH(E599,AccountCodes[NGAS CODE],0))))</f>
        <v>Electricity Expenses</v>
      </c>
      <c r="E599" s="24" t="s">
        <v>233</v>
      </c>
      <c r="F599" s="502">
        <v>214133.33</v>
      </c>
    </row>
    <row r="600" spans="1:6" x14ac:dyDescent="0.25">
      <c r="A600" s="308">
        <v>43465</v>
      </c>
      <c r="B600" s="24" t="s">
        <v>484</v>
      </c>
      <c r="C600" s="24" t="s">
        <v>487</v>
      </c>
      <c r="D600" s="136" t="str">
        <f t="array" ref="D600">IF(E600=0,0,(INDEX(AccountCodes[ACCOUNT NAME],MATCH(E600,AccountCodes[NGAS CODE],0))))</f>
        <v>Electricity Expenses</v>
      </c>
      <c r="E600" s="24" t="s">
        <v>233</v>
      </c>
      <c r="F600" s="502">
        <v>214133.33</v>
      </c>
    </row>
    <row r="601" spans="1:6" x14ac:dyDescent="0.25">
      <c r="A601" s="308">
        <v>43131</v>
      </c>
      <c r="B601" s="24" t="s">
        <v>484</v>
      </c>
      <c r="C601" s="24" t="s">
        <v>487</v>
      </c>
      <c r="D601" s="136" t="str">
        <f t="array" ref="D601">IF(E601=0,0,(INDEX(AccountCodes[ACCOUNT NAME],MATCH(E601,AccountCodes[NGAS CODE],0))))</f>
        <v>Postage and Courier Expenses</v>
      </c>
      <c r="E601" s="309" t="s">
        <v>234</v>
      </c>
      <c r="F601" s="502">
        <v>833.33</v>
      </c>
    </row>
    <row r="602" spans="1:6" x14ac:dyDescent="0.25">
      <c r="A602" s="308">
        <v>43159</v>
      </c>
      <c r="B602" s="24" t="s">
        <v>484</v>
      </c>
      <c r="C602" s="24" t="s">
        <v>487</v>
      </c>
      <c r="D602" s="136" t="str">
        <f t="array" ref="D602">IF(E602=0,0,(INDEX(AccountCodes[ACCOUNT NAME],MATCH(E602,AccountCodes[NGAS CODE],0))))</f>
        <v>Postage and Courier Expenses</v>
      </c>
      <c r="E602" s="309" t="s">
        <v>234</v>
      </c>
      <c r="F602" s="502">
        <v>833.33</v>
      </c>
    </row>
    <row r="603" spans="1:6" x14ac:dyDescent="0.25">
      <c r="A603" s="308">
        <v>43190</v>
      </c>
      <c r="B603" s="24" t="s">
        <v>484</v>
      </c>
      <c r="C603" s="24" t="s">
        <v>487</v>
      </c>
      <c r="D603" s="136" t="str">
        <f t="array" ref="D603">IF(E603=0,0,(INDEX(AccountCodes[ACCOUNT NAME],MATCH(E603,AccountCodes[NGAS CODE],0))))</f>
        <v>Postage and Courier Expenses</v>
      </c>
      <c r="E603" s="309" t="s">
        <v>234</v>
      </c>
      <c r="F603" s="502">
        <v>833.33</v>
      </c>
    </row>
    <row r="604" spans="1:6" x14ac:dyDescent="0.25">
      <c r="A604" s="308">
        <v>43220</v>
      </c>
      <c r="B604" s="24" t="s">
        <v>484</v>
      </c>
      <c r="C604" s="24" t="s">
        <v>487</v>
      </c>
      <c r="D604" s="136" t="str">
        <f t="array" ref="D604">IF(E604=0,0,(INDEX(AccountCodes[ACCOUNT NAME],MATCH(E604,AccountCodes[NGAS CODE],0))))</f>
        <v>Postage and Courier Expenses</v>
      </c>
      <c r="E604" s="309" t="s">
        <v>234</v>
      </c>
      <c r="F604" s="502">
        <v>833.33</v>
      </c>
    </row>
    <row r="605" spans="1:6" x14ac:dyDescent="0.25">
      <c r="A605" s="308">
        <v>43251</v>
      </c>
      <c r="B605" s="24" t="s">
        <v>484</v>
      </c>
      <c r="C605" s="24" t="s">
        <v>487</v>
      </c>
      <c r="D605" s="136" t="str">
        <f t="array" ref="D605">IF(E605=0,0,(INDEX(AccountCodes[ACCOUNT NAME],MATCH(E605,AccountCodes[NGAS CODE],0))))</f>
        <v>Postage and Courier Expenses</v>
      </c>
      <c r="E605" s="309" t="s">
        <v>234</v>
      </c>
      <c r="F605" s="502">
        <v>833.33</v>
      </c>
    </row>
    <row r="606" spans="1:6" x14ac:dyDescent="0.25">
      <c r="A606" s="308">
        <v>43281</v>
      </c>
      <c r="B606" s="24" t="s">
        <v>484</v>
      </c>
      <c r="C606" s="24" t="s">
        <v>487</v>
      </c>
      <c r="D606" s="136" t="str">
        <f t="array" ref="D606">IF(E606=0,0,(INDEX(AccountCodes[ACCOUNT NAME],MATCH(E606,AccountCodes[NGAS CODE],0))))</f>
        <v>Postage and Courier Expenses</v>
      </c>
      <c r="E606" s="309" t="s">
        <v>234</v>
      </c>
      <c r="F606" s="502">
        <v>833.33</v>
      </c>
    </row>
    <row r="607" spans="1:6" x14ac:dyDescent="0.25">
      <c r="A607" s="308">
        <v>43312</v>
      </c>
      <c r="B607" s="24" t="s">
        <v>484</v>
      </c>
      <c r="C607" s="24" t="s">
        <v>487</v>
      </c>
      <c r="D607" s="136" t="str">
        <f t="array" ref="D607">IF(E607=0,0,(INDEX(AccountCodes[ACCOUNT NAME],MATCH(E607,AccountCodes[NGAS CODE],0))))</f>
        <v>Postage and Courier Expenses</v>
      </c>
      <c r="E607" s="309" t="s">
        <v>234</v>
      </c>
      <c r="F607" s="502">
        <v>833.33</v>
      </c>
    </row>
    <row r="608" spans="1:6" x14ac:dyDescent="0.25">
      <c r="A608" s="308">
        <v>43343</v>
      </c>
      <c r="B608" s="24" t="s">
        <v>484</v>
      </c>
      <c r="C608" s="24" t="s">
        <v>487</v>
      </c>
      <c r="D608" s="136" t="str">
        <f t="array" ref="D608">IF(E608=0,0,(INDEX(AccountCodes[ACCOUNT NAME],MATCH(E608,AccountCodes[NGAS CODE],0))))</f>
        <v>Postage and Courier Expenses</v>
      </c>
      <c r="E608" s="309" t="s">
        <v>234</v>
      </c>
      <c r="F608" s="502">
        <v>833.33</v>
      </c>
    </row>
    <row r="609" spans="1:6" x14ac:dyDescent="0.25">
      <c r="A609" s="308">
        <v>43373</v>
      </c>
      <c r="B609" s="24" t="s">
        <v>484</v>
      </c>
      <c r="C609" s="24" t="s">
        <v>487</v>
      </c>
      <c r="D609" s="136" t="str">
        <f t="array" ref="D609">IF(E609=0,0,(INDEX(AccountCodes[ACCOUNT NAME],MATCH(E609,AccountCodes[NGAS CODE],0))))</f>
        <v>Postage and Courier Expenses</v>
      </c>
      <c r="E609" s="309" t="s">
        <v>234</v>
      </c>
      <c r="F609" s="502">
        <v>833.33</v>
      </c>
    </row>
    <row r="610" spans="1:6" x14ac:dyDescent="0.25">
      <c r="A610" s="308">
        <v>43404</v>
      </c>
      <c r="B610" s="24" t="s">
        <v>484</v>
      </c>
      <c r="C610" s="24" t="s">
        <v>487</v>
      </c>
      <c r="D610" s="136" t="str">
        <f t="array" ref="D610">IF(E610=0,0,(INDEX(AccountCodes[ACCOUNT NAME],MATCH(E610,AccountCodes[NGAS CODE],0))))</f>
        <v>Postage and Courier Expenses</v>
      </c>
      <c r="E610" s="309" t="s">
        <v>234</v>
      </c>
      <c r="F610" s="502">
        <v>833.33</v>
      </c>
    </row>
    <row r="611" spans="1:6" x14ac:dyDescent="0.25">
      <c r="A611" s="308">
        <v>43434</v>
      </c>
      <c r="B611" s="24" t="s">
        <v>484</v>
      </c>
      <c r="C611" s="24" t="s">
        <v>487</v>
      </c>
      <c r="D611" s="136" t="str">
        <f t="array" ref="D611">IF(E611=0,0,(INDEX(AccountCodes[ACCOUNT NAME],MATCH(E611,AccountCodes[NGAS CODE],0))))</f>
        <v>Postage and Courier Expenses</v>
      </c>
      <c r="E611" s="309" t="s">
        <v>234</v>
      </c>
      <c r="F611" s="502">
        <v>833.33</v>
      </c>
    </row>
    <row r="612" spans="1:6" x14ac:dyDescent="0.25">
      <c r="A612" s="308">
        <v>43465</v>
      </c>
      <c r="B612" s="24" t="s">
        <v>484</v>
      </c>
      <c r="C612" s="24" t="s">
        <v>487</v>
      </c>
      <c r="D612" s="136" t="str">
        <f t="array" ref="D612">IF(E612=0,0,(INDEX(AccountCodes[ACCOUNT NAME],MATCH(E612,AccountCodes[NGAS CODE],0))))</f>
        <v>Postage and Courier Expenses</v>
      </c>
      <c r="E612" s="309" t="s">
        <v>234</v>
      </c>
      <c r="F612" s="502">
        <v>833.33</v>
      </c>
    </row>
    <row r="613" spans="1:6" x14ac:dyDescent="0.25">
      <c r="A613" s="308">
        <v>43131</v>
      </c>
      <c r="B613" s="24" t="s">
        <v>484</v>
      </c>
      <c r="C613" s="24" t="s">
        <v>487</v>
      </c>
      <c r="D613" s="136" t="str">
        <f t="array" ref="D613">IF(E613=0,0,(INDEX(AccountCodes[ACCOUNT NAME],MATCH(E613,AccountCodes[NGAS CODE],0))))</f>
        <v>Telephone Expenses - Landline</v>
      </c>
      <c r="E613" s="309" t="s">
        <v>235</v>
      </c>
      <c r="F613" s="502">
        <v>13530</v>
      </c>
    </row>
    <row r="614" spans="1:6" x14ac:dyDescent="0.25">
      <c r="A614" s="308">
        <v>43159</v>
      </c>
      <c r="B614" s="24" t="s">
        <v>484</v>
      </c>
      <c r="C614" s="24" t="s">
        <v>487</v>
      </c>
      <c r="D614" s="136" t="str">
        <f t="array" ref="D614">IF(E614=0,0,(INDEX(AccountCodes[ACCOUNT NAME],MATCH(E614,AccountCodes[NGAS CODE],0))))</f>
        <v>Telephone Expenses - Landline</v>
      </c>
      <c r="E614" s="309" t="s">
        <v>235</v>
      </c>
      <c r="F614" s="502">
        <v>13530</v>
      </c>
    </row>
    <row r="615" spans="1:6" x14ac:dyDescent="0.25">
      <c r="A615" s="308">
        <v>43190</v>
      </c>
      <c r="B615" s="24" t="s">
        <v>484</v>
      </c>
      <c r="C615" s="24" t="s">
        <v>487</v>
      </c>
      <c r="D615" s="136" t="str">
        <f t="array" ref="D615">IF(E615=0,0,(INDEX(AccountCodes[ACCOUNT NAME],MATCH(E615,AccountCodes[NGAS CODE],0))))</f>
        <v>Telephone Expenses - Landline</v>
      </c>
      <c r="E615" s="309" t="s">
        <v>235</v>
      </c>
      <c r="F615" s="502">
        <v>13530</v>
      </c>
    </row>
    <row r="616" spans="1:6" x14ac:dyDescent="0.25">
      <c r="A616" s="308">
        <v>43220</v>
      </c>
      <c r="B616" s="24" t="s">
        <v>484</v>
      </c>
      <c r="C616" s="24" t="s">
        <v>487</v>
      </c>
      <c r="D616" s="136" t="str">
        <f t="array" ref="D616">IF(E616=0,0,(INDEX(AccountCodes[ACCOUNT NAME],MATCH(E616,AccountCodes[NGAS CODE],0))))</f>
        <v>Telephone Expenses - Landline</v>
      </c>
      <c r="E616" s="309" t="s">
        <v>235</v>
      </c>
      <c r="F616" s="502">
        <v>13530</v>
      </c>
    </row>
    <row r="617" spans="1:6" x14ac:dyDescent="0.25">
      <c r="A617" s="308">
        <v>43251</v>
      </c>
      <c r="B617" s="24" t="s">
        <v>484</v>
      </c>
      <c r="C617" s="24" t="s">
        <v>487</v>
      </c>
      <c r="D617" s="136" t="str">
        <f t="array" ref="D617">IF(E617=0,0,(INDEX(AccountCodes[ACCOUNT NAME],MATCH(E617,AccountCodes[NGAS CODE],0))))</f>
        <v>Telephone Expenses - Landline</v>
      </c>
      <c r="E617" s="309" t="s">
        <v>235</v>
      </c>
      <c r="F617" s="502">
        <v>13530</v>
      </c>
    </row>
    <row r="618" spans="1:6" x14ac:dyDescent="0.25">
      <c r="A618" s="308">
        <v>43281</v>
      </c>
      <c r="B618" s="24" t="s">
        <v>484</v>
      </c>
      <c r="C618" s="24" t="s">
        <v>487</v>
      </c>
      <c r="D618" s="136" t="str">
        <f t="array" ref="D618">IF(E618=0,0,(INDEX(AccountCodes[ACCOUNT NAME],MATCH(E618,AccountCodes[NGAS CODE],0))))</f>
        <v>Telephone Expenses - Landline</v>
      </c>
      <c r="E618" s="309" t="s">
        <v>235</v>
      </c>
      <c r="F618" s="502">
        <v>13530</v>
      </c>
    </row>
    <row r="619" spans="1:6" x14ac:dyDescent="0.25">
      <c r="A619" s="308">
        <v>43312</v>
      </c>
      <c r="B619" s="24" t="s">
        <v>484</v>
      </c>
      <c r="C619" s="24" t="s">
        <v>487</v>
      </c>
      <c r="D619" s="136" t="str">
        <f t="array" ref="D619">IF(E619=0,0,(INDEX(AccountCodes[ACCOUNT NAME],MATCH(E619,AccountCodes[NGAS CODE],0))))</f>
        <v>Telephone Expenses - Landline</v>
      </c>
      <c r="E619" s="309" t="s">
        <v>235</v>
      </c>
      <c r="F619" s="502">
        <v>13530</v>
      </c>
    </row>
    <row r="620" spans="1:6" x14ac:dyDescent="0.25">
      <c r="A620" s="308">
        <v>43343</v>
      </c>
      <c r="B620" s="24" t="s">
        <v>484</v>
      </c>
      <c r="C620" s="24" t="s">
        <v>487</v>
      </c>
      <c r="D620" s="136" t="str">
        <f t="array" ref="D620">IF(E620=0,0,(INDEX(AccountCodes[ACCOUNT NAME],MATCH(E620,AccountCodes[NGAS CODE],0))))</f>
        <v>Telephone Expenses - Landline</v>
      </c>
      <c r="E620" s="309" t="s">
        <v>235</v>
      </c>
      <c r="F620" s="502">
        <v>13530</v>
      </c>
    </row>
    <row r="621" spans="1:6" x14ac:dyDescent="0.25">
      <c r="A621" s="308">
        <v>43373</v>
      </c>
      <c r="B621" s="24" t="s">
        <v>484</v>
      </c>
      <c r="C621" s="24" t="s">
        <v>487</v>
      </c>
      <c r="D621" s="136" t="str">
        <f t="array" ref="D621">IF(E621=0,0,(INDEX(AccountCodes[ACCOUNT NAME],MATCH(E621,AccountCodes[NGAS CODE],0))))</f>
        <v>Telephone Expenses - Landline</v>
      </c>
      <c r="E621" s="309" t="s">
        <v>235</v>
      </c>
      <c r="F621" s="502">
        <v>13530</v>
      </c>
    </row>
    <row r="622" spans="1:6" x14ac:dyDescent="0.25">
      <c r="A622" s="308">
        <v>43404</v>
      </c>
      <c r="B622" s="24" t="s">
        <v>484</v>
      </c>
      <c r="C622" s="24" t="s">
        <v>487</v>
      </c>
      <c r="D622" s="136" t="str">
        <f t="array" ref="D622">IF(E622=0,0,(INDEX(AccountCodes[ACCOUNT NAME],MATCH(E622,AccountCodes[NGAS CODE],0))))</f>
        <v>Telephone Expenses - Landline</v>
      </c>
      <c r="E622" s="309" t="s">
        <v>235</v>
      </c>
      <c r="F622" s="502">
        <v>13530</v>
      </c>
    </row>
    <row r="623" spans="1:6" x14ac:dyDescent="0.25">
      <c r="A623" s="308">
        <v>43434</v>
      </c>
      <c r="B623" s="24" t="s">
        <v>484</v>
      </c>
      <c r="C623" s="24" t="s">
        <v>487</v>
      </c>
      <c r="D623" s="136" t="str">
        <f t="array" ref="D623">IF(E623=0,0,(INDEX(AccountCodes[ACCOUNT NAME],MATCH(E623,AccountCodes[NGAS CODE],0))))</f>
        <v>Telephone Expenses - Landline</v>
      </c>
      <c r="E623" s="309" t="s">
        <v>235</v>
      </c>
      <c r="F623" s="502">
        <v>13530</v>
      </c>
    </row>
    <row r="624" spans="1:6" x14ac:dyDescent="0.25">
      <c r="A624" s="308">
        <v>43465</v>
      </c>
      <c r="B624" s="24" t="s">
        <v>484</v>
      </c>
      <c r="C624" s="24" t="s">
        <v>487</v>
      </c>
      <c r="D624" s="136" t="str">
        <f t="array" ref="D624">IF(E624=0,0,(INDEX(AccountCodes[ACCOUNT NAME],MATCH(E624,AccountCodes[NGAS CODE],0))))</f>
        <v>Telephone Expenses - Landline</v>
      </c>
      <c r="E624" s="309" t="s">
        <v>235</v>
      </c>
      <c r="F624" s="502">
        <v>13530</v>
      </c>
    </row>
    <row r="625" spans="1:6" x14ac:dyDescent="0.25">
      <c r="A625" s="308">
        <v>43131</v>
      </c>
      <c r="B625" s="24" t="s">
        <v>484</v>
      </c>
      <c r="C625" s="24" t="s">
        <v>487</v>
      </c>
      <c r="D625" s="136" t="str">
        <f t="array" ref="D625">IF(E625=0,0,(INDEX(AccountCodes[ACCOUNT NAME],MATCH(E625,AccountCodes[NGAS CODE],0))))</f>
        <v>Telephone Expenses - Mobile</v>
      </c>
      <c r="E625" s="24" t="s">
        <v>236</v>
      </c>
      <c r="F625" s="502">
        <v>2530</v>
      </c>
    </row>
    <row r="626" spans="1:6" x14ac:dyDescent="0.25">
      <c r="A626" s="308">
        <v>43159</v>
      </c>
      <c r="B626" s="24" t="s">
        <v>484</v>
      </c>
      <c r="C626" s="24" t="s">
        <v>487</v>
      </c>
      <c r="D626" s="136" t="str">
        <f t="array" ref="D626">IF(E626=0,0,(INDEX(AccountCodes[ACCOUNT NAME],MATCH(E626,AccountCodes[NGAS CODE],0))))</f>
        <v>Telephone Expenses - Mobile</v>
      </c>
      <c r="E626" s="24" t="s">
        <v>236</v>
      </c>
      <c r="F626" s="502">
        <v>2530</v>
      </c>
    </row>
    <row r="627" spans="1:6" x14ac:dyDescent="0.25">
      <c r="A627" s="308">
        <v>43190</v>
      </c>
      <c r="B627" s="24" t="s">
        <v>484</v>
      </c>
      <c r="C627" s="24" t="s">
        <v>487</v>
      </c>
      <c r="D627" s="136" t="str">
        <f t="array" ref="D627">IF(E627=0,0,(INDEX(AccountCodes[ACCOUNT NAME],MATCH(E627,AccountCodes[NGAS CODE],0))))</f>
        <v>Telephone Expenses - Mobile</v>
      </c>
      <c r="E627" s="24" t="s">
        <v>236</v>
      </c>
      <c r="F627" s="502">
        <v>2530</v>
      </c>
    </row>
    <row r="628" spans="1:6" x14ac:dyDescent="0.25">
      <c r="A628" s="308">
        <v>43220</v>
      </c>
      <c r="B628" s="24" t="s">
        <v>484</v>
      </c>
      <c r="C628" s="24" t="s">
        <v>487</v>
      </c>
      <c r="D628" s="136" t="str">
        <f t="array" ref="D628">IF(E628=0,0,(INDEX(AccountCodes[ACCOUNT NAME],MATCH(E628,AccountCodes[NGAS CODE],0))))</f>
        <v>Telephone Expenses - Mobile</v>
      </c>
      <c r="E628" s="24" t="s">
        <v>236</v>
      </c>
      <c r="F628" s="502">
        <v>2530</v>
      </c>
    </row>
    <row r="629" spans="1:6" x14ac:dyDescent="0.25">
      <c r="A629" s="308">
        <v>43251</v>
      </c>
      <c r="B629" s="24" t="s">
        <v>484</v>
      </c>
      <c r="C629" s="24" t="s">
        <v>487</v>
      </c>
      <c r="D629" s="136" t="str">
        <f t="array" ref="D629">IF(E629=0,0,(INDEX(AccountCodes[ACCOUNT NAME],MATCH(E629,AccountCodes[NGAS CODE],0))))</f>
        <v>Telephone Expenses - Mobile</v>
      </c>
      <c r="E629" s="24" t="s">
        <v>236</v>
      </c>
      <c r="F629" s="502">
        <v>2530</v>
      </c>
    </row>
    <row r="630" spans="1:6" x14ac:dyDescent="0.25">
      <c r="A630" s="308">
        <v>43281</v>
      </c>
      <c r="B630" s="24" t="s">
        <v>484</v>
      </c>
      <c r="C630" s="24" t="s">
        <v>487</v>
      </c>
      <c r="D630" s="136" t="str">
        <f t="array" ref="D630">IF(E630=0,0,(INDEX(AccountCodes[ACCOUNT NAME],MATCH(E630,AccountCodes[NGAS CODE],0))))</f>
        <v>Telephone Expenses - Mobile</v>
      </c>
      <c r="E630" s="24" t="s">
        <v>236</v>
      </c>
      <c r="F630" s="502">
        <v>2530</v>
      </c>
    </row>
    <row r="631" spans="1:6" x14ac:dyDescent="0.25">
      <c r="A631" s="308">
        <v>43312</v>
      </c>
      <c r="B631" s="24" t="s">
        <v>484</v>
      </c>
      <c r="C631" s="24" t="s">
        <v>487</v>
      </c>
      <c r="D631" s="136" t="str">
        <f t="array" ref="D631">IF(E631=0,0,(INDEX(AccountCodes[ACCOUNT NAME],MATCH(E631,AccountCodes[NGAS CODE],0))))</f>
        <v>Telephone Expenses - Mobile</v>
      </c>
      <c r="E631" s="24" t="s">
        <v>236</v>
      </c>
      <c r="F631" s="502">
        <v>2530</v>
      </c>
    </row>
    <row r="632" spans="1:6" x14ac:dyDescent="0.25">
      <c r="A632" s="308">
        <v>43343</v>
      </c>
      <c r="B632" s="24" t="s">
        <v>484</v>
      </c>
      <c r="C632" s="24" t="s">
        <v>487</v>
      </c>
      <c r="D632" s="136" t="str">
        <f t="array" ref="D632">IF(E632=0,0,(INDEX(AccountCodes[ACCOUNT NAME],MATCH(E632,AccountCodes[NGAS CODE],0))))</f>
        <v>Telephone Expenses - Mobile</v>
      </c>
      <c r="E632" s="24" t="s">
        <v>236</v>
      </c>
      <c r="F632" s="502">
        <v>2530</v>
      </c>
    </row>
    <row r="633" spans="1:6" x14ac:dyDescent="0.25">
      <c r="A633" s="308">
        <v>43373</v>
      </c>
      <c r="B633" s="24" t="s">
        <v>484</v>
      </c>
      <c r="C633" s="24" t="s">
        <v>487</v>
      </c>
      <c r="D633" s="136" t="str">
        <f t="array" ref="D633">IF(E633=0,0,(INDEX(AccountCodes[ACCOUNT NAME],MATCH(E633,AccountCodes[NGAS CODE],0))))</f>
        <v>Telephone Expenses - Mobile</v>
      </c>
      <c r="E633" s="24" t="s">
        <v>236</v>
      </c>
      <c r="F633" s="502">
        <v>2530</v>
      </c>
    </row>
    <row r="634" spans="1:6" x14ac:dyDescent="0.25">
      <c r="A634" s="308">
        <v>43404</v>
      </c>
      <c r="B634" s="24" t="s">
        <v>484</v>
      </c>
      <c r="C634" s="24" t="s">
        <v>487</v>
      </c>
      <c r="D634" s="136" t="str">
        <f t="array" ref="D634">IF(E634=0,0,(INDEX(AccountCodes[ACCOUNT NAME],MATCH(E634,AccountCodes[NGAS CODE],0))))</f>
        <v>Telephone Expenses - Mobile</v>
      </c>
      <c r="E634" s="24" t="s">
        <v>236</v>
      </c>
      <c r="F634" s="502">
        <v>2530</v>
      </c>
    </row>
    <row r="635" spans="1:6" x14ac:dyDescent="0.25">
      <c r="A635" s="308">
        <v>43434</v>
      </c>
      <c r="B635" s="24" t="s">
        <v>484</v>
      </c>
      <c r="C635" s="24" t="s">
        <v>487</v>
      </c>
      <c r="D635" s="136" t="str">
        <f t="array" ref="D635">IF(E635=0,0,(INDEX(AccountCodes[ACCOUNT NAME],MATCH(E635,AccountCodes[NGAS CODE],0))))</f>
        <v>Telephone Expenses - Mobile</v>
      </c>
      <c r="E635" s="24" t="s">
        <v>236</v>
      </c>
      <c r="F635" s="502">
        <v>2530</v>
      </c>
    </row>
    <row r="636" spans="1:6" x14ac:dyDescent="0.25">
      <c r="A636" s="308">
        <v>43465</v>
      </c>
      <c r="B636" s="24" t="s">
        <v>484</v>
      </c>
      <c r="C636" s="24" t="s">
        <v>487</v>
      </c>
      <c r="D636" s="136" t="str">
        <f t="array" ref="D636">IF(E636=0,0,(INDEX(AccountCodes[ACCOUNT NAME],MATCH(E636,AccountCodes[NGAS CODE],0))))</f>
        <v>Telephone Expenses - Mobile</v>
      </c>
      <c r="E636" s="24" t="s">
        <v>236</v>
      </c>
      <c r="F636" s="502">
        <v>2530</v>
      </c>
    </row>
    <row r="637" spans="1:6" x14ac:dyDescent="0.25">
      <c r="A637" s="308">
        <v>43131</v>
      </c>
      <c r="B637" s="24" t="s">
        <v>484</v>
      </c>
      <c r="C637" s="24" t="s">
        <v>487</v>
      </c>
      <c r="D637" s="136" t="str">
        <f t="array" ref="D637">IF(E637=0,0,(INDEX(AccountCodes[ACCOUNT NAME],MATCH(E637,AccountCodes[NGAS CODE],0))))</f>
        <v>Advertising Expenses</v>
      </c>
      <c r="E637" s="309" t="s">
        <v>240</v>
      </c>
      <c r="F637" s="502">
        <v>833.33</v>
      </c>
    </row>
    <row r="638" spans="1:6" x14ac:dyDescent="0.25">
      <c r="A638" s="308">
        <v>43159</v>
      </c>
      <c r="B638" s="24" t="s">
        <v>484</v>
      </c>
      <c r="C638" s="24" t="s">
        <v>487</v>
      </c>
      <c r="D638" s="136" t="str">
        <f t="array" ref="D638">IF(E638=0,0,(INDEX(AccountCodes[ACCOUNT NAME],MATCH(E638,AccountCodes[NGAS CODE],0))))</f>
        <v>Advertising Expenses</v>
      </c>
      <c r="E638" s="309" t="s">
        <v>240</v>
      </c>
      <c r="F638" s="502">
        <v>833.33</v>
      </c>
    </row>
    <row r="639" spans="1:6" x14ac:dyDescent="0.25">
      <c r="A639" s="308">
        <v>43190</v>
      </c>
      <c r="B639" s="24" t="s">
        <v>484</v>
      </c>
      <c r="C639" s="24" t="s">
        <v>487</v>
      </c>
      <c r="D639" s="136" t="str">
        <f t="array" ref="D639">IF(E639=0,0,(INDEX(AccountCodes[ACCOUNT NAME],MATCH(E639,AccountCodes[NGAS CODE],0))))</f>
        <v>Advertising Expenses</v>
      </c>
      <c r="E639" s="309" t="s">
        <v>240</v>
      </c>
      <c r="F639" s="502">
        <v>833.33</v>
      </c>
    </row>
    <row r="640" spans="1:6" x14ac:dyDescent="0.25">
      <c r="A640" s="308">
        <v>43220</v>
      </c>
      <c r="B640" s="24" t="s">
        <v>484</v>
      </c>
      <c r="C640" s="24" t="s">
        <v>487</v>
      </c>
      <c r="D640" s="136" t="str">
        <f t="array" ref="D640">IF(E640=0,0,(INDEX(AccountCodes[ACCOUNT NAME],MATCH(E640,AccountCodes[NGAS CODE],0))))</f>
        <v>Advertising Expenses</v>
      </c>
      <c r="E640" s="309" t="s">
        <v>240</v>
      </c>
      <c r="F640" s="502">
        <v>833.33</v>
      </c>
    </row>
    <row r="641" spans="1:6" x14ac:dyDescent="0.25">
      <c r="A641" s="308">
        <v>43251</v>
      </c>
      <c r="B641" s="24" t="s">
        <v>484</v>
      </c>
      <c r="C641" s="24" t="s">
        <v>487</v>
      </c>
      <c r="D641" s="136" t="str">
        <f t="array" ref="D641">IF(E641=0,0,(INDEX(AccountCodes[ACCOUNT NAME],MATCH(E641,AccountCodes[NGAS CODE],0))))</f>
        <v>Advertising Expenses</v>
      </c>
      <c r="E641" s="309" t="s">
        <v>240</v>
      </c>
      <c r="F641" s="502">
        <v>833.33</v>
      </c>
    </row>
    <row r="642" spans="1:6" x14ac:dyDescent="0.25">
      <c r="A642" s="308">
        <v>43281</v>
      </c>
      <c r="B642" s="24" t="s">
        <v>484</v>
      </c>
      <c r="C642" s="24" t="s">
        <v>487</v>
      </c>
      <c r="D642" s="136" t="str">
        <f t="array" ref="D642">IF(E642=0,0,(INDEX(AccountCodes[ACCOUNT NAME],MATCH(E642,AccountCodes[NGAS CODE],0))))</f>
        <v>Advertising Expenses</v>
      </c>
      <c r="E642" s="309" t="s">
        <v>240</v>
      </c>
      <c r="F642" s="502">
        <v>833.33</v>
      </c>
    </row>
    <row r="643" spans="1:6" x14ac:dyDescent="0.25">
      <c r="A643" s="308">
        <v>43312</v>
      </c>
      <c r="B643" s="24" t="s">
        <v>484</v>
      </c>
      <c r="C643" s="24" t="s">
        <v>487</v>
      </c>
      <c r="D643" s="136" t="str">
        <f t="array" ref="D643">IF(E643=0,0,(INDEX(AccountCodes[ACCOUNT NAME],MATCH(E643,AccountCodes[NGAS CODE],0))))</f>
        <v>Advertising Expenses</v>
      </c>
      <c r="E643" s="309" t="s">
        <v>240</v>
      </c>
      <c r="F643" s="502">
        <v>833.33</v>
      </c>
    </row>
    <row r="644" spans="1:6" x14ac:dyDescent="0.25">
      <c r="A644" s="308">
        <v>43343</v>
      </c>
      <c r="B644" s="24" t="s">
        <v>484</v>
      </c>
      <c r="C644" s="24" t="s">
        <v>487</v>
      </c>
      <c r="D644" s="136" t="str">
        <f t="array" ref="D644">IF(E644=0,0,(INDEX(AccountCodes[ACCOUNT NAME],MATCH(E644,AccountCodes[NGAS CODE],0))))</f>
        <v>Advertising Expenses</v>
      </c>
      <c r="E644" s="309" t="s">
        <v>240</v>
      </c>
      <c r="F644" s="502">
        <v>833.33</v>
      </c>
    </row>
    <row r="645" spans="1:6" x14ac:dyDescent="0.25">
      <c r="A645" s="308">
        <v>43373</v>
      </c>
      <c r="B645" s="24" t="s">
        <v>484</v>
      </c>
      <c r="C645" s="24" t="s">
        <v>487</v>
      </c>
      <c r="D645" s="136" t="str">
        <f t="array" ref="D645">IF(E645=0,0,(INDEX(AccountCodes[ACCOUNT NAME],MATCH(E645,AccountCodes[NGAS CODE],0))))</f>
        <v>Advertising Expenses</v>
      </c>
      <c r="E645" s="309" t="s">
        <v>240</v>
      </c>
      <c r="F645" s="502">
        <v>833.33</v>
      </c>
    </row>
    <row r="646" spans="1:6" x14ac:dyDescent="0.25">
      <c r="A646" s="308">
        <v>43404</v>
      </c>
      <c r="B646" s="24" t="s">
        <v>484</v>
      </c>
      <c r="C646" s="24" t="s">
        <v>487</v>
      </c>
      <c r="D646" s="136" t="str">
        <f t="array" ref="D646">IF(E646=0,0,(INDEX(AccountCodes[ACCOUNT NAME],MATCH(E646,AccountCodes[NGAS CODE],0))))</f>
        <v>Advertising Expenses</v>
      </c>
      <c r="E646" s="309" t="s">
        <v>240</v>
      </c>
      <c r="F646" s="502">
        <v>833.33</v>
      </c>
    </row>
    <row r="647" spans="1:6" x14ac:dyDescent="0.25">
      <c r="A647" s="308">
        <v>43434</v>
      </c>
      <c r="B647" s="24" t="s">
        <v>484</v>
      </c>
      <c r="C647" s="24" t="s">
        <v>487</v>
      </c>
      <c r="D647" s="136" t="str">
        <f t="array" ref="D647">IF(E647=0,0,(INDEX(AccountCodes[ACCOUNT NAME],MATCH(E647,AccountCodes[NGAS CODE],0))))</f>
        <v>Advertising Expenses</v>
      </c>
      <c r="E647" s="309" t="s">
        <v>240</v>
      </c>
      <c r="F647" s="502">
        <v>833.33</v>
      </c>
    </row>
    <row r="648" spans="1:6" x14ac:dyDescent="0.25">
      <c r="A648" s="308">
        <v>43465</v>
      </c>
      <c r="B648" s="24" t="s">
        <v>484</v>
      </c>
      <c r="C648" s="24" t="s">
        <v>487</v>
      </c>
      <c r="D648" s="136" t="str">
        <f t="array" ref="D648">IF(E648=0,0,(INDEX(AccountCodes[ACCOUNT NAME],MATCH(E648,AccountCodes[NGAS CODE],0))))</f>
        <v>Advertising Expenses</v>
      </c>
      <c r="E648" s="309" t="s">
        <v>240</v>
      </c>
      <c r="F648" s="502">
        <v>833.33</v>
      </c>
    </row>
    <row r="649" spans="1:6" x14ac:dyDescent="0.25">
      <c r="A649" s="308">
        <v>43159</v>
      </c>
      <c r="B649" s="24" t="s">
        <v>484</v>
      </c>
      <c r="C649" s="24" t="s">
        <v>487</v>
      </c>
      <c r="D649" s="136" t="str">
        <f t="array" ref="D649">IF(E649=0,0,(INDEX(AccountCodes[ACCOUNT NAME],MATCH(E649,AccountCodes[NGAS CODE],0))))</f>
        <v>Auditing Services</v>
      </c>
      <c r="E649" s="24" t="s">
        <v>222</v>
      </c>
      <c r="F649" s="502">
        <v>20000</v>
      </c>
    </row>
    <row r="650" spans="1:6" x14ac:dyDescent="0.25">
      <c r="A650" s="308">
        <v>43251</v>
      </c>
      <c r="B650" s="24" t="s">
        <v>484</v>
      </c>
      <c r="C650" s="24" t="s">
        <v>487</v>
      </c>
      <c r="D650" s="136" t="str">
        <f t="array" ref="D650">IF(E650=0,0,(INDEX(AccountCodes[ACCOUNT NAME],MATCH(E650,AccountCodes[NGAS CODE],0))))</f>
        <v>Auditing Services</v>
      </c>
      <c r="E650" s="24" t="s">
        <v>222</v>
      </c>
      <c r="F650" s="502">
        <v>20000</v>
      </c>
    </row>
    <row r="651" spans="1:6" x14ac:dyDescent="0.25">
      <c r="A651" s="308">
        <v>43343</v>
      </c>
      <c r="B651" s="24" t="s">
        <v>484</v>
      </c>
      <c r="C651" s="24" t="s">
        <v>487</v>
      </c>
      <c r="D651" s="136" t="str">
        <f t="array" ref="D651">IF(E651=0,0,(INDEX(AccountCodes[ACCOUNT NAME],MATCH(E651,AccountCodes[NGAS CODE],0))))</f>
        <v>Auditing Services</v>
      </c>
      <c r="E651" s="24" t="s">
        <v>222</v>
      </c>
      <c r="F651" s="502">
        <v>20000</v>
      </c>
    </row>
    <row r="652" spans="1:6" x14ac:dyDescent="0.25">
      <c r="A652" s="308">
        <v>43434</v>
      </c>
      <c r="B652" s="24" t="s">
        <v>484</v>
      </c>
      <c r="C652" s="24" t="s">
        <v>487</v>
      </c>
      <c r="D652" s="136" t="str">
        <f t="array" ref="D652">IF(E652=0,0,(INDEX(AccountCodes[ACCOUNT NAME],MATCH(E652,AccountCodes[NGAS CODE],0))))</f>
        <v>Auditing Services</v>
      </c>
      <c r="E652" s="24" t="s">
        <v>222</v>
      </c>
      <c r="F652" s="502">
        <v>20000</v>
      </c>
    </row>
    <row r="653" spans="1:6" x14ac:dyDescent="0.25">
      <c r="A653" s="308">
        <v>43131</v>
      </c>
      <c r="B653" s="24" t="s">
        <v>484</v>
      </c>
      <c r="C653" s="24" t="s">
        <v>487</v>
      </c>
      <c r="D653" s="136" t="str">
        <f t="array" ref="D653">IF(E653=0,0,(INDEX(AccountCodes[ACCOUNT NAME],MATCH(E653,AccountCodes[NGAS CODE],0))))</f>
        <v>Other Professional Services</v>
      </c>
      <c r="E653" s="309" t="s">
        <v>250</v>
      </c>
      <c r="F653" s="502">
        <v>30000</v>
      </c>
    </row>
    <row r="654" spans="1:6" x14ac:dyDescent="0.25">
      <c r="A654" s="308">
        <v>43190</v>
      </c>
      <c r="B654" s="24" t="s">
        <v>484</v>
      </c>
      <c r="C654" s="24" t="s">
        <v>487</v>
      </c>
      <c r="D654" s="136" t="str">
        <f t="array" ref="D654">IF(E654=0,0,(INDEX(AccountCodes[ACCOUNT NAME],MATCH(E654,AccountCodes[NGAS CODE],0))))</f>
        <v>Other Professional Services</v>
      </c>
      <c r="E654" s="309" t="s">
        <v>250</v>
      </c>
      <c r="F654" s="502">
        <v>30000</v>
      </c>
    </row>
    <row r="655" spans="1:6" x14ac:dyDescent="0.25">
      <c r="A655" s="308">
        <v>43281</v>
      </c>
      <c r="B655" s="24" t="s">
        <v>484</v>
      </c>
      <c r="C655" s="24" t="s">
        <v>487</v>
      </c>
      <c r="D655" s="136" t="str">
        <f t="array" ref="D655">IF(E655=0,0,(INDEX(AccountCodes[ACCOUNT NAME],MATCH(E655,AccountCodes[NGAS CODE],0))))</f>
        <v>Other Professional Services</v>
      </c>
      <c r="E655" s="309" t="s">
        <v>250</v>
      </c>
      <c r="F655" s="502">
        <v>30000</v>
      </c>
    </row>
    <row r="656" spans="1:6" x14ac:dyDescent="0.25">
      <c r="A656" s="308">
        <v>43404</v>
      </c>
      <c r="B656" s="24" t="s">
        <v>484</v>
      </c>
      <c r="C656" s="24" t="s">
        <v>487</v>
      </c>
      <c r="D656" s="136" t="str">
        <f t="array" ref="D656">IF(E656=0,0,(INDEX(AccountCodes[ACCOUNT NAME],MATCH(E656,AccountCodes[NGAS CODE],0))))</f>
        <v>Other Professional Services</v>
      </c>
      <c r="E656" s="309" t="s">
        <v>250</v>
      </c>
      <c r="F656" s="502">
        <v>84300</v>
      </c>
    </row>
    <row r="657" spans="1:6" x14ac:dyDescent="0.25">
      <c r="A657" s="308">
        <v>43131</v>
      </c>
      <c r="B657" s="24" t="s">
        <v>484</v>
      </c>
      <c r="C657" s="24" t="s">
        <v>487</v>
      </c>
      <c r="D657" s="136" t="str">
        <f t="array" ref="D657">IF(E657=0,0,(INDEX(AccountCodes[ACCOUNT NAME],MATCH(E657,AccountCodes[NGAS CODE],0))))</f>
        <v>Repairs and Maintenance-Transportation Equipment - Motor Vehicles</v>
      </c>
      <c r="E657" s="309" t="s">
        <v>262</v>
      </c>
      <c r="F657" s="502">
        <v>76631.5</v>
      </c>
    </row>
    <row r="658" spans="1:6" x14ac:dyDescent="0.25">
      <c r="A658" s="308">
        <v>43159</v>
      </c>
      <c r="B658" s="24" t="s">
        <v>484</v>
      </c>
      <c r="C658" s="24" t="s">
        <v>487</v>
      </c>
      <c r="D658" s="136" t="str">
        <f t="array" ref="D658">IF(E658=0,0,(INDEX(AccountCodes[ACCOUNT NAME],MATCH(E658,AccountCodes[NGAS CODE],0))))</f>
        <v>Repairs and Maintenance-Transportation Equipment - Motor Vehicles</v>
      </c>
      <c r="E658" s="309" t="s">
        <v>262</v>
      </c>
      <c r="F658" s="502">
        <v>76631.5</v>
      </c>
    </row>
    <row r="659" spans="1:6" x14ac:dyDescent="0.25">
      <c r="A659" s="308">
        <v>43190</v>
      </c>
      <c r="B659" s="24" t="s">
        <v>484</v>
      </c>
      <c r="C659" s="24" t="s">
        <v>487</v>
      </c>
      <c r="D659" s="136" t="str">
        <f t="array" ref="D659">IF(E659=0,0,(INDEX(AccountCodes[ACCOUNT NAME],MATCH(E659,AccountCodes[NGAS CODE],0))))</f>
        <v>Repairs and Maintenance-Transportation Equipment - Motor Vehicles</v>
      </c>
      <c r="E659" s="309" t="s">
        <v>262</v>
      </c>
      <c r="F659" s="502">
        <v>76631.5</v>
      </c>
    </row>
    <row r="660" spans="1:6" x14ac:dyDescent="0.25">
      <c r="A660" s="308">
        <v>43220</v>
      </c>
      <c r="B660" s="24" t="s">
        <v>484</v>
      </c>
      <c r="C660" s="24" t="s">
        <v>487</v>
      </c>
      <c r="D660" s="136" t="str">
        <f t="array" ref="D660">IF(E660=0,0,(INDEX(AccountCodes[ACCOUNT NAME],MATCH(E660,AccountCodes[NGAS CODE],0))))</f>
        <v>Repairs and Maintenance-Transportation Equipment - Motor Vehicles</v>
      </c>
      <c r="E660" s="309" t="s">
        <v>262</v>
      </c>
      <c r="F660" s="502">
        <v>76631.5</v>
      </c>
    </row>
    <row r="661" spans="1:6" x14ac:dyDescent="0.25">
      <c r="A661" s="308">
        <v>43251</v>
      </c>
      <c r="B661" s="24" t="s">
        <v>484</v>
      </c>
      <c r="C661" s="24" t="s">
        <v>487</v>
      </c>
      <c r="D661" s="136" t="str">
        <f t="array" ref="D661">IF(E661=0,0,(INDEX(AccountCodes[ACCOUNT NAME],MATCH(E661,AccountCodes[NGAS CODE],0))))</f>
        <v>Repairs and Maintenance-Transportation Equipment - Motor Vehicles</v>
      </c>
      <c r="E661" s="309" t="s">
        <v>262</v>
      </c>
      <c r="F661" s="502">
        <v>76631.5</v>
      </c>
    </row>
    <row r="662" spans="1:6" x14ac:dyDescent="0.25">
      <c r="A662" s="308">
        <v>43281</v>
      </c>
      <c r="B662" s="24" t="s">
        <v>484</v>
      </c>
      <c r="C662" s="24" t="s">
        <v>487</v>
      </c>
      <c r="D662" s="136" t="str">
        <f t="array" ref="D662">IF(E662=0,0,(INDEX(AccountCodes[ACCOUNT NAME],MATCH(E662,AccountCodes[NGAS CODE],0))))</f>
        <v>Repairs and Maintenance-Transportation Equipment - Motor Vehicles</v>
      </c>
      <c r="E662" s="309" t="s">
        <v>262</v>
      </c>
      <c r="F662" s="502">
        <v>76631.5</v>
      </c>
    </row>
    <row r="663" spans="1:6" x14ac:dyDescent="0.25">
      <c r="A663" s="308">
        <v>43312</v>
      </c>
      <c r="B663" s="24" t="s">
        <v>484</v>
      </c>
      <c r="C663" s="24" t="s">
        <v>487</v>
      </c>
      <c r="D663" s="136" t="str">
        <f t="array" ref="D663">IF(E663=0,0,(INDEX(AccountCodes[ACCOUNT NAME],MATCH(E663,AccountCodes[NGAS CODE],0))))</f>
        <v>Repairs and Maintenance-Transportation Equipment - Motor Vehicles</v>
      </c>
      <c r="E663" s="309" t="s">
        <v>262</v>
      </c>
      <c r="F663" s="502">
        <v>76631.5</v>
      </c>
    </row>
    <row r="664" spans="1:6" x14ac:dyDescent="0.25">
      <c r="A664" s="308">
        <v>43343</v>
      </c>
      <c r="B664" s="24" t="s">
        <v>484</v>
      </c>
      <c r="C664" s="24" t="s">
        <v>487</v>
      </c>
      <c r="D664" s="136" t="str">
        <f t="array" ref="D664">IF(E664=0,0,(INDEX(AccountCodes[ACCOUNT NAME],MATCH(E664,AccountCodes[NGAS CODE],0))))</f>
        <v>Repairs and Maintenance-Transportation Equipment - Motor Vehicles</v>
      </c>
      <c r="E664" s="309" t="s">
        <v>262</v>
      </c>
      <c r="F664" s="502">
        <v>76631.5</v>
      </c>
    </row>
    <row r="665" spans="1:6" x14ac:dyDescent="0.25">
      <c r="A665" s="308">
        <v>43373</v>
      </c>
      <c r="B665" s="24" t="s">
        <v>484</v>
      </c>
      <c r="C665" s="24" t="s">
        <v>487</v>
      </c>
      <c r="D665" s="136" t="str">
        <f t="array" ref="D665">IF(E665=0,0,(INDEX(AccountCodes[ACCOUNT NAME],MATCH(E665,AccountCodes[NGAS CODE],0))))</f>
        <v>Repairs and Maintenance-Transportation Equipment - Motor Vehicles</v>
      </c>
      <c r="E665" s="309" t="s">
        <v>262</v>
      </c>
      <c r="F665" s="502">
        <v>76631.5</v>
      </c>
    </row>
    <row r="666" spans="1:6" x14ac:dyDescent="0.25">
      <c r="A666" s="308">
        <v>43404</v>
      </c>
      <c r="B666" s="24" t="s">
        <v>484</v>
      </c>
      <c r="C666" s="24" t="s">
        <v>487</v>
      </c>
      <c r="D666" s="136" t="str">
        <f t="array" ref="D666">IF(E666=0,0,(INDEX(AccountCodes[ACCOUNT NAME],MATCH(E666,AccountCodes[NGAS CODE],0))))</f>
        <v>Repairs and Maintenance-Transportation Equipment - Motor Vehicles</v>
      </c>
      <c r="E666" s="309" t="s">
        <v>262</v>
      </c>
      <c r="F666" s="502">
        <v>76631.5</v>
      </c>
    </row>
    <row r="667" spans="1:6" x14ac:dyDescent="0.25">
      <c r="A667" s="308">
        <v>43434</v>
      </c>
      <c r="B667" s="24" t="s">
        <v>484</v>
      </c>
      <c r="C667" s="24" t="s">
        <v>487</v>
      </c>
      <c r="D667" s="136" t="str">
        <f t="array" ref="D667">IF(E667=0,0,(INDEX(AccountCodes[ACCOUNT NAME],MATCH(E667,AccountCodes[NGAS CODE],0))))</f>
        <v>Repairs and Maintenance-Transportation Equipment - Motor Vehicles</v>
      </c>
      <c r="E667" s="309" t="s">
        <v>262</v>
      </c>
      <c r="F667" s="502">
        <v>76631.5</v>
      </c>
    </row>
    <row r="668" spans="1:6" x14ac:dyDescent="0.25">
      <c r="A668" s="308">
        <v>43465</v>
      </c>
      <c r="B668" s="24" t="s">
        <v>484</v>
      </c>
      <c r="C668" s="24" t="s">
        <v>487</v>
      </c>
      <c r="D668" s="136" t="str">
        <f t="array" ref="D668">IF(E668=0,0,(INDEX(AccountCodes[ACCOUNT NAME],MATCH(E668,AccountCodes[NGAS CODE],0))))</f>
        <v>Repairs and Maintenance-Transportation Equipment - Motor Vehicles</v>
      </c>
      <c r="E668" s="309" t="s">
        <v>262</v>
      </c>
      <c r="F668" s="502">
        <v>76631.5</v>
      </c>
    </row>
    <row r="669" spans="1:6" x14ac:dyDescent="0.25">
      <c r="A669" s="308">
        <v>43131</v>
      </c>
      <c r="B669" s="24" t="s">
        <v>484</v>
      </c>
      <c r="C669" s="24" t="s">
        <v>487</v>
      </c>
      <c r="D669" s="136" t="str">
        <f t="array" ref="D669">IF(E669=0,0,(INDEX(AccountCodes[ACCOUNT NAME],MATCH(E669,AccountCodes[NGAS CODE],0))))</f>
        <v>Repairs and Maintenance-Buildings and Other Structures - Buildings</v>
      </c>
      <c r="E669" s="309" t="s">
        <v>251</v>
      </c>
      <c r="F669" s="502">
        <v>4166.67</v>
      </c>
    </row>
    <row r="670" spans="1:6" x14ac:dyDescent="0.25">
      <c r="A670" s="308">
        <v>43159</v>
      </c>
      <c r="B670" s="24" t="s">
        <v>484</v>
      </c>
      <c r="C670" s="24" t="s">
        <v>487</v>
      </c>
      <c r="D670" s="136" t="str">
        <f t="array" ref="D670">IF(E670=0,0,(INDEX(AccountCodes[ACCOUNT NAME],MATCH(E670,AccountCodes[NGAS CODE],0))))</f>
        <v>Repairs and Maintenance-Buildings and Other Structures - Buildings</v>
      </c>
      <c r="E670" s="309" t="s">
        <v>251</v>
      </c>
      <c r="F670" s="502">
        <v>4166.67</v>
      </c>
    </row>
    <row r="671" spans="1:6" x14ac:dyDescent="0.25">
      <c r="A671" s="308">
        <v>43190</v>
      </c>
      <c r="B671" s="24" t="s">
        <v>484</v>
      </c>
      <c r="C671" s="24" t="s">
        <v>487</v>
      </c>
      <c r="D671" s="136" t="str">
        <f t="array" ref="D671">IF(E671=0,0,(INDEX(AccountCodes[ACCOUNT NAME],MATCH(E671,AccountCodes[NGAS CODE],0))))</f>
        <v>Repairs and Maintenance-Buildings and Other Structures - Buildings</v>
      </c>
      <c r="E671" s="309" t="s">
        <v>251</v>
      </c>
      <c r="F671" s="502">
        <v>4166.67</v>
      </c>
    </row>
    <row r="672" spans="1:6" x14ac:dyDescent="0.25">
      <c r="A672" s="308">
        <v>43220</v>
      </c>
      <c r="B672" s="24" t="s">
        <v>484</v>
      </c>
      <c r="C672" s="24" t="s">
        <v>487</v>
      </c>
      <c r="D672" s="136" t="str">
        <f t="array" ref="D672">IF(E672=0,0,(INDEX(AccountCodes[ACCOUNT NAME],MATCH(E672,AccountCodes[NGAS CODE],0))))</f>
        <v>Repairs and Maintenance-Buildings and Other Structures - Buildings</v>
      </c>
      <c r="E672" s="309" t="s">
        <v>251</v>
      </c>
      <c r="F672" s="502">
        <v>4166.67</v>
      </c>
    </row>
    <row r="673" spans="1:6" x14ac:dyDescent="0.25">
      <c r="A673" s="308">
        <v>43251</v>
      </c>
      <c r="B673" s="24" t="s">
        <v>484</v>
      </c>
      <c r="C673" s="24" t="s">
        <v>487</v>
      </c>
      <c r="D673" s="136" t="str">
        <f t="array" ref="D673">IF(E673=0,0,(INDEX(AccountCodes[ACCOUNT NAME],MATCH(E673,AccountCodes[NGAS CODE],0))))</f>
        <v>Repairs and Maintenance-Buildings and Other Structures - Buildings</v>
      </c>
      <c r="E673" s="309" t="s">
        <v>251</v>
      </c>
      <c r="F673" s="502">
        <v>4166.67</v>
      </c>
    </row>
    <row r="674" spans="1:6" x14ac:dyDescent="0.25">
      <c r="A674" s="308">
        <v>43281</v>
      </c>
      <c r="B674" s="24" t="s">
        <v>484</v>
      </c>
      <c r="C674" s="24" t="s">
        <v>487</v>
      </c>
      <c r="D674" s="136" t="str">
        <f t="array" ref="D674">IF(E674=0,0,(INDEX(AccountCodes[ACCOUNT NAME],MATCH(E674,AccountCodes[NGAS CODE],0))))</f>
        <v>Repairs and Maintenance-Buildings and Other Structures - Buildings</v>
      </c>
      <c r="E674" s="309" t="s">
        <v>251</v>
      </c>
      <c r="F674" s="502">
        <v>4166.67</v>
      </c>
    </row>
    <row r="675" spans="1:6" x14ac:dyDescent="0.25">
      <c r="A675" s="308">
        <v>43312</v>
      </c>
      <c r="B675" s="24" t="s">
        <v>484</v>
      </c>
      <c r="C675" s="24" t="s">
        <v>487</v>
      </c>
      <c r="D675" s="136" t="str">
        <f t="array" ref="D675">IF(E675=0,0,(INDEX(AccountCodes[ACCOUNT NAME],MATCH(E675,AccountCodes[NGAS CODE],0))))</f>
        <v>Repairs and Maintenance-Buildings and Other Structures - Buildings</v>
      </c>
      <c r="E675" s="309" t="s">
        <v>251</v>
      </c>
      <c r="F675" s="502">
        <v>4166.67</v>
      </c>
    </row>
    <row r="676" spans="1:6" x14ac:dyDescent="0.25">
      <c r="A676" s="308">
        <v>43343</v>
      </c>
      <c r="B676" s="24" t="s">
        <v>484</v>
      </c>
      <c r="C676" s="24" t="s">
        <v>487</v>
      </c>
      <c r="D676" s="136" t="str">
        <f t="array" ref="D676">IF(E676=0,0,(INDEX(AccountCodes[ACCOUNT NAME],MATCH(E676,AccountCodes[NGAS CODE],0))))</f>
        <v>Repairs and Maintenance-Buildings and Other Structures - Buildings</v>
      </c>
      <c r="E676" s="309" t="s">
        <v>251</v>
      </c>
      <c r="F676" s="502">
        <v>4166.67</v>
      </c>
    </row>
    <row r="677" spans="1:6" x14ac:dyDescent="0.25">
      <c r="A677" s="308">
        <v>43373</v>
      </c>
      <c r="B677" s="24" t="s">
        <v>484</v>
      </c>
      <c r="C677" s="24" t="s">
        <v>487</v>
      </c>
      <c r="D677" s="136" t="str">
        <f t="array" ref="D677">IF(E677=0,0,(INDEX(AccountCodes[ACCOUNT NAME],MATCH(E677,AccountCodes[NGAS CODE],0))))</f>
        <v>Repairs and Maintenance-Buildings and Other Structures - Buildings</v>
      </c>
      <c r="E677" s="309" t="s">
        <v>251</v>
      </c>
      <c r="F677" s="502">
        <v>4166.67</v>
      </c>
    </row>
    <row r="678" spans="1:6" x14ac:dyDescent="0.25">
      <c r="A678" s="308">
        <v>43404</v>
      </c>
      <c r="B678" s="24" t="s">
        <v>484</v>
      </c>
      <c r="C678" s="24" t="s">
        <v>487</v>
      </c>
      <c r="D678" s="136" t="str">
        <f t="array" ref="D678">IF(E678=0,0,(INDEX(AccountCodes[ACCOUNT NAME],MATCH(E678,AccountCodes[NGAS CODE],0))))</f>
        <v>Repairs and Maintenance-Buildings and Other Structures - Buildings</v>
      </c>
      <c r="E678" s="309" t="s">
        <v>251</v>
      </c>
      <c r="F678" s="502">
        <v>4166.67</v>
      </c>
    </row>
    <row r="679" spans="1:6" x14ac:dyDescent="0.25">
      <c r="A679" s="308">
        <v>43434</v>
      </c>
      <c r="B679" s="24" t="s">
        <v>484</v>
      </c>
      <c r="C679" s="24" t="s">
        <v>487</v>
      </c>
      <c r="D679" s="136" t="str">
        <f t="array" ref="D679">IF(E679=0,0,(INDEX(AccountCodes[ACCOUNT NAME],MATCH(E679,AccountCodes[NGAS CODE],0))))</f>
        <v>Repairs and Maintenance-Buildings and Other Structures - Buildings</v>
      </c>
      <c r="E679" s="309" t="s">
        <v>251</v>
      </c>
      <c r="F679" s="502">
        <v>4166.67</v>
      </c>
    </row>
    <row r="680" spans="1:6" x14ac:dyDescent="0.25">
      <c r="A680" s="308">
        <v>43465</v>
      </c>
      <c r="B680" s="24" t="s">
        <v>484</v>
      </c>
      <c r="C680" s="24" t="s">
        <v>487</v>
      </c>
      <c r="D680" s="136" t="str">
        <f t="array" ref="D680">IF(E680=0,0,(INDEX(AccountCodes[ACCOUNT NAME],MATCH(E680,AccountCodes[NGAS CODE],0))))</f>
        <v>Repairs and Maintenance-Buildings and Other Structures - Buildings</v>
      </c>
      <c r="E680" s="309" t="s">
        <v>251</v>
      </c>
      <c r="F680" s="502">
        <v>4166.67</v>
      </c>
    </row>
    <row r="681" spans="1:6" x14ac:dyDescent="0.25">
      <c r="A681" s="308">
        <v>43131</v>
      </c>
      <c r="B681" s="24" t="s">
        <v>484</v>
      </c>
      <c r="C681" s="24" t="s">
        <v>487</v>
      </c>
      <c r="D681" s="136" t="str">
        <f t="array" ref="D681">IF(E681=0,0,(INDEX(AccountCodes[ACCOUNT NAME],MATCH(E681,AccountCodes[NGAS CODE],0))))</f>
        <v>Other Maintenance and Operating Expenses (Irrigator's Share/Remuneration/Subsidy)</v>
      </c>
      <c r="E681" s="309" t="s">
        <v>333</v>
      </c>
      <c r="F681" s="502">
        <v>684860</v>
      </c>
    </row>
    <row r="682" spans="1:6" x14ac:dyDescent="0.25">
      <c r="A682" s="308">
        <v>43159</v>
      </c>
      <c r="B682" s="24" t="s">
        <v>484</v>
      </c>
      <c r="C682" s="24" t="s">
        <v>487</v>
      </c>
      <c r="D682" s="136" t="str">
        <f t="array" ref="D682">IF(E682=0,0,(INDEX(AccountCodes[ACCOUNT NAME],MATCH(E682,AccountCodes[NGAS CODE],0))))</f>
        <v>Other Maintenance and Operating Expenses (Irrigator's Share/Remuneration/Subsidy)</v>
      </c>
      <c r="E682" s="309" t="s">
        <v>333</v>
      </c>
      <c r="F682" s="502">
        <v>616440</v>
      </c>
    </row>
    <row r="683" spans="1:6" x14ac:dyDescent="0.25">
      <c r="A683" s="308">
        <v>43190</v>
      </c>
      <c r="B683" s="24" t="s">
        <v>484</v>
      </c>
      <c r="C683" s="24" t="s">
        <v>487</v>
      </c>
      <c r="D683" s="136" t="str">
        <f t="array" ref="D683">IF(E683=0,0,(INDEX(AccountCodes[ACCOUNT NAME],MATCH(E683,AccountCodes[NGAS CODE],0))))</f>
        <v>Other Maintenance and Operating Expenses (Irrigator's Share/Remuneration/Subsidy)</v>
      </c>
      <c r="E683" s="309" t="s">
        <v>333</v>
      </c>
      <c r="F683" s="502">
        <v>684860</v>
      </c>
    </row>
    <row r="684" spans="1:6" x14ac:dyDescent="0.25">
      <c r="A684" s="308">
        <v>43220</v>
      </c>
      <c r="B684" s="24" t="s">
        <v>484</v>
      </c>
      <c r="C684" s="24" t="s">
        <v>487</v>
      </c>
      <c r="D684" s="136" t="str">
        <f t="array" ref="D684">IF(E684=0,0,(INDEX(AccountCodes[ACCOUNT NAME],MATCH(E684,AccountCodes[NGAS CODE],0))))</f>
        <v>Other Maintenance and Operating Expenses (Irrigator's Share/Remuneration/Subsidy)</v>
      </c>
      <c r="E684" s="309" t="s">
        <v>333</v>
      </c>
      <c r="F684" s="502">
        <v>753280</v>
      </c>
    </row>
    <row r="685" spans="1:6" x14ac:dyDescent="0.25">
      <c r="A685" s="308">
        <v>43251</v>
      </c>
      <c r="B685" s="24" t="s">
        <v>484</v>
      </c>
      <c r="C685" s="24" t="s">
        <v>487</v>
      </c>
      <c r="D685" s="136" t="str">
        <f t="array" ref="D685">IF(E685=0,0,(INDEX(AccountCodes[ACCOUNT NAME],MATCH(E685,AccountCodes[NGAS CODE],0))))</f>
        <v>Other Maintenance and Operating Expenses (Irrigator's Share/Remuneration/Subsidy)</v>
      </c>
      <c r="E685" s="309" t="s">
        <v>333</v>
      </c>
      <c r="F685" s="502">
        <v>821700</v>
      </c>
    </row>
    <row r="686" spans="1:6" x14ac:dyDescent="0.25">
      <c r="A686" s="308">
        <v>43281</v>
      </c>
      <c r="B686" s="24" t="s">
        <v>484</v>
      </c>
      <c r="C686" s="24" t="s">
        <v>487</v>
      </c>
      <c r="D686" s="136" t="str">
        <f t="array" ref="D686">IF(E686=0,0,(INDEX(AccountCodes[ACCOUNT NAME],MATCH(E686,AccountCodes[NGAS CODE],0))))</f>
        <v>Other Maintenance and Operating Expenses (Irrigator's Share/Remuneration/Subsidy)</v>
      </c>
      <c r="E686" s="309" t="s">
        <v>333</v>
      </c>
      <c r="F686" s="502">
        <v>1300640</v>
      </c>
    </row>
    <row r="687" spans="1:6" x14ac:dyDescent="0.25">
      <c r="A687" s="308">
        <v>43312</v>
      </c>
      <c r="B687" s="24" t="s">
        <v>484</v>
      </c>
      <c r="C687" s="24" t="s">
        <v>487</v>
      </c>
      <c r="D687" s="136" t="str">
        <f t="array" ref="D687">IF(E687=0,0,(INDEX(AccountCodes[ACCOUNT NAME],MATCH(E687,AccountCodes[NGAS CODE],0))))</f>
        <v>Other Maintenance and Operating Expenses (Irrigator's Share/Remuneration/Subsidy)</v>
      </c>
      <c r="E687" s="309" t="s">
        <v>333</v>
      </c>
      <c r="F687" s="502">
        <v>1163800</v>
      </c>
    </row>
    <row r="688" spans="1:6" x14ac:dyDescent="0.25">
      <c r="A688" s="308">
        <v>43343</v>
      </c>
      <c r="B688" s="24" t="s">
        <v>484</v>
      </c>
      <c r="C688" s="24" t="s">
        <v>487</v>
      </c>
      <c r="D688" s="136" t="str">
        <f t="array" ref="D688">IF(E688=0,0,(INDEX(AccountCodes[ACCOUNT NAME],MATCH(E688,AccountCodes[NGAS CODE],0))))</f>
        <v>Other Maintenance and Operating Expenses (Irrigator's Share/Remuneration/Subsidy)</v>
      </c>
      <c r="E688" s="309" t="s">
        <v>333</v>
      </c>
      <c r="F688" s="502">
        <v>890120</v>
      </c>
    </row>
    <row r="689" spans="1:6" x14ac:dyDescent="0.25">
      <c r="A689" s="308">
        <v>43373</v>
      </c>
      <c r="B689" s="24" t="s">
        <v>484</v>
      </c>
      <c r="C689" s="24" t="s">
        <v>487</v>
      </c>
      <c r="D689" s="136" t="str">
        <f t="array" ref="D689">IF(E689=0,0,(INDEX(AccountCodes[ACCOUNT NAME],MATCH(E689,AccountCodes[NGAS CODE],0))))</f>
        <v>Other Maintenance and Operating Expenses (Irrigator's Share/Remuneration/Subsidy)</v>
      </c>
      <c r="E689" s="309" t="s">
        <v>333</v>
      </c>
      <c r="F689" s="502">
        <v>137500</v>
      </c>
    </row>
    <row r="690" spans="1:6" x14ac:dyDescent="0.25">
      <c r="A690" s="308">
        <v>43404</v>
      </c>
      <c r="B690" s="24" t="s">
        <v>484</v>
      </c>
      <c r="C690" s="24" t="s">
        <v>487</v>
      </c>
      <c r="D690" s="136" t="str">
        <f t="array" ref="D690">IF(E690=0,0,(INDEX(AccountCodes[ACCOUNT NAME],MATCH(E690,AccountCodes[NGAS CODE],0))))</f>
        <v>Other Maintenance and Operating Expenses (Irrigator's Share/Remuneration/Subsidy)</v>
      </c>
      <c r="E690" s="309" t="s">
        <v>333</v>
      </c>
      <c r="F690" s="502">
        <v>342760</v>
      </c>
    </row>
    <row r="691" spans="1:6" x14ac:dyDescent="0.25">
      <c r="A691" s="308">
        <v>43434</v>
      </c>
      <c r="B691" s="24" t="s">
        <v>484</v>
      </c>
      <c r="C691" s="24" t="s">
        <v>487</v>
      </c>
      <c r="D691" s="136" t="str">
        <f t="array" ref="D691">IF(E691=0,0,(INDEX(AccountCodes[ACCOUNT NAME],MATCH(E691,AccountCodes[NGAS CODE],0))))</f>
        <v>Other Maintenance and Operating Expenses (Irrigator's Share/Remuneration/Subsidy)</v>
      </c>
      <c r="E691" s="309" t="s">
        <v>333</v>
      </c>
      <c r="F691" s="502">
        <v>616440</v>
      </c>
    </row>
    <row r="692" spans="1:6" x14ac:dyDescent="0.25">
      <c r="A692" s="308">
        <v>43465</v>
      </c>
      <c r="B692" s="24" t="s">
        <v>484</v>
      </c>
      <c r="C692" s="24" t="s">
        <v>487</v>
      </c>
      <c r="D692" s="136" t="str">
        <f t="array" ref="D692">IF(E692=0,0,(INDEX(AccountCodes[ACCOUNT NAME],MATCH(E692,AccountCodes[NGAS CODE],0))))</f>
        <v>Other Maintenance and Operating Expenses (Irrigator's Share/Remuneration/Subsidy)</v>
      </c>
      <c r="E692" s="309" t="s">
        <v>333</v>
      </c>
      <c r="F692" s="502">
        <v>479600</v>
      </c>
    </row>
    <row r="693" spans="1:6" x14ac:dyDescent="0.25">
      <c r="A693" s="308">
        <v>43131</v>
      </c>
      <c r="B693" s="24" t="s">
        <v>484</v>
      </c>
      <c r="C693" s="24" t="s">
        <v>487</v>
      </c>
      <c r="D693" s="136" t="str">
        <f t="array" ref="D693">IF(E693=0,0,(INDEX(AccountCodes[ACCOUNT NAME],MATCH(E693,AccountCodes[NGAS CODE],0))))</f>
        <v>Other Maintenance and Operating Expenses (Power Cost for Pumps)</v>
      </c>
      <c r="E693" s="309" t="s">
        <v>991</v>
      </c>
      <c r="F693" s="502">
        <v>1250000</v>
      </c>
    </row>
    <row r="694" spans="1:6" x14ac:dyDescent="0.25">
      <c r="A694" s="308">
        <v>43159</v>
      </c>
      <c r="B694" s="24" t="s">
        <v>484</v>
      </c>
      <c r="C694" s="24" t="s">
        <v>487</v>
      </c>
      <c r="D694" s="136" t="str">
        <f t="array" ref="D694">IF(E694=0,0,(INDEX(AccountCodes[ACCOUNT NAME],MATCH(E694,AccountCodes[NGAS CODE],0))))</f>
        <v>Other Maintenance and Operating Expenses (Power Cost for Pumps)</v>
      </c>
      <c r="E694" s="309" t="s">
        <v>991</v>
      </c>
      <c r="F694" s="502">
        <v>1250000</v>
      </c>
    </row>
    <row r="695" spans="1:6" x14ac:dyDescent="0.25">
      <c r="A695" s="308">
        <v>43190</v>
      </c>
      <c r="B695" s="24" t="s">
        <v>484</v>
      </c>
      <c r="C695" s="24" t="s">
        <v>487</v>
      </c>
      <c r="D695" s="136" t="str">
        <f t="array" ref="D695">IF(E695=0,0,(INDEX(AccountCodes[ACCOUNT NAME],MATCH(E695,AccountCodes[NGAS CODE],0))))</f>
        <v>Other Maintenance and Operating Expenses (Power Cost for Pumps)</v>
      </c>
      <c r="E695" s="309" t="s">
        <v>991</v>
      </c>
      <c r="F695" s="502">
        <v>1250000</v>
      </c>
    </row>
    <row r="696" spans="1:6" x14ac:dyDescent="0.25">
      <c r="A696" s="308">
        <v>43220</v>
      </c>
      <c r="B696" s="24" t="s">
        <v>484</v>
      </c>
      <c r="C696" s="24" t="s">
        <v>487</v>
      </c>
      <c r="D696" s="136" t="str">
        <f t="array" ref="D696">IF(E696=0,0,(INDEX(AccountCodes[ACCOUNT NAME],MATCH(E696,AccountCodes[NGAS CODE],0))))</f>
        <v>Other Maintenance and Operating Expenses (Power Cost for Pumps)</v>
      </c>
      <c r="E696" s="309" t="s">
        <v>991</v>
      </c>
      <c r="F696" s="502">
        <v>1250000</v>
      </c>
    </row>
    <row r="697" spans="1:6" x14ac:dyDescent="0.25">
      <c r="A697" s="308">
        <v>43251</v>
      </c>
      <c r="B697" s="24" t="s">
        <v>484</v>
      </c>
      <c r="C697" s="24" t="s">
        <v>487</v>
      </c>
      <c r="D697" s="136" t="str">
        <f t="array" ref="D697">IF(E697=0,0,(INDEX(AccountCodes[ACCOUNT NAME],MATCH(E697,AccountCodes[NGAS CODE],0))))</f>
        <v>Other Maintenance and Operating Expenses (Power Cost for Pumps)</v>
      </c>
      <c r="E697" s="309" t="s">
        <v>991</v>
      </c>
      <c r="F697" s="502">
        <v>1250000</v>
      </c>
    </row>
    <row r="698" spans="1:6" x14ac:dyDescent="0.25">
      <c r="A698" s="308">
        <v>43281</v>
      </c>
      <c r="B698" s="24" t="s">
        <v>484</v>
      </c>
      <c r="C698" s="24" t="s">
        <v>487</v>
      </c>
      <c r="D698" s="136" t="str">
        <f t="array" ref="D698">IF(E698=0,0,(INDEX(AccountCodes[ACCOUNT NAME],MATCH(E698,AccountCodes[NGAS CODE],0))))</f>
        <v>Other Maintenance and Operating Expenses (Power Cost for Pumps)</v>
      </c>
      <c r="E698" s="309" t="s">
        <v>991</v>
      </c>
      <c r="F698" s="502">
        <v>1250000</v>
      </c>
    </row>
    <row r="699" spans="1:6" x14ac:dyDescent="0.25">
      <c r="A699" s="308">
        <v>43312</v>
      </c>
      <c r="B699" s="24" t="s">
        <v>484</v>
      </c>
      <c r="C699" s="24" t="s">
        <v>487</v>
      </c>
      <c r="D699" s="136" t="str">
        <f t="array" ref="D699">IF(E699=0,0,(INDEX(AccountCodes[ACCOUNT NAME],MATCH(E699,AccountCodes[NGAS CODE],0))))</f>
        <v>Other Maintenance and Operating Expenses (Power Cost for Pumps)</v>
      </c>
      <c r="E699" s="309" t="s">
        <v>991</v>
      </c>
      <c r="F699" s="502">
        <v>1250000</v>
      </c>
    </row>
    <row r="700" spans="1:6" x14ac:dyDescent="0.25">
      <c r="A700" s="308">
        <v>43343</v>
      </c>
      <c r="B700" s="24" t="s">
        <v>484</v>
      </c>
      <c r="C700" s="24" t="s">
        <v>487</v>
      </c>
      <c r="D700" s="136" t="str">
        <f t="array" ref="D700">IF(E700=0,0,(INDEX(AccountCodes[ACCOUNT NAME],MATCH(E700,AccountCodes[NGAS CODE],0))))</f>
        <v>Other Maintenance and Operating Expenses (Power Cost for Pumps)</v>
      </c>
      <c r="E700" s="309" t="s">
        <v>991</v>
      </c>
      <c r="F700" s="502">
        <v>1250000</v>
      </c>
    </row>
    <row r="701" spans="1:6" x14ac:dyDescent="0.25">
      <c r="A701" s="308">
        <v>43373</v>
      </c>
      <c r="B701" s="24" t="s">
        <v>484</v>
      </c>
      <c r="C701" s="24" t="s">
        <v>487</v>
      </c>
      <c r="D701" s="136" t="str">
        <f t="array" ref="D701">IF(E701=0,0,(INDEX(AccountCodes[ACCOUNT NAME],MATCH(E701,AccountCodes[NGAS CODE],0))))</f>
        <v>Other Maintenance and Operating Expenses (Power Cost for Pumps)</v>
      </c>
      <c r="E701" s="309" t="s">
        <v>991</v>
      </c>
      <c r="F701" s="502">
        <v>1250000</v>
      </c>
    </row>
    <row r="702" spans="1:6" x14ac:dyDescent="0.25">
      <c r="A702" s="308">
        <v>43404</v>
      </c>
      <c r="B702" s="24" t="s">
        <v>484</v>
      </c>
      <c r="C702" s="24" t="s">
        <v>487</v>
      </c>
      <c r="D702" s="136" t="str">
        <f t="array" ref="D702">IF(E702=0,0,(INDEX(AccountCodes[ACCOUNT NAME],MATCH(E702,AccountCodes[NGAS CODE],0))))</f>
        <v>Other Maintenance and Operating Expenses (Power Cost for Pumps)</v>
      </c>
      <c r="E702" s="309" t="s">
        <v>991</v>
      </c>
      <c r="F702" s="502">
        <v>1250000</v>
      </c>
    </row>
    <row r="703" spans="1:6" x14ac:dyDescent="0.25">
      <c r="A703" s="308">
        <v>43434</v>
      </c>
      <c r="B703" s="24" t="s">
        <v>484</v>
      </c>
      <c r="C703" s="24" t="s">
        <v>487</v>
      </c>
      <c r="D703" s="136" t="str">
        <f t="array" ref="D703">IF(E703=0,0,(INDEX(AccountCodes[ACCOUNT NAME],MATCH(E703,AccountCodes[NGAS CODE],0))))</f>
        <v>Other Maintenance and Operating Expenses (Power Cost for Pumps)</v>
      </c>
      <c r="E703" s="309" t="s">
        <v>991</v>
      </c>
      <c r="F703" s="502">
        <v>1250000</v>
      </c>
    </row>
    <row r="704" spans="1:6" x14ac:dyDescent="0.25">
      <c r="A704" s="308">
        <v>43465</v>
      </c>
      <c r="B704" s="24" t="s">
        <v>484</v>
      </c>
      <c r="C704" s="24" t="s">
        <v>487</v>
      </c>
      <c r="D704" s="136" t="str">
        <f t="array" ref="D704">IF(E704=0,0,(INDEX(AccountCodes[ACCOUNT NAME],MATCH(E704,AccountCodes[NGAS CODE],0))))</f>
        <v>Other Maintenance and Operating Expenses (Power Cost for Pumps)</v>
      </c>
      <c r="E704" s="309" t="s">
        <v>991</v>
      </c>
      <c r="F704" s="502">
        <v>1250000</v>
      </c>
    </row>
    <row r="705" spans="1:6" x14ac:dyDescent="0.25">
      <c r="A705" s="308">
        <v>43190</v>
      </c>
      <c r="B705" s="24" t="s">
        <v>484</v>
      </c>
      <c r="C705" s="24" t="s">
        <v>487</v>
      </c>
      <c r="D705" s="136" t="str">
        <f t="array" ref="D705">IF(E705=0,0,(INDEX(AccountCodes[ACCOUNT NAME],MATCH(E705,AccountCodes[NGAS CODE],0))))</f>
        <v>Repairs and Maintenance-Infrastructure Assets - Other Infrastructure Assets (Irrigation Canal &amp; Laterals)</v>
      </c>
      <c r="E705" s="309" t="s">
        <v>267</v>
      </c>
      <c r="F705" s="502">
        <v>1000000</v>
      </c>
    </row>
    <row r="706" spans="1:6" x14ac:dyDescent="0.25">
      <c r="A706" s="308">
        <v>43281</v>
      </c>
      <c r="B706" s="24" t="s">
        <v>484</v>
      </c>
      <c r="C706" s="24" t="s">
        <v>487</v>
      </c>
      <c r="D706" s="136" t="str">
        <f t="array" ref="D706">IF(E706=0,0,(INDEX(AccountCodes[ACCOUNT NAME],MATCH(E706,AccountCodes[NGAS CODE],0))))</f>
        <v>Repairs and Maintenance-Infrastructure Assets - Other Infrastructure Assets (Irrigation Canal &amp; Laterals)</v>
      </c>
      <c r="E706" s="309" t="s">
        <v>267</v>
      </c>
      <c r="F706" s="502">
        <v>1000000</v>
      </c>
    </row>
    <row r="707" spans="1:6" x14ac:dyDescent="0.25">
      <c r="A707" s="308">
        <v>43373</v>
      </c>
      <c r="B707" s="24" t="s">
        <v>484</v>
      </c>
      <c r="C707" s="24" t="s">
        <v>487</v>
      </c>
      <c r="D707" s="136" t="str">
        <f t="array" ref="D707">IF(E707=0,0,(INDEX(AccountCodes[ACCOUNT NAME],MATCH(E707,AccountCodes[NGAS CODE],0))))</f>
        <v>Repairs and Maintenance-Infrastructure Assets - Other Infrastructure Assets (Irrigation Canal &amp; Laterals)</v>
      </c>
      <c r="E707" s="309" t="s">
        <v>267</v>
      </c>
      <c r="F707" s="502">
        <v>1000000</v>
      </c>
    </row>
    <row r="708" spans="1:6" x14ac:dyDescent="0.25">
      <c r="A708" s="308">
        <v>43465</v>
      </c>
      <c r="B708" s="24" t="s">
        <v>484</v>
      </c>
      <c r="C708" s="24" t="s">
        <v>487</v>
      </c>
      <c r="D708" s="136" t="str">
        <f t="array" ref="D708">IF(E708=0,0,(INDEX(AccountCodes[ACCOUNT NAME],MATCH(E708,AccountCodes[NGAS CODE],0))))</f>
        <v>Repairs and Maintenance-Infrastructure Assets - Other Infrastructure Assets (Irrigation Canal &amp; Laterals)</v>
      </c>
      <c r="E708" s="309" t="s">
        <v>267</v>
      </c>
      <c r="F708" s="502">
        <v>1000000</v>
      </c>
    </row>
    <row r="709" spans="1:6" x14ac:dyDescent="0.25">
      <c r="A709" s="308">
        <v>43465</v>
      </c>
      <c r="B709" s="24" t="s">
        <v>484</v>
      </c>
      <c r="C709" s="24" t="s">
        <v>487</v>
      </c>
      <c r="D709" s="136" t="str">
        <f t="array" ref="D709">IF(E709=0,0,(INDEX(AccountCodes[ACCOUNT NAME],MATCH(E709,AccountCodes[NGAS CODE],0))))</f>
        <v>Repairs and Maintenance-Buildings and Other Structures - Buildings</v>
      </c>
      <c r="E709" s="24" t="s">
        <v>251</v>
      </c>
      <c r="F709" s="502">
        <v>625000</v>
      </c>
    </row>
    <row r="710" spans="1:6" x14ac:dyDescent="0.25">
      <c r="A710" s="308">
        <v>43465</v>
      </c>
      <c r="B710" s="24" t="s">
        <v>484</v>
      </c>
      <c r="C710" s="24" t="s">
        <v>487</v>
      </c>
      <c r="D710" s="136" t="str">
        <f t="array" ref="D710">IF(E710=0,0,(INDEX(AccountCodes[ACCOUNT NAME],MATCH(E710,AccountCodes[NGAS CODE],0))))</f>
        <v>Repairs and Maintenance-Buildings and Other Structures - Buildings</v>
      </c>
      <c r="E710" s="24" t="s">
        <v>251</v>
      </c>
      <c r="F710" s="502">
        <v>625000</v>
      </c>
    </row>
    <row r="711" spans="1:6" x14ac:dyDescent="0.25">
      <c r="A711" s="308">
        <v>43465</v>
      </c>
      <c r="B711" s="24" t="s">
        <v>484</v>
      </c>
      <c r="C711" s="24" t="s">
        <v>487</v>
      </c>
      <c r="D711" s="136" t="str">
        <f t="array" ref="D711">IF(E711=0,0,(INDEX(AccountCodes[ACCOUNT NAME],MATCH(E711,AccountCodes[NGAS CODE],0))))</f>
        <v>Repairs and Maintenance-Buildings and Other Structures - Buildings</v>
      </c>
      <c r="E711" s="24" t="s">
        <v>251</v>
      </c>
      <c r="F711" s="502">
        <v>625000</v>
      </c>
    </row>
    <row r="712" spans="1:6" x14ac:dyDescent="0.25">
      <c r="A712" s="308">
        <v>43465</v>
      </c>
      <c r="B712" s="24" t="s">
        <v>484</v>
      </c>
      <c r="C712" s="24" t="s">
        <v>487</v>
      </c>
      <c r="D712" s="136" t="str">
        <f t="array" ref="D712">IF(E712=0,0,(INDEX(AccountCodes[ACCOUNT NAME],MATCH(E712,AccountCodes[NGAS CODE],0))))</f>
        <v>Repairs and Maintenance-Buildings and Other Structures - Buildings</v>
      </c>
      <c r="E712" s="24" t="s">
        <v>251</v>
      </c>
      <c r="F712" s="502">
        <v>625000</v>
      </c>
    </row>
    <row r="713" spans="1:6" x14ac:dyDescent="0.25">
      <c r="A713" s="308"/>
      <c r="D713" s="136">
        <f t="array" ref="D713">IF(E713=0,0,(INDEX(AccountCodes[ACCOUNT NAME],MATCH(E713,AccountCodes[NGAS CODE],0))))</f>
        <v>0</v>
      </c>
      <c r="E713" s="309"/>
      <c r="F713" s="502"/>
    </row>
    <row r="714" spans="1:6" x14ac:dyDescent="0.25">
      <c r="A714" s="308">
        <v>43159</v>
      </c>
      <c r="B714" s="24" t="s">
        <v>484</v>
      </c>
      <c r="C714" s="24" t="s">
        <v>488</v>
      </c>
      <c r="D714" s="136" t="str">
        <f t="array" ref="D714">IF(E714=0,0,(INDEX(AccountCodes[ACCOUNT NAME],MATCH(E714,AccountCodes[NGAS CODE],0))))</f>
        <v>Other Service Income - Irrigation Service Fee (Back Account)</v>
      </c>
      <c r="E714" s="309" t="s">
        <v>126</v>
      </c>
      <c r="F714" s="502">
        <v>40000</v>
      </c>
    </row>
    <row r="715" spans="1:6" x14ac:dyDescent="0.25">
      <c r="A715" s="308">
        <v>43190</v>
      </c>
      <c r="B715" s="24" t="s">
        <v>484</v>
      </c>
      <c r="C715" s="24" t="s">
        <v>488</v>
      </c>
      <c r="D715" s="136" t="str">
        <f t="array" ref="D715">IF(E715=0,0,(INDEX(AccountCodes[ACCOUNT NAME],MATCH(E715,AccountCodes[NGAS CODE],0))))</f>
        <v>Other Service Income - Irrigation Service Fee (Back Account)</v>
      </c>
      <c r="E715" s="309" t="s">
        <v>126</v>
      </c>
      <c r="F715" s="502">
        <v>40000</v>
      </c>
    </row>
    <row r="716" spans="1:6" x14ac:dyDescent="0.25">
      <c r="A716" s="308">
        <v>43220</v>
      </c>
      <c r="B716" s="24" t="s">
        <v>484</v>
      </c>
      <c r="C716" s="24" t="s">
        <v>488</v>
      </c>
      <c r="D716" s="136" t="str">
        <f t="array" ref="D716">IF(E716=0,0,(INDEX(AccountCodes[ACCOUNT NAME],MATCH(E716,AccountCodes[NGAS CODE],0))))</f>
        <v>Other Service Income - Irrigation Service Fee (Back Account)</v>
      </c>
      <c r="E716" s="309" t="s">
        <v>126</v>
      </c>
      <c r="F716" s="502">
        <v>40000</v>
      </c>
    </row>
    <row r="717" spans="1:6" x14ac:dyDescent="0.25">
      <c r="A717" s="308">
        <v>43251</v>
      </c>
      <c r="B717" s="24" t="s">
        <v>484</v>
      </c>
      <c r="C717" s="24" t="s">
        <v>488</v>
      </c>
      <c r="D717" s="136" t="str">
        <f t="array" ref="D717">IF(E717=0,0,(INDEX(AccountCodes[ACCOUNT NAME],MATCH(E717,AccountCodes[NGAS CODE],0))))</f>
        <v>Other Service Income - Irrigation Service Fee (Back Account)</v>
      </c>
      <c r="E717" s="309" t="s">
        <v>126</v>
      </c>
      <c r="F717" s="502">
        <v>40000</v>
      </c>
    </row>
    <row r="718" spans="1:6" x14ac:dyDescent="0.25">
      <c r="A718" s="308">
        <v>43281</v>
      </c>
      <c r="B718" s="24" t="s">
        <v>484</v>
      </c>
      <c r="C718" s="24" t="s">
        <v>488</v>
      </c>
      <c r="D718" s="136" t="str">
        <f t="array" ref="D718">IF(E718=0,0,(INDEX(AccountCodes[ACCOUNT NAME],MATCH(E718,AccountCodes[NGAS CODE],0))))</f>
        <v>Other Service Income - Irrigation Service Fee (Back Account)</v>
      </c>
      <c r="E718" s="309" t="s">
        <v>126</v>
      </c>
      <c r="F718" s="502">
        <v>40000</v>
      </c>
    </row>
    <row r="719" spans="1:6" x14ac:dyDescent="0.25">
      <c r="A719" s="308">
        <v>43312</v>
      </c>
      <c r="B719" s="24" t="s">
        <v>484</v>
      </c>
      <c r="C719" s="24" t="s">
        <v>488</v>
      </c>
      <c r="D719" s="136" t="str">
        <f t="array" ref="D719">IF(E719=0,0,(INDEX(AccountCodes[ACCOUNT NAME],MATCH(E719,AccountCodes[NGAS CODE],0))))</f>
        <v>Other Service Income - Irrigation Service Fee (Back Account)</v>
      </c>
      <c r="E719" s="309" t="s">
        <v>126</v>
      </c>
      <c r="F719" s="502">
        <v>40000</v>
      </c>
    </row>
    <row r="720" spans="1:6" x14ac:dyDescent="0.25">
      <c r="A720" s="308">
        <v>43343</v>
      </c>
      <c r="B720" s="24" t="s">
        <v>484</v>
      </c>
      <c r="C720" s="24" t="s">
        <v>488</v>
      </c>
      <c r="D720" s="136" t="str">
        <f t="array" ref="D720">IF(E720=0,0,(INDEX(AccountCodes[ACCOUNT NAME],MATCH(E720,AccountCodes[NGAS CODE],0))))</f>
        <v>Other Service Income - Irrigation Service Fee (Back Account)</v>
      </c>
      <c r="E720" s="309" t="s">
        <v>126</v>
      </c>
      <c r="F720" s="502">
        <v>40000</v>
      </c>
    </row>
    <row r="721" spans="1:6" x14ac:dyDescent="0.25">
      <c r="A721" s="308">
        <v>43404</v>
      </c>
      <c r="B721" s="24" t="s">
        <v>484</v>
      </c>
      <c r="C721" s="24" t="s">
        <v>488</v>
      </c>
      <c r="D721" s="136" t="str">
        <f t="array" ref="D721">IF(E721=0,0,(INDEX(AccountCodes[ACCOUNT NAME],MATCH(E721,AccountCodes[NGAS CODE],0))))</f>
        <v>Other Service Income - Irrigation Service Fee (Back Account)</v>
      </c>
      <c r="E721" s="309" t="s">
        <v>126</v>
      </c>
      <c r="F721" s="502">
        <v>40000</v>
      </c>
    </row>
    <row r="722" spans="1:6" x14ac:dyDescent="0.25">
      <c r="A722" s="308">
        <v>43434</v>
      </c>
      <c r="B722" s="24" t="s">
        <v>484</v>
      </c>
      <c r="C722" s="24" t="s">
        <v>488</v>
      </c>
      <c r="D722" s="136" t="str">
        <f t="array" ref="D722">IF(E722=0,0,(INDEX(AccountCodes[ACCOUNT NAME],MATCH(E722,AccountCodes[NGAS CODE],0))))</f>
        <v>Other Service Income - Irrigation Service Fee (Back Account)</v>
      </c>
      <c r="E722" s="309" t="s">
        <v>126</v>
      </c>
      <c r="F722" s="502">
        <v>40000</v>
      </c>
    </row>
    <row r="723" spans="1:6" x14ac:dyDescent="0.25">
      <c r="A723" s="308">
        <v>43465</v>
      </c>
      <c r="B723" s="24" t="s">
        <v>484</v>
      </c>
      <c r="C723" s="24" t="s">
        <v>488</v>
      </c>
      <c r="D723" s="136" t="str">
        <f t="array" ref="D723">IF(E723=0,0,(INDEX(AccountCodes[ACCOUNT NAME],MATCH(E723,AccountCodes[NGAS CODE],0))))</f>
        <v>Other Service Income - Irrigation Service Fee (Back Account)</v>
      </c>
      <c r="E723" s="309" t="s">
        <v>126</v>
      </c>
      <c r="F723" s="502">
        <v>40000</v>
      </c>
    </row>
    <row r="724" spans="1:6" x14ac:dyDescent="0.25">
      <c r="A724" s="308">
        <v>43220</v>
      </c>
      <c r="B724" s="24" t="s">
        <v>484</v>
      </c>
      <c r="C724" s="24" t="s">
        <v>488</v>
      </c>
      <c r="D724" s="136" t="str">
        <f t="array" ref="D724">IF(E724=0,0,(INDEX(AccountCodes[ACCOUNT NAME],MATCH(E724,AccountCodes[NGAS CODE],0))))</f>
        <v>Other Service Income - CIS Amortization (Back Account)</v>
      </c>
      <c r="E724" s="309" t="s">
        <v>129</v>
      </c>
      <c r="F724" s="502">
        <v>379026.02</v>
      </c>
    </row>
    <row r="725" spans="1:6" x14ac:dyDescent="0.25">
      <c r="A725" s="308">
        <v>43312</v>
      </c>
      <c r="B725" s="24" t="s">
        <v>484</v>
      </c>
      <c r="C725" s="24" t="s">
        <v>488</v>
      </c>
      <c r="D725" s="136" t="str">
        <f t="array" ref="D725">IF(E725=0,0,(INDEX(AccountCodes[ACCOUNT NAME],MATCH(E725,AccountCodes[NGAS CODE],0))))</f>
        <v>Other Service Income - CIS Amortization (Back Account)</v>
      </c>
      <c r="E725" s="309" t="s">
        <v>129</v>
      </c>
      <c r="F725" s="502">
        <v>379026.02</v>
      </c>
    </row>
    <row r="726" spans="1:6" x14ac:dyDescent="0.25">
      <c r="A726" s="308">
        <v>43434</v>
      </c>
      <c r="B726" s="24" t="s">
        <v>484</v>
      </c>
      <c r="C726" s="24" t="s">
        <v>488</v>
      </c>
      <c r="D726" s="136" t="str">
        <f t="array" ref="D726">IF(E726=0,0,(INDEX(AccountCodes[ACCOUNT NAME],MATCH(E726,AccountCodes[NGAS CODE],0))))</f>
        <v>Other Service Income - CIS Amortization (Back Account)</v>
      </c>
      <c r="E726" s="309" t="s">
        <v>129</v>
      </c>
      <c r="F726" s="502">
        <v>379026.02</v>
      </c>
    </row>
    <row r="727" spans="1:6" x14ac:dyDescent="0.25">
      <c r="A727" s="308">
        <v>43220</v>
      </c>
      <c r="B727" s="24" t="s">
        <v>484</v>
      </c>
      <c r="C727" s="24" t="s">
        <v>488</v>
      </c>
      <c r="D727" s="136" t="str">
        <f t="array" ref="D727">IF(E727=0,0,(INDEX(AccountCodes[ACCOUNT NAME],MATCH(E727,AccountCodes[NGAS CODE],0))))</f>
        <v>Other Service Income - CIS Amortization (Current Account)</v>
      </c>
      <c r="E727" s="24" t="s">
        <v>128</v>
      </c>
      <c r="F727" s="502">
        <v>138000</v>
      </c>
    </row>
    <row r="728" spans="1:6" x14ac:dyDescent="0.25">
      <c r="A728" s="308">
        <v>43251</v>
      </c>
      <c r="B728" s="24" t="s">
        <v>484</v>
      </c>
      <c r="C728" s="24" t="s">
        <v>488</v>
      </c>
      <c r="D728" s="136" t="str">
        <f t="array" ref="D728">IF(E728=0,0,(INDEX(AccountCodes[ACCOUNT NAME],MATCH(E728,AccountCodes[NGAS CODE],0))))</f>
        <v>Other Service Income - CIS Amortization (Current Account)</v>
      </c>
      <c r="E728" s="24" t="s">
        <v>128</v>
      </c>
      <c r="F728" s="502">
        <v>171000</v>
      </c>
    </row>
    <row r="729" spans="1:6" x14ac:dyDescent="0.25">
      <c r="A729" s="308">
        <v>43281</v>
      </c>
      <c r="B729" s="24" t="s">
        <v>484</v>
      </c>
      <c r="C729" s="24" t="s">
        <v>488</v>
      </c>
      <c r="D729" s="136" t="str">
        <f t="array" ref="D729">IF(E729=0,0,(INDEX(AccountCodes[ACCOUNT NAME],MATCH(E729,AccountCodes[NGAS CODE],0))))</f>
        <v>Other Service Income - CIS Amortization (Current Account)</v>
      </c>
      <c r="E729" s="24" t="s">
        <v>128</v>
      </c>
      <c r="F729" s="502">
        <v>111000</v>
      </c>
    </row>
    <row r="730" spans="1:6" x14ac:dyDescent="0.25">
      <c r="A730" s="308">
        <v>43404</v>
      </c>
      <c r="B730" s="24" t="s">
        <v>484</v>
      </c>
      <c r="C730" s="24" t="s">
        <v>488</v>
      </c>
      <c r="D730" s="136" t="str">
        <f t="array" ref="D730">IF(E730=0,0,(INDEX(AccountCodes[ACCOUNT NAME],MATCH(E730,AccountCodes[NGAS CODE],0))))</f>
        <v>Other Service Income - CIS Amortization (Current Account)</v>
      </c>
      <c r="E730" s="24" t="s">
        <v>128</v>
      </c>
      <c r="F730" s="502">
        <v>55000</v>
      </c>
    </row>
    <row r="731" spans="1:6" x14ac:dyDescent="0.25">
      <c r="A731" s="308">
        <v>43434</v>
      </c>
      <c r="B731" s="24" t="s">
        <v>484</v>
      </c>
      <c r="C731" s="24" t="s">
        <v>488</v>
      </c>
      <c r="D731" s="136" t="str">
        <f t="array" ref="D731">IF(E731=0,0,(INDEX(AccountCodes[ACCOUNT NAME],MATCH(E731,AccountCodes[NGAS CODE],0))))</f>
        <v>Other Service Income - CIS Amortization (Current Account)</v>
      </c>
      <c r="E731" s="24" t="s">
        <v>128</v>
      </c>
      <c r="F731" s="502">
        <v>50000</v>
      </c>
    </row>
    <row r="732" spans="1:6" x14ac:dyDescent="0.25">
      <c r="A732" s="308">
        <v>43190</v>
      </c>
      <c r="B732" s="24" t="s">
        <v>484</v>
      </c>
      <c r="C732" s="24" t="s">
        <v>488</v>
      </c>
      <c r="D732" s="136" t="str">
        <f t="array" ref="D732">IF(E732=0,0,(INDEX(AccountCodes[ACCOUNT NAME],MATCH(E732,AccountCodes[NGAS CODE],0))))</f>
        <v>Miscellaneous Income (Others)</v>
      </c>
      <c r="E732" s="24" t="s">
        <v>160</v>
      </c>
      <c r="F732" s="502">
        <v>10000</v>
      </c>
    </row>
    <row r="733" spans="1:6" x14ac:dyDescent="0.25">
      <c r="A733" s="308">
        <v>43220</v>
      </c>
      <c r="B733" s="24" t="s">
        <v>484</v>
      </c>
      <c r="C733" s="24" t="s">
        <v>488</v>
      </c>
      <c r="D733" s="136" t="str">
        <f t="array" ref="D733">IF(E733=0,0,(INDEX(AccountCodes[ACCOUNT NAME],MATCH(E733,AccountCodes[NGAS CODE],0))))</f>
        <v>Miscellaneous Income (Others)</v>
      </c>
      <c r="E733" s="24" t="s">
        <v>160</v>
      </c>
      <c r="F733" s="502">
        <v>50000</v>
      </c>
    </row>
    <row r="734" spans="1:6" x14ac:dyDescent="0.25">
      <c r="A734" s="308">
        <v>43251</v>
      </c>
      <c r="B734" s="24" t="s">
        <v>484</v>
      </c>
      <c r="C734" s="24" t="s">
        <v>488</v>
      </c>
      <c r="D734" s="136" t="str">
        <f t="array" ref="D734">IF(E734=0,0,(INDEX(AccountCodes[ACCOUNT NAME],MATCH(E734,AccountCodes[NGAS CODE],0))))</f>
        <v>Miscellaneous Income (Others)</v>
      </c>
      <c r="E734" s="24" t="s">
        <v>160</v>
      </c>
      <c r="F734" s="502">
        <v>5000</v>
      </c>
    </row>
    <row r="735" spans="1:6" x14ac:dyDescent="0.25">
      <c r="A735" s="308">
        <v>43281</v>
      </c>
      <c r="B735" s="24" t="s">
        <v>484</v>
      </c>
      <c r="C735" s="24" t="s">
        <v>488</v>
      </c>
      <c r="D735" s="136" t="str">
        <f t="array" ref="D735">IF(E735=0,0,(INDEX(AccountCodes[ACCOUNT NAME],MATCH(E735,AccountCodes[NGAS CODE],0))))</f>
        <v>Miscellaneous Income (Others)</v>
      </c>
      <c r="E735" s="24" t="s">
        <v>160</v>
      </c>
      <c r="F735" s="502">
        <v>5000</v>
      </c>
    </row>
    <row r="736" spans="1:6" x14ac:dyDescent="0.25">
      <c r="A736" s="308">
        <v>43312</v>
      </c>
      <c r="B736" s="24" t="s">
        <v>484</v>
      </c>
      <c r="C736" s="24" t="s">
        <v>488</v>
      </c>
      <c r="D736" s="136" t="str">
        <f t="array" ref="D736">IF(E736=0,0,(INDEX(AccountCodes[ACCOUNT NAME],MATCH(E736,AccountCodes[NGAS CODE],0))))</f>
        <v>Miscellaneous Income (Others)</v>
      </c>
      <c r="E736" s="24" t="s">
        <v>160</v>
      </c>
      <c r="F736" s="502">
        <v>5000</v>
      </c>
    </row>
    <row r="737" spans="1:6" x14ac:dyDescent="0.25">
      <c r="A737" s="308">
        <v>43343</v>
      </c>
      <c r="B737" s="24" t="s">
        <v>484</v>
      </c>
      <c r="C737" s="24" t="s">
        <v>488</v>
      </c>
      <c r="D737" s="136" t="str">
        <f t="array" ref="D737">IF(E737=0,0,(INDEX(AccountCodes[ACCOUNT NAME],MATCH(E737,AccountCodes[NGAS CODE],0))))</f>
        <v>Miscellaneous Income (Others)</v>
      </c>
      <c r="E737" s="24" t="s">
        <v>160</v>
      </c>
      <c r="F737" s="502">
        <v>5000</v>
      </c>
    </row>
    <row r="738" spans="1:6" x14ac:dyDescent="0.25">
      <c r="A738" s="308">
        <v>43373</v>
      </c>
      <c r="B738" s="24" t="s">
        <v>484</v>
      </c>
      <c r="C738" s="24" t="s">
        <v>488</v>
      </c>
      <c r="D738" s="136" t="str">
        <f t="array" ref="D738">IF(E738=0,0,(INDEX(AccountCodes[ACCOUNT NAME],MATCH(E738,AccountCodes[NGAS CODE],0))))</f>
        <v>Miscellaneous Income (Others)</v>
      </c>
      <c r="E738" s="24" t="s">
        <v>160</v>
      </c>
      <c r="F738" s="502">
        <v>5000</v>
      </c>
    </row>
    <row r="739" spans="1:6" x14ac:dyDescent="0.25">
      <c r="A739" s="308">
        <v>43404</v>
      </c>
      <c r="B739" s="24" t="s">
        <v>484</v>
      </c>
      <c r="C739" s="24" t="s">
        <v>488</v>
      </c>
      <c r="D739" s="136" t="str">
        <f t="array" ref="D739">IF(E739=0,0,(INDEX(AccountCodes[ACCOUNT NAME],MATCH(E739,AccountCodes[NGAS CODE],0))))</f>
        <v>Miscellaneous Income (Others)</v>
      </c>
      <c r="E739" s="24" t="s">
        <v>160</v>
      </c>
      <c r="F739" s="502">
        <v>5000</v>
      </c>
    </row>
    <row r="740" spans="1:6" x14ac:dyDescent="0.25">
      <c r="A740" s="308">
        <v>43434</v>
      </c>
      <c r="B740" s="24" t="s">
        <v>484</v>
      </c>
      <c r="C740" s="24" t="s">
        <v>488</v>
      </c>
      <c r="D740" s="136" t="str">
        <f t="array" ref="D740">IF(E740=0,0,(INDEX(AccountCodes[ACCOUNT NAME],MATCH(E740,AccountCodes[NGAS CODE],0))))</f>
        <v>Miscellaneous Income (Others)</v>
      </c>
      <c r="E740" s="24" t="s">
        <v>160</v>
      </c>
      <c r="F740" s="502">
        <v>10000</v>
      </c>
    </row>
    <row r="741" spans="1:6" x14ac:dyDescent="0.25">
      <c r="A741" s="308">
        <v>43131</v>
      </c>
      <c r="B741" s="24" t="s">
        <v>484</v>
      </c>
      <c r="C741" s="24" t="s">
        <v>488</v>
      </c>
      <c r="D741" s="136" t="str">
        <f t="array" ref="D741">IF(E741=0,0,(INDEX(AccountCodes[ACCOUNT NAME],MATCH(E741,AccountCodes[NGAS CODE],0))))</f>
        <v>Salaries and Wages-Regular</v>
      </c>
      <c r="E741" s="24" t="s">
        <v>162</v>
      </c>
      <c r="F741" s="502">
        <v>121438</v>
      </c>
    </row>
    <row r="742" spans="1:6" x14ac:dyDescent="0.25">
      <c r="A742" s="308">
        <v>43159</v>
      </c>
      <c r="B742" s="24" t="s">
        <v>484</v>
      </c>
      <c r="C742" s="24" t="s">
        <v>488</v>
      </c>
      <c r="D742" s="136" t="str">
        <f t="array" ref="D742">IF(E742=0,0,(INDEX(AccountCodes[ACCOUNT NAME],MATCH(E742,AccountCodes[NGAS CODE],0))))</f>
        <v>Salaries and Wages-Regular</v>
      </c>
      <c r="E742" s="24" t="s">
        <v>162</v>
      </c>
      <c r="F742" s="502">
        <v>121438</v>
      </c>
    </row>
    <row r="743" spans="1:6" x14ac:dyDescent="0.25">
      <c r="A743" s="308">
        <v>43190</v>
      </c>
      <c r="B743" s="24" t="s">
        <v>484</v>
      </c>
      <c r="C743" s="24" t="s">
        <v>488</v>
      </c>
      <c r="D743" s="136" t="str">
        <f t="array" ref="D743">IF(E743=0,0,(INDEX(AccountCodes[ACCOUNT NAME],MATCH(E743,AccountCodes[NGAS CODE],0))))</f>
        <v>Salaries and Wages-Regular</v>
      </c>
      <c r="E743" s="24" t="s">
        <v>162</v>
      </c>
      <c r="F743" s="502">
        <v>121438</v>
      </c>
    </row>
    <row r="744" spans="1:6" x14ac:dyDescent="0.25">
      <c r="A744" s="308">
        <v>43220</v>
      </c>
      <c r="B744" s="24" t="s">
        <v>484</v>
      </c>
      <c r="C744" s="24" t="s">
        <v>488</v>
      </c>
      <c r="D744" s="136" t="str">
        <f t="array" ref="D744">IF(E744=0,0,(INDEX(AccountCodes[ACCOUNT NAME],MATCH(E744,AccountCodes[NGAS CODE],0))))</f>
        <v>Salaries and Wages-Regular</v>
      </c>
      <c r="E744" s="24" t="s">
        <v>162</v>
      </c>
      <c r="F744" s="502">
        <v>121438</v>
      </c>
    </row>
    <row r="745" spans="1:6" x14ac:dyDescent="0.25">
      <c r="A745" s="308">
        <v>43251</v>
      </c>
      <c r="B745" s="24" t="s">
        <v>484</v>
      </c>
      <c r="C745" s="24" t="s">
        <v>488</v>
      </c>
      <c r="D745" s="136" t="str">
        <f t="array" ref="D745">IF(E745=0,0,(INDEX(AccountCodes[ACCOUNT NAME],MATCH(E745,AccountCodes[NGAS CODE],0))))</f>
        <v>Salaries and Wages-Regular</v>
      </c>
      <c r="E745" s="24" t="s">
        <v>162</v>
      </c>
      <c r="F745" s="502">
        <v>121438</v>
      </c>
    </row>
    <row r="746" spans="1:6" x14ac:dyDescent="0.25">
      <c r="A746" s="308">
        <v>43281</v>
      </c>
      <c r="B746" s="24" t="s">
        <v>484</v>
      </c>
      <c r="C746" s="24" t="s">
        <v>488</v>
      </c>
      <c r="D746" s="136" t="str">
        <f t="array" ref="D746">IF(E746=0,0,(INDEX(AccountCodes[ACCOUNT NAME],MATCH(E746,AccountCodes[NGAS CODE],0))))</f>
        <v>Salaries and Wages-Regular</v>
      </c>
      <c r="E746" s="24" t="s">
        <v>162</v>
      </c>
      <c r="F746" s="502">
        <v>121438</v>
      </c>
    </row>
    <row r="747" spans="1:6" x14ac:dyDescent="0.25">
      <c r="A747" s="308">
        <v>43312</v>
      </c>
      <c r="B747" s="24" t="s">
        <v>484</v>
      </c>
      <c r="C747" s="24" t="s">
        <v>488</v>
      </c>
      <c r="D747" s="136" t="str">
        <f t="array" ref="D747">IF(E747=0,0,(INDEX(AccountCodes[ACCOUNT NAME],MATCH(E747,AccountCodes[NGAS CODE],0))))</f>
        <v>Salaries and Wages-Regular</v>
      </c>
      <c r="E747" s="24" t="s">
        <v>162</v>
      </c>
      <c r="F747" s="502">
        <v>121438</v>
      </c>
    </row>
    <row r="748" spans="1:6" x14ac:dyDescent="0.25">
      <c r="A748" s="308">
        <v>43343</v>
      </c>
      <c r="B748" s="24" t="s">
        <v>484</v>
      </c>
      <c r="C748" s="24" t="s">
        <v>488</v>
      </c>
      <c r="D748" s="136" t="str">
        <f t="array" ref="D748">IF(E748=0,0,(INDEX(AccountCodes[ACCOUNT NAME],MATCH(E748,AccountCodes[NGAS CODE],0))))</f>
        <v>Salaries and Wages-Regular</v>
      </c>
      <c r="E748" s="24" t="s">
        <v>162</v>
      </c>
      <c r="F748" s="502">
        <v>121438</v>
      </c>
    </row>
    <row r="749" spans="1:6" x14ac:dyDescent="0.25">
      <c r="A749" s="308">
        <v>43373</v>
      </c>
      <c r="B749" s="24" t="s">
        <v>484</v>
      </c>
      <c r="C749" s="24" t="s">
        <v>488</v>
      </c>
      <c r="D749" s="136" t="str">
        <f t="array" ref="D749">IF(E749=0,0,(INDEX(AccountCodes[ACCOUNT NAME],MATCH(E749,AccountCodes[NGAS CODE],0))))</f>
        <v>Salaries and Wages-Regular</v>
      </c>
      <c r="E749" s="24" t="s">
        <v>162</v>
      </c>
      <c r="F749" s="502">
        <v>121438</v>
      </c>
    </row>
    <row r="750" spans="1:6" x14ac:dyDescent="0.25">
      <c r="A750" s="308">
        <v>43404</v>
      </c>
      <c r="B750" s="24" t="s">
        <v>484</v>
      </c>
      <c r="C750" s="24" t="s">
        <v>488</v>
      </c>
      <c r="D750" s="136" t="str">
        <f t="array" ref="D750">IF(E750=0,0,(INDEX(AccountCodes[ACCOUNT NAME],MATCH(E750,AccountCodes[NGAS CODE],0))))</f>
        <v>Salaries and Wages-Regular</v>
      </c>
      <c r="E750" s="24" t="s">
        <v>162</v>
      </c>
      <c r="F750" s="502">
        <v>121438</v>
      </c>
    </row>
    <row r="751" spans="1:6" x14ac:dyDescent="0.25">
      <c r="A751" s="308">
        <v>43434</v>
      </c>
      <c r="B751" s="24" t="s">
        <v>484</v>
      </c>
      <c r="C751" s="24" t="s">
        <v>488</v>
      </c>
      <c r="D751" s="136" t="str">
        <f t="array" ref="D751">IF(E751=0,0,(INDEX(AccountCodes[ACCOUNT NAME],MATCH(E751,AccountCodes[NGAS CODE],0))))</f>
        <v>Salaries and Wages-Regular</v>
      </c>
      <c r="E751" s="24" t="s">
        <v>162</v>
      </c>
      <c r="F751" s="502">
        <v>121438</v>
      </c>
    </row>
    <row r="752" spans="1:6" x14ac:dyDescent="0.25">
      <c r="A752" s="308">
        <v>43465</v>
      </c>
      <c r="B752" s="24" t="s">
        <v>484</v>
      </c>
      <c r="C752" s="24" t="s">
        <v>488</v>
      </c>
      <c r="D752" s="136" t="str">
        <f t="array" ref="D752">IF(E752=0,0,(INDEX(AccountCodes[ACCOUNT NAME],MATCH(E752,AccountCodes[NGAS CODE],0))))</f>
        <v>Salaries and Wages-Regular</v>
      </c>
      <c r="E752" s="24" t="s">
        <v>162</v>
      </c>
      <c r="F752" s="502">
        <v>121438</v>
      </c>
    </row>
    <row r="753" spans="1:6" x14ac:dyDescent="0.25">
      <c r="A753" s="308">
        <v>43131</v>
      </c>
      <c r="B753" s="24" t="s">
        <v>484</v>
      </c>
      <c r="C753" s="24" t="s">
        <v>488</v>
      </c>
      <c r="D753" s="136" t="str">
        <f t="array" ref="D753">IF(E753=0,0,(INDEX(AccountCodes[ACCOUNT NAME],MATCH(E753,AccountCodes[NGAS CODE],0))))</f>
        <v>Salaries and Wages-Casual/Contractual</v>
      </c>
      <c r="E753" s="24" t="s">
        <v>163</v>
      </c>
      <c r="F753" s="502">
        <v>14340</v>
      </c>
    </row>
    <row r="754" spans="1:6" x14ac:dyDescent="0.25">
      <c r="A754" s="308">
        <v>43159</v>
      </c>
      <c r="B754" s="24" t="s">
        <v>484</v>
      </c>
      <c r="C754" s="24" t="s">
        <v>488</v>
      </c>
      <c r="D754" s="136" t="str">
        <f t="array" ref="D754">IF(E754=0,0,(INDEX(AccountCodes[ACCOUNT NAME],MATCH(E754,AccountCodes[NGAS CODE],0))))</f>
        <v>Salaries and Wages-Casual/Contractual</v>
      </c>
      <c r="E754" s="24" t="s">
        <v>163</v>
      </c>
      <c r="F754" s="502">
        <v>14340</v>
      </c>
    </row>
    <row r="755" spans="1:6" x14ac:dyDescent="0.25">
      <c r="A755" s="308">
        <v>43190</v>
      </c>
      <c r="B755" s="24" t="s">
        <v>484</v>
      </c>
      <c r="C755" s="24" t="s">
        <v>488</v>
      </c>
      <c r="D755" s="136" t="str">
        <f t="array" ref="D755">IF(E755=0,0,(INDEX(AccountCodes[ACCOUNT NAME],MATCH(E755,AccountCodes[NGAS CODE],0))))</f>
        <v>Salaries and Wages-Casual/Contractual</v>
      </c>
      <c r="E755" s="24" t="s">
        <v>163</v>
      </c>
      <c r="F755" s="502">
        <v>14340</v>
      </c>
    </row>
    <row r="756" spans="1:6" x14ac:dyDescent="0.25">
      <c r="A756" s="308">
        <v>43220</v>
      </c>
      <c r="B756" s="24" t="s">
        <v>484</v>
      </c>
      <c r="C756" s="24" t="s">
        <v>488</v>
      </c>
      <c r="D756" s="136" t="str">
        <f t="array" ref="D756">IF(E756=0,0,(INDEX(AccountCodes[ACCOUNT NAME],MATCH(E756,AccountCodes[NGAS CODE],0))))</f>
        <v>Salaries and Wages-Casual/Contractual</v>
      </c>
      <c r="E756" s="24" t="s">
        <v>163</v>
      </c>
      <c r="F756" s="502">
        <v>14340</v>
      </c>
    </row>
    <row r="757" spans="1:6" x14ac:dyDescent="0.25">
      <c r="A757" s="308">
        <v>43251</v>
      </c>
      <c r="B757" s="24" t="s">
        <v>484</v>
      </c>
      <c r="C757" s="24" t="s">
        <v>488</v>
      </c>
      <c r="D757" s="136" t="str">
        <f t="array" ref="D757">IF(E757=0,0,(INDEX(AccountCodes[ACCOUNT NAME],MATCH(E757,AccountCodes[NGAS CODE],0))))</f>
        <v>Salaries and Wages-Casual/Contractual</v>
      </c>
      <c r="E757" s="24" t="s">
        <v>163</v>
      </c>
      <c r="F757" s="502">
        <v>14340</v>
      </c>
    </row>
    <row r="758" spans="1:6" x14ac:dyDescent="0.25">
      <c r="A758" s="308">
        <v>43281</v>
      </c>
      <c r="B758" s="24" t="s">
        <v>484</v>
      </c>
      <c r="C758" s="24" t="s">
        <v>488</v>
      </c>
      <c r="D758" s="136" t="str">
        <f t="array" ref="D758">IF(E758=0,0,(INDEX(AccountCodes[ACCOUNT NAME],MATCH(E758,AccountCodes[NGAS CODE],0))))</f>
        <v>Salaries and Wages-Casual/Contractual</v>
      </c>
      <c r="E758" s="24" t="s">
        <v>163</v>
      </c>
      <c r="F758" s="502">
        <v>14340</v>
      </c>
    </row>
    <row r="759" spans="1:6" x14ac:dyDescent="0.25">
      <c r="A759" s="308">
        <v>43312</v>
      </c>
      <c r="B759" s="24" t="s">
        <v>484</v>
      </c>
      <c r="C759" s="24" t="s">
        <v>488</v>
      </c>
      <c r="D759" s="136" t="str">
        <f t="array" ref="D759">IF(E759=0,0,(INDEX(AccountCodes[ACCOUNT NAME],MATCH(E759,AccountCodes[NGAS CODE],0))))</f>
        <v>Salaries and Wages-Casual/Contractual</v>
      </c>
      <c r="E759" s="24" t="s">
        <v>163</v>
      </c>
      <c r="F759" s="502">
        <v>14340</v>
      </c>
    </row>
    <row r="760" spans="1:6" x14ac:dyDescent="0.25">
      <c r="A760" s="308">
        <v>43343</v>
      </c>
      <c r="B760" s="24" t="s">
        <v>484</v>
      </c>
      <c r="C760" s="24" t="s">
        <v>488</v>
      </c>
      <c r="D760" s="136" t="str">
        <f t="array" ref="D760">IF(E760=0,0,(INDEX(AccountCodes[ACCOUNT NAME],MATCH(E760,AccountCodes[NGAS CODE],0))))</f>
        <v>Salaries and Wages-Casual/Contractual</v>
      </c>
      <c r="E760" s="24" t="s">
        <v>163</v>
      </c>
      <c r="F760" s="502">
        <v>14340</v>
      </c>
    </row>
    <row r="761" spans="1:6" x14ac:dyDescent="0.25">
      <c r="A761" s="308">
        <v>43373</v>
      </c>
      <c r="B761" s="24" t="s">
        <v>484</v>
      </c>
      <c r="C761" s="24" t="s">
        <v>488</v>
      </c>
      <c r="D761" s="136" t="str">
        <f t="array" ref="D761">IF(E761=0,0,(INDEX(AccountCodes[ACCOUNT NAME],MATCH(E761,AccountCodes[NGAS CODE],0))))</f>
        <v>Salaries and Wages-Casual/Contractual</v>
      </c>
      <c r="E761" s="24" t="s">
        <v>163</v>
      </c>
      <c r="F761" s="502">
        <v>14340</v>
      </c>
    </row>
    <row r="762" spans="1:6" x14ac:dyDescent="0.25">
      <c r="A762" s="308">
        <v>43404</v>
      </c>
      <c r="B762" s="24" t="s">
        <v>484</v>
      </c>
      <c r="C762" s="24" t="s">
        <v>488</v>
      </c>
      <c r="D762" s="136" t="str">
        <f t="array" ref="D762">IF(E762=0,0,(INDEX(AccountCodes[ACCOUNT NAME],MATCH(E762,AccountCodes[NGAS CODE],0))))</f>
        <v>Salaries and Wages-Casual/Contractual</v>
      </c>
      <c r="E762" s="24" t="s">
        <v>163</v>
      </c>
      <c r="F762" s="502">
        <v>14340</v>
      </c>
    </row>
    <row r="763" spans="1:6" x14ac:dyDescent="0.25">
      <c r="A763" s="308">
        <v>43434</v>
      </c>
      <c r="B763" s="24" t="s">
        <v>484</v>
      </c>
      <c r="C763" s="24" t="s">
        <v>488</v>
      </c>
      <c r="D763" s="136" t="str">
        <f t="array" ref="D763">IF(E763=0,0,(INDEX(AccountCodes[ACCOUNT NAME],MATCH(E763,AccountCodes[NGAS CODE],0))))</f>
        <v>Salaries and Wages-Casual/Contractual</v>
      </c>
      <c r="E763" s="24" t="s">
        <v>163</v>
      </c>
      <c r="F763" s="502">
        <v>14340</v>
      </c>
    </row>
    <row r="764" spans="1:6" x14ac:dyDescent="0.25">
      <c r="A764" s="308">
        <v>43465</v>
      </c>
      <c r="B764" s="24" t="s">
        <v>484</v>
      </c>
      <c r="C764" s="24" t="s">
        <v>488</v>
      </c>
      <c r="D764" s="136" t="str">
        <f t="array" ref="D764">IF(E764=0,0,(INDEX(AccountCodes[ACCOUNT NAME],MATCH(E764,AccountCodes[NGAS CODE],0))))</f>
        <v>Salaries and Wages-Casual/Contractual</v>
      </c>
      <c r="E764" s="24" t="s">
        <v>163</v>
      </c>
      <c r="F764" s="502">
        <v>14340</v>
      </c>
    </row>
    <row r="765" spans="1:6" x14ac:dyDescent="0.25">
      <c r="A765" s="308">
        <v>43131</v>
      </c>
      <c r="B765" s="24" t="s">
        <v>484</v>
      </c>
      <c r="C765" s="24" t="s">
        <v>488</v>
      </c>
      <c r="D765" s="136" t="str">
        <f t="array" ref="D765">IF(E765=0,0,(INDEX(AccountCodes[ACCOUNT NAME],MATCH(E765,AccountCodes[NGAS CODE],0))))</f>
        <v>Personal Economic Relief Allowance (PERA)</v>
      </c>
      <c r="E765" s="24" t="s">
        <v>164</v>
      </c>
      <c r="F765" s="502">
        <v>14000</v>
      </c>
    </row>
    <row r="766" spans="1:6" x14ac:dyDescent="0.25">
      <c r="A766" s="308">
        <v>43159</v>
      </c>
      <c r="B766" s="24" t="s">
        <v>484</v>
      </c>
      <c r="C766" s="24" t="s">
        <v>488</v>
      </c>
      <c r="D766" s="136" t="str">
        <f t="array" ref="D766">IF(E766=0,0,(INDEX(AccountCodes[ACCOUNT NAME],MATCH(E766,AccountCodes[NGAS CODE],0))))</f>
        <v>Personal Economic Relief Allowance (PERA)</v>
      </c>
      <c r="E766" s="24" t="s">
        <v>164</v>
      </c>
      <c r="F766" s="502">
        <v>14000</v>
      </c>
    </row>
    <row r="767" spans="1:6" x14ac:dyDescent="0.25">
      <c r="A767" s="308">
        <v>43190</v>
      </c>
      <c r="B767" s="24" t="s">
        <v>484</v>
      </c>
      <c r="C767" s="24" t="s">
        <v>488</v>
      </c>
      <c r="D767" s="136" t="str">
        <f t="array" ref="D767">IF(E767=0,0,(INDEX(AccountCodes[ACCOUNT NAME],MATCH(E767,AccountCodes[NGAS CODE],0))))</f>
        <v>Personal Economic Relief Allowance (PERA)</v>
      </c>
      <c r="E767" s="24" t="s">
        <v>164</v>
      </c>
      <c r="F767" s="502">
        <v>14000</v>
      </c>
    </row>
    <row r="768" spans="1:6" x14ac:dyDescent="0.25">
      <c r="A768" s="308">
        <v>43220</v>
      </c>
      <c r="B768" s="24" t="s">
        <v>484</v>
      </c>
      <c r="C768" s="24" t="s">
        <v>488</v>
      </c>
      <c r="D768" s="136" t="str">
        <f t="array" ref="D768">IF(E768=0,0,(INDEX(AccountCodes[ACCOUNT NAME],MATCH(E768,AccountCodes[NGAS CODE],0))))</f>
        <v>Personal Economic Relief Allowance (PERA)</v>
      </c>
      <c r="E768" s="24" t="s">
        <v>164</v>
      </c>
      <c r="F768" s="502">
        <v>14000</v>
      </c>
    </row>
    <row r="769" spans="1:6" x14ac:dyDescent="0.25">
      <c r="A769" s="308">
        <v>43251</v>
      </c>
      <c r="B769" s="24" t="s">
        <v>484</v>
      </c>
      <c r="C769" s="24" t="s">
        <v>488</v>
      </c>
      <c r="D769" s="136" t="str">
        <f t="array" ref="D769">IF(E769=0,0,(INDEX(AccountCodes[ACCOUNT NAME],MATCH(E769,AccountCodes[NGAS CODE],0))))</f>
        <v>Personal Economic Relief Allowance (PERA)</v>
      </c>
      <c r="E769" s="24" t="s">
        <v>164</v>
      </c>
      <c r="F769" s="502">
        <v>14000</v>
      </c>
    </row>
    <row r="770" spans="1:6" x14ac:dyDescent="0.25">
      <c r="A770" s="308">
        <v>43281</v>
      </c>
      <c r="B770" s="24" t="s">
        <v>484</v>
      </c>
      <c r="C770" s="24" t="s">
        <v>488</v>
      </c>
      <c r="D770" s="136" t="str">
        <f t="array" ref="D770">IF(E770=0,0,(INDEX(AccountCodes[ACCOUNT NAME],MATCH(E770,AccountCodes[NGAS CODE],0))))</f>
        <v>Personal Economic Relief Allowance (PERA)</v>
      </c>
      <c r="E770" s="24" t="s">
        <v>164</v>
      </c>
      <c r="F770" s="502">
        <v>14000</v>
      </c>
    </row>
    <row r="771" spans="1:6" x14ac:dyDescent="0.25">
      <c r="A771" s="308">
        <v>43312</v>
      </c>
      <c r="B771" s="24" t="s">
        <v>484</v>
      </c>
      <c r="C771" s="24" t="s">
        <v>488</v>
      </c>
      <c r="D771" s="136" t="str">
        <f t="array" ref="D771">IF(E771=0,0,(INDEX(AccountCodes[ACCOUNT NAME],MATCH(E771,AccountCodes[NGAS CODE],0))))</f>
        <v>Personal Economic Relief Allowance (PERA)</v>
      </c>
      <c r="E771" s="24" t="s">
        <v>164</v>
      </c>
      <c r="F771" s="502">
        <v>14000</v>
      </c>
    </row>
    <row r="772" spans="1:6" x14ac:dyDescent="0.25">
      <c r="A772" s="308">
        <v>43343</v>
      </c>
      <c r="B772" s="24" t="s">
        <v>484</v>
      </c>
      <c r="C772" s="24" t="s">
        <v>488</v>
      </c>
      <c r="D772" s="136" t="str">
        <f t="array" ref="D772">IF(E772=0,0,(INDEX(AccountCodes[ACCOUNT NAME],MATCH(E772,AccountCodes[NGAS CODE],0))))</f>
        <v>Personal Economic Relief Allowance (PERA)</v>
      </c>
      <c r="E772" s="24" t="s">
        <v>164</v>
      </c>
      <c r="F772" s="502">
        <v>14000</v>
      </c>
    </row>
    <row r="773" spans="1:6" x14ac:dyDescent="0.25">
      <c r="A773" s="308">
        <v>43373</v>
      </c>
      <c r="B773" s="24" t="s">
        <v>484</v>
      </c>
      <c r="C773" s="24" t="s">
        <v>488</v>
      </c>
      <c r="D773" s="136" t="str">
        <f t="array" ref="D773">IF(E773=0,0,(INDEX(AccountCodes[ACCOUNT NAME],MATCH(E773,AccountCodes[NGAS CODE],0))))</f>
        <v>Personal Economic Relief Allowance (PERA)</v>
      </c>
      <c r="E773" s="24" t="s">
        <v>164</v>
      </c>
      <c r="F773" s="502">
        <v>14000</v>
      </c>
    </row>
    <row r="774" spans="1:6" x14ac:dyDescent="0.25">
      <c r="A774" s="308">
        <v>43404</v>
      </c>
      <c r="B774" s="24" t="s">
        <v>484</v>
      </c>
      <c r="C774" s="24" t="s">
        <v>488</v>
      </c>
      <c r="D774" s="136" t="str">
        <f t="array" ref="D774">IF(E774=0,0,(INDEX(AccountCodes[ACCOUNT NAME],MATCH(E774,AccountCodes[NGAS CODE],0))))</f>
        <v>Personal Economic Relief Allowance (PERA)</v>
      </c>
      <c r="E774" s="24" t="s">
        <v>164</v>
      </c>
      <c r="F774" s="502">
        <v>14000</v>
      </c>
    </row>
    <row r="775" spans="1:6" x14ac:dyDescent="0.25">
      <c r="A775" s="308">
        <v>43434</v>
      </c>
      <c r="B775" s="24" t="s">
        <v>484</v>
      </c>
      <c r="C775" s="24" t="s">
        <v>488</v>
      </c>
      <c r="D775" s="136" t="str">
        <f t="array" ref="D775">IF(E775=0,0,(INDEX(AccountCodes[ACCOUNT NAME],MATCH(E775,AccountCodes[NGAS CODE],0))))</f>
        <v>Personal Economic Relief Allowance (PERA)</v>
      </c>
      <c r="E775" s="24" t="s">
        <v>164</v>
      </c>
      <c r="F775" s="502">
        <v>14000</v>
      </c>
    </row>
    <row r="776" spans="1:6" x14ac:dyDescent="0.25">
      <c r="A776" s="308">
        <v>43465</v>
      </c>
      <c r="B776" s="24" t="s">
        <v>484</v>
      </c>
      <c r="C776" s="24" t="s">
        <v>488</v>
      </c>
      <c r="D776" s="136" t="str">
        <f t="array" ref="D776">IF(E776=0,0,(INDEX(AccountCodes[ACCOUNT NAME],MATCH(E776,AccountCodes[NGAS CODE],0))))</f>
        <v>Personal Economic Relief Allowance (PERA)</v>
      </c>
      <c r="E776" s="24" t="s">
        <v>164</v>
      </c>
      <c r="F776" s="502">
        <v>14000</v>
      </c>
    </row>
    <row r="777" spans="1:6" x14ac:dyDescent="0.25">
      <c r="A777" s="308">
        <v>43190</v>
      </c>
      <c r="B777" s="24" t="s">
        <v>484</v>
      </c>
      <c r="C777" s="24" t="s">
        <v>488</v>
      </c>
      <c r="D777" s="136" t="str">
        <f t="array" ref="D777">IF(E777=0,0,(INDEX(AccountCodes[ACCOUNT NAME],MATCH(E777,AccountCodes[NGAS CODE],0))))</f>
        <v>Clothing/Uniform Allowance</v>
      </c>
      <c r="E777" s="24" t="s">
        <v>167</v>
      </c>
      <c r="F777" s="502">
        <v>35000</v>
      </c>
    </row>
    <row r="778" spans="1:6" x14ac:dyDescent="0.25">
      <c r="A778" s="308">
        <v>43131</v>
      </c>
      <c r="B778" s="24" t="s">
        <v>484</v>
      </c>
      <c r="C778" s="24" t="s">
        <v>488</v>
      </c>
      <c r="D778" s="136" t="str">
        <f t="array" ref="D778">IF(E778=0,0,(INDEX(AccountCodes[ACCOUNT NAME],MATCH(E778,AccountCodes[NGAS CODE],0))))</f>
        <v>Other Bonuses and Allowances - Children Allowance</v>
      </c>
      <c r="E778" s="24" t="s">
        <v>7</v>
      </c>
      <c r="F778" s="502">
        <v>150</v>
      </c>
    </row>
    <row r="779" spans="1:6" x14ac:dyDescent="0.25">
      <c r="A779" s="308">
        <v>43159</v>
      </c>
      <c r="B779" s="24" t="s">
        <v>484</v>
      </c>
      <c r="C779" s="24" t="s">
        <v>488</v>
      </c>
      <c r="D779" s="136" t="str">
        <f t="array" ref="D779">IF(E779=0,0,(INDEX(AccountCodes[ACCOUNT NAME],MATCH(E779,AccountCodes[NGAS CODE],0))))</f>
        <v>Other Bonuses and Allowances - Children Allowance</v>
      </c>
      <c r="E779" s="24" t="s">
        <v>7</v>
      </c>
      <c r="F779" s="502">
        <v>150</v>
      </c>
    </row>
    <row r="780" spans="1:6" x14ac:dyDescent="0.25">
      <c r="A780" s="308">
        <v>43190</v>
      </c>
      <c r="B780" s="24" t="s">
        <v>484</v>
      </c>
      <c r="C780" s="24" t="s">
        <v>488</v>
      </c>
      <c r="D780" s="136" t="str">
        <f t="array" ref="D780">IF(E780=0,0,(INDEX(AccountCodes[ACCOUNT NAME],MATCH(E780,AccountCodes[NGAS CODE],0))))</f>
        <v>Other Bonuses and Allowances - Children Allowance</v>
      </c>
      <c r="E780" s="24" t="s">
        <v>7</v>
      </c>
      <c r="F780" s="502">
        <v>150</v>
      </c>
    </row>
    <row r="781" spans="1:6" x14ac:dyDescent="0.25">
      <c r="A781" s="308">
        <v>43220</v>
      </c>
      <c r="B781" s="24" t="s">
        <v>484</v>
      </c>
      <c r="C781" s="24" t="s">
        <v>488</v>
      </c>
      <c r="D781" s="136" t="str">
        <f t="array" ref="D781">IF(E781=0,0,(INDEX(AccountCodes[ACCOUNT NAME],MATCH(E781,AccountCodes[NGAS CODE],0))))</f>
        <v>Other Bonuses and Allowances - Children Allowance</v>
      </c>
      <c r="E781" s="24" t="s">
        <v>7</v>
      </c>
      <c r="F781" s="502">
        <v>150</v>
      </c>
    </row>
    <row r="782" spans="1:6" x14ac:dyDescent="0.25">
      <c r="A782" s="308">
        <v>43251</v>
      </c>
      <c r="B782" s="24" t="s">
        <v>484</v>
      </c>
      <c r="C782" s="24" t="s">
        <v>488</v>
      </c>
      <c r="D782" s="136" t="str">
        <f t="array" ref="D782">IF(E782=0,0,(INDEX(AccountCodes[ACCOUNT NAME],MATCH(E782,AccountCodes[NGAS CODE],0))))</f>
        <v>Other Bonuses and Allowances - Children Allowance</v>
      </c>
      <c r="E782" s="24" t="s">
        <v>7</v>
      </c>
      <c r="F782" s="502">
        <v>150</v>
      </c>
    </row>
    <row r="783" spans="1:6" x14ac:dyDescent="0.25">
      <c r="A783" s="308">
        <v>43281</v>
      </c>
      <c r="B783" s="24" t="s">
        <v>484</v>
      </c>
      <c r="C783" s="24" t="s">
        <v>488</v>
      </c>
      <c r="D783" s="136" t="str">
        <f t="array" ref="D783">IF(E783=0,0,(INDEX(AccountCodes[ACCOUNT NAME],MATCH(E783,AccountCodes[NGAS CODE],0))))</f>
        <v>Other Bonuses and Allowances - Children Allowance</v>
      </c>
      <c r="E783" s="24" t="s">
        <v>7</v>
      </c>
      <c r="F783" s="502">
        <v>150</v>
      </c>
    </row>
    <row r="784" spans="1:6" x14ac:dyDescent="0.25">
      <c r="A784" s="308">
        <v>43312</v>
      </c>
      <c r="B784" s="24" t="s">
        <v>484</v>
      </c>
      <c r="C784" s="24" t="s">
        <v>488</v>
      </c>
      <c r="D784" s="136" t="str">
        <f t="array" ref="D784">IF(E784=0,0,(INDEX(AccountCodes[ACCOUNT NAME],MATCH(E784,AccountCodes[NGAS CODE],0))))</f>
        <v>Other Bonuses and Allowances - Children Allowance</v>
      </c>
      <c r="E784" s="24" t="s">
        <v>7</v>
      </c>
      <c r="F784" s="502">
        <v>150</v>
      </c>
    </row>
    <row r="785" spans="1:6" x14ac:dyDescent="0.25">
      <c r="A785" s="308">
        <v>43343</v>
      </c>
      <c r="B785" s="24" t="s">
        <v>484</v>
      </c>
      <c r="C785" s="24" t="s">
        <v>488</v>
      </c>
      <c r="D785" s="136" t="str">
        <f t="array" ref="D785">IF(E785=0,0,(INDEX(AccountCodes[ACCOUNT NAME],MATCH(E785,AccountCodes[NGAS CODE],0))))</f>
        <v>Other Bonuses and Allowances - Children Allowance</v>
      </c>
      <c r="E785" s="24" t="s">
        <v>7</v>
      </c>
      <c r="F785" s="502">
        <v>150</v>
      </c>
    </row>
    <row r="786" spans="1:6" x14ac:dyDescent="0.25">
      <c r="A786" s="308">
        <v>43373</v>
      </c>
      <c r="B786" s="24" t="s">
        <v>484</v>
      </c>
      <c r="C786" s="24" t="s">
        <v>488</v>
      </c>
      <c r="D786" s="136" t="str">
        <f t="array" ref="D786">IF(E786=0,0,(INDEX(AccountCodes[ACCOUNT NAME],MATCH(E786,AccountCodes[NGAS CODE],0))))</f>
        <v>Other Bonuses and Allowances - Children Allowance</v>
      </c>
      <c r="E786" s="24" t="s">
        <v>7</v>
      </c>
      <c r="F786" s="502">
        <v>150</v>
      </c>
    </row>
    <row r="787" spans="1:6" x14ac:dyDescent="0.25">
      <c r="A787" s="308">
        <v>43404</v>
      </c>
      <c r="B787" s="24" t="s">
        <v>484</v>
      </c>
      <c r="C787" s="24" t="s">
        <v>488</v>
      </c>
      <c r="D787" s="136" t="str">
        <f t="array" ref="D787">IF(E787=0,0,(INDEX(AccountCodes[ACCOUNT NAME],MATCH(E787,AccountCodes[NGAS CODE],0))))</f>
        <v>Other Bonuses and Allowances - Children Allowance</v>
      </c>
      <c r="E787" s="24" t="s">
        <v>7</v>
      </c>
      <c r="F787" s="502">
        <v>150</v>
      </c>
    </row>
    <row r="788" spans="1:6" x14ac:dyDescent="0.25">
      <c r="A788" s="308">
        <v>43434</v>
      </c>
      <c r="B788" s="24" t="s">
        <v>484</v>
      </c>
      <c r="C788" s="24" t="s">
        <v>488</v>
      </c>
      <c r="D788" s="136" t="str">
        <f t="array" ref="D788">IF(E788=0,0,(INDEX(AccountCodes[ACCOUNT NAME],MATCH(E788,AccountCodes[NGAS CODE],0))))</f>
        <v>Other Bonuses and Allowances - Children Allowance</v>
      </c>
      <c r="E788" s="24" t="s">
        <v>7</v>
      </c>
      <c r="F788" s="502">
        <v>150</v>
      </c>
    </row>
    <row r="789" spans="1:6" x14ac:dyDescent="0.25">
      <c r="A789" s="308">
        <v>43465</v>
      </c>
      <c r="B789" s="24" t="s">
        <v>484</v>
      </c>
      <c r="C789" s="24" t="s">
        <v>488</v>
      </c>
      <c r="D789" s="136" t="str">
        <f t="array" ref="D789">IF(E789=0,0,(INDEX(AccountCodes[ACCOUNT NAME],MATCH(E789,AccountCodes[NGAS CODE],0))))</f>
        <v>Other Bonuses and Allowances - Children Allowance</v>
      </c>
      <c r="E789" s="24" t="s">
        <v>7</v>
      </c>
      <c r="F789" s="502">
        <v>150</v>
      </c>
    </row>
    <row r="790" spans="1:6" x14ac:dyDescent="0.25">
      <c r="A790" s="308">
        <v>43131</v>
      </c>
      <c r="B790" s="24" t="s">
        <v>484</v>
      </c>
      <c r="C790" s="24" t="s">
        <v>488</v>
      </c>
      <c r="D790" s="136" t="str">
        <f t="array" ref="D790">IF(E790=0,0,(INDEX(AccountCodes[ACCOUNT NAME],MATCH(E790,AccountCodes[NGAS CODE],0))))</f>
        <v>Other Bonuses and Allowances - Medical Allowance</v>
      </c>
      <c r="E790" s="24" t="s">
        <v>5</v>
      </c>
      <c r="F790" s="502">
        <v>800</v>
      </c>
    </row>
    <row r="791" spans="1:6" x14ac:dyDescent="0.25">
      <c r="A791" s="308">
        <v>43159</v>
      </c>
      <c r="B791" s="24" t="s">
        <v>484</v>
      </c>
      <c r="C791" s="24" t="s">
        <v>488</v>
      </c>
      <c r="D791" s="136" t="str">
        <f t="array" ref="D791">IF(E791=0,0,(INDEX(AccountCodes[ACCOUNT NAME],MATCH(E791,AccountCodes[NGAS CODE],0))))</f>
        <v>Other Bonuses and Allowances - Medical Allowance</v>
      </c>
      <c r="E791" s="24" t="s">
        <v>5</v>
      </c>
      <c r="F791" s="502">
        <v>800</v>
      </c>
    </row>
    <row r="792" spans="1:6" x14ac:dyDescent="0.25">
      <c r="A792" s="308">
        <v>43190</v>
      </c>
      <c r="B792" s="24" t="s">
        <v>484</v>
      </c>
      <c r="C792" s="24" t="s">
        <v>488</v>
      </c>
      <c r="D792" s="136" t="str">
        <f t="array" ref="D792">IF(E792=0,0,(INDEX(AccountCodes[ACCOUNT NAME],MATCH(E792,AccountCodes[NGAS CODE],0))))</f>
        <v>Other Bonuses and Allowances - Medical Allowance</v>
      </c>
      <c r="E792" s="24" t="s">
        <v>5</v>
      </c>
      <c r="F792" s="502">
        <v>800</v>
      </c>
    </row>
    <row r="793" spans="1:6" x14ac:dyDescent="0.25">
      <c r="A793" s="308">
        <v>43220</v>
      </c>
      <c r="B793" s="24" t="s">
        <v>484</v>
      </c>
      <c r="C793" s="24" t="s">
        <v>488</v>
      </c>
      <c r="D793" s="136" t="str">
        <f t="array" ref="D793">IF(E793=0,0,(INDEX(AccountCodes[ACCOUNT NAME],MATCH(E793,AccountCodes[NGAS CODE],0))))</f>
        <v>Other Bonuses and Allowances - Medical Allowance</v>
      </c>
      <c r="E793" s="24" t="s">
        <v>5</v>
      </c>
      <c r="F793" s="502">
        <v>800</v>
      </c>
    </row>
    <row r="794" spans="1:6" x14ac:dyDescent="0.25">
      <c r="A794" s="308">
        <v>43251</v>
      </c>
      <c r="B794" s="24" t="s">
        <v>484</v>
      </c>
      <c r="C794" s="24" t="s">
        <v>488</v>
      </c>
      <c r="D794" s="136" t="str">
        <f t="array" ref="D794">IF(E794=0,0,(INDEX(AccountCodes[ACCOUNT NAME],MATCH(E794,AccountCodes[NGAS CODE],0))))</f>
        <v>Other Bonuses and Allowances - Medical Allowance</v>
      </c>
      <c r="E794" s="24" t="s">
        <v>5</v>
      </c>
      <c r="F794" s="502">
        <v>800</v>
      </c>
    </row>
    <row r="795" spans="1:6" x14ac:dyDescent="0.25">
      <c r="A795" s="308">
        <v>43281</v>
      </c>
      <c r="B795" s="24" t="s">
        <v>484</v>
      </c>
      <c r="C795" s="24" t="s">
        <v>488</v>
      </c>
      <c r="D795" s="136" t="str">
        <f t="array" ref="D795">IF(E795=0,0,(INDEX(AccountCodes[ACCOUNT NAME],MATCH(E795,AccountCodes[NGAS CODE],0))))</f>
        <v>Other Bonuses and Allowances - Medical Allowance</v>
      </c>
      <c r="E795" s="24" t="s">
        <v>5</v>
      </c>
      <c r="F795" s="502">
        <v>800</v>
      </c>
    </row>
    <row r="796" spans="1:6" x14ac:dyDescent="0.25">
      <c r="A796" s="308">
        <v>43312</v>
      </c>
      <c r="B796" s="24" t="s">
        <v>484</v>
      </c>
      <c r="C796" s="24" t="s">
        <v>488</v>
      </c>
      <c r="D796" s="136" t="str">
        <f t="array" ref="D796">IF(E796=0,0,(INDEX(AccountCodes[ACCOUNT NAME],MATCH(E796,AccountCodes[NGAS CODE],0))))</f>
        <v>Other Bonuses and Allowances - Medical Allowance</v>
      </c>
      <c r="E796" s="24" t="s">
        <v>5</v>
      </c>
      <c r="F796" s="502">
        <v>800</v>
      </c>
    </row>
    <row r="797" spans="1:6" x14ac:dyDescent="0.25">
      <c r="A797" s="308">
        <v>43343</v>
      </c>
      <c r="B797" s="24" t="s">
        <v>484</v>
      </c>
      <c r="C797" s="24" t="s">
        <v>488</v>
      </c>
      <c r="D797" s="136" t="str">
        <f t="array" ref="D797">IF(E797=0,0,(INDEX(AccountCodes[ACCOUNT NAME],MATCH(E797,AccountCodes[NGAS CODE],0))))</f>
        <v>Other Bonuses and Allowances - Medical Allowance</v>
      </c>
      <c r="E797" s="24" t="s">
        <v>5</v>
      </c>
      <c r="F797" s="502">
        <v>800</v>
      </c>
    </row>
    <row r="798" spans="1:6" x14ac:dyDescent="0.25">
      <c r="A798" s="308">
        <v>43373</v>
      </c>
      <c r="B798" s="24" t="s">
        <v>484</v>
      </c>
      <c r="C798" s="24" t="s">
        <v>488</v>
      </c>
      <c r="D798" s="136" t="str">
        <f t="array" ref="D798">IF(E798=0,0,(INDEX(AccountCodes[ACCOUNT NAME],MATCH(E798,AccountCodes[NGAS CODE],0))))</f>
        <v>Other Bonuses and Allowances - Medical Allowance</v>
      </c>
      <c r="E798" s="24" t="s">
        <v>5</v>
      </c>
      <c r="F798" s="502">
        <v>800</v>
      </c>
    </row>
    <row r="799" spans="1:6" x14ac:dyDescent="0.25">
      <c r="A799" s="308">
        <v>43404</v>
      </c>
      <c r="B799" s="24" t="s">
        <v>484</v>
      </c>
      <c r="C799" s="24" t="s">
        <v>488</v>
      </c>
      <c r="D799" s="136" t="str">
        <f t="array" ref="D799">IF(E799=0,0,(INDEX(AccountCodes[ACCOUNT NAME],MATCH(E799,AccountCodes[NGAS CODE],0))))</f>
        <v>Other Bonuses and Allowances - Medical Allowance</v>
      </c>
      <c r="E799" s="24" t="s">
        <v>5</v>
      </c>
      <c r="F799" s="502">
        <v>800</v>
      </c>
    </row>
    <row r="800" spans="1:6" x14ac:dyDescent="0.25">
      <c r="A800" s="308">
        <v>43434</v>
      </c>
      <c r="B800" s="24" t="s">
        <v>484</v>
      </c>
      <c r="C800" s="24" t="s">
        <v>488</v>
      </c>
      <c r="D800" s="136" t="str">
        <f t="array" ref="D800">IF(E800=0,0,(INDEX(AccountCodes[ACCOUNT NAME],MATCH(E800,AccountCodes[NGAS CODE],0))))</f>
        <v>Other Bonuses and Allowances - Medical Allowance</v>
      </c>
      <c r="E800" s="24" t="s">
        <v>5</v>
      </c>
      <c r="F800" s="502">
        <v>800</v>
      </c>
    </row>
    <row r="801" spans="1:6" x14ac:dyDescent="0.25">
      <c r="A801" s="308">
        <v>43465</v>
      </c>
      <c r="B801" s="24" t="s">
        <v>484</v>
      </c>
      <c r="C801" s="24" t="s">
        <v>488</v>
      </c>
      <c r="D801" s="136" t="str">
        <f t="array" ref="D801">IF(E801=0,0,(INDEX(AccountCodes[ACCOUNT NAME],MATCH(E801,AccountCodes[NGAS CODE],0))))</f>
        <v>Other Bonuses and Allowances - Medical Allowance</v>
      </c>
      <c r="E801" s="24" t="s">
        <v>5</v>
      </c>
      <c r="F801" s="502">
        <v>800</v>
      </c>
    </row>
    <row r="802" spans="1:6" x14ac:dyDescent="0.25">
      <c r="A802" s="308">
        <v>43131</v>
      </c>
      <c r="B802" s="24" t="s">
        <v>484</v>
      </c>
      <c r="C802" s="24" t="s">
        <v>488</v>
      </c>
      <c r="D802" s="136" t="str">
        <f t="array" ref="D802">IF(E802=0,0,(INDEX(AccountCodes[ACCOUNT NAME],MATCH(E802,AccountCodes[NGAS CODE],0))))</f>
        <v>Other Bonuses and Allowances - Meal Allowance</v>
      </c>
      <c r="E802" s="24" t="s">
        <v>6</v>
      </c>
      <c r="F802" s="502">
        <v>261</v>
      </c>
    </row>
    <row r="803" spans="1:6" x14ac:dyDescent="0.25">
      <c r="A803" s="308">
        <v>43159</v>
      </c>
      <c r="B803" s="24" t="s">
        <v>484</v>
      </c>
      <c r="C803" s="24" t="s">
        <v>488</v>
      </c>
      <c r="D803" s="136" t="str">
        <f t="array" ref="D803">IF(E803=0,0,(INDEX(AccountCodes[ACCOUNT NAME],MATCH(E803,AccountCodes[NGAS CODE],0))))</f>
        <v>Other Bonuses and Allowances - Meal Allowance</v>
      </c>
      <c r="E803" s="24" t="s">
        <v>6</v>
      </c>
      <c r="F803" s="502">
        <v>261</v>
      </c>
    </row>
    <row r="804" spans="1:6" x14ac:dyDescent="0.25">
      <c r="A804" s="308">
        <v>43190</v>
      </c>
      <c r="B804" s="24" t="s">
        <v>484</v>
      </c>
      <c r="C804" s="24" t="s">
        <v>488</v>
      </c>
      <c r="D804" s="136" t="str">
        <f t="array" ref="D804">IF(E804=0,0,(INDEX(AccountCodes[ACCOUNT NAME],MATCH(E804,AccountCodes[NGAS CODE],0))))</f>
        <v>Other Bonuses and Allowances - Meal Allowance</v>
      </c>
      <c r="E804" s="24" t="s">
        <v>6</v>
      </c>
      <c r="F804" s="502">
        <v>261</v>
      </c>
    </row>
    <row r="805" spans="1:6" x14ac:dyDescent="0.25">
      <c r="A805" s="308">
        <v>43220</v>
      </c>
      <c r="B805" s="24" t="s">
        <v>484</v>
      </c>
      <c r="C805" s="24" t="s">
        <v>488</v>
      </c>
      <c r="D805" s="136" t="str">
        <f t="array" ref="D805">IF(E805=0,0,(INDEX(AccountCodes[ACCOUNT NAME],MATCH(E805,AccountCodes[NGAS CODE],0))))</f>
        <v>Other Bonuses and Allowances - Meal Allowance</v>
      </c>
      <c r="E805" s="24" t="s">
        <v>6</v>
      </c>
      <c r="F805" s="502">
        <v>261</v>
      </c>
    </row>
    <row r="806" spans="1:6" x14ac:dyDescent="0.25">
      <c r="A806" s="308">
        <v>43251</v>
      </c>
      <c r="B806" s="24" t="s">
        <v>484</v>
      </c>
      <c r="C806" s="24" t="s">
        <v>488</v>
      </c>
      <c r="D806" s="136" t="str">
        <f t="array" ref="D806">IF(E806=0,0,(INDEX(AccountCodes[ACCOUNT NAME],MATCH(E806,AccountCodes[NGAS CODE],0))))</f>
        <v>Other Bonuses and Allowances - Meal Allowance</v>
      </c>
      <c r="E806" s="24" t="s">
        <v>6</v>
      </c>
      <c r="F806" s="502">
        <v>261</v>
      </c>
    </row>
    <row r="807" spans="1:6" x14ac:dyDescent="0.25">
      <c r="A807" s="308">
        <v>43281</v>
      </c>
      <c r="B807" s="24" t="s">
        <v>484</v>
      </c>
      <c r="C807" s="24" t="s">
        <v>488</v>
      </c>
      <c r="D807" s="136" t="str">
        <f t="array" ref="D807">IF(E807=0,0,(INDEX(AccountCodes[ACCOUNT NAME],MATCH(E807,AccountCodes[NGAS CODE],0))))</f>
        <v>Other Bonuses and Allowances - Meal Allowance</v>
      </c>
      <c r="E807" s="24" t="s">
        <v>6</v>
      </c>
      <c r="F807" s="502">
        <v>261</v>
      </c>
    </row>
    <row r="808" spans="1:6" x14ac:dyDescent="0.25">
      <c r="A808" s="308">
        <v>43312</v>
      </c>
      <c r="B808" s="24" t="s">
        <v>484</v>
      </c>
      <c r="C808" s="24" t="s">
        <v>488</v>
      </c>
      <c r="D808" s="136" t="str">
        <f t="array" ref="D808">IF(E808=0,0,(INDEX(AccountCodes[ACCOUNT NAME],MATCH(E808,AccountCodes[NGAS CODE],0))))</f>
        <v>Other Bonuses and Allowances - Meal Allowance</v>
      </c>
      <c r="E808" s="24" t="s">
        <v>6</v>
      </c>
      <c r="F808" s="502">
        <v>261</v>
      </c>
    </row>
    <row r="809" spans="1:6" x14ac:dyDescent="0.25">
      <c r="A809" s="308">
        <v>43343</v>
      </c>
      <c r="B809" s="24" t="s">
        <v>484</v>
      </c>
      <c r="C809" s="24" t="s">
        <v>488</v>
      </c>
      <c r="D809" s="136" t="str">
        <f t="array" ref="D809">IF(E809=0,0,(INDEX(AccountCodes[ACCOUNT NAME],MATCH(E809,AccountCodes[NGAS CODE],0))))</f>
        <v>Other Bonuses and Allowances - Meal Allowance</v>
      </c>
      <c r="E809" s="24" t="s">
        <v>6</v>
      </c>
      <c r="F809" s="502">
        <v>261</v>
      </c>
    </row>
    <row r="810" spans="1:6" x14ac:dyDescent="0.25">
      <c r="A810" s="308">
        <v>43373</v>
      </c>
      <c r="B810" s="24" t="s">
        <v>484</v>
      </c>
      <c r="C810" s="24" t="s">
        <v>488</v>
      </c>
      <c r="D810" s="136" t="str">
        <f t="array" ref="D810">IF(E810=0,0,(INDEX(AccountCodes[ACCOUNT NAME],MATCH(E810,AccountCodes[NGAS CODE],0))))</f>
        <v>Other Bonuses and Allowances - Meal Allowance</v>
      </c>
      <c r="E810" s="24" t="s">
        <v>6</v>
      </c>
      <c r="F810" s="502">
        <v>261</v>
      </c>
    </row>
    <row r="811" spans="1:6" x14ac:dyDescent="0.25">
      <c r="A811" s="308">
        <v>43404</v>
      </c>
      <c r="B811" s="24" t="s">
        <v>484</v>
      </c>
      <c r="C811" s="24" t="s">
        <v>488</v>
      </c>
      <c r="D811" s="136" t="str">
        <f t="array" ref="D811">IF(E811=0,0,(INDEX(AccountCodes[ACCOUNT NAME],MATCH(E811,AccountCodes[NGAS CODE],0))))</f>
        <v>Other Bonuses and Allowances - Meal Allowance</v>
      </c>
      <c r="E811" s="24" t="s">
        <v>6</v>
      </c>
      <c r="F811" s="502">
        <v>261</v>
      </c>
    </row>
    <row r="812" spans="1:6" x14ac:dyDescent="0.25">
      <c r="A812" s="308">
        <v>43434</v>
      </c>
      <c r="B812" s="24" t="s">
        <v>484</v>
      </c>
      <c r="C812" s="24" t="s">
        <v>488</v>
      </c>
      <c r="D812" s="136" t="str">
        <f t="array" ref="D812">IF(E812=0,0,(INDEX(AccountCodes[ACCOUNT NAME],MATCH(E812,AccountCodes[NGAS CODE],0))))</f>
        <v>Other Bonuses and Allowances - Meal Allowance</v>
      </c>
      <c r="E812" s="24" t="s">
        <v>6</v>
      </c>
      <c r="F812" s="502">
        <v>261</v>
      </c>
    </row>
    <row r="813" spans="1:6" x14ac:dyDescent="0.25">
      <c r="A813" s="308">
        <v>43465</v>
      </c>
      <c r="B813" s="24" t="s">
        <v>484</v>
      </c>
      <c r="C813" s="24" t="s">
        <v>488</v>
      </c>
      <c r="D813" s="136" t="str">
        <f t="array" ref="D813">IF(E813=0,0,(INDEX(AccountCodes[ACCOUNT NAME],MATCH(E813,AccountCodes[NGAS CODE],0))))</f>
        <v>Other Bonuses and Allowances - Meal Allowance</v>
      </c>
      <c r="E813" s="24" t="s">
        <v>6</v>
      </c>
      <c r="F813" s="502">
        <v>261</v>
      </c>
    </row>
    <row r="814" spans="1:6" x14ac:dyDescent="0.25">
      <c r="A814" s="308">
        <v>43465</v>
      </c>
      <c r="B814" s="24" t="s">
        <v>484</v>
      </c>
      <c r="C814" s="24" t="s">
        <v>488</v>
      </c>
      <c r="D814" s="136" t="str">
        <f t="array" ref="D814">IF(E814=0,0,(INDEX(AccountCodes[ACCOUNT NAME],MATCH(E814,AccountCodes[NGAS CODE],0))))</f>
        <v>Other Bonuses and Allowances - Productivity Enhancement Incentive-Civilian</v>
      </c>
      <c r="E814" s="309" t="s">
        <v>170</v>
      </c>
      <c r="F814" s="502">
        <v>135778</v>
      </c>
    </row>
    <row r="815" spans="1:6" x14ac:dyDescent="0.25">
      <c r="A815" s="308">
        <v>43434</v>
      </c>
      <c r="B815" s="24" t="s">
        <v>484</v>
      </c>
      <c r="C815" s="24" t="s">
        <v>488</v>
      </c>
      <c r="D815" s="136" t="str">
        <f t="array" ref="D815">IF(E815=0,0,(INDEX(AccountCodes[ACCOUNT NAME],MATCH(E815,AccountCodes[NGAS CODE],0))))</f>
        <v>Cash Gift</v>
      </c>
      <c r="E815" s="24" t="s">
        <v>172</v>
      </c>
      <c r="F815" s="502">
        <v>35000</v>
      </c>
    </row>
    <row r="816" spans="1:6" x14ac:dyDescent="0.25">
      <c r="A816" s="308">
        <v>43251</v>
      </c>
      <c r="B816" s="24" t="s">
        <v>484</v>
      </c>
      <c r="C816" s="24" t="s">
        <v>488</v>
      </c>
      <c r="D816" s="136" t="str">
        <f t="array" ref="D816">IF(E816=0,0,(INDEX(AccountCodes[ACCOUNT NAME],MATCH(E816,AccountCodes[NGAS CODE],0))))</f>
        <v>Mid-Year/Year End Bonus</v>
      </c>
      <c r="E816" s="24" t="s">
        <v>174</v>
      </c>
      <c r="F816" s="502">
        <v>135778</v>
      </c>
    </row>
    <row r="817" spans="1:6" x14ac:dyDescent="0.25">
      <c r="A817" s="308">
        <v>43434</v>
      </c>
      <c r="B817" s="24" t="s">
        <v>484</v>
      </c>
      <c r="C817" s="24" t="s">
        <v>488</v>
      </c>
      <c r="D817" s="136" t="str">
        <f t="array" ref="D817">IF(E817=0,0,(INDEX(AccountCodes[ACCOUNT NAME],MATCH(E817,AccountCodes[NGAS CODE],0))))</f>
        <v>Mid-Year/Year End Bonus</v>
      </c>
      <c r="E817" s="24" t="s">
        <v>174</v>
      </c>
      <c r="F817" s="502">
        <v>135778</v>
      </c>
    </row>
    <row r="818" spans="1:6" x14ac:dyDescent="0.25">
      <c r="A818" s="308">
        <v>43281</v>
      </c>
      <c r="B818" s="24" t="s">
        <v>484</v>
      </c>
      <c r="C818" s="24" t="s">
        <v>488</v>
      </c>
      <c r="D818" s="136" t="str">
        <f t="array" ref="D818">IF(E818=0,0,(INDEX(AccountCodes[ACCOUNT NAME],MATCH(E818,AccountCodes[NGAS CODE],0))))</f>
        <v>Longevity Pay</v>
      </c>
      <c r="E818" s="309" t="s">
        <v>216</v>
      </c>
      <c r="F818" s="502">
        <v>15000</v>
      </c>
    </row>
    <row r="819" spans="1:6" x14ac:dyDescent="0.25">
      <c r="A819" s="308">
        <v>43343</v>
      </c>
      <c r="B819" s="24" t="s">
        <v>484</v>
      </c>
      <c r="C819" s="24" t="s">
        <v>488</v>
      </c>
      <c r="D819" s="136" t="str">
        <f t="array" ref="D819">IF(E819=0,0,(INDEX(AccountCodes[ACCOUNT NAME],MATCH(E819,AccountCodes[NGAS CODE],0))))</f>
        <v>Terminal Leave Benefits</v>
      </c>
      <c r="E819" s="309" t="s">
        <v>212</v>
      </c>
      <c r="F819" s="502">
        <v>217407.29</v>
      </c>
    </row>
    <row r="820" spans="1:6" x14ac:dyDescent="0.25">
      <c r="A820" s="308">
        <v>43131</v>
      </c>
      <c r="B820" s="24" t="s">
        <v>484</v>
      </c>
      <c r="C820" s="24" t="s">
        <v>488</v>
      </c>
      <c r="D820" s="136" t="str">
        <f t="array" ref="D820">IF(E820=0,0,(INDEX(AccountCodes[ACCOUNT NAME],MATCH(E820,AccountCodes[NGAS CODE],0))))</f>
        <v>Retirement and Life Insurance Premiums</v>
      </c>
      <c r="E820" s="24" t="s">
        <v>175</v>
      </c>
      <c r="F820" s="502">
        <v>16293.36</v>
      </c>
    </row>
    <row r="821" spans="1:6" x14ac:dyDescent="0.25">
      <c r="A821" s="308">
        <v>43159</v>
      </c>
      <c r="B821" s="24" t="s">
        <v>484</v>
      </c>
      <c r="C821" s="24" t="s">
        <v>488</v>
      </c>
      <c r="D821" s="136" t="str">
        <f t="array" ref="D821">IF(E821=0,0,(INDEX(AccountCodes[ACCOUNT NAME],MATCH(E821,AccountCodes[NGAS CODE],0))))</f>
        <v>Retirement and Life Insurance Premiums</v>
      </c>
      <c r="E821" s="24" t="s">
        <v>175</v>
      </c>
      <c r="F821" s="502">
        <v>16293.36</v>
      </c>
    </row>
    <row r="822" spans="1:6" x14ac:dyDescent="0.25">
      <c r="A822" s="308">
        <v>43190</v>
      </c>
      <c r="B822" s="24" t="s">
        <v>484</v>
      </c>
      <c r="C822" s="24" t="s">
        <v>488</v>
      </c>
      <c r="D822" s="136" t="str">
        <f t="array" ref="D822">IF(E822=0,0,(INDEX(AccountCodes[ACCOUNT NAME],MATCH(E822,AccountCodes[NGAS CODE],0))))</f>
        <v>Retirement and Life Insurance Premiums</v>
      </c>
      <c r="E822" s="24" t="s">
        <v>175</v>
      </c>
      <c r="F822" s="502">
        <v>16293.36</v>
      </c>
    </row>
    <row r="823" spans="1:6" x14ac:dyDescent="0.25">
      <c r="A823" s="308">
        <v>43220</v>
      </c>
      <c r="B823" s="24" t="s">
        <v>484</v>
      </c>
      <c r="C823" s="24" t="s">
        <v>488</v>
      </c>
      <c r="D823" s="136" t="str">
        <f t="array" ref="D823">IF(E823=0,0,(INDEX(AccountCodes[ACCOUNT NAME],MATCH(E823,AccountCodes[NGAS CODE],0))))</f>
        <v>Retirement and Life Insurance Premiums</v>
      </c>
      <c r="E823" s="24" t="s">
        <v>175</v>
      </c>
      <c r="F823" s="502">
        <v>16293.36</v>
      </c>
    </row>
    <row r="824" spans="1:6" x14ac:dyDescent="0.25">
      <c r="A824" s="308">
        <v>43251</v>
      </c>
      <c r="B824" s="24" t="s">
        <v>484</v>
      </c>
      <c r="C824" s="24" t="s">
        <v>488</v>
      </c>
      <c r="D824" s="136" t="str">
        <f t="array" ref="D824">IF(E824=0,0,(INDEX(AccountCodes[ACCOUNT NAME],MATCH(E824,AccountCodes[NGAS CODE],0))))</f>
        <v>Retirement and Life Insurance Premiums</v>
      </c>
      <c r="E824" s="24" t="s">
        <v>175</v>
      </c>
      <c r="F824" s="502">
        <v>16293.36</v>
      </c>
    </row>
    <row r="825" spans="1:6" x14ac:dyDescent="0.25">
      <c r="A825" s="308">
        <v>43281</v>
      </c>
      <c r="B825" s="24" t="s">
        <v>484</v>
      </c>
      <c r="C825" s="24" t="s">
        <v>488</v>
      </c>
      <c r="D825" s="136" t="str">
        <f t="array" ref="D825">IF(E825=0,0,(INDEX(AccountCodes[ACCOUNT NAME],MATCH(E825,AccountCodes[NGAS CODE],0))))</f>
        <v>Retirement and Life Insurance Premiums</v>
      </c>
      <c r="E825" s="24" t="s">
        <v>175</v>
      </c>
      <c r="F825" s="502">
        <v>16293.36</v>
      </c>
    </row>
    <row r="826" spans="1:6" x14ac:dyDescent="0.25">
      <c r="A826" s="308">
        <v>43312</v>
      </c>
      <c r="B826" s="24" t="s">
        <v>484</v>
      </c>
      <c r="C826" s="24" t="s">
        <v>488</v>
      </c>
      <c r="D826" s="136" t="str">
        <f t="array" ref="D826">IF(E826=0,0,(INDEX(AccountCodes[ACCOUNT NAME],MATCH(E826,AccountCodes[NGAS CODE],0))))</f>
        <v>Retirement and Life Insurance Premiums</v>
      </c>
      <c r="E826" s="24" t="s">
        <v>175</v>
      </c>
      <c r="F826" s="502">
        <v>16293.36</v>
      </c>
    </row>
    <row r="827" spans="1:6" x14ac:dyDescent="0.25">
      <c r="A827" s="308">
        <v>43343</v>
      </c>
      <c r="B827" s="24" t="s">
        <v>484</v>
      </c>
      <c r="C827" s="24" t="s">
        <v>488</v>
      </c>
      <c r="D827" s="136" t="str">
        <f t="array" ref="D827">IF(E827=0,0,(INDEX(AccountCodes[ACCOUNT NAME],MATCH(E827,AccountCodes[NGAS CODE],0))))</f>
        <v>Retirement and Life Insurance Premiums</v>
      </c>
      <c r="E827" s="24" t="s">
        <v>175</v>
      </c>
      <c r="F827" s="502">
        <v>16293.36</v>
      </c>
    </row>
    <row r="828" spans="1:6" x14ac:dyDescent="0.25">
      <c r="A828" s="308">
        <v>43373</v>
      </c>
      <c r="B828" s="24" t="s">
        <v>484</v>
      </c>
      <c r="C828" s="24" t="s">
        <v>488</v>
      </c>
      <c r="D828" s="136" t="str">
        <f t="array" ref="D828">IF(E828=0,0,(INDEX(AccountCodes[ACCOUNT NAME],MATCH(E828,AccountCodes[NGAS CODE],0))))</f>
        <v>Retirement and Life Insurance Premiums</v>
      </c>
      <c r="E828" s="24" t="s">
        <v>175</v>
      </c>
      <c r="F828" s="502">
        <v>16293.36</v>
      </c>
    </row>
    <row r="829" spans="1:6" x14ac:dyDescent="0.25">
      <c r="A829" s="308">
        <v>43404</v>
      </c>
      <c r="B829" s="24" t="s">
        <v>484</v>
      </c>
      <c r="C829" s="24" t="s">
        <v>488</v>
      </c>
      <c r="D829" s="136" t="str">
        <f t="array" ref="D829">IF(E829=0,0,(INDEX(AccountCodes[ACCOUNT NAME],MATCH(E829,AccountCodes[NGAS CODE],0))))</f>
        <v>Retirement and Life Insurance Premiums</v>
      </c>
      <c r="E829" s="24" t="s">
        <v>175</v>
      </c>
      <c r="F829" s="502">
        <v>16293.36</v>
      </c>
    </row>
    <row r="830" spans="1:6" x14ac:dyDescent="0.25">
      <c r="A830" s="308">
        <v>43434</v>
      </c>
      <c r="B830" s="24" t="s">
        <v>484</v>
      </c>
      <c r="C830" s="24" t="s">
        <v>488</v>
      </c>
      <c r="D830" s="136" t="str">
        <f t="array" ref="D830">IF(E830=0,0,(INDEX(AccountCodes[ACCOUNT NAME],MATCH(E830,AccountCodes[NGAS CODE],0))))</f>
        <v>Retirement and Life Insurance Premiums</v>
      </c>
      <c r="E830" s="24" t="s">
        <v>175</v>
      </c>
      <c r="F830" s="502">
        <v>16293.36</v>
      </c>
    </row>
    <row r="831" spans="1:6" x14ac:dyDescent="0.25">
      <c r="A831" s="308">
        <v>43465</v>
      </c>
      <c r="B831" s="24" t="s">
        <v>484</v>
      </c>
      <c r="C831" s="24" t="s">
        <v>488</v>
      </c>
      <c r="D831" s="136" t="str">
        <f t="array" ref="D831">IF(E831=0,0,(INDEX(AccountCodes[ACCOUNT NAME],MATCH(E831,AccountCodes[NGAS CODE],0))))</f>
        <v>Retirement and Life Insurance Premiums</v>
      </c>
      <c r="E831" s="24" t="s">
        <v>175</v>
      </c>
      <c r="F831" s="502">
        <v>16293.36</v>
      </c>
    </row>
    <row r="832" spans="1:6" x14ac:dyDescent="0.25">
      <c r="A832" s="308">
        <v>43131</v>
      </c>
      <c r="B832" s="24" t="s">
        <v>484</v>
      </c>
      <c r="C832" s="24" t="s">
        <v>488</v>
      </c>
      <c r="D832" s="136" t="str">
        <f t="array" ref="D832">IF(E832=0,0,(INDEX(AccountCodes[ACCOUNT NAME],MATCH(E832,AccountCodes[NGAS CODE],0))))</f>
        <v>Pag-IBIG Contributions</v>
      </c>
      <c r="E832" s="24" t="s">
        <v>176</v>
      </c>
      <c r="F832" s="502">
        <v>775</v>
      </c>
    </row>
    <row r="833" spans="1:6" x14ac:dyDescent="0.25">
      <c r="A833" s="308">
        <v>43159</v>
      </c>
      <c r="B833" s="24" t="s">
        <v>484</v>
      </c>
      <c r="C833" s="24" t="s">
        <v>488</v>
      </c>
      <c r="D833" s="136" t="str">
        <f t="array" ref="D833">IF(E833=0,0,(INDEX(AccountCodes[ACCOUNT NAME],MATCH(E833,AccountCodes[NGAS CODE],0))))</f>
        <v>Pag-IBIG Contributions</v>
      </c>
      <c r="E833" s="24" t="s">
        <v>176</v>
      </c>
      <c r="F833" s="502">
        <v>775</v>
      </c>
    </row>
    <row r="834" spans="1:6" x14ac:dyDescent="0.25">
      <c r="A834" s="308">
        <v>43190</v>
      </c>
      <c r="B834" s="24" t="s">
        <v>484</v>
      </c>
      <c r="C834" s="24" t="s">
        <v>488</v>
      </c>
      <c r="D834" s="136" t="str">
        <f t="array" ref="D834">IF(E834=0,0,(INDEX(AccountCodes[ACCOUNT NAME],MATCH(E834,AccountCodes[NGAS CODE],0))))</f>
        <v>Pag-IBIG Contributions</v>
      </c>
      <c r="E834" s="24" t="s">
        <v>176</v>
      </c>
      <c r="F834" s="502">
        <v>775</v>
      </c>
    </row>
    <row r="835" spans="1:6" x14ac:dyDescent="0.25">
      <c r="A835" s="308">
        <v>43220</v>
      </c>
      <c r="B835" s="24" t="s">
        <v>484</v>
      </c>
      <c r="C835" s="24" t="s">
        <v>488</v>
      </c>
      <c r="D835" s="136" t="str">
        <f t="array" ref="D835">IF(E835=0,0,(INDEX(AccountCodes[ACCOUNT NAME],MATCH(E835,AccountCodes[NGAS CODE],0))))</f>
        <v>Pag-IBIG Contributions</v>
      </c>
      <c r="E835" s="24" t="s">
        <v>176</v>
      </c>
      <c r="F835" s="502">
        <v>775</v>
      </c>
    </row>
    <row r="836" spans="1:6" x14ac:dyDescent="0.25">
      <c r="A836" s="308">
        <v>43251</v>
      </c>
      <c r="B836" s="24" t="s">
        <v>484</v>
      </c>
      <c r="C836" s="24" t="s">
        <v>488</v>
      </c>
      <c r="D836" s="136" t="str">
        <f t="array" ref="D836">IF(E836=0,0,(INDEX(AccountCodes[ACCOUNT NAME],MATCH(E836,AccountCodes[NGAS CODE],0))))</f>
        <v>Pag-IBIG Contributions</v>
      </c>
      <c r="E836" s="24" t="s">
        <v>176</v>
      </c>
      <c r="F836" s="502">
        <v>775</v>
      </c>
    </row>
    <row r="837" spans="1:6" x14ac:dyDescent="0.25">
      <c r="A837" s="308">
        <v>43281</v>
      </c>
      <c r="B837" s="24" t="s">
        <v>484</v>
      </c>
      <c r="C837" s="24" t="s">
        <v>488</v>
      </c>
      <c r="D837" s="136" t="str">
        <f t="array" ref="D837">IF(E837=0,0,(INDEX(AccountCodes[ACCOUNT NAME],MATCH(E837,AccountCodes[NGAS CODE],0))))</f>
        <v>Pag-IBIG Contributions</v>
      </c>
      <c r="E837" s="24" t="s">
        <v>176</v>
      </c>
      <c r="F837" s="502">
        <v>775</v>
      </c>
    </row>
    <row r="838" spans="1:6" x14ac:dyDescent="0.25">
      <c r="A838" s="308">
        <v>43312</v>
      </c>
      <c r="B838" s="24" t="s">
        <v>484</v>
      </c>
      <c r="C838" s="24" t="s">
        <v>488</v>
      </c>
      <c r="D838" s="136" t="str">
        <f t="array" ref="D838">IF(E838=0,0,(INDEX(AccountCodes[ACCOUNT NAME],MATCH(E838,AccountCodes[NGAS CODE],0))))</f>
        <v>Pag-IBIG Contributions</v>
      </c>
      <c r="E838" s="24" t="s">
        <v>176</v>
      </c>
      <c r="F838" s="502">
        <v>775</v>
      </c>
    </row>
    <row r="839" spans="1:6" x14ac:dyDescent="0.25">
      <c r="A839" s="308">
        <v>43343</v>
      </c>
      <c r="B839" s="24" t="s">
        <v>484</v>
      </c>
      <c r="C839" s="24" t="s">
        <v>488</v>
      </c>
      <c r="D839" s="136" t="str">
        <f t="array" ref="D839">IF(E839=0,0,(INDEX(AccountCodes[ACCOUNT NAME],MATCH(E839,AccountCodes[NGAS CODE],0))))</f>
        <v>Pag-IBIG Contributions</v>
      </c>
      <c r="E839" s="24" t="s">
        <v>176</v>
      </c>
      <c r="F839" s="502">
        <v>775</v>
      </c>
    </row>
    <row r="840" spans="1:6" x14ac:dyDescent="0.25">
      <c r="A840" s="308">
        <v>43373</v>
      </c>
      <c r="B840" s="24" t="s">
        <v>484</v>
      </c>
      <c r="C840" s="24" t="s">
        <v>488</v>
      </c>
      <c r="D840" s="136" t="str">
        <f t="array" ref="D840">IF(E840=0,0,(INDEX(AccountCodes[ACCOUNT NAME],MATCH(E840,AccountCodes[NGAS CODE],0))))</f>
        <v>Pag-IBIG Contributions</v>
      </c>
      <c r="E840" s="24" t="s">
        <v>176</v>
      </c>
      <c r="F840" s="502">
        <v>775</v>
      </c>
    </row>
    <row r="841" spans="1:6" x14ac:dyDescent="0.25">
      <c r="A841" s="308">
        <v>43404</v>
      </c>
      <c r="B841" s="24" t="s">
        <v>484</v>
      </c>
      <c r="C841" s="24" t="s">
        <v>488</v>
      </c>
      <c r="D841" s="136" t="str">
        <f t="array" ref="D841">IF(E841=0,0,(INDEX(AccountCodes[ACCOUNT NAME],MATCH(E841,AccountCodes[NGAS CODE],0))))</f>
        <v>Pag-IBIG Contributions</v>
      </c>
      <c r="E841" s="24" t="s">
        <v>176</v>
      </c>
      <c r="F841" s="502">
        <v>775</v>
      </c>
    </row>
    <row r="842" spans="1:6" x14ac:dyDescent="0.25">
      <c r="A842" s="308">
        <v>43434</v>
      </c>
      <c r="B842" s="24" t="s">
        <v>484</v>
      </c>
      <c r="C842" s="24" t="s">
        <v>488</v>
      </c>
      <c r="D842" s="136" t="str">
        <f t="array" ref="D842">IF(E842=0,0,(INDEX(AccountCodes[ACCOUNT NAME],MATCH(E842,AccountCodes[NGAS CODE],0))))</f>
        <v>Pag-IBIG Contributions</v>
      </c>
      <c r="E842" s="24" t="s">
        <v>176</v>
      </c>
      <c r="F842" s="502">
        <v>775</v>
      </c>
    </row>
    <row r="843" spans="1:6" x14ac:dyDescent="0.25">
      <c r="A843" s="308">
        <v>43465</v>
      </c>
      <c r="B843" s="24" t="s">
        <v>484</v>
      </c>
      <c r="C843" s="24" t="s">
        <v>488</v>
      </c>
      <c r="D843" s="136" t="str">
        <f t="array" ref="D843">IF(E843=0,0,(INDEX(AccountCodes[ACCOUNT NAME],MATCH(E843,AccountCodes[NGAS CODE],0))))</f>
        <v>Pag-IBIG Contributions</v>
      </c>
      <c r="E843" s="24" t="s">
        <v>176</v>
      </c>
      <c r="F843" s="502">
        <v>775</v>
      </c>
    </row>
    <row r="844" spans="1:6" x14ac:dyDescent="0.25">
      <c r="A844" s="308">
        <v>43131</v>
      </c>
      <c r="B844" s="24" t="s">
        <v>484</v>
      </c>
      <c r="C844" s="24" t="s">
        <v>488</v>
      </c>
      <c r="D844" s="136" t="str">
        <f t="array" ref="D844">IF(E844=0,0,(INDEX(AccountCodes[ACCOUNT NAME],MATCH(E844,AccountCodes[NGAS CODE],0))))</f>
        <v>PhilHealth Contributions</v>
      </c>
      <c r="E844" s="24" t="s">
        <v>177</v>
      </c>
      <c r="F844" s="502">
        <v>1470.5</v>
      </c>
    </row>
    <row r="845" spans="1:6" x14ac:dyDescent="0.25">
      <c r="A845" s="308">
        <v>43159</v>
      </c>
      <c r="B845" s="24" t="s">
        <v>484</v>
      </c>
      <c r="C845" s="24" t="s">
        <v>488</v>
      </c>
      <c r="D845" s="136" t="str">
        <f t="array" ref="D845">IF(E845=0,0,(INDEX(AccountCodes[ACCOUNT NAME],MATCH(E845,AccountCodes[NGAS CODE],0))))</f>
        <v>PhilHealth Contributions</v>
      </c>
      <c r="E845" s="24" t="s">
        <v>177</v>
      </c>
      <c r="F845" s="502">
        <v>1470.5</v>
      </c>
    </row>
    <row r="846" spans="1:6" x14ac:dyDescent="0.25">
      <c r="A846" s="308">
        <v>43190</v>
      </c>
      <c r="B846" s="24" t="s">
        <v>484</v>
      </c>
      <c r="C846" s="24" t="s">
        <v>488</v>
      </c>
      <c r="D846" s="136" t="str">
        <f t="array" ref="D846">IF(E846=0,0,(INDEX(AccountCodes[ACCOUNT NAME],MATCH(E846,AccountCodes[NGAS CODE],0))))</f>
        <v>PhilHealth Contributions</v>
      </c>
      <c r="E846" s="24" t="s">
        <v>177</v>
      </c>
      <c r="F846" s="502">
        <v>1470.5</v>
      </c>
    </row>
    <row r="847" spans="1:6" x14ac:dyDescent="0.25">
      <c r="A847" s="308">
        <v>43220</v>
      </c>
      <c r="B847" s="24" t="s">
        <v>484</v>
      </c>
      <c r="C847" s="24" t="s">
        <v>488</v>
      </c>
      <c r="D847" s="136" t="str">
        <f t="array" ref="D847">IF(E847=0,0,(INDEX(AccountCodes[ACCOUNT NAME],MATCH(E847,AccountCodes[NGAS CODE],0))))</f>
        <v>PhilHealth Contributions</v>
      </c>
      <c r="E847" s="24" t="s">
        <v>177</v>
      </c>
      <c r="F847" s="502">
        <v>1470.5</v>
      </c>
    </row>
    <row r="848" spans="1:6" x14ac:dyDescent="0.25">
      <c r="A848" s="308">
        <v>43251</v>
      </c>
      <c r="B848" s="24" t="s">
        <v>484</v>
      </c>
      <c r="C848" s="24" t="s">
        <v>488</v>
      </c>
      <c r="D848" s="136" t="str">
        <f t="array" ref="D848">IF(E848=0,0,(INDEX(AccountCodes[ACCOUNT NAME],MATCH(E848,AccountCodes[NGAS CODE],0))))</f>
        <v>PhilHealth Contributions</v>
      </c>
      <c r="E848" s="24" t="s">
        <v>177</v>
      </c>
      <c r="F848" s="502">
        <v>1470.5</v>
      </c>
    </row>
    <row r="849" spans="1:6" x14ac:dyDescent="0.25">
      <c r="A849" s="308">
        <v>43281</v>
      </c>
      <c r="B849" s="24" t="s">
        <v>484</v>
      </c>
      <c r="C849" s="24" t="s">
        <v>488</v>
      </c>
      <c r="D849" s="136" t="str">
        <f t="array" ref="D849">IF(E849=0,0,(INDEX(AccountCodes[ACCOUNT NAME],MATCH(E849,AccountCodes[NGAS CODE],0))))</f>
        <v>PhilHealth Contributions</v>
      </c>
      <c r="E849" s="24" t="s">
        <v>177</v>
      </c>
      <c r="F849" s="502">
        <v>1470.5</v>
      </c>
    </row>
    <row r="850" spans="1:6" x14ac:dyDescent="0.25">
      <c r="A850" s="308">
        <v>43312</v>
      </c>
      <c r="B850" s="24" t="s">
        <v>484</v>
      </c>
      <c r="C850" s="24" t="s">
        <v>488</v>
      </c>
      <c r="D850" s="136" t="str">
        <f t="array" ref="D850">IF(E850=0,0,(INDEX(AccountCodes[ACCOUNT NAME],MATCH(E850,AccountCodes[NGAS CODE],0))))</f>
        <v>PhilHealth Contributions</v>
      </c>
      <c r="E850" s="24" t="s">
        <v>177</v>
      </c>
      <c r="F850" s="502">
        <v>1470.5</v>
      </c>
    </row>
    <row r="851" spans="1:6" x14ac:dyDescent="0.25">
      <c r="A851" s="308">
        <v>43343</v>
      </c>
      <c r="B851" s="24" t="s">
        <v>484</v>
      </c>
      <c r="C851" s="24" t="s">
        <v>488</v>
      </c>
      <c r="D851" s="136" t="str">
        <f t="array" ref="D851">IF(E851=0,0,(INDEX(AccountCodes[ACCOUNT NAME],MATCH(E851,AccountCodes[NGAS CODE],0))))</f>
        <v>PhilHealth Contributions</v>
      </c>
      <c r="E851" s="24" t="s">
        <v>177</v>
      </c>
      <c r="F851" s="502">
        <v>1470.5</v>
      </c>
    </row>
    <row r="852" spans="1:6" x14ac:dyDescent="0.25">
      <c r="A852" s="308">
        <v>43373</v>
      </c>
      <c r="B852" s="24" t="s">
        <v>484</v>
      </c>
      <c r="C852" s="24" t="s">
        <v>488</v>
      </c>
      <c r="D852" s="136" t="str">
        <f t="array" ref="D852">IF(E852=0,0,(INDEX(AccountCodes[ACCOUNT NAME],MATCH(E852,AccountCodes[NGAS CODE],0))))</f>
        <v>PhilHealth Contributions</v>
      </c>
      <c r="E852" s="24" t="s">
        <v>177</v>
      </c>
      <c r="F852" s="502">
        <v>1470.5</v>
      </c>
    </row>
    <row r="853" spans="1:6" x14ac:dyDescent="0.25">
      <c r="A853" s="308">
        <v>43404</v>
      </c>
      <c r="B853" s="24" t="s">
        <v>484</v>
      </c>
      <c r="C853" s="24" t="s">
        <v>488</v>
      </c>
      <c r="D853" s="136" t="str">
        <f t="array" ref="D853">IF(E853=0,0,(INDEX(AccountCodes[ACCOUNT NAME],MATCH(E853,AccountCodes[NGAS CODE],0))))</f>
        <v>PhilHealth Contributions</v>
      </c>
      <c r="E853" s="24" t="s">
        <v>177</v>
      </c>
      <c r="F853" s="502">
        <v>1470.5</v>
      </c>
    </row>
    <row r="854" spans="1:6" x14ac:dyDescent="0.25">
      <c r="A854" s="308">
        <v>43434</v>
      </c>
      <c r="B854" s="24" t="s">
        <v>484</v>
      </c>
      <c r="C854" s="24" t="s">
        <v>488</v>
      </c>
      <c r="D854" s="136" t="str">
        <f t="array" ref="D854">IF(E854=0,0,(INDEX(AccountCodes[ACCOUNT NAME],MATCH(E854,AccountCodes[NGAS CODE],0))))</f>
        <v>PhilHealth Contributions</v>
      </c>
      <c r="E854" s="24" t="s">
        <v>177</v>
      </c>
      <c r="F854" s="502">
        <v>1470.5</v>
      </c>
    </row>
    <row r="855" spans="1:6" x14ac:dyDescent="0.25">
      <c r="A855" s="308">
        <v>43465</v>
      </c>
      <c r="B855" s="24" t="s">
        <v>484</v>
      </c>
      <c r="C855" s="24" t="s">
        <v>488</v>
      </c>
      <c r="D855" s="136" t="str">
        <f t="array" ref="D855">IF(E855=0,0,(INDEX(AccountCodes[ACCOUNT NAME],MATCH(E855,AccountCodes[NGAS CODE],0))))</f>
        <v>PhilHealth Contributions</v>
      </c>
      <c r="E855" s="24" t="s">
        <v>177</v>
      </c>
      <c r="F855" s="502">
        <v>1470.5</v>
      </c>
    </row>
    <row r="856" spans="1:6" x14ac:dyDescent="0.25">
      <c r="A856" s="308">
        <v>43131</v>
      </c>
      <c r="B856" s="24" t="s">
        <v>484</v>
      </c>
      <c r="C856" s="24" t="s">
        <v>488</v>
      </c>
      <c r="D856" s="136" t="str">
        <f t="array" ref="D856">IF(E856=0,0,(INDEX(AccountCodes[ACCOUNT NAME],MATCH(E856,AccountCodes[NGAS CODE],0))))</f>
        <v>Employees Compensation Insurance Premiums</v>
      </c>
      <c r="E856" s="24" t="s">
        <v>178</v>
      </c>
      <c r="F856" s="502">
        <v>700</v>
      </c>
    </row>
    <row r="857" spans="1:6" x14ac:dyDescent="0.25">
      <c r="A857" s="308">
        <v>43159</v>
      </c>
      <c r="B857" s="24" t="s">
        <v>484</v>
      </c>
      <c r="C857" s="24" t="s">
        <v>488</v>
      </c>
      <c r="D857" s="136" t="str">
        <f t="array" ref="D857">IF(E857=0,0,(INDEX(AccountCodes[ACCOUNT NAME],MATCH(E857,AccountCodes[NGAS CODE],0))))</f>
        <v>Employees Compensation Insurance Premiums</v>
      </c>
      <c r="E857" s="24" t="s">
        <v>178</v>
      </c>
      <c r="F857" s="502">
        <v>700</v>
      </c>
    </row>
    <row r="858" spans="1:6" x14ac:dyDescent="0.25">
      <c r="A858" s="308">
        <v>43190</v>
      </c>
      <c r="B858" s="24" t="s">
        <v>484</v>
      </c>
      <c r="C858" s="24" t="s">
        <v>488</v>
      </c>
      <c r="D858" s="136" t="str">
        <f t="array" ref="D858">IF(E858=0,0,(INDEX(AccountCodes[ACCOUNT NAME],MATCH(E858,AccountCodes[NGAS CODE],0))))</f>
        <v>Employees Compensation Insurance Premiums</v>
      </c>
      <c r="E858" s="24" t="s">
        <v>178</v>
      </c>
      <c r="F858" s="502">
        <v>700</v>
      </c>
    </row>
    <row r="859" spans="1:6" x14ac:dyDescent="0.25">
      <c r="A859" s="308">
        <v>43220</v>
      </c>
      <c r="B859" s="24" t="s">
        <v>484</v>
      </c>
      <c r="C859" s="24" t="s">
        <v>488</v>
      </c>
      <c r="D859" s="136" t="str">
        <f t="array" ref="D859">IF(E859=0,0,(INDEX(AccountCodes[ACCOUNT NAME],MATCH(E859,AccountCodes[NGAS CODE],0))))</f>
        <v>Employees Compensation Insurance Premiums</v>
      </c>
      <c r="E859" s="24" t="s">
        <v>178</v>
      </c>
      <c r="F859" s="502">
        <v>700</v>
      </c>
    </row>
    <row r="860" spans="1:6" x14ac:dyDescent="0.25">
      <c r="A860" s="308">
        <v>43251</v>
      </c>
      <c r="B860" s="24" t="s">
        <v>484</v>
      </c>
      <c r="C860" s="24" t="s">
        <v>488</v>
      </c>
      <c r="D860" s="136" t="str">
        <f t="array" ref="D860">IF(E860=0,0,(INDEX(AccountCodes[ACCOUNT NAME],MATCH(E860,AccountCodes[NGAS CODE],0))))</f>
        <v>Employees Compensation Insurance Premiums</v>
      </c>
      <c r="E860" s="24" t="s">
        <v>178</v>
      </c>
      <c r="F860" s="502">
        <v>700</v>
      </c>
    </row>
    <row r="861" spans="1:6" x14ac:dyDescent="0.25">
      <c r="A861" s="308">
        <v>43281</v>
      </c>
      <c r="B861" s="24" t="s">
        <v>484</v>
      </c>
      <c r="C861" s="24" t="s">
        <v>488</v>
      </c>
      <c r="D861" s="136" t="str">
        <f t="array" ref="D861">IF(E861=0,0,(INDEX(AccountCodes[ACCOUNT NAME],MATCH(E861,AccountCodes[NGAS CODE],0))))</f>
        <v>Employees Compensation Insurance Premiums</v>
      </c>
      <c r="E861" s="24" t="s">
        <v>178</v>
      </c>
      <c r="F861" s="502">
        <v>700</v>
      </c>
    </row>
    <row r="862" spans="1:6" x14ac:dyDescent="0.25">
      <c r="A862" s="308">
        <v>43312</v>
      </c>
      <c r="B862" s="24" t="s">
        <v>484</v>
      </c>
      <c r="C862" s="24" t="s">
        <v>488</v>
      </c>
      <c r="D862" s="136" t="str">
        <f t="array" ref="D862">IF(E862=0,0,(INDEX(AccountCodes[ACCOUNT NAME],MATCH(E862,AccountCodes[NGAS CODE],0))))</f>
        <v>Employees Compensation Insurance Premiums</v>
      </c>
      <c r="E862" s="24" t="s">
        <v>178</v>
      </c>
      <c r="F862" s="502">
        <v>700</v>
      </c>
    </row>
    <row r="863" spans="1:6" x14ac:dyDescent="0.25">
      <c r="A863" s="308">
        <v>43343</v>
      </c>
      <c r="B863" s="24" t="s">
        <v>484</v>
      </c>
      <c r="C863" s="24" t="s">
        <v>488</v>
      </c>
      <c r="D863" s="136" t="str">
        <f t="array" ref="D863">IF(E863=0,0,(INDEX(AccountCodes[ACCOUNT NAME],MATCH(E863,AccountCodes[NGAS CODE],0))))</f>
        <v>Employees Compensation Insurance Premiums</v>
      </c>
      <c r="E863" s="24" t="s">
        <v>178</v>
      </c>
      <c r="F863" s="502">
        <v>700</v>
      </c>
    </row>
    <row r="864" spans="1:6" x14ac:dyDescent="0.25">
      <c r="A864" s="308">
        <v>43373</v>
      </c>
      <c r="B864" s="24" t="s">
        <v>484</v>
      </c>
      <c r="C864" s="24" t="s">
        <v>488</v>
      </c>
      <c r="D864" s="136" t="str">
        <f t="array" ref="D864">IF(E864=0,0,(INDEX(AccountCodes[ACCOUNT NAME],MATCH(E864,AccountCodes[NGAS CODE],0))))</f>
        <v>Employees Compensation Insurance Premiums</v>
      </c>
      <c r="E864" s="24" t="s">
        <v>178</v>
      </c>
      <c r="F864" s="502">
        <v>700</v>
      </c>
    </row>
    <row r="865" spans="1:6" x14ac:dyDescent="0.25">
      <c r="A865" s="308">
        <v>43404</v>
      </c>
      <c r="B865" s="24" t="s">
        <v>484</v>
      </c>
      <c r="C865" s="24" t="s">
        <v>488</v>
      </c>
      <c r="D865" s="136" t="str">
        <f t="array" ref="D865">IF(E865=0,0,(INDEX(AccountCodes[ACCOUNT NAME],MATCH(E865,AccountCodes[NGAS CODE],0))))</f>
        <v>Employees Compensation Insurance Premiums</v>
      </c>
      <c r="E865" s="24" t="s">
        <v>178</v>
      </c>
      <c r="F865" s="502">
        <v>700</v>
      </c>
    </row>
    <row r="866" spans="1:6" x14ac:dyDescent="0.25">
      <c r="A866" s="308">
        <v>43434</v>
      </c>
      <c r="B866" s="24" t="s">
        <v>484</v>
      </c>
      <c r="C866" s="24" t="s">
        <v>488</v>
      </c>
      <c r="D866" s="136" t="str">
        <f t="array" ref="D866">IF(E866=0,0,(INDEX(AccountCodes[ACCOUNT NAME],MATCH(E866,AccountCodes[NGAS CODE],0))))</f>
        <v>Employees Compensation Insurance Premiums</v>
      </c>
      <c r="E866" s="24" t="s">
        <v>178</v>
      </c>
      <c r="F866" s="502">
        <v>700</v>
      </c>
    </row>
    <row r="867" spans="1:6" x14ac:dyDescent="0.25">
      <c r="A867" s="308">
        <v>43465</v>
      </c>
      <c r="B867" s="24" t="s">
        <v>484</v>
      </c>
      <c r="C867" s="24" t="s">
        <v>488</v>
      </c>
      <c r="D867" s="136" t="str">
        <f t="array" ref="D867">IF(E867=0,0,(INDEX(AccountCodes[ACCOUNT NAME],MATCH(E867,AccountCodes[NGAS CODE],0))))</f>
        <v>Employees Compensation Insurance Premiums</v>
      </c>
      <c r="E867" s="24" t="s">
        <v>178</v>
      </c>
      <c r="F867" s="502">
        <v>700</v>
      </c>
    </row>
    <row r="868" spans="1:6" x14ac:dyDescent="0.25">
      <c r="A868" s="308">
        <v>43131</v>
      </c>
      <c r="B868" s="24" t="s">
        <v>484</v>
      </c>
      <c r="C868" s="24" t="s">
        <v>488</v>
      </c>
      <c r="D868" s="136" t="str">
        <f t="array" ref="D868">IF(E868=0,0,(INDEX(AccountCodes[ACCOUNT NAME],MATCH(E868,AccountCodes[NGAS CODE],0))))</f>
        <v>Traveling Expenses-Local</v>
      </c>
      <c r="E868" s="24" t="s">
        <v>223</v>
      </c>
      <c r="F868" s="502">
        <v>2400</v>
      </c>
    </row>
    <row r="869" spans="1:6" x14ac:dyDescent="0.25">
      <c r="A869" s="308">
        <v>43159</v>
      </c>
      <c r="B869" s="24" t="s">
        <v>484</v>
      </c>
      <c r="C869" s="24" t="s">
        <v>488</v>
      </c>
      <c r="D869" s="136" t="str">
        <f t="array" ref="D869">IF(E869=0,0,(INDEX(AccountCodes[ACCOUNT NAME],MATCH(E869,AccountCodes[NGAS CODE],0))))</f>
        <v>Traveling Expenses-Local</v>
      </c>
      <c r="E869" s="24" t="s">
        <v>223</v>
      </c>
      <c r="F869" s="502">
        <v>2400</v>
      </c>
    </row>
    <row r="870" spans="1:6" x14ac:dyDescent="0.25">
      <c r="A870" s="308">
        <v>43190</v>
      </c>
      <c r="B870" s="24" t="s">
        <v>484</v>
      </c>
      <c r="C870" s="24" t="s">
        <v>488</v>
      </c>
      <c r="D870" s="136" t="str">
        <f t="array" ref="D870">IF(E870=0,0,(INDEX(AccountCodes[ACCOUNT NAME],MATCH(E870,AccountCodes[NGAS CODE],0))))</f>
        <v>Traveling Expenses-Local</v>
      </c>
      <c r="E870" s="24" t="s">
        <v>223</v>
      </c>
      <c r="F870" s="502">
        <v>2400</v>
      </c>
    </row>
    <row r="871" spans="1:6" x14ac:dyDescent="0.25">
      <c r="A871" s="308">
        <v>43220</v>
      </c>
      <c r="B871" s="24" t="s">
        <v>484</v>
      </c>
      <c r="C871" s="24" t="s">
        <v>488</v>
      </c>
      <c r="D871" s="136" t="str">
        <f t="array" ref="D871">IF(E871=0,0,(INDEX(AccountCodes[ACCOUNT NAME],MATCH(E871,AccountCodes[NGAS CODE],0))))</f>
        <v>Traveling Expenses-Local</v>
      </c>
      <c r="E871" s="24" t="s">
        <v>223</v>
      </c>
      <c r="F871" s="502">
        <v>2400</v>
      </c>
    </row>
    <row r="872" spans="1:6" x14ac:dyDescent="0.25">
      <c r="A872" s="308">
        <v>43251</v>
      </c>
      <c r="B872" s="24" t="s">
        <v>484</v>
      </c>
      <c r="C872" s="24" t="s">
        <v>488</v>
      </c>
      <c r="D872" s="136" t="str">
        <f t="array" ref="D872">IF(E872=0,0,(INDEX(AccountCodes[ACCOUNT NAME],MATCH(E872,AccountCodes[NGAS CODE],0))))</f>
        <v>Traveling Expenses-Local</v>
      </c>
      <c r="E872" s="24" t="s">
        <v>223</v>
      </c>
      <c r="F872" s="502">
        <v>2400</v>
      </c>
    </row>
    <row r="873" spans="1:6" x14ac:dyDescent="0.25">
      <c r="A873" s="308">
        <v>43281</v>
      </c>
      <c r="B873" s="24" t="s">
        <v>484</v>
      </c>
      <c r="C873" s="24" t="s">
        <v>488</v>
      </c>
      <c r="D873" s="136" t="str">
        <f t="array" ref="D873">IF(E873=0,0,(INDEX(AccountCodes[ACCOUNT NAME],MATCH(E873,AccountCodes[NGAS CODE],0))))</f>
        <v>Traveling Expenses-Local</v>
      </c>
      <c r="E873" s="24" t="s">
        <v>223</v>
      </c>
      <c r="F873" s="502">
        <v>2400</v>
      </c>
    </row>
    <row r="874" spans="1:6" x14ac:dyDescent="0.25">
      <c r="A874" s="308">
        <v>43312</v>
      </c>
      <c r="B874" s="24" t="s">
        <v>484</v>
      </c>
      <c r="C874" s="24" t="s">
        <v>488</v>
      </c>
      <c r="D874" s="136" t="str">
        <f t="array" ref="D874">IF(E874=0,0,(INDEX(AccountCodes[ACCOUNT NAME],MATCH(E874,AccountCodes[NGAS CODE],0))))</f>
        <v>Traveling Expenses-Local</v>
      </c>
      <c r="E874" s="24" t="s">
        <v>223</v>
      </c>
      <c r="F874" s="502">
        <v>2400</v>
      </c>
    </row>
    <row r="875" spans="1:6" x14ac:dyDescent="0.25">
      <c r="A875" s="308">
        <v>43343</v>
      </c>
      <c r="B875" s="24" t="s">
        <v>484</v>
      </c>
      <c r="C875" s="24" t="s">
        <v>488</v>
      </c>
      <c r="D875" s="136" t="str">
        <f t="array" ref="D875">IF(E875=0,0,(INDEX(AccountCodes[ACCOUNT NAME],MATCH(E875,AccountCodes[NGAS CODE],0))))</f>
        <v>Traveling Expenses-Local</v>
      </c>
      <c r="E875" s="24" t="s">
        <v>223</v>
      </c>
      <c r="F875" s="502">
        <v>2400</v>
      </c>
    </row>
    <row r="876" spans="1:6" x14ac:dyDescent="0.25">
      <c r="A876" s="308">
        <v>43373</v>
      </c>
      <c r="B876" s="24" t="s">
        <v>484</v>
      </c>
      <c r="C876" s="24" t="s">
        <v>488</v>
      </c>
      <c r="D876" s="136" t="str">
        <f t="array" ref="D876">IF(E876=0,0,(INDEX(AccountCodes[ACCOUNT NAME],MATCH(E876,AccountCodes[NGAS CODE],0))))</f>
        <v>Traveling Expenses-Local</v>
      </c>
      <c r="E876" s="24" t="s">
        <v>223</v>
      </c>
      <c r="F876" s="502">
        <v>2400</v>
      </c>
    </row>
    <row r="877" spans="1:6" x14ac:dyDescent="0.25">
      <c r="A877" s="308">
        <v>43404</v>
      </c>
      <c r="B877" s="24" t="s">
        <v>484</v>
      </c>
      <c r="C877" s="24" t="s">
        <v>488</v>
      </c>
      <c r="D877" s="136" t="str">
        <f t="array" ref="D877">IF(E877=0,0,(INDEX(AccountCodes[ACCOUNT NAME],MATCH(E877,AccountCodes[NGAS CODE],0))))</f>
        <v>Traveling Expenses-Local</v>
      </c>
      <c r="E877" s="24" t="s">
        <v>223</v>
      </c>
      <c r="F877" s="502">
        <v>2400</v>
      </c>
    </row>
    <row r="878" spans="1:6" x14ac:dyDescent="0.25">
      <c r="A878" s="308">
        <v>43434</v>
      </c>
      <c r="B878" s="24" t="s">
        <v>484</v>
      </c>
      <c r="C878" s="24" t="s">
        <v>488</v>
      </c>
      <c r="D878" s="136" t="str">
        <f t="array" ref="D878">IF(E878=0,0,(INDEX(AccountCodes[ACCOUNT NAME],MATCH(E878,AccountCodes[NGAS CODE],0))))</f>
        <v>Traveling Expenses-Local</v>
      </c>
      <c r="E878" s="24" t="s">
        <v>223</v>
      </c>
      <c r="F878" s="502">
        <v>2400</v>
      </c>
    </row>
    <row r="879" spans="1:6" x14ac:dyDescent="0.25">
      <c r="A879" s="308">
        <v>43465</v>
      </c>
      <c r="B879" s="24" t="s">
        <v>484</v>
      </c>
      <c r="C879" s="24" t="s">
        <v>488</v>
      </c>
      <c r="D879" s="136" t="str">
        <f t="array" ref="D879">IF(E879=0,0,(INDEX(AccountCodes[ACCOUNT NAME],MATCH(E879,AccountCodes[NGAS CODE],0))))</f>
        <v>Traveling Expenses-Local</v>
      </c>
      <c r="E879" s="24" t="s">
        <v>223</v>
      </c>
      <c r="F879" s="502">
        <v>2400</v>
      </c>
    </row>
    <row r="880" spans="1:6" x14ac:dyDescent="0.25">
      <c r="A880" s="308">
        <v>43131</v>
      </c>
      <c r="B880" s="24" t="s">
        <v>484</v>
      </c>
      <c r="C880" s="24" t="s">
        <v>488</v>
      </c>
      <c r="D880" s="136" t="str">
        <f t="array" ref="D880">IF(E880=0,0,(INDEX(AccountCodes[ACCOUNT NAME],MATCH(E880,AccountCodes[NGAS CODE],0))))</f>
        <v>Office Supplies Expenses</v>
      </c>
      <c r="E880" s="309" t="s">
        <v>225</v>
      </c>
      <c r="F880" s="502">
        <v>6875</v>
      </c>
    </row>
    <row r="881" spans="1:6" x14ac:dyDescent="0.25">
      <c r="A881" s="308">
        <v>43159</v>
      </c>
      <c r="B881" s="24" t="s">
        <v>484</v>
      </c>
      <c r="C881" s="24" t="s">
        <v>488</v>
      </c>
      <c r="D881" s="136" t="str">
        <f t="array" ref="D881">IF(E881=0,0,(INDEX(AccountCodes[ACCOUNT NAME],MATCH(E881,AccountCodes[NGAS CODE],0))))</f>
        <v>Office Supplies Expenses</v>
      </c>
      <c r="E881" s="309" t="s">
        <v>225</v>
      </c>
      <c r="F881" s="502">
        <v>6875</v>
      </c>
    </row>
    <row r="882" spans="1:6" x14ac:dyDescent="0.25">
      <c r="A882" s="308">
        <v>43190</v>
      </c>
      <c r="B882" s="24" t="s">
        <v>484</v>
      </c>
      <c r="C882" s="24" t="s">
        <v>488</v>
      </c>
      <c r="D882" s="136" t="str">
        <f t="array" ref="D882">IF(E882=0,0,(INDEX(AccountCodes[ACCOUNT NAME],MATCH(E882,AccountCodes[NGAS CODE],0))))</f>
        <v>Office Supplies Expenses</v>
      </c>
      <c r="E882" s="309" t="s">
        <v>225</v>
      </c>
      <c r="F882" s="502">
        <v>6875</v>
      </c>
    </row>
    <row r="883" spans="1:6" x14ac:dyDescent="0.25">
      <c r="A883" s="308">
        <v>43220</v>
      </c>
      <c r="B883" s="24" t="s">
        <v>484</v>
      </c>
      <c r="C883" s="24" t="s">
        <v>488</v>
      </c>
      <c r="D883" s="136" t="str">
        <f t="array" ref="D883">IF(E883=0,0,(INDEX(AccountCodes[ACCOUNT NAME],MATCH(E883,AccountCodes[NGAS CODE],0))))</f>
        <v>Office Supplies Expenses</v>
      </c>
      <c r="E883" s="309" t="s">
        <v>225</v>
      </c>
      <c r="F883" s="502">
        <v>6875</v>
      </c>
    </row>
    <row r="884" spans="1:6" x14ac:dyDescent="0.25">
      <c r="A884" s="308">
        <v>43251</v>
      </c>
      <c r="B884" s="24" t="s">
        <v>484</v>
      </c>
      <c r="C884" s="24" t="s">
        <v>488</v>
      </c>
      <c r="D884" s="136" t="str">
        <f t="array" ref="D884">IF(E884=0,0,(INDEX(AccountCodes[ACCOUNT NAME],MATCH(E884,AccountCodes[NGAS CODE],0))))</f>
        <v>Office Supplies Expenses</v>
      </c>
      <c r="E884" s="309" t="s">
        <v>225</v>
      </c>
      <c r="F884" s="502">
        <v>6875</v>
      </c>
    </row>
    <row r="885" spans="1:6" x14ac:dyDescent="0.25">
      <c r="A885" s="308">
        <v>43281</v>
      </c>
      <c r="B885" s="24" t="s">
        <v>484</v>
      </c>
      <c r="C885" s="24" t="s">
        <v>488</v>
      </c>
      <c r="D885" s="136" t="str">
        <f t="array" ref="D885">IF(E885=0,0,(INDEX(AccountCodes[ACCOUNT NAME],MATCH(E885,AccountCodes[NGAS CODE],0))))</f>
        <v>Office Supplies Expenses</v>
      </c>
      <c r="E885" s="309" t="s">
        <v>225</v>
      </c>
      <c r="F885" s="502">
        <v>6875</v>
      </c>
    </row>
    <row r="886" spans="1:6" x14ac:dyDescent="0.25">
      <c r="A886" s="308">
        <v>43312</v>
      </c>
      <c r="B886" s="24" t="s">
        <v>484</v>
      </c>
      <c r="C886" s="24" t="s">
        <v>488</v>
      </c>
      <c r="D886" s="136" t="str">
        <f t="array" ref="D886">IF(E886=0,0,(INDEX(AccountCodes[ACCOUNT NAME],MATCH(E886,AccountCodes[NGAS CODE],0))))</f>
        <v>Office Supplies Expenses</v>
      </c>
      <c r="E886" s="309" t="s">
        <v>225</v>
      </c>
      <c r="F886" s="502">
        <v>6875</v>
      </c>
    </row>
    <row r="887" spans="1:6" x14ac:dyDescent="0.25">
      <c r="A887" s="308">
        <v>43343</v>
      </c>
      <c r="B887" s="24" t="s">
        <v>484</v>
      </c>
      <c r="C887" s="24" t="s">
        <v>488</v>
      </c>
      <c r="D887" s="136" t="str">
        <f t="array" ref="D887">IF(E887=0,0,(INDEX(AccountCodes[ACCOUNT NAME],MATCH(E887,AccountCodes[NGAS CODE],0))))</f>
        <v>Office Supplies Expenses</v>
      </c>
      <c r="E887" s="309" t="s">
        <v>225</v>
      </c>
      <c r="F887" s="502">
        <v>6875</v>
      </c>
    </row>
    <row r="888" spans="1:6" x14ac:dyDescent="0.25">
      <c r="A888" s="308">
        <v>43373</v>
      </c>
      <c r="B888" s="24" t="s">
        <v>484</v>
      </c>
      <c r="C888" s="24" t="s">
        <v>488</v>
      </c>
      <c r="D888" s="136" t="str">
        <f t="array" ref="D888">IF(E888=0,0,(INDEX(AccountCodes[ACCOUNT NAME],MATCH(E888,AccountCodes[NGAS CODE],0))))</f>
        <v>Office Supplies Expenses</v>
      </c>
      <c r="E888" s="309" t="s">
        <v>225</v>
      </c>
      <c r="F888" s="502">
        <v>6875</v>
      </c>
    </row>
    <row r="889" spans="1:6" x14ac:dyDescent="0.25">
      <c r="A889" s="308">
        <v>43404</v>
      </c>
      <c r="B889" s="24" t="s">
        <v>484</v>
      </c>
      <c r="C889" s="24" t="s">
        <v>488</v>
      </c>
      <c r="D889" s="136" t="str">
        <f t="array" ref="D889">IF(E889=0,0,(INDEX(AccountCodes[ACCOUNT NAME],MATCH(E889,AccountCodes[NGAS CODE],0))))</f>
        <v>Office Supplies Expenses</v>
      </c>
      <c r="E889" s="309" t="s">
        <v>225</v>
      </c>
      <c r="F889" s="502">
        <v>6875</v>
      </c>
    </row>
    <row r="890" spans="1:6" x14ac:dyDescent="0.25">
      <c r="A890" s="308">
        <v>43434</v>
      </c>
      <c r="B890" s="24" t="s">
        <v>484</v>
      </c>
      <c r="C890" s="24" t="s">
        <v>488</v>
      </c>
      <c r="D890" s="136" t="str">
        <f t="array" ref="D890">IF(E890=0,0,(INDEX(AccountCodes[ACCOUNT NAME],MATCH(E890,AccountCodes[NGAS CODE],0))))</f>
        <v>Office Supplies Expenses</v>
      </c>
      <c r="E890" s="309" t="s">
        <v>225</v>
      </c>
      <c r="F890" s="502">
        <v>6875</v>
      </c>
    </row>
    <row r="891" spans="1:6" x14ac:dyDescent="0.25">
      <c r="A891" s="308">
        <v>43465</v>
      </c>
      <c r="B891" s="24" t="s">
        <v>484</v>
      </c>
      <c r="C891" s="24" t="s">
        <v>488</v>
      </c>
      <c r="D891" s="136" t="str">
        <f t="array" ref="D891">IF(E891=0,0,(INDEX(AccountCodes[ACCOUNT NAME],MATCH(E891,AccountCodes[NGAS CODE],0))))</f>
        <v>Office Supplies Expenses</v>
      </c>
      <c r="E891" s="309" t="s">
        <v>225</v>
      </c>
      <c r="F891" s="502">
        <v>6875</v>
      </c>
    </row>
    <row r="892" spans="1:6" x14ac:dyDescent="0.25">
      <c r="A892" s="308">
        <v>43131</v>
      </c>
      <c r="B892" s="24" t="s">
        <v>484</v>
      </c>
      <c r="C892" s="24" t="s">
        <v>488</v>
      </c>
      <c r="D892" s="136" t="str">
        <f t="array" ref="D892">IF(E892=0,0,(INDEX(AccountCodes[ACCOUNT NAME],MATCH(E892,AccountCodes[NGAS CODE],0))))</f>
        <v>Medical, Dental and Laboratory Supplies Expenses</v>
      </c>
      <c r="E892" s="309" t="s">
        <v>228</v>
      </c>
      <c r="F892" s="502">
        <v>458.33</v>
      </c>
    </row>
    <row r="893" spans="1:6" x14ac:dyDescent="0.25">
      <c r="A893" s="308">
        <v>43159</v>
      </c>
      <c r="B893" s="24" t="s">
        <v>484</v>
      </c>
      <c r="C893" s="24" t="s">
        <v>488</v>
      </c>
      <c r="D893" s="136" t="str">
        <f t="array" ref="D893">IF(E893=0,0,(INDEX(AccountCodes[ACCOUNT NAME],MATCH(E893,AccountCodes[NGAS CODE],0))))</f>
        <v>Medical, Dental and Laboratory Supplies Expenses</v>
      </c>
      <c r="E893" s="309" t="s">
        <v>228</v>
      </c>
      <c r="F893" s="502">
        <v>458.33</v>
      </c>
    </row>
    <row r="894" spans="1:6" x14ac:dyDescent="0.25">
      <c r="A894" s="308">
        <v>43190</v>
      </c>
      <c r="B894" s="24" t="s">
        <v>484</v>
      </c>
      <c r="C894" s="24" t="s">
        <v>488</v>
      </c>
      <c r="D894" s="136" t="str">
        <f t="array" ref="D894">IF(E894=0,0,(INDEX(AccountCodes[ACCOUNT NAME],MATCH(E894,AccountCodes[NGAS CODE],0))))</f>
        <v>Medical, Dental and Laboratory Supplies Expenses</v>
      </c>
      <c r="E894" s="309" t="s">
        <v>228</v>
      </c>
      <c r="F894" s="502">
        <v>458.33</v>
      </c>
    </row>
    <row r="895" spans="1:6" x14ac:dyDescent="0.25">
      <c r="A895" s="308">
        <v>43220</v>
      </c>
      <c r="B895" s="24" t="s">
        <v>484</v>
      </c>
      <c r="C895" s="24" t="s">
        <v>488</v>
      </c>
      <c r="D895" s="136" t="str">
        <f t="array" ref="D895">IF(E895=0,0,(INDEX(AccountCodes[ACCOUNT NAME],MATCH(E895,AccountCodes[NGAS CODE],0))))</f>
        <v>Medical, Dental and Laboratory Supplies Expenses</v>
      </c>
      <c r="E895" s="309" t="s">
        <v>228</v>
      </c>
      <c r="F895" s="502">
        <v>458.33</v>
      </c>
    </row>
    <row r="896" spans="1:6" x14ac:dyDescent="0.25">
      <c r="A896" s="308">
        <v>43251</v>
      </c>
      <c r="B896" s="24" t="s">
        <v>484</v>
      </c>
      <c r="C896" s="24" t="s">
        <v>488</v>
      </c>
      <c r="D896" s="136" t="str">
        <f t="array" ref="D896">IF(E896=0,0,(INDEX(AccountCodes[ACCOUNT NAME],MATCH(E896,AccountCodes[NGAS CODE],0))))</f>
        <v>Medical, Dental and Laboratory Supplies Expenses</v>
      </c>
      <c r="E896" s="309" t="s">
        <v>228</v>
      </c>
      <c r="F896" s="502">
        <v>458.33</v>
      </c>
    </row>
    <row r="897" spans="1:6" x14ac:dyDescent="0.25">
      <c r="A897" s="308">
        <v>43281</v>
      </c>
      <c r="B897" s="24" t="s">
        <v>484</v>
      </c>
      <c r="C897" s="24" t="s">
        <v>488</v>
      </c>
      <c r="D897" s="136" t="str">
        <f t="array" ref="D897">IF(E897=0,0,(INDEX(AccountCodes[ACCOUNT NAME],MATCH(E897,AccountCodes[NGAS CODE],0))))</f>
        <v>Medical, Dental and Laboratory Supplies Expenses</v>
      </c>
      <c r="E897" s="309" t="s">
        <v>228</v>
      </c>
      <c r="F897" s="502">
        <v>458.33</v>
      </c>
    </row>
    <row r="898" spans="1:6" x14ac:dyDescent="0.25">
      <c r="A898" s="308">
        <v>43312</v>
      </c>
      <c r="B898" s="24" t="s">
        <v>484</v>
      </c>
      <c r="C898" s="24" t="s">
        <v>488</v>
      </c>
      <c r="D898" s="136" t="str">
        <f t="array" ref="D898">IF(E898=0,0,(INDEX(AccountCodes[ACCOUNT NAME],MATCH(E898,AccountCodes[NGAS CODE],0))))</f>
        <v>Medical, Dental and Laboratory Supplies Expenses</v>
      </c>
      <c r="E898" s="309" t="s">
        <v>228</v>
      </c>
      <c r="F898" s="502">
        <v>458.33</v>
      </c>
    </row>
    <row r="899" spans="1:6" x14ac:dyDescent="0.25">
      <c r="A899" s="308">
        <v>43343</v>
      </c>
      <c r="B899" s="24" t="s">
        <v>484</v>
      </c>
      <c r="C899" s="24" t="s">
        <v>488</v>
      </c>
      <c r="D899" s="136" t="str">
        <f t="array" ref="D899">IF(E899=0,0,(INDEX(AccountCodes[ACCOUNT NAME],MATCH(E899,AccountCodes[NGAS CODE],0))))</f>
        <v>Medical, Dental and Laboratory Supplies Expenses</v>
      </c>
      <c r="E899" s="309" t="s">
        <v>228</v>
      </c>
      <c r="F899" s="502">
        <v>458.33</v>
      </c>
    </row>
    <row r="900" spans="1:6" x14ac:dyDescent="0.25">
      <c r="A900" s="308">
        <v>43373</v>
      </c>
      <c r="B900" s="24" t="s">
        <v>484</v>
      </c>
      <c r="C900" s="24" t="s">
        <v>488</v>
      </c>
      <c r="D900" s="136" t="str">
        <f t="array" ref="D900">IF(E900=0,0,(INDEX(AccountCodes[ACCOUNT NAME],MATCH(E900,AccountCodes[NGAS CODE],0))))</f>
        <v>Medical, Dental and Laboratory Supplies Expenses</v>
      </c>
      <c r="E900" s="309" t="s">
        <v>228</v>
      </c>
      <c r="F900" s="502">
        <v>458.33</v>
      </c>
    </row>
    <row r="901" spans="1:6" x14ac:dyDescent="0.25">
      <c r="A901" s="308">
        <v>43404</v>
      </c>
      <c r="B901" s="24" t="s">
        <v>484</v>
      </c>
      <c r="C901" s="24" t="s">
        <v>488</v>
      </c>
      <c r="D901" s="136" t="str">
        <f t="array" ref="D901">IF(E901=0,0,(INDEX(AccountCodes[ACCOUNT NAME],MATCH(E901,AccountCodes[NGAS CODE],0))))</f>
        <v>Medical, Dental and Laboratory Supplies Expenses</v>
      </c>
      <c r="E901" s="309" t="s">
        <v>228</v>
      </c>
      <c r="F901" s="502">
        <v>458.33</v>
      </c>
    </row>
    <row r="902" spans="1:6" x14ac:dyDescent="0.25">
      <c r="A902" s="308">
        <v>43434</v>
      </c>
      <c r="B902" s="24" t="s">
        <v>484</v>
      </c>
      <c r="C902" s="24" t="s">
        <v>488</v>
      </c>
      <c r="D902" s="136" t="str">
        <f t="array" ref="D902">IF(E902=0,0,(INDEX(AccountCodes[ACCOUNT NAME],MATCH(E902,AccountCodes[NGAS CODE],0))))</f>
        <v>Medical, Dental and Laboratory Supplies Expenses</v>
      </c>
      <c r="E902" s="309" t="s">
        <v>228</v>
      </c>
      <c r="F902" s="502">
        <v>458.33</v>
      </c>
    </row>
    <row r="903" spans="1:6" x14ac:dyDescent="0.25">
      <c r="A903" s="308">
        <v>43465</v>
      </c>
      <c r="B903" s="24" t="s">
        <v>484</v>
      </c>
      <c r="C903" s="24" t="s">
        <v>488</v>
      </c>
      <c r="D903" s="136" t="str">
        <f t="array" ref="D903">IF(E903=0,0,(INDEX(AccountCodes[ACCOUNT NAME],MATCH(E903,AccountCodes[NGAS CODE],0))))</f>
        <v>Medical, Dental and Laboratory Supplies Expenses</v>
      </c>
      <c r="E903" s="309" t="s">
        <v>228</v>
      </c>
      <c r="F903" s="502">
        <v>458.33</v>
      </c>
    </row>
    <row r="904" spans="1:6" x14ac:dyDescent="0.25">
      <c r="A904" s="308">
        <v>43131</v>
      </c>
      <c r="B904" s="24" t="s">
        <v>484</v>
      </c>
      <c r="C904" s="24" t="s">
        <v>488</v>
      </c>
      <c r="D904" s="136" t="str">
        <f t="array" ref="D904">IF(E904=0,0,(INDEX(AccountCodes[ACCOUNT NAME],MATCH(E904,AccountCodes[NGAS CODE],0))))</f>
        <v>Fuel, Oil and Lubricants Expenses</v>
      </c>
      <c r="E904" s="309" t="s">
        <v>229</v>
      </c>
      <c r="F904" s="502">
        <v>19165.43</v>
      </c>
    </row>
    <row r="905" spans="1:6" x14ac:dyDescent="0.25">
      <c r="A905" s="308">
        <v>43159</v>
      </c>
      <c r="B905" s="24" t="s">
        <v>484</v>
      </c>
      <c r="C905" s="24" t="s">
        <v>488</v>
      </c>
      <c r="D905" s="136" t="str">
        <f t="array" ref="D905">IF(E905=0,0,(INDEX(AccountCodes[ACCOUNT NAME],MATCH(E905,AccountCodes[NGAS CODE],0))))</f>
        <v>Fuel, Oil and Lubricants Expenses</v>
      </c>
      <c r="E905" s="309" t="s">
        <v>229</v>
      </c>
      <c r="F905" s="502">
        <v>19165.43</v>
      </c>
    </row>
    <row r="906" spans="1:6" x14ac:dyDescent="0.25">
      <c r="A906" s="308">
        <v>43190</v>
      </c>
      <c r="B906" s="24" t="s">
        <v>484</v>
      </c>
      <c r="C906" s="24" t="s">
        <v>488</v>
      </c>
      <c r="D906" s="136" t="str">
        <f t="array" ref="D906">IF(E906=0,0,(INDEX(AccountCodes[ACCOUNT NAME],MATCH(E906,AccountCodes[NGAS CODE],0))))</f>
        <v>Fuel, Oil and Lubricants Expenses</v>
      </c>
      <c r="E906" s="309" t="s">
        <v>229</v>
      </c>
      <c r="F906" s="502">
        <v>19165.43</v>
      </c>
    </row>
    <row r="907" spans="1:6" x14ac:dyDescent="0.25">
      <c r="A907" s="308">
        <v>43220</v>
      </c>
      <c r="B907" s="24" t="s">
        <v>484</v>
      </c>
      <c r="C907" s="24" t="s">
        <v>488</v>
      </c>
      <c r="D907" s="136" t="str">
        <f t="array" ref="D907">IF(E907=0,0,(INDEX(AccountCodes[ACCOUNT NAME],MATCH(E907,AccountCodes[NGAS CODE],0))))</f>
        <v>Fuel, Oil and Lubricants Expenses</v>
      </c>
      <c r="E907" s="309" t="s">
        <v>229</v>
      </c>
      <c r="F907" s="502">
        <v>19165.43</v>
      </c>
    </row>
    <row r="908" spans="1:6" x14ac:dyDescent="0.25">
      <c r="A908" s="308">
        <v>43251</v>
      </c>
      <c r="B908" s="24" t="s">
        <v>484</v>
      </c>
      <c r="C908" s="24" t="s">
        <v>488</v>
      </c>
      <c r="D908" s="136" t="str">
        <f t="array" ref="D908">IF(E908=0,0,(INDEX(AccountCodes[ACCOUNT NAME],MATCH(E908,AccountCodes[NGAS CODE],0))))</f>
        <v>Fuel, Oil and Lubricants Expenses</v>
      </c>
      <c r="E908" s="309" t="s">
        <v>229</v>
      </c>
      <c r="F908" s="502">
        <v>19165.43</v>
      </c>
    </row>
    <row r="909" spans="1:6" x14ac:dyDescent="0.25">
      <c r="A909" s="308">
        <v>43281</v>
      </c>
      <c r="B909" s="24" t="s">
        <v>484</v>
      </c>
      <c r="C909" s="24" t="s">
        <v>488</v>
      </c>
      <c r="D909" s="136" t="str">
        <f t="array" ref="D909">IF(E909=0,0,(INDEX(AccountCodes[ACCOUNT NAME],MATCH(E909,AccountCodes[NGAS CODE],0))))</f>
        <v>Fuel, Oil and Lubricants Expenses</v>
      </c>
      <c r="E909" s="309" t="s">
        <v>229</v>
      </c>
      <c r="F909" s="502">
        <v>19165.43</v>
      </c>
    </row>
    <row r="910" spans="1:6" x14ac:dyDescent="0.25">
      <c r="A910" s="308">
        <v>43312</v>
      </c>
      <c r="B910" s="24" t="s">
        <v>484</v>
      </c>
      <c r="C910" s="24" t="s">
        <v>488</v>
      </c>
      <c r="D910" s="136" t="str">
        <f t="array" ref="D910">IF(E910=0,0,(INDEX(AccountCodes[ACCOUNT NAME],MATCH(E910,AccountCodes[NGAS CODE],0))))</f>
        <v>Fuel, Oil and Lubricants Expenses</v>
      </c>
      <c r="E910" s="309" t="s">
        <v>229</v>
      </c>
      <c r="F910" s="502">
        <v>19165.43</v>
      </c>
    </row>
    <row r="911" spans="1:6" x14ac:dyDescent="0.25">
      <c r="A911" s="308">
        <v>43343</v>
      </c>
      <c r="B911" s="24" t="s">
        <v>484</v>
      </c>
      <c r="C911" s="24" t="s">
        <v>488</v>
      </c>
      <c r="D911" s="136" t="str">
        <f t="array" ref="D911">IF(E911=0,0,(INDEX(AccountCodes[ACCOUNT NAME],MATCH(E911,AccountCodes[NGAS CODE],0))))</f>
        <v>Fuel, Oil and Lubricants Expenses</v>
      </c>
      <c r="E911" s="309" t="s">
        <v>229</v>
      </c>
      <c r="F911" s="502">
        <v>19165.43</v>
      </c>
    </row>
    <row r="912" spans="1:6" x14ac:dyDescent="0.25">
      <c r="A912" s="308">
        <v>43373</v>
      </c>
      <c r="B912" s="24" t="s">
        <v>484</v>
      </c>
      <c r="C912" s="24" t="s">
        <v>488</v>
      </c>
      <c r="D912" s="136" t="str">
        <f t="array" ref="D912">IF(E912=0,0,(INDEX(AccountCodes[ACCOUNT NAME],MATCH(E912,AccountCodes[NGAS CODE],0))))</f>
        <v>Fuel, Oil and Lubricants Expenses</v>
      </c>
      <c r="E912" s="309" t="s">
        <v>229</v>
      </c>
      <c r="F912" s="502">
        <v>19165.43</v>
      </c>
    </row>
    <row r="913" spans="1:6" x14ac:dyDescent="0.25">
      <c r="A913" s="308">
        <v>43404</v>
      </c>
      <c r="B913" s="24" t="s">
        <v>484</v>
      </c>
      <c r="C913" s="24" t="s">
        <v>488</v>
      </c>
      <c r="D913" s="136" t="str">
        <f t="array" ref="D913">IF(E913=0,0,(INDEX(AccountCodes[ACCOUNT NAME],MATCH(E913,AccountCodes[NGAS CODE],0))))</f>
        <v>Fuel, Oil and Lubricants Expenses</v>
      </c>
      <c r="E913" s="309" t="s">
        <v>229</v>
      </c>
      <c r="F913" s="502">
        <v>19165.43</v>
      </c>
    </row>
    <row r="914" spans="1:6" x14ac:dyDescent="0.25">
      <c r="A914" s="308">
        <v>43434</v>
      </c>
      <c r="B914" s="24" t="s">
        <v>484</v>
      </c>
      <c r="C914" s="24" t="s">
        <v>488</v>
      </c>
      <c r="D914" s="136" t="str">
        <f t="array" ref="D914">IF(E914=0,0,(INDEX(AccountCodes[ACCOUNT NAME],MATCH(E914,AccountCodes[NGAS CODE],0))))</f>
        <v>Fuel, Oil and Lubricants Expenses</v>
      </c>
      <c r="E914" s="309" t="s">
        <v>229</v>
      </c>
      <c r="F914" s="502">
        <v>19165.43</v>
      </c>
    </row>
    <row r="915" spans="1:6" x14ac:dyDescent="0.25">
      <c r="A915" s="308">
        <v>43465</v>
      </c>
      <c r="B915" s="24" t="s">
        <v>484</v>
      </c>
      <c r="C915" s="24" t="s">
        <v>488</v>
      </c>
      <c r="D915" s="136" t="str">
        <f t="array" ref="D915">IF(E915=0,0,(INDEX(AccountCodes[ACCOUNT NAME],MATCH(E915,AccountCodes[NGAS CODE],0))))</f>
        <v>Fuel, Oil and Lubricants Expenses</v>
      </c>
      <c r="E915" s="309" t="s">
        <v>229</v>
      </c>
      <c r="F915" s="502">
        <v>19165.43</v>
      </c>
    </row>
    <row r="916" spans="1:6" x14ac:dyDescent="0.25">
      <c r="A916" s="308">
        <v>43131</v>
      </c>
      <c r="B916" s="24" t="s">
        <v>484</v>
      </c>
      <c r="C916" s="24" t="s">
        <v>488</v>
      </c>
      <c r="D916" s="136" t="str">
        <f t="array" ref="D916">IF(E916=0,0,(INDEX(AccountCodes[ACCOUNT NAME],MATCH(E916,AccountCodes[NGAS CODE],0))))</f>
        <v>Other Supplies and Materials Expenses</v>
      </c>
      <c r="E916" s="309" t="s">
        <v>231</v>
      </c>
      <c r="F916" s="502">
        <v>3666.67</v>
      </c>
    </row>
    <row r="917" spans="1:6" x14ac:dyDescent="0.25">
      <c r="A917" s="308">
        <v>43159</v>
      </c>
      <c r="B917" s="24" t="s">
        <v>484</v>
      </c>
      <c r="C917" s="24" t="s">
        <v>488</v>
      </c>
      <c r="D917" s="136" t="str">
        <f t="array" ref="D917">IF(E917=0,0,(INDEX(AccountCodes[ACCOUNT NAME],MATCH(E917,AccountCodes[NGAS CODE],0))))</f>
        <v>Other Supplies and Materials Expenses</v>
      </c>
      <c r="E917" s="309" t="s">
        <v>231</v>
      </c>
      <c r="F917" s="502">
        <v>3666.67</v>
      </c>
    </row>
    <row r="918" spans="1:6" x14ac:dyDescent="0.25">
      <c r="A918" s="308">
        <v>43190</v>
      </c>
      <c r="B918" s="24" t="s">
        <v>484</v>
      </c>
      <c r="C918" s="24" t="s">
        <v>488</v>
      </c>
      <c r="D918" s="136" t="str">
        <f t="array" ref="D918">IF(E918=0,0,(INDEX(AccountCodes[ACCOUNT NAME],MATCH(E918,AccountCodes[NGAS CODE],0))))</f>
        <v>Other Supplies and Materials Expenses</v>
      </c>
      <c r="E918" s="309" t="s">
        <v>231</v>
      </c>
      <c r="F918" s="502">
        <v>3666.67</v>
      </c>
    </row>
    <row r="919" spans="1:6" x14ac:dyDescent="0.25">
      <c r="A919" s="308">
        <v>43220</v>
      </c>
      <c r="B919" s="24" t="s">
        <v>484</v>
      </c>
      <c r="C919" s="24" t="s">
        <v>488</v>
      </c>
      <c r="D919" s="136" t="str">
        <f t="array" ref="D919">IF(E919=0,0,(INDEX(AccountCodes[ACCOUNT NAME],MATCH(E919,AccountCodes[NGAS CODE],0))))</f>
        <v>Other Supplies and Materials Expenses</v>
      </c>
      <c r="E919" s="309" t="s">
        <v>231</v>
      </c>
      <c r="F919" s="502">
        <v>3666.67</v>
      </c>
    </row>
    <row r="920" spans="1:6" x14ac:dyDescent="0.25">
      <c r="A920" s="308">
        <v>43251</v>
      </c>
      <c r="B920" s="24" t="s">
        <v>484</v>
      </c>
      <c r="C920" s="24" t="s">
        <v>488</v>
      </c>
      <c r="D920" s="136" t="str">
        <f t="array" ref="D920">IF(E920=0,0,(INDEX(AccountCodes[ACCOUNT NAME],MATCH(E920,AccountCodes[NGAS CODE],0))))</f>
        <v>Other Supplies and Materials Expenses</v>
      </c>
      <c r="E920" s="309" t="s">
        <v>231</v>
      </c>
      <c r="F920" s="502">
        <v>3666.67</v>
      </c>
    </row>
    <row r="921" spans="1:6" x14ac:dyDescent="0.25">
      <c r="A921" s="308">
        <v>43281</v>
      </c>
      <c r="B921" s="24" t="s">
        <v>484</v>
      </c>
      <c r="C921" s="24" t="s">
        <v>488</v>
      </c>
      <c r="D921" s="136" t="str">
        <f t="array" ref="D921">IF(E921=0,0,(INDEX(AccountCodes[ACCOUNT NAME],MATCH(E921,AccountCodes[NGAS CODE],0))))</f>
        <v>Other Supplies and Materials Expenses</v>
      </c>
      <c r="E921" s="309" t="s">
        <v>231</v>
      </c>
      <c r="F921" s="502">
        <v>3666.67</v>
      </c>
    </row>
    <row r="922" spans="1:6" x14ac:dyDescent="0.25">
      <c r="A922" s="308">
        <v>43312</v>
      </c>
      <c r="B922" s="24" t="s">
        <v>484</v>
      </c>
      <c r="C922" s="24" t="s">
        <v>488</v>
      </c>
      <c r="D922" s="136" t="str">
        <f t="array" ref="D922">IF(E922=0,0,(INDEX(AccountCodes[ACCOUNT NAME],MATCH(E922,AccountCodes[NGAS CODE],0))))</f>
        <v>Other Supplies and Materials Expenses</v>
      </c>
      <c r="E922" s="309" t="s">
        <v>231</v>
      </c>
      <c r="F922" s="502">
        <v>3666.67</v>
      </c>
    </row>
    <row r="923" spans="1:6" x14ac:dyDescent="0.25">
      <c r="A923" s="308">
        <v>43343</v>
      </c>
      <c r="B923" s="24" t="s">
        <v>484</v>
      </c>
      <c r="C923" s="24" t="s">
        <v>488</v>
      </c>
      <c r="D923" s="136" t="str">
        <f t="array" ref="D923">IF(E923=0,0,(INDEX(AccountCodes[ACCOUNT NAME],MATCH(E923,AccountCodes[NGAS CODE],0))))</f>
        <v>Other Supplies and Materials Expenses</v>
      </c>
      <c r="E923" s="309" t="s">
        <v>231</v>
      </c>
      <c r="F923" s="502">
        <v>3666.67</v>
      </c>
    </row>
    <row r="924" spans="1:6" x14ac:dyDescent="0.25">
      <c r="A924" s="308">
        <v>43373</v>
      </c>
      <c r="B924" s="24" t="s">
        <v>484</v>
      </c>
      <c r="C924" s="24" t="s">
        <v>488</v>
      </c>
      <c r="D924" s="136" t="str">
        <f t="array" ref="D924">IF(E924=0,0,(INDEX(AccountCodes[ACCOUNT NAME],MATCH(E924,AccountCodes[NGAS CODE],0))))</f>
        <v>Other Supplies and Materials Expenses</v>
      </c>
      <c r="E924" s="309" t="s">
        <v>231</v>
      </c>
      <c r="F924" s="502">
        <v>3666.67</v>
      </c>
    </row>
    <row r="925" spans="1:6" x14ac:dyDescent="0.25">
      <c r="A925" s="308">
        <v>43404</v>
      </c>
      <c r="B925" s="24" t="s">
        <v>484</v>
      </c>
      <c r="C925" s="24" t="s">
        <v>488</v>
      </c>
      <c r="D925" s="136" t="str">
        <f t="array" ref="D925">IF(E925=0,0,(INDEX(AccountCodes[ACCOUNT NAME],MATCH(E925,AccountCodes[NGAS CODE],0))))</f>
        <v>Other Supplies and Materials Expenses</v>
      </c>
      <c r="E925" s="309" t="s">
        <v>231</v>
      </c>
      <c r="F925" s="502">
        <v>3666.67</v>
      </c>
    </row>
    <row r="926" spans="1:6" x14ac:dyDescent="0.25">
      <c r="A926" s="308">
        <v>43434</v>
      </c>
      <c r="B926" s="24" t="s">
        <v>484</v>
      </c>
      <c r="C926" s="24" t="s">
        <v>488</v>
      </c>
      <c r="D926" s="136" t="str">
        <f t="array" ref="D926">IF(E926=0,0,(INDEX(AccountCodes[ACCOUNT NAME],MATCH(E926,AccountCodes[NGAS CODE],0))))</f>
        <v>Other Supplies and Materials Expenses</v>
      </c>
      <c r="E926" s="309" t="s">
        <v>231</v>
      </c>
      <c r="F926" s="502">
        <v>3666.67</v>
      </c>
    </row>
    <row r="927" spans="1:6" x14ac:dyDescent="0.25">
      <c r="A927" s="308">
        <v>43465</v>
      </c>
      <c r="B927" s="24" t="s">
        <v>484</v>
      </c>
      <c r="C927" s="24" t="s">
        <v>488</v>
      </c>
      <c r="D927" s="136" t="str">
        <f t="array" ref="D927">IF(E927=0,0,(INDEX(AccountCodes[ACCOUNT NAME],MATCH(E927,AccountCodes[NGAS CODE],0))))</f>
        <v>Other Supplies and Materials Expenses</v>
      </c>
      <c r="E927" s="309" t="s">
        <v>231</v>
      </c>
      <c r="F927" s="502">
        <v>3666.67</v>
      </c>
    </row>
    <row r="928" spans="1:6" x14ac:dyDescent="0.25">
      <c r="A928" s="308">
        <v>43131</v>
      </c>
      <c r="B928" s="24" t="s">
        <v>484</v>
      </c>
      <c r="C928" s="24" t="s">
        <v>488</v>
      </c>
      <c r="D928" s="136" t="str">
        <f t="array" ref="D928">IF(E928=0,0,(INDEX(AccountCodes[ACCOUNT NAME],MATCH(E928,AccountCodes[NGAS CODE],0))))</f>
        <v>Electricity Expenses</v>
      </c>
      <c r="E928" s="309" t="s">
        <v>233</v>
      </c>
      <c r="F928" s="502">
        <v>4583.33</v>
      </c>
    </row>
    <row r="929" spans="1:6" x14ac:dyDescent="0.25">
      <c r="A929" s="308">
        <v>43159</v>
      </c>
      <c r="B929" s="24" t="s">
        <v>484</v>
      </c>
      <c r="C929" s="24" t="s">
        <v>488</v>
      </c>
      <c r="D929" s="136" t="str">
        <f t="array" ref="D929">IF(E929=0,0,(INDEX(AccountCodes[ACCOUNT NAME],MATCH(E929,AccountCodes[NGAS CODE],0))))</f>
        <v>Electricity Expenses</v>
      </c>
      <c r="E929" s="309" t="s">
        <v>233</v>
      </c>
      <c r="F929" s="502">
        <v>4583.33</v>
      </c>
    </row>
    <row r="930" spans="1:6" x14ac:dyDescent="0.25">
      <c r="A930" s="308">
        <v>43190</v>
      </c>
      <c r="B930" s="24" t="s">
        <v>484</v>
      </c>
      <c r="C930" s="24" t="s">
        <v>488</v>
      </c>
      <c r="D930" s="136" t="str">
        <f t="array" ref="D930">IF(E930=0,0,(INDEX(AccountCodes[ACCOUNT NAME],MATCH(E930,AccountCodes[NGAS CODE],0))))</f>
        <v>Electricity Expenses</v>
      </c>
      <c r="E930" s="309" t="s">
        <v>233</v>
      </c>
      <c r="F930" s="502">
        <v>4583.33</v>
      </c>
    </row>
    <row r="931" spans="1:6" x14ac:dyDescent="0.25">
      <c r="A931" s="308">
        <v>43220</v>
      </c>
      <c r="B931" s="24" t="s">
        <v>484</v>
      </c>
      <c r="C931" s="24" t="s">
        <v>488</v>
      </c>
      <c r="D931" s="136" t="str">
        <f t="array" ref="D931">IF(E931=0,0,(INDEX(AccountCodes[ACCOUNT NAME],MATCH(E931,AccountCodes[NGAS CODE],0))))</f>
        <v>Electricity Expenses</v>
      </c>
      <c r="E931" s="309" t="s">
        <v>233</v>
      </c>
      <c r="F931" s="502">
        <v>4583.33</v>
      </c>
    </row>
    <row r="932" spans="1:6" x14ac:dyDescent="0.25">
      <c r="A932" s="308">
        <v>43251</v>
      </c>
      <c r="B932" s="24" t="s">
        <v>484</v>
      </c>
      <c r="C932" s="24" t="s">
        <v>488</v>
      </c>
      <c r="D932" s="136" t="str">
        <f t="array" ref="D932">IF(E932=0,0,(INDEX(AccountCodes[ACCOUNT NAME],MATCH(E932,AccountCodes[NGAS CODE],0))))</f>
        <v>Electricity Expenses</v>
      </c>
      <c r="E932" s="309" t="s">
        <v>233</v>
      </c>
      <c r="F932" s="502">
        <v>4583.33</v>
      </c>
    </row>
    <row r="933" spans="1:6" x14ac:dyDescent="0.25">
      <c r="A933" s="308">
        <v>43281</v>
      </c>
      <c r="B933" s="24" t="s">
        <v>484</v>
      </c>
      <c r="C933" s="24" t="s">
        <v>488</v>
      </c>
      <c r="D933" s="136" t="str">
        <f t="array" ref="D933">IF(E933=0,0,(INDEX(AccountCodes[ACCOUNT NAME],MATCH(E933,AccountCodes[NGAS CODE],0))))</f>
        <v>Electricity Expenses</v>
      </c>
      <c r="E933" s="309" t="s">
        <v>233</v>
      </c>
      <c r="F933" s="502">
        <v>4583.33</v>
      </c>
    </row>
    <row r="934" spans="1:6" x14ac:dyDescent="0.25">
      <c r="A934" s="308">
        <v>43312</v>
      </c>
      <c r="B934" s="24" t="s">
        <v>484</v>
      </c>
      <c r="C934" s="24" t="s">
        <v>488</v>
      </c>
      <c r="D934" s="136" t="str">
        <f t="array" ref="D934">IF(E934=0,0,(INDEX(AccountCodes[ACCOUNT NAME],MATCH(E934,AccountCodes[NGAS CODE],0))))</f>
        <v>Electricity Expenses</v>
      </c>
      <c r="E934" s="309" t="s">
        <v>233</v>
      </c>
      <c r="F934" s="502">
        <v>4583.33</v>
      </c>
    </row>
    <row r="935" spans="1:6" x14ac:dyDescent="0.25">
      <c r="A935" s="308">
        <v>43343</v>
      </c>
      <c r="B935" s="24" t="s">
        <v>484</v>
      </c>
      <c r="C935" s="24" t="s">
        <v>488</v>
      </c>
      <c r="D935" s="136" t="str">
        <f t="array" ref="D935">IF(E935=0,0,(INDEX(AccountCodes[ACCOUNT NAME],MATCH(E935,AccountCodes[NGAS CODE],0))))</f>
        <v>Electricity Expenses</v>
      </c>
      <c r="E935" s="309" t="s">
        <v>233</v>
      </c>
      <c r="F935" s="502">
        <v>4583.33</v>
      </c>
    </row>
    <row r="936" spans="1:6" x14ac:dyDescent="0.25">
      <c r="A936" s="308">
        <v>43373</v>
      </c>
      <c r="B936" s="24" t="s">
        <v>484</v>
      </c>
      <c r="C936" s="24" t="s">
        <v>488</v>
      </c>
      <c r="D936" s="136" t="str">
        <f t="array" ref="D936">IF(E936=0,0,(INDEX(AccountCodes[ACCOUNT NAME],MATCH(E936,AccountCodes[NGAS CODE],0))))</f>
        <v>Electricity Expenses</v>
      </c>
      <c r="E936" s="309" t="s">
        <v>233</v>
      </c>
      <c r="F936" s="502">
        <v>4583.33</v>
      </c>
    </row>
    <row r="937" spans="1:6" x14ac:dyDescent="0.25">
      <c r="A937" s="308">
        <v>43404</v>
      </c>
      <c r="B937" s="24" t="s">
        <v>484</v>
      </c>
      <c r="C937" s="24" t="s">
        <v>488</v>
      </c>
      <c r="D937" s="136" t="str">
        <f t="array" ref="D937">IF(E937=0,0,(INDEX(AccountCodes[ACCOUNT NAME],MATCH(E937,AccountCodes[NGAS CODE],0))))</f>
        <v>Electricity Expenses</v>
      </c>
      <c r="E937" s="309" t="s">
        <v>233</v>
      </c>
      <c r="F937" s="502">
        <v>4583.33</v>
      </c>
    </row>
    <row r="938" spans="1:6" x14ac:dyDescent="0.25">
      <c r="A938" s="308">
        <v>43434</v>
      </c>
      <c r="B938" s="24" t="s">
        <v>484</v>
      </c>
      <c r="C938" s="24" t="s">
        <v>488</v>
      </c>
      <c r="D938" s="136" t="str">
        <f t="array" ref="D938">IF(E938=0,0,(INDEX(AccountCodes[ACCOUNT NAME],MATCH(E938,AccountCodes[NGAS CODE],0))))</f>
        <v>Electricity Expenses</v>
      </c>
      <c r="E938" s="309" t="s">
        <v>233</v>
      </c>
      <c r="F938" s="502">
        <v>4583.33</v>
      </c>
    </row>
    <row r="939" spans="1:6" x14ac:dyDescent="0.25">
      <c r="A939" s="308">
        <v>43465</v>
      </c>
      <c r="B939" s="24" t="s">
        <v>484</v>
      </c>
      <c r="C939" s="24" t="s">
        <v>488</v>
      </c>
      <c r="D939" s="136" t="str">
        <f t="array" ref="D939">IF(E939=0,0,(INDEX(AccountCodes[ACCOUNT NAME],MATCH(E939,AccountCodes[NGAS CODE],0))))</f>
        <v>Electricity Expenses</v>
      </c>
      <c r="E939" s="309" t="s">
        <v>233</v>
      </c>
      <c r="F939" s="502">
        <v>4583.33</v>
      </c>
    </row>
    <row r="940" spans="1:6" x14ac:dyDescent="0.25">
      <c r="A940" s="308">
        <v>43131</v>
      </c>
      <c r="B940" s="24" t="s">
        <v>484</v>
      </c>
      <c r="C940" s="24" t="s">
        <v>488</v>
      </c>
      <c r="D940" s="136" t="str">
        <f t="array" ref="D940">IF(E940=0,0,(INDEX(AccountCodes[ACCOUNT NAME],MATCH(E940,AccountCodes[NGAS CODE],0))))</f>
        <v>Telephone Expenses - Landline</v>
      </c>
      <c r="E940" s="309" t="s">
        <v>235</v>
      </c>
      <c r="F940" s="502">
        <v>3300</v>
      </c>
    </row>
    <row r="941" spans="1:6" x14ac:dyDescent="0.25">
      <c r="A941" s="308">
        <v>43159</v>
      </c>
      <c r="B941" s="24" t="s">
        <v>484</v>
      </c>
      <c r="C941" s="24" t="s">
        <v>488</v>
      </c>
      <c r="D941" s="136" t="str">
        <f t="array" ref="D941">IF(E941=0,0,(INDEX(AccountCodes[ACCOUNT NAME],MATCH(E941,AccountCodes[NGAS CODE],0))))</f>
        <v>Telephone Expenses - Landline</v>
      </c>
      <c r="E941" s="309" t="s">
        <v>235</v>
      </c>
      <c r="F941" s="502">
        <v>3300</v>
      </c>
    </row>
    <row r="942" spans="1:6" x14ac:dyDescent="0.25">
      <c r="A942" s="308">
        <v>43190</v>
      </c>
      <c r="B942" s="24" t="s">
        <v>484</v>
      </c>
      <c r="C942" s="24" t="s">
        <v>488</v>
      </c>
      <c r="D942" s="136" t="str">
        <f t="array" ref="D942">IF(E942=0,0,(INDEX(AccountCodes[ACCOUNT NAME],MATCH(E942,AccountCodes[NGAS CODE],0))))</f>
        <v>Telephone Expenses - Landline</v>
      </c>
      <c r="E942" s="309" t="s">
        <v>235</v>
      </c>
      <c r="F942" s="502">
        <v>3300</v>
      </c>
    </row>
    <row r="943" spans="1:6" x14ac:dyDescent="0.25">
      <c r="A943" s="308">
        <v>43220</v>
      </c>
      <c r="B943" s="24" t="s">
        <v>484</v>
      </c>
      <c r="C943" s="24" t="s">
        <v>488</v>
      </c>
      <c r="D943" s="136" t="str">
        <f t="array" ref="D943">IF(E943=0,0,(INDEX(AccountCodes[ACCOUNT NAME],MATCH(E943,AccountCodes[NGAS CODE],0))))</f>
        <v>Telephone Expenses - Landline</v>
      </c>
      <c r="E943" s="309" t="s">
        <v>235</v>
      </c>
      <c r="F943" s="502">
        <v>3300</v>
      </c>
    </row>
    <row r="944" spans="1:6" x14ac:dyDescent="0.25">
      <c r="A944" s="308">
        <v>43251</v>
      </c>
      <c r="B944" s="24" t="s">
        <v>484</v>
      </c>
      <c r="C944" s="24" t="s">
        <v>488</v>
      </c>
      <c r="D944" s="136" t="str">
        <f t="array" ref="D944">IF(E944=0,0,(INDEX(AccountCodes[ACCOUNT NAME],MATCH(E944,AccountCodes[NGAS CODE],0))))</f>
        <v>Telephone Expenses - Landline</v>
      </c>
      <c r="E944" s="309" t="s">
        <v>235</v>
      </c>
      <c r="F944" s="502">
        <v>3300</v>
      </c>
    </row>
    <row r="945" spans="1:6" x14ac:dyDescent="0.25">
      <c r="A945" s="308">
        <v>43281</v>
      </c>
      <c r="B945" s="24" t="s">
        <v>484</v>
      </c>
      <c r="C945" s="24" t="s">
        <v>488</v>
      </c>
      <c r="D945" s="136" t="str">
        <f t="array" ref="D945">IF(E945=0,0,(INDEX(AccountCodes[ACCOUNT NAME],MATCH(E945,AccountCodes[NGAS CODE],0))))</f>
        <v>Telephone Expenses - Landline</v>
      </c>
      <c r="E945" s="309" t="s">
        <v>235</v>
      </c>
      <c r="F945" s="502">
        <v>3300</v>
      </c>
    </row>
    <row r="946" spans="1:6" x14ac:dyDescent="0.25">
      <c r="A946" s="308">
        <v>43312</v>
      </c>
      <c r="B946" s="24" t="s">
        <v>484</v>
      </c>
      <c r="C946" s="24" t="s">
        <v>488</v>
      </c>
      <c r="D946" s="136" t="str">
        <f t="array" ref="D946">IF(E946=0,0,(INDEX(AccountCodes[ACCOUNT NAME],MATCH(E946,AccountCodes[NGAS CODE],0))))</f>
        <v>Telephone Expenses - Landline</v>
      </c>
      <c r="E946" s="309" t="s">
        <v>235</v>
      </c>
      <c r="F946" s="502">
        <v>3300</v>
      </c>
    </row>
    <row r="947" spans="1:6" x14ac:dyDescent="0.25">
      <c r="A947" s="308">
        <v>43343</v>
      </c>
      <c r="B947" s="24" t="s">
        <v>484</v>
      </c>
      <c r="C947" s="24" t="s">
        <v>488</v>
      </c>
      <c r="D947" s="136" t="str">
        <f t="array" ref="D947">IF(E947=0,0,(INDEX(AccountCodes[ACCOUNT NAME],MATCH(E947,AccountCodes[NGAS CODE],0))))</f>
        <v>Telephone Expenses - Landline</v>
      </c>
      <c r="E947" s="309" t="s">
        <v>235</v>
      </c>
      <c r="F947" s="502">
        <v>3300</v>
      </c>
    </row>
    <row r="948" spans="1:6" x14ac:dyDescent="0.25">
      <c r="A948" s="308">
        <v>43373</v>
      </c>
      <c r="B948" s="24" t="s">
        <v>484</v>
      </c>
      <c r="C948" s="24" t="s">
        <v>488</v>
      </c>
      <c r="D948" s="136" t="str">
        <f t="array" ref="D948">IF(E948=0,0,(INDEX(AccountCodes[ACCOUNT NAME],MATCH(E948,AccountCodes[NGAS CODE],0))))</f>
        <v>Telephone Expenses - Landline</v>
      </c>
      <c r="E948" s="309" t="s">
        <v>235</v>
      </c>
      <c r="F948" s="502">
        <v>3300</v>
      </c>
    </row>
    <row r="949" spans="1:6" x14ac:dyDescent="0.25">
      <c r="A949" s="308">
        <v>43404</v>
      </c>
      <c r="B949" s="24" t="s">
        <v>484</v>
      </c>
      <c r="C949" s="24" t="s">
        <v>488</v>
      </c>
      <c r="D949" s="136" t="str">
        <f t="array" ref="D949">IF(E949=0,0,(INDEX(AccountCodes[ACCOUNT NAME],MATCH(E949,AccountCodes[NGAS CODE],0))))</f>
        <v>Telephone Expenses - Landline</v>
      </c>
      <c r="E949" s="309" t="s">
        <v>235</v>
      </c>
      <c r="F949" s="502">
        <v>3300</v>
      </c>
    </row>
    <row r="950" spans="1:6" x14ac:dyDescent="0.25">
      <c r="A950" s="308">
        <v>43434</v>
      </c>
      <c r="B950" s="24" t="s">
        <v>484</v>
      </c>
      <c r="C950" s="24" t="s">
        <v>488</v>
      </c>
      <c r="D950" s="136" t="str">
        <f t="array" ref="D950">IF(E950=0,0,(INDEX(AccountCodes[ACCOUNT NAME],MATCH(E950,AccountCodes[NGAS CODE],0))))</f>
        <v>Telephone Expenses - Landline</v>
      </c>
      <c r="E950" s="309" t="s">
        <v>235</v>
      </c>
      <c r="F950" s="502">
        <v>3300</v>
      </c>
    </row>
    <row r="951" spans="1:6" x14ac:dyDescent="0.25">
      <c r="A951" s="308">
        <v>43465</v>
      </c>
      <c r="B951" s="24" t="s">
        <v>484</v>
      </c>
      <c r="C951" s="24" t="s">
        <v>488</v>
      </c>
      <c r="D951" s="136" t="str">
        <f t="array" ref="D951">IF(E951=0,0,(INDEX(AccountCodes[ACCOUNT NAME],MATCH(E951,AccountCodes[NGAS CODE],0))))</f>
        <v>Telephone Expenses - Landline</v>
      </c>
      <c r="E951" s="309" t="s">
        <v>235</v>
      </c>
      <c r="F951" s="502">
        <v>3300</v>
      </c>
    </row>
    <row r="952" spans="1:6" x14ac:dyDescent="0.25">
      <c r="A952" s="308">
        <v>43281</v>
      </c>
      <c r="B952" s="24" t="s">
        <v>484</v>
      </c>
      <c r="C952" s="24" t="s">
        <v>488</v>
      </c>
      <c r="D952" s="136" t="str">
        <f t="array" ref="D952">IF(E952=0,0,(INDEX(AccountCodes[ACCOUNT NAME],MATCH(E952,AccountCodes[NGAS CODE],0))))</f>
        <v>Other Professional Services</v>
      </c>
      <c r="E952" s="309" t="s">
        <v>250</v>
      </c>
      <c r="F952" s="502">
        <v>30000</v>
      </c>
    </row>
    <row r="953" spans="1:6" x14ac:dyDescent="0.25">
      <c r="A953" s="308">
        <v>43404</v>
      </c>
      <c r="B953" s="24" t="s">
        <v>484</v>
      </c>
      <c r="C953" s="24" t="s">
        <v>488</v>
      </c>
      <c r="D953" s="136" t="str">
        <f t="array" ref="D953">IF(E953=0,0,(INDEX(AccountCodes[ACCOUNT NAME],MATCH(E953,AccountCodes[NGAS CODE],0))))</f>
        <v>Other Professional Services</v>
      </c>
      <c r="E953" s="309" t="s">
        <v>250</v>
      </c>
      <c r="F953" s="502">
        <v>900</v>
      </c>
    </row>
    <row r="954" spans="1:6" x14ac:dyDescent="0.25">
      <c r="A954" s="308">
        <v>43465</v>
      </c>
      <c r="B954" s="24" t="s">
        <v>484</v>
      </c>
      <c r="C954" s="24" t="s">
        <v>488</v>
      </c>
      <c r="D954" s="136" t="str">
        <f t="array" ref="D954">IF(E954=0,0,(INDEX(AccountCodes[ACCOUNT NAME],MATCH(E954,AccountCodes[NGAS CODE],0))))</f>
        <v>Other Professional Services</v>
      </c>
      <c r="E954" s="309" t="s">
        <v>250</v>
      </c>
      <c r="F954" s="502">
        <v>7500</v>
      </c>
    </row>
    <row r="955" spans="1:6" x14ac:dyDescent="0.25">
      <c r="A955" s="308">
        <v>43131</v>
      </c>
      <c r="B955" s="24" t="s">
        <v>484</v>
      </c>
      <c r="C955" s="24" t="s">
        <v>488</v>
      </c>
      <c r="D955" s="136" t="str">
        <f t="array" ref="D955">IF(E955=0,0,(INDEX(AccountCodes[ACCOUNT NAME],MATCH(E955,AccountCodes[NGAS CODE],0))))</f>
        <v>Repairs and Maintenance-Transportation Equipment - Motor Vehicles</v>
      </c>
      <c r="E955" s="309" t="s">
        <v>262</v>
      </c>
      <c r="F955" s="502">
        <v>5120.72</v>
      </c>
    </row>
    <row r="956" spans="1:6" x14ac:dyDescent="0.25">
      <c r="A956" s="308">
        <v>43159</v>
      </c>
      <c r="B956" s="24" t="s">
        <v>484</v>
      </c>
      <c r="C956" s="24" t="s">
        <v>488</v>
      </c>
      <c r="D956" s="136" t="str">
        <f t="array" ref="D956">IF(E956=0,0,(INDEX(AccountCodes[ACCOUNT NAME],MATCH(E956,AccountCodes[NGAS CODE],0))))</f>
        <v>Repairs and Maintenance-Transportation Equipment - Motor Vehicles</v>
      </c>
      <c r="E956" s="309" t="s">
        <v>262</v>
      </c>
      <c r="F956" s="502">
        <v>5120.72</v>
      </c>
    </row>
    <row r="957" spans="1:6" x14ac:dyDescent="0.25">
      <c r="A957" s="308">
        <v>43190</v>
      </c>
      <c r="B957" s="24" t="s">
        <v>484</v>
      </c>
      <c r="C957" s="24" t="s">
        <v>488</v>
      </c>
      <c r="D957" s="136" t="str">
        <f t="array" ref="D957">IF(E957=0,0,(INDEX(AccountCodes[ACCOUNT NAME],MATCH(E957,AccountCodes[NGAS CODE],0))))</f>
        <v>Repairs and Maintenance-Transportation Equipment - Motor Vehicles</v>
      </c>
      <c r="E957" s="309" t="s">
        <v>262</v>
      </c>
      <c r="F957" s="502">
        <v>5120.72</v>
      </c>
    </row>
    <row r="958" spans="1:6" x14ac:dyDescent="0.25">
      <c r="A958" s="308">
        <v>43220</v>
      </c>
      <c r="B958" s="24" t="s">
        <v>484</v>
      </c>
      <c r="C958" s="24" t="s">
        <v>488</v>
      </c>
      <c r="D958" s="136" t="str">
        <f t="array" ref="D958">IF(E958=0,0,(INDEX(AccountCodes[ACCOUNT NAME],MATCH(E958,AccountCodes[NGAS CODE],0))))</f>
        <v>Repairs and Maintenance-Transportation Equipment - Motor Vehicles</v>
      </c>
      <c r="E958" s="309" t="s">
        <v>262</v>
      </c>
      <c r="F958" s="502">
        <v>5120.72</v>
      </c>
    </row>
    <row r="959" spans="1:6" x14ac:dyDescent="0.25">
      <c r="A959" s="308">
        <v>43251</v>
      </c>
      <c r="B959" s="24" t="s">
        <v>484</v>
      </c>
      <c r="C959" s="24" t="s">
        <v>488</v>
      </c>
      <c r="D959" s="136" t="str">
        <f t="array" ref="D959">IF(E959=0,0,(INDEX(AccountCodes[ACCOUNT NAME],MATCH(E959,AccountCodes[NGAS CODE],0))))</f>
        <v>Repairs and Maintenance-Transportation Equipment - Motor Vehicles</v>
      </c>
      <c r="E959" s="309" t="s">
        <v>262</v>
      </c>
      <c r="F959" s="502">
        <v>5120.72</v>
      </c>
    </row>
    <row r="960" spans="1:6" x14ac:dyDescent="0.25">
      <c r="A960" s="308">
        <v>43281</v>
      </c>
      <c r="B960" s="24" t="s">
        <v>484</v>
      </c>
      <c r="C960" s="24" t="s">
        <v>488</v>
      </c>
      <c r="D960" s="136" t="str">
        <f t="array" ref="D960">IF(E960=0,0,(INDEX(AccountCodes[ACCOUNT NAME],MATCH(E960,AccountCodes[NGAS CODE],0))))</f>
        <v>Repairs and Maintenance-Transportation Equipment - Motor Vehicles</v>
      </c>
      <c r="E960" s="309" t="s">
        <v>262</v>
      </c>
      <c r="F960" s="502">
        <v>5120.72</v>
      </c>
    </row>
    <row r="961" spans="1:6" x14ac:dyDescent="0.25">
      <c r="A961" s="308">
        <v>43312</v>
      </c>
      <c r="B961" s="24" t="s">
        <v>484</v>
      </c>
      <c r="C961" s="24" t="s">
        <v>488</v>
      </c>
      <c r="D961" s="136" t="str">
        <f t="array" ref="D961">IF(E961=0,0,(INDEX(AccountCodes[ACCOUNT NAME],MATCH(E961,AccountCodes[NGAS CODE],0))))</f>
        <v>Repairs and Maintenance-Transportation Equipment - Motor Vehicles</v>
      </c>
      <c r="E961" s="309" t="s">
        <v>262</v>
      </c>
      <c r="F961" s="502">
        <v>5120.72</v>
      </c>
    </row>
    <row r="962" spans="1:6" x14ac:dyDescent="0.25">
      <c r="A962" s="308">
        <v>43343</v>
      </c>
      <c r="B962" s="24" t="s">
        <v>484</v>
      </c>
      <c r="C962" s="24" t="s">
        <v>488</v>
      </c>
      <c r="D962" s="136" t="str">
        <f t="array" ref="D962">IF(E962=0,0,(INDEX(AccountCodes[ACCOUNT NAME],MATCH(E962,AccountCodes[NGAS CODE],0))))</f>
        <v>Repairs and Maintenance-Transportation Equipment - Motor Vehicles</v>
      </c>
      <c r="E962" s="309" t="s">
        <v>262</v>
      </c>
      <c r="F962" s="502">
        <v>5120.72</v>
      </c>
    </row>
    <row r="963" spans="1:6" x14ac:dyDescent="0.25">
      <c r="A963" s="308">
        <v>43373</v>
      </c>
      <c r="B963" s="24" t="s">
        <v>484</v>
      </c>
      <c r="C963" s="24" t="s">
        <v>488</v>
      </c>
      <c r="D963" s="136" t="str">
        <f t="array" ref="D963">IF(E963=0,0,(INDEX(AccountCodes[ACCOUNT NAME],MATCH(E963,AccountCodes[NGAS CODE],0))))</f>
        <v>Repairs and Maintenance-Transportation Equipment - Motor Vehicles</v>
      </c>
      <c r="E963" s="309" t="s">
        <v>262</v>
      </c>
      <c r="F963" s="502">
        <v>5120.72</v>
      </c>
    </row>
    <row r="964" spans="1:6" x14ac:dyDescent="0.25">
      <c r="A964" s="308">
        <v>43404</v>
      </c>
      <c r="B964" s="24" t="s">
        <v>484</v>
      </c>
      <c r="C964" s="24" t="s">
        <v>488</v>
      </c>
      <c r="D964" s="136" t="str">
        <f t="array" ref="D964">IF(E964=0,0,(INDEX(AccountCodes[ACCOUNT NAME],MATCH(E964,AccountCodes[NGAS CODE],0))))</f>
        <v>Repairs and Maintenance-Transportation Equipment - Motor Vehicles</v>
      </c>
      <c r="E964" s="309" t="s">
        <v>262</v>
      </c>
      <c r="F964" s="502">
        <v>5120.72</v>
      </c>
    </row>
    <row r="965" spans="1:6" x14ac:dyDescent="0.25">
      <c r="A965" s="308">
        <v>43434</v>
      </c>
      <c r="B965" s="24" t="s">
        <v>484</v>
      </c>
      <c r="C965" s="24" t="s">
        <v>488</v>
      </c>
      <c r="D965" s="136" t="str">
        <f t="array" ref="D965">IF(E965=0,0,(INDEX(AccountCodes[ACCOUNT NAME],MATCH(E965,AccountCodes[NGAS CODE],0))))</f>
        <v>Repairs and Maintenance-Transportation Equipment - Motor Vehicles</v>
      </c>
      <c r="E965" s="309" t="s">
        <v>262</v>
      </c>
      <c r="F965" s="502">
        <v>5120.72</v>
      </c>
    </row>
    <row r="966" spans="1:6" x14ac:dyDescent="0.25">
      <c r="A966" s="308">
        <v>43465</v>
      </c>
      <c r="B966" s="24" t="s">
        <v>484</v>
      </c>
      <c r="C966" s="24" t="s">
        <v>488</v>
      </c>
      <c r="D966" s="136" t="str">
        <f t="array" ref="D966">IF(E966=0,0,(INDEX(AccountCodes[ACCOUNT NAME],MATCH(E966,AccountCodes[NGAS CODE],0))))</f>
        <v>Repairs and Maintenance-Transportation Equipment - Motor Vehicles</v>
      </c>
      <c r="E966" s="309" t="s">
        <v>262</v>
      </c>
      <c r="F966" s="502">
        <v>5120.72</v>
      </c>
    </row>
    <row r="967" spans="1:6" x14ac:dyDescent="0.25">
      <c r="A967" s="308">
        <v>43131</v>
      </c>
      <c r="B967" s="24" t="s">
        <v>484</v>
      </c>
      <c r="C967" s="24" t="s">
        <v>488</v>
      </c>
      <c r="D967" s="136" t="str">
        <f t="array" ref="D967">IF(E967=0,0,(INDEX(AccountCodes[ACCOUNT NAME],MATCH(E967,AccountCodes[NGAS CODE],0))))</f>
        <v>Taxes, Duties and Licenses</v>
      </c>
      <c r="E967" s="309" t="s">
        <v>272</v>
      </c>
      <c r="F967" s="502">
        <v>12626.45</v>
      </c>
    </row>
    <row r="968" spans="1:6" x14ac:dyDescent="0.25">
      <c r="A968" s="308">
        <v>43190</v>
      </c>
      <c r="B968" s="24" t="s">
        <v>484</v>
      </c>
      <c r="C968" s="24" t="s">
        <v>488</v>
      </c>
      <c r="D968" s="136" t="str">
        <f t="array" ref="D968">IF(E968=0,0,(INDEX(AccountCodes[ACCOUNT NAME],MATCH(E968,AccountCodes[NGAS CODE],0))))</f>
        <v>Taxes, Duties and Licenses</v>
      </c>
      <c r="E968" s="309" t="s">
        <v>272</v>
      </c>
      <c r="F968" s="502">
        <v>3979</v>
      </c>
    </row>
    <row r="969" spans="1:6" x14ac:dyDescent="0.25">
      <c r="A969" s="308">
        <v>43251</v>
      </c>
      <c r="B969" s="24" t="s">
        <v>484</v>
      </c>
      <c r="C969" s="24" t="s">
        <v>488</v>
      </c>
      <c r="D969" s="136" t="str">
        <f t="array" ref="D969">IF(E969=0,0,(INDEX(AccountCodes[ACCOUNT NAME],MATCH(E969,AccountCodes[NGAS CODE],0))))</f>
        <v>Taxes, Duties and Licenses</v>
      </c>
      <c r="E969" s="309" t="s">
        <v>272</v>
      </c>
      <c r="F969" s="502">
        <v>4643.12</v>
      </c>
    </row>
    <row r="970" spans="1:6" x14ac:dyDescent="0.25">
      <c r="A970" s="308">
        <v>43131</v>
      </c>
      <c r="B970" s="24" t="s">
        <v>484</v>
      </c>
      <c r="C970" s="24" t="s">
        <v>488</v>
      </c>
      <c r="D970" s="136" t="str">
        <f t="array" ref="D970">IF(E970=0,0,(INDEX(AccountCodes[ACCOUNT NAME],MATCH(E970,AccountCodes[NGAS CODE],0))))</f>
        <v>Other Maintenance and Operating Expenses (Irrigator's Share/Remuneration/Subsidy)</v>
      </c>
      <c r="E970" s="309" t="s">
        <v>333</v>
      </c>
      <c r="F970" s="502">
        <v>14833.33</v>
      </c>
    </row>
    <row r="971" spans="1:6" x14ac:dyDescent="0.25">
      <c r="A971" s="308">
        <v>43159</v>
      </c>
      <c r="B971" s="24" t="s">
        <v>484</v>
      </c>
      <c r="C971" s="24" t="s">
        <v>488</v>
      </c>
      <c r="D971" s="136" t="str">
        <f t="array" ref="D971">IF(E971=0,0,(INDEX(AccountCodes[ACCOUNT NAME],MATCH(E971,AccountCodes[NGAS CODE],0))))</f>
        <v>Other Maintenance and Operating Expenses (Irrigator's Share/Remuneration/Subsidy)</v>
      </c>
      <c r="E971" s="309" t="s">
        <v>333</v>
      </c>
      <c r="F971" s="502">
        <v>14833.33</v>
      </c>
    </row>
    <row r="972" spans="1:6" x14ac:dyDescent="0.25">
      <c r="A972" s="308">
        <v>43190</v>
      </c>
      <c r="B972" s="24" t="s">
        <v>484</v>
      </c>
      <c r="C972" s="24" t="s">
        <v>488</v>
      </c>
      <c r="D972" s="136" t="str">
        <f t="array" ref="D972">IF(E972=0,0,(INDEX(AccountCodes[ACCOUNT NAME],MATCH(E972,AccountCodes[NGAS CODE],0))))</f>
        <v>Other Maintenance and Operating Expenses (Irrigator's Share/Remuneration/Subsidy)</v>
      </c>
      <c r="E972" s="309" t="s">
        <v>333</v>
      </c>
      <c r="F972" s="502">
        <v>14833.33</v>
      </c>
    </row>
    <row r="973" spans="1:6" x14ac:dyDescent="0.25">
      <c r="A973" s="308">
        <v>43220</v>
      </c>
      <c r="B973" s="24" t="s">
        <v>484</v>
      </c>
      <c r="C973" s="24" t="s">
        <v>488</v>
      </c>
      <c r="D973" s="136" t="str">
        <f t="array" ref="D973">IF(E973=0,0,(INDEX(AccountCodes[ACCOUNT NAME],MATCH(E973,AccountCodes[NGAS CODE],0))))</f>
        <v>Other Maintenance and Operating Expenses (Irrigator's Share/Remuneration/Subsidy)</v>
      </c>
      <c r="E973" s="309" t="s">
        <v>333</v>
      </c>
      <c r="F973" s="502">
        <v>14833.33</v>
      </c>
    </row>
    <row r="974" spans="1:6" x14ac:dyDescent="0.25">
      <c r="A974" s="308">
        <v>43251</v>
      </c>
      <c r="B974" s="24" t="s">
        <v>484</v>
      </c>
      <c r="C974" s="24" t="s">
        <v>488</v>
      </c>
      <c r="D974" s="136" t="str">
        <f t="array" ref="D974">IF(E974=0,0,(INDEX(AccountCodes[ACCOUNT NAME],MATCH(E974,AccountCodes[NGAS CODE],0))))</f>
        <v>Other Maintenance and Operating Expenses (Irrigator's Share/Remuneration/Subsidy)</v>
      </c>
      <c r="E974" s="309" t="s">
        <v>333</v>
      </c>
      <c r="F974" s="502">
        <v>14833.33</v>
      </c>
    </row>
    <row r="975" spans="1:6" x14ac:dyDescent="0.25">
      <c r="A975" s="308">
        <v>43281</v>
      </c>
      <c r="B975" s="24" t="s">
        <v>484</v>
      </c>
      <c r="C975" s="24" t="s">
        <v>488</v>
      </c>
      <c r="D975" s="136" t="str">
        <f t="array" ref="D975">IF(E975=0,0,(INDEX(AccountCodes[ACCOUNT NAME],MATCH(E975,AccountCodes[NGAS CODE],0))))</f>
        <v>Other Maintenance and Operating Expenses (Irrigator's Share/Remuneration/Subsidy)</v>
      </c>
      <c r="E975" s="309" t="s">
        <v>333</v>
      </c>
      <c r="F975" s="502">
        <v>14833.33</v>
      </c>
    </row>
    <row r="976" spans="1:6" x14ac:dyDescent="0.25">
      <c r="A976" s="308">
        <v>43312</v>
      </c>
      <c r="B976" s="24" t="s">
        <v>484</v>
      </c>
      <c r="C976" s="24" t="s">
        <v>488</v>
      </c>
      <c r="D976" s="136" t="str">
        <f t="array" ref="D976">IF(E976=0,0,(INDEX(AccountCodes[ACCOUNT NAME],MATCH(E976,AccountCodes[NGAS CODE],0))))</f>
        <v>Other Maintenance and Operating Expenses (Irrigator's Share/Remuneration/Subsidy)</v>
      </c>
      <c r="E976" s="309" t="s">
        <v>333</v>
      </c>
      <c r="F976" s="502">
        <v>14833.33</v>
      </c>
    </row>
    <row r="977" spans="1:6" x14ac:dyDescent="0.25">
      <c r="A977" s="308">
        <v>43343</v>
      </c>
      <c r="B977" s="24" t="s">
        <v>484</v>
      </c>
      <c r="C977" s="24" t="s">
        <v>488</v>
      </c>
      <c r="D977" s="136" t="str">
        <f t="array" ref="D977">IF(E977=0,0,(INDEX(AccountCodes[ACCOUNT NAME],MATCH(E977,AccountCodes[NGAS CODE],0))))</f>
        <v>Other Maintenance and Operating Expenses (Irrigator's Share/Remuneration/Subsidy)</v>
      </c>
      <c r="E977" s="309" t="s">
        <v>333</v>
      </c>
      <c r="F977" s="502">
        <v>14833.33</v>
      </c>
    </row>
    <row r="978" spans="1:6" x14ac:dyDescent="0.25">
      <c r="A978" s="308">
        <v>43373</v>
      </c>
      <c r="B978" s="24" t="s">
        <v>484</v>
      </c>
      <c r="C978" s="24" t="s">
        <v>488</v>
      </c>
      <c r="D978" s="136" t="str">
        <f t="array" ref="D978">IF(E978=0,0,(INDEX(AccountCodes[ACCOUNT NAME],MATCH(E978,AccountCodes[NGAS CODE],0))))</f>
        <v>Other Maintenance and Operating Expenses (Irrigator's Share/Remuneration/Subsidy)</v>
      </c>
      <c r="E978" s="309" t="s">
        <v>333</v>
      </c>
      <c r="F978" s="502">
        <v>14833.33</v>
      </c>
    </row>
    <row r="979" spans="1:6" x14ac:dyDescent="0.25">
      <c r="A979" s="308">
        <v>43404</v>
      </c>
      <c r="B979" s="24" t="s">
        <v>484</v>
      </c>
      <c r="C979" s="24" t="s">
        <v>488</v>
      </c>
      <c r="D979" s="136" t="str">
        <f t="array" ref="D979">IF(E979=0,0,(INDEX(AccountCodes[ACCOUNT NAME],MATCH(E979,AccountCodes[NGAS CODE],0))))</f>
        <v>Other Maintenance and Operating Expenses (Irrigator's Share/Remuneration/Subsidy)</v>
      </c>
      <c r="E979" s="309" t="s">
        <v>333</v>
      </c>
      <c r="F979" s="502">
        <v>14833.33</v>
      </c>
    </row>
    <row r="980" spans="1:6" x14ac:dyDescent="0.25">
      <c r="A980" s="308">
        <v>43434</v>
      </c>
      <c r="B980" s="24" t="s">
        <v>484</v>
      </c>
      <c r="C980" s="24" t="s">
        <v>488</v>
      </c>
      <c r="D980" s="136" t="str">
        <f t="array" ref="D980">IF(E980=0,0,(INDEX(AccountCodes[ACCOUNT NAME],MATCH(E980,AccountCodes[NGAS CODE],0))))</f>
        <v>Other Maintenance and Operating Expenses (Irrigator's Share/Remuneration/Subsidy)</v>
      </c>
      <c r="E980" s="309" t="s">
        <v>333</v>
      </c>
      <c r="F980" s="502">
        <v>14833.33</v>
      </c>
    </row>
    <row r="981" spans="1:6" x14ac:dyDescent="0.25">
      <c r="A981" s="308">
        <v>43465</v>
      </c>
      <c r="B981" s="24" t="s">
        <v>484</v>
      </c>
      <c r="C981" s="24" t="s">
        <v>488</v>
      </c>
      <c r="D981" s="136" t="str">
        <f t="array" ref="D981">IF(E981=0,0,(INDEX(AccountCodes[ACCOUNT NAME],MATCH(E981,AccountCodes[NGAS CODE],0))))</f>
        <v>Other Maintenance and Operating Expenses (Irrigator's Share/Remuneration/Subsidy)</v>
      </c>
      <c r="E981" s="309" t="s">
        <v>333</v>
      </c>
      <c r="F981" s="502">
        <v>14833.33</v>
      </c>
    </row>
    <row r="982" spans="1:6" x14ac:dyDescent="0.25">
      <c r="A982" s="308">
        <v>43131</v>
      </c>
      <c r="B982" s="24" t="s">
        <v>484</v>
      </c>
      <c r="C982" s="24" t="s">
        <v>488</v>
      </c>
      <c r="D982" s="136" t="str">
        <f t="array" ref="D982">IF(E982=0,0,(INDEX(AccountCodes[ACCOUNT NAME],MATCH(E982,AccountCodes[NGAS CODE],0))))</f>
        <v>Repairs and Maintenance-Buildings and Other Structures - Buildings</v>
      </c>
      <c r="E982" s="309" t="s">
        <v>251</v>
      </c>
      <c r="F982" s="502">
        <v>41666.67</v>
      </c>
    </row>
    <row r="983" spans="1:6" x14ac:dyDescent="0.25">
      <c r="A983" s="308">
        <v>43159</v>
      </c>
      <c r="B983" s="24" t="s">
        <v>484</v>
      </c>
      <c r="C983" s="24" t="s">
        <v>488</v>
      </c>
      <c r="D983" s="136" t="str">
        <f t="array" ref="D983">IF(E983=0,0,(INDEX(AccountCodes[ACCOUNT NAME],MATCH(E983,AccountCodes[NGAS CODE],0))))</f>
        <v>Repairs and Maintenance-Buildings and Other Structures - Buildings</v>
      </c>
      <c r="E983" s="309" t="s">
        <v>251</v>
      </c>
      <c r="F983" s="502">
        <v>41666.67</v>
      </c>
    </row>
    <row r="984" spans="1:6" x14ac:dyDescent="0.25">
      <c r="A984" s="308">
        <v>43190</v>
      </c>
      <c r="B984" s="24" t="s">
        <v>484</v>
      </c>
      <c r="C984" s="24" t="s">
        <v>488</v>
      </c>
      <c r="D984" s="136" t="str">
        <f t="array" ref="D984">IF(E984=0,0,(INDEX(AccountCodes[ACCOUNT NAME],MATCH(E984,AccountCodes[NGAS CODE],0))))</f>
        <v>Repairs and Maintenance-Buildings and Other Structures - Buildings</v>
      </c>
      <c r="E984" s="309" t="s">
        <v>251</v>
      </c>
      <c r="F984" s="502">
        <v>41666.67</v>
      </c>
    </row>
    <row r="985" spans="1:6" x14ac:dyDescent="0.25">
      <c r="A985" s="308">
        <v>43220</v>
      </c>
      <c r="B985" s="24" t="s">
        <v>484</v>
      </c>
      <c r="C985" s="24" t="s">
        <v>488</v>
      </c>
      <c r="D985" s="136" t="str">
        <f t="array" ref="D985">IF(E985=0,0,(INDEX(AccountCodes[ACCOUNT NAME],MATCH(E985,AccountCodes[NGAS CODE],0))))</f>
        <v>Repairs and Maintenance-Buildings and Other Structures - Buildings</v>
      </c>
      <c r="E985" s="309" t="s">
        <v>251</v>
      </c>
      <c r="F985" s="502">
        <v>41666.67</v>
      </c>
    </row>
    <row r="986" spans="1:6" x14ac:dyDescent="0.25">
      <c r="A986" s="308">
        <v>43251</v>
      </c>
      <c r="B986" s="24" t="s">
        <v>484</v>
      </c>
      <c r="C986" s="24" t="s">
        <v>488</v>
      </c>
      <c r="D986" s="136" t="str">
        <f t="array" ref="D986">IF(E986=0,0,(INDEX(AccountCodes[ACCOUNT NAME],MATCH(E986,AccountCodes[NGAS CODE],0))))</f>
        <v>Repairs and Maintenance-Buildings and Other Structures - Buildings</v>
      </c>
      <c r="E986" s="309" t="s">
        <v>251</v>
      </c>
      <c r="F986" s="502">
        <v>41666.67</v>
      </c>
    </row>
    <row r="987" spans="1:6" x14ac:dyDescent="0.25">
      <c r="A987" s="308">
        <v>43281</v>
      </c>
      <c r="B987" s="24" t="s">
        <v>484</v>
      </c>
      <c r="C987" s="24" t="s">
        <v>488</v>
      </c>
      <c r="D987" s="136" t="str">
        <f t="array" ref="D987">IF(E987=0,0,(INDEX(AccountCodes[ACCOUNT NAME],MATCH(E987,AccountCodes[NGAS CODE],0))))</f>
        <v>Repairs and Maintenance-Buildings and Other Structures - Buildings</v>
      </c>
      <c r="E987" s="309" t="s">
        <v>251</v>
      </c>
      <c r="F987" s="502">
        <v>41666.67</v>
      </c>
    </row>
    <row r="988" spans="1:6" x14ac:dyDescent="0.25">
      <c r="A988" s="308">
        <v>43312</v>
      </c>
      <c r="B988" s="24" t="s">
        <v>484</v>
      </c>
      <c r="C988" s="24" t="s">
        <v>488</v>
      </c>
      <c r="D988" s="136" t="str">
        <f t="array" ref="D988">IF(E988=0,0,(INDEX(AccountCodes[ACCOUNT NAME],MATCH(E988,AccountCodes[NGAS CODE],0))))</f>
        <v>Repairs and Maintenance-Buildings and Other Structures - Buildings</v>
      </c>
      <c r="E988" s="309" t="s">
        <v>251</v>
      </c>
      <c r="F988" s="502">
        <v>41666.67</v>
      </c>
    </row>
    <row r="989" spans="1:6" x14ac:dyDescent="0.25">
      <c r="A989" s="308">
        <v>43343</v>
      </c>
      <c r="B989" s="24" t="s">
        <v>484</v>
      </c>
      <c r="C989" s="24" t="s">
        <v>488</v>
      </c>
      <c r="D989" s="136" t="str">
        <f t="array" ref="D989">IF(E989=0,0,(INDEX(AccountCodes[ACCOUNT NAME],MATCH(E989,AccountCodes[NGAS CODE],0))))</f>
        <v>Repairs and Maintenance-Buildings and Other Structures - Buildings</v>
      </c>
      <c r="E989" s="309" t="s">
        <v>251</v>
      </c>
      <c r="F989" s="502">
        <v>41666.67</v>
      </c>
    </row>
    <row r="990" spans="1:6" x14ac:dyDescent="0.25">
      <c r="A990" s="308">
        <v>43373</v>
      </c>
      <c r="B990" s="24" t="s">
        <v>484</v>
      </c>
      <c r="C990" s="24" t="s">
        <v>488</v>
      </c>
      <c r="D990" s="136" t="str">
        <f t="array" ref="D990">IF(E990=0,0,(INDEX(AccountCodes[ACCOUNT NAME],MATCH(E990,AccountCodes[NGAS CODE],0))))</f>
        <v>Repairs and Maintenance-Buildings and Other Structures - Buildings</v>
      </c>
      <c r="E990" s="309" t="s">
        <v>251</v>
      </c>
      <c r="F990" s="502">
        <v>41666.67</v>
      </c>
    </row>
    <row r="991" spans="1:6" x14ac:dyDescent="0.25">
      <c r="A991" s="308">
        <v>43404</v>
      </c>
      <c r="B991" s="24" t="s">
        <v>484</v>
      </c>
      <c r="C991" s="24" t="s">
        <v>488</v>
      </c>
      <c r="D991" s="136" t="str">
        <f t="array" ref="D991">IF(E991=0,0,(INDEX(AccountCodes[ACCOUNT NAME],MATCH(E991,AccountCodes[NGAS CODE],0))))</f>
        <v>Repairs and Maintenance-Buildings and Other Structures - Buildings</v>
      </c>
      <c r="E991" s="309" t="s">
        <v>251</v>
      </c>
      <c r="F991" s="502">
        <v>41666.67</v>
      </c>
    </row>
    <row r="992" spans="1:6" x14ac:dyDescent="0.25">
      <c r="A992" s="308">
        <v>43434</v>
      </c>
      <c r="B992" s="24" t="s">
        <v>484</v>
      </c>
      <c r="C992" s="24" t="s">
        <v>488</v>
      </c>
      <c r="D992" s="136" t="str">
        <f t="array" ref="D992">IF(E992=0,0,(INDEX(AccountCodes[ACCOUNT NAME],MATCH(E992,AccountCodes[NGAS CODE],0))))</f>
        <v>Repairs and Maintenance-Buildings and Other Structures - Buildings</v>
      </c>
      <c r="E992" s="309" t="s">
        <v>251</v>
      </c>
      <c r="F992" s="502">
        <v>41666.67</v>
      </c>
    </row>
    <row r="993" spans="1:6" x14ac:dyDescent="0.25">
      <c r="A993" s="308">
        <v>43465</v>
      </c>
      <c r="B993" s="24" t="s">
        <v>484</v>
      </c>
      <c r="C993" s="24" t="s">
        <v>488</v>
      </c>
      <c r="D993" s="136" t="str">
        <f t="array" ref="D993">IF(E993=0,0,(INDEX(AccountCodes[ACCOUNT NAME],MATCH(E993,AccountCodes[NGAS CODE],0))))</f>
        <v>Repairs and Maintenance-Buildings and Other Structures - Buildings</v>
      </c>
      <c r="E993" s="309" t="s">
        <v>251</v>
      </c>
      <c r="F993" s="502">
        <v>41666.67</v>
      </c>
    </row>
    <row r="994" spans="1:6" x14ac:dyDescent="0.25">
      <c r="A994" s="308"/>
      <c r="D994" s="136">
        <f t="array" ref="D994">IF(E994=0,0,(INDEX(AccountCodes[ACCOUNT NAME],MATCH(E994,AccountCodes[NGAS CODE],0))))</f>
        <v>0</v>
      </c>
      <c r="E994" s="309"/>
      <c r="F994" s="502"/>
    </row>
    <row r="995" spans="1:6" x14ac:dyDescent="0.25">
      <c r="A995" s="308">
        <v>43190</v>
      </c>
      <c r="B995" s="24" t="s">
        <v>484</v>
      </c>
      <c r="C995" s="24" t="s">
        <v>489</v>
      </c>
      <c r="D995" s="136" t="str">
        <f t="array" ref="D995">IF(E995=0,0,(INDEX(AccountCodes[ACCOUNT NAME],MATCH(E995,AccountCodes[NGAS CODE],0))))</f>
        <v>Other Service Income - CIS Amortization (Back Account)</v>
      </c>
      <c r="E995" s="309" t="s">
        <v>129</v>
      </c>
      <c r="F995" s="502">
        <v>170000</v>
      </c>
    </row>
    <row r="996" spans="1:6" x14ac:dyDescent="0.25">
      <c r="A996" s="308">
        <v>43220</v>
      </c>
      <c r="B996" s="24" t="s">
        <v>484</v>
      </c>
      <c r="C996" s="24" t="s">
        <v>489</v>
      </c>
      <c r="D996" s="136" t="str">
        <f t="array" ref="D996">IF(E996=0,0,(INDEX(AccountCodes[ACCOUNT NAME],MATCH(E996,AccountCodes[NGAS CODE],0))))</f>
        <v>Other Service Income - CIS Amortization (Back Account)</v>
      </c>
      <c r="E996" s="309" t="s">
        <v>129</v>
      </c>
      <c r="F996" s="502">
        <v>250000</v>
      </c>
    </row>
    <row r="997" spans="1:6" x14ac:dyDescent="0.25">
      <c r="A997" s="308">
        <v>43251</v>
      </c>
      <c r="B997" s="24" t="s">
        <v>484</v>
      </c>
      <c r="C997" s="24" t="s">
        <v>489</v>
      </c>
      <c r="D997" s="136" t="str">
        <f t="array" ref="D997">IF(E997=0,0,(INDEX(AccountCodes[ACCOUNT NAME],MATCH(E997,AccountCodes[NGAS CODE],0))))</f>
        <v>Other Service Income - CIS Amortization (Back Account)</v>
      </c>
      <c r="E997" s="309" t="s">
        <v>129</v>
      </c>
      <c r="F997" s="502">
        <v>130000</v>
      </c>
    </row>
    <row r="998" spans="1:6" x14ac:dyDescent="0.25">
      <c r="A998" s="308">
        <v>43404</v>
      </c>
      <c r="B998" s="24" t="s">
        <v>484</v>
      </c>
      <c r="C998" s="24" t="s">
        <v>489</v>
      </c>
      <c r="D998" s="136" t="str">
        <f t="array" ref="D998">IF(E998=0,0,(INDEX(AccountCodes[ACCOUNT NAME],MATCH(E998,AccountCodes[NGAS CODE],0))))</f>
        <v>Other Service Income - CIS Amortization (Back Account)</v>
      </c>
      <c r="E998" s="309" t="s">
        <v>129</v>
      </c>
      <c r="F998" s="502">
        <v>225000</v>
      </c>
    </row>
    <row r="999" spans="1:6" x14ac:dyDescent="0.25">
      <c r="A999" s="308">
        <v>43434</v>
      </c>
      <c r="B999" s="24" t="s">
        <v>484</v>
      </c>
      <c r="C999" s="24" t="s">
        <v>489</v>
      </c>
      <c r="D999" s="136" t="str">
        <f t="array" ref="D999">IF(E999=0,0,(INDEX(AccountCodes[ACCOUNT NAME],MATCH(E999,AccountCodes[NGAS CODE],0))))</f>
        <v>Other Service Income - CIS Amortization (Back Account)</v>
      </c>
      <c r="E999" s="309" t="s">
        <v>129</v>
      </c>
      <c r="F999" s="502">
        <v>125000</v>
      </c>
    </row>
    <row r="1000" spans="1:6" x14ac:dyDescent="0.25">
      <c r="A1000" s="308">
        <v>43190</v>
      </c>
      <c r="B1000" s="24" t="s">
        <v>484</v>
      </c>
      <c r="C1000" s="24" t="s">
        <v>489</v>
      </c>
      <c r="D1000" s="136" t="str">
        <f t="array" ref="D1000">IF(E1000=0,0,(INDEX(AccountCodes[ACCOUNT NAME],MATCH(E1000,AccountCodes[NGAS CODE],0))))</f>
        <v>Other Service Income - CIS Amortization (Current Account)</v>
      </c>
      <c r="E1000" s="24" t="s">
        <v>128</v>
      </c>
      <c r="F1000" s="502">
        <v>5000</v>
      </c>
    </row>
    <row r="1001" spans="1:6" x14ac:dyDescent="0.25">
      <c r="A1001" s="308">
        <v>43220</v>
      </c>
      <c r="B1001" s="24" t="s">
        <v>484</v>
      </c>
      <c r="C1001" s="24" t="s">
        <v>489</v>
      </c>
      <c r="D1001" s="136" t="str">
        <f t="array" ref="D1001">IF(E1001=0,0,(INDEX(AccountCodes[ACCOUNT NAME],MATCH(E1001,AccountCodes[NGAS CODE],0))))</f>
        <v>Other Service Income - CIS Amortization (Current Account)</v>
      </c>
      <c r="E1001" s="24" t="s">
        <v>128</v>
      </c>
      <c r="F1001" s="502">
        <v>386000</v>
      </c>
    </row>
    <row r="1002" spans="1:6" x14ac:dyDescent="0.25">
      <c r="A1002" s="308">
        <v>43251</v>
      </c>
      <c r="B1002" s="24" t="s">
        <v>484</v>
      </c>
      <c r="C1002" s="24" t="s">
        <v>489</v>
      </c>
      <c r="D1002" s="136" t="str">
        <f t="array" ref="D1002">IF(E1002=0,0,(INDEX(AccountCodes[ACCOUNT NAME],MATCH(E1002,AccountCodes[NGAS CODE],0))))</f>
        <v>Other Service Income - CIS Amortization (Current Account)</v>
      </c>
      <c r="E1002" s="24" t="s">
        <v>128</v>
      </c>
      <c r="F1002" s="502">
        <v>444000</v>
      </c>
    </row>
    <row r="1003" spans="1:6" x14ac:dyDescent="0.25">
      <c r="A1003" s="308">
        <v>43404</v>
      </c>
      <c r="B1003" s="24" t="s">
        <v>484</v>
      </c>
      <c r="C1003" s="24" t="s">
        <v>489</v>
      </c>
      <c r="D1003" s="136" t="str">
        <f t="array" ref="D1003">IF(E1003=0,0,(INDEX(AccountCodes[ACCOUNT NAME],MATCH(E1003,AccountCodes[NGAS CODE],0))))</f>
        <v>Other Service Income - CIS Amortization (Current Account)</v>
      </c>
      <c r="E1003" s="24" t="s">
        <v>128</v>
      </c>
      <c r="F1003" s="502">
        <v>247000</v>
      </c>
    </row>
    <row r="1004" spans="1:6" x14ac:dyDescent="0.25">
      <c r="A1004" s="308">
        <v>43434</v>
      </c>
      <c r="B1004" s="24" t="s">
        <v>484</v>
      </c>
      <c r="C1004" s="24" t="s">
        <v>489</v>
      </c>
      <c r="D1004" s="136" t="str">
        <f t="array" ref="D1004">IF(E1004=0,0,(INDEX(AccountCodes[ACCOUNT NAME],MATCH(E1004,AccountCodes[NGAS CODE],0))))</f>
        <v>Other Service Income - CIS Amortization (Current Account)</v>
      </c>
      <c r="E1004" s="24" t="s">
        <v>128</v>
      </c>
      <c r="F1004" s="502">
        <v>118000</v>
      </c>
    </row>
    <row r="1005" spans="1:6" x14ac:dyDescent="0.25">
      <c r="A1005" s="308">
        <v>43131</v>
      </c>
      <c r="B1005" s="24" t="s">
        <v>484</v>
      </c>
      <c r="C1005" s="24" t="s">
        <v>489</v>
      </c>
      <c r="D1005" s="136" t="str">
        <f t="array" ref="D1005">IF(E1005=0,0,(INDEX(AccountCodes[ACCOUNT NAME],MATCH(E1005,AccountCodes[NGAS CODE],0))))</f>
        <v>Salaries and Wages-Regular</v>
      </c>
      <c r="E1005" s="24" t="s">
        <v>162</v>
      </c>
      <c r="F1005" s="502">
        <v>26494</v>
      </c>
    </row>
    <row r="1006" spans="1:6" x14ac:dyDescent="0.25">
      <c r="A1006" s="308">
        <v>43159</v>
      </c>
      <c r="B1006" s="24" t="s">
        <v>484</v>
      </c>
      <c r="C1006" s="24" t="s">
        <v>489</v>
      </c>
      <c r="D1006" s="136" t="str">
        <f t="array" ref="D1006">IF(E1006=0,0,(INDEX(AccountCodes[ACCOUNT NAME],MATCH(E1006,AccountCodes[NGAS CODE],0))))</f>
        <v>Salaries and Wages-Regular</v>
      </c>
      <c r="E1006" s="24" t="s">
        <v>162</v>
      </c>
      <c r="F1006" s="502">
        <v>26494</v>
      </c>
    </row>
    <row r="1007" spans="1:6" x14ac:dyDescent="0.25">
      <c r="A1007" s="308">
        <v>43190</v>
      </c>
      <c r="B1007" s="24" t="s">
        <v>484</v>
      </c>
      <c r="C1007" s="24" t="s">
        <v>489</v>
      </c>
      <c r="D1007" s="136" t="str">
        <f t="array" ref="D1007">IF(E1007=0,0,(INDEX(AccountCodes[ACCOUNT NAME],MATCH(E1007,AccountCodes[NGAS CODE],0))))</f>
        <v>Salaries and Wages-Regular</v>
      </c>
      <c r="E1007" s="24" t="s">
        <v>162</v>
      </c>
      <c r="F1007" s="502">
        <v>26494</v>
      </c>
    </row>
    <row r="1008" spans="1:6" x14ac:dyDescent="0.25">
      <c r="A1008" s="308">
        <v>43220</v>
      </c>
      <c r="B1008" s="24" t="s">
        <v>484</v>
      </c>
      <c r="C1008" s="24" t="s">
        <v>489</v>
      </c>
      <c r="D1008" s="136" t="str">
        <f t="array" ref="D1008">IF(E1008=0,0,(INDEX(AccountCodes[ACCOUNT NAME],MATCH(E1008,AccountCodes[NGAS CODE],0))))</f>
        <v>Salaries and Wages-Regular</v>
      </c>
      <c r="E1008" s="24" t="s">
        <v>162</v>
      </c>
      <c r="F1008" s="502">
        <v>26494</v>
      </c>
    </row>
    <row r="1009" spans="1:6" x14ac:dyDescent="0.25">
      <c r="A1009" s="308">
        <v>43251</v>
      </c>
      <c r="B1009" s="24" t="s">
        <v>484</v>
      </c>
      <c r="C1009" s="24" t="s">
        <v>489</v>
      </c>
      <c r="D1009" s="136" t="str">
        <f t="array" ref="D1009">IF(E1009=0,0,(INDEX(AccountCodes[ACCOUNT NAME],MATCH(E1009,AccountCodes[NGAS CODE],0))))</f>
        <v>Salaries and Wages-Regular</v>
      </c>
      <c r="E1009" s="24" t="s">
        <v>162</v>
      </c>
      <c r="F1009" s="502">
        <v>26494</v>
      </c>
    </row>
    <row r="1010" spans="1:6" x14ac:dyDescent="0.25">
      <c r="A1010" s="308">
        <v>43281</v>
      </c>
      <c r="B1010" s="24" t="s">
        <v>484</v>
      </c>
      <c r="C1010" s="24" t="s">
        <v>489</v>
      </c>
      <c r="D1010" s="136" t="str">
        <f t="array" ref="D1010">IF(E1010=0,0,(INDEX(AccountCodes[ACCOUNT NAME],MATCH(E1010,AccountCodes[NGAS CODE],0))))</f>
        <v>Salaries and Wages-Regular</v>
      </c>
      <c r="E1010" s="24" t="s">
        <v>162</v>
      </c>
      <c r="F1010" s="502">
        <v>26494</v>
      </c>
    </row>
    <row r="1011" spans="1:6" x14ac:dyDescent="0.25">
      <c r="A1011" s="308">
        <v>43312</v>
      </c>
      <c r="B1011" s="24" t="s">
        <v>484</v>
      </c>
      <c r="C1011" s="24" t="s">
        <v>489</v>
      </c>
      <c r="D1011" s="136" t="str">
        <f t="array" ref="D1011">IF(E1011=0,0,(INDEX(AccountCodes[ACCOUNT NAME],MATCH(E1011,AccountCodes[NGAS CODE],0))))</f>
        <v>Salaries and Wages-Regular</v>
      </c>
      <c r="E1011" s="24" t="s">
        <v>162</v>
      </c>
      <c r="F1011" s="502">
        <v>26494</v>
      </c>
    </row>
    <row r="1012" spans="1:6" x14ac:dyDescent="0.25">
      <c r="A1012" s="308">
        <v>43343</v>
      </c>
      <c r="B1012" s="24" t="s">
        <v>484</v>
      </c>
      <c r="C1012" s="24" t="s">
        <v>489</v>
      </c>
      <c r="D1012" s="136" t="str">
        <f t="array" ref="D1012">IF(E1012=0,0,(INDEX(AccountCodes[ACCOUNT NAME],MATCH(E1012,AccountCodes[NGAS CODE],0))))</f>
        <v>Salaries and Wages-Regular</v>
      </c>
      <c r="E1012" s="24" t="s">
        <v>162</v>
      </c>
      <c r="F1012" s="502">
        <v>26806</v>
      </c>
    </row>
    <row r="1013" spans="1:6" x14ac:dyDescent="0.25">
      <c r="A1013" s="308">
        <v>43373</v>
      </c>
      <c r="B1013" s="24" t="s">
        <v>484</v>
      </c>
      <c r="C1013" s="24" t="s">
        <v>489</v>
      </c>
      <c r="D1013" s="136" t="str">
        <f t="array" ref="D1013">IF(E1013=0,0,(INDEX(AccountCodes[ACCOUNT NAME],MATCH(E1013,AccountCodes[NGAS CODE],0))))</f>
        <v>Salaries and Wages-Regular</v>
      </c>
      <c r="E1013" s="24" t="s">
        <v>162</v>
      </c>
      <c r="F1013" s="9">
        <v>26806</v>
      </c>
    </row>
    <row r="1014" spans="1:6" x14ac:dyDescent="0.25">
      <c r="A1014" s="308">
        <v>43404</v>
      </c>
      <c r="B1014" s="24" t="s">
        <v>484</v>
      </c>
      <c r="C1014" s="24" t="s">
        <v>489</v>
      </c>
      <c r="D1014" s="136" t="str">
        <f t="array" ref="D1014">IF(E1014=0,0,(INDEX(AccountCodes[ACCOUNT NAME],MATCH(E1014,AccountCodes[NGAS CODE],0))))</f>
        <v>Salaries and Wages-Regular</v>
      </c>
      <c r="E1014" s="24" t="s">
        <v>162</v>
      </c>
      <c r="F1014" s="9">
        <v>26806</v>
      </c>
    </row>
    <row r="1015" spans="1:6" x14ac:dyDescent="0.25">
      <c r="A1015" s="308">
        <v>43434</v>
      </c>
      <c r="B1015" s="24" t="s">
        <v>484</v>
      </c>
      <c r="C1015" s="24" t="s">
        <v>489</v>
      </c>
      <c r="D1015" s="136" t="str">
        <f t="array" ref="D1015">IF(E1015=0,0,(INDEX(AccountCodes[ACCOUNT NAME],MATCH(E1015,AccountCodes[NGAS CODE],0))))</f>
        <v>Salaries and Wages-Regular</v>
      </c>
      <c r="E1015" s="24" t="s">
        <v>162</v>
      </c>
      <c r="F1015" s="9">
        <v>26806</v>
      </c>
    </row>
    <row r="1016" spans="1:6" x14ac:dyDescent="0.25">
      <c r="A1016" s="308">
        <v>43465</v>
      </c>
      <c r="B1016" s="24" t="s">
        <v>484</v>
      </c>
      <c r="C1016" s="24" t="s">
        <v>489</v>
      </c>
      <c r="D1016" s="136" t="str">
        <f t="array" ref="D1016">IF(E1016=0,0,(INDEX(AccountCodes[ACCOUNT NAME],MATCH(E1016,AccountCodes[NGAS CODE],0))))</f>
        <v>Salaries and Wages-Regular</v>
      </c>
      <c r="E1016" s="24" t="s">
        <v>162</v>
      </c>
      <c r="F1016" s="9">
        <v>26806</v>
      </c>
    </row>
    <row r="1017" spans="1:6" x14ac:dyDescent="0.25">
      <c r="A1017" s="308">
        <v>43131</v>
      </c>
      <c r="B1017" s="24" t="s">
        <v>484</v>
      </c>
      <c r="C1017" s="24" t="s">
        <v>489</v>
      </c>
      <c r="D1017" s="136" t="str">
        <f t="array" ref="D1017">IF(E1017=0,0,(INDEX(AccountCodes[ACCOUNT NAME],MATCH(E1017,AccountCodes[NGAS CODE],0))))</f>
        <v>Personal Economic Relief Allowance (PERA)</v>
      </c>
      <c r="E1017" s="24" t="s">
        <v>164</v>
      </c>
      <c r="F1017" s="502">
        <v>2000</v>
      </c>
    </row>
    <row r="1018" spans="1:6" x14ac:dyDescent="0.25">
      <c r="A1018" s="308">
        <v>43159</v>
      </c>
      <c r="B1018" s="24" t="s">
        <v>484</v>
      </c>
      <c r="C1018" s="24" t="s">
        <v>489</v>
      </c>
      <c r="D1018" s="136" t="str">
        <f t="array" ref="D1018">IF(E1018=0,0,(INDEX(AccountCodes[ACCOUNT NAME],MATCH(E1018,AccountCodes[NGAS CODE],0))))</f>
        <v>Personal Economic Relief Allowance (PERA)</v>
      </c>
      <c r="E1018" s="24" t="s">
        <v>164</v>
      </c>
      <c r="F1018" s="502">
        <v>2000</v>
      </c>
    </row>
    <row r="1019" spans="1:6" x14ac:dyDescent="0.25">
      <c r="A1019" s="308">
        <v>43190</v>
      </c>
      <c r="B1019" s="24" t="s">
        <v>484</v>
      </c>
      <c r="C1019" s="24" t="s">
        <v>489</v>
      </c>
      <c r="D1019" s="136" t="str">
        <f t="array" ref="D1019">IF(E1019=0,0,(INDEX(AccountCodes[ACCOUNT NAME],MATCH(E1019,AccountCodes[NGAS CODE],0))))</f>
        <v>Personal Economic Relief Allowance (PERA)</v>
      </c>
      <c r="E1019" s="24" t="s">
        <v>164</v>
      </c>
      <c r="F1019" s="502">
        <v>2000</v>
      </c>
    </row>
    <row r="1020" spans="1:6" x14ac:dyDescent="0.25">
      <c r="A1020" s="308">
        <v>43220</v>
      </c>
      <c r="B1020" s="24" t="s">
        <v>484</v>
      </c>
      <c r="C1020" s="24" t="s">
        <v>489</v>
      </c>
      <c r="D1020" s="136" t="str">
        <f t="array" ref="D1020">IF(E1020=0,0,(INDEX(AccountCodes[ACCOUNT NAME],MATCH(E1020,AccountCodes[NGAS CODE],0))))</f>
        <v>Personal Economic Relief Allowance (PERA)</v>
      </c>
      <c r="E1020" s="24" t="s">
        <v>164</v>
      </c>
      <c r="F1020" s="502">
        <v>2000</v>
      </c>
    </row>
    <row r="1021" spans="1:6" x14ac:dyDescent="0.25">
      <c r="A1021" s="308">
        <v>43251</v>
      </c>
      <c r="B1021" s="24" t="s">
        <v>484</v>
      </c>
      <c r="C1021" s="24" t="s">
        <v>489</v>
      </c>
      <c r="D1021" s="136" t="str">
        <f t="array" ref="D1021">IF(E1021=0,0,(INDEX(AccountCodes[ACCOUNT NAME],MATCH(E1021,AccountCodes[NGAS CODE],0))))</f>
        <v>Personal Economic Relief Allowance (PERA)</v>
      </c>
      <c r="E1021" s="24" t="s">
        <v>164</v>
      </c>
      <c r="F1021" s="502">
        <v>2000</v>
      </c>
    </row>
    <row r="1022" spans="1:6" x14ac:dyDescent="0.25">
      <c r="A1022" s="308">
        <v>43281</v>
      </c>
      <c r="B1022" s="24" t="s">
        <v>484</v>
      </c>
      <c r="C1022" s="24" t="s">
        <v>489</v>
      </c>
      <c r="D1022" s="136" t="str">
        <f t="array" ref="D1022">IF(E1022=0,0,(INDEX(AccountCodes[ACCOUNT NAME],MATCH(E1022,AccountCodes[NGAS CODE],0))))</f>
        <v>Personal Economic Relief Allowance (PERA)</v>
      </c>
      <c r="E1022" s="24" t="s">
        <v>164</v>
      </c>
      <c r="F1022" s="502">
        <v>2000</v>
      </c>
    </row>
    <row r="1023" spans="1:6" x14ac:dyDescent="0.25">
      <c r="A1023" s="308">
        <v>43312</v>
      </c>
      <c r="B1023" s="24" t="s">
        <v>484</v>
      </c>
      <c r="C1023" s="24" t="s">
        <v>489</v>
      </c>
      <c r="D1023" s="136" t="str">
        <f t="array" ref="D1023">IF(E1023=0,0,(INDEX(AccountCodes[ACCOUNT NAME],MATCH(E1023,AccountCodes[NGAS CODE],0))))</f>
        <v>Personal Economic Relief Allowance (PERA)</v>
      </c>
      <c r="E1023" s="24" t="s">
        <v>164</v>
      </c>
      <c r="F1023" s="502">
        <v>2000</v>
      </c>
    </row>
    <row r="1024" spans="1:6" x14ac:dyDescent="0.25">
      <c r="A1024" s="308">
        <v>43343</v>
      </c>
      <c r="B1024" s="24" t="s">
        <v>484</v>
      </c>
      <c r="C1024" s="24" t="s">
        <v>489</v>
      </c>
      <c r="D1024" s="136" t="str">
        <f t="array" ref="D1024">IF(E1024=0,0,(INDEX(AccountCodes[ACCOUNT NAME],MATCH(E1024,AccountCodes[NGAS CODE],0))))</f>
        <v>Personal Economic Relief Allowance (PERA)</v>
      </c>
      <c r="E1024" s="24" t="s">
        <v>164</v>
      </c>
      <c r="F1024" s="502">
        <v>2000</v>
      </c>
    </row>
    <row r="1025" spans="1:6" x14ac:dyDescent="0.25">
      <c r="A1025" s="308">
        <v>43373</v>
      </c>
      <c r="B1025" s="24" t="s">
        <v>484</v>
      </c>
      <c r="C1025" s="24" t="s">
        <v>489</v>
      </c>
      <c r="D1025" s="136" t="str">
        <f t="array" ref="D1025">IF(E1025=0,0,(INDEX(AccountCodes[ACCOUNT NAME],MATCH(E1025,AccountCodes[NGAS CODE],0))))</f>
        <v>Personal Economic Relief Allowance (PERA)</v>
      </c>
      <c r="E1025" s="24" t="s">
        <v>164</v>
      </c>
      <c r="F1025" s="502">
        <v>2000</v>
      </c>
    </row>
    <row r="1026" spans="1:6" x14ac:dyDescent="0.25">
      <c r="A1026" s="308">
        <v>43404</v>
      </c>
      <c r="B1026" s="24" t="s">
        <v>484</v>
      </c>
      <c r="C1026" s="24" t="s">
        <v>489</v>
      </c>
      <c r="D1026" s="136" t="str">
        <f t="array" ref="D1026">IF(E1026=0,0,(INDEX(AccountCodes[ACCOUNT NAME],MATCH(E1026,AccountCodes[NGAS CODE],0))))</f>
        <v>Personal Economic Relief Allowance (PERA)</v>
      </c>
      <c r="E1026" s="24" t="s">
        <v>164</v>
      </c>
      <c r="F1026" s="502">
        <v>2000</v>
      </c>
    </row>
    <row r="1027" spans="1:6" x14ac:dyDescent="0.25">
      <c r="A1027" s="308">
        <v>43434</v>
      </c>
      <c r="B1027" s="24" t="s">
        <v>484</v>
      </c>
      <c r="C1027" s="24" t="s">
        <v>489</v>
      </c>
      <c r="D1027" s="136" t="str">
        <f t="array" ref="D1027">IF(E1027=0,0,(INDEX(AccountCodes[ACCOUNT NAME],MATCH(E1027,AccountCodes[NGAS CODE],0))))</f>
        <v>Personal Economic Relief Allowance (PERA)</v>
      </c>
      <c r="E1027" s="24" t="s">
        <v>164</v>
      </c>
      <c r="F1027" s="502">
        <v>2000</v>
      </c>
    </row>
    <row r="1028" spans="1:6" x14ac:dyDescent="0.25">
      <c r="A1028" s="308">
        <v>43465</v>
      </c>
      <c r="B1028" s="24" t="s">
        <v>484</v>
      </c>
      <c r="C1028" s="24" t="s">
        <v>489</v>
      </c>
      <c r="D1028" s="136" t="str">
        <f t="array" ref="D1028">IF(E1028=0,0,(INDEX(AccountCodes[ACCOUNT NAME],MATCH(E1028,AccountCodes[NGAS CODE],0))))</f>
        <v>Personal Economic Relief Allowance (PERA)</v>
      </c>
      <c r="E1028" s="24" t="s">
        <v>164</v>
      </c>
      <c r="F1028" s="502">
        <v>2000</v>
      </c>
    </row>
    <row r="1029" spans="1:6" x14ac:dyDescent="0.25">
      <c r="A1029" s="308">
        <v>43190</v>
      </c>
      <c r="B1029" s="24" t="s">
        <v>484</v>
      </c>
      <c r="C1029" s="24" t="s">
        <v>489</v>
      </c>
      <c r="D1029" s="136" t="str">
        <f t="array" ref="D1029">IF(E1029=0,0,(INDEX(AccountCodes[ACCOUNT NAME],MATCH(E1029,AccountCodes[NGAS CODE],0))))</f>
        <v>Clothing/Uniform Allowance</v>
      </c>
      <c r="E1029" s="24" t="s">
        <v>167</v>
      </c>
      <c r="F1029" s="502">
        <v>5000</v>
      </c>
    </row>
    <row r="1030" spans="1:6" x14ac:dyDescent="0.25">
      <c r="A1030" s="308">
        <v>43465</v>
      </c>
      <c r="B1030" s="24" t="s">
        <v>484</v>
      </c>
      <c r="C1030" s="24" t="s">
        <v>489</v>
      </c>
      <c r="D1030" s="136" t="str">
        <f t="array" ref="D1030">IF(E1030=0,0,(INDEX(AccountCodes[ACCOUNT NAME],MATCH(E1030,AccountCodes[NGAS CODE],0))))</f>
        <v>Other Bonuses and Allowances - Productivity Enhancement Incentive-Civilian</v>
      </c>
      <c r="E1030" s="309" t="s">
        <v>170</v>
      </c>
      <c r="F1030" s="502">
        <v>26806</v>
      </c>
    </row>
    <row r="1031" spans="1:6" x14ac:dyDescent="0.25">
      <c r="A1031" s="308">
        <v>43434</v>
      </c>
      <c r="B1031" s="24" t="s">
        <v>484</v>
      </c>
      <c r="C1031" s="24" t="s">
        <v>489</v>
      </c>
      <c r="D1031" s="136" t="str">
        <f t="array" ref="D1031">IF(E1031=0,0,(INDEX(AccountCodes[ACCOUNT NAME],MATCH(E1031,AccountCodes[NGAS CODE],0))))</f>
        <v>Cash Gift</v>
      </c>
      <c r="E1031" s="24" t="s">
        <v>172</v>
      </c>
      <c r="F1031" s="502">
        <v>5000</v>
      </c>
    </row>
    <row r="1032" spans="1:6" x14ac:dyDescent="0.25">
      <c r="A1032" s="308">
        <v>43251</v>
      </c>
      <c r="B1032" s="24" t="s">
        <v>484</v>
      </c>
      <c r="C1032" s="24" t="s">
        <v>489</v>
      </c>
      <c r="D1032" s="136" t="str">
        <f t="array" ref="D1032">IF(E1032=0,0,(INDEX(AccountCodes[ACCOUNT NAME],MATCH(E1032,AccountCodes[NGAS CODE],0))))</f>
        <v>Mid-Year/Year End Bonus</v>
      </c>
      <c r="E1032" s="24" t="s">
        <v>174</v>
      </c>
      <c r="F1032" s="502">
        <v>26494</v>
      </c>
    </row>
    <row r="1033" spans="1:6" x14ac:dyDescent="0.25">
      <c r="A1033" s="308">
        <v>43434</v>
      </c>
      <c r="B1033" s="24" t="s">
        <v>484</v>
      </c>
      <c r="C1033" s="24" t="s">
        <v>489</v>
      </c>
      <c r="D1033" s="136" t="str">
        <f t="array" ref="D1033">IF(E1033=0,0,(INDEX(AccountCodes[ACCOUNT NAME],MATCH(E1033,AccountCodes[NGAS CODE],0))))</f>
        <v>Mid-Year/Year End Bonus</v>
      </c>
      <c r="E1033" s="24" t="s">
        <v>174</v>
      </c>
      <c r="F1033" s="502">
        <v>26806</v>
      </c>
    </row>
    <row r="1034" spans="1:6" x14ac:dyDescent="0.25">
      <c r="A1034" s="308">
        <v>43131</v>
      </c>
      <c r="B1034" s="24" t="s">
        <v>484</v>
      </c>
      <c r="C1034" s="24" t="s">
        <v>489</v>
      </c>
      <c r="D1034" s="136" t="str">
        <f t="array" ref="D1034">IF(E1034=0,0,(INDEX(AccountCodes[ACCOUNT NAME],MATCH(E1034,AccountCodes[NGAS CODE],0))))</f>
        <v>Retirement and Life Insurance Premiums</v>
      </c>
      <c r="E1034" s="24" t="s">
        <v>175</v>
      </c>
      <c r="F1034" s="502">
        <v>3194.88</v>
      </c>
    </row>
    <row r="1035" spans="1:6" x14ac:dyDescent="0.25">
      <c r="A1035" s="308">
        <v>43159</v>
      </c>
      <c r="B1035" s="24" t="s">
        <v>484</v>
      </c>
      <c r="C1035" s="24" t="s">
        <v>489</v>
      </c>
      <c r="D1035" s="136" t="str">
        <f t="array" ref="D1035">IF(E1035=0,0,(INDEX(AccountCodes[ACCOUNT NAME],MATCH(E1035,AccountCodes[NGAS CODE],0))))</f>
        <v>Retirement and Life Insurance Premiums</v>
      </c>
      <c r="E1035" s="24" t="s">
        <v>175</v>
      </c>
      <c r="F1035" s="502">
        <v>3194.88</v>
      </c>
    </row>
    <row r="1036" spans="1:6" x14ac:dyDescent="0.25">
      <c r="A1036" s="308">
        <v>43190</v>
      </c>
      <c r="B1036" s="24" t="s">
        <v>484</v>
      </c>
      <c r="C1036" s="24" t="s">
        <v>489</v>
      </c>
      <c r="D1036" s="136" t="str">
        <f t="array" ref="D1036">IF(E1036=0,0,(INDEX(AccountCodes[ACCOUNT NAME],MATCH(E1036,AccountCodes[NGAS CODE],0))))</f>
        <v>Retirement and Life Insurance Premiums</v>
      </c>
      <c r="E1036" s="24" t="s">
        <v>175</v>
      </c>
      <c r="F1036" s="502">
        <v>3194.88</v>
      </c>
    </row>
    <row r="1037" spans="1:6" x14ac:dyDescent="0.25">
      <c r="A1037" s="308">
        <v>43220</v>
      </c>
      <c r="B1037" s="24" t="s">
        <v>484</v>
      </c>
      <c r="C1037" s="24" t="s">
        <v>489</v>
      </c>
      <c r="D1037" s="136" t="str">
        <f t="array" ref="D1037">IF(E1037=0,0,(INDEX(AccountCodes[ACCOUNT NAME],MATCH(E1037,AccountCodes[NGAS CODE],0))))</f>
        <v>Retirement and Life Insurance Premiums</v>
      </c>
      <c r="E1037" s="24" t="s">
        <v>175</v>
      </c>
      <c r="F1037" s="502">
        <v>3194.88</v>
      </c>
    </row>
    <row r="1038" spans="1:6" x14ac:dyDescent="0.25">
      <c r="A1038" s="308">
        <v>43251</v>
      </c>
      <c r="B1038" s="24" t="s">
        <v>484</v>
      </c>
      <c r="C1038" s="24" t="s">
        <v>489</v>
      </c>
      <c r="D1038" s="136" t="str">
        <f t="array" ref="D1038">IF(E1038=0,0,(INDEX(AccountCodes[ACCOUNT NAME],MATCH(E1038,AccountCodes[NGAS CODE],0))))</f>
        <v>Retirement and Life Insurance Premiums</v>
      </c>
      <c r="E1038" s="24" t="s">
        <v>175</v>
      </c>
      <c r="F1038" s="502">
        <v>3194.88</v>
      </c>
    </row>
    <row r="1039" spans="1:6" x14ac:dyDescent="0.25">
      <c r="A1039" s="308">
        <v>43281</v>
      </c>
      <c r="B1039" s="24" t="s">
        <v>484</v>
      </c>
      <c r="C1039" s="24" t="s">
        <v>489</v>
      </c>
      <c r="D1039" s="136" t="str">
        <f t="array" ref="D1039">IF(E1039=0,0,(INDEX(AccountCodes[ACCOUNT NAME],MATCH(E1039,AccountCodes[NGAS CODE],0))))</f>
        <v>Retirement and Life Insurance Premiums</v>
      </c>
      <c r="E1039" s="24" t="s">
        <v>175</v>
      </c>
      <c r="F1039" s="502">
        <v>3194.88</v>
      </c>
    </row>
    <row r="1040" spans="1:6" x14ac:dyDescent="0.25">
      <c r="A1040" s="308">
        <v>43312</v>
      </c>
      <c r="B1040" s="24" t="s">
        <v>484</v>
      </c>
      <c r="C1040" s="24" t="s">
        <v>489</v>
      </c>
      <c r="D1040" s="136" t="str">
        <f t="array" ref="D1040">IF(E1040=0,0,(INDEX(AccountCodes[ACCOUNT NAME],MATCH(E1040,AccountCodes[NGAS CODE],0))))</f>
        <v>Retirement and Life Insurance Premiums</v>
      </c>
      <c r="E1040" s="24" t="s">
        <v>175</v>
      </c>
      <c r="F1040" s="502">
        <v>3194.88</v>
      </c>
    </row>
    <row r="1041" spans="1:6" x14ac:dyDescent="0.25">
      <c r="A1041" s="308">
        <v>43343</v>
      </c>
      <c r="B1041" s="24" t="s">
        <v>484</v>
      </c>
      <c r="C1041" s="24" t="s">
        <v>489</v>
      </c>
      <c r="D1041" s="136" t="str">
        <f t="array" ref="D1041">IF(E1041=0,0,(INDEX(AccountCodes[ACCOUNT NAME],MATCH(E1041,AccountCodes[NGAS CODE],0))))</f>
        <v>Retirement and Life Insurance Premiums</v>
      </c>
      <c r="E1041" s="24" t="s">
        <v>175</v>
      </c>
      <c r="F1041" s="502">
        <v>3194.88</v>
      </c>
    </row>
    <row r="1042" spans="1:6" x14ac:dyDescent="0.25">
      <c r="A1042" s="308">
        <v>43373</v>
      </c>
      <c r="B1042" s="24" t="s">
        <v>484</v>
      </c>
      <c r="C1042" s="24" t="s">
        <v>489</v>
      </c>
      <c r="D1042" s="136" t="str">
        <f t="array" ref="D1042">IF(E1042=0,0,(INDEX(AccountCodes[ACCOUNT NAME],MATCH(E1042,AccountCodes[NGAS CODE],0))))</f>
        <v>Retirement and Life Insurance Premiums</v>
      </c>
      <c r="E1042" s="24" t="s">
        <v>175</v>
      </c>
      <c r="F1042" s="502">
        <v>3194.88</v>
      </c>
    </row>
    <row r="1043" spans="1:6" x14ac:dyDescent="0.25">
      <c r="A1043" s="308">
        <v>43404</v>
      </c>
      <c r="B1043" s="24" t="s">
        <v>484</v>
      </c>
      <c r="C1043" s="24" t="s">
        <v>489</v>
      </c>
      <c r="D1043" s="136" t="str">
        <f t="array" ref="D1043">IF(E1043=0,0,(INDEX(AccountCodes[ACCOUNT NAME],MATCH(E1043,AccountCodes[NGAS CODE],0))))</f>
        <v>Retirement and Life Insurance Premiums</v>
      </c>
      <c r="E1043" s="24" t="s">
        <v>175</v>
      </c>
      <c r="F1043" s="502">
        <v>3194.88</v>
      </c>
    </row>
    <row r="1044" spans="1:6" x14ac:dyDescent="0.25">
      <c r="A1044" s="308">
        <v>43434</v>
      </c>
      <c r="B1044" s="24" t="s">
        <v>484</v>
      </c>
      <c r="C1044" s="24" t="s">
        <v>489</v>
      </c>
      <c r="D1044" s="136" t="str">
        <f t="array" ref="D1044">IF(E1044=0,0,(INDEX(AccountCodes[ACCOUNT NAME],MATCH(E1044,AccountCodes[NGAS CODE],0))))</f>
        <v>Retirement and Life Insurance Premiums</v>
      </c>
      <c r="E1044" s="24" t="s">
        <v>175</v>
      </c>
      <c r="F1044" s="502">
        <v>3194.88</v>
      </c>
    </row>
    <row r="1045" spans="1:6" x14ac:dyDescent="0.25">
      <c r="A1045" s="308">
        <v>43465</v>
      </c>
      <c r="B1045" s="24" t="s">
        <v>484</v>
      </c>
      <c r="C1045" s="24" t="s">
        <v>489</v>
      </c>
      <c r="D1045" s="136" t="str">
        <f t="array" ref="D1045">IF(E1045=0,0,(INDEX(AccountCodes[ACCOUNT NAME],MATCH(E1045,AccountCodes[NGAS CODE],0))))</f>
        <v>Retirement and Life Insurance Premiums</v>
      </c>
      <c r="E1045" s="24" t="s">
        <v>175</v>
      </c>
      <c r="F1045" s="502">
        <v>3194.88</v>
      </c>
    </row>
    <row r="1046" spans="1:6" x14ac:dyDescent="0.25">
      <c r="A1046" s="308">
        <v>43131</v>
      </c>
      <c r="B1046" s="24" t="s">
        <v>484</v>
      </c>
      <c r="C1046" s="24" t="s">
        <v>489</v>
      </c>
      <c r="D1046" s="136" t="str">
        <f t="array" ref="D1046">IF(E1046=0,0,(INDEX(AccountCodes[ACCOUNT NAME],MATCH(E1046,AccountCodes[NGAS CODE],0))))</f>
        <v>Pag-IBIG Contributions</v>
      </c>
      <c r="E1046" s="24" t="s">
        <v>176</v>
      </c>
      <c r="F1046" s="502">
        <v>100</v>
      </c>
    </row>
    <row r="1047" spans="1:6" x14ac:dyDescent="0.25">
      <c r="A1047" s="308">
        <v>43159</v>
      </c>
      <c r="B1047" s="24" t="s">
        <v>484</v>
      </c>
      <c r="C1047" s="24" t="s">
        <v>489</v>
      </c>
      <c r="D1047" s="136" t="str">
        <f t="array" ref="D1047">IF(E1047=0,0,(INDEX(AccountCodes[ACCOUNT NAME],MATCH(E1047,AccountCodes[NGAS CODE],0))))</f>
        <v>Pag-IBIG Contributions</v>
      </c>
      <c r="E1047" s="24" t="s">
        <v>176</v>
      </c>
      <c r="F1047" s="502">
        <v>100</v>
      </c>
    </row>
    <row r="1048" spans="1:6" x14ac:dyDescent="0.25">
      <c r="A1048" s="308">
        <v>43190</v>
      </c>
      <c r="B1048" s="24" t="s">
        <v>484</v>
      </c>
      <c r="C1048" s="24" t="s">
        <v>489</v>
      </c>
      <c r="D1048" s="136" t="str">
        <f t="array" ref="D1048">IF(E1048=0,0,(INDEX(AccountCodes[ACCOUNT NAME],MATCH(E1048,AccountCodes[NGAS CODE],0))))</f>
        <v>Pag-IBIG Contributions</v>
      </c>
      <c r="E1048" s="24" t="s">
        <v>176</v>
      </c>
      <c r="F1048" s="502">
        <v>100</v>
      </c>
    </row>
    <row r="1049" spans="1:6" x14ac:dyDescent="0.25">
      <c r="A1049" s="308">
        <v>43220</v>
      </c>
      <c r="B1049" s="24" t="s">
        <v>484</v>
      </c>
      <c r="C1049" s="24" t="s">
        <v>489</v>
      </c>
      <c r="D1049" s="136" t="str">
        <f t="array" ref="D1049">IF(E1049=0,0,(INDEX(AccountCodes[ACCOUNT NAME],MATCH(E1049,AccountCodes[NGAS CODE],0))))</f>
        <v>Pag-IBIG Contributions</v>
      </c>
      <c r="E1049" s="24" t="s">
        <v>176</v>
      </c>
      <c r="F1049" s="502">
        <v>100</v>
      </c>
    </row>
    <row r="1050" spans="1:6" x14ac:dyDescent="0.25">
      <c r="A1050" s="308">
        <v>43251</v>
      </c>
      <c r="B1050" s="24" t="s">
        <v>484</v>
      </c>
      <c r="C1050" s="24" t="s">
        <v>489</v>
      </c>
      <c r="D1050" s="136" t="str">
        <f t="array" ref="D1050">IF(E1050=0,0,(INDEX(AccountCodes[ACCOUNT NAME],MATCH(E1050,AccountCodes[NGAS CODE],0))))</f>
        <v>Pag-IBIG Contributions</v>
      </c>
      <c r="E1050" s="24" t="s">
        <v>176</v>
      </c>
      <c r="F1050" s="502">
        <v>100</v>
      </c>
    </row>
    <row r="1051" spans="1:6" x14ac:dyDescent="0.25">
      <c r="A1051" s="308">
        <v>43281</v>
      </c>
      <c r="B1051" s="24" t="s">
        <v>484</v>
      </c>
      <c r="C1051" s="24" t="s">
        <v>489</v>
      </c>
      <c r="D1051" s="136" t="str">
        <f t="array" ref="D1051">IF(E1051=0,0,(INDEX(AccountCodes[ACCOUNT NAME],MATCH(E1051,AccountCodes[NGAS CODE],0))))</f>
        <v>Pag-IBIG Contributions</v>
      </c>
      <c r="E1051" s="24" t="s">
        <v>176</v>
      </c>
      <c r="F1051" s="502">
        <v>100</v>
      </c>
    </row>
    <row r="1052" spans="1:6" x14ac:dyDescent="0.25">
      <c r="A1052" s="308">
        <v>43312</v>
      </c>
      <c r="B1052" s="24" t="s">
        <v>484</v>
      </c>
      <c r="C1052" s="24" t="s">
        <v>489</v>
      </c>
      <c r="D1052" s="136" t="str">
        <f t="array" ref="D1052">IF(E1052=0,0,(INDEX(AccountCodes[ACCOUNT NAME],MATCH(E1052,AccountCodes[NGAS CODE],0))))</f>
        <v>Pag-IBIG Contributions</v>
      </c>
      <c r="E1052" s="24" t="s">
        <v>176</v>
      </c>
      <c r="F1052" s="502">
        <v>100</v>
      </c>
    </row>
    <row r="1053" spans="1:6" x14ac:dyDescent="0.25">
      <c r="A1053" s="308">
        <v>43343</v>
      </c>
      <c r="B1053" s="24" t="s">
        <v>484</v>
      </c>
      <c r="C1053" s="24" t="s">
        <v>489</v>
      </c>
      <c r="D1053" s="136" t="str">
        <f t="array" ref="D1053">IF(E1053=0,0,(INDEX(AccountCodes[ACCOUNT NAME],MATCH(E1053,AccountCodes[NGAS CODE],0))))</f>
        <v>Pag-IBIG Contributions</v>
      </c>
      <c r="E1053" s="24" t="s">
        <v>176</v>
      </c>
      <c r="F1053" s="502">
        <v>100</v>
      </c>
    </row>
    <row r="1054" spans="1:6" x14ac:dyDescent="0.25">
      <c r="A1054" s="308">
        <v>43373</v>
      </c>
      <c r="B1054" s="24" t="s">
        <v>484</v>
      </c>
      <c r="C1054" s="24" t="s">
        <v>489</v>
      </c>
      <c r="D1054" s="136" t="str">
        <f t="array" ref="D1054">IF(E1054=0,0,(INDEX(AccountCodes[ACCOUNT NAME],MATCH(E1054,AccountCodes[NGAS CODE],0))))</f>
        <v>Pag-IBIG Contributions</v>
      </c>
      <c r="E1054" s="24" t="s">
        <v>176</v>
      </c>
      <c r="F1054" s="502">
        <v>100</v>
      </c>
    </row>
    <row r="1055" spans="1:6" x14ac:dyDescent="0.25">
      <c r="A1055" s="308">
        <v>43404</v>
      </c>
      <c r="B1055" s="24" t="s">
        <v>484</v>
      </c>
      <c r="C1055" s="24" t="s">
        <v>489</v>
      </c>
      <c r="D1055" s="136" t="str">
        <f t="array" ref="D1055">IF(E1055=0,0,(INDEX(AccountCodes[ACCOUNT NAME],MATCH(E1055,AccountCodes[NGAS CODE],0))))</f>
        <v>Pag-IBIG Contributions</v>
      </c>
      <c r="E1055" s="24" t="s">
        <v>176</v>
      </c>
      <c r="F1055" s="502">
        <v>100</v>
      </c>
    </row>
    <row r="1056" spans="1:6" x14ac:dyDescent="0.25">
      <c r="A1056" s="308">
        <v>43434</v>
      </c>
      <c r="B1056" s="24" t="s">
        <v>484</v>
      </c>
      <c r="C1056" s="24" t="s">
        <v>489</v>
      </c>
      <c r="D1056" s="136" t="str">
        <f t="array" ref="D1056">IF(E1056=0,0,(INDEX(AccountCodes[ACCOUNT NAME],MATCH(E1056,AccountCodes[NGAS CODE],0))))</f>
        <v>Pag-IBIG Contributions</v>
      </c>
      <c r="E1056" s="24" t="s">
        <v>176</v>
      </c>
      <c r="F1056" s="502">
        <v>100</v>
      </c>
    </row>
    <row r="1057" spans="1:6" x14ac:dyDescent="0.25">
      <c r="A1057" s="308">
        <v>43465</v>
      </c>
      <c r="B1057" s="24" t="s">
        <v>484</v>
      </c>
      <c r="C1057" s="24" t="s">
        <v>489</v>
      </c>
      <c r="D1057" s="136" t="str">
        <f t="array" ref="D1057">IF(E1057=0,0,(INDEX(AccountCodes[ACCOUNT NAME],MATCH(E1057,AccountCodes[NGAS CODE],0))))</f>
        <v>Pag-IBIG Contributions</v>
      </c>
      <c r="E1057" s="24" t="s">
        <v>176</v>
      </c>
      <c r="F1057" s="502">
        <v>100</v>
      </c>
    </row>
    <row r="1058" spans="1:6" x14ac:dyDescent="0.25">
      <c r="A1058" s="308">
        <v>43131</v>
      </c>
      <c r="B1058" s="24" t="s">
        <v>484</v>
      </c>
      <c r="C1058" s="24" t="s">
        <v>489</v>
      </c>
      <c r="D1058" s="136" t="str">
        <f t="array" ref="D1058">IF(E1058=0,0,(INDEX(AccountCodes[ACCOUNT NAME],MATCH(E1058,AccountCodes[NGAS CODE],0))))</f>
        <v>PhilHealth Contributions</v>
      </c>
      <c r="E1058" s="24" t="s">
        <v>177</v>
      </c>
      <c r="F1058" s="502">
        <v>325</v>
      </c>
    </row>
    <row r="1059" spans="1:6" x14ac:dyDescent="0.25">
      <c r="A1059" s="308">
        <v>43159</v>
      </c>
      <c r="B1059" s="24" t="s">
        <v>484</v>
      </c>
      <c r="C1059" s="24" t="s">
        <v>489</v>
      </c>
      <c r="D1059" s="136" t="str">
        <f t="array" ref="D1059">IF(E1059=0,0,(INDEX(AccountCodes[ACCOUNT NAME],MATCH(E1059,AccountCodes[NGAS CODE],0))))</f>
        <v>PhilHealth Contributions</v>
      </c>
      <c r="E1059" s="24" t="s">
        <v>177</v>
      </c>
      <c r="F1059" s="502">
        <v>325</v>
      </c>
    </row>
    <row r="1060" spans="1:6" x14ac:dyDescent="0.25">
      <c r="A1060" s="308">
        <v>43190</v>
      </c>
      <c r="B1060" s="24" t="s">
        <v>484</v>
      </c>
      <c r="C1060" s="24" t="s">
        <v>489</v>
      </c>
      <c r="D1060" s="136" t="str">
        <f t="array" ref="D1060">IF(E1060=0,0,(INDEX(AccountCodes[ACCOUNT NAME],MATCH(E1060,AccountCodes[NGAS CODE],0))))</f>
        <v>PhilHealth Contributions</v>
      </c>
      <c r="E1060" s="24" t="s">
        <v>177</v>
      </c>
      <c r="F1060" s="502">
        <v>325</v>
      </c>
    </row>
    <row r="1061" spans="1:6" x14ac:dyDescent="0.25">
      <c r="A1061" s="308">
        <v>43220</v>
      </c>
      <c r="B1061" s="24" t="s">
        <v>484</v>
      </c>
      <c r="C1061" s="24" t="s">
        <v>489</v>
      </c>
      <c r="D1061" s="136" t="str">
        <f t="array" ref="D1061">IF(E1061=0,0,(INDEX(AccountCodes[ACCOUNT NAME],MATCH(E1061,AccountCodes[NGAS CODE],0))))</f>
        <v>PhilHealth Contributions</v>
      </c>
      <c r="E1061" s="24" t="s">
        <v>177</v>
      </c>
      <c r="F1061" s="502">
        <v>325</v>
      </c>
    </row>
    <row r="1062" spans="1:6" x14ac:dyDescent="0.25">
      <c r="A1062" s="308">
        <v>43251</v>
      </c>
      <c r="B1062" s="24" t="s">
        <v>484</v>
      </c>
      <c r="C1062" s="24" t="s">
        <v>489</v>
      </c>
      <c r="D1062" s="136" t="str">
        <f t="array" ref="D1062">IF(E1062=0,0,(INDEX(AccountCodes[ACCOUNT NAME],MATCH(E1062,AccountCodes[NGAS CODE],0))))</f>
        <v>PhilHealth Contributions</v>
      </c>
      <c r="E1062" s="24" t="s">
        <v>177</v>
      </c>
      <c r="F1062" s="502">
        <v>325</v>
      </c>
    </row>
    <row r="1063" spans="1:6" x14ac:dyDescent="0.25">
      <c r="A1063" s="308">
        <v>43281</v>
      </c>
      <c r="B1063" s="24" t="s">
        <v>484</v>
      </c>
      <c r="C1063" s="24" t="s">
        <v>489</v>
      </c>
      <c r="D1063" s="136" t="str">
        <f t="array" ref="D1063">IF(E1063=0,0,(INDEX(AccountCodes[ACCOUNT NAME],MATCH(E1063,AccountCodes[NGAS CODE],0))))</f>
        <v>PhilHealth Contributions</v>
      </c>
      <c r="E1063" s="24" t="s">
        <v>177</v>
      </c>
      <c r="F1063" s="502">
        <v>325</v>
      </c>
    </row>
    <row r="1064" spans="1:6" x14ac:dyDescent="0.25">
      <c r="A1064" s="308">
        <v>43312</v>
      </c>
      <c r="B1064" s="24" t="s">
        <v>484</v>
      </c>
      <c r="C1064" s="24" t="s">
        <v>489</v>
      </c>
      <c r="D1064" s="136" t="str">
        <f t="array" ref="D1064">IF(E1064=0,0,(INDEX(AccountCodes[ACCOUNT NAME],MATCH(E1064,AccountCodes[NGAS CODE],0))))</f>
        <v>PhilHealth Contributions</v>
      </c>
      <c r="E1064" s="24" t="s">
        <v>177</v>
      </c>
      <c r="F1064" s="502">
        <v>325</v>
      </c>
    </row>
    <row r="1065" spans="1:6" x14ac:dyDescent="0.25">
      <c r="A1065" s="308">
        <v>43343</v>
      </c>
      <c r="B1065" s="24" t="s">
        <v>484</v>
      </c>
      <c r="C1065" s="24" t="s">
        <v>489</v>
      </c>
      <c r="D1065" s="136" t="str">
        <f t="array" ref="D1065">IF(E1065=0,0,(INDEX(AccountCodes[ACCOUNT NAME],MATCH(E1065,AccountCodes[NGAS CODE],0))))</f>
        <v>PhilHealth Contributions</v>
      </c>
      <c r="E1065" s="24" t="s">
        <v>177</v>
      </c>
      <c r="F1065" s="502">
        <v>325</v>
      </c>
    </row>
    <row r="1066" spans="1:6" x14ac:dyDescent="0.25">
      <c r="A1066" s="308">
        <v>43373</v>
      </c>
      <c r="B1066" s="24" t="s">
        <v>484</v>
      </c>
      <c r="C1066" s="24" t="s">
        <v>489</v>
      </c>
      <c r="D1066" s="136" t="str">
        <f t="array" ref="D1066">IF(E1066=0,0,(INDEX(AccountCodes[ACCOUNT NAME],MATCH(E1066,AccountCodes[NGAS CODE],0))))</f>
        <v>PhilHealth Contributions</v>
      </c>
      <c r="E1066" s="24" t="s">
        <v>177</v>
      </c>
      <c r="F1066" s="502">
        <v>325</v>
      </c>
    </row>
    <row r="1067" spans="1:6" x14ac:dyDescent="0.25">
      <c r="A1067" s="308">
        <v>43404</v>
      </c>
      <c r="B1067" s="24" t="s">
        <v>484</v>
      </c>
      <c r="C1067" s="24" t="s">
        <v>489</v>
      </c>
      <c r="D1067" s="136" t="str">
        <f t="array" ref="D1067">IF(E1067=0,0,(INDEX(AccountCodes[ACCOUNT NAME],MATCH(E1067,AccountCodes[NGAS CODE],0))))</f>
        <v>PhilHealth Contributions</v>
      </c>
      <c r="E1067" s="24" t="s">
        <v>177</v>
      </c>
      <c r="F1067" s="502">
        <v>325</v>
      </c>
    </row>
    <row r="1068" spans="1:6" x14ac:dyDescent="0.25">
      <c r="A1068" s="308">
        <v>43434</v>
      </c>
      <c r="B1068" s="24" t="s">
        <v>484</v>
      </c>
      <c r="C1068" s="24" t="s">
        <v>489</v>
      </c>
      <c r="D1068" s="136" t="str">
        <f t="array" ref="D1068">IF(E1068=0,0,(INDEX(AccountCodes[ACCOUNT NAME],MATCH(E1068,AccountCodes[NGAS CODE],0))))</f>
        <v>PhilHealth Contributions</v>
      </c>
      <c r="E1068" s="24" t="s">
        <v>177</v>
      </c>
      <c r="F1068" s="502">
        <v>325</v>
      </c>
    </row>
    <row r="1069" spans="1:6" x14ac:dyDescent="0.25">
      <c r="A1069" s="308">
        <v>43465</v>
      </c>
      <c r="B1069" s="24" t="s">
        <v>484</v>
      </c>
      <c r="C1069" s="24" t="s">
        <v>489</v>
      </c>
      <c r="D1069" s="136" t="str">
        <f t="array" ref="D1069">IF(E1069=0,0,(INDEX(AccountCodes[ACCOUNT NAME],MATCH(E1069,AccountCodes[NGAS CODE],0))))</f>
        <v>PhilHealth Contributions</v>
      </c>
      <c r="E1069" s="24" t="s">
        <v>177</v>
      </c>
      <c r="F1069" s="502">
        <v>325</v>
      </c>
    </row>
    <row r="1070" spans="1:6" x14ac:dyDescent="0.25">
      <c r="A1070" s="308">
        <v>43131</v>
      </c>
      <c r="B1070" s="24" t="s">
        <v>484</v>
      </c>
      <c r="C1070" s="24" t="s">
        <v>489</v>
      </c>
      <c r="D1070" s="136" t="str">
        <f t="array" ref="D1070">IF(E1070=0,0,(INDEX(AccountCodes[ACCOUNT NAME],MATCH(E1070,AccountCodes[NGAS CODE],0))))</f>
        <v>Employees Compensation Insurance Premiums</v>
      </c>
      <c r="E1070" s="24" t="s">
        <v>178</v>
      </c>
      <c r="F1070" s="502">
        <v>100</v>
      </c>
    </row>
    <row r="1071" spans="1:6" x14ac:dyDescent="0.25">
      <c r="A1071" s="308">
        <v>43159</v>
      </c>
      <c r="B1071" s="24" t="s">
        <v>484</v>
      </c>
      <c r="C1071" s="24" t="s">
        <v>489</v>
      </c>
      <c r="D1071" s="136" t="str">
        <f t="array" ref="D1071">IF(E1071=0,0,(INDEX(AccountCodes[ACCOUNT NAME],MATCH(E1071,AccountCodes[NGAS CODE],0))))</f>
        <v>Employees Compensation Insurance Premiums</v>
      </c>
      <c r="E1071" s="24" t="s">
        <v>178</v>
      </c>
      <c r="F1071" s="502">
        <v>100</v>
      </c>
    </row>
    <row r="1072" spans="1:6" x14ac:dyDescent="0.25">
      <c r="A1072" s="308">
        <v>43190</v>
      </c>
      <c r="B1072" s="24" t="s">
        <v>484</v>
      </c>
      <c r="C1072" s="24" t="s">
        <v>489</v>
      </c>
      <c r="D1072" s="136" t="str">
        <f t="array" ref="D1072">IF(E1072=0,0,(INDEX(AccountCodes[ACCOUNT NAME],MATCH(E1072,AccountCodes[NGAS CODE],0))))</f>
        <v>Employees Compensation Insurance Premiums</v>
      </c>
      <c r="E1072" s="24" t="s">
        <v>178</v>
      </c>
      <c r="F1072" s="502">
        <v>100</v>
      </c>
    </row>
    <row r="1073" spans="1:6" x14ac:dyDescent="0.25">
      <c r="A1073" s="308">
        <v>43220</v>
      </c>
      <c r="B1073" s="24" t="s">
        <v>484</v>
      </c>
      <c r="C1073" s="24" t="s">
        <v>489</v>
      </c>
      <c r="D1073" s="136" t="str">
        <f t="array" ref="D1073">IF(E1073=0,0,(INDEX(AccountCodes[ACCOUNT NAME],MATCH(E1073,AccountCodes[NGAS CODE],0))))</f>
        <v>Employees Compensation Insurance Premiums</v>
      </c>
      <c r="E1073" s="24" t="s">
        <v>178</v>
      </c>
      <c r="F1073" s="502">
        <v>100</v>
      </c>
    </row>
    <row r="1074" spans="1:6" x14ac:dyDescent="0.25">
      <c r="A1074" s="308">
        <v>43251</v>
      </c>
      <c r="B1074" s="24" t="s">
        <v>484</v>
      </c>
      <c r="C1074" s="24" t="s">
        <v>489</v>
      </c>
      <c r="D1074" s="136" t="str">
        <f t="array" ref="D1074">IF(E1074=0,0,(INDEX(AccountCodes[ACCOUNT NAME],MATCH(E1074,AccountCodes[NGAS CODE],0))))</f>
        <v>Employees Compensation Insurance Premiums</v>
      </c>
      <c r="E1074" s="24" t="s">
        <v>178</v>
      </c>
      <c r="F1074" s="502">
        <v>100</v>
      </c>
    </row>
    <row r="1075" spans="1:6" x14ac:dyDescent="0.25">
      <c r="A1075" s="308">
        <v>43281</v>
      </c>
      <c r="B1075" s="24" t="s">
        <v>484</v>
      </c>
      <c r="C1075" s="24" t="s">
        <v>489</v>
      </c>
      <c r="D1075" s="136" t="str">
        <f t="array" ref="D1075">IF(E1075=0,0,(INDEX(AccountCodes[ACCOUNT NAME],MATCH(E1075,AccountCodes[NGAS CODE],0))))</f>
        <v>Employees Compensation Insurance Premiums</v>
      </c>
      <c r="E1075" s="24" t="s">
        <v>178</v>
      </c>
      <c r="F1075" s="502">
        <v>100</v>
      </c>
    </row>
    <row r="1076" spans="1:6" x14ac:dyDescent="0.25">
      <c r="A1076" s="308">
        <v>43312</v>
      </c>
      <c r="B1076" s="24" t="s">
        <v>484</v>
      </c>
      <c r="C1076" s="24" t="s">
        <v>489</v>
      </c>
      <c r="D1076" s="136" t="str">
        <f t="array" ref="D1076">IF(E1076=0,0,(INDEX(AccountCodes[ACCOUNT NAME],MATCH(E1076,AccountCodes[NGAS CODE],0))))</f>
        <v>Employees Compensation Insurance Premiums</v>
      </c>
      <c r="E1076" s="24" t="s">
        <v>178</v>
      </c>
      <c r="F1076" s="502">
        <v>100</v>
      </c>
    </row>
    <row r="1077" spans="1:6" x14ac:dyDescent="0.25">
      <c r="A1077" s="308">
        <v>43343</v>
      </c>
      <c r="B1077" s="24" t="s">
        <v>484</v>
      </c>
      <c r="C1077" s="24" t="s">
        <v>489</v>
      </c>
      <c r="D1077" s="136" t="str">
        <f t="array" ref="D1077">IF(E1077=0,0,(INDEX(AccountCodes[ACCOUNT NAME],MATCH(E1077,AccountCodes[NGAS CODE],0))))</f>
        <v>Employees Compensation Insurance Premiums</v>
      </c>
      <c r="E1077" s="24" t="s">
        <v>178</v>
      </c>
      <c r="F1077" s="502">
        <v>100</v>
      </c>
    </row>
    <row r="1078" spans="1:6" x14ac:dyDescent="0.25">
      <c r="A1078" s="308">
        <v>43373</v>
      </c>
      <c r="B1078" s="24" t="s">
        <v>484</v>
      </c>
      <c r="C1078" s="24" t="s">
        <v>489</v>
      </c>
      <c r="D1078" s="136" t="str">
        <f t="array" ref="D1078">IF(E1078=0,0,(INDEX(AccountCodes[ACCOUNT NAME],MATCH(E1078,AccountCodes[NGAS CODE],0))))</f>
        <v>Employees Compensation Insurance Premiums</v>
      </c>
      <c r="E1078" s="24" t="s">
        <v>178</v>
      </c>
      <c r="F1078" s="502">
        <v>100</v>
      </c>
    </row>
    <row r="1079" spans="1:6" x14ac:dyDescent="0.25">
      <c r="A1079" s="308">
        <v>43404</v>
      </c>
      <c r="B1079" s="24" t="s">
        <v>484</v>
      </c>
      <c r="C1079" s="24" t="s">
        <v>489</v>
      </c>
      <c r="D1079" s="136" t="str">
        <f t="array" ref="D1079">IF(E1079=0,0,(INDEX(AccountCodes[ACCOUNT NAME],MATCH(E1079,AccountCodes[NGAS CODE],0))))</f>
        <v>Employees Compensation Insurance Premiums</v>
      </c>
      <c r="E1079" s="24" t="s">
        <v>178</v>
      </c>
      <c r="F1079" s="502">
        <v>100</v>
      </c>
    </row>
    <row r="1080" spans="1:6" x14ac:dyDescent="0.25">
      <c r="A1080" s="308">
        <v>43434</v>
      </c>
      <c r="B1080" s="24" t="s">
        <v>484</v>
      </c>
      <c r="C1080" s="24" t="s">
        <v>489</v>
      </c>
      <c r="D1080" s="136" t="str">
        <f t="array" ref="D1080">IF(E1080=0,0,(INDEX(AccountCodes[ACCOUNT NAME],MATCH(E1080,AccountCodes[NGAS CODE],0))))</f>
        <v>Employees Compensation Insurance Premiums</v>
      </c>
      <c r="E1080" s="24" t="s">
        <v>178</v>
      </c>
      <c r="F1080" s="502">
        <v>100</v>
      </c>
    </row>
    <row r="1081" spans="1:6" x14ac:dyDescent="0.25">
      <c r="A1081" s="308">
        <v>43465</v>
      </c>
      <c r="B1081" s="24" t="s">
        <v>484</v>
      </c>
      <c r="C1081" s="24" t="s">
        <v>489</v>
      </c>
      <c r="D1081" s="136" t="str">
        <f t="array" ref="D1081">IF(E1081=0,0,(INDEX(AccountCodes[ACCOUNT NAME],MATCH(E1081,AccountCodes[NGAS CODE],0))))</f>
        <v>Employees Compensation Insurance Premiums</v>
      </c>
      <c r="E1081" s="24" t="s">
        <v>178</v>
      </c>
      <c r="F1081" s="502">
        <v>100</v>
      </c>
    </row>
    <row r="1082" spans="1:6" x14ac:dyDescent="0.25">
      <c r="A1082" s="308">
        <v>43131</v>
      </c>
      <c r="B1082" s="24" t="s">
        <v>484</v>
      </c>
      <c r="C1082" s="24" t="s">
        <v>489</v>
      </c>
      <c r="D1082" s="136" t="str">
        <f t="array" ref="D1082">IF(E1082=0,0,(INDEX(AccountCodes[ACCOUNT NAME],MATCH(E1082,AccountCodes[NGAS CODE],0))))</f>
        <v>Traveling Expenses-Local</v>
      </c>
      <c r="E1082" s="24" t="s">
        <v>223</v>
      </c>
      <c r="F1082" s="502">
        <v>2400</v>
      </c>
    </row>
    <row r="1083" spans="1:6" x14ac:dyDescent="0.25">
      <c r="A1083" s="308">
        <v>43159</v>
      </c>
      <c r="B1083" s="24" t="s">
        <v>484</v>
      </c>
      <c r="C1083" s="24" t="s">
        <v>489</v>
      </c>
      <c r="D1083" s="136" t="str">
        <f t="array" ref="D1083">IF(E1083=0,0,(INDEX(AccountCodes[ACCOUNT NAME],MATCH(E1083,AccountCodes[NGAS CODE],0))))</f>
        <v>Traveling Expenses-Local</v>
      </c>
      <c r="E1083" s="24" t="s">
        <v>223</v>
      </c>
      <c r="F1083" s="502">
        <v>2400</v>
      </c>
    </row>
    <row r="1084" spans="1:6" x14ac:dyDescent="0.25">
      <c r="A1084" s="308">
        <v>43190</v>
      </c>
      <c r="B1084" s="24" t="s">
        <v>484</v>
      </c>
      <c r="C1084" s="24" t="s">
        <v>489</v>
      </c>
      <c r="D1084" s="136" t="str">
        <f t="array" ref="D1084">IF(E1084=0,0,(INDEX(AccountCodes[ACCOUNT NAME],MATCH(E1084,AccountCodes[NGAS CODE],0))))</f>
        <v>Traveling Expenses-Local</v>
      </c>
      <c r="E1084" s="24" t="s">
        <v>223</v>
      </c>
      <c r="F1084" s="502">
        <v>2400</v>
      </c>
    </row>
    <row r="1085" spans="1:6" x14ac:dyDescent="0.25">
      <c r="A1085" s="308">
        <v>43220</v>
      </c>
      <c r="B1085" s="24" t="s">
        <v>484</v>
      </c>
      <c r="C1085" s="24" t="s">
        <v>489</v>
      </c>
      <c r="D1085" s="136" t="str">
        <f t="array" ref="D1085">IF(E1085=0,0,(INDEX(AccountCodes[ACCOUNT NAME],MATCH(E1085,AccountCodes[NGAS CODE],0))))</f>
        <v>Traveling Expenses-Local</v>
      </c>
      <c r="E1085" s="24" t="s">
        <v>223</v>
      </c>
      <c r="F1085" s="502">
        <v>2400</v>
      </c>
    </row>
    <row r="1086" spans="1:6" x14ac:dyDescent="0.25">
      <c r="A1086" s="308">
        <v>43251</v>
      </c>
      <c r="B1086" s="24" t="s">
        <v>484</v>
      </c>
      <c r="C1086" s="24" t="s">
        <v>489</v>
      </c>
      <c r="D1086" s="136" t="str">
        <f t="array" ref="D1086">IF(E1086=0,0,(INDEX(AccountCodes[ACCOUNT NAME],MATCH(E1086,AccountCodes[NGAS CODE],0))))</f>
        <v>Traveling Expenses-Local</v>
      </c>
      <c r="E1086" s="24" t="s">
        <v>223</v>
      </c>
      <c r="F1086" s="502">
        <v>2400</v>
      </c>
    </row>
    <row r="1087" spans="1:6" x14ac:dyDescent="0.25">
      <c r="A1087" s="308">
        <v>43281</v>
      </c>
      <c r="B1087" s="24" t="s">
        <v>484</v>
      </c>
      <c r="C1087" s="24" t="s">
        <v>489</v>
      </c>
      <c r="D1087" s="136" t="str">
        <f t="array" ref="D1087">IF(E1087=0,0,(INDEX(AccountCodes[ACCOUNT NAME],MATCH(E1087,AccountCodes[NGAS CODE],0))))</f>
        <v>Traveling Expenses-Local</v>
      </c>
      <c r="E1087" s="24" t="s">
        <v>223</v>
      </c>
      <c r="F1087" s="502">
        <v>2400</v>
      </c>
    </row>
    <row r="1088" spans="1:6" x14ac:dyDescent="0.25">
      <c r="A1088" s="308">
        <v>43312</v>
      </c>
      <c r="B1088" s="24" t="s">
        <v>484</v>
      </c>
      <c r="C1088" s="24" t="s">
        <v>489</v>
      </c>
      <c r="D1088" s="136" t="str">
        <f t="array" ref="D1088">IF(E1088=0,0,(INDEX(AccountCodes[ACCOUNT NAME],MATCH(E1088,AccountCodes[NGAS CODE],0))))</f>
        <v>Traveling Expenses-Local</v>
      </c>
      <c r="E1088" s="24" t="s">
        <v>223</v>
      </c>
      <c r="F1088" s="502">
        <v>2400</v>
      </c>
    </row>
    <row r="1089" spans="1:6" x14ac:dyDescent="0.25">
      <c r="A1089" s="308">
        <v>43343</v>
      </c>
      <c r="B1089" s="24" t="s">
        <v>484</v>
      </c>
      <c r="C1089" s="24" t="s">
        <v>489</v>
      </c>
      <c r="D1089" s="136" t="str">
        <f t="array" ref="D1089">IF(E1089=0,0,(INDEX(AccountCodes[ACCOUNT NAME],MATCH(E1089,AccountCodes[NGAS CODE],0))))</f>
        <v>Traveling Expenses-Local</v>
      </c>
      <c r="E1089" s="24" t="s">
        <v>223</v>
      </c>
      <c r="F1089" s="502">
        <v>2400</v>
      </c>
    </row>
    <row r="1090" spans="1:6" x14ac:dyDescent="0.25">
      <c r="A1090" s="308">
        <v>43373</v>
      </c>
      <c r="B1090" s="24" t="s">
        <v>484</v>
      </c>
      <c r="C1090" s="24" t="s">
        <v>489</v>
      </c>
      <c r="D1090" s="136" t="str">
        <f t="array" ref="D1090">IF(E1090=0,0,(INDEX(AccountCodes[ACCOUNT NAME],MATCH(E1090,AccountCodes[NGAS CODE],0))))</f>
        <v>Traveling Expenses-Local</v>
      </c>
      <c r="E1090" s="24" t="s">
        <v>223</v>
      </c>
      <c r="F1090" s="502">
        <v>2400</v>
      </c>
    </row>
    <row r="1091" spans="1:6" x14ac:dyDescent="0.25">
      <c r="A1091" s="308">
        <v>43404</v>
      </c>
      <c r="B1091" s="24" t="s">
        <v>484</v>
      </c>
      <c r="C1091" s="24" t="s">
        <v>489</v>
      </c>
      <c r="D1091" s="136" t="str">
        <f t="array" ref="D1091">IF(E1091=0,0,(INDEX(AccountCodes[ACCOUNT NAME],MATCH(E1091,AccountCodes[NGAS CODE],0))))</f>
        <v>Traveling Expenses-Local</v>
      </c>
      <c r="E1091" s="24" t="s">
        <v>223</v>
      </c>
      <c r="F1091" s="502">
        <v>2400</v>
      </c>
    </row>
    <row r="1092" spans="1:6" x14ac:dyDescent="0.25">
      <c r="A1092" s="308">
        <v>43434</v>
      </c>
      <c r="B1092" s="24" t="s">
        <v>484</v>
      </c>
      <c r="C1092" s="24" t="s">
        <v>489</v>
      </c>
      <c r="D1092" s="136" t="str">
        <f t="array" ref="D1092">IF(E1092=0,0,(INDEX(AccountCodes[ACCOUNT NAME],MATCH(E1092,AccountCodes[NGAS CODE],0))))</f>
        <v>Traveling Expenses-Local</v>
      </c>
      <c r="E1092" s="24" t="s">
        <v>223</v>
      </c>
      <c r="F1092" s="502">
        <v>2400</v>
      </c>
    </row>
    <row r="1093" spans="1:6" x14ac:dyDescent="0.25">
      <c r="A1093" s="308">
        <v>43465</v>
      </c>
      <c r="B1093" s="24" t="s">
        <v>484</v>
      </c>
      <c r="C1093" s="24" t="s">
        <v>489</v>
      </c>
      <c r="D1093" s="136" t="str">
        <f t="array" ref="D1093">IF(E1093=0,0,(INDEX(AccountCodes[ACCOUNT NAME],MATCH(E1093,AccountCodes[NGAS CODE],0))))</f>
        <v>Traveling Expenses-Local</v>
      </c>
      <c r="E1093" s="24" t="s">
        <v>223</v>
      </c>
      <c r="F1093" s="502">
        <v>2400</v>
      </c>
    </row>
    <row r="1094" spans="1:6" x14ac:dyDescent="0.25">
      <c r="A1094" s="308">
        <v>43131</v>
      </c>
      <c r="B1094" s="24" t="s">
        <v>484</v>
      </c>
      <c r="C1094" s="24" t="s">
        <v>489</v>
      </c>
      <c r="D1094" s="136" t="str">
        <f t="array" ref="D1094">IF(E1094=0,0,(INDEX(AccountCodes[ACCOUNT NAME],MATCH(E1094,AccountCodes[NGAS CODE],0))))</f>
        <v>Office Supplies Expenses</v>
      </c>
      <c r="E1094" s="309" t="s">
        <v>225</v>
      </c>
      <c r="F1094" s="502">
        <v>6875</v>
      </c>
    </row>
    <row r="1095" spans="1:6" x14ac:dyDescent="0.25">
      <c r="A1095" s="308">
        <v>43159</v>
      </c>
      <c r="B1095" s="24" t="s">
        <v>484</v>
      </c>
      <c r="C1095" s="24" t="s">
        <v>489</v>
      </c>
      <c r="D1095" s="136" t="str">
        <f t="array" ref="D1095">IF(E1095=0,0,(INDEX(AccountCodes[ACCOUNT NAME],MATCH(E1095,AccountCodes[NGAS CODE],0))))</f>
        <v>Office Supplies Expenses</v>
      </c>
      <c r="E1095" s="309" t="s">
        <v>225</v>
      </c>
      <c r="F1095" s="502">
        <v>6875</v>
      </c>
    </row>
    <row r="1096" spans="1:6" x14ac:dyDescent="0.25">
      <c r="A1096" s="308">
        <v>43190</v>
      </c>
      <c r="B1096" s="24" t="s">
        <v>484</v>
      </c>
      <c r="C1096" s="24" t="s">
        <v>489</v>
      </c>
      <c r="D1096" s="136" t="str">
        <f t="array" ref="D1096">IF(E1096=0,0,(INDEX(AccountCodes[ACCOUNT NAME],MATCH(E1096,AccountCodes[NGAS CODE],0))))</f>
        <v>Office Supplies Expenses</v>
      </c>
      <c r="E1096" s="309" t="s">
        <v>225</v>
      </c>
      <c r="F1096" s="502">
        <v>6875</v>
      </c>
    </row>
    <row r="1097" spans="1:6" x14ac:dyDescent="0.25">
      <c r="A1097" s="308">
        <v>43220</v>
      </c>
      <c r="B1097" s="24" t="s">
        <v>484</v>
      </c>
      <c r="C1097" s="24" t="s">
        <v>489</v>
      </c>
      <c r="D1097" s="136" t="str">
        <f t="array" ref="D1097">IF(E1097=0,0,(INDEX(AccountCodes[ACCOUNT NAME],MATCH(E1097,AccountCodes[NGAS CODE],0))))</f>
        <v>Office Supplies Expenses</v>
      </c>
      <c r="E1097" s="309" t="s">
        <v>225</v>
      </c>
      <c r="F1097" s="502">
        <v>6875</v>
      </c>
    </row>
    <row r="1098" spans="1:6" x14ac:dyDescent="0.25">
      <c r="A1098" s="308">
        <v>43251</v>
      </c>
      <c r="B1098" s="24" t="s">
        <v>484</v>
      </c>
      <c r="C1098" s="24" t="s">
        <v>489</v>
      </c>
      <c r="D1098" s="136" t="str">
        <f t="array" ref="D1098">IF(E1098=0,0,(INDEX(AccountCodes[ACCOUNT NAME],MATCH(E1098,AccountCodes[NGAS CODE],0))))</f>
        <v>Office Supplies Expenses</v>
      </c>
      <c r="E1098" s="309" t="s">
        <v>225</v>
      </c>
      <c r="F1098" s="502">
        <v>6875</v>
      </c>
    </row>
    <row r="1099" spans="1:6" x14ac:dyDescent="0.25">
      <c r="A1099" s="308">
        <v>43281</v>
      </c>
      <c r="B1099" s="24" t="s">
        <v>484</v>
      </c>
      <c r="C1099" s="24" t="s">
        <v>489</v>
      </c>
      <c r="D1099" s="136" t="str">
        <f t="array" ref="D1099">IF(E1099=0,0,(INDEX(AccountCodes[ACCOUNT NAME],MATCH(E1099,AccountCodes[NGAS CODE],0))))</f>
        <v>Office Supplies Expenses</v>
      </c>
      <c r="E1099" s="309" t="s">
        <v>225</v>
      </c>
      <c r="F1099" s="502">
        <v>6875</v>
      </c>
    </row>
    <row r="1100" spans="1:6" x14ac:dyDescent="0.25">
      <c r="A1100" s="308">
        <v>43312</v>
      </c>
      <c r="B1100" s="24" t="s">
        <v>484</v>
      </c>
      <c r="C1100" s="24" t="s">
        <v>489</v>
      </c>
      <c r="D1100" s="136" t="str">
        <f t="array" ref="D1100">IF(E1100=0,0,(INDEX(AccountCodes[ACCOUNT NAME],MATCH(E1100,AccountCodes[NGAS CODE],0))))</f>
        <v>Office Supplies Expenses</v>
      </c>
      <c r="E1100" s="309" t="s">
        <v>225</v>
      </c>
      <c r="F1100" s="502">
        <v>6875</v>
      </c>
    </row>
    <row r="1101" spans="1:6" x14ac:dyDescent="0.25">
      <c r="A1101" s="308">
        <v>43343</v>
      </c>
      <c r="B1101" s="24" t="s">
        <v>484</v>
      </c>
      <c r="C1101" s="24" t="s">
        <v>489</v>
      </c>
      <c r="D1101" s="136" t="str">
        <f t="array" ref="D1101">IF(E1101=0,0,(INDEX(AccountCodes[ACCOUNT NAME],MATCH(E1101,AccountCodes[NGAS CODE],0))))</f>
        <v>Office Supplies Expenses</v>
      </c>
      <c r="E1101" s="309" t="s">
        <v>225</v>
      </c>
      <c r="F1101" s="502">
        <v>6875</v>
      </c>
    </row>
    <row r="1102" spans="1:6" x14ac:dyDescent="0.25">
      <c r="A1102" s="308">
        <v>43373</v>
      </c>
      <c r="B1102" s="24" t="s">
        <v>484</v>
      </c>
      <c r="C1102" s="24" t="s">
        <v>489</v>
      </c>
      <c r="D1102" s="136" t="str">
        <f t="array" ref="D1102">IF(E1102=0,0,(INDEX(AccountCodes[ACCOUNT NAME],MATCH(E1102,AccountCodes[NGAS CODE],0))))</f>
        <v>Office Supplies Expenses</v>
      </c>
      <c r="E1102" s="309" t="s">
        <v>225</v>
      </c>
      <c r="F1102" s="502">
        <v>6875</v>
      </c>
    </row>
    <row r="1103" spans="1:6" x14ac:dyDescent="0.25">
      <c r="A1103" s="308">
        <v>43404</v>
      </c>
      <c r="B1103" s="24" t="s">
        <v>484</v>
      </c>
      <c r="C1103" s="24" t="s">
        <v>489</v>
      </c>
      <c r="D1103" s="136" t="str">
        <f t="array" ref="D1103">IF(E1103=0,0,(INDEX(AccountCodes[ACCOUNT NAME],MATCH(E1103,AccountCodes[NGAS CODE],0))))</f>
        <v>Office Supplies Expenses</v>
      </c>
      <c r="E1103" s="309" t="s">
        <v>225</v>
      </c>
      <c r="F1103" s="502">
        <v>6875</v>
      </c>
    </row>
    <row r="1104" spans="1:6" x14ac:dyDescent="0.25">
      <c r="A1104" s="308">
        <v>43434</v>
      </c>
      <c r="B1104" s="24" t="s">
        <v>484</v>
      </c>
      <c r="C1104" s="24" t="s">
        <v>489</v>
      </c>
      <c r="D1104" s="136" t="str">
        <f t="array" ref="D1104">IF(E1104=0,0,(INDEX(AccountCodes[ACCOUNT NAME],MATCH(E1104,AccountCodes[NGAS CODE],0))))</f>
        <v>Office Supplies Expenses</v>
      </c>
      <c r="E1104" s="309" t="s">
        <v>225</v>
      </c>
      <c r="F1104" s="502">
        <v>6875</v>
      </c>
    </row>
    <row r="1105" spans="1:6" x14ac:dyDescent="0.25">
      <c r="A1105" s="308">
        <v>43465</v>
      </c>
      <c r="B1105" s="24" t="s">
        <v>484</v>
      </c>
      <c r="C1105" s="24" t="s">
        <v>489</v>
      </c>
      <c r="D1105" s="136" t="str">
        <f t="array" ref="D1105">IF(E1105=0,0,(INDEX(AccountCodes[ACCOUNT NAME],MATCH(E1105,AccountCodes[NGAS CODE],0))))</f>
        <v>Office Supplies Expenses</v>
      </c>
      <c r="E1105" s="309" t="s">
        <v>225</v>
      </c>
      <c r="F1105" s="502">
        <v>6875</v>
      </c>
    </row>
    <row r="1106" spans="1:6" x14ac:dyDescent="0.25">
      <c r="A1106" s="308">
        <v>43131</v>
      </c>
      <c r="B1106" s="24" t="s">
        <v>484</v>
      </c>
      <c r="C1106" s="24" t="s">
        <v>489</v>
      </c>
      <c r="D1106" s="136" t="str">
        <f t="array" ref="D1106">IF(E1106=0,0,(INDEX(AccountCodes[ACCOUNT NAME],MATCH(E1106,AccountCodes[NGAS CODE],0))))</f>
        <v>Medical, Dental and Laboratory Supplies Expenses</v>
      </c>
      <c r="E1106" s="309" t="s">
        <v>228</v>
      </c>
      <c r="F1106" s="502">
        <v>458.33</v>
      </c>
    </row>
    <row r="1107" spans="1:6" x14ac:dyDescent="0.25">
      <c r="A1107" s="308">
        <v>43159</v>
      </c>
      <c r="B1107" s="24" t="s">
        <v>484</v>
      </c>
      <c r="C1107" s="24" t="s">
        <v>489</v>
      </c>
      <c r="D1107" s="136" t="str">
        <f t="array" ref="D1107">IF(E1107=0,0,(INDEX(AccountCodes[ACCOUNT NAME],MATCH(E1107,AccountCodes[NGAS CODE],0))))</f>
        <v>Medical, Dental and Laboratory Supplies Expenses</v>
      </c>
      <c r="E1107" s="309" t="s">
        <v>228</v>
      </c>
      <c r="F1107" s="502">
        <v>458.33</v>
      </c>
    </row>
    <row r="1108" spans="1:6" x14ac:dyDescent="0.25">
      <c r="A1108" s="308">
        <v>43190</v>
      </c>
      <c r="B1108" s="24" t="s">
        <v>484</v>
      </c>
      <c r="C1108" s="24" t="s">
        <v>489</v>
      </c>
      <c r="D1108" s="136" t="str">
        <f t="array" ref="D1108">IF(E1108=0,0,(INDEX(AccountCodes[ACCOUNT NAME],MATCH(E1108,AccountCodes[NGAS CODE],0))))</f>
        <v>Medical, Dental and Laboratory Supplies Expenses</v>
      </c>
      <c r="E1108" s="309" t="s">
        <v>228</v>
      </c>
      <c r="F1108" s="502">
        <v>458.33</v>
      </c>
    </row>
    <row r="1109" spans="1:6" x14ac:dyDescent="0.25">
      <c r="A1109" s="308">
        <v>43220</v>
      </c>
      <c r="B1109" s="24" t="s">
        <v>484</v>
      </c>
      <c r="C1109" s="24" t="s">
        <v>489</v>
      </c>
      <c r="D1109" s="136" t="str">
        <f t="array" ref="D1109">IF(E1109=0,0,(INDEX(AccountCodes[ACCOUNT NAME],MATCH(E1109,AccountCodes[NGAS CODE],0))))</f>
        <v>Medical, Dental and Laboratory Supplies Expenses</v>
      </c>
      <c r="E1109" s="309" t="s">
        <v>228</v>
      </c>
      <c r="F1109" s="502">
        <v>458.33</v>
      </c>
    </row>
    <row r="1110" spans="1:6" x14ac:dyDescent="0.25">
      <c r="A1110" s="308">
        <v>43251</v>
      </c>
      <c r="B1110" s="24" t="s">
        <v>484</v>
      </c>
      <c r="C1110" s="24" t="s">
        <v>489</v>
      </c>
      <c r="D1110" s="136" t="str">
        <f t="array" ref="D1110">IF(E1110=0,0,(INDEX(AccountCodes[ACCOUNT NAME],MATCH(E1110,AccountCodes[NGAS CODE],0))))</f>
        <v>Medical, Dental and Laboratory Supplies Expenses</v>
      </c>
      <c r="E1110" s="309" t="s">
        <v>228</v>
      </c>
      <c r="F1110" s="502">
        <v>458.33</v>
      </c>
    </row>
    <row r="1111" spans="1:6" x14ac:dyDescent="0.25">
      <c r="A1111" s="308">
        <v>43281</v>
      </c>
      <c r="B1111" s="24" t="s">
        <v>484</v>
      </c>
      <c r="C1111" s="24" t="s">
        <v>489</v>
      </c>
      <c r="D1111" s="136" t="str">
        <f t="array" ref="D1111">IF(E1111=0,0,(INDEX(AccountCodes[ACCOUNT NAME],MATCH(E1111,AccountCodes[NGAS CODE],0))))</f>
        <v>Medical, Dental and Laboratory Supplies Expenses</v>
      </c>
      <c r="E1111" s="309" t="s">
        <v>228</v>
      </c>
      <c r="F1111" s="502">
        <v>458.33</v>
      </c>
    </row>
    <row r="1112" spans="1:6" x14ac:dyDescent="0.25">
      <c r="A1112" s="308">
        <v>43312</v>
      </c>
      <c r="B1112" s="24" t="s">
        <v>484</v>
      </c>
      <c r="C1112" s="24" t="s">
        <v>489</v>
      </c>
      <c r="D1112" s="136" t="str">
        <f t="array" ref="D1112">IF(E1112=0,0,(INDEX(AccountCodes[ACCOUNT NAME],MATCH(E1112,AccountCodes[NGAS CODE],0))))</f>
        <v>Medical, Dental and Laboratory Supplies Expenses</v>
      </c>
      <c r="E1112" s="309" t="s">
        <v>228</v>
      </c>
      <c r="F1112" s="502">
        <v>458.33</v>
      </c>
    </row>
    <row r="1113" spans="1:6" x14ac:dyDescent="0.25">
      <c r="A1113" s="308">
        <v>43343</v>
      </c>
      <c r="B1113" s="24" t="s">
        <v>484</v>
      </c>
      <c r="C1113" s="24" t="s">
        <v>489</v>
      </c>
      <c r="D1113" s="136" t="str">
        <f t="array" ref="D1113">IF(E1113=0,0,(INDEX(AccountCodes[ACCOUNT NAME],MATCH(E1113,AccountCodes[NGAS CODE],0))))</f>
        <v>Medical, Dental and Laboratory Supplies Expenses</v>
      </c>
      <c r="E1113" s="309" t="s">
        <v>228</v>
      </c>
      <c r="F1113" s="502">
        <v>458.33</v>
      </c>
    </row>
    <row r="1114" spans="1:6" x14ac:dyDescent="0.25">
      <c r="A1114" s="308">
        <v>43373</v>
      </c>
      <c r="B1114" s="24" t="s">
        <v>484</v>
      </c>
      <c r="C1114" s="24" t="s">
        <v>489</v>
      </c>
      <c r="D1114" s="136" t="str">
        <f t="array" ref="D1114">IF(E1114=0,0,(INDEX(AccountCodes[ACCOUNT NAME],MATCH(E1114,AccountCodes[NGAS CODE],0))))</f>
        <v>Medical, Dental and Laboratory Supplies Expenses</v>
      </c>
      <c r="E1114" s="309" t="s">
        <v>228</v>
      </c>
      <c r="F1114" s="502">
        <v>458.33</v>
      </c>
    </row>
    <row r="1115" spans="1:6" x14ac:dyDescent="0.25">
      <c r="A1115" s="308">
        <v>43404</v>
      </c>
      <c r="B1115" s="24" t="s">
        <v>484</v>
      </c>
      <c r="C1115" s="24" t="s">
        <v>489</v>
      </c>
      <c r="D1115" s="136" t="str">
        <f t="array" ref="D1115">IF(E1115=0,0,(INDEX(AccountCodes[ACCOUNT NAME],MATCH(E1115,AccountCodes[NGAS CODE],0))))</f>
        <v>Medical, Dental and Laboratory Supplies Expenses</v>
      </c>
      <c r="E1115" s="309" t="s">
        <v>228</v>
      </c>
      <c r="F1115" s="502">
        <v>458.33</v>
      </c>
    </row>
    <row r="1116" spans="1:6" x14ac:dyDescent="0.25">
      <c r="A1116" s="308">
        <v>43434</v>
      </c>
      <c r="B1116" s="24" t="s">
        <v>484</v>
      </c>
      <c r="C1116" s="24" t="s">
        <v>489</v>
      </c>
      <c r="D1116" s="136" t="str">
        <f t="array" ref="D1116">IF(E1116=0,0,(INDEX(AccountCodes[ACCOUNT NAME],MATCH(E1116,AccountCodes[NGAS CODE],0))))</f>
        <v>Medical, Dental and Laboratory Supplies Expenses</v>
      </c>
      <c r="E1116" s="309" t="s">
        <v>228</v>
      </c>
      <c r="F1116" s="502">
        <v>458.33</v>
      </c>
    </row>
    <row r="1117" spans="1:6" x14ac:dyDescent="0.25">
      <c r="A1117" s="308">
        <v>43465</v>
      </c>
      <c r="B1117" s="24" t="s">
        <v>484</v>
      </c>
      <c r="C1117" s="24" t="s">
        <v>489</v>
      </c>
      <c r="D1117" s="136" t="str">
        <f t="array" ref="D1117">IF(E1117=0,0,(INDEX(AccountCodes[ACCOUNT NAME],MATCH(E1117,AccountCodes[NGAS CODE],0))))</f>
        <v>Medical, Dental and Laboratory Supplies Expenses</v>
      </c>
      <c r="E1117" s="309" t="s">
        <v>228</v>
      </c>
      <c r="F1117" s="502">
        <v>458.33</v>
      </c>
    </row>
    <row r="1118" spans="1:6" x14ac:dyDescent="0.25">
      <c r="A1118" s="308">
        <v>43131</v>
      </c>
      <c r="B1118" s="24" t="s">
        <v>484</v>
      </c>
      <c r="C1118" s="24" t="s">
        <v>489</v>
      </c>
      <c r="D1118" s="136" t="str">
        <f t="array" ref="D1118">IF(E1118=0,0,(INDEX(AccountCodes[ACCOUNT NAME],MATCH(E1118,AccountCodes[NGAS CODE],0))))</f>
        <v>Fuel, Oil and Lubricants Expenses</v>
      </c>
      <c r="E1118" s="309" t="s">
        <v>229</v>
      </c>
      <c r="F1118" s="502">
        <v>27030.43</v>
      </c>
    </row>
    <row r="1119" spans="1:6" x14ac:dyDescent="0.25">
      <c r="A1119" s="308">
        <v>43159</v>
      </c>
      <c r="B1119" s="24" t="s">
        <v>484</v>
      </c>
      <c r="C1119" s="24" t="s">
        <v>489</v>
      </c>
      <c r="D1119" s="136" t="str">
        <f t="array" ref="D1119">IF(E1119=0,0,(INDEX(AccountCodes[ACCOUNT NAME],MATCH(E1119,AccountCodes[NGAS CODE],0))))</f>
        <v>Fuel, Oil and Lubricants Expenses</v>
      </c>
      <c r="E1119" s="309" t="s">
        <v>229</v>
      </c>
      <c r="F1119" s="502">
        <v>27030.43</v>
      </c>
    </row>
    <row r="1120" spans="1:6" x14ac:dyDescent="0.25">
      <c r="A1120" s="308">
        <v>43190</v>
      </c>
      <c r="B1120" s="24" t="s">
        <v>484</v>
      </c>
      <c r="C1120" s="24" t="s">
        <v>489</v>
      </c>
      <c r="D1120" s="136" t="str">
        <f t="array" ref="D1120">IF(E1120=0,0,(INDEX(AccountCodes[ACCOUNT NAME],MATCH(E1120,AccountCodes[NGAS CODE],0))))</f>
        <v>Fuel, Oil and Lubricants Expenses</v>
      </c>
      <c r="E1120" s="309" t="s">
        <v>229</v>
      </c>
      <c r="F1120" s="502">
        <v>27030.43</v>
      </c>
    </row>
    <row r="1121" spans="1:6" x14ac:dyDescent="0.25">
      <c r="A1121" s="308">
        <v>43220</v>
      </c>
      <c r="B1121" s="24" t="s">
        <v>484</v>
      </c>
      <c r="C1121" s="24" t="s">
        <v>489</v>
      </c>
      <c r="D1121" s="136" t="str">
        <f t="array" ref="D1121">IF(E1121=0,0,(INDEX(AccountCodes[ACCOUNT NAME],MATCH(E1121,AccountCodes[NGAS CODE],0))))</f>
        <v>Fuel, Oil and Lubricants Expenses</v>
      </c>
      <c r="E1121" s="309" t="s">
        <v>229</v>
      </c>
      <c r="F1121" s="502">
        <v>27030.43</v>
      </c>
    </row>
    <row r="1122" spans="1:6" x14ac:dyDescent="0.25">
      <c r="A1122" s="308">
        <v>43251</v>
      </c>
      <c r="B1122" s="24" t="s">
        <v>484</v>
      </c>
      <c r="C1122" s="24" t="s">
        <v>489</v>
      </c>
      <c r="D1122" s="136" t="str">
        <f t="array" ref="D1122">IF(E1122=0,0,(INDEX(AccountCodes[ACCOUNT NAME],MATCH(E1122,AccountCodes[NGAS CODE],0))))</f>
        <v>Fuel, Oil and Lubricants Expenses</v>
      </c>
      <c r="E1122" s="309" t="s">
        <v>229</v>
      </c>
      <c r="F1122" s="502">
        <v>27030.43</v>
      </c>
    </row>
    <row r="1123" spans="1:6" x14ac:dyDescent="0.25">
      <c r="A1123" s="308">
        <v>43281</v>
      </c>
      <c r="B1123" s="24" t="s">
        <v>484</v>
      </c>
      <c r="C1123" s="24" t="s">
        <v>489</v>
      </c>
      <c r="D1123" s="136" t="str">
        <f t="array" ref="D1123">IF(E1123=0,0,(INDEX(AccountCodes[ACCOUNT NAME],MATCH(E1123,AccountCodes[NGAS CODE],0))))</f>
        <v>Fuel, Oil and Lubricants Expenses</v>
      </c>
      <c r="E1123" s="309" t="s">
        <v>229</v>
      </c>
      <c r="F1123" s="502">
        <v>27030.43</v>
      </c>
    </row>
    <row r="1124" spans="1:6" x14ac:dyDescent="0.25">
      <c r="A1124" s="308">
        <v>43312</v>
      </c>
      <c r="B1124" s="24" t="s">
        <v>484</v>
      </c>
      <c r="C1124" s="24" t="s">
        <v>489</v>
      </c>
      <c r="D1124" s="136" t="str">
        <f t="array" ref="D1124">IF(E1124=0,0,(INDEX(AccountCodes[ACCOUNT NAME],MATCH(E1124,AccountCodes[NGAS CODE],0))))</f>
        <v>Fuel, Oil and Lubricants Expenses</v>
      </c>
      <c r="E1124" s="309" t="s">
        <v>229</v>
      </c>
      <c r="F1124" s="502">
        <v>27030.43</v>
      </c>
    </row>
    <row r="1125" spans="1:6" x14ac:dyDescent="0.25">
      <c r="A1125" s="308">
        <v>43343</v>
      </c>
      <c r="B1125" s="24" t="s">
        <v>484</v>
      </c>
      <c r="C1125" s="24" t="s">
        <v>489</v>
      </c>
      <c r="D1125" s="136" t="str">
        <f t="array" ref="D1125">IF(E1125=0,0,(INDEX(AccountCodes[ACCOUNT NAME],MATCH(E1125,AccountCodes[NGAS CODE],0))))</f>
        <v>Fuel, Oil and Lubricants Expenses</v>
      </c>
      <c r="E1125" s="309" t="s">
        <v>229</v>
      </c>
      <c r="F1125" s="502">
        <v>27030.43</v>
      </c>
    </row>
    <row r="1126" spans="1:6" x14ac:dyDescent="0.25">
      <c r="A1126" s="308">
        <v>43373</v>
      </c>
      <c r="B1126" s="24" t="s">
        <v>484</v>
      </c>
      <c r="C1126" s="24" t="s">
        <v>489</v>
      </c>
      <c r="D1126" s="136" t="str">
        <f t="array" ref="D1126">IF(E1126=0,0,(INDEX(AccountCodes[ACCOUNT NAME],MATCH(E1126,AccountCodes[NGAS CODE],0))))</f>
        <v>Fuel, Oil and Lubricants Expenses</v>
      </c>
      <c r="E1126" s="309" t="s">
        <v>229</v>
      </c>
      <c r="F1126" s="502">
        <v>27030.43</v>
      </c>
    </row>
    <row r="1127" spans="1:6" x14ac:dyDescent="0.25">
      <c r="A1127" s="308">
        <v>43404</v>
      </c>
      <c r="B1127" s="24" t="s">
        <v>484</v>
      </c>
      <c r="C1127" s="24" t="s">
        <v>489</v>
      </c>
      <c r="D1127" s="136" t="str">
        <f t="array" ref="D1127">IF(E1127=0,0,(INDEX(AccountCodes[ACCOUNT NAME],MATCH(E1127,AccountCodes[NGAS CODE],0))))</f>
        <v>Fuel, Oil and Lubricants Expenses</v>
      </c>
      <c r="E1127" s="309" t="s">
        <v>229</v>
      </c>
      <c r="F1127" s="502">
        <v>27030.43</v>
      </c>
    </row>
    <row r="1128" spans="1:6" x14ac:dyDescent="0.25">
      <c r="A1128" s="308">
        <v>43434</v>
      </c>
      <c r="B1128" s="24" t="s">
        <v>484</v>
      </c>
      <c r="C1128" s="24" t="s">
        <v>489</v>
      </c>
      <c r="D1128" s="136" t="str">
        <f t="array" ref="D1128">IF(E1128=0,0,(INDEX(AccountCodes[ACCOUNT NAME],MATCH(E1128,AccountCodes[NGAS CODE],0))))</f>
        <v>Fuel, Oil and Lubricants Expenses</v>
      </c>
      <c r="E1128" s="309" t="s">
        <v>229</v>
      </c>
      <c r="F1128" s="502">
        <v>27030.43</v>
      </c>
    </row>
    <row r="1129" spans="1:6" x14ac:dyDescent="0.25">
      <c r="A1129" s="308">
        <v>43465</v>
      </c>
      <c r="B1129" s="24" t="s">
        <v>484</v>
      </c>
      <c r="C1129" s="24" t="s">
        <v>489</v>
      </c>
      <c r="D1129" s="136" t="str">
        <f t="array" ref="D1129">IF(E1129=0,0,(INDEX(AccountCodes[ACCOUNT NAME],MATCH(E1129,AccountCodes[NGAS CODE],0))))</f>
        <v>Fuel, Oil and Lubricants Expenses</v>
      </c>
      <c r="E1129" s="309" t="s">
        <v>229</v>
      </c>
      <c r="F1129" s="502">
        <v>27030.43</v>
      </c>
    </row>
    <row r="1130" spans="1:6" x14ac:dyDescent="0.25">
      <c r="A1130" s="308">
        <v>43131</v>
      </c>
      <c r="B1130" s="24" t="s">
        <v>484</v>
      </c>
      <c r="C1130" s="24" t="s">
        <v>489</v>
      </c>
      <c r="D1130" s="136" t="str">
        <f t="array" ref="D1130">IF(E1130=0,0,(INDEX(AccountCodes[ACCOUNT NAME],MATCH(E1130,AccountCodes[NGAS CODE],0))))</f>
        <v>Other Supplies and Materials Expenses</v>
      </c>
      <c r="E1130" s="309" t="s">
        <v>231</v>
      </c>
      <c r="F1130" s="502">
        <v>3666.67</v>
      </c>
    </row>
    <row r="1131" spans="1:6" x14ac:dyDescent="0.25">
      <c r="A1131" s="308">
        <v>43159</v>
      </c>
      <c r="B1131" s="24" t="s">
        <v>484</v>
      </c>
      <c r="C1131" s="24" t="s">
        <v>489</v>
      </c>
      <c r="D1131" s="136" t="str">
        <f t="array" ref="D1131">IF(E1131=0,0,(INDEX(AccountCodes[ACCOUNT NAME],MATCH(E1131,AccountCodes[NGAS CODE],0))))</f>
        <v>Other Supplies and Materials Expenses</v>
      </c>
      <c r="E1131" s="309" t="s">
        <v>231</v>
      </c>
      <c r="F1131" s="502">
        <v>3666.67</v>
      </c>
    </row>
    <row r="1132" spans="1:6" x14ac:dyDescent="0.25">
      <c r="A1132" s="308">
        <v>43190</v>
      </c>
      <c r="B1132" s="24" t="s">
        <v>484</v>
      </c>
      <c r="C1132" s="24" t="s">
        <v>489</v>
      </c>
      <c r="D1132" s="136" t="str">
        <f t="array" ref="D1132">IF(E1132=0,0,(INDEX(AccountCodes[ACCOUNT NAME],MATCH(E1132,AccountCodes[NGAS CODE],0))))</f>
        <v>Other Supplies and Materials Expenses</v>
      </c>
      <c r="E1132" s="309" t="s">
        <v>231</v>
      </c>
      <c r="F1132" s="502">
        <v>3666.67</v>
      </c>
    </row>
    <row r="1133" spans="1:6" x14ac:dyDescent="0.25">
      <c r="A1133" s="308">
        <v>43220</v>
      </c>
      <c r="B1133" s="24" t="s">
        <v>484</v>
      </c>
      <c r="C1133" s="24" t="s">
        <v>489</v>
      </c>
      <c r="D1133" s="136" t="str">
        <f t="array" ref="D1133">IF(E1133=0,0,(INDEX(AccountCodes[ACCOUNT NAME],MATCH(E1133,AccountCodes[NGAS CODE],0))))</f>
        <v>Other Supplies and Materials Expenses</v>
      </c>
      <c r="E1133" s="309" t="s">
        <v>231</v>
      </c>
      <c r="F1133" s="502">
        <v>3666.67</v>
      </c>
    </row>
    <row r="1134" spans="1:6" x14ac:dyDescent="0.25">
      <c r="A1134" s="308">
        <v>43251</v>
      </c>
      <c r="B1134" s="24" t="s">
        <v>484</v>
      </c>
      <c r="C1134" s="24" t="s">
        <v>489</v>
      </c>
      <c r="D1134" s="136" t="str">
        <f t="array" ref="D1134">IF(E1134=0,0,(INDEX(AccountCodes[ACCOUNT NAME],MATCH(E1134,AccountCodes[NGAS CODE],0))))</f>
        <v>Other Supplies and Materials Expenses</v>
      </c>
      <c r="E1134" s="309" t="s">
        <v>231</v>
      </c>
      <c r="F1134" s="502">
        <v>3666.67</v>
      </c>
    </row>
    <row r="1135" spans="1:6" x14ac:dyDescent="0.25">
      <c r="A1135" s="308">
        <v>43281</v>
      </c>
      <c r="B1135" s="24" t="s">
        <v>484</v>
      </c>
      <c r="C1135" s="24" t="s">
        <v>489</v>
      </c>
      <c r="D1135" s="136" t="str">
        <f t="array" ref="D1135">IF(E1135=0,0,(INDEX(AccountCodes[ACCOUNT NAME],MATCH(E1135,AccountCodes[NGAS CODE],0))))</f>
        <v>Other Supplies and Materials Expenses</v>
      </c>
      <c r="E1135" s="309" t="s">
        <v>231</v>
      </c>
      <c r="F1135" s="502">
        <v>3666.67</v>
      </c>
    </row>
    <row r="1136" spans="1:6" x14ac:dyDescent="0.25">
      <c r="A1136" s="308">
        <v>43312</v>
      </c>
      <c r="B1136" s="24" t="s">
        <v>484</v>
      </c>
      <c r="C1136" s="24" t="s">
        <v>489</v>
      </c>
      <c r="D1136" s="136" t="str">
        <f t="array" ref="D1136">IF(E1136=0,0,(INDEX(AccountCodes[ACCOUNT NAME],MATCH(E1136,AccountCodes[NGAS CODE],0))))</f>
        <v>Other Supplies and Materials Expenses</v>
      </c>
      <c r="E1136" s="309" t="s">
        <v>231</v>
      </c>
      <c r="F1136" s="502">
        <v>3666.67</v>
      </c>
    </row>
    <row r="1137" spans="1:6" x14ac:dyDescent="0.25">
      <c r="A1137" s="308">
        <v>43343</v>
      </c>
      <c r="B1137" s="24" t="s">
        <v>484</v>
      </c>
      <c r="C1137" s="24" t="s">
        <v>489</v>
      </c>
      <c r="D1137" s="136" t="str">
        <f t="array" ref="D1137">IF(E1137=0,0,(INDEX(AccountCodes[ACCOUNT NAME],MATCH(E1137,AccountCodes[NGAS CODE],0))))</f>
        <v>Other Supplies and Materials Expenses</v>
      </c>
      <c r="E1137" s="309" t="s">
        <v>231</v>
      </c>
      <c r="F1137" s="502">
        <v>3666.67</v>
      </c>
    </row>
    <row r="1138" spans="1:6" x14ac:dyDescent="0.25">
      <c r="A1138" s="308">
        <v>43373</v>
      </c>
      <c r="B1138" s="24" t="s">
        <v>484</v>
      </c>
      <c r="C1138" s="24" t="s">
        <v>489</v>
      </c>
      <c r="D1138" s="136" t="str">
        <f t="array" ref="D1138">IF(E1138=0,0,(INDEX(AccountCodes[ACCOUNT NAME],MATCH(E1138,AccountCodes[NGAS CODE],0))))</f>
        <v>Other Supplies and Materials Expenses</v>
      </c>
      <c r="E1138" s="309" t="s">
        <v>231</v>
      </c>
      <c r="F1138" s="502">
        <v>3666.67</v>
      </c>
    </row>
    <row r="1139" spans="1:6" x14ac:dyDescent="0.25">
      <c r="A1139" s="308">
        <v>43404</v>
      </c>
      <c r="B1139" s="24" t="s">
        <v>484</v>
      </c>
      <c r="C1139" s="24" t="s">
        <v>489</v>
      </c>
      <c r="D1139" s="136" t="str">
        <f t="array" ref="D1139">IF(E1139=0,0,(INDEX(AccountCodes[ACCOUNT NAME],MATCH(E1139,AccountCodes[NGAS CODE],0))))</f>
        <v>Other Supplies and Materials Expenses</v>
      </c>
      <c r="E1139" s="309" t="s">
        <v>231</v>
      </c>
      <c r="F1139" s="502">
        <v>3666.67</v>
      </c>
    </row>
    <row r="1140" spans="1:6" x14ac:dyDescent="0.25">
      <c r="A1140" s="308">
        <v>43434</v>
      </c>
      <c r="B1140" s="24" t="s">
        <v>484</v>
      </c>
      <c r="C1140" s="24" t="s">
        <v>489</v>
      </c>
      <c r="D1140" s="136" t="str">
        <f t="array" ref="D1140">IF(E1140=0,0,(INDEX(AccountCodes[ACCOUNT NAME],MATCH(E1140,AccountCodes[NGAS CODE],0))))</f>
        <v>Other Supplies and Materials Expenses</v>
      </c>
      <c r="E1140" s="309" t="s">
        <v>231</v>
      </c>
      <c r="F1140" s="502">
        <v>3666.67</v>
      </c>
    </row>
    <row r="1141" spans="1:6" x14ac:dyDescent="0.25">
      <c r="A1141" s="308">
        <v>43465</v>
      </c>
      <c r="B1141" s="24" t="s">
        <v>484</v>
      </c>
      <c r="C1141" s="24" t="s">
        <v>489</v>
      </c>
      <c r="D1141" s="136" t="str">
        <f t="array" ref="D1141">IF(E1141=0,0,(INDEX(AccountCodes[ACCOUNT NAME],MATCH(E1141,AccountCodes[NGAS CODE],0))))</f>
        <v>Other Supplies and Materials Expenses</v>
      </c>
      <c r="E1141" s="309" t="s">
        <v>231</v>
      </c>
      <c r="F1141" s="502">
        <v>3666.67</v>
      </c>
    </row>
    <row r="1142" spans="1:6" x14ac:dyDescent="0.25">
      <c r="A1142" s="308">
        <v>43131</v>
      </c>
      <c r="B1142" s="24" t="s">
        <v>484</v>
      </c>
      <c r="C1142" s="24" t="s">
        <v>489</v>
      </c>
      <c r="D1142" s="136" t="str">
        <f t="array" ref="D1142">IF(E1142=0,0,(INDEX(AccountCodes[ACCOUNT NAME],MATCH(E1142,AccountCodes[NGAS CODE],0))))</f>
        <v>Water Expenses</v>
      </c>
      <c r="E1142" s="309" t="s">
        <v>232</v>
      </c>
      <c r="F1142" s="502">
        <v>1650</v>
      </c>
    </row>
    <row r="1143" spans="1:6" x14ac:dyDescent="0.25">
      <c r="A1143" s="308">
        <v>43159</v>
      </c>
      <c r="B1143" s="24" t="s">
        <v>484</v>
      </c>
      <c r="C1143" s="24" t="s">
        <v>489</v>
      </c>
      <c r="D1143" s="136" t="str">
        <f t="array" ref="D1143">IF(E1143=0,0,(INDEX(AccountCodes[ACCOUNT NAME],MATCH(E1143,AccountCodes[NGAS CODE],0))))</f>
        <v>Water Expenses</v>
      </c>
      <c r="E1143" s="309" t="s">
        <v>232</v>
      </c>
      <c r="F1143" s="502">
        <v>1650</v>
      </c>
    </row>
    <row r="1144" spans="1:6" x14ac:dyDescent="0.25">
      <c r="A1144" s="308">
        <v>43190</v>
      </c>
      <c r="B1144" s="24" t="s">
        <v>484</v>
      </c>
      <c r="C1144" s="24" t="s">
        <v>489</v>
      </c>
      <c r="D1144" s="136" t="str">
        <f t="array" ref="D1144">IF(E1144=0,0,(INDEX(AccountCodes[ACCOUNT NAME],MATCH(E1144,AccountCodes[NGAS CODE],0))))</f>
        <v>Water Expenses</v>
      </c>
      <c r="E1144" s="309" t="s">
        <v>232</v>
      </c>
      <c r="F1144" s="502">
        <v>1650</v>
      </c>
    </row>
    <row r="1145" spans="1:6" x14ac:dyDescent="0.25">
      <c r="A1145" s="308">
        <v>43220</v>
      </c>
      <c r="B1145" s="24" t="s">
        <v>484</v>
      </c>
      <c r="C1145" s="24" t="s">
        <v>489</v>
      </c>
      <c r="D1145" s="136" t="str">
        <f t="array" ref="D1145">IF(E1145=0,0,(INDEX(AccountCodes[ACCOUNT NAME],MATCH(E1145,AccountCodes[NGAS CODE],0))))</f>
        <v>Water Expenses</v>
      </c>
      <c r="E1145" s="309" t="s">
        <v>232</v>
      </c>
      <c r="F1145" s="502">
        <v>1650</v>
      </c>
    </row>
    <row r="1146" spans="1:6" x14ac:dyDescent="0.25">
      <c r="A1146" s="308">
        <v>43251</v>
      </c>
      <c r="B1146" s="24" t="s">
        <v>484</v>
      </c>
      <c r="C1146" s="24" t="s">
        <v>489</v>
      </c>
      <c r="D1146" s="136" t="str">
        <f t="array" ref="D1146">IF(E1146=0,0,(INDEX(AccountCodes[ACCOUNT NAME],MATCH(E1146,AccountCodes[NGAS CODE],0))))</f>
        <v>Water Expenses</v>
      </c>
      <c r="E1146" s="309" t="s">
        <v>232</v>
      </c>
      <c r="F1146" s="502">
        <v>1650</v>
      </c>
    </row>
    <row r="1147" spans="1:6" x14ac:dyDescent="0.25">
      <c r="A1147" s="308">
        <v>43281</v>
      </c>
      <c r="B1147" s="24" t="s">
        <v>484</v>
      </c>
      <c r="C1147" s="24" t="s">
        <v>489</v>
      </c>
      <c r="D1147" s="136" t="str">
        <f t="array" ref="D1147">IF(E1147=0,0,(INDEX(AccountCodes[ACCOUNT NAME],MATCH(E1147,AccountCodes[NGAS CODE],0))))</f>
        <v>Water Expenses</v>
      </c>
      <c r="E1147" s="309" t="s">
        <v>232</v>
      </c>
      <c r="F1147" s="502">
        <v>1650</v>
      </c>
    </row>
    <row r="1148" spans="1:6" x14ac:dyDescent="0.25">
      <c r="A1148" s="308">
        <v>43312</v>
      </c>
      <c r="B1148" s="24" t="s">
        <v>484</v>
      </c>
      <c r="C1148" s="24" t="s">
        <v>489</v>
      </c>
      <c r="D1148" s="136" t="str">
        <f t="array" ref="D1148">IF(E1148=0,0,(INDEX(AccountCodes[ACCOUNT NAME],MATCH(E1148,AccountCodes[NGAS CODE],0))))</f>
        <v>Water Expenses</v>
      </c>
      <c r="E1148" s="309" t="s">
        <v>232</v>
      </c>
      <c r="F1148" s="502">
        <v>1650</v>
      </c>
    </row>
    <row r="1149" spans="1:6" x14ac:dyDescent="0.25">
      <c r="A1149" s="308">
        <v>43343</v>
      </c>
      <c r="B1149" s="24" t="s">
        <v>484</v>
      </c>
      <c r="C1149" s="24" t="s">
        <v>489</v>
      </c>
      <c r="D1149" s="136" t="str">
        <f t="array" ref="D1149">IF(E1149=0,0,(INDEX(AccountCodes[ACCOUNT NAME],MATCH(E1149,AccountCodes[NGAS CODE],0))))</f>
        <v>Water Expenses</v>
      </c>
      <c r="E1149" s="309" t="s">
        <v>232</v>
      </c>
      <c r="F1149" s="502">
        <v>1650</v>
      </c>
    </row>
    <row r="1150" spans="1:6" x14ac:dyDescent="0.25">
      <c r="A1150" s="308">
        <v>43373</v>
      </c>
      <c r="B1150" s="24" t="s">
        <v>484</v>
      </c>
      <c r="C1150" s="24" t="s">
        <v>489</v>
      </c>
      <c r="D1150" s="136" t="str">
        <f t="array" ref="D1150">IF(E1150=0,0,(INDEX(AccountCodes[ACCOUNT NAME],MATCH(E1150,AccountCodes[NGAS CODE],0))))</f>
        <v>Water Expenses</v>
      </c>
      <c r="E1150" s="309" t="s">
        <v>232</v>
      </c>
      <c r="F1150" s="502">
        <v>1650</v>
      </c>
    </row>
    <row r="1151" spans="1:6" x14ac:dyDescent="0.25">
      <c r="A1151" s="308">
        <v>43404</v>
      </c>
      <c r="B1151" s="24" t="s">
        <v>484</v>
      </c>
      <c r="C1151" s="24" t="s">
        <v>489</v>
      </c>
      <c r="D1151" s="136" t="str">
        <f t="array" ref="D1151">IF(E1151=0,0,(INDEX(AccountCodes[ACCOUNT NAME],MATCH(E1151,AccountCodes[NGAS CODE],0))))</f>
        <v>Water Expenses</v>
      </c>
      <c r="E1151" s="309" t="s">
        <v>232</v>
      </c>
      <c r="F1151" s="502">
        <v>1650</v>
      </c>
    </row>
    <row r="1152" spans="1:6" x14ac:dyDescent="0.25">
      <c r="A1152" s="308">
        <v>43434</v>
      </c>
      <c r="B1152" s="24" t="s">
        <v>484</v>
      </c>
      <c r="C1152" s="24" t="s">
        <v>489</v>
      </c>
      <c r="D1152" s="136" t="str">
        <f t="array" ref="D1152">IF(E1152=0,0,(INDEX(AccountCodes[ACCOUNT NAME],MATCH(E1152,AccountCodes[NGAS CODE],0))))</f>
        <v>Water Expenses</v>
      </c>
      <c r="E1152" s="309" t="s">
        <v>232</v>
      </c>
      <c r="F1152" s="502">
        <v>1650</v>
      </c>
    </row>
    <row r="1153" spans="1:6" x14ac:dyDescent="0.25">
      <c r="A1153" s="308">
        <v>43465</v>
      </c>
      <c r="B1153" s="24" t="s">
        <v>484</v>
      </c>
      <c r="C1153" s="24" t="s">
        <v>489</v>
      </c>
      <c r="D1153" s="136" t="str">
        <f t="array" ref="D1153">IF(E1153=0,0,(INDEX(AccountCodes[ACCOUNT NAME],MATCH(E1153,AccountCodes[NGAS CODE],0))))</f>
        <v>Water Expenses</v>
      </c>
      <c r="E1153" s="309" t="s">
        <v>232</v>
      </c>
      <c r="F1153" s="502">
        <v>1650</v>
      </c>
    </row>
    <row r="1154" spans="1:6" x14ac:dyDescent="0.25">
      <c r="A1154" s="308">
        <v>43131</v>
      </c>
      <c r="B1154" s="24" t="s">
        <v>484</v>
      </c>
      <c r="C1154" s="24" t="s">
        <v>489</v>
      </c>
      <c r="D1154" s="136" t="str">
        <f t="array" ref="D1154">IF(E1154=0,0,(INDEX(AccountCodes[ACCOUNT NAME],MATCH(E1154,AccountCodes[NGAS CODE],0))))</f>
        <v>Electricity Expenses</v>
      </c>
      <c r="E1154" s="24" t="s">
        <v>233</v>
      </c>
      <c r="F1154" s="502">
        <v>10450</v>
      </c>
    </row>
    <row r="1155" spans="1:6" x14ac:dyDescent="0.25">
      <c r="A1155" s="308">
        <v>43159</v>
      </c>
      <c r="B1155" s="24" t="s">
        <v>484</v>
      </c>
      <c r="C1155" s="24" t="s">
        <v>489</v>
      </c>
      <c r="D1155" s="136" t="str">
        <f t="array" ref="D1155">IF(E1155=0,0,(INDEX(AccountCodes[ACCOUNT NAME],MATCH(E1155,AccountCodes[NGAS CODE],0))))</f>
        <v>Electricity Expenses</v>
      </c>
      <c r="E1155" s="24" t="s">
        <v>233</v>
      </c>
      <c r="F1155" s="502">
        <v>10450</v>
      </c>
    </row>
    <row r="1156" spans="1:6" x14ac:dyDescent="0.25">
      <c r="A1156" s="308">
        <v>43190</v>
      </c>
      <c r="B1156" s="24" t="s">
        <v>484</v>
      </c>
      <c r="C1156" s="24" t="s">
        <v>489</v>
      </c>
      <c r="D1156" s="136" t="str">
        <f t="array" ref="D1156">IF(E1156=0,0,(INDEX(AccountCodes[ACCOUNT NAME],MATCH(E1156,AccountCodes[NGAS CODE],0))))</f>
        <v>Electricity Expenses</v>
      </c>
      <c r="E1156" s="24" t="s">
        <v>233</v>
      </c>
      <c r="F1156" s="502">
        <v>10450</v>
      </c>
    </row>
    <row r="1157" spans="1:6" x14ac:dyDescent="0.25">
      <c r="A1157" s="308">
        <v>43220</v>
      </c>
      <c r="B1157" s="24" t="s">
        <v>484</v>
      </c>
      <c r="C1157" s="24" t="s">
        <v>489</v>
      </c>
      <c r="D1157" s="136" t="str">
        <f t="array" ref="D1157">IF(E1157=0,0,(INDEX(AccountCodes[ACCOUNT NAME],MATCH(E1157,AccountCodes[NGAS CODE],0))))</f>
        <v>Electricity Expenses</v>
      </c>
      <c r="E1157" s="24" t="s">
        <v>233</v>
      </c>
      <c r="F1157" s="502">
        <v>10450</v>
      </c>
    </row>
    <row r="1158" spans="1:6" x14ac:dyDescent="0.25">
      <c r="A1158" s="308">
        <v>43251</v>
      </c>
      <c r="B1158" s="24" t="s">
        <v>484</v>
      </c>
      <c r="C1158" s="24" t="s">
        <v>489</v>
      </c>
      <c r="D1158" s="136" t="str">
        <f t="array" ref="D1158">IF(E1158=0,0,(INDEX(AccountCodes[ACCOUNT NAME],MATCH(E1158,AccountCodes[NGAS CODE],0))))</f>
        <v>Electricity Expenses</v>
      </c>
      <c r="E1158" s="24" t="s">
        <v>233</v>
      </c>
      <c r="F1158" s="502">
        <v>10450</v>
      </c>
    </row>
    <row r="1159" spans="1:6" x14ac:dyDescent="0.25">
      <c r="A1159" s="308">
        <v>43281</v>
      </c>
      <c r="B1159" s="24" t="s">
        <v>484</v>
      </c>
      <c r="C1159" s="24" t="s">
        <v>489</v>
      </c>
      <c r="D1159" s="136" t="str">
        <f t="array" ref="D1159">IF(E1159=0,0,(INDEX(AccountCodes[ACCOUNT NAME],MATCH(E1159,AccountCodes[NGAS CODE],0))))</f>
        <v>Electricity Expenses</v>
      </c>
      <c r="E1159" s="24" t="s">
        <v>233</v>
      </c>
      <c r="F1159" s="502">
        <v>10450</v>
      </c>
    </row>
    <row r="1160" spans="1:6" x14ac:dyDescent="0.25">
      <c r="A1160" s="308">
        <v>43312</v>
      </c>
      <c r="B1160" s="24" t="s">
        <v>484</v>
      </c>
      <c r="C1160" s="24" t="s">
        <v>489</v>
      </c>
      <c r="D1160" s="136" t="str">
        <f t="array" ref="D1160">IF(E1160=0,0,(INDEX(AccountCodes[ACCOUNT NAME],MATCH(E1160,AccountCodes[NGAS CODE],0))))</f>
        <v>Electricity Expenses</v>
      </c>
      <c r="E1160" s="24" t="s">
        <v>233</v>
      </c>
      <c r="F1160" s="502">
        <v>10450</v>
      </c>
    </row>
    <row r="1161" spans="1:6" x14ac:dyDescent="0.25">
      <c r="A1161" s="308">
        <v>43343</v>
      </c>
      <c r="B1161" s="24" t="s">
        <v>484</v>
      </c>
      <c r="C1161" s="24" t="s">
        <v>489</v>
      </c>
      <c r="D1161" s="136" t="str">
        <f t="array" ref="D1161">IF(E1161=0,0,(INDEX(AccountCodes[ACCOUNT NAME],MATCH(E1161,AccountCodes[NGAS CODE],0))))</f>
        <v>Electricity Expenses</v>
      </c>
      <c r="E1161" s="24" t="s">
        <v>233</v>
      </c>
      <c r="F1161" s="502">
        <v>10450</v>
      </c>
    </row>
    <row r="1162" spans="1:6" x14ac:dyDescent="0.25">
      <c r="A1162" s="308">
        <v>43373</v>
      </c>
      <c r="B1162" s="24" t="s">
        <v>484</v>
      </c>
      <c r="C1162" s="24" t="s">
        <v>489</v>
      </c>
      <c r="D1162" s="136" t="str">
        <f t="array" ref="D1162">IF(E1162=0,0,(INDEX(AccountCodes[ACCOUNT NAME],MATCH(E1162,AccountCodes[NGAS CODE],0))))</f>
        <v>Electricity Expenses</v>
      </c>
      <c r="E1162" s="24" t="s">
        <v>233</v>
      </c>
      <c r="F1162" s="502">
        <v>10450</v>
      </c>
    </row>
    <row r="1163" spans="1:6" x14ac:dyDescent="0.25">
      <c r="A1163" s="308">
        <v>43404</v>
      </c>
      <c r="B1163" s="24" t="s">
        <v>484</v>
      </c>
      <c r="C1163" s="24" t="s">
        <v>489</v>
      </c>
      <c r="D1163" s="136" t="str">
        <f t="array" ref="D1163">IF(E1163=0,0,(INDEX(AccountCodes[ACCOUNT NAME],MATCH(E1163,AccountCodes[NGAS CODE],0))))</f>
        <v>Electricity Expenses</v>
      </c>
      <c r="E1163" s="24" t="s">
        <v>233</v>
      </c>
      <c r="F1163" s="502">
        <v>10450</v>
      </c>
    </row>
    <row r="1164" spans="1:6" x14ac:dyDescent="0.25">
      <c r="A1164" s="308">
        <v>43434</v>
      </c>
      <c r="B1164" s="24" t="s">
        <v>484</v>
      </c>
      <c r="C1164" s="24" t="s">
        <v>489</v>
      </c>
      <c r="D1164" s="136" t="str">
        <f t="array" ref="D1164">IF(E1164=0,0,(INDEX(AccountCodes[ACCOUNT NAME],MATCH(E1164,AccountCodes[NGAS CODE],0))))</f>
        <v>Electricity Expenses</v>
      </c>
      <c r="E1164" s="24" t="s">
        <v>233</v>
      </c>
      <c r="F1164" s="502">
        <v>10450</v>
      </c>
    </row>
    <row r="1165" spans="1:6" x14ac:dyDescent="0.25">
      <c r="A1165" s="308">
        <v>43465</v>
      </c>
      <c r="B1165" s="24" t="s">
        <v>484</v>
      </c>
      <c r="C1165" s="24" t="s">
        <v>489</v>
      </c>
      <c r="D1165" s="136" t="str">
        <f t="array" ref="D1165">IF(E1165=0,0,(INDEX(AccountCodes[ACCOUNT NAME],MATCH(E1165,AccountCodes[NGAS CODE],0))))</f>
        <v>Electricity Expenses</v>
      </c>
      <c r="E1165" s="24" t="s">
        <v>233</v>
      </c>
      <c r="F1165" s="502">
        <v>10450</v>
      </c>
    </row>
    <row r="1166" spans="1:6" x14ac:dyDescent="0.25">
      <c r="A1166" s="308">
        <v>43131</v>
      </c>
      <c r="B1166" s="24" t="s">
        <v>484</v>
      </c>
      <c r="C1166" s="24" t="s">
        <v>489</v>
      </c>
      <c r="D1166" s="136" t="str">
        <f t="array" ref="D1166">IF(E1166=0,0,(INDEX(AccountCodes[ACCOUNT NAME],MATCH(E1166,AccountCodes[NGAS CODE],0))))</f>
        <v>Telephone Expenses - Landline</v>
      </c>
      <c r="E1166" s="24" t="s">
        <v>235</v>
      </c>
      <c r="F1166" s="502">
        <v>3300</v>
      </c>
    </row>
    <row r="1167" spans="1:6" x14ac:dyDescent="0.25">
      <c r="A1167" s="308">
        <v>43159</v>
      </c>
      <c r="B1167" s="24" t="s">
        <v>484</v>
      </c>
      <c r="C1167" s="24" t="s">
        <v>489</v>
      </c>
      <c r="D1167" s="136" t="str">
        <f t="array" ref="D1167">IF(E1167=0,0,(INDEX(AccountCodes[ACCOUNT NAME],MATCH(E1167,AccountCodes[NGAS CODE],0))))</f>
        <v>Telephone Expenses - Landline</v>
      </c>
      <c r="E1167" s="24" t="s">
        <v>235</v>
      </c>
      <c r="F1167" s="502">
        <v>3300</v>
      </c>
    </row>
    <row r="1168" spans="1:6" x14ac:dyDescent="0.25">
      <c r="A1168" s="308">
        <v>43190</v>
      </c>
      <c r="B1168" s="24" t="s">
        <v>484</v>
      </c>
      <c r="C1168" s="24" t="s">
        <v>489</v>
      </c>
      <c r="D1168" s="136" t="str">
        <f t="array" ref="D1168">IF(E1168=0,0,(INDEX(AccountCodes[ACCOUNT NAME],MATCH(E1168,AccountCodes[NGAS CODE],0))))</f>
        <v>Telephone Expenses - Landline</v>
      </c>
      <c r="E1168" s="24" t="s">
        <v>235</v>
      </c>
      <c r="F1168" s="502">
        <v>3300</v>
      </c>
    </row>
    <row r="1169" spans="1:6" x14ac:dyDescent="0.25">
      <c r="A1169" s="308">
        <v>43220</v>
      </c>
      <c r="B1169" s="24" t="s">
        <v>484</v>
      </c>
      <c r="C1169" s="24" t="s">
        <v>489</v>
      </c>
      <c r="D1169" s="136" t="str">
        <f t="array" ref="D1169">IF(E1169=0,0,(INDEX(AccountCodes[ACCOUNT NAME],MATCH(E1169,AccountCodes[NGAS CODE],0))))</f>
        <v>Telephone Expenses - Landline</v>
      </c>
      <c r="E1169" s="24" t="s">
        <v>235</v>
      </c>
      <c r="F1169" s="502">
        <v>3300</v>
      </c>
    </row>
    <row r="1170" spans="1:6" x14ac:dyDescent="0.25">
      <c r="A1170" s="308">
        <v>43251</v>
      </c>
      <c r="B1170" s="24" t="s">
        <v>484</v>
      </c>
      <c r="C1170" s="24" t="s">
        <v>489</v>
      </c>
      <c r="D1170" s="136" t="str">
        <f t="array" ref="D1170">IF(E1170=0,0,(INDEX(AccountCodes[ACCOUNT NAME],MATCH(E1170,AccountCodes[NGAS CODE],0))))</f>
        <v>Telephone Expenses - Landline</v>
      </c>
      <c r="E1170" s="24" t="s">
        <v>235</v>
      </c>
      <c r="F1170" s="502">
        <v>3300</v>
      </c>
    </row>
    <row r="1171" spans="1:6" x14ac:dyDescent="0.25">
      <c r="A1171" s="308">
        <v>43281</v>
      </c>
      <c r="B1171" s="24" t="s">
        <v>484</v>
      </c>
      <c r="C1171" s="24" t="s">
        <v>489</v>
      </c>
      <c r="D1171" s="136" t="str">
        <f t="array" ref="D1171">IF(E1171=0,0,(INDEX(AccountCodes[ACCOUNT NAME],MATCH(E1171,AccountCodes[NGAS CODE],0))))</f>
        <v>Telephone Expenses - Landline</v>
      </c>
      <c r="E1171" s="24" t="s">
        <v>235</v>
      </c>
      <c r="F1171" s="502">
        <v>3300</v>
      </c>
    </row>
    <row r="1172" spans="1:6" x14ac:dyDescent="0.25">
      <c r="A1172" s="308">
        <v>43312</v>
      </c>
      <c r="B1172" s="24" t="s">
        <v>484</v>
      </c>
      <c r="C1172" s="24" t="s">
        <v>489</v>
      </c>
      <c r="D1172" s="136" t="str">
        <f t="array" ref="D1172">IF(E1172=0,0,(INDEX(AccountCodes[ACCOUNT NAME],MATCH(E1172,AccountCodes[NGAS CODE],0))))</f>
        <v>Telephone Expenses - Landline</v>
      </c>
      <c r="E1172" s="24" t="s">
        <v>235</v>
      </c>
      <c r="F1172" s="502">
        <v>3300</v>
      </c>
    </row>
    <row r="1173" spans="1:6" x14ac:dyDescent="0.25">
      <c r="A1173" s="308">
        <v>43343</v>
      </c>
      <c r="B1173" s="24" t="s">
        <v>484</v>
      </c>
      <c r="C1173" s="24" t="s">
        <v>489</v>
      </c>
      <c r="D1173" s="136" t="str">
        <f t="array" ref="D1173">IF(E1173=0,0,(INDEX(AccountCodes[ACCOUNT NAME],MATCH(E1173,AccountCodes[NGAS CODE],0))))</f>
        <v>Telephone Expenses - Landline</v>
      </c>
      <c r="E1173" s="24" t="s">
        <v>235</v>
      </c>
      <c r="F1173" s="502">
        <v>3300</v>
      </c>
    </row>
    <row r="1174" spans="1:6" x14ac:dyDescent="0.25">
      <c r="A1174" s="308">
        <v>43373</v>
      </c>
      <c r="B1174" s="24" t="s">
        <v>484</v>
      </c>
      <c r="C1174" s="24" t="s">
        <v>489</v>
      </c>
      <c r="D1174" s="136" t="str">
        <f t="array" ref="D1174">IF(E1174=0,0,(INDEX(AccountCodes[ACCOUNT NAME],MATCH(E1174,AccountCodes[NGAS CODE],0))))</f>
        <v>Telephone Expenses - Landline</v>
      </c>
      <c r="E1174" s="24" t="s">
        <v>235</v>
      </c>
      <c r="F1174" s="502">
        <v>3300</v>
      </c>
    </row>
    <row r="1175" spans="1:6" x14ac:dyDescent="0.25">
      <c r="A1175" s="308">
        <v>43404</v>
      </c>
      <c r="B1175" s="24" t="s">
        <v>484</v>
      </c>
      <c r="C1175" s="24" t="s">
        <v>489</v>
      </c>
      <c r="D1175" s="136" t="str">
        <f t="array" ref="D1175">IF(E1175=0,0,(INDEX(AccountCodes[ACCOUNT NAME],MATCH(E1175,AccountCodes[NGAS CODE],0))))</f>
        <v>Telephone Expenses - Landline</v>
      </c>
      <c r="E1175" s="24" t="s">
        <v>235</v>
      </c>
      <c r="F1175" s="502">
        <v>3300</v>
      </c>
    </row>
    <row r="1176" spans="1:6" x14ac:dyDescent="0.25">
      <c r="A1176" s="308">
        <v>43434</v>
      </c>
      <c r="B1176" s="24" t="s">
        <v>484</v>
      </c>
      <c r="C1176" s="24" t="s">
        <v>489</v>
      </c>
      <c r="D1176" s="136" t="str">
        <f t="array" ref="D1176">IF(E1176=0,0,(INDEX(AccountCodes[ACCOUNT NAME],MATCH(E1176,AccountCodes[NGAS CODE],0))))</f>
        <v>Telephone Expenses - Landline</v>
      </c>
      <c r="E1176" s="24" t="s">
        <v>235</v>
      </c>
      <c r="F1176" s="502">
        <v>3300</v>
      </c>
    </row>
    <row r="1177" spans="1:6" x14ac:dyDescent="0.25">
      <c r="A1177" s="308">
        <v>43465</v>
      </c>
      <c r="B1177" s="24" t="s">
        <v>484</v>
      </c>
      <c r="C1177" s="24" t="s">
        <v>489</v>
      </c>
      <c r="D1177" s="136" t="str">
        <f t="array" ref="D1177">IF(E1177=0,0,(INDEX(AccountCodes[ACCOUNT NAME],MATCH(E1177,AccountCodes[NGAS CODE],0))))</f>
        <v>Telephone Expenses - Landline</v>
      </c>
      <c r="E1177" s="24" t="s">
        <v>235</v>
      </c>
      <c r="F1177" s="502">
        <v>3300</v>
      </c>
    </row>
    <row r="1178" spans="1:6" x14ac:dyDescent="0.25">
      <c r="A1178" s="308">
        <v>43190</v>
      </c>
      <c r="B1178" s="24" t="s">
        <v>484</v>
      </c>
      <c r="C1178" s="24" t="s">
        <v>489</v>
      </c>
      <c r="D1178" s="136" t="str">
        <f t="array" ref="D1178">IF(E1178=0,0,(INDEX(AccountCodes[ACCOUNT NAME],MATCH(E1178,AccountCodes[NGAS CODE],0))))</f>
        <v>Other Professional Services</v>
      </c>
      <c r="E1178" s="309" t="s">
        <v>250</v>
      </c>
      <c r="F1178" s="502">
        <v>7500</v>
      </c>
    </row>
    <row r="1179" spans="1:6" x14ac:dyDescent="0.25">
      <c r="A1179" s="308">
        <v>43281</v>
      </c>
      <c r="B1179" s="24" t="s">
        <v>484</v>
      </c>
      <c r="C1179" s="24" t="s">
        <v>489</v>
      </c>
      <c r="D1179" s="136" t="str">
        <f t="array" ref="D1179">IF(E1179=0,0,(INDEX(AccountCodes[ACCOUNT NAME],MATCH(E1179,AccountCodes[NGAS CODE],0))))</f>
        <v>Other Professional Services</v>
      </c>
      <c r="E1179" s="309" t="s">
        <v>250</v>
      </c>
      <c r="F1179" s="502">
        <v>30000</v>
      </c>
    </row>
    <row r="1180" spans="1:6" x14ac:dyDescent="0.25">
      <c r="A1180" s="308">
        <v>43131</v>
      </c>
      <c r="B1180" s="24" t="s">
        <v>484</v>
      </c>
      <c r="C1180" s="24" t="s">
        <v>489</v>
      </c>
      <c r="D1180" s="136" t="str">
        <f t="array" ref="D1180">IF(E1180=0,0,(INDEX(AccountCodes[ACCOUNT NAME],MATCH(E1180,AccountCodes[NGAS CODE],0))))</f>
        <v>Repairs and Maintenance-Transportation Equipment - Motor Vehicles</v>
      </c>
      <c r="E1180" s="309" t="s">
        <v>262</v>
      </c>
      <c r="F1180" s="502">
        <v>5500</v>
      </c>
    </row>
    <row r="1181" spans="1:6" x14ac:dyDescent="0.25">
      <c r="A1181" s="308">
        <v>43159</v>
      </c>
      <c r="B1181" s="24" t="s">
        <v>484</v>
      </c>
      <c r="C1181" s="24" t="s">
        <v>489</v>
      </c>
      <c r="D1181" s="136" t="str">
        <f t="array" ref="D1181">IF(E1181=0,0,(INDEX(AccountCodes[ACCOUNT NAME],MATCH(E1181,AccountCodes[NGAS CODE],0))))</f>
        <v>Repairs and Maintenance-Transportation Equipment - Motor Vehicles</v>
      </c>
      <c r="E1181" s="309" t="s">
        <v>262</v>
      </c>
      <c r="F1181" s="502">
        <v>5500</v>
      </c>
    </row>
    <row r="1182" spans="1:6" x14ac:dyDescent="0.25">
      <c r="A1182" s="308">
        <v>43190</v>
      </c>
      <c r="B1182" s="24" t="s">
        <v>484</v>
      </c>
      <c r="C1182" s="24" t="s">
        <v>489</v>
      </c>
      <c r="D1182" s="136" t="str">
        <f t="array" ref="D1182">IF(E1182=0,0,(INDEX(AccountCodes[ACCOUNT NAME],MATCH(E1182,AccountCodes[NGAS CODE],0))))</f>
        <v>Repairs and Maintenance-Transportation Equipment - Motor Vehicles</v>
      </c>
      <c r="E1182" s="309" t="s">
        <v>262</v>
      </c>
      <c r="F1182" s="502">
        <v>5500</v>
      </c>
    </row>
    <row r="1183" spans="1:6" x14ac:dyDescent="0.25">
      <c r="A1183" s="308">
        <v>43220</v>
      </c>
      <c r="B1183" s="24" t="s">
        <v>484</v>
      </c>
      <c r="C1183" s="24" t="s">
        <v>489</v>
      </c>
      <c r="D1183" s="136" t="str">
        <f t="array" ref="D1183">IF(E1183=0,0,(INDEX(AccountCodes[ACCOUNT NAME],MATCH(E1183,AccountCodes[NGAS CODE],0))))</f>
        <v>Repairs and Maintenance-Transportation Equipment - Motor Vehicles</v>
      </c>
      <c r="E1183" s="309" t="s">
        <v>262</v>
      </c>
      <c r="F1183" s="502">
        <v>5500</v>
      </c>
    </row>
    <row r="1184" spans="1:6" x14ac:dyDescent="0.25">
      <c r="A1184" s="308">
        <v>43251</v>
      </c>
      <c r="B1184" s="24" t="s">
        <v>484</v>
      </c>
      <c r="C1184" s="24" t="s">
        <v>489</v>
      </c>
      <c r="D1184" s="136" t="str">
        <f t="array" ref="D1184">IF(E1184=0,0,(INDEX(AccountCodes[ACCOUNT NAME],MATCH(E1184,AccountCodes[NGAS CODE],0))))</f>
        <v>Repairs and Maintenance-Transportation Equipment - Motor Vehicles</v>
      </c>
      <c r="E1184" s="309" t="s">
        <v>262</v>
      </c>
      <c r="F1184" s="502">
        <v>5500</v>
      </c>
    </row>
    <row r="1185" spans="1:6" x14ac:dyDescent="0.25">
      <c r="A1185" s="308">
        <v>43281</v>
      </c>
      <c r="B1185" s="24" t="s">
        <v>484</v>
      </c>
      <c r="C1185" s="24" t="s">
        <v>489</v>
      </c>
      <c r="D1185" s="136" t="str">
        <f t="array" ref="D1185">IF(E1185=0,0,(INDEX(AccountCodes[ACCOUNT NAME],MATCH(E1185,AccountCodes[NGAS CODE],0))))</f>
        <v>Repairs and Maintenance-Transportation Equipment - Motor Vehicles</v>
      </c>
      <c r="E1185" s="309" t="s">
        <v>262</v>
      </c>
      <c r="F1185" s="502">
        <v>5500</v>
      </c>
    </row>
    <row r="1186" spans="1:6" x14ac:dyDescent="0.25">
      <c r="A1186" s="308">
        <v>43312</v>
      </c>
      <c r="B1186" s="24" t="s">
        <v>484</v>
      </c>
      <c r="C1186" s="24" t="s">
        <v>489</v>
      </c>
      <c r="D1186" s="136" t="str">
        <f t="array" ref="D1186">IF(E1186=0,0,(INDEX(AccountCodes[ACCOUNT NAME],MATCH(E1186,AccountCodes[NGAS CODE],0))))</f>
        <v>Repairs and Maintenance-Transportation Equipment - Motor Vehicles</v>
      </c>
      <c r="E1186" s="309" t="s">
        <v>262</v>
      </c>
      <c r="F1186" s="502">
        <v>5500</v>
      </c>
    </row>
    <row r="1187" spans="1:6" x14ac:dyDescent="0.25">
      <c r="A1187" s="308">
        <v>43343</v>
      </c>
      <c r="B1187" s="24" t="s">
        <v>484</v>
      </c>
      <c r="C1187" s="24" t="s">
        <v>489</v>
      </c>
      <c r="D1187" s="136" t="str">
        <f t="array" ref="D1187">IF(E1187=0,0,(INDEX(AccountCodes[ACCOUNT NAME],MATCH(E1187,AccountCodes[NGAS CODE],0))))</f>
        <v>Repairs and Maintenance-Transportation Equipment - Motor Vehicles</v>
      </c>
      <c r="E1187" s="309" t="s">
        <v>262</v>
      </c>
      <c r="F1187" s="502">
        <v>5500</v>
      </c>
    </row>
    <row r="1188" spans="1:6" x14ac:dyDescent="0.25">
      <c r="A1188" s="308">
        <v>43373</v>
      </c>
      <c r="B1188" s="24" t="s">
        <v>484</v>
      </c>
      <c r="C1188" s="24" t="s">
        <v>489</v>
      </c>
      <c r="D1188" s="136" t="str">
        <f t="array" ref="D1188">IF(E1188=0,0,(INDEX(AccountCodes[ACCOUNT NAME],MATCH(E1188,AccountCodes[NGAS CODE],0))))</f>
        <v>Repairs and Maintenance-Transportation Equipment - Motor Vehicles</v>
      </c>
      <c r="E1188" s="309" t="s">
        <v>262</v>
      </c>
      <c r="F1188" s="502">
        <v>5500</v>
      </c>
    </row>
    <row r="1189" spans="1:6" x14ac:dyDescent="0.25">
      <c r="A1189" s="308">
        <v>43404</v>
      </c>
      <c r="B1189" s="24" t="s">
        <v>484</v>
      </c>
      <c r="C1189" s="24" t="s">
        <v>489</v>
      </c>
      <c r="D1189" s="136" t="str">
        <f t="array" ref="D1189">IF(E1189=0,0,(INDEX(AccountCodes[ACCOUNT NAME],MATCH(E1189,AccountCodes[NGAS CODE],0))))</f>
        <v>Repairs and Maintenance-Transportation Equipment - Motor Vehicles</v>
      </c>
      <c r="E1189" s="309" t="s">
        <v>262</v>
      </c>
      <c r="F1189" s="502">
        <v>5500</v>
      </c>
    </row>
    <row r="1190" spans="1:6" x14ac:dyDescent="0.25">
      <c r="A1190" s="308">
        <v>43434</v>
      </c>
      <c r="B1190" s="24" t="s">
        <v>484</v>
      </c>
      <c r="C1190" s="24" t="s">
        <v>489</v>
      </c>
      <c r="D1190" s="136" t="str">
        <f t="array" ref="D1190">IF(E1190=0,0,(INDEX(AccountCodes[ACCOUNT NAME],MATCH(E1190,AccountCodes[NGAS CODE],0))))</f>
        <v>Repairs and Maintenance-Transportation Equipment - Motor Vehicles</v>
      </c>
      <c r="E1190" s="309" t="s">
        <v>262</v>
      </c>
      <c r="F1190" s="502">
        <v>5500</v>
      </c>
    </row>
    <row r="1191" spans="1:6" x14ac:dyDescent="0.25">
      <c r="A1191" s="308">
        <v>43465</v>
      </c>
      <c r="B1191" s="24" t="s">
        <v>484</v>
      </c>
      <c r="C1191" s="24" t="s">
        <v>489</v>
      </c>
      <c r="D1191" s="136" t="str">
        <f t="array" ref="D1191">IF(E1191=0,0,(INDEX(AccountCodes[ACCOUNT NAME],MATCH(E1191,AccountCodes[NGAS CODE],0))))</f>
        <v>Repairs and Maintenance-Transportation Equipment - Motor Vehicles</v>
      </c>
      <c r="E1191" s="309" t="s">
        <v>262</v>
      </c>
      <c r="F1191" s="502">
        <v>5500</v>
      </c>
    </row>
    <row r="1192" spans="1:6" x14ac:dyDescent="0.25">
      <c r="A1192" s="308">
        <v>43159</v>
      </c>
      <c r="B1192" s="24" t="s">
        <v>484</v>
      </c>
      <c r="C1192" s="24" t="s">
        <v>489</v>
      </c>
      <c r="D1192" s="136" t="str">
        <f t="array" ref="D1192">IF(E1192=0,0,(INDEX(AccountCodes[ACCOUNT NAME],MATCH(E1192,AccountCodes[NGAS CODE],0))))</f>
        <v>Taxes, Duties and Licenses</v>
      </c>
      <c r="E1192" s="309" t="s">
        <v>272</v>
      </c>
      <c r="F1192" s="502">
        <v>4079</v>
      </c>
    </row>
    <row r="1193" spans="1:6" x14ac:dyDescent="0.25">
      <c r="A1193" s="308">
        <v>43281</v>
      </c>
      <c r="B1193" s="24" t="s">
        <v>484</v>
      </c>
      <c r="C1193" s="24" t="s">
        <v>489</v>
      </c>
      <c r="D1193" s="136" t="str">
        <f t="array" ref="D1193">IF(E1193=0,0,(INDEX(AccountCodes[ACCOUNT NAME],MATCH(E1193,AccountCodes[NGAS CODE],0))))</f>
        <v>Taxes, Duties and Licenses</v>
      </c>
      <c r="E1193" s="309" t="s">
        <v>272</v>
      </c>
      <c r="F1193" s="502">
        <v>2321.56</v>
      </c>
    </row>
    <row r="1194" spans="1:6" x14ac:dyDescent="0.25">
      <c r="A1194" s="308">
        <v>43312</v>
      </c>
      <c r="B1194" s="24" t="s">
        <v>484</v>
      </c>
      <c r="C1194" s="24" t="s">
        <v>489</v>
      </c>
      <c r="D1194" s="136" t="str">
        <f t="array" ref="D1194">IF(E1194=0,0,(INDEX(AccountCodes[ACCOUNT NAME],MATCH(E1194,AccountCodes[NGAS CODE],0))))</f>
        <v>Taxes, Duties and Licenses</v>
      </c>
      <c r="E1194" s="309" t="s">
        <v>272</v>
      </c>
      <c r="F1194" s="502">
        <v>5489.06</v>
      </c>
    </row>
    <row r="1195" spans="1:6" x14ac:dyDescent="0.25">
      <c r="A1195" s="308">
        <v>43343</v>
      </c>
      <c r="B1195" s="24" t="s">
        <v>484</v>
      </c>
      <c r="C1195" s="24" t="s">
        <v>489</v>
      </c>
      <c r="D1195" s="136" t="str">
        <f t="array" ref="D1195">IF(E1195=0,0,(INDEX(AccountCodes[ACCOUNT NAME],MATCH(E1195,AccountCodes[NGAS CODE],0))))</f>
        <v>Taxes, Duties and Licenses</v>
      </c>
      <c r="E1195" s="309" t="s">
        <v>272</v>
      </c>
      <c r="F1195" s="502">
        <v>2321.56</v>
      </c>
    </row>
    <row r="1196" spans="1:6" x14ac:dyDescent="0.25">
      <c r="A1196" s="308">
        <v>43131</v>
      </c>
      <c r="B1196" s="24" t="s">
        <v>484</v>
      </c>
      <c r="C1196" s="24" t="s">
        <v>489</v>
      </c>
      <c r="D1196" s="136" t="str">
        <f t="array" ref="D1196">IF(E1196=0,0,(INDEX(AccountCodes[ACCOUNT NAME],MATCH(E1196,AccountCodes[NGAS CODE],0))))</f>
        <v>Repairs and Maintenance-Buildings and Other Structures - Buildings</v>
      </c>
      <c r="E1196" s="24" t="s">
        <v>251</v>
      </c>
      <c r="F1196" s="502">
        <v>41666.67</v>
      </c>
    </row>
    <row r="1197" spans="1:6" x14ac:dyDescent="0.25">
      <c r="A1197" s="308">
        <v>43159</v>
      </c>
      <c r="B1197" s="24" t="s">
        <v>484</v>
      </c>
      <c r="C1197" s="24" t="s">
        <v>489</v>
      </c>
      <c r="D1197" s="136" t="str">
        <f t="array" ref="D1197">IF(E1197=0,0,(INDEX(AccountCodes[ACCOUNT NAME],MATCH(E1197,AccountCodes[NGAS CODE],0))))</f>
        <v>Repairs and Maintenance-Buildings and Other Structures - Buildings</v>
      </c>
      <c r="E1197" s="24" t="s">
        <v>251</v>
      </c>
      <c r="F1197" s="502">
        <v>41666.67</v>
      </c>
    </row>
    <row r="1198" spans="1:6" x14ac:dyDescent="0.25">
      <c r="A1198" s="308">
        <v>43190</v>
      </c>
      <c r="B1198" s="24" t="s">
        <v>484</v>
      </c>
      <c r="C1198" s="24" t="s">
        <v>489</v>
      </c>
      <c r="D1198" s="136" t="str">
        <f t="array" ref="D1198">IF(E1198=0,0,(INDEX(AccountCodes[ACCOUNT NAME],MATCH(E1198,AccountCodes[NGAS CODE],0))))</f>
        <v>Repairs and Maintenance-Buildings and Other Structures - Buildings</v>
      </c>
      <c r="E1198" s="24" t="s">
        <v>251</v>
      </c>
      <c r="F1198" s="502">
        <v>41666.67</v>
      </c>
    </row>
    <row r="1199" spans="1:6" x14ac:dyDescent="0.25">
      <c r="A1199" s="308">
        <v>43220</v>
      </c>
      <c r="B1199" s="24" t="s">
        <v>484</v>
      </c>
      <c r="C1199" s="24" t="s">
        <v>489</v>
      </c>
      <c r="D1199" s="136" t="str">
        <f t="array" ref="D1199">IF(E1199=0,0,(INDEX(AccountCodes[ACCOUNT NAME],MATCH(E1199,AccountCodes[NGAS CODE],0))))</f>
        <v>Repairs and Maintenance-Buildings and Other Structures - Buildings</v>
      </c>
      <c r="E1199" s="24" t="s">
        <v>251</v>
      </c>
      <c r="F1199" s="502">
        <v>41666.67</v>
      </c>
    </row>
    <row r="1200" spans="1:6" x14ac:dyDescent="0.25">
      <c r="A1200" s="308">
        <v>43251</v>
      </c>
      <c r="B1200" s="24" t="s">
        <v>484</v>
      </c>
      <c r="C1200" s="24" t="s">
        <v>489</v>
      </c>
      <c r="D1200" s="136" t="str">
        <f t="array" ref="D1200">IF(E1200=0,0,(INDEX(AccountCodes[ACCOUNT NAME],MATCH(E1200,AccountCodes[NGAS CODE],0))))</f>
        <v>Repairs and Maintenance-Buildings and Other Structures - Buildings</v>
      </c>
      <c r="E1200" s="24" t="s">
        <v>251</v>
      </c>
      <c r="F1200" s="502">
        <v>41666.67</v>
      </c>
    </row>
    <row r="1201" spans="1:6" x14ac:dyDescent="0.25">
      <c r="A1201" s="308">
        <v>43281</v>
      </c>
      <c r="B1201" s="24" t="s">
        <v>484</v>
      </c>
      <c r="C1201" s="24" t="s">
        <v>489</v>
      </c>
      <c r="D1201" s="136" t="str">
        <f t="array" ref="D1201">IF(E1201=0,0,(INDEX(AccountCodes[ACCOUNT NAME],MATCH(E1201,AccountCodes[NGAS CODE],0))))</f>
        <v>Repairs and Maintenance-Buildings and Other Structures - Buildings</v>
      </c>
      <c r="E1201" s="24" t="s">
        <v>251</v>
      </c>
      <c r="F1201" s="502">
        <v>41666.67</v>
      </c>
    </row>
    <row r="1202" spans="1:6" x14ac:dyDescent="0.25">
      <c r="A1202" s="308">
        <v>43312</v>
      </c>
      <c r="B1202" s="24" t="s">
        <v>484</v>
      </c>
      <c r="C1202" s="24" t="s">
        <v>489</v>
      </c>
      <c r="D1202" s="136" t="str">
        <f t="array" ref="D1202">IF(E1202=0,0,(INDEX(AccountCodes[ACCOUNT NAME],MATCH(E1202,AccountCodes[NGAS CODE],0))))</f>
        <v>Repairs and Maintenance-Buildings and Other Structures - Buildings</v>
      </c>
      <c r="E1202" s="24" t="s">
        <v>251</v>
      </c>
      <c r="F1202" s="502">
        <v>41666.67</v>
      </c>
    </row>
    <row r="1203" spans="1:6" x14ac:dyDescent="0.25">
      <c r="A1203" s="308">
        <v>43343</v>
      </c>
      <c r="B1203" s="24" t="s">
        <v>484</v>
      </c>
      <c r="C1203" s="24" t="s">
        <v>489</v>
      </c>
      <c r="D1203" s="136" t="str">
        <f t="array" ref="D1203">IF(E1203=0,0,(INDEX(AccountCodes[ACCOUNT NAME],MATCH(E1203,AccountCodes[NGAS CODE],0))))</f>
        <v>Repairs and Maintenance-Buildings and Other Structures - Buildings</v>
      </c>
      <c r="E1203" s="24" t="s">
        <v>251</v>
      </c>
      <c r="F1203" s="502">
        <v>41666.67</v>
      </c>
    </row>
    <row r="1204" spans="1:6" x14ac:dyDescent="0.25">
      <c r="A1204" s="308">
        <v>43373</v>
      </c>
      <c r="B1204" s="24" t="s">
        <v>484</v>
      </c>
      <c r="C1204" s="24" t="s">
        <v>489</v>
      </c>
      <c r="D1204" s="136" t="str">
        <f t="array" ref="D1204">IF(E1204=0,0,(INDEX(AccountCodes[ACCOUNT NAME],MATCH(E1204,AccountCodes[NGAS CODE],0))))</f>
        <v>Repairs and Maintenance-Buildings and Other Structures - Buildings</v>
      </c>
      <c r="E1204" s="24" t="s">
        <v>251</v>
      </c>
      <c r="F1204" s="502">
        <v>41666.67</v>
      </c>
    </row>
    <row r="1205" spans="1:6" x14ac:dyDescent="0.25">
      <c r="A1205" s="308">
        <v>43404</v>
      </c>
      <c r="B1205" s="24" t="s">
        <v>484</v>
      </c>
      <c r="C1205" s="24" t="s">
        <v>489</v>
      </c>
      <c r="D1205" s="136" t="str">
        <f t="array" ref="D1205">IF(E1205=0,0,(INDEX(AccountCodes[ACCOUNT NAME],MATCH(E1205,AccountCodes[NGAS CODE],0))))</f>
        <v>Repairs and Maintenance-Buildings and Other Structures - Buildings</v>
      </c>
      <c r="E1205" s="24" t="s">
        <v>251</v>
      </c>
      <c r="F1205" s="502">
        <v>41666.67</v>
      </c>
    </row>
    <row r="1206" spans="1:6" x14ac:dyDescent="0.25">
      <c r="A1206" s="308">
        <v>43434</v>
      </c>
      <c r="B1206" s="24" t="s">
        <v>484</v>
      </c>
      <c r="C1206" s="24" t="s">
        <v>489</v>
      </c>
      <c r="D1206" s="136" t="str">
        <f t="array" ref="D1206">IF(E1206=0,0,(INDEX(AccountCodes[ACCOUNT NAME],MATCH(E1206,AccountCodes[NGAS CODE],0))))</f>
        <v>Repairs and Maintenance-Buildings and Other Structures - Buildings</v>
      </c>
      <c r="E1206" s="24" t="s">
        <v>251</v>
      </c>
      <c r="F1206" s="502">
        <v>41666.67</v>
      </c>
    </row>
    <row r="1207" spans="1:6" x14ac:dyDescent="0.25">
      <c r="A1207" s="308">
        <v>43465</v>
      </c>
      <c r="B1207" s="24" t="s">
        <v>484</v>
      </c>
      <c r="C1207" s="24" t="s">
        <v>489</v>
      </c>
      <c r="D1207" s="136" t="str">
        <f t="array" ref="D1207">IF(E1207=0,0,(INDEX(AccountCodes[ACCOUNT NAME],MATCH(E1207,AccountCodes[NGAS CODE],0))))</f>
        <v>Repairs and Maintenance-Buildings and Other Structures - Buildings</v>
      </c>
      <c r="E1207" s="24" t="s">
        <v>251</v>
      </c>
      <c r="F1207" s="502">
        <v>41666.67</v>
      </c>
    </row>
    <row r="1208" spans="1:6" x14ac:dyDescent="0.25">
      <c r="A1208" s="308"/>
      <c r="D1208" s="136">
        <f t="array" ref="D1208">IF(E1208=0,0,(INDEX(AccountCodes[ACCOUNT NAME],MATCH(E1208,AccountCodes[NGAS CODE],0))))</f>
        <v>0</v>
      </c>
      <c r="E1208" s="309"/>
      <c r="F1208" s="502"/>
    </row>
    <row r="1209" spans="1:6" x14ac:dyDescent="0.25">
      <c r="A1209" s="308">
        <v>43131</v>
      </c>
      <c r="B1209" s="24" t="s">
        <v>484</v>
      </c>
      <c r="C1209" s="24" t="s">
        <v>505</v>
      </c>
      <c r="D1209" s="136" t="str">
        <f t="array" ref="D1209">IF(E1209=0,0,(INDEX(AccountCodes[ACCOUNT NAME],MATCH(E1209,AccountCodes[NGAS CODE],0))))</f>
        <v>Salaries and Wages-Regular</v>
      </c>
      <c r="E1209" s="24" t="s">
        <v>162</v>
      </c>
      <c r="F1209" s="502">
        <v>326056</v>
      </c>
    </row>
    <row r="1210" spans="1:6" x14ac:dyDescent="0.25">
      <c r="A1210" s="308">
        <v>43159</v>
      </c>
      <c r="B1210" s="24" t="s">
        <v>484</v>
      </c>
      <c r="C1210" s="24" t="s">
        <v>505</v>
      </c>
      <c r="D1210" s="136" t="str">
        <f t="array" ref="D1210">IF(E1210=0,0,(INDEX(AccountCodes[ACCOUNT NAME],MATCH(E1210,AccountCodes[NGAS CODE],0))))</f>
        <v>Salaries and Wages-Regular</v>
      </c>
      <c r="E1210" s="24" t="s">
        <v>162</v>
      </c>
      <c r="F1210" s="502">
        <v>326056</v>
      </c>
    </row>
    <row r="1211" spans="1:6" x14ac:dyDescent="0.25">
      <c r="A1211" s="308">
        <v>43190</v>
      </c>
      <c r="B1211" s="24" t="s">
        <v>484</v>
      </c>
      <c r="C1211" s="24" t="s">
        <v>505</v>
      </c>
      <c r="D1211" s="136" t="str">
        <f t="array" ref="D1211">IF(E1211=0,0,(INDEX(AccountCodes[ACCOUNT NAME],MATCH(E1211,AccountCodes[NGAS CODE],0))))</f>
        <v>Salaries and Wages-Regular</v>
      </c>
      <c r="E1211" s="24" t="s">
        <v>162</v>
      </c>
      <c r="F1211" s="502">
        <v>326056</v>
      </c>
    </row>
    <row r="1212" spans="1:6" x14ac:dyDescent="0.25">
      <c r="A1212" s="308">
        <v>43220</v>
      </c>
      <c r="B1212" s="24" t="s">
        <v>484</v>
      </c>
      <c r="C1212" s="24" t="s">
        <v>505</v>
      </c>
      <c r="D1212" s="136" t="str">
        <f t="array" ref="D1212">IF(E1212=0,0,(INDEX(AccountCodes[ACCOUNT NAME],MATCH(E1212,AccountCodes[NGAS CODE],0))))</f>
        <v>Salaries and Wages-Regular</v>
      </c>
      <c r="E1212" s="24" t="s">
        <v>162</v>
      </c>
      <c r="F1212" s="502">
        <v>326056</v>
      </c>
    </row>
    <row r="1213" spans="1:6" x14ac:dyDescent="0.25">
      <c r="A1213" s="308">
        <v>43251</v>
      </c>
      <c r="B1213" s="24" t="s">
        <v>484</v>
      </c>
      <c r="C1213" s="24" t="s">
        <v>505</v>
      </c>
      <c r="D1213" s="136" t="str">
        <f t="array" ref="D1213">IF(E1213=0,0,(INDEX(AccountCodes[ACCOUNT NAME],MATCH(E1213,AccountCodes[NGAS CODE],0))))</f>
        <v>Salaries and Wages-Regular</v>
      </c>
      <c r="E1213" s="24" t="s">
        <v>162</v>
      </c>
      <c r="F1213" s="502">
        <v>326056</v>
      </c>
    </row>
    <row r="1214" spans="1:6" x14ac:dyDescent="0.25">
      <c r="A1214" s="308">
        <v>43281</v>
      </c>
      <c r="B1214" s="24" t="s">
        <v>484</v>
      </c>
      <c r="C1214" s="24" t="s">
        <v>505</v>
      </c>
      <c r="D1214" s="136" t="str">
        <f t="array" ref="D1214">IF(E1214=0,0,(INDEX(AccountCodes[ACCOUNT NAME],MATCH(E1214,AccountCodes[NGAS CODE],0))))</f>
        <v>Salaries and Wages-Regular</v>
      </c>
      <c r="E1214" s="24" t="s">
        <v>162</v>
      </c>
      <c r="F1214" s="502">
        <v>326056</v>
      </c>
    </row>
    <row r="1215" spans="1:6" x14ac:dyDescent="0.25">
      <c r="A1215" s="308">
        <v>43312</v>
      </c>
      <c r="B1215" s="24" t="s">
        <v>484</v>
      </c>
      <c r="C1215" s="24" t="s">
        <v>505</v>
      </c>
      <c r="D1215" s="136" t="str">
        <f t="array" ref="D1215">IF(E1215=0,0,(INDEX(AccountCodes[ACCOUNT NAME],MATCH(E1215,AccountCodes[NGAS CODE],0))))</f>
        <v>Salaries and Wages-Regular</v>
      </c>
      <c r="E1215" s="24" t="s">
        <v>162</v>
      </c>
      <c r="F1215" s="502">
        <v>326372</v>
      </c>
    </row>
    <row r="1216" spans="1:6" x14ac:dyDescent="0.25">
      <c r="A1216" s="308">
        <v>43343</v>
      </c>
      <c r="B1216" s="24" t="s">
        <v>484</v>
      </c>
      <c r="C1216" s="24" t="s">
        <v>505</v>
      </c>
      <c r="D1216" s="136" t="str">
        <f t="array" ref="D1216">IF(E1216=0,0,(INDEX(AccountCodes[ACCOUNT NAME],MATCH(E1216,AccountCodes[NGAS CODE],0))))</f>
        <v>Salaries and Wages-Regular</v>
      </c>
      <c r="E1216" s="24" t="s">
        <v>162</v>
      </c>
      <c r="F1216" s="502">
        <v>327252</v>
      </c>
    </row>
    <row r="1217" spans="1:6" x14ac:dyDescent="0.25">
      <c r="A1217" s="308">
        <v>43373</v>
      </c>
      <c r="B1217" s="24" t="s">
        <v>484</v>
      </c>
      <c r="C1217" s="24" t="s">
        <v>505</v>
      </c>
      <c r="D1217" s="136" t="str">
        <f t="array" ref="D1217">IF(E1217=0,0,(INDEX(AccountCodes[ACCOUNT NAME],MATCH(E1217,AccountCodes[NGAS CODE],0))))</f>
        <v>Salaries and Wages-Regular</v>
      </c>
      <c r="E1217" s="24" t="s">
        <v>162</v>
      </c>
      <c r="F1217" s="502">
        <v>327380</v>
      </c>
    </row>
    <row r="1218" spans="1:6" x14ac:dyDescent="0.25">
      <c r="A1218" s="308">
        <v>43404</v>
      </c>
      <c r="B1218" s="24" t="s">
        <v>484</v>
      </c>
      <c r="C1218" s="24" t="s">
        <v>505</v>
      </c>
      <c r="D1218" s="136" t="str">
        <f t="array" ref="D1218">IF(E1218=0,0,(INDEX(AccountCodes[ACCOUNT NAME],MATCH(E1218,AccountCodes[NGAS CODE],0))))</f>
        <v>Salaries and Wages-Regular</v>
      </c>
      <c r="E1218" s="24" t="s">
        <v>162</v>
      </c>
      <c r="F1218" s="502">
        <v>327380</v>
      </c>
    </row>
    <row r="1219" spans="1:6" x14ac:dyDescent="0.25">
      <c r="A1219" s="308">
        <v>43434</v>
      </c>
      <c r="B1219" s="24" t="s">
        <v>484</v>
      </c>
      <c r="C1219" s="24" t="s">
        <v>505</v>
      </c>
      <c r="D1219" s="136" t="str">
        <f t="array" ref="D1219">IF(E1219=0,0,(INDEX(AccountCodes[ACCOUNT NAME],MATCH(E1219,AccountCodes[NGAS CODE],0))))</f>
        <v>Salaries and Wages-Regular</v>
      </c>
      <c r="E1219" s="24" t="s">
        <v>162</v>
      </c>
      <c r="F1219" s="502">
        <v>327534</v>
      </c>
    </row>
    <row r="1220" spans="1:6" x14ac:dyDescent="0.25">
      <c r="A1220" s="308">
        <v>43465</v>
      </c>
      <c r="B1220" s="24" t="s">
        <v>484</v>
      </c>
      <c r="C1220" s="24" t="s">
        <v>505</v>
      </c>
      <c r="D1220" s="136" t="str">
        <f t="array" ref="D1220">IF(E1220=0,0,(INDEX(AccountCodes[ACCOUNT NAME],MATCH(E1220,AccountCodes[NGAS CODE],0))))</f>
        <v>Salaries and Wages-Regular</v>
      </c>
      <c r="E1220" s="24" t="s">
        <v>162</v>
      </c>
      <c r="F1220" s="502">
        <v>327699</v>
      </c>
    </row>
    <row r="1221" spans="1:6" x14ac:dyDescent="0.25">
      <c r="A1221" s="308">
        <v>43131</v>
      </c>
      <c r="B1221" s="24" t="s">
        <v>484</v>
      </c>
      <c r="C1221" s="24" t="s">
        <v>505</v>
      </c>
      <c r="D1221" s="136" t="str">
        <f t="array" ref="D1221">IF(E1221=0,0,(INDEX(AccountCodes[ACCOUNT NAME],MATCH(E1221,AccountCodes[NGAS CODE],0))))</f>
        <v>Salaries and Wages-Casual/Contractual</v>
      </c>
      <c r="E1221" s="24" t="s">
        <v>163</v>
      </c>
      <c r="F1221" s="502">
        <v>142798</v>
      </c>
    </row>
    <row r="1222" spans="1:6" x14ac:dyDescent="0.25">
      <c r="A1222" s="308">
        <v>43159</v>
      </c>
      <c r="B1222" s="24" t="s">
        <v>484</v>
      </c>
      <c r="C1222" s="24" t="s">
        <v>505</v>
      </c>
      <c r="D1222" s="136" t="str">
        <f t="array" ref="D1222">IF(E1222=0,0,(INDEX(AccountCodes[ACCOUNT NAME],MATCH(E1222,AccountCodes[NGAS CODE],0))))</f>
        <v>Salaries and Wages-Casual/Contractual</v>
      </c>
      <c r="E1222" s="24" t="s">
        <v>163</v>
      </c>
      <c r="F1222" s="502">
        <v>142798</v>
      </c>
    </row>
    <row r="1223" spans="1:6" x14ac:dyDescent="0.25">
      <c r="A1223" s="308">
        <v>43190</v>
      </c>
      <c r="B1223" s="24" t="s">
        <v>484</v>
      </c>
      <c r="C1223" s="24" t="s">
        <v>505</v>
      </c>
      <c r="D1223" s="136" t="str">
        <f t="array" ref="D1223">IF(E1223=0,0,(INDEX(AccountCodes[ACCOUNT NAME],MATCH(E1223,AccountCodes[NGAS CODE],0))))</f>
        <v>Salaries and Wages-Casual/Contractual</v>
      </c>
      <c r="E1223" s="24" t="s">
        <v>163</v>
      </c>
      <c r="F1223" s="502">
        <v>142798</v>
      </c>
    </row>
    <row r="1224" spans="1:6" x14ac:dyDescent="0.25">
      <c r="A1224" s="308">
        <v>43220</v>
      </c>
      <c r="B1224" s="24" t="s">
        <v>484</v>
      </c>
      <c r="C1224" s="24" t="s">
        <v>505</v>
      </c>
      <c r="D1224" s="136" t="str">
        <f t="array" ref="D1224">IF(E1224=0,0,(INDEX(AccountCodes[ACCOUNT NAME],MATCH(E1224,AccountCodes[NGAS CODE],0))))</f>
        <v>Salaries and Wages-Casual/Contractual</v>
      </c>
      <c r="E1224" s="24" t="s">
        <v>163</v>
      </c>
      <c r="F1224" s="502">
        <v>142798</v>
      </c>
    </row>
    <row r="1225" spans="1:6" x14ac:dyDescent="0.25">
      <c r="A1225" s="308">
        <v>43251</v>
      </c>
      <c r="B1225" s="24" t="s">
        <v>484</v>
      </c>
      <c r="C1225" s="24" t="s">
        <v>505</v>
      </c>
      <c r="D1225" s="136" t="str">
        <f t="array" ref="D1225">IF(E1225=0,0,(INDEX(AccountCodes[ACCOUNT NAME],MATCH(E1225,AccountCodes[NGAS CODE],0))))</f>
        <v>Salaries and Wages-Casual/Contractual</v>
      </c>
      <c r="E1225" s="24" t="s">
        <v>163</v>
      </c>
      <c r="F1225" s="502">
        <v>142798</v>
      </c>
    </row>
    <row r="1226" spans="1:6" x14ac:dyDescent="0.25">
      <c r="A1226" s="308">
        <v>43281</v>
      </c>
      <c r="B1226" s="24" t="s">
        <v>484</v>
      </c>
      <c r="C1226" s="24" t="s">
        <v>505</v>
      </c>
      <c r="D1226" s="136" t="str">
        <f t="array" ref="D1226">IF(E1226=0,0,(INDEX(AccountCodes[ACCOUNT NAME],MATCH(E1226,AccountCodes[NGAS CODE],0))))</f>
        <v>Salaries and Wages-Casual/Contractual</v>
      </c>
      <c r="E1226" s="24" t="s">
        <v>163</v>
      </c>
      <c r="F1226" s="502">
        <v>142798</v>
      </c>
    </row>
    <row r="1227" spans="1:6" x14ac:dyDescent="0.25">
      <c r="A1227" s="308">
        <v>43312</v>
      </c>
      <c r="B1227" s="24" t="s">
        <v>484</v>
      </c>
      <c r="C1227" s="24" t="s">
        <v>505</v>
      </c>
      <c r="D1227" s="136" t="str">
        <f t="array" ref="D1227">IF(E1227=0,0,(INDEX(AccountCodes[ACCOUNT NAME],MATCH(E1227,AccountCodes[NGAS CODE],0))))</f>
        <v>Salaries and Wages-Casual/Contractual</v>
      </c>
      <c r="E1227" s="24" t="s">
        <v>163</v>
      </c>
      <c r="F1227" s="502">
        <v>142798</v>
      </c>
    </row>
    <row r="1228" spans="1:6" x14ac:dyDescent="0.25">
      <c r="A1228" s="308">
        <v>43343</v>
      </c>
      <c r="B1228" s="24" t="s">
        <v>484</v>
      </c>
      <c r="C1228" s="24" t="s">
        <v>505</v>
      </c>
      <c r="D1228" s="136" t="str">
        <f t="array" ref="D1228">IF(E1228=0,0,(INDEX(AccountCodes[ACCOUNT NAME],MATCH(E1228,AccountCodes[NGAS CODE],0))))</f>
        <v>Salaries and Wages-Casual/Contractual</v>
      </c>
      <c r="E1228" s="24" t="s">
        <v>163</v>
      </c>
      <c r="F1228" s="502">
        <v>142798</v>
      </c>
    </row>
    <row r="1229" spans="1:6" x14ac:dyDescent="0.25">
      <c r="A1229" s="308">
        <v>43373</v>
      </c>
      <c r="B1229" s="24" t="s">
        <v>484</v>
      </c>
      <c r="C1229" s="24" t="s">
        <v>505</v>
      </c>
      <c r="D1229" s="136" t="str">
        <f t="array" ref="D1229">IF(E1229=0,0,(INDEX(AccountCodes[ACCOUNT NAME],MATCH(E1229,AccountCodes[NGAS CODE],0))))</f>
        <v>Salaries and Wages-Casual/Contractual</v>
      </c>
      <c r="E1229" s="24" t="s">
        <v>163</v>
      </c>
      <c r="F1229" s="502">
        <v>142798</v>
      </c>
    </row>
    <row r="1230" spans="1:6" x14ac:dyDescent="0.25">
      <c r="A1230" s="308">
        <v>43404</v>
      </c>
      <c r="B1230" s="24" t="s">
        <v>484</v>
      </c>
      <c r="C1230" s="24" t="s">
        <v>505</v>
      </c>
      <c r="D1230" s="136" t="str">
        <f t="array" ref="D1230">IF(E1230=0,0,(INDEX(AccountCodes[ACCOUNT NAME],MATCH(E1230,AccountCodes[NGAS CODE],0))))</f>
        <v>Salaries and Wages-Casual/Contractual</v>
      </c>
      <c r="E1230" s="24" t="s">
        <v>163</v>
      </c>
      <c r="F1230" s="502">
        <v>142798</v>
      </c>
    </row>
    <row r="1231" spans="1:6" x14ac:dyDescent="0.25">
      <c r="A1231" s="308">
        <v>43434</v>
      </c>
      <c r="B1231" s="24" t="s">
        <v>484</v>
      </c>
      <c r="C1231" s="24" t="s">
        <v>505</v>
      </c>
      <c r="D1231" s="136" t="str">
        <f t="array" ref="D1231">IF(E1231=0,0,(INDEX(AccountCodes[ACCOUNT NAME],MATCH(E1231,AccountCodes[NGAS CODE],0))))</f>
        <v>Salaries and Wages-Casual/Contractual</v>
      </c>
      <c r="E1231" s="24" t="s">
        <v>163</v>
      </c>
      <c r="F1231" s="502">
        <v>142798</v>
      </c>
    </row>
    <row r="1232" spans="1:6" x14ac:dyDescent="0.25">
      <c r="A1232" s="308">
        <v>43465</v>
      </c>
      <c r="B1232" s="24" t="s">
        <v>484</v>
      </c>
      <c r="C1232" s="24" t="s">
        <v>505</v>
      </c>
      <c r="D1232" s="136" t="str">
        <f t="array" ref="D1232">IF(E1232=0,0,(INDEX(AccountCodes[ACCOUNT NAME],MATCH(E1232,AccountCodes[NGAS CODE],0))))</f>
        <v>Salaries and Wages-Casual/Contractual</v>
      </c>
      <c r="E1232" s="24" t="s">
        <v>163</v>
      </c>
      <c r="F1232" s="502">
        <v>142798</v>
      </c>
    </row>
    <row r="1233" spans="1:6" x14ac:dyDescent="0.25">
      <c r="A1233" s="308">
        <v>43131</v>
      </c>
      <c r="B1233" s="24" t="s">
        <v>484</v>
      </c>
      <c r="C1233" s="24" t="s">
        <v>505</v>
      </c>
      <c r="D1233" s="136" t="str">
        <f t="array" ref="D1233">IF(E1233=0,0,(INDEX(AccountCodes[ACCOUNT NAME],MATCH(E1233,AccountCodes[NGAS CODE],0))))</f>
        <v>Personal Economic Relief Allowance (PERA)</v>
      </c>
      <c r="E1233" s="24" t="s">
        <v>164</v>
      </c>
      <c r="F1233" s="502">
        <v>42000</v>
      </c>
    </row>
    <row r="1234" spans="1:6" x14ac:dyDescent="0.25">
      <c r="A1234" s="308">
        <v>43159</v>
      </c>
      <c r="B1234" s="24" t="s">
        <v>484</v>
      </c>
      <c r="C1234" s="24" t="s">
        <v>505</v>
      </c>
      <c r="D1234" s="136" t="str">
        <f t="array" ref="D1234">IF(E1234=0,0,(INDEX(AccountCodes[ACCOUNT NAME],MATCH(E1234,AccountCodes[NGAS CODE],0))))</f>
        <v>Personal Economic Relief Allowance (PERA)</v>
      </c>
      <c r="E1234" s="24" t="s">
        <v>164</v>
      </c>
      <c r="F1234" s="502">
        <v>42000</v>
      </c>
    </row>
    <row r="1235" spans="1:6" x14ac:dyDescent="0.25">
      <c r="A1235" s="308">
        <v>43190</v>
      </c>
      <c r="B1235" s="24" t="s">
        <v>484</v>
      </c>
      <c r="C1235" s="24" t="s">
        <v>505</v>
      </c>
      <c r="D1235" s="136" t="str">
        <f t="array" ref="D1235">IF(E1235=0,0,(INDEX(AccountCodes[ACCOUNT NAME],MATCH(E1235,AccountCodes[NGAS CODE],0))))</f>
        <v>Personal Economic Relief Allowance (PERA)</v>
      </c>
      <c r="E1235" s="24" t="s">
        <v>164</v>
      </c>
      <c r="F1235" s="502">
        <v>42000</v>
      </c>
    </row>
    <row r="1236" spans="1:6" x14ac:dyDescent="0.25">
      <c r="A1236" s="308">
        <v>43220</v>
      </c>
      <c r="B1236" s="24" t="s">
        <v>484</v>
      </c>
      <c r="C1236" s="24" t="s">
        <v>505</v>
      </c>
      <c r="D1236" s="136" t="str">
        <f t="array" ref="D1236">IF(E1236=0,0,(INDEX(AccountCodes[ACCOUNT NAME],MATCH(E1236,AccountCodes[NGAS CODE],0))))</f>
        <v>Personal Economic Relief Allowance (PERA)</v>
      </c>
      <c r="E1236" s="24" t="s">
        <v>164</v>
      </c>
      <c r="F1236" s="502">
        <v>42000</v>
      </c>
    </row>
    <row r="1237" spans="1:6" x14ac:dyDescent="0.25">
      <c r="A1237" s="308">
        <v>43251</v>
      </c>
      <c r="B1237" s="24" t="s">
        <v>484</v>
      </c>
      <c r="C1237" s="24" t="s">
        <v>505</v>
      </c>
      <c r="D1237" s="136" t="str">
        <f t="array" ref="D1237">IF(E1237=0,0,(INDEX(AccountCodes[ACCOUNT NAME],MATCH(E1237,AccountCodes[NGAS CODE],0))))</f>
        <v>Personal Economic Relief Allowance (PERA)</v>
      </c>
      <c r="E1237" s="24" t="s">
        <v>164</v>
      </c>
      <c r="F1237" s="502">
        <v>42000</v>
      </c>
    </row>
    <row r="1238" spans="1:6" x14ac:dyDescent="0.25">
      <c r="A1238" s="308">
        <v>43281</v>
      </c>
      <c r="B1238" s="24" t="s">
        <v>484</v>
      </c>
      <c r="C1238" s="24" t="s">
        <v>505</v>
      </c>
      <c r="D1238" s="136" t="str">
        <f t="array" ref="D1238">IF(E1238=0,0,(INDEX(AccountCodes[ACCOUNT NAME],MATCH(E1238,AccountCodes[NGAS CODE],0))))</f>
        <v>Personal Economic Relief Allowance (PERA)</v>
      </c>
      <c r="E1238" s="24" t="s">
        <v>164</v>
      </c>
      <c r="F1238" s="502">
        <v>42000</v>
      </c>
    </row>
    <row r="1239" spans="1:6" x14ac:dyDescent="0.25">
      <c r="A1239" s="308">
        <v>43312</v>
      </c>
      <c r="B1239" s="24" t="s">
        <v>484</v>
      </c>
      <c r="C1239" s="24" t="s">
        <v>505</v>
      </c>
      <c r="D1239" s="136" t="str">
        <f t="array" ref="D1239">IF(E1239=0,0,(INDEX(AccountCodes[ACCOUNT NAME],MATCH(E1239,AccountCodes[NGAS CODE],0))))</f>
        <v>Personal Economic Relief Allowance (PERA)</v>
      </c>
      <c r="E1239" s="24" t="s">
        <v>164</v>
      </c>
      <c r="F1239" s="502">
        <v>42000</v>
      </c>
    </row>
    <row r="1240" spans="1:6" x14ac:dyDescent="0.25">
      <c r="A1240" s="308">
        <v>43343</v>
      </c>
      <c r="B1240" s="24" t="s">
        <v>484</v>
      </c>
      <c r="C1240" s="24" t="s">
        <v>505</v>
      </c>
      <c r="D1240" s="136" t="str">
        <f t="array" ref="D1240">IF(E1240=0,0,(INDEX(AccountCodes[ACCOUNT NAME],MATCH(E1240,AccountCodes[NGAS CODE],0))))</f>
        <v>Personal Economic Relief Allowance (PERA)</v>
      </c>
      <c r="E1240" s="24" t="s">
        <v>164</v>
      </c>
      <c r="F1240" s="502">
        <v>42000</v>
      </c>
    </row>
    <row r="1241" spans="1:6" x14ac:dyDescent="0.25">
      <c r="A1241" s="308">
        <v>43373</v>
      </c>
      <c r="B1241" s="24" t="s">
        <v>484</v>
      </c>
      <c r="C1241" s="24" t="s">
        <v>505</v>
      </c>
      <c r="D1241" s="136" t="str">
        <f t="array" ref="D1241">IF(E1241=0,0,(INDEX(AccountCodes[ACCOUNT NAME],MATCH(E1241,AccountCodes[NGAS CODE],0))))</f>
        <v>Personal Economic Relief Allowance (PERA)</v>
      </c>
      <c r="E1241" s="24" t="s">
        <v>164</v>
      </c>
      <c r="F1241" s="502">
        <v>42000</v>
      </c>
    </row>
    <row r="1242" spans="1:6" x14ac:dyDescent="0.25">
      <c r="A1242" s="308">
        <v>43404</v>
      </c>
      <c r="B1242" s="24" t="s">
        <v>484</v>
      </c>
      <c r="C1242" s="24" t="s">
        <v>505</v>
      </c>
      <c r="D1242" s="136" t="str">
        <f t="array" ref="D1242">IF(E1242=0,0,(INDEX(AccountCodes[ACCOUNT NAME],MATCH(E1242,AccountCodes[NGAS CODE],0))))</f>
        <v>Personal Economic Relief Allowance (PERA)</v>
      </c>
      <c r="E1242" s="24" t="s">
        <v>164</v>
      </c>
      <c r="F1242" s="502">
        <v>42000</v>
      </c>
    </row>
    <row r="1243" spans="1:6" x14ac:dyDescent="0.25">
      <c r="A1243" s="308">
        <v>43434</v>
      </c>
      <c r="B1243" s="24" t="s">
        <v>484</v>
      </c>
      <c r="C1243" s="24" t="s">
        <v>505</v>
      </c>
      <c r="D1243" s="136" t="str">
        <f t="array" ref="D1243">IF(E1243=0,0,(INDEX(AccountCodes[ACCOUNT NAME],MATCH(E1243,AccountCodes[NGAS CODE],0))))</f>
        <v>Personal Economic Relief Allowance (PERA)</v>
      </c>
      <c r="E1243" s="24" t="s">
        <v>164</v>
      </c>
      <c r="F1243" s="502">
        <v>42000</v>
      </c>
    </row>
    <row r="1244" spans="1:6" x14ac:dyDescent="0.25">
      <c r="A1244" s="308">
        <v>43465</v>
      </c>
      <c r="B1244" s="24" t="s">
        <v>484</v>
      </c>
      <c r="C1244" s="24" t="s">
        <v>505</v>
      </c>
      <c r="D1244" s="136" t="str">
        <f t="array" ref="D1244">IF(E1244=0,0,(INDEX(AccountCodes[ACCOUNT NAME],MATCH(E1244,AccountCodes[NGAS CODE],0))))</f>
        <v>Personal Economic Relief Allowance (PERA)</v>
      </c>
      <c r="E1244" s="24" t="s">
        <v>164</v>
      </c>
      <c r="F1244" s="502">
        <v>42000</v>
      </c>
    </row>
    <row r="1245" spans="1:6" x14ac:dyDescent="0.25">
      <c r="A1245" s="308">
        <v>43190</v>
      </c>
      <c r="B1245" s="24" t="s">
        <v>484</v>
      </c>
      <c r="C1245" s="24" t="s">
        <v>505</v>
      </c>
      <c r="D1245" s="136" t="str">
        <f t="array" ref="D1245">IF(E1245=0,0,(INDEX(AccountCodes[ACCOUNT NAME],MATCH(E1245,AccountCodes[NGAS CODE],0))))</f>
        <v>Clothing/Uniform Allowance</v>
      </c>
      <c r="E1245" s="24" t="s">
        <v>167</v>
      </c>
      <c r="F1245" s="502">
        <v>105000</v>
      </c>
    </row>
    <row r="1246" spans="1:6" x14ac:dyDescent="0.25">
      <c r="A1246" s="308">
        <v>43465</v>
      </c>
      <c r="B1246" s="24" t="s">
        <v>484</v>
      </c>
      <c r="C1246" s="24" t="s">
        <v>505</v>
      </c>
      <c r="D1246" s="136" t="str">
        <f t="array" ref="D1246">IF(E1246=0,0,(INDEX(AccountCodes[ACCOUNT NAME],MATCH(E1246,AccountCodes[NGAS CODE],0))))</f>
        <v>Other Bonuses and Allowances - Productivity Enhancement Incentive-Civilian</v>
      </c>
      <c r="E1246" s="309" t="s">
        <v>170</v>
      </c>
      <c r="F1246" s="502">
        <v>470497</v>
      </c>
    </row>
    <row r="1247" spans="1:6" x14ac:dyDescent="0.25">
      <c r="A1247" s="308">
        <v>43434</v>
      </c>
      <c r="B1247" s="24" t="s">
        <v>484</v>
      </c>
      <c r="C1247" s="24" t="s">
        <v>505</v>
      </c>
      <c r="D1247" s="136" t="str">
        <f t="array" ref="D1247">IF(E1247=0,0,(INDEX(AccountCodes[ACCOUNT NAME],MATCH(E1247,AccountCodes[NGAS CODE],0))))</f>
        <v>Cash Gift</v>
      </c>
      <c r="E1247" s="24" t="s">
        <v>172</v>
      </c>
      <c r="F1247" s="502">
        <v>105000</v>
      </c>
    </row>
    <row r="1248" spans="1:6" x14ac:dyDescent="0.25">
      <c r="A1248" s="308">
        <v>43251</v>
      </c>
      <c r="B1248" s="24" t="s">
        <v>484</v>
      </c>
      <c r="C1248" s="24" t="s">
        <v>505</v>
      </c>
      <c r="D1248" s="136" t="str">
        <f t="array" ref="D1248">IF(E1248=0,0,(INDEX(AccountCodes[ACCOUNT NAME],MATCH(E1248,AccountCodes[NGAS CODE],0))))</f>
        <v>Mid-Year/Year End Bonus</v>
      </c>
      <c r="E1248" s="24" t="s">
        <v>174</v>
      </c>
      <c r="F1248" s="502">
        <v>468854</v>
      </c>
    </row>
    <row r="1249" spans="1:6" x14ac:dyDescent="0.25">
      <c r="A1249" s="308">
        <v>43434</v>
      </c>
      <c r="B1249" s="24" t="s">
        <v>484</v>
      </c>
      <c r="C1249" s="24" t="s">
        <v>505</v>
      </c>
      <c r="D1249" s="136" t="str">
        <f t="array" ref="D1249">IF(E1249=0,0,(INDEX(AccountCodes[ACCOUNT NAME],MATCH(E1249,AccountCodes[NGAS CODE],0))))</f>
        <v>Mid-Year/Year End Bonus</v>
      </c>
      <c r="E1249" s="24" t="s">
        <v>174</v>
      </c>
      <c r="F1249" s="502">
        <v>470332</v>
      </c>
    </row>
    <row r="1250" spans="1:6" x14ac:dyDescent="0.25">
      <c r="A1250" s="308">
        <v>43281</v>
      </c>
      <c r="B1250" s="24" t="s">
        <v>484</v>
      </c>
      <c r="C1250" s="24" t="s">
        <v>505</v>
      </c>
      <c r="D1250" s="136" t="str">
        <f t="array" ref="D1250">IF(E1250=0,0,(INDEX(AccountCodes[ACCOUNT NAME],MATCH(E1250,AccountCodes[NGAS CODE],0))))</f>
        <v>Longevity Pay</v>
      </c>
      <c r="E1250" s="309" t="s">
        <v>216</v>
      </c>
      <c r="F1250" s="502">
        <v>20000</v>
      </c>
    </row>
    <row r="1251" spans="1:6" x14ac:dyDescent="0.25">
      <c r="A1251" s="308">
        <v>43131</v>
      </c>
      <c r="B1251" s="24" t="s">
        <v>484</v>
      </c>
      <c r="C1251" s="24" t="s">
        <v>505</v>
      </c>
      <c r="D1251" s="136" t="str">
        <f t="array" ref="D1251">IF(E1251=0,0,(INDEX(AccountCodes[ACCOUNT NAME],MATCH(E1251,AccountCodes[NGAS CODE],0))))</f>
        <v>Retirement and Life Insurance Premiums</v>
      </c>
      <c r="E1251" s="24" t="s">
        <v>175</v>
      </c>
      <c r="F1251" s="502">
        <v>56335.29</v>
      </c>
    </row>
    <row r="1252" spans="1:6" x14ac:dyDescent="0.25">
      <c r="A1252" s="308">
        <v>43159</v>
      </c>
      <c r="B1252" s="24" t="s">
        <v>484</v>
      </c>
      <c r="C1252" s="24" t="s">
        <v>505</v>
      </c>
      <c r="D1252" s="136" t="str">
        <f t="array" ref="D1252">IF(E1252=0,0,(INDEX(AccountCodes[ACCOUNT NAME],MATCH(E1252,AccountCodes[NGAS CODE],0))))</f>
        <v>Retirement and Life Insurance Premiums</v>
      </c>
      <c r="E1252" s="24" t="s">
        <v>175</v>
      </c>
      <c r="F1252" s="502">
        <v>56335.29</v>
      </c>
    </row>
    <row r="1253" spans="1:6" x14ac:dyDescent="0.25">
      <c r="A1253" s="308">
        <v>43190</v>
      </c>
      <c r="B1253" s="24" t="s">
        <v>484</v>
      </c>
      <c r="C1253" s="24" t="s">
        <v>505</v>
      </c>
      <c r="D1253" s="136" t="str">
        <f t="array" ref="D1253">IF(E1253=0,0,(INDEX(AccountCodes[ACCOUNT NAME],MATCH(E1253,AccountCodes[NGAS CODE],0))))</f>
        <v>Retirement and Life Insurance Premiums</v>
      </c>
      <c r="E1253" s="24" t="s">
        <v>175</v>
      </c>
      <c r="F1253" s="502">
        <v>56335.29</v>
      </c>
    </row>
    <row r="1254" spans="1:6" x14ac:dyDescent="0.25">
      <c r="A1254" s="308">
        <v>43220</v>
      </c>
      <c r="B1254" s="24" t="s">
        <v>484</v>
      </c>
      <c r="C1254" s="24" t="s">
        <v>505</v>
      </c>
      <c r="D1254" s="136" t="str">
        <f t="array" ref="D1254">IF(E1254=0,0,(INDEX(AccountCodes[ACCOUNT NAME],MATCH(E1254,AccountCodes[NGAS CODE],0))))</f>
        <v>Retirement and Life Insurance Premiums</v>
      </c>
      <c r="E1254" s="24" t="s">
        <v>175</v>
      </c>
      <c r="F1254" s="502">
        <v>56335.29</v>
      </c>
    </row>
    <row r="1255" spans="1:6" x14ac:dyDescent="0.25">
      <c r="A1255" s="308">
        <v>43251</v>
      </c>
      <c r="B1255" s="24" t="s">
        <v>484</v>
      </c>
      <c r="C1255" s="24" t="s">
        <v>505</v>
      </c>
      <c r="D1255" s="136" t="str">
        <f t="array" ref="D1255">IF(E1255=0,0,(INDEX(AccountCodes[ACCOUNT NAME],MATCH(E1255,AccountCodes[NGAS CODE],0))))</f>
        <v>Retirement and Life Insurance Premiums</v>
      </c>
      <c r="E1255" s="24" t="s">
        <v>175</v>
      </c>
      <c r="F1255" s="502">
        <v>56335.29</v>
      </c>
    </row>
    <row r="1256" spans="1:6" x14ac:dyDescent="0.25">
      <c r="A1256" s="308">
        <v>43281</v>
      </c>
      <c r="B1256" s="24" t="s">
        <v>484</v>
      </c>
      <c r="C1256" s="24" t="s">
        <v>505</v>
      </c>
      <c r="D1256" s="136" t="str">
        <f t="array" ref="D1256">IF(E1256=0,0,(INDEX(AccountCodes[ACCOUNT NAME],MATCH(E1256,AccountCodes[NGAS CODE],0))))</f>
        <v>Retirement and Life Insurance Premiums</v>
      </c>
      <c r="E1256" s="24" t="s">
        <v>175</v>
      </c>
      <c r="F1256" s="502">
        <v>56335.29</v>
      </c>
    </row>
    <row r="1257" spans="1:6" x14ac:dyDescent="0.25">
      <c r="A1257" s="308">
        <v>43312</v>
      </c>
      <c r="B1257" s="24" t="s">
        <v>484</v>
      </c>
      <c r="C1257" s="24" t="s">
        <v>505</v>
      </c>
      <c r="D1257" s="136" t="str">
        <f t="array" ref="D1257">IF(E1257=0,0,(INDEX(AccountCodes[ACCOUNT NAME],MATCH(E1257,AccountCodes[NGAS CODE],0))))</f>
        <v>Retirement and Life Insurance Premiums</v>
      </c>
      <c r="E1257" s="24" t="s">
        <v>175</v>
      </c>
      <c r="F1257" s="502">
        <v>56335.29</v>
      </c>
    </row>
    <row r="1258" spans="1:6" x14ac:dyDescent="0.25">
      <c r="A1258" s="308">
        <v>43343</v>
      </c>
      <c r="B1258" s="24" t="s">
        <v>484</v>
      </c>
      <c r="C1258" s="24" t="s">
        <v>505</v>
      </c>
      <c r="D1258" s="136" t="str">
        <f t="array" ref="D1258">IF(E1258=0,0,(INDEX(AccountCodes[ACCOUNT NAME],MATCH(E1258,AccountCodes[NGAS CODE],0))))</f>
        <v>Retirement and Life Insurance Premiums</v>
      </c>
      <c r="E1258" s="24" t="s">
        <v>175</v>
      </c>
      <c r="F1258" s="502">
        <v>56335.29</v>
      </c>
    </row>
    <row r="1259" spans="1:6" x14ac:dyDescent="0.25">
      <c r="A1259" s="308">
        <v>43373</v>
      </c>
      <c r="B1259" s="24" t="s">
        <v>484</v>
      </c>
      <c r="C1259" s="24" t="s">
        <v>505</v>
      </c>
      <c r="D1259" s="136" t="str">
        <f t="array" ref="D1259">IF(E1259=0,0,(INDEX(AccountCodes[ACCOUNT NAME],MATCH(E1259,AccountCodes[NGAS CODE],0))))</f>
        <v>Retirement and Life Insurance Premiums</v>
      </c>
      <c r="E1259" s="24" t="s">
        <v>175</v>
      </c>
      <c r="F1259" s="502">
        <v>56335.29</v>
      </c>
    </row>
    <row r="1260" spans="1:6" x14ac:dyDescent="0.25">
      <c r="A1260" s="308">
        <v>43404</v>
      </c>
      <c r="B1260" s="24" t="s">
        <v>484</v>
      </c>
      <c r="C1260" s="24" t="s">
        <v>505</v>
      </c>
      <c r="D1260" s="136" t="str">
        <f t="array" ref="D1260">IF(E1260=0,0,(INDEX(AccountCodes[ACCOUNT NAME],MATCH(E1260,AccountCodes[NGAS CODE],0))))</f>
        <v>Retirement and Life Insurance Premiums</v>
      </c>
      <c r="E1260" s="24" t="s">
        <v>175</v>
      </c>
      <c r="F1260" s="502">
        <v>56335.29</v>
      </c>
    </row>
    <row r="1261" spans="1:6" x14ac:dyDescent="0.25">
      <c r="A1261" s="308">
        <v>43434</v>
      </c>
      <c r="B1261" s="24" t="s">
        <v>484</v>
      </c>
      <c r="C1261" s="24" t="s">
        <v>505</v>
      </c>
      <c r="D1261" s="136" t="str">
        <f t="array" ref="D1261">IF(E1261=0,0,(INDEX(AccountCodes[ACCOUNT NAME],MATCH(E1261,AccountCodes[NGAS CODE],0))))</f>
        <v>Retirement and Life Insurance Premiums</v>
      </c>
      <c r="E1261" s="24" t="s">
        <v>175</v>
      </c>
      <c r="F1261" s="502">
        <v>56335.29</v>
      </c>
    </row>
    <row r="1262" spans="1:6" x14ac:dyDescent="0.25">
      <c r="A1262" s="308">
        <v>43465</v>
      </c>
      <c r="B1262" s="24" t="s">
        <v>484</v>
      </c>
      <c r="C1262" s="24" t="s">
        <v>505</v>
      </c>
      <c r="D1262" s="136" t="str">
        <f t="array" ref="D1262">IF(E1262=0,0,(INDEX(AccountCodes[ACCOUNT NAME],MATCH(E1262,AccountCodes[NGAS CODE],0))))</f>
        <v>Retirement and Life Insurance Premiums</v>
      </c>
      <c r="E1262" s="24" t="s">
        <v>175</v>
      </c>
      <c r="F1262" s="502">
        <v>56335.29</v>
      </c>
    </row>
    <row r="1263" spans="1:6" x14ac:dyDescent="0.25">
      <c r="A1263" s="308">
        <v>43131</v>
      </c>
      <c r="B1263" s="24" t="s">
        <v>484</v>
      </c>
      <c r="C1263" s="24" t="s">
        <v>505</v>
      </c>
      <c r="D1263" s="136" t="str">
        <f t="array" ref="D1263">IF(E1263=0,0,(INDEX(AccountCodes[ACCOUNT NAME],MATCH(E1263,AccountCodes[NGAS CODE],0))))</f>
        <v>Pag-IBIG Contributions</v>
      </c>
      <c r="E1263" s="24" t="s">
        <v>176</v>
      </c>
      <c r="F1263" s="502">
        <v>2100</v>
      </c>
    </row>
    <row r="1264" spans="1:6" x14ac:dyDescent="0.25">
      <c r="A1264" s="308">
        <v>43159</v>
      </c>
      <c r="B1264" s="24" t="s">
        <v>484</v>
      </c>
      <c r="C1264" s="24" t="s">
        <v>505</v>
      </c>
      <c r="D1264" s="136" t="str">
        <f t="array" ref="D1264">IF(E1264=0,0,(INDEX(AccountCodes[ACCOUNT NAME],MATCH(E1264,AccountCodes[NGAS CODE],0))))</f>
        <v>Pag-IBIG Contributions</v>
      </c>
      <c r="E1264" s="24" t="s">
        <v>176</v>
      </c>
      <c r="F1264" s="502">
        <v>2100</v>
      </c>
    </row>
    <row r="1265" spans="1:6" x14ac:dyDescent="0.25">
      <c r="A1265" s="308">
        <v>43190</v>
      </c>
      <c r="B1265" s="24" t="s">
        <v>484</v>
      </c>
      <c r="C1265" s="24" t="s">
        <v>505</v>
      </c>
      <c r="D1265" s="136" t="str">
        <f t="array" ref="D1265">IF(E1265=0,0,(INDEX(AccountCodes[ACCOUNT NAME],MATCH(E1265,AccountCodes[NGAS CODE],0))))</f>
        <v>Pag-IBIG Contributions</v>
      </c>
      <c r="E1265" s="24" t="s">
        <v>176</v>
      </c>
      <c r="F1265" s="502">
        <v>2100</v>
      </c>
    </row>
    <row r="1266" spans="1:6" x14ac:dyDescent="0.25">
      <c r="A1266" s="308">
        <v>43220</v>
      </c>
      <c r="B1266" s="24" t="s">
        <v>484</v>
      </c>
      <c r="C1266" s="24" t="s">
        <v>505</v>
      </c>
      <c r="D1266" s="136" t="str">
        <f t="array" ref="D1266">IF(E1266=0,0,(INDEX(AccountCodes[ACCOUNT NAME],MATCH(E1266,AccountCodes[NGAS CODE],0))))</f>
        <v>Pag-IBIG Contributions</v>
      </c>
      <c r="E1266" s="24" t="s">
        <v>176</v>
      </c>
      <c r="F1266" s="502">
        <v>2100</v>
      </c>
    </row>
    <row r="1267" spans="1:6" x14ac:dyDescent="0.25">
      <c r="A1267" s="308">
        <v>43251</v>
      </c>
      <c r="B1267" s="24" t="s">
        <v>484</v>
      </c>
      <c r="C1267" s="24" t="s">
        <v>505</v>
      </c>
      <c r="D1267" s="136" t="str">
        <f t="array" ref="D1267">IF(E1267=0,0,(INDEX(AccountCodes[ACCOUNT NAME],MATCH(E1267,AccountCodes[NGAS CODE],0))))</f>
        <v>Pag-IBIG Contributions</v>
      </c>
      <c r="E1267" s="24" t="s">
        <v>176</v>
      </c>
      <c r="F1267" s="502">
        <v>2100</v>
      </c>
    </row>
    <row r="1268" spans="1:6" x14ac:dyDescent="0.25">
      <c r="A1268" s="308">
        <v>43281</v>
      </c>
      <c r="B1268" s="24" t="s">
        <v>484</v>
      </c>
      <c r="C1268" s="24" t="s">
        <v>505</v>
      </c>
      <c r="D1268" s="136" t="str">
        <f t="array" ref="D1268">IF(E1268=0,0,(INDEX(AccountCodes[ACCOUNT NAME],MATCH(E1268,AccountCodes[NGAS CODE],0))))</f>
        <v>Pag-IBIG Contributions</v>
      </c>
      <c r="E1268" s="24" t="s">
        <v>176</v>
      </c>
      <c r="F1268" s="502">
        <v>2100</v>
      </c>
    </row>
    <row r="1269" spans="1:6" x14ac:dyDescent="0.25">
      <c r="A1269" s="308">
        <v>43312</v>
      </c>
      <c r="B1269" s="24" t="s">
        <v>484</v>
      </c>
      <c r="C1269" s="24" t="s">
        <v>505</v>
      </c>
      <c r="D1269" s="136" t="str">
        <f t="array" ref="D1269">IF(E1269=0,0,(INDEX(AccountCodes[ACCOUNT NAME],MATCH(E1269,AccountCodes[NGAS CODE],0))))</f>
        <v>Pag-IBIG Contributions</v>
      </c>
      <c r="E1269" s="24" t="s">
        <v>176</v>
      </c>
      <c r="F1269" s="502">
        <v>2100</v>
      </c>
    </row>
    <row r="1270" spans="1:6" x14ac:dyDescent="0.25">
      <c r="A1270" s="308">
        <v>43343</v>
      </c>
      <c r="B1270" s="24" t="s">
        <v>484</v>
      </c>
      <c r="C1270" s="24" t="s">
        <v>505</v>
      </c>
      <c r="D1270" s="136" t="str">
        <f t="array" ref="D1270">IF(E1270=0,0,(INDEX(AccountCodes[ACCOUNT NAME],MATCH(E1270,AccountCodes[NGAS CODE],0))))</f>
        <v>Pag-IBIG Contributions</v>
      </c>
      <c r="E1270" s="24" t="s">
        <v>176</v>
      </c>
      <c r="F1270" s="502">
        <v>2100</v>
      </c>
    </row>
    <row r="1271" spans="1:6" x14ac:dyDescent="0.25">
      <c r="A1271" s="308">
        <v>43373</v>
      </c>
      <c r="B1271" s="24" t="s">
        <v>484</v>
      </c>
      <c r="C1271" s="24" t="s">
        <v>505</v>
      </c>
      <c r="D1271" s="136" t="str">
        <f t="array" ref="D1271">IF(E1271=0,0,(INDEX(AccountCodes[ACCOUNT NAME],MATCH(E1271,AccountCodes[NGAS CODE],0))))</f>
        <v>Pag-IBIG Contributions</v>
      </c>
      <c r="E1271" s="24" t="s">
        <v>176</v>
      </c>
      <c r="F1271" s="502">
        <v>2100</v>
      </c>
    </row>
    <row r="1272" spans="1:6" x14ac:dyDescent="0.25">
      <c r="A1272" s="308">
        <v>43404</v>
      </c>
      <c r="B1272" s="24" t="s">
        <v>484</v>
      </c>
      <c r="C1272" s="24" t="s">
        <v>505</v>
      </c>
      <c r="D1272" s="136" t="str">
        <f t="array" ref="D1272">IF(E1272=0,0,(INDEX(AccountCodes[ACCOUNT NAME],MATCH(E1272,AccountCodes[NGAS CODE],0))))</f>
        <v>Pag-IBIG Contributions</v>
      </c>
      <c r="E1272" s="24" t="s">
        <v>176</v>
      </c>
      <c r="F1272" s="502">
        <v>2100</v>
      </c>
    </row>
    <row r="1273" spans="1:6" x14ac:dyDescent="0.25">
      <c r="A1273" s="308">
        <v>43434</v>
      </c>
      <c r="B1273" s="24" t="s">
        <v>484</v>
      </c>
      <c r="C1273" s="24" t="s">
        <v>505</v>
      </c>
      <c r="D1273" s="136" t="str">
        <f t="array" ref="D1273">IF(E1273=0,0,(INDEX(AccountCodes[ACCOUNT NAME],MATCH(E1273,AccountCodes[NGAS CODE],0))))</f>
        <v>Pag-IBIG Contributions</v>
      </c>
      <c r="E1273" s="24" t="s">
        <v>176</v>
      </c>
      <c r="F1273" s="502">
        <v>2100</v>
      </c>
    </row>
    <row r="1274" spans="1:6" x14ac:dyDescent="0.25">
      <c r="A1274" s="308">
        <v>43465</v>
      </c>
      <c r="B1274" s="24" t="s">
        <v>484</v>
      </c>
      <c r="C1274" s="24" t="s">
        <v>505</v>
      </c>
      <c r="D1274" s="136" t="str">
        <f t="array" ref="D1274">IF(E1274=0,0,(INDEX(AccountCodes[ACCOUNT NAME],MATCH(E1274,AccountCodes[NGAS CODE],0))))</f>
        <v>Pag-IBIG Contributions</v>
      </c>
      <c r="E1274" s="24" t="s">
        <v>176</v>
      </c>
      <c r="F1274" s="502">
        <v>2100</v>
      </c>
    </row>
    <row r="1275" spans="1:6" x14ac:dyDescent="0.25">
      <c r="A1275" s="308">
        <v>43131</v>
      </c>
      <c r="B1275" s="24" t="s">
        <v>484</v>
      </c>
      <c r="C1275" s="24" t="s">
        <v>505</v>
      </c>
      <c r="D1275" s="136" t="str">
        <f t="array" ref="D1275">IF(E1275=0,0,(INDEX(AccountCodes[ACCOUNT NAME],MATCH(E1275,AccountCodes[NGAS CODE],0))))</f>
        <v>PhilHealth Contributions</v>
      </c>
      <c r="E1275" s="24" t="s">
        <v>177</v>
      </c>
      <c r="F1275" s="502">
        <v>3162.5</v>
      </c>
    </row>
    <row r="1276" spans="1:6" x14ac:dyDescent="0.25">
      <c r="A1276" s="308">
        <v>43159</v>
      </c>
      <c r="B1276" s="24" t="s">
        <v>484</v>
      </c>
      <c r="C1276" s="24" t="s">
        <v>505</v>
      </c>
      <c r="D1276" s="136" t="str">
        <f t="array" ref="D1276">IF(E1276=0,0,(INDEX(AccountCodes[ACCOUNT NAME],MATCH(E1276,AccountCodes[NGAS CODE],0))))</f>
        <v>PhilHealth Contributions</v>
      </c>
      <c r="E1276" s="24" t="s">
        <v>177</v>
      </c>
      <c r="F1276" s="502">
        <v>3162.5</v>
      </c>
    </row>
    <row r="1277" spans="1:6" x14ac:dyDescent="0.25">
      <c r="A1277" s="308">
        <v>43190</v>
      </c>
      <c r="B1277" s="24" t="s">
        <v>484</v>
      </c>
      <c r="C1277" s="24" t="s">
        <v>505</v>
      </c>
      <c r="D1277" s="136" t="str">
        <f t="array" ref="D1277">IF(E1277=0,0,(INDEX(AccountCodes[ACCOUNT NAME],MATCH(E1277,AccountCodes[NGAS CODE],0))))</f>
        <v>PhilHealth Contributions</v>
      </c>
      <c r="E1277" s="24" t="s">
        <v>177</v>
      </c>
      <c r="F1277" s="502">
        <v>3162.5</v>
      </c>
    </row>
    <row r="1278" spans="1:6" x14ac:dyDescent="0.25">
      <c r="A1278" s="308">
        <v>43220</v>
      </c>
      <c r="B1278" s="24" t="s">
        <v>484</v>
      </c>
      <c r="C1278" s="24" t="s">
        <v>505</v>
      </c>
      <c r="D1278" s="136" t="str">
        <f t="array" ref="D1278">IF(E1278=0,0,(INDEX(AccountCodes[ACCOUNT NAME],MATCH(E1278,AccountCodes[NGAS CODE],0))))</f>
        <v>PhilHealth Contributions</v>
      </c>
      <c r="E1278" s="24" t="s">
        <v>177</v>
      </c>
      <c r="F1278" s="502">
        <v>3162.5</v>
      </c>
    </row>
    <row r="1279" spans="1:6" x14ac:dyDescent="0.25">
      <c r="A1279" s="308">
        <v>43251</v>
      </c>
      <c r="B1279" s="24" t="s">
        <v>484</v>
      </c>
      <c r="C1279" s="24" t="s">
        <v>505</v>
      </c>
      <c r="D1279" s="136" t="str">
        <f t="array" ref="D1279">IF(E1279=0,0,(INDEX(AccountCodes[ACCOUNT NAME],MATCH(E1279,AccountCodes[NGAS CODE],0))))</f>
        <v>PhilHealth Contributions</v>
      </c>
      <c r="E1279" s="24" t="s">
        <v>177</v>
      </c>
      <c r="F1279" s="502">
        <v>3162.5</v>
      </c>
    </row>
    <row r="1280" spans="1:6" x14ac:dyDescent="0.25">
      <c r="A1280" s="308">
        <v>43281</v>
      </c>
      <c r="B1280" s="24" t="s">
        <v>484</v>
      </c>
      <c r="C1280" s="24" t="s">
        <v>505</v>
      </c>
      <c r="D1280" s="136" t="str">
        <f t="array" ref="D1280">IF(E1280=0,0,(INDEX(AccountCodes[ACCOUNT NAME],MATCH(E1280,AccountCodes[NGAS CODE],0))))</f>
        <v>PhilHealth Contributions</v>
      </c>
      <c r="E1280" s="24" t="s">
        <v>177</v>
      </c>
      <c r="F1280" s="502">
        <v>3162.5</v>
      </c>
    </row>
    <row r="1281" spans="1:6" x14ac:dyDescent="0.25">
      <c r="A1281" s="308">
        <v>43312</v>
      </c>
      <c r="B1281" s="24" t="s">
        <v>484</v>
      </c>
      <c r="C1281" s="24" t="s">
        <v>505</v>
      </c>
      <c r="D1281" s="136" t="str">
        <f t="array" ref="D1281">IF(E1281=0,0,(INDEX(AccountCodes[ACCOUNT NAME],MATCH(E1281,AccountCodes[NGAS CODE],0))))</f>
        <v>PhilHealth Contributions</v>
      </c>
      <c r="E1281" s="24" t="s">
        <v>177</v>
      </c>
      <c r="F1281" s="502">
        <v>3162.5</v>
      </c>
    </row>
    <row r="1282" spans="1:6" x14ac:dyDescent="0.25">
      <c r="A1282" s="308">
        <v>43343</v>
      </c>
      <c r="B1282" s="24" t="s">
        <v>484</v>
      </c>
      <c r="C1282" s="24" t="s">
        <v>505</v>
      </c>
      <c r="D1282" s="136" t="str">
        <f t="array" ref="D1282">IF(E1282=0,0,(INDEX(AccountCodes[ACCOUNT NAME],MATCH(E1282,AccountCodes[NGAS CODE],0))))</f>
        <v>PhilHealth Contributions</v>
      </c>
      <c r="E1282" s="24" t="s">
        <v>177</v>
      </c>
      <c r="F1282" s="502">
        <v>3162.5</v>
      </c>
    </row>
    <row r="1283" spans="1:6" x14ac:dyDescent="0.25">
      <c r="A1283" s="308">
        <v>43373</v>
      </c>
      <c r="B1283" s="24" t="s">
        <v>484</v>
      </c>
      <c r="C1283" s="24" t="s">
        <v>505</v>
      </c>
      <c r="D1283" s="136" t="str">
        <f t="array" ref="D1283">IF(E1283=0,0,(INDEX(AccountCodes[ACCOUNT NAME],MATCH(E1283,AccountCodes[NGAS CODE],0))))</f>
        <v>PhilHealth Contributions</v>
      </c>
      <c r="E1283" s="24" t="s">
        <v>177</v>
      </c>
      <c r="F1283" s="502">
        <v>3162.5</v>
      </c>
    </row>
    <row r="1284" spans="1:6" x14ac:dyDescent="0.25">
      <c r="A1284" s="308">
        <v>43404</v>
      </c>
      <c r="B1284" s="24" t="s">
        <v>484</v>
      </c>
      <c r="C1284" s="24" t="s">
        <v>505</v>
      </c>
      <c r="D1284" s="136" t="str">
        <f t="array" ref="D1284">IF(E1284=0,0,(INDEX(AccountCodes[ACCOUNT NAME],MATCH(E1284,AccountCodes[NGAS CODE],0))))</f>
        <v>PhilHealth Contributions</v>
      </c>
      <c r="E1284" s="24" t="s">
        <v>177</v>
      </c>
      <c r="F1284" s="502">
        <v>3162.5</v>
      </c>
    </row>
    <row r="1285" spans="1:6" x14ac:dyDescent="0.25">
      <c r="A1285" s="308">
        <v>43434</v>
      </c>
      <c r="B1285" s="24" t="s">
        <v>484</v>
      </c>
      <c r="C1285" s="24" t="s">
        <v>505</v>
      </c>
      <c r="D1285" s="136" t="str">
        <f t="array" ref="D1285">IF(E1285=0,0,(INDEX(AccountCodes[ACCOUNT NAME],MATCH(E1285,AccountCodes[NGAS CODE],0))))</f>
        <v>PhilHealth Contributions</v>
      </c>
      <c r="E1285" s="24" t="s">
        <v>177</v>
      </c>
      <c r="F1285" s="502">
        <v>3162.5</v>
      </c>
    </row>
    <row r="1286" spans="1:6" x14ac:dyDescent="0.25">
      <c r="A1286" s="308">
        <v>43465</v>
      </c>
      <c r="B1286" s="24" t="s">
        <v>484</v>
      </c>
      <c r="C1286" s="24" t="s">
        <v>505</v>
      </c>
      <c r="D1286" s="136" t="str">
        <f t="array" ref="D1286">IF(E1286=0,0,(INDEX(AccountCodes[ACCOUNT NAME],MATCH(E1286,AccountCodes[NGAS CODE],0))))</f>
        <v>PhilHealth Contributions</v>
      </c>
      <c r="E1286" s="24" t="s">
        <v>177</v>
      </c>
      <c r="F1286" s="502">
        <v>3162.5</v>
      </c>
    </row>
    <row r="1287" spans="1:6" x14ac:dyDescent="0.25">
      <c r="A1287" s="308">
        <v>43131</v>
      </c>
      <c r="B1287" s="24" t="s">
        <v>484</v>
      </c>
      <c r="C1287" s="24" t="s">
        <v>505</v>
      </c>
      <c r="D1287" s="136" t="str">
        <f t="array" ref="D1287">IF(E1287=0,0,(INDEX(AccountCodes[ACCOUNT NAME],MATCH(E1287,AccountCodes[NGAS CODE],0))))</f>
        <v>Employees Compensation Insurance Premiums</v>
      </c>
      <c r="E1287" s="24" t="s">
        <v>178</v>
      </c>
      <c r="F1287" s="502">
        <v>2100</v>
      </c>
    </row>
    <row r="1288" spans="1:6" x14ac:dyDescent="0.25">
      <c r="A1288" s="308">
        <v>43159</v>
      </c>
      <c r="B1288" s="24" t="s">
        <v>484</v>
      </c>
      <c r="C1288" s="24" t="s">
        <v>505</v>
      </c>
      <c r="D1288" s="136" t="str">
        <f t="array" ref="D1288">IF(E1288=0,0,(INDEX(AccountCodes[ACCOUNT NAME],MATCH(E1288,AccountCodes[NGAS CODE],0))))</f>
        <v>Employees Compensation Insurance Premiums</v>
      </c>
      <c r="E1288" s="24" t="s">
        <v>178</v>
      </c>
      <c r="F1288" s="502">
        <v>2100</v>
      </c>
    </row>
    <row r="1289" spans="1:6" x14ac:dyDescent="0.25">
      <c r="A1289" s="308">
        <v>43190</v>
      </c>
      <c r="B1289" s="24" t="s">
        <v>484</v>
      </c>
      <c r="C1289" s="24" t="s">
        <v>505</v>
      </c>
      <c r="D1289" s="136" t="str">
        <f t="array" ref="D1289">IF(E1289=0,0,(INDEX(AccountCodes[ACCOUNT NAME],MATCH(E1289,AccountCodes[NGAS CODE],0))))</f>
        <v>Employees Compensation Insurance Premiums</v>
      </c>
      <c r="E1289" s="24" t="s">
        <v>178</v>
      </c>
      <c r="F1289" s="502">
        <v>2100</v>
      </c>
    </row>
    <row r="1290" spans="1:6" x14ac:dyDescent="0.25">
      <c r="A1290" s="308">
        <v>43220</v>
      </c>
      <c r="B1290" s="24" t="s">
        <v>484</v>
      </c>
      <c r="C1290" s="24" t="s">
        <v>505</v>
      </c>
      <c r="D1290" s="136" t="str">
        <f t="array" ref="D1290">IF(E1290=0,0,(INDEX(AccountCodes[ACCOUNT NAME],MATCH(E1290,AccountCodes[NGAS CODE],0))))</f>
        <v>Employees Compensation Insurance Premiums</v>
      </c>
      <c r="E1290" s="24" t="s">
        <v>178</v>
      </c>
      <c r="F1290" s="502">
        <v>2100</v>
      </c>
    </row>
    <row r="1291" spans="1:6" x14ac:dyDescent="0.25">
      <c r="A1291" s="308">
        <v>43251</v>
      </c>
      <c r="B1291" s="24" t="s">
        <v>484</v>
      </c>
      <c r="C1291" s="24" t="s">
        <v>505</v>
      </c>
      <c r="D1291" s="136" t="str">
        <f t="array" ref="D1291">IF(E1291=0,0,(INDEX(AccountCodes[ACCOUNT NAME],MATCH(E1291,AccountCodes[NGAS CODE],0))))</f>
        <v>Employees Compensation Insurance Premiums</v>
      </c>
      <c r="E1291" s="24" t="s">
        <v>178</v>
      </c>
      <c r="F1291" s="502">
        <v>2100</v>
      </c>
    </row>
    <row r="1292" spans="1:6" x14ac:dyDescent="0.25">
      <c r="A1292" s="308">
        <v>43281</v>
      </c>
      <c r="B1292" s="24" t="s">
        <v>484</v>
      </c>
      <c r="C1292" s="24" t="s">
        <v>505</v>
      </c>
      <c r="D1292" s="136" t="str">
        <f t="array" ref="D1292">IF(E1292=0,0,(INDEX(AccountCodes[ACCOUNT NAME],MATCH(E1292,AccountCodes[NGAS CODE],0))))</f>
        <v>Employees Compensation Insurance Premiums</v>
      </c>
      <c r="E1292" s="24" t="s">
        <v>178</v>
      </c>
      <c r="F1292" s="502">
        <v>2100</v>
      </c>
    </row>
    <row r="1293" spans="1:6" x14ac:dyDescent="0.25">
      <c r="A1293" s="308">
        <v>43312</v>
      </c>
      <c r="B1293" s="24" t="s">
        <v>484</v>
      </c>
      <c r="C1293" s="24" t="s">
        <v>505</v>
      </c>
      <c r="D1293" s="136" t="str">
        <f t="array" ref="D1293">IF(E1293=0,0,(INDEX(AccountCodes[ACCOUNT NAME],MATCH(E1293,AccountCodes[NGAS CODE],0))))</f>
        <v>Employees Compensation Insurance Premiums</v>
      </c>
      <c r="E1293" s="24" t="s">
        <v>178</v>
      </c>
      <c r="F1293" s="502">
        <v>2100</v>
      </c>
    </row>
    <row r="1294" spans="1:6" x14ac:dyDescent="0.25">
      <c r="A1294" s="308">
        <v>43343</v>
      </c>
      <c r="B1294" s="24" t="s">
        <v>484</v>
      </c>
      <c r="C1294" s="24" t="s">
        <v>505</v>
      </c>
      <c r="D1294" s="136" t="str">
        <f t="array" ref="D1294">IF(E1294=0,0,(INDEX(AccountCodes[ACCOUNT NAME],MATCH(E1294,AccountCodes[NGAS CODE],0))))</f>
        <v>Employees Compensation Insurance Premiums</v>
      </c>
      <c r="E1294" s="24" t="s">
        <v>178</v>
      </c>
      <c r="F1294" s="502">
        <v>2100</v>
      </c>
    </row>
    <row r="1295" spans="1:6" x14ac:dyDescent="0.25">
      <c r="A1295" s="308">
        <v>43373</v>
      </c>
      <c r="B1295" s="24" t="s">
        <v>484</v>
      </c>
      <c r="C1295" s="24" t="s">
        <v>505</v>
      </c>
      <c r="D1295" s="136" t="str">
        <f t="array" ref="D1295">IF(E1295=0,0,(INDEX(AccountCodes[ACCOUNT NAME],MATCH(E1295,AccountCodes[NGAS CODE],0))))</f>
        <v>Employees Compensation Insurance Premiums</v>
      </c>
      <c r="E1295" s="24" t="s">
        <v>178</v>
      </c>
      <c r="F1295" s="502">
        <v>2100</v>
      </c>
    </row>
    <row r="1296" spans="1:6" x14ac:dyDescent="0.25">
      <c r="A1296" s="308">
        <v>43404</v>
      </c>
      <c r="B1296" s="24" t="s">
        <v>484</v>
      </c>
      <c r="C1296" s="24" t="s">
        <v>505</v>
      </c>
      <c r="D1296" s="136" t="str">
        <f t="array" ref="D1296">IF(E1296=0,0,(INDEX(AccountCodes[ACCOUNT NAME],MATCH(E1296,AccountCodes[NGAS CODE],0))))</f>
        <v>Employees Compensation Insurance Premiums</v>
      </c>
      <c r="E1296" s="24" t="s">
        <v>178</v>
      </c>
      <c r="F1296" s="502">
        <v>2100</v>
      </c>
    </row>
    <row r="1297" spans="1:6" x14ac:dyDescent="0.25">
      <c r="A1297" s="308">
        <v>43434</v>
      </c>
      <c r="B1297" s="24" t="s">
        <v>484</v>
      </c>
      <c r="C1297" s="24" t="s">
        <v>505</v>
      </c>
      <c r="D1297" s="136" t="str">
        <f t="array" ref="D1297">IF(E1297=0,0,(INDEX(AccountCodes[ACCOUNT NAME],MATCH(E1297,AccountCodes[NGAS CODE],0))))</f>
        <v>Employees Compensation Insurance Premiums</v>
      </c>
      <c r="E1297" s="24" t="s">
        <v>178</v>
      </c>
      <c r="F1297" s="502">
        <v>2100</v>
      </c>
    </row>
    <row r="1298" spans="1:6" x14ac:dyDescent="0.25">
      <c r="A1298" s="308">
        <v>43465</v>
      </c>
      <c r="B1298" s="24" t="s">
        <v>484</v>
      </c>
      <c r="C1298" s="24" t="s">
        <v>505</v>
      </c>
      <c r="D1298" s="136" t="str">
        <f t="array" ref="D1298">IF(E1298=0,0,(INDEX(AccountCodes[ACCOUNT NAME],MATCH(E1298,AccountCodes[NGAS CODE],0))))</f>
        <v>Employees Compensation Insurance Premiums</v>
      </c>
      <c r="E1298" s="24" t="s">
        <v>178</v>
      </c>
      <c r="F1298" s="502">
        <v>2100</v>
      </c>
    </row>
    <row r="1299" spans="1:6" x14ac:dyDescent="0.25">
      <c r="A1299" s="308"/>
      <c r="D1299" s="136">
        <f t="array" ref="D1299">IF(E1299=0,0,(INDEX(AccountCodes[ACCOUNT NAME],MATCH(E1299,AccountCodes[NGAS CODE],0))))</f>
        <v>0</v>
      </c>
      <c r="E1299" s="309"/>
      <c r="F1299" s="502"/>
    </row>
    <row r="1300" spans="1:6" x14ac:dyDescent="0.25">
      <c r="A1300" s="308">
        <v>43159</v>
      </c>
      <c r="B1300" s="309" t="s">
        <v>485</v>
      </c>
      <c r="C1300" s="309" t="s">
        <v>490</v>
      </c>
      <c r="D1300" s="136" t="str">
        <f t="array" ref="D1300">IF(E1300=0,0,(INDEX(AccountCodes[ACCOUNT NAME],MATCH(E1300,AccountCodes[NGAS CODE],0))))</f>
        <v>Equipment Rental - Internal (CA)</v>
      </c>
      <c r="E1300" s="309" t="s">
        <v>146</v>
      </c>
      <c r="F1300" s="501">
        <v>200000</v>
      </c>
    </row>
    <row r="1301" spans="1:6" x14ac:dyDescent="0.25">
      <c r="A1301" s="308">
        <v>43281</v>
      </c>
      <c r="B1301" s="309" t="s">
        <v>485</v>
      </c>
      <c r="C1301" s="309" t="s">
        <v>490</v>
      </c>
      <c r="D1301" s="136" t="str">
        <f t="array" ref="D1301">IF(E1301=0,0,(INDEX(AccountCodes[ACCOUNT NAME],MATCH(E1301,AccountCodes[NGAS CODE],0))))</f>
        <v>Equipment Rental - Internal (CA)</v>
      </c>
      <c r="E1301" s="309" t="s">
        <v>146</v>
      </c>
      <c r="F1301" s="501">
        <v>200000</v>
      </c>
    </row>
    <row r="1302" spans="1:6" x14ac:dyDescent="0.25">
      <c r="A1302" s="308">
        <v>43373</v>
      </c>
      <c r="B1302" s="309" t="s">
        <v>485</v>
      </c>
      <c r="C1302" s="309" t="s">
        <v>490</v>
      </c>
      <c r="D1302" s="136" t="str">
        <f t="array" ref="D1302">IF(E1302=0,0,(INDEX(AccountCodes[ACCOUNT NAME],MATCH(E1302,AccountCodes[NGAS CODE],0))))</f>
        <v>Equipment Rental - Internal (CA)</v>
      </c>
      <c r="E1302" s="309" t="s">
        <v>146</v>
      </c>
      <c r="F1302" s="501">
        <v>100000</v>
      </c>
    </row>
    <row r="1303" spans="1:6" x14ac:dyDescent="0.25">
      <c r="A1303" s="308">
        <v>43131</v>
      </c>
      <c r="B1303" s="309" t="s">
        <v>485</v>
      </c>
      <c r="C1303" s="309" t="s">
        <v>490</v>
      </c>
      <c r="D1303" s="136" t="str">
        <f t="array" ref="D1303">IF(E1303=0,0,(INDEX(AccountCodes[ACCOUNT NAME],MATCH(E1303,AccountCodes[NGAS CODE],0))))</f>
        <v>Salaries and Wages-Regular</v>
      </c>
      <c r="E1303" s="309" t="s">
        <v>162</v>
      </c>
      <c r="F1303" s="501">
        <v>251431</v>
      </c>
    </row>
    <row r="1304" spans="1:6" x14ac:dyDescent="0.25">
      <c r="A1304" s="308">
        <v>43159</v>
      </c>
      <c r="B1304" s="309" t="s">
        <v>485</v>
      </c>
      <c r="C1304" s="309" t="s">
        <v>490</v>
      </c>
      <c r="D1304" s="136" t="str">
        <f t="array" ref="D1304">IF(E1304=0,0,(INDEX(AccountCodes[ACCOUNT NAME],MATCH(E1304,AccountCodes[NGAS CODE],0))))</f>
        <v>Salaries and Wages-Regular</v>
      </c>
      <c r="E1304" s="309" t="s">
        <v>162</v>
      </c>
      <c r="F1304" s="501">
        <v>251431</v>
      </c>
    </row>
    <row r="1305" spans="1:6" x14ac:dyDescent="0.25">
      <c r="A1305" s="308">
        <v>43190</v>
      </c>
      <c r="B1305" s="309" t="s">
        <v>485</v>
      </c>
      <c r="C1305" s="309" t="s">
        <v>490</v>
      </c>
      <c r="D1305" s="136" t="str">
        <f t="array" ref="D1305">IF(E1305=0,0,(INDEX(AccountCodes[ACCOUNT NAME],MATCH(E1305,AccountCodes[NGAS CODE],0))))</f>
        <v>Salaries and Wages-Regular</v>
      </c>
      <c r="E1305" s="309" t="s">
        <v>162</v>
      </c>
      <c r="F1305" s="501">
        <v>251431</v>
      </c>
    </row>
    <row r="1306" spans="1:6" x14ac:dyDescent="0.25">
      <c r="A1306" s="308">
        <v>43220</v>
      </c>
      <c r="B1306" s="309" t="s">
        <v>485</v>
      </c>
      <c r="C1306" s="309" t="s">
        <v>490</v>
      </c>
      <c r="D1306" s="136" t="str">
        <f t="array" ref="D1306">IF(E1306=0,0,(INDEX(AccountCodes[ACCOUNT NAME],MATCH(E1306,AccountCodes[NGAS CODE],0))))</f>
        <v>Salaries and Wages-Regular</v>
      </c>
      <c r="E1306" s="309" t="s">
        <v>162</v>
      </c>
      <c r="F1306" s="501">
        <v>251431</v>
      </c>
    </row>
    <row r="1307" spans="1:6" x14ac:dyDescent="0.25">
      <c r="A1307" s="308">
        <v>43251</v>
      </c>
      <c r="B1307" s="309" t="s">
        <v>485</v>
      </c>
      <c r="C1307" s="309" t="s">
        <v>490</v>
      </c>
      <c r="D1307" s="136" t="str">
        <f t="array" ref="D1307">IF(E1307=0,0,(INDEX(AccountCodes[ACCOUNT NAME],MATCH(E1307,AccountCodes[NGAS CODE],0))))</f>
        <v>Salaries and Wages-Regular</v>
      </c>
      <c r="E1307" s="309" t="s">
        <v>162</v>
      </c>
      <c r="F1307" s="501">
        <v>251431</v>
      </c>
    </row>
    <row r="1308" spans="1:6" x14ac:dyDescent="0.25">
      <c r="A1308" s="308">
        <v>43281</v>
      </c>
      <c r="B1308" s="309" t="s">
        <v>485</v>
      </c>
      <c r="C1308" s="309" t="s">
        <v>490</v>
      </c>
      <c r="D1308" s="136" t="str">
        <f t="array" ref="D1308">IF(E1308=0,0,(INDEX(AccountCodes[ACCOUNT NAME],MATCH(E1308,AccountCodes[NGAS CODE],0))))</f>
        <v>Salaries and Wages-Regular</v>
      </c>
      <c r="E1308" s="309" t="s">
        <v>162</v>
      </c>
      <c r="F1308" s="501">
        <v>251431</v>
      </c>
    </row>
    <row r="1309" spans="1:6" x14ac:dyDescent="0.25">
      <c r="A1309" s="308">
        <v>43312</v>
      </c>
      <c r="B1309" s="309" t="s">
        <v>485</v>
      </c>
      <c r="C1309" s="309" t="s">
        <v>490</v>
      </c>
      <c r="D1309" s="136" t="str">
        <f t="array" ref="D1309">IF(E1309=0,0,(INDEX(AccountCodes[ACCOUNT NAME],MATCH(E1309,AccountCodes[NGAS CODE],0))))</f>
        <v>Salaries and Wages-Regular</v>
      </c>
      <c r="E1309" s="309" t="s">
        <v>162</v>
      </c>
      <c r="F1309" s="501">
        <v>251431</v>
      </c>
    </row>
    <row r="1310" spans="1:6" x14ac:dyDescent="0.25">
      <c r="A1310" s="308">
        <v>43343</v>
      </c>
      <c r="B1310" s="309" t="s">
        <v>485</v>
      </c>
      <c r="C1310" s="309" t="s">
        <v>490</v>
      </c>
      <c r="D1310" s="136" t="str">
        <f t="array" ref="D1310">IF(E1310=0,0,(INDEX(AccountCodes[ACCOUNT NAME],MATCH(E1310,AccountCodes[NGAS CODE],0))))</f>
        <v>Salaries and Wages-Regular</v>
      </c>
      <c r="E1310" s="309" t="s">
        <v>162</v>
      </c>
      <c r="F1310" s="501">
        <v>251431</v>
      </c>
    </row>
    <row r="1311" spans="1:6" x14ac:dyDescent="0.25">
      <c r="A1311" s="308">
        <v>43373</v>
      </c>
      <c r="B1311" s="309" t="s">
        <v>485</v>
      </c>
      <c r="C1311" s="309" t="s">
        <v>490</v>
      </c>
      <c r="D1311" s="136" t="str">
        <f t="array" ref="D1311">IF(E1311=0,0,(INDEX(AccountCodes[ACCOUNT NAME],MATCH(E1311,AccountCodes[NGAS CODE],0))))</f>
        <v>Salaries and Wages-Regular</v>
      </c>
      <c r="E1311" s="309" t="s">
        <v>162</v>
      </c>
      <c r="F1311" s="501">
        <v>251431</v>
      </c>
    </row>
    <row r="1312" spans="1:6" x14ac:dyDescent="0.25">
      <c r="A1312" s="308">
        <v>43404</v>
      </c>
      <c r="B1312" s="309" t="s">
        <v>485</v>
      </c>
      <c r="C1312" s="309" t="s">
        <v>490</v>
      </c>
      <c r="D1312" s="136" t="str">
        <f t="array" ref="D1312">IF(E1312=0,0,(INDEX(AccountCodes[ACCOUNT NAME],MATCH(E1312,AccountCodes[NGAS CODE],0))))</f>
        <v>Salaries and Wages-Regular</v>
      </c>
      <c r="E1312" s="309" t="s">
        <v>162</v>
      </c>
      <c r="F1312" s="501">
        <v>251431</v>
      </c>
    </row>
    <row r="1313" spans="1:6" x14ac:dyDescent="0.25">
      <c r="A1313" s="308">
        <v>43434</v>
      </c>
      <c r="B1313" s="309" t="s">
        <v>485</v>
      </c>
      <c r="C1313" s="309" t="s">
        <v>490</v>
      </c>
      <c r="D1313" s="136" t="str">
        <f t="array" ref="D1313">IF(E1313=0,0,(INDEX(AccountCodes[ACCOUNT NAME],MATCH(E1313,AccountCodes[NGAS CODE],0))))</f>
        <v>Salaries and Wages-Regular</v>
      </c>
      <c r="E1313" s="309" t="s">
        <v>162</v>
      </c>
      <c r="F1313" s="501">
        <v>251431</v>
      </c>
    </row>
    <row r="1314" spans="1:6" x14ac:dyDescent="0.25">
      <c r="A1314" s="308">
        <v>43465</v>
      </c>
      <c r="B1314" s="309" t="s">
        <v>485</v>
      </c>
      <c r="C1314" s="309" t="s">
        <v>490</v>
      </c>
      <c r="D1314" s="136" t="str">
        <f t="array" ref="D1314">IF(E1314=0,0,(INDEX(AccountCodes[ACCOUNT NAME],MATCH(E1314,AccountCodes[NGAS CODE],0))))</f>
        <v>Salaries and Wages-Regular</v>
      </c>
      <c r="E1314" s="309" t="s">
        <v>162</v>
      </c>
      <c r="F1314" s="501">
        <v>251431</v>
      </c>
    </row>
    <row r="1315" spans="1:6" x14ac:dyDescent="0.25">
      <c r="A1315" s="308">
        <v>43131</v>
      </c>
      <c r="B1315" s="309" t="s">
        <v>485</v>
      </c>
      <c r="C1315" s="309" t="s">
        <v>490</v>
      </c>
      <c r="D1315" s="136" t="str">
        <f t="array" ref="D1315">IF(E1315=0,0,(INDEX(AccountCodes[ACCOUNT NAME],MATCH(E1315,AccountCodes[NGAS CODE],0))))</f>
        <v>Personal Economic Relief Allowance (PERA)</v>
      </c>
      <c r="E1315" s="309" t="s">
        <v>164</v>
      </c>
      <c r="F1315" s="501">
        <v>20000</v>
      </c>
    </row>
    <row r="1316" spans="1:6" x14ac:dyDescent="0.25">
      <c r="A1316" s="308">
        <v>43159</v>
      </c>
      <c r="B1316" s="309" t="s">
        <v>485</v>
      </c>
      <c r="C1316" s="309" t="s">
        <v>490</v>
      </c>
      <c r="D1316" s="136" t="str">
        <f t="array" ref="D1316">IF(E1316=0,0,(INDEX(AccountCodes[ACCOUNT NAME],MATCH(E1316,AccountCodes[NGAS CODE],0))))</f>
        <v>Personal Economic Relief Allowance (PERA)</v>
      </c>
      <c r="E1316" s="309" t="s">
        <v>164</v>
      </c>
      <c r="F1316" s="501">
        <v>20000</v>
      </c>
    </row>
    <row r="1317" spans="1:6" x14ac:dyDescent="0.25">
      <c r="A1317" s="308">
        <v>43190</v>
      </c>
      <c r="B1317" s="309" t="s">
        <v>485</v>
      </c>
      <c r="C1317" s="309" t="s">
        <v>490</v>
      </c>
      <c r="D1317" s="136" t="str">
        <f t="array" ref="D1317">IF(E1317=0,0,(INDEX(AccountCodes[ACCOUNT NAME],MATCH(E1317,AccountCodes[NGAS CODE],0))))</f>
        <v>Personal Economic Relief Allowance (PERA)</v>
      </c>
      <c r="E1317" s="309" t="s">
        <v>164</v>
      </c>
      <c r="F1317" s="501">
        <v>20000</v>
      </c>
    </row>
    <row r="1318" spans="1:6" x14ac:dyDescent="0.25">
      <c r="A1318" s="308">
        <v>43220</v>
      </c>
      <c r="B1318" s="309" t="s">
        <v>485</v>
      </c>
      <c r="C1318" s="309" t="s">
        <v>490</v>
      </c>
      <c r="D1318" s="136" t="str">
        <f t="array" ref="D1318">IF(E1318=0,0,(INDEX(AccountCodes[ACCOUNT NAME],MATCH(E1318,AccountCodes[NGAS CODE],0))))</f>
        <v>Personal Economic Relief Allowance (PERA)</v>
      </c>
      <c r="E1318" s="309" t="s">
        <v>164</v>
      </c>
      <c r="F1318" s="501">
        <v>20000</v>
      </c>
    </row>
    <row r="1319" spans="1:6" x14ac:dyDescent="0.25">
      <c r="A1319" s="308">
        <v>43251</v>
      </c>
      <c r="B1319" s="309" t="s">
        <v>485</v>
      </c>
      <c r="C1319" s="309" t="s">
        <v>490</v>
      </c>
      <c r="D1319" s="136" t="str">
        <f t="array" ref="D1319">IF(E1319=0,0,(INDEX(AccountCodes[ACCOUNT NAME],MATCH(E1319,AccountCodes[NGAS CODE],0))))</f>
        <v>Personal Economic Relief Allowance (PERA)</v>
      </c>
      <c r="E1319" s="309" t="s">
        <v>164</v>
      </c>
      <c r="F1319" s="501">
        <v>20000</v>
      </c>
    </row>
    <row r="1320" spans="1:6" x14ac:dyDescent="0.25">
      <c r="A1320" s="308">
        <v>43281</v>
      </c>
      <c r="B1320" s="309" t="s">
        <v>485</v>
      </c>
      <c r="C1320" s="309" t="s">
        <v>490</v>
      </c>
      <c r="D1320" s="136" t="str">
        <f t="array" ref="D1320">IF(E1320=0,0,(INDEX(AccountCodes[ACCOUNT NAME],MATCH(E1320,AccountCodes[NGAS CODE],0))))</f>
        <v>Personal Economic Relief Allowance (PERA)</v>
      </c>
      <c r="E1320" s="309" t="s">
        <v>164</v>
      </c>
      <c r="F1320" s="501">
        <v>20000</v>
      </c>
    </row>
    <row r="1321" spans="1:6" x14ac:dyDescent="0.25">
      <c r="A1321" s="308">
        <v>43312</v>
      </c>
      <c r="B1321" s="309" t="s">
        <v>485</v>
      </c>
      <c r="C1321" s="309" t="s">
        <v>490</v>
      </c>
      <c r="D1321" s="136" t="str">
        <f t="array" ref="D1321">IF(E1321=0,0,(INDEX(AccountCodes[ACCOUNT NAME],MATCH(E1321,AccountCodes[NGAS CODE],0))))</f>
        <v>Personal Economic Relief Allowance (PERA)</v>
      </c>
      <c r="E1321" s="309" t="s">
        <v>164</v>
      </c>
      <c r="F1321" s="501">
        <v>20000</v>
      </c>
    </row>
    <row r="1322" spans="1:6" x14ac:dyDescent="0.25">
      <c r="A1322" s="308">
        <v>43343</v>
      </c>
      <c r="B1322" s="309" t="s">
        <v>485</v>
      </c>
      <c r="C1322" s="309" t="s">
        <v>490</v>
      </c>
      <c r="D1322" s="136" t="str">
        <f t="array" ref="D1322">IF(E1322=0,0,(INDEX(AccountCodes[ACCOUNT NAME],MATCH(E1322,AccountCodes[NGAS CODE],0))))</f>
        <v>Personal Economic Relief Allowance (PERA)</v>
      </c>
      <c r="E1322" s="309" t="s">
        <v>164</v>
      </c>
      <c r="F1322" s="501">
        <v>20000</v>
      </c>
    </row>
    <row r="1323" spans="1:6" x14ac:dyDescent="0.25">
      <c r="A1323" s="308">
        <v>43373</v>
      </c>
      <c r="B1323" s="309" t="s">
        <v>485</v>
      </c>
      <c r="C1323" s="309" t="s">
        <v>490</v>
      </c>
      <c r="D1323" s="136" t="str">
        <f t="array" ref="D1323">IF(E1323=0,0,(INDEX(AccountCodes[ACCOUNT NAME],MATCH(E1323,AccountCodes[NGAS CODE],0))))</f>
        <v>Personal Economic Relief Allowance (PERA)</v>
      </c>
      <c r="E1323" s="309" t="s">
        <v>164</v>
      </c>
      <c r="F1323" s="501">
        <v>20000</v>
      </c>
    </row>
    <row r="1324" spans="1:6" x14ac:dyDescent="0.25">
      <c r="A1324" s="308">
        <v>43404</v>
      </c>
      <c r="B1324" s="309" t="s">
        <v>485</v>
      </c>
      <c r="C1324" s="309" t="s">
        <v>490</v>
      </c>
      <c r="D1324" s="136" t="str">
        <f t="array" ref="D1324">IF(E1324=0,0,(INDEX(AccountCodes[ACCOUNT NAME],MATCH(E1324,AccountCodes[NGAS CODE],0))))</f>
        <v>Personal Economic Relief Allowance (PERA)</v>
      </c>
      <c r="E1324" s="309" t="s">
        <v>164</v>
      </c>
      <c r="F1324" s="501">
        <v>20000</v>
      </c>
    </row>
    <row r="1325" spans="1:6" x14ac:dyDescent="0.25">
      <c r="A1325" s="308">
        <v>43434</v>
      </c>
      <c r="B1325" s="309" t="s">
        <v>485</v>
      </c>
      <c r="C1325" s="309" t="s">
        <v>490</v>
      </c>
      <c r="D1325" s="136" t="str">
        <f t="array" ref="D1325">IF(E1325=0,0,(INDEX(AccountCodes[ACCOUNT NAME],MATCH(E1325,AccountCodes[NGAS CODE],0))))</f>
        <v>Personal Economic Relief Allowance (PERA)</v>
      </c>
      <c r="E1325" s="309" t="s">
        <v>164</v>
      </c>
      <c r="F1325" s="501">
        <v>20000</v>
      </c>
    </row>
    <row r="1326" spans="1:6" x14ac:dyDescent="0.25">
      <c r="A1326" s="308">
        <v>43465</v>
      </c>
      <c r="B1326" s="309" t="s">
        <v>485</v>
      </c>
      <c r="C1326" s="309" t="s">
        <v>490</v>
      </c>
      <c r="D1326" s="136" t="str">
        <f t="array" ref="D1326">IF(E1326=0,0,(INDEX(AccountCodes[ACCOUNT NAME],MATCH(E1326,AccountCodes[NGAS CODE],0))))</f>
        <v>Personal Economic Relief Allowance (PERA)</v>
      </c>
      <c r="E1326" s="309" t="s">
        <v>164</v>
      </c>
      <c r="F1326" s="501">
        <v>20000</v>
      </c>
    </row>
    <row r="1327" spans="1:6" x14ac:dyDescent="0.25">
      <c r="A1327" s="308">
        <v>43190</v>
      </c>
      <c r="B1327" s="309" t="s">
        <v>485</v>
      </c>
      <c r="C1327" s="309" t="s">
        <v>490</v>
      </c>
      <c r="D1327" s="136" t="str">
        <f t="array" ref="D1327">IF(E1327=0,0,(INDEX(AccountCodes[ACCOUNT NAME],MATCH(E1327,AccountCodes[NGAS CODE],0))))</f>
        <v>Clothing/Uniform Allowance</v>
      </c>
      <c r="E1327" s="309" t="s">
        <v>167</v>
      </c>
      <c r="F1327" s="501">
        <v>50000</v>
      </c>
    </row>
    <row r="1328" spans="1:6" x14ac:dyDescent="0.25">
      <c r="A1328" s="308">
        <v>43434</v>
      </c>
      <c r="B1328" s="309" t="s">
        <v>485</v>
      </c>
      <c r="C1328" s="309" t="s">
        <v>490</v>
      </c>
      <c r="D1328" s="136" t="str">
        <f t="array" ref="D1328">IF(E1328=0,0,(INDEX(AccountCodes[ACCOUNT NAME],MATCH(E1328,AccountCodes[NGAS CODE],0))))</f>
        <v>Cash Gift</v>
      </c>
      <c r="E1328" s="309" t="s">
        <v>172</v>
      </c>
      <c r="F1328" s="501">
        <v>100000</v>
      </c>
    </row>
    <row r="1329" spans="1:6" x14ac:dyDescent="0.25">
      <c r="A1329" s="308">
        <v>43251</v>
      </c>
      <c r="B1329" s="309" t="s">
        <v>485</v>
      </c>
      <c r="C1329" s="309" t="s">
        <v>490</v>
      </c>
      <c r="D1329" s="136" t="str">
        <f t="array" ref="D1329">IF(E1329=0,0,(INDEX(AccountCodes[ACCOUNT NAME],MATCH(E1329,AccountCodes[NGAS CODE],0))))</f>
        <v>Mid-Year/Year End Bonus</v>
      </c>
      <c r="E1329" s="309" t="s">
        <v>174</v>
      </c>
      <c r="F1329" s="501">
        <v>251431</v>
      </c>
    </row>
    <row r="1330" spans="1:6" x14ac:dyDescent="0.25">
      <c r="A1330" s="308">
        <v>43434</v>
      </c>
      <c r="B1330" s="309" t="s">
        <v>485</v>
      </c>
      <c r="C1330" s="309" t="s">
        <v>490</v>
      </c>
      <c r="D1330" s="136" t="str">
        <f t="array" ref="D1330">IF(E1330=0,0,(INDEX(AccountCodes[ACCOUNT NAME],MATCH(E1330,AccountCodes[NGAS CODE],0))))</f>
        <v>Mid-Year/Year End Bonus</v>
      </c>
      <c r="E1330" s="309" t="s">
        <v>174</v>
      </c>
      <c r="F1330" s="501">
        <v>251431</v>
      </c>
    </row>
    <row r="1331" spans="1:6" x14ac:dyDescent="0.25">
      <c r="A1331" s="308">
        <v>43131</v>
      </c>
      <c r="B1331" s="309" t="s">
        <v>485</v>
      </c>
      <c r="C1331" s="309" t="s">
        <v>490</v>
      </c>
      <c r="D1331" s="136" t="str">
        <f t="array" ref="D1331">IF(E1331=0,0,(INDEX(AccountCodes[ACCOUNT NAME],MATCH(E1331,AccountCodes[NGAS CODE],0))))</f>
        <v>Other Bonuses and Allowances - Children Allowance</v>
      </c>
      <c r="E1331" s="309" t="s">
        <v>7</v>
      </c>
      <c r="F1331" s="501">
        <v>30</v>
      </c>
    </row>
    <row r="1332" spans="1:6" x14ac:dyDescent="0.25">
      <c r="A1332" s="308">
        <v>43159</v>
      </c>
      <c r="B1332" s="309" t="s">
        <v>485</v>
      </c>
      <c r="C1332" s="309" t="s">
        <v>490</v>
      </c>
      <c r="D1332" s="136" t="str">
        <f t="array" ref="D1332">IF(E1332=0,0,(INDEX(AccountCodes[ACCOUNT NAME],MATCH(E1332,AccountCodes[NGAS CODE],0))))</f>
        <v>Other Bonuses and Allowances - Children Allowance</v>
      </c>
      <c r="E1332" s="309" t="s">
        <v>7</v>
      </c>
      <c r="F1332" s="501">
        <v>30</v>
      </c>
    </row>
    <row r="1333" spans="1:6" x14ac:dyDescent="0.25">
      <c r="A1333" s="308">
        <v>43190</v>
      </c>
      <c r="B1333" s="309" t="s">
        <v>485</v>
      </c>
      <c r="C1333" s="309" t="s">
        <v>490</v>
      </c>
      <c r="D1333" s="136" t="str">
        <f t="array" ref="D1333">IF(E1333=0,0,(INDEX(AccountCodes[ACCOUNT NAME],MATCH(E1333,AccountCodes[NGAS CODE],0))))</f>
        <v>Other Bonuses and Allowances - Children Allowance</v>
      </c>
      <c r="E1333" s="309" t="s">
        <v>7</v>
      </c>
      <c r="F1333" s="501">
        <v>30</v>
      </c>
    </row>
    <row r="1334" spans="1:6" x14ac:dyDescent="0.25">
      <c r="A1334" s="308">
        <v>43220</v>
      </c>
      <c r="B1334" s="309" t="s">
        <v>485</v>
      </c>
      <c r="C1334" s="309" t="s">
        <v>490</v>
      </c>
      <c r="D1334" s="136" t="str">
        <f t="array" ref="D1334">IF(E1334=0,0,(INDEX(AccountCodes[ACCOUNT NAME],MATCH(E1334,AccountCodes[NGAS CODE],0))))</f>
        <v>Other Bonuses and Allowances - Children Allowance</v>
      </c>
      <c r="E1334" s="309" t="s">
        <v>7</v>
      </c>
      <c r="F1334" s="501">
        <v>30</v>
      </c>
    </row>
    <row r="1335" spans="1:6" x14ac:dyDescent="0.25">
      <c r="A1335" s="308">
        <v>43251</v>
      </c>
      <c r="B1335" s="309" t="s">
        <v>485</v>
      </c>
      <c r="C1335" s="309" t="s">
        <v>490</v>
      </c>
      <c r="D1335" s="136" t="str">
        <f t="array" ref="D1335">IF(E1335=0,0,(INDEX(AccountCodes[ACCOUNT NAME],MATCH(E1335,AccountCodes[NGAS CODE],0))))</f>
        <v>Other Bonuses and Allowances - Children Allowance</v>
      </c>
      <c r="E1335" s="309" t="s">
        <v>7</v>
      </c>
      <c r="F1335" s="501">
        <v>30</v>
      </c>
    </row>
    <row r="1336" spans="1:6" x14ac:dyDescent="0.25">
      <c r="A1336" s="308">
        <v>43281</v>
      </c>
      <c r="B1336" s="309" t="s">
        <v>485</v>
      </c>
      <c r="C1336" s="309" t="s">
        <v>490</v>
      </c>
      <c r="D1336" s="136" t="str">
        <f t="array" ref="D1336">IF(E1336=0,0,(INDEX(AccountCodes[ACCOUNT NAME],MATCH(E1336,AccountCodes[NGAS CODE],0))))</f>
        <v>Other Bonuses and Allowances - Children Allowance</v>
      </c>
      <c r="E1336" s="309" t="s">
        <v>7</v>
      </c>
      <c r="F1336" s="501">
        <v>30</v>
      </c>
    </row>
    <row r="1337" spans="1:6" x14ac:dyDescent="0.25">
      <c r="A1337" s="308">
        <v>43312</v>
      </c>
      <c r="B1337" s="309" t="s">
        <v>485</v>
      </c>
      <c r="C1337" s="309" t="s">
        <v>490</v>
      </c>
      <c r="D1337" s="136" t="str">
        <f t="array" ref="D1337">IF(E1337=0,0,(INDEX(AccountCodes[ACCOUNT NAME],MATCH(E1337,AccountCodes[NGAS CODE],0))))</f>
        <v>Other Bonuses and Allowances - Children Allowance</v>
      </c>
      <c r="E1337" s="309" t="s">
        <v>7</v>
      </c>
      <c r="F1337" s="501">
        <v>30</v>
      </c>
    </row>
    <row r="1338" spans="1:6" x14ac:dyDescent="0.25">
      <c r="A1338" s="308">
        <v>43343</v>
      </c>
      <c r="B1338" s="309" t="s">
        <v>485</v>
      </c>
      <c r="C1338" s="309" t="s">
        <v>490</v>
      </c>
      <c r="D1338" s="136" t="str">
        <f t="array" ref="D1338">IF(E1338=0,0,(INDEX(AccountCodes[ACCOUNT NAME],MATCH(E1338,AccountCodes[NGAS CODE],0))))</f>
        <v>Other Bonuses and Allowances - Children Allowance</v>
      </c>
      <c r="E1338" s="309" t="s">
        <v>7</v>
      </c>
      <c r="F1338" s="501">
        <v>30</v>
      </c>
    </row>
    <row r="1339" spans="1:6" x14ac:dyDescent="0.25">
      <c r="A1339" s="308">
        <v>43373</v>
      </c>
      <c r="B1339" s="309" t="s">
        <v>485</v>
      </c>
      <c r="C1339" s="309" t="s">
        <v>490</v>
      </c>
      <c r="D1339" s="136" t="str">
        <f t="array" ref="D1339">IF(E1339=0,0,(INDEX(AccountCodes[ACCOUNT NAME],MATCH(E1339,AccountCodes[NGAS CODE],0))))</f>
        <v>Other Bonuses and Allowances - Children Allowance</v>
      </c>
      <c r="E1339" s="309" t="s">
        <v>7</v>
      </c>
      <c r="F1339" s="501">
        <v>30</v>
      </c>
    </row>
    <row r="1340" spans="1:6" x14ac:dyDescent="0.25">
      <c r="A1340" s="308">
        <v>43404</v>
      </c>
      <c r="B1340" s="309" t="s">
        <v>485</v>
      </c>
      <c r="C1340" s="309" t="s">
        <v>490</v>
      </c>
      <c r="D1340" s="136" t="str">
        <f t="array" ref="D1340">IF(E1340=0,0,(INDEX(AccountCodes[ACCOUNT NAME],MATCH(E1340,AccountCodes[NGAS CODE],0))))</f>
        <v>Other Bonuses and Allowances - Children Allowance</v>
      </c>
      <c r="E1340" s="309" t="s">
        <v>7</v>
      </c>
      <c r="F1340" s="501">
        <v>30</v>
      </c>
    </row>
    <row r="1341" spans="1:6" x14ac:dyDescent="0.25">
      <c r="A1341" s="308">
        <v>43434</v>
      </c>
      <c r="B1341" s="309" t="s">
        <v>485</v>
      </c>
      <c r="C1341" s="309" t="s">
        <v>490</v>
      </c>
      <c r="D1341" s="136" t="str">
        <f t="array" ref="D1341">IF(E1341=0,0,(INDEX(AccountCodes[ACCOUNT NAME],MATCH(E1341,AccountCodes[NGAS CODE],0))))</f>
        <v>Other Bonuses and Allowances - Children Allowance</v>
      </c>
      <c r="E1341" s="309" t="s">
        <v>7</v>
      </c>
      <c r="F1341" s="501">
        <v>30</v>
      </c>
    </row>
    <row r="1342" spans="1:6" x14ac:dyDescent="0.25">
      <c r="A1342" s="308">
        <v>43465</v>
      </c>
      <c r="B1342" s="309" t="s">
        <v>485</v>
      </c>
      <c r="C1342" s="309" t="s">
        <v>490</v>
      </c>
      <c r="D1342" s="136" t="str">
        <f t="array" ref="D1342">IF(E1342=0,0,(INDEX(AccountCodes[ACCOUNT NAME],MATCH(E1342,AccountCodes[NGAS CODE],0))))</f>
        <v>Other Bonuses and Allowances - Children Allowance</v>
      </c>
      <c r="E1342" s="309" t="s">
        <v>7</v>
      </c>
      <c r="F1342" s="501">
        <v>30</v>
      </c>
    </row>
    <row r="1343" spans="1:6" x14ac:dyDescent="0.25">
      <c r="A1343" s="308">
        <v>43131</v>
      </c>
      <c r="B1343" s="309" t="s">
        <v>485</v>
      </c>
      <c r="C1343" s="309" t="s">
        <v>490</v>
      </c>
      <c r="D1343" s="136" t="str">
        <f t="array" ref="D1343">IF(E1343=0,0,(INDEX(AccountCodes[ACCOUNT NAME],MATCH(E1343,AccountCodes[NGAS CODE],0))))</f>
        <v>Other Bonuses and Allowances - Medical Allowance</v>
      </c>
      <c r="E1343" s="309" t="s">
        <v>5</v>
      </c>
      <c r="F1343" s="501">
        <v>600</v>
      </c>
    </row>
    <row r="1344" spans="1:6" x14ac:dyDescent="0.25">
      <c r="A1344" s="308">
        <v>43159</v>
      </c>
      <c r="B1344" s="309" t="s">
        <v>485</v>
      </c>
      <c r="C1344" s="309" t="s">
        <v>490</v>
      </c>
      <c r="D1344" s="136" t="str">
        <f t="array" ref="D1344">IF(E1344=0,0,(INDEX(AccountCodes[ACCOUNT NAME],MATCH(E1344,AccountCodes[NGAS CODE],0))))</f>
        <v>Other Bonuses and Allowances - Medical Allowance</v>
      </c>
      <c r="E1344" s="309" t="s">
        <v>5</v>
      </c>
      <c r="F1344" s="501">
        <v>600</v>
      </c>
    </row>
    <row r="1345" spans="1:6" x14ac:dyDescent="0.25">
      <c r="A1345" s="308">
        <v>43190</v>
      </c>
      <c r="B1345" s="309" t="s">
        <v>485</v>
      </c>
      <c r="C1345" s="309" t="s">
        <v>490</v>
      </c>
      <c r="D1345" s="136" t="str">
        <f t="array" ref="D1345">IF(E1345=0,0,(INDEX(AccountCodes[ACCOUNT NAME],MATCH(E1345,AccountCodes[NGAS CODE],0))))</f>
        <v>Other Bonuses and Allowances - Medical Allowance</v>
      </c>
      <c r="E1345" s="309" t="s">
        <v>5</v>
      </c>
      <c r="F1345" s="501">
        <v>600</v>
      </c>
    </row>
    <row r="1346" spans="1:6" x14ac:dyDescent="0.25">
      <c r="A1346" s="308">
        <v>43220</v>
      </c>
      <c r="B1346" s="309" t="s">
        <v>485</v>
      </c>
      <c r="C1346" s="309" t="s">
        <v>490</v>
      </c>
      <c r="D1346" s="136" t="str">
        <f t="array" ref="D1346">IF(E1346=0,0,(INDEX(AccountCodes[ACCOUNT NAME],MATCH(E1346,AccountCodes[NGAS CODE],0))))</f>
        <v>Other Bonuses and Allowances - Medical Allowance</v>
      </c>
      <c r="E1346" s="309" t="s">
        <v>5</v>
      </c>
      <c r="F1346" s="501">
        <v>600</v>
      </c>
    </row>
    <row r="1347" spans="1:6" x14ac:dyDescent="0.25">
      <c r="A1347" s="308">
        <v>43251</v>
      </c>
      <c r="B1347" s="309" t="s">
        <v>485</v>
      </c>
      <c r="C1347" s="309" t="s">
        <v>490</v>
      </c>
      <c r="D1347" s="136" t="str">
        <f t="array" ref="D1347">IF(E1347=0,0,(INDEX(AccountCodes[ACCOUNT NAME],MATCH(E1347,AccountCodes[NGAS CODE],0))))</f>
        <v>Other Bonuses and Allowances - Medical Allowance</v>
      </c>
      <c r="E1347" s="309" t="s">
        <v>5</v>
      </c>
      <c r="F1347" s="501">
        <v>600</v>
      </c>
    </row>
    <row r="1348" spans="1:6" x14ac:dyDescent="0.25">
      <c r="A1348" s="308">
        <v>43281</v>
      </c>
      <c r="B1348" s="309" t="s">
        <v>485</v>
      </c>
      <c r="C1348" s="309" t="s">
        <v>490</v>
      </c>
      <c r="D1348" s="136" t="str">
        <f t="array" ref="D1348">IF(E1348=0,0,(INDEX(AccountCodes[ACCOUNT NAME],MATCH(E1348,AccountCodes[NGAS CODE],0))))</f>
        <v>Other Bonuses and Allowances - Medical Allowance</v>
      </c>
      <c r="E1348" s="309" t="s">
        <v>5</v>
      </c>
      <c r="F1348" s="501">
        <v>600</v>
      </c>
    </row>
    <row r="1349" spans="1:6" x14ac:dyDescent="0.25">
      <c r="A1349" s="308">
        <v>43312</v>
      </c>
      <c r="B1349" s="309" t="s">
        <v>485</v>
      </c>
      <c r="C1349" s="309" t="s">
        <v>490</v>
      </c>
      <c r="D1349" s="136" t="str">
        <f t="array" ref="D1349">IF(E1349=0,0,(INDEX(AccountCodes[ACCOUNT NAME],MATCH(E1349,AccountCodes[NGAS CODE],0))))</f>
        <v>Other Bonuses and Allowances - Medical Allowance</v>
      </c>
      <c r="E1349" s="309" t="s">
        <v>5</v>
      </c>
      <c r="F1349" s="501">
        <v>600</v>
      </c>
    </row>
    <row r="1350" spans="1:6" x14ac:dyDescent="0.25">
      <c r="A1350" s="308">
        <v>43343</v>
      </c>
      <c r="B1350" s="309" t="s">
        <v>485</v>
      </c>
      <c r="C1350" s="309" t="s">
        <v>490</v>
      </c>
      <c r="D1350" s="136" t="str">
        <f t="array" ref="D1350">IF(E1350=0,0,(INDEX(AccountCodes[ACCOUNT NAME],MATCH(E1350,AccountCodes[NGAS CODE],0))))</f>
        <v>Other Bonuses and Allowances - Medical Allowance</v>
      </c>
      <c r="E1350" s="309" t="s">
        <v>5</v>
      </c>
      <c r="F1350" s="501">
        <v>600</v>
      </c>
    </row>
    <row r="1351" spans="1:6" x14ac:dyDescent="0.25">
      <c r="A1351" s="308">
        <v>43373</v>
      </c>
      <c r="B1351" s="309" t="s">
        <v>485</v>
      </c>
      <c r="C1351" s="309" t="s">
        <v>490</v>
      </c>
      <c r="D1351" s="136" t="str">
        <f t="array" ref="D1351">IF(E1351=0,0,(INDEX(AccountCodes[ACCOUNT NAME],MATCH(E1351,AccountCodes[NGAS CODE],0))))</f>
        <v>Other Bonuses and Allowances - Medical Allowance</v>
      </c>
      <c r="E1351" s="309" t="s">
        <v>5</v>
      </c>
      <c r="F1351" s="501">
        <v>600</v>
      </c>
    </row>
    <row r="1352" spans="1:6" x14ac:dyDescent="0.25">
      <c r="A1352" s="308">
        <v>43404</v>
      </c>
      <c r="B1352" s="309" t="s">
        <v>485</v>
      </c>
      <c r="C1352" s="309" t="s">
        <v>490</v>
      </c>
      <c r="D1352" s="136" t="str">
        <f t="array" ref="D1352">IF(E1352=0,0,(INDEX(AccountCodes[ACCOUNT NAME],MATCH(E1352,AccountCodes[NGAS CODE],0))))</f>
        <v>Other Bonuses and Allowances - Medical Allowance</v>
      </c>
      <c r="E1352" s="309" t="s">
        <v>5</v>
      </c>
      <c r="F1352" s="501">
        <v>600</v>
      </c>
    </row>
    <row r="1353" spans="1:6" x14ac:dyDescent="0.25">
      <c r="A1353" s="308">
        <v>43434</v>
      </c>
      <c r="B1353" s="309" t="s">
        <v>485</v>
      </c>
      <c r="C1353" s="309" t="s">
        <v>490</v>
      </c>
      <c r="D1353" s="136" t="str">
        <f t="array" ref="D1353">IF(E1353=0,0,(INDEX(AccountCodes[ACCOUNT NAME],MATCH(E1353,AccountCodes[NGAS CODE],0))))</f>
        <v>Other Bonuses and Allowances - Medical Allowance</v>
      </c>
      <c r="E1353" s="309" t="s">
        <v>5</v>
      </c>
      <c r="F1353" s="501">
        <v>600</v>
      </c>
    </row>
    <row r="1354" spans="1:6" x14ac:dyDescent="0.25">
      <c r="A1354" s="308">
        <v>43465</v>
      </c>
      <c r="B1354" s="309" t="s">
        <v>485</v>
      </c>
      <c r="C1354" s="309" t="s">
        <v>490</v>
      </c>
      <c r="D1354" s="136" t="str">
        <f t="array" ref="D1354">IF(E1354=0,0,(INDEX(AccountCodes[ACCOUNT NAME],MATCH(E1354,AccountCodes[NGAS CODE],0))))</f>
        <v>Other Bonuses and Allowances - Medical Allowance</v>
      </c>
      <c r="E1354" s="309" t="s">
        <v>5</v>
      </c>
      <c r="F1354" s="501">
        <v>600</v>
      </c>
    </row>
    <row r="1355" spans="1:6" x14ac:dyDescent="0.25">
      <c r="A1355" s="308">
        <v>43131</v>
      </c>
      <c r="B1355" s="309" t="s">
        <v>485</v>
      </c>
      <c r="C1355" s="309" t="s">
        <v>490</v>
      </c>
      <c r="D1355" s="136" t="str">
        <f t="array" ref="D1355">IF(E1355=0,0,(INDEX(AccountCodes[ACCOUNT NAME],MATCH(E1355,AccountCodes[NGAS CODE],0))))</f>
        <v>Other Bonuses and Allowances - Meal Allowance</v>
      </c>
      <c r="E1355" s="309" t="s">
        <v>6</v>
      </c>
      <c r="F1355" s="501">
        <v>198</v>
      </c>
    </row>
    <row r="1356" spans="1:6" x14ac:dyDescent="0.25">
      <c r="A1356" s="308">
        <v>43159</v>
      </c>
      <c r="B1356" s="309" t="s">
        <v>485</v>
      </c>
      <c r="C1356" s="309" t="s">
        <v>490</v>
      </c>
      <c r="D1356" s="136" t="str">
        <f t="array" ref="D1356">IF(E1356=0,0,(INDEX(AccountCodes[ACCOUNT NAME],MATCH(E1356,AccountCodes[NGAS CODE],0))))</f>
        <v>Other Bonuses and Allowances - Meal Allowance</v>
      </c>
      <c r="E1356" s="309" t="s">
        <v>6</v>
      </c>
      <c r="F1356" s="501">
        <v>198</v>
      </c>
    </row>
    <row r="1357" spans="1:6" x14ac:dyDescent="0.25">
      <c r="A1357" s="308">
        <v>43190</v>
      </c>
      <c r="B1357" s="309" t="s">
        <v>485</v>
      </c>
      <c r="C1357" s="309" t="s">
        <v>490</v>
      </c>
      <c r="D1357" s="136" t="str">
        <f t="array" ref="D1357">IF(E1357=0,0,(INDEX(AccountCodes[ACCOUNT NAME],MATCH(E1357,AccountCodes[NGAS CODE],0))))</f>
        <v>Other Bonuses and Allowances - Meal Allowance</v>
      </c>
      <c r="E1357" s="309" t="s">
        <v>6</v>
      </c>
      <c r="F1357" s="501">
        <v>198</v>
      </c>
    </row>
    <row r="1358" spans="1:6" x14ac:dyDescent="0.25">
      <c r="A1358" s="308">
        <v>43220</v>
      </c>
      <c r="B1358" s="309" t="s">
        <v>485</v>
      </c>
      <c r="C1358" s="309" t="s">
        <v>490</v>
      </c>
      <c r="D1358" s="136" t="str">
        <f t="array" ref="D1358">IF(E1358=0,0,(INDEX(AccountCodes[ACCOUNT NAME],MATCH(E1358,AccountCodes[NGAS CODE],0))))</f>
        <v>Other Bonuses and Allowances - Meal Allowance</v>
      </c>
      <c r="E1358" s="309" t="s">
        <v>6</v>
      </c>
      <c r="F1358" s="501">
        <v>198</v>
      </c>
    </row>
    <row r="1359" spans="1:6" x14ac:dyDescent="0.25">
      <c r="A1359" s="308">
        <v>43251</v>
      </c>
      <c r="B1359" s="309" t="s">
        <v>485</v>
      </c>
      <c r="C1359" s="309" t="s">
        <v>490</v>
      </c>
      <c r="D1359" s="136" t="str">
        <f t="array" ref="D1359">IF(E1359=0,0,(INDEX(AccountCodes[ACCOUNT NAME],MATCH(E1359,AccountCodes[NGAS CODE],0))))</f>
        <v>Other Bonuses and Allowances - Meal Allowance</v>
      </c>
      <c r="E1359" s="309" t="s">
        <v>6</v>
      </c>
      <c r="F1359" s="501">
        <v>198</v>
      </c>
    </row>
    <row r="1360" spans="1:6" x14ac:dyDescent="0.25">
      <c r="A1360" s="308">
        <v>43281</v>
      </c>
      <c r="B1360" s="309" t="s">
        <v>485</v>
      </c>
      <c r="C1360" s="309" t="s">
        <v>490</v>
      </c>
      <c r="D1360" s="136" t="str">
        <f t="array" ref="D1360">IF(E1360=0,0,(INDEX(AccountCodes[ACCOUNT NAME],MATCH(E1360,AccountCodes[NGAS CODE],0))))</f>
        <v>Other Bonuses and Allowances - Meal Allowance</v>
      </c>
      <c r="E1360" s="309" t="s">
        <v>6</v>
      </c>
      <c r="F1360" s="501">
        <v>198</v>
      </c>
    </row>
    <row r="1361" spans="1:6" x14ac:dyDescent="0.25">
      <c r="A1361" s="308">
        <v>43312</v>
      </c>
      <c r="B1361" s="309" t="s">
        <v>485</v>
      </c>
      <c r="C1361" s="309" t="s">
        <v>490</v>
      </c>
      <c r="D1361" s="136" t="str">
        <f t="array" ref="D1361">IF(E1361=0,0,(INDEX(AccountCodes[ACCOUNT NAME],MATCH(E1361,AccountCodes[NGAS CODE],0))))</f>
        <v>Other Bonuses and Allowances - Meal Allowance</v>
      </c>
      <c r="E1361" s="309" t="s">
        <v>6</v>
      </c>
      <c r="F1361" s="501">
        <v>198</v>
      </c>
    </row>
    <row r="1362" spans="1:6" x14ac:dyDescent="0.25">
      <c r="A1362" s="308">
        <v>43343</v>
      </c>
      <c r="B1362" s="309" t="s">
        <v>485</v>
      </c>
      <c r="C1362" s="309" t="s">
        <v>490</v>
      </c>
      <c r="D1362" s="136" t="str">
        <f t="array" ref="D1362">IF(E1362=0,0,(INDEX(AccountCodes[ACCOUNT NAME],MATCH(E1362,AccountCodes[NGAS CODE],0))))</f>
        <v>Other Bonuses and Allowances - Meal Allowance</v>
      </c>
      <c r="E1362" s="309" t="s">
        <v>6</v>
      </c>
      <c r="F1362" s="501">
        <v>198</v>
      </c>
    </row>
    <row r="1363" spans="1:6" x14ac:dyDescent="0.25">
      <c r="A1363" s="308">
        <v>43373</v>
      </c>
      <c r="B1363" s="309" t="s">
        <v>485</v>
      </c>
      <c r="C1363" s="309" t="s">
        <v>490</v>
      </c>
      <c r="D1363" s="136" t="str">
        <f t="array" ref="D1363">IF(E1363=0,0,(INDEX(AccountCodes[ACCOUNT NAME],MATCH(E1363,AccountCodes[NGAS CODE],0))))</f>
        <v>Other Bonuses and Allowances - Meal Allowance</v>
      </c>
      <c r="E1363" s="309" t="s">
        <v>6</v>
      </c>
      <c r="F1363" s="501">
        <v>198</v>
      </c>
    </row>
    <row r="1364" spans="1:6" x14ac:dyDescent="0.25">
      <c r="A1364" s="308">
        <v>43404</v>
      </c>
      <c r="B1364" s="309" t="s">
        <v>485</v>
      </c>
      <c r="C1364" s="309" t="s">
        <v>490</v>
      </c>
      <c r="D1364" s="136" t="str">
        <f t="array" ref="D1364">IF(E1364=0,0,(INDEX(AccountCodes[ACCOUNT NAME],MATCH(E1364,AccountCodes[NGAS CODE],0))))</f>
        <v>Other Bonuses and Allowances - Meal Allowance</v>
      </c>
      <c r="E1364" s="309" t="s">
        <v>6</v>
      </c>
      <c r="F1364" s="501">
        <v>198</v>
      </c>
    </row>
    <row r="1365" spans="1:6" x14ac:dyDescent="0.25">
      <c r="A1365" s="308">
        <v>43434</v>
      </c>
      <c r="B1365" s="309" t="s">
        <v>485</v>
      </c>
      <c r="C1365" s="309" t="s">
        <v>490</v>
      </c>
      <c r="D1365" s="136" t="str">
        <f t="array" ref="D1365">IF(E1365=0,0,(INDEX(AccountCodes[ACCOUNT NAME],MATCH(E1365,AccountCodes[NGAS CODE],0))))</f>
        <v>Other Bonuses and Allowances - Meal Allowance</v>
      </c>
      <c r="E1365" s="309" t="s">
        <v>6</v>
      </c>
      <c r="F1365" s="501">
        <v>198</v>
      </c>
    </row>
    <row r="1366" spans="1:6" x14ac:dyDescent="0.25">
      <c r="A1366" s="308">
        <v>43465</v>
      </c>
      <c r="B1366" s="309" t="s">
        <v>485</v>
      </c>
      <c r="C1366" s="309" t="s">
        <v>490</v>
      </c>
      <c r="D1366" s="136" t="str">
        <f t="array" ref="D1366">IF(E1366=0,0,(INDEX(AccountCodes[ACCOUNT NAME],MATCH(E1366,AccountCodes[NGAS CODE],0))))</f>
        <v>Other Bonuses and Allowances - Meal Allowance</v>
      </c>
      <c r="E1366" s="309" t="s">
        <v>6</v>
      </c>
      <c r="F1366" s="501">
        <v>198</v>
      </c>
    </row>
    <row r="1367" spans="1:6" x14ac:dyDescent="0.25">
      <c r="A1367" s="308">
        <v>43131</v>
      </c>
      <c r="B1367" s="309" t="s">
        <v>485</v>
      </c>
      <c r="C1367" s="309" t="s">
        <v>490</v>
      </c>
      <c r="D1367" s="136" t="str">
        <f t="array" ref="D1367">IF(E1367=0,0,(INDEX(AccountCodes[ACCOUNT NAME],MATCH(E1367,AccountCodes[NGAS CODE],0))))</f>
        <v>Telephone Expenses - Mobile</v>
      </c>
      <c r="E1367" s="309" t="s">
        <v>236</v>
      </c>
      <c r="F1367" s="501">
        <v>2800</v>
      </c>
    </row>
    <row r="1368" spans="1:6" x14ac:dyDescent="0.25">
      <c r="A1368" s="308">
        <v>43159</v>
      </c>
      <c r="B1368" s="309" t="s">
        <v>485</v>
      </c>
      <c r="C1368" s="309" t="s">
        <v>490</v>
      </c>
      <c r="D1368" s="136" t="str">
        <f t="array" ref="D1368">IF(E1368=0,0,(INDEX(AccountCodes[ACCOUNT NAME],MATCH(E1368,AccountCodes[NGAS CODE],0))))</f>
        <v>Telephone Expenses - Mobile</v>
      </c>
      <c r="E1368" s="309" t="s">
        <v>236</v>
      </c>
      <c r="F1368" s="501">
        <v>2800</v>
      </c>
    </row>
    <row r="1369" spans="1:6" x14ac:dyDescent="0.25">
      <c r="A1369" s="308">
        <v>43190</v>
      </c>
      <c r="B1369" s="309" t="s">
        <v>485</v>
      </c>
      <c r="C1369" s="309" t="s">
        <v>490</v>
      </c>
      <c r="D1369" s="136" t="str">
        <f t="array" ref="D1369">IF(E1369=0,0,(INDEX(AccountCodes[ACCOUNT NAME],MATCH(E1369,AccountCodes[NGAS CODE],0))))</f>
        <v>Telephone Expenses - Mobile</v>
      </c>
      <c r="E1369" s="309" t="s">
        <v>236</v>
      </c>
      <c r="F1369" s="501">
        <v>2800</v>
      </c>
    </row>
    <row r="1370" spans="1:6" x14ac:dyDescent="0.25">
      <c r="A1370" s="308">
        <v>43220</v>
      </c>
      <c r="B1370" s="309" t="s">
        <v>485</v>
      </c>
      <c r="C1370" s="309" t="s">
        <v>490</v>
      </c>
      <c r="D1370" s="136" t="str">
        <f t="array" ref="D1370">IF(E1370=0,0,(INDEX(AccountCodes[ACCOUNT NAME],MATCH(E1370,AccountCodes[NGAS CODE],0))))</f>
        <v>Telephone Expenses - Mobile</v>
      </c>
      <c r="E1370" s="309" t="s">
        <v>236</v>
      </c>
      <c r="F1370" s="501">
        <v>2800</v>
      </c>
    </row>
    <row r="1371" spans="1:6" x14ac:dyDescent="0.25">
      <c r="A1371" s="308">
        <v>43251</v>
      </c>
      <c r="B1371" s="309" t="s">
        <v>485</v>
      </c>
      <c r="C1371" s="309" t="s">
        <v>490</v>
      </c>
      <c r="D1371" s="136" t="str">
        <f t="array" ref="D1371">IF(E1371=0,0,(INDEX(AccountCodes[ACCOUNT NAME],MATCH(E1371,AccountCodes[NGAS CODE],0))))</f>
        <v>Telephone Expenses - Mobile</v>
      </c>
      <c r="E1371" s="309" t="s">
        <v>236</v>
      </c>
      <c r="F1371" s="501">
        <v>2800</v>
      </c>
    </row>
    <row r="1372" spans="1:6" x14ac:dyDescent="0.25">
      <c r="A1372" s="308">
        <v>43281</v>
      </c>
      <c r="B1372" s="309" t="s">
        <v>485</v>
      </c>
      <c r="C1372" s="309" t="s">
        <v>490</v>
      </c>
      <c r="D1372" s="136" t="str">
        <f t="array" ref="D1372">IF(E1372=0,0,(INDEX(AccountCodes[ACCOUNT NAME],MATCH(E1372,AccountCodes[NGAS CODE],0))))</f>
        <v>Telephone Expenses - Mobile</v>
      </c>
      <c r="E1372" s="309" t="s">
        <v>236</v>
      </c>
      <c r="F1372" s="501">
        <v>2800</v>
      </c>
    </row>
    <row r="1373" spans="1:6" x14ac:dyDescent="0.25">
      <c r="A1373" s="308">
        <v>43312</v>
      </c>
      <c r="B1373" s="309" t="s">
        <v>485</v>
      </c>
      <c r="C1373" s="309" t="s">
        <v>490</v>
      </c>
      <c r="D1373" s="136" t="str">
        <f t="array" ref="D1373">IF(E1373=0,0,(INDEX(AccountCodes[ACCOUNT NAME],MATCH(E1373,AccountCodes[NGAS CODE],0))))</f>
        <v>Telephone Expenses - Mobile</v>
      </c>
      <c r="E1373" s="309" t="s">
        <v>236</v>
      </c>
      <c r="F1373" s="501">
        <v>2800</v>
      </c>
    </row>
    <row r="1374" spans="1:6" x14ac:dyDescent="0.25">
      <c r="A1374" s="308">
        <v>43343</v>
      </c>
      <c r="B1374" s="309" t="s">
        <v>485</v>
      </c>
      <c r="C1374" s="309" t="s">
        <v>490</v>
      </c>
      <c r="D1374" s="136" t="str">
        <f t="array" ref="D1374">IF(E1374=0,0,(INDEX(AccountCodes[ACCOUNT NAME],MATCH(E1374,AccountCodes[NGAS CODE],0))))</f>
        <v>Telephone Expenses - Mobile</v>
      </c>
      <c r="E1374" s="309" t="s">
        <v>236</v>
      </c>
      <c r="F1374" s="501">
        <v>2800</v>
      </c>
    </row>
    <row r="1375" spans="1:6" x14ac:dyDescent="0.25">
      <c r="A1375" s="308">
        <v>43373</v>
      </c>
      <c r="B1375" s="309" t="s">
        <v>485</v>
      </c>
      <c r="C1375" s="309" t="s">
        <v>490</v>
      </c>
      <c r="D1375" s="136" t="str">
        <f t="array" ref="D1375">IF(E1375=0,0,(INDEX(AccountCodes[ACCOUNT NAME],MATCH(E1375,AccountCodes[NGAS CODE],0))))</f>
        <v>Telephone Expenses - Mobile</v>
      </c>
      <c r="E1375" s="309" t="s">
        <v>236</v>
      </c>
      <c r="F1375" s="501">
        <v>2800</v>
      </c>
    </row>
    <row r="1376" spans="1:6" x14ac:dyDescent="0.25">
      <c r="A1376" s="308">
        <v>43404</v>
      </c>
      <c r="B1376" s="309" t="s">
        <v>485</v>
      </c>
      <c r="C1376" s="309" t="s">
        <v>490</v>
      </c>
      <c r="D1376" s="136" t="str">
        <f t="array" ref="D1376">IF(E1376=0,0,(INDEX(AccountCodes[ACCOUNT NAME],MATCH(E1376,AccountCodes[NGAS CODE],0))))</f>
        <v>Telephone Expenses - Mobile</v>
      </c>
      <c r="E1376" s="309" t="s">
        <v>236</v>
      </c>
      <c r="F1376" s="501">
        <v>2800</v>
      </c>
    </row>
    <row r="1377" spans="1:6" x14ac:dyDescent="0.25">
      <c r="A1377" s="308">
        <v>43434</v>
      </c>
      <c r="B1377" s="309" t="s">
        <v>485</v>
      </c>
      <c r="C1377" s="309" t="s">
        <v>490</v>
      </c>
      <c r="D1377" s="136" t="str">
        <f t="array" ref="D1377">IF(E1377=0,0,(INDEX(AccountCodes[ACCOUNT NAME],MATCH(E1377,AccountCodes[NGAS CODE],0))))</f>
        <v>Telephone Expenses - Mobile</v>
      </c>
      <c r="E1377" s="309" t="s">
        <v>236</v>
      </c>
      <c r="F1377" s="501">
        <v>2800</v>
      </c>
    </row>
    <row r="1378" spans="1:6" x14ac:dyDescent="0.25">
      <c r="A1378" s="308">
        <v>43465</v>
      </c>
      <c r="B1378" s="309" t="s">
        <v>485</v>
      </c>
      <c r="C1378" s="309" t="s">
        <v>490</v>
      </c>
      <c r="D1378" s="136" t="str">
        <f t="array" ref="D1378">IF(E1378=0,0,(INDEX(AccountCodes[ACCOUNT NAME],MATCH(E1378,AccountCodes[NGAS CODE],0))))</f>
        <v>Telephone Expenses - Mobile</v>
      </c>
      <c r="E1378" s="309" t="s">
        <v>236</v>
      </c>
      <c r="F1378" s="501">
        <v>2800</v>
      </c>
    </row>
    <row r="1379" spans="1:6" x14ac:dyDescent="0.25">
      <c r="A1379" s="308">
        <v>43190</v>
      </c>
      <c r="B1379" s="309" t="s">
        <v>485</v>
      </c>
      <c r="C1379" s="309" t="s">
        <v>490</v>
      </c>
      <c r="D1379" s="136" t="str">
        <f t="array" ref="D1379">IF(E1379=0,0,(INDEX(AccountCodes[ACCOUNT NAME],MATCH(E1379,AccountCodes[NGAS CODE],0))))</f>
        <v>Honoraria</v>
      </c>
      <c r="E1379" s="309" t="s">
        <v>173</v>
      </c>
      <c r="F1379" s="501">
        <v>25000</v>
      </c>
    </row>
    <row r="1380" spans="1:6" x14ac:dyDescent="0.25">
      <c r="A1380" s="308">
        <v>43312</v>
      </c>
      <c r="B1380" s="309" t="s">
        <v>485</v>
      </c>
      <c r="C1380" s="309" t="s">
        <v>490</v>
      </c>
      <c r="D1380" s="136" t="str">
        <f t="array" ref="D1380">IF(E1380=0,0,(INDEX(AccountCodes[ACCOUNT NAME],MATCH(E1380,AccountCodes[NGAS CODE],0))))</f>
        <v>Honoraria</v>
      </c>
      <c r="E1380" s="309" t="s">
        <v>173</v>
      </c>
      <c r="F1380" s="501">
        <v>25000</v>
      </c>
    </row>
    <row r="1381" spans="1:6" x14ac:dyDescent="0.25">
      <c r="A1381" s="308">
        <v>43404</v>
      </c>
      <c r="B1381" s="309" t="s">
        <v>485</v>
      </c>
      <c r="C1381" s="309" t="s">
        <v>490</v>
      </c>
      <c r="D1381" s="136" t="str">
        <f t="array" ref="D1381">IF(E1381=0,0,(INDEX(AccountCodes[ACCOUNT NAME],MATCH(E1381,AccountCodes[NGAS CODE],0))))</f>
        <v>Honoraria</v>
      </c>
      <c r="E1381" s="309" t="s">
        <v>173</v>
      </c>
      <c r="F1381" s="501">
        <v>20000</v>
      </c>
    </row>
    <row r="1382" spans="1:6" x14ac:dyDescent="0.25">
      <c r="A1382" s="308">
        <v>43465</v>
      </c>
      <c r="B1382" s="309" t="s">
        <v>485</v>
      </c>
      <c r="C1382" s="309" t="s">
        <v>490</v>
      </c>
      <c r="D1382" s="136" t="str">
        <f t="array" ref="D1382">IF(E1382=0,0,(INDEX(AccountCodes[ACCOUNT NAME],MATCH(E1382,AccountCodes[NGAS CODE],0))))</f>
        <v>Other Bonuses and Allowances - Collective Negotiation Agreement Incentive-Civilian</v>
      </c>
      <c r="E1382" s="309" t="s">
        <v>168</v>
      </c>
      <c r="F1382" s="501">
        <v>250000</v>
      </c>
    </row>
    <row r="1383" spans="1:6" x14ac:dyDescent="0.25">
      <c r="A1383" s="308">
        <v>43434</v>
      </c>
      <c r="B1383" s="309" t="s">
        <v>485</v>
      </c>
      <c r="C1383" s="309" t="s">
        <v>490</v>
      </c>
      <c r="D1383" s="136" t="str">
        <f t="array" ref="D1383">IF(E1383=0,0,(INDEX(AccountCodes[ACCOUNT NAME],MATCH(E1383,AccountCodes[NGAS CODE],0))))</f>
        <v>Other Bonuses and Allowances - Productivity Enhancement Incentive-Civilian</v>
      </c>
      <c r="E1383" s="309" t="s">
        <v>170</v>
      </c>
      <c r="F1383" s="501">
        <v>50000</v>
      </c>
    </row>
    <row r="1384" spans="1:6" x14ac:dyDescent="0.25">
      <c r="A1384" s="308">
        <v>43131</v>
      </c>
      <c r="B1384" s="309" t="s">
        <v>485</v>
      </c>
      <c r="C1384" s="309" t="s">
        <v>490</v>
      </c>
      <c r="D1384" s="136" t="str">
        <f t="array" ref="D1384">IF(E1384=0,0,(INDEX(AccountCodes[ACCOUNT NAME],MATCH(E1384,AccountCodes[NGAS CODE],0))))</f>
        <v>Retirement and Life Insurance Premiums</v>
      </c>
      <c r="E1384" s="309" t="s">
        <v>175</v>
      </c>
      <c r="F1384" s="501">
        <v>30172</v>
      </c>
    </row>
    <row r="1385" spans="1:6" x14ac:dyDescent="0.25">
      <c r="A1385" s="308">
        <v>43159</v>
      </c>
      <c r="B1385" s="309" t="s">
        <v>485</v>
      </c>
      <c r="C1385" s="309" t="s">
        <v>490</v>
      </c>
      <c r="D1385" s="136" t="str">
        <f t="array" ref="D1385">IF(E1385=0,0,(INDEX(AccountCodes[ACCOUNT NAME],MATCH(E1385,AccountCodes[NGAS CODE],0))))</f>
        <v>Retirement and Life Insurance Premiums</v>
      </c>
      <c r="E1385" s="309" t="s">
        <v>175</v>
      </c>
      <c r="F1385" s="501">
        <v>30172</v>
      </c>
    </row>
    <row r="1386" spans="1:6" x14ac:dyDescent="0.25">
      <c r="A1386" s="308">
        <v>43190</v>
      </c>
      <c r="B1386" s="309" t="s">
        <v>485</v>
      </c>
      <c r="C1386" s="309" t="s">
        <v>490</v>
      </c>
      <c r="D1386" s="136" t="str">
        <f t="array" ref="D1386">IF(E1386=0,0,(INDEX(AccountCodes[ACCOUNT NAME],MATCH(E1386,AccountCodes[NGAS CODE],0))))</f>
        <v>Retirement and Life Insurance Premiums</v>
      </c>
      <c r="E1386" s="309" t="s">
        <v>175</v>
      </c>
      <c r="F1386" s="501">
        <v>30172</v>
      </c>
    </row>
    <row r="1387" spans="1:6" x14ac:dyDescent="0.25">
      <c r="A1387" s="308">
        <v>43220</v>
      </c>
      <c r="B1387" s="309" t="s">
        <v>485</v>
      </c>
      <c r="C1387" s="309" t="s">
        <v>490</v>
      </c>
      <c r="D1387" s="136" t="str">
        <f t="array" ref="D1387">IF(E1387=0,0,(INDEX(AccountCodes[ACCOUNT NAME],MATCH(E1387,AccountCodes[NGAS CODE],0))))</f>
        <v>Retirement and Life Insurance Premiums</v>
      </c>
      <c r="E1387" s="309" t="s">
        <v>175</v>
      </c>
      <c r="F1387" s="501">
        <v>30172</v>
      </c>
    </row>
    <row r="1388" spans="1:6" x14ac:dyDescent="0.25">
      <c r="A1388" s="308">
        <v>43251</v>
      </c>
      <c r="B1388" s="309" t="s">
        <v>485</v>
      </c>
      <c r="C1388" s="309" t="s">
        <v>490</v>
      </c>
      <c r="D1388" s="136" t="str">
        <f t="array" ref="D1388">IF(E1388=0,0,(INDEX(AccountCodes[ACCOUNT NAME],MATCH(E1388,AccountCodes[NGAS CODE],0))))</f>
        <v>Retirement and Life Insurance Premiums</v>
      </c>
      <c r="E1388" s="309" t="s">
        <v>175</v>
      </c>
      <c r="F1388" s="501">
        <v>30172</v>
      </c>
    </row>
    <row r="1389" spans="1:6" x14ac:dyDescent="0.25">
      <c r="A1389" s="308">
        <v>43281</v>
      </c>
      <c r="B1389" s="309" t="s">
        <v>485</v>
      </c>
      <c r="C1389" s="309" t="s">
        <v>490</v>
      </c>
      <c r="D1389" s="136" t="str">
        <f t="array" ref="D1389">IF(E1389=0,0,(INDEX(AccountCodes[ACCOUNT NAME],MATCH(E1389,AccountCodes[NGAS CODE],0))))</f>
        <v>Retirement and Life Insurance Premiums</v>
      </c>
      <c r="E1389" s="309" t="s">
        <v>175</v>
      </c>
      <c r="F1389" s="501">
        <v>30172</v>
      </c>
    </row>
    <row r="1390" spans="1:6" x14ac:dyDescent="0.25">
      <c r="A1390" s="308">
        <v>43312</v>
      </c>
      <c r="B1390" s="309" t="s">
        <v>485</v>
      </c>
      <c r="C1390" s="309" t="s">
        <v>490</v>
      </c>
      <c r="D1390" s="136" t="str">
        <f t="array" ref="D1390">IF(E1390=0,0,(INDEX(AccountCodes[ACCOUNT NAME],MATCH(E1390,AccountCodes[NGAS CODE],0))))</f>
        <v>Retirement and Life Insurance Premiums</v>
      </c>
      <c r="E1390" s="309" t="s">
        <v>175</v>
      </c>
      <c r="F1390" s="501">
        <v>30172</v>
      </c>
    </row>
    <row r="1391" spans="1:6" x14ac:dyDescent="0.25">
      <c r="A1391" s="308">
        <v>43343</v>
      </c>
      <c r="B1391" s="309" t="s">
        <v>485</v>
      </c>
      <c r="C1391" s="309" t="s">
        <v>490</v>
      </c>
      <c r="D1391" s="136" t="str">
        <f t="array" ref="D1391">IF(E1391=0,0,(INDEX(AccountCodes[ACCOUNT NAME],MATCH(E1391,AccountCodes[NGAS CODE],0))))</f>
        <v>Retirement and Life Insurance Premiums</v>
      </c>
      <c r="E1391" s="309" t="s">
        <v>175</v>
      </c>
      <c r="F1391" s="501">
        <v>30172</v>
      </c>
    </row>
    <row r="1392" spans="1:6" x14ac:dyDescent="0.25">
      <c r="A1392" s="308">
        <v>43373</v>
      </c>
      <c r="B1392" s="309" t="s">
        <v>485</v>
      </c>
      <c r="C1392" s="309" t="s">
        <v>490</v>
      </c>
      <c r="D1392" s="136" t="str">
        <f t="array" ref="D1392">IF(E1392=0,0,(INDEX(AccountCodes[ACCOUNT NAME],MATCH(E1392,AccountCodes[NGAS CODE],0))))</f>
        <v>Retirement and Life Insurance Premiums</v>
      </c>
      <c r="E1392" s="309" t="s">
        <v>175</v>
      </c>
      <c r="F1392" s="501">
        <v>30172</v>
      </c>
    </row>
    <row r="1393" spans="1:6" x14ac:dyDescent="0.25">
      <c r="A1393" s="308">
        <v>43404</v>
      </c>
      <c r="B1393" s="309" t="s">
        <v>485</v>
      </c>
      <c r="C1393" s="309" t="s">
        <v>490</v>
      </c>
      <c r="D1393" s="136" t="str">
        <f t="array" ref="D1393">IF(E1393=0,0,(INDEX(AccountCodes[ACCOUNT NAME],MATCH(E1393,AccountCodes[NGAS CODE],0))))</f>
        <v>Retirement and Life Insurance Premiums</v>
      </c>
      <c r="E1393" s="309" t="s">
        <v>175</v>
      </c>
      <c r="F1393" s="501">
        <v>30172</v>
      </c>
    </row>
    <row r="1394" spans="1:6" x14ac:dyDescent="0.25">
      <c r="A1394" s="308">
        <v>43434</v>
      </c>
      <c r="B1394" s="309" t="s">
        <v>485</v>
      </c>
      <c r="C1394" s="309" t="s">
        <v>490</v>
      </c>
      <c r="D1394" s="136" t="str">
        <f t="array" ref="D1394">IF(E1394=0,0,(INDEX(AccountCodes[ACCOUNT NAME],MATCH(E1394,AccountCodes[NGAS CODE],0))))</f>
        <v>Retirement and Life Insurance Premiums</v>
      </c>
      <c r="E1394" s="309" t="s">
        <v>175</v>
      </c>
      <c r="F1394" s="501">
        <v>30172</v>
      </c>
    </row>
    <row r="1395" spans="1:6" x14ac:dyDescent="0.25">
      <c r="A1395" s="308">
        <v>43465</v>
      </c>
      <c r="B1395" s="309" t="s">
        <v>485</v>
      </c>
      <c r="C1395" s="309" t="s">
        <v>490</v>
      </c>
      <c r="D1395" s="136" t="str">
        <f t="array" ref="D1395">IF(E1395=0,0,(INDEX(AccountCodes[ACCOUNT NAME],MATCH(E1395,AccountCodes[NGAS CODE],0))))</f>
        <v>Retirement and Life Insurance Premiums</v>
      </c>
      <c r="E1395" s="309" t="s">
        <v>175</v>
      </c>
      <c r="F1395" s="501">
        <v>30172</v>
      </c>
    </row>
    <row r="1396" spans="1:6" x14ac:dyDescent="0.25">
      <c r="A1396" s="308">
        <v>43131</v>
      </c>
      <c r="B1396" s="309" t="s">
        <v>485</v>
      </c>
      <c r="C1396" s="309" t="s">
        <v>490</v>
      </c>
      <c r="D1396" s="136" t="str">
        <f t="array" ref="D1396">IF(E1396=0,0,(INDEX(AccountCodes[ACCOUNT NAME],MATCH(E1396,AccountCodes[NGAS CODE],0))))</f>
        <v>Pag-IBIG Contributions</v>
      </c>
      <c r="E1396" s="309" t="s">
        <v>176</v>
      </c>
      <c r="F1396" s="501">
        <v>1000</v>
      </c>
    </row>
    <row r="1397" spans="1:6" x14ac:dyDescent="0.25">
      <c r="A1397" s="308">
        <v>43159</v>
      </c>
      <c r="B1397" s="309" t="s">
        <v>485</v>
      </c>
      <c r="C1397" s="309" t="s">
        <v>490</v>
      </c>
      <c r="D1397" s="136" t="str">
        <f t="array" ref="D1397">IF(E1397=0,0,(INDEX(AccountCodes[ACCOUNT NAME],MATCH(E1397,AccountCodes[NGAS CODE],0))))</f>
        <v>Pag-IBIG Contributions</v>
      </c>
      <c r="E1397" s="309" t="s">
        <v>176</v>
      </c>
      <c r="F1397" s="501">
        <v>1000</v>
      </c>
    </row>
    <row r="1398" spans="1:6" x14ac:dyDescent="0.25">
      <c r="A1398" s="308">
        <v>43190</v>
      </c>
      <c r="B1398" s="309" t="s">
        <v>485</v>
      </c>
      <c r="C1398" s="309" t="s">
        <v>490</v>
      </c>
      <c r="D1398" s="136" t="str">
        <f t="array" ref="D1398">IF(E1398=0,0,(INDEX(AccountCodes[ACCOUNT NAME],MATCH(E1398,AccountCodes[NGAS CODE],0))))</f>
        <v>Pag-IBIG Contributions</v>
      </c>
      <c r="E1398" s="309" t="s">
        <v>176</v>
      </c>
      <c r="F1398" s="501">
        <v>1000</v>
      </c>
    </row>
    <row r="1399" spans="1:6" x14ac:dyDescent="0.25">
      <c r="A1399" s="308">
        <v>43220</v>
      </c>
      <c r="B1399" s="309" t="s">
        <v>485</v>
      </c>
      <c r="C1399" s="309" t="s">
        <v>490</v>
      </c>
      <c r="D1399" s="136" t="str">
        <f t="array" ref="D1399">IF(E1399=0,0,(INDEX(AccountCodes[ACCOUNT NAME],MATCH(E1399,AccountCodes[NGAS CODE],0))))</f>
        <v>Pag-IBIG Contributions</v>
      </c>
      <c r="E1399" s="309" t="s">
        <v>176</v>
      </c>
      <c r="F1399" s="501">
        <v>1000</v>
      </c>
    </row>
    <row r="1400" spans="1:6" x14ac:dyDescent="0.25">
      <c r="A1400" s="308">
        <v>43251</v>
      </c>
      <c r="B1400" s="309" t="s">
        <v>485</v>
      </c>
      <c r="C1400" s="309" t="s">
        <v>490</v>
      </c>
      <c r="D1400" s="136" t="str">
        <f t="array" ref="D1400">IF(E1400=0,0,(INDEX(AccountCodes[ACCOUNT NAME],MATCH(E1400,AccountCodes[NGAS CODE],0))))</f>
        <v>Pag-IBIG Contributions</v>
      </c>
      <c r="E1400" s="309" t="s">
        <v>176</v>
      </c>
      <c r="F1400" s="501">
        <v>1000</v>
      </c>
    </row>
    <row r="1401" spans="1:6" x14ac:dyDescent="0.25">
      <c r="A1401" s="308">
        <v>43281</v>
      </c>
      <c r="B1401" s="309" t="s">
        <v>485</v>
      </c>
      <c r="C1401" s="309" t="s">
        <v>490</v>
      </c>
      <c r="D1401" s="136" t="str">
        <f t="array" ref="D1401">IF(E1401=0,0,(INDEX(AccountCodes[ACCOUNT NAME],MATCH(E1401,AccountCodes[NGAS CODE],0))))</f>
        <v>Pag-IBIG Contributions</v>
      </c>
      <c r="E1401" s="309" t="s">
        <v>176</v>
      </c>
      <c r="F1401" s="501">
        <v>1000</v>
      </c>
    </row>
    <row r="1402" spans="1:6" x14ac:dyDescent="0.25">
      <c r="A1402" s="308">
        <v>43312</v>
      </c>
      <c r="B1402" s="309" t="s">
        <v>485</v>
      </c>
      <c r="C1402" s="309" t="s">
        <v>490</v>
      </c>
      <c r="D1402" s="136" t="str">
        <f t="array" ref="D1402">IF(E1402=0,0,(INDEX(AccountCodes[ACCOUNT NAME],MATCH(E1402,AccountCodes[NGAS CODE],0))))</f>
        <v>Pag-IBIG Contributions</v>
      </c>
      <c r="E1402" s="309" t="s">
        <v>176</v>
      </c>
      <c r="F1402" s="501">
        <v>1000</v>
      </c>
    </row>
    <row r="1403" spans="1:6" x14ac:dyDescent="0.25">
      <c r="A1403" s="308">
        <v>43343</v>
      </c>
      <c r="B1403" s="309" t="s">
        <v>485</v>
      </c>
      <c r="C1403" s="309" t="s">
        <v>490</v>
      </c>
      <c r="D1403" s="136" t="str">
        <f t="array" ref="D1403">IF(E1403=0,0,(INDEX(AccountCodes[ACCOUNT NAME],MATCH(E1403,AccountCodes[NGAS CODE],0))))</f>
        <v>Pag-IBIG Contributions</v>
      </c>
      <c r="E1403" s="309" t="s">
        <v>176</v>
      </c>
      <c r="F1403" s="501">
        <v>1000</v>
      </c>
    </row>
    <row r="1404" spans="1:6" x14ac:dyDescent="0.25">
      <c r="A1404" s="308">
        <v>43373</v>
      </c>
      <c r="B1404" s="309" t="s">
        <v>485</v>
      </c>
      <c r="C1404" s="309" t="s">
        <v>490</v>
      </c>
      <c r="D1404" s="136" t="str">
        <f t="array" ref="D1404">IF(E1404=0,0,(INDEX(AccountCodes[ACCOUNT NAME],MATCH(E1404,AccountCodes[NGAS CODE],0))))</f>
        <v>Pag-IBIG Contributions</v>
      </c>
      <c r="E1404" s="309" t="s">
        <v>176</v>
      </c>
      <c r="F1404" s="501">
        <v>1000</v>
      </c>
    </row>
    <row r="1405" spans="1:6" x14ac:dyDescent="0.25">
      <c r="A1405" s="308">
        <v>43404</v>
      </c>
      <c r="B1405" s="309" t="s">
        <v>485</v>
      </c>
      <c r="C1405" s="309" t="s">
        <v>490</v>
      </c>
      <c r="D1405" s="136" t="str">
        <f t="array" ref="D1405">IF(E1405=0,0,(INDEX(AccountCodes[ACCOUNT NAME],MATCH(E1405,AccountCodes[NGAS CODE],0))))</f>
        <v>Pag-IBIG Contributions</v>
      </c>
      <c r="E1405" s="309" t="s">
        <v>176</v>
      </c>
      <c r="F1405" s="501">
        <v>1000</v>
      </c>
    </row>
    <row r="1406" spans="1:6" x14ac:dyDescent="0.25">
      <c r="A1406" s="308">
        <v>43434</v>
      </c>
      <c r="B1406" s="309" t="s">
        <v>485</v>
      </c>
      <c r="C1406" s="309" t="s">
        <v>490</v>
      </c>
      <c r="D1406" s="136" t="str">
        <f t="array" ref="D1406">IF(E1406=0,0,(INDEX(AccountCodes[ACCOUNT NAME],MATCH(E1406,AccountCodes[NGAS CODE],0))))</f>
        <v>Pag-IBIG Contributions</v>
      </c>
      <c r="E1406" s="309" t="s">
        <v>176</v>
      </c>
      <c r="F1406" s="501">
        <v>1000</v>
      </c>
    </row>
    <row r="1407" spans="1:6" x14ac:dyDescent="0.25">
      <c r="A1407" s="308">
        <v>43465</v>
      </c>
      <c r="B1407" s="309" t="s">
        <v>485</v>
      </c>
      <c r="C1407" s="309" t="s">
        <v>490</v>
      </c>
      <c r="D1407" s="136" t="str">
        <f t="array" ref="D1407">IF(E1407=0,0,(INDEX(AccountCodes[ACCOUNT NAME],MATCH(E1407,AccountCodes[NGAS CODE],0))))</f>
        <v>Pag-IBIG Contributions</v>
      </c>
      <c r="E1407" s="309" t="s">
        <v>176</v>
      </c>
      <c r="F1407" s="501">
        <v>1000</v>
      </c>
    </row>
    <row r="1408" spans="1:6" x14ac:dyDescent="0.25">
      <c r="A1408" s="308">
        <v>43131</v>
      </c>
      <c r="B1408" s="309" t="s">
        <v>485</v>
      </c>
      <c r="C1408" s="309" t="s">
        <v>490</v>
      </c>
      <c r="D1408" s="136" t="str">
        <f t="array" ref="D1408">IF(E1408=0,0,(INDEX(AccountCodes[ACCOUNT NAME],MATCH(E1408,AccountCodes[NGAS CODE],0))))</f>
        <v>PhilHealth Contributions</v>
      </c>
      <c r="E1408" s="309" t="s">
        <v>177</v>
      </c>
      <c r="F1408" s="501">
        <v>3188</v>
      </c>
    </row>
    <row r="1409" spans="1:6" x14ac:dyDescent="0.25">
      <c r="A1409" s="308">
        <v>43159</v>
      </c>
      <c r="B1409" s="309" t="s">
        <v>485</v>
      </c>
      <c r="C1409" s="309" t="s">
        <v>490</v>
      </c>
      <c r="D1409" s="136" t="str">
        <f t="array" ref="D1409">IF(E1409=0,0,(INDEX(AccountCodes[ACCOUNT NAME],MATCH(E1409,AccountCodes[NGAS CODE],0))))</f>
        <v>PhilHealth Contributions</v>
      </c>
      <c r="E1409" s="309" t="s">
        <v>177</v>
      </c>
      <c r="F1409" s="501">
        <v>3188</v>
      </c>
    </row>
    <row r="1410" spans="1:6" x14ac:dyDescent="0.25">
      <c r="A1410" s="308">
        <v>43190</v>
      </c>
      <c r="B1410" s="309" t="s">
        <v>485</v>
      </c>
      <c r="C1410" s="309" t="s">
        <v>490</v>
      </c>
      <c r="D1410" s="136" t="str">
        <f t="array" ref="D1410">IF(E1410=0,0,(INDEX(AccountCodes[ACCOUNT NAME],MATCH(E1410,AccountCodes[NGAS CODE],0))))</f>
        <v>PhilHealth Contributions</v>
      </c>
      <c r="E1410" s="309" t="s">
        <v>177</v>
      </c>
      <c r="F1410" s="501">
        <v>3188</v>
      </c>
    </row>
    <row r="1411" spans="1:6" x14ac:dyDescent="0.25">
      <c r="A1411" s="308">
        <v>43220</v>
      </c>
      <c r="B1411" s="309" t="s">
        <v>485</v>
      </c>
      <c r="C1411" s="309" t="s">
        <v>490</v>
      </c>
      <c r="D1411" s="136" t="str">
        <f t="array" ref="D1411">IF(E1411=0,0,(INDEX(AccountCodes[ACCOUNT NAME],MATCH(E1411,AccountCodes[NGAS CODE],0))))</f>
        <v>PhilHealth Contributions</v>
      </c>
      <c r="E1411" s="309" t="s">
        <v>177</v>
      </c>
      <c r="F1411" s="501">
        <v>3188</v>
      </c>
    </row>
    <row r="1412" spans="1:6" x14ac:dyDescent="0.25">
      <c r="A1412" s="308">
        <v>43251</v>
      </c>
      <c r="B1412" s="309" t="s">
        <v>485</v>
      </c>
      <c r="C1412" s="309" t="s">
        <v>490</v>
      </c>
      <c r="D1412" s="136" t="str">
        <f t="array" ref="D1412">IF(E1412=0,0,(INDEX(AccountCodes[ACCOUNT NAME],MATCH(E1412,AccountCodes[NGAS CODE],0))))</f>
        <v>PhilHealth Contributions</v>
      </c>
      <c r="E1412" s="309" t="s">
        <v>177</v>
      </c>
      <c r="F1412" s="501">
        <v>3188</v>
      </c>
    </row>
    <row r="1413" spans="1:6" x14ac:dyDescent="0.25">
      <c r="A1413" s="308">
        <v>43281</v>
      </c>
      <c r="B1413" s="309" t="s">
        <v>485</v>
      </c>
      <c r="C1413" s="309" t="s">
        <v>490</v>
      </c>
      <c r="D1413" s="136" t="str">
        <f t="array" ref="D1413">IF(E1413=0,0,(INDEX(AccountCodes[ACCOUNT NAME],MATCH(E1413,AccountCodes[NGAS CODE],0))))</f>
        <v>PhilHealth Contributions</v>
      </c>
      <c r="E1413" s="309" t="s">
        <v>177</v>
      </c>
      <c r="F1413" s="501">
        <v>3188</v>
      </c>
    </row>
    <row r="1414" spans="1:6" x14ac:dyDescent="0.25">
      <c r="A1414" s="308">
        <v>43312</v>
      </c>
      <c r="B1414" s="309" t="s">
        <v>485</v>
      </c>
      <c r="C1414" s="309" t="s">
        <v>490</v>
      </c>
      <c r="D1414" s="136" t="str">
        <f t="array" ref="D1414">IF(E1414=0,0,(INDEX(AccountCodes[ACCOUNT NAME],MATCH(E1414,AccountCodes[NGAS CODE],0))))</f>
        <v>PhilHealth Contributions</v>
      </c>
      <c r="E1414" s="309" t="s">
        <v>177</v>
      </c>
      <c r="F1414" s="501">
        <v>3188</v>
      </c>
    </row>
    <row r="1415" spans="1:6" x14ac:dyDescent="0.25">
      <c r="A1415" s="308">
        <v>43343</v>
      </c>
      <c r="B1415" s="309" t="s">
        <v>485</v>
      </c>
      <c r="C1415" s="309" t="s">
        <v>490</v>
      </c>
      <c r="D1415" s="136" t="str">
        <f t="array" ref="D1415">IF(E1415=0,0,(INDEX(AccountCodes[ACCOUNT NAME],MATCH(E1415,AccountCodes[NGAS CODE],0))))</f>
        <v>PhilHealth Contributions</v>
      </c>
      <c r="E1415" s="309" t="s">
        <v>177</v>
      </c>
      <c r="F1415" s="501">
        <v>3188</v>
      </c>
    </row>
    <row r="1416" spans="1:6" x14ac:dyDescent="0.25">
      <c r="A1416" s="308">
        <v>43373</v>
      </c>
      <c r="B1416" s="309" t="s">
        <v>485</v>
      </c>
      <c r="C1416" s="309" t="s">
        <v>490</v>
      </c>
      <c r="D1416" s="136" t="str">
        <f t="array" ref="D1416">IF(E1416=0,0,(INDEX(AccountCodes[ACCOUNT NAME],MATCH(E1416,AccountCodes[NGAS CODE],0))))</f>
        <v>PhilHealth Contributions</v>
      </c>
      <c r="E1416" s="309" t="s">
        <v>177</v>
      </c>
      <c r="F1416" s="501">
        <v>3188</v>
      </c>
    </row>
    <row r="1417" spans="1:6" x14ac:dyDescent="0.25">
      <c r="A1417" s="308">
        <v>43404</v>
      </c>
      <c r="B1417" s="309" t="s">
        <v>485</v>
      </c>
      <c r="C1417" s="309" t="s">
        <v>490</v>
      </c>
      <c r="D1417" s="136" t="str">
        <f t="array" ref="D1417">IF(E1417=0,0,(INDEX(AccountCodes[ACCOUNT NAME],MATCH(E1417,AccountCodes[NGAS CODE],0))))</f>
        <v>PhilHealth Contributions</v>
      </c>
      <c r="E1417" s="309" t="s">
        <v>177</v>
      </c>
      <c r="F1417" s="501">
        <v>3188</v>
      </c>
    </row>
    <row r="1418" spans="1:6" x14ac:dyDescent="0.25">
      <c r="A1418" s="308">
        <v>43434</v>
      </c>
      <c r="B1418" s="309" t="s">
        <v>485</v>
      </c>
      <c r="C1418" s="309" t="s">
        <v>490</v>
      </c>
      <c r="D1418" s="136" t="str">
        <f t="array" ref="D1418">IF(E1418=0,0,(INDEX(AccountCodes[ACCOUNT NAME],MATCH(E1418,AccountCodes[NGAS CODE],0))))</f>
        <v>PhilHealth Contributions</v>
      </c>
      <c r="E1418" s="309" t="s">
        <v>177</v>
      </c>
      <c r="F1418" s="501">
        <v>3188</v>
      </c>
    </row>
    <row r="1419" spans="1:6" x14ac:dyDescent="0.25">
      <c r="A1419" s="308">
        <v>43465</v>
      </c>
      <c r="B1419" s="309" t="s">
        <v>485</v>
      </c>
      <c r="C1419" s="309" t="s">
        <v>490</v>
      </c>
      <c r="D1419" s="136" t="str">
        <f t="array" ref="D1419">IF(E1419=0,0,(INDEX(AccountCodes[ACCOUNT NAME],MATCH(E1419,AccountCodes[NGAS CODE],0))))</f>
        <v>PhilHealth Contributions</v>
      </c>
      <c r="E1419" s="309" t="s">
        <v>177</v>
      </c>
      <c r="F1419" s="501">
        <v>3188</v>
      </c>
    </row>
    <row r="1420" spans="1:6" x14ac:dyDescent="0.25">
      <c r="A1420" s="308">
        <v>43131</v>
      </c>
      <c r="B1420" s="309" t="s">
        <v>485</v>
      </c>
      <c r="C1420" s="309" t="s">
        <v>490</v>
      </c>
      <c r="D1420" s="136" t="str">
        <f t="array" ref="D1420">IF(E1420=0,0,(INDEX(AccountCodes[ACCOUNT NAME],MATCH(E1420,AccountCodes[NGAS CODE],0))))</f>
        <v>Employees Compensation Insurance Premiums</v>
      </c>
      <c r="E1420" s="309" t="s">
        <v>178</v>
      </c>
      <c r="F1420" s="501">
        <v>1000</v>
      </c>
    </row>
    <row r="1421" spans="1:6" x14ac:dyDescent="0.25">
      <c r="A1421" s="308">
        <v>43159</v>
      </c>
      <c r="B1421" s="309" t="s">
        <v>485</v>
      </c>
      <c r="C1421" s="309" t="s">
        <v>490</v>
      </c>
      <c r="D1421" s="136" t="str">
        <f t="array" ref="D1421">IF(E1421=0,0,(INDEX(AccountCodes[ACCOUNT NAME],MATCH(E1421,AccountCodes[NGAS CODE],0))))</f>
        <v>Employees Compensation Insurance Premiums</v>
      </c>
      <c r="E1421" s="309" t="s">
        <v>178</v>
      </c>
      <c r="F1421" s="501">
        <v>1000</v>
      </c>
    </row>
    <row r="1422" spans="1:6" x14ac:dyDescent="0.25">
      <c r="A1422" s="308">
        <v>43190</v>
      </c>
      <c r="B1422" s="309" t="s">
        <v>485</v>
      </c>
      <c r="C1422" s="309" t="s">
        <v>490</v>
      </c>
      <c r="D1422" s="136" t="str">
        <f t="array" ref="D1422">IF(E1422=0,0,(INDEX(AccountCodes[ACCOUNT NAME],MATCH(E1422,AccountCodes[NGAS CODE],0))))</f>
        <v>Employees Compensation Insurance Premiums</v>
      </c>
      <c r="E1422" s="309" t="s">
        <v>178</v>
      </c>
      <c r="F1422" s="501">
        <v>1000</v>
      </c>
    </row>
    <row r="1423" spans="1:6" x14ac:dyDescent="0.25">
      <c r="A1423" s="308">
        <v>43220</v>
      </c>
      <c r="B1423" s="309" t="s">
        <v>485</v>
      </c>
      <c r="C1423" s="309" t="s">
        <v>490</v>
      </c>
      <c r="D1423" s="136" t="str">
        <f t="array" ref="D1423">IF(E1423=0,0,(INDEX(AccountCodes[ACCOUNT NAME],MATCH(E1423,AccountCodes[NGAS CODE],0))))</f>
        <v>Employees Compensation Insurance Premiums</v>
      </c>
      <c r="E1423" s="309" t="s">
        <v>178</v>
      </c>
      <c r="F1423" s="501">
        <v>1000</v>
      </c>
    </row>
    <row r="1424" spans="1:6" x14ac:dyDescent="0.25">
      <c r="A1424" s="308">
        <v>43251</v>
      </c>
      <c r="B1424" s="309" t="s">
        <v>485</v>
      </c>
      <c r="C1424" s="309" t="s">
        <v>490</v>
      </c>
      <c r="D1424" s="136" t="str">
        <f t="array" ref="D1424">IF(E1424=0,0,(INDEX(AccountCodes[ACCOUNT NAME],MATCH(E1424,AccountCodes[NGAS CODE],0))))</f>
        <v>Employees Compensation Insurance Premiums</v>
      </c>
      <c r="E1424" s="309" t="s">
        <v>178</v>
      </c>
      <c r="F1424" s="501">
        <v>1000</v>
      </c>
    </row>
    <row r="1425" spans="1:6" x14ac:dyDescent="0.25">
      <c r="A1425" s="308">
        <v>43281</v>
      </c>
      <c r="B1425" s="309" t="s">
        <v>485</v>
      </c>
      <c r="C1425" s="309" t="s">
        <v>490</v>
      </c>
      <c r="D1425" s="136" t="str">
        <f t="array" ref="D1425">IF(E1425=0,0,(INDEX(AccountCodes[ACCOUNT NAME],MATCH(E1425,AccountCodes[NGAS CODE],0))))</f>
        <v>Employees Compensation Insurance Premiums</v>
      </c>
      <c r="E1425" s="309" t="s">
        <v>178</v>
      </c>
      <c r="F1425" s="501">
        <v>1000</v>
      </c>
    </row>
    <row r="1426" spans="1:6" x14ac:dyDescent="0.25">
      <c r="A1426" s="308">
        <v>43312</v>
      </c>
      <c r="B1426" s="309" t="s">
        <v>485</v>
      </c>
      <c r="C1426" s="309" t="s">
        <v>490</v>
      </c>
      <c r="D1426" s="136" t="str">
        <f t="array" ref="D1426">IF(E1426=0,0,(INDEX(AccountCodes[ACCOUNT NAME],MATCH(E1426,AccountCodes[NGAS CODE],0))))</f>
        <v>Employees Compensation Insurance Premiums</v>
      </c>
      <c r="E1426" s="309" t="s">
        <v>178</v>
      </c>
      <c r="F1426" s="501">
        <v>1000</v>
      </c>
    </row>
    <row r="1427" spans="1:6" x14ac:dyDescent="0.25">
      <c r="A1427" s="308">
        <v>43343</v>
      </c>
      <c r="B1427" s="309" t="s">
        <v>485</v>
      </c>
      <c r="C1427" s="309" t="s">
        <v>490</v>
      </c>
      <c r="D1427" s="136" t="str">
        <f t="array" ref="D1427">IF(E1427=0,0,(INDEX(AccountCodes[ACCOUNT NAME],MATCH(E1427,AccountCodes[NGAS CODE],0))))</f>
        <v>Employees Compensation Insurance Premiums</v>
      </c>
      <c r="E1427" s="309" t="s">
        <v>178</v>
      </c>
      <c r="F1427" s="501">
        <v>1000</v>
      </c>
    </row>
    <row r="1428" spans="1:6" x14ac:dyDescent="0.25">
      <c r="A1428" s="308">
        <v>43373</v>
      </c>
      <c r="B1428" s="309" t="s">
        <v>485</v>
      </c>
      <c r="C1428" s="309" t="s">
        <v>490</v>
      </c>
      <c r="D1428" s="136" t="str">
        <f t="array" ref="D1428">IF(E1428=0,0,(INDEX(AccountCodes[ACCOUNT NAME],MATCH(E1428,AccountCodes[NGAS CODE],0))))</f>
        <v>Employees Compensation Insurance Premiums</v>
      </c>
      <c r="E1428" s="309" t="s">
        <v>178</v>
      </c>
      <c r="F1428" s="501">
        <v>1000</v>
      </c>
    </row>
    <row r="1429" spans="1:6" x14ac:dyDescent="0.25">
      <c r="A1429" s="308">
        <v>43404</v>
      </c>
      <c r="B1429" s="309" t="s">
        <v>485</v>
      </c>
      <c r="C1429" s="309" t="s">
        <v>490</v>
      </c>
      <c r="D1429" s="136" t="str">
        <f t="array" ref="D1429">IF(E1429=0,0,(INDEX(AccountCodes[ACCOUNT NAME],MATCH(E1429,AccountCodes[NGAS CODE],0))))</f>
        <v>Employees Compensation Insurance Premiums</v>
      </c>
      <c r="E1429" s="309" t="s">
        <v>178</v>
      </c>
      <c r="F1429" s="501">
        <v>1000</v>
      </c>
    </row>
    <row r="1430" spans="1:6" x14ac:dyDescent="0.25">
      <c r="A1430" s="308">
        <v>43434</v>
      </c>
      <c r="B1430" s="309" t="s">
        <v>485</v>
      </c>
      <c r="C1430" s="309" t="s">
        <v>490</v>
      </c>
      <c r="D1430" s="136" t="str">
        <f t="array" ref="D1430">IF(E1430=0,0,(INDEX(AccountCodes[ACCOUNT NAME],MATCH(E1430,AccountCodes[NGAS CODE],0))))</f>
        <v>Employees Compensation Insurance Premiums</v>
      </c>
      <c r="E1430" s="309" t="s">
        <v>178</v>
      </c>
      <c r="F1430" s="501">
        <v>1000</v>
      </c>
    </row>
    <row r="1431" spans="1:6" x14ac:dyDescent="0.25">
      <c r="A1431" s="308">
        <v>43465</v>
      </c>
      <c r="B1431" s="309" t="s">
        <v>485</v>
      </c>
      <c r="C1431" s="309" t="s">
        <v>490</v>
      </c>
      <c r="D1431" s="136" t="str">
        <f t="array" ref="D1431">IF(E1431=0,0,(INDEX(AccountCodes[ACCOUNT NAME],MATCH(E1431,AccountCodes[NGAS CODE],0))))</f>
        <v>Employees Compensation Insurance Premiums</v>
      </c>
      <c r="E1431" s="309" t="s">
        <v>178</v>
      </c>
      <c r="F1431" s="501">
        <v>1000</v>
      </c>
    </row>
    <row r="1432" spans="1:6" x14ac:dyDescent="0.25">
      <c r="A1432" s="308">
        <v>43131</v>
      </c>
      <c r="B1432" s="309" t="s">
        <v>485</v>
      </c>
      <c r="C1432" s="309" t="s">
        <v>490</v>
      </c>
      <c r="D1432" s="136" t="str">
        <f t="array" ref="D1432">IF(E1432=0,0,(INDEX(AccountCodes[ACCOUNT NAME],MATCH(E1432,AccountCodes[NGAS CODE],0))))</f>
        <v>Traveling Expenses-Local</v>
      </c>
      <c r="E1432" s="309" t="s">
        <v>223</v>
      </c>
      <c r="F1432" s="501">
        <v>1600</v>
      </c>
    </row>
    <row r="1433" spans="1:6" x14ac:dyDescent="0.25">
      <c r="A1433" s="308">
        <v>43159</v>
      </c>
      <c r="B1433" s="309" t="s">
        <v>485</v>
      </c>
      <c r="C1433" s="309" t="s">
        <v>490</v>
      </c>
      <c r="D1433" s="136" t="str">
        <f t="array" ref="D1433">IF(E1433=0,0,(INDEX(AccountCodes[ACCOUNT NAME],MATCH(E1433,AccountCodes[NGAS CODE],0))))</f>
        <v>Traveling Expenses-Local</v>
      </c>
      <c r="E1433" s="309" t="s">
        <v>223</v>
      </c>
      <c r="F1433" s="501">
        <v>1600</v>
      </c>
    </row>
    <row r="1434" spans="1:6" x14ac:dyDescent="0.25">
      <c r="A1434" s="308">
        <v>43190</v>
      </c>
      <c r="B1434" s="309" t="s">
        <v>485</v>
      </c>
      <c r="C1434" s="309" t="s">
        <v>490</v>
      </c>
      <c r="D1434" s="136" t="str">
        <f t="array" ref="D1434">IF(E1434=0,0,(INDEX(AccountCodes[ACCOUNT NAME],MATCH(E1434,AccountCodes[NGAS CODE],0))))</f>
        <v>Traveling Expenses-Local</v>
      </c>
      <c r="E1434" s="309" t="s">
        <v>223</v>
      </c>
      <c r="F1434" s="501">
        <v>1600</v>
      </c>
    </row>
    <row r="1435" spans="1:6" x14ac:dyDescent="0.25">
      <c r="A1435" s="308">
        <v>43220</v>
      </c>
      <c r="B1435" s="309" t="s">
        <v>485</v>
      </c>
      <c r="C1435" s="309" t="s">
        <v>490</v>
      </c>
      <c r="D1435" s="136" t="str">
        <f t="array" ref="D1435">IF(E1435=0,0,(INDEX(AccountCodes[ACCOUNT NAME],MATCH(E1435,AccountCodes[NGAS CODE],0))))</f>
        <v>Traveling Expenses-Local</v>
      </c>
      <c r="E1435" s="309" t="s">
        <v>223</v>
      </c>
      <c r="F1435" s="501">
        <v>1600</v>
      </c>
    </row>
    <row r="1436" spans="1:6" x14ac:dyDescent="0.25">
      <c r="A1436" s="308">
        <v>43251</v>
      </c>
      <c r="B1436" s="309" t="s">
        <v>485</v>
      </c>
      <c r="C1436" s="309" t="s">
        <v>490</v>
      </c>
      <c r="D1436" s="136" t="str">
        <f t="array" ref="D1436">IF(E1436=0,0,(INDEX(AccountCodes[ACCOUNT NAME],MATCH(E1436,AccountCodes[NGAS CODE],0))))</f>
        <v>Traveling Expenses-Local</v>
      </c>
      <c r="E1436" s="309" t="s">
        <v>223</v>
      </c>
      <c r="F1436" s="501">
        <v>1600</v>
      </c>
    </row>
    <row r="1437" spans="1:6" x14ac:dyDescent="0.25">
      <c r="A1437" s="308">
        <v>43281</v>
      </c>
      <c r="B1437" s="309" t="s">
        <v>485</v>
      </c>
      <c r="C1437" s="309" t="s">
        <v>490</v>
      </c>
      <c r="D1437" s="136" t="str">
        <f t="array" ref="D1437">IF(E1437=0,0,(INDEX(AccountCodes[ACCOUNT NAME],MATCH(E1437,AccountCodes[NGAS CODE],0))))</f>
        <v>Traveling Expenses-Local</v>
      </c>
      <c r="E1437" s="309" t="s">
        <v>223</v>
      </c>
      <c r="F1437" s="501">
        <v>1600</v>
      </c>
    </row>
    <row r="1438" spans="1:6" x14ac:dyDescent="0.25">
      <c r="A1438" s="308">
        <v>43312</v>
      </c>
      <c r="B1438" s="309" t="s">
        <v>485</v>
      </c>
      <c r="C1438" s="309" t="s">
        <v>490</v>
      </c>
      <c r="D1438" s="136" t="str">
        <f t="array" ref="D1438">IF(E1438=0,0,(INDEX(AccountCodes[ACCOUNT NAME],MATCH(E1438,AccountCodes[NGAS CODE],0))))</f>
        <v>Traveling Expenses-Local</v>
      </c>
      <c r="E1438" s="309" t="s">
        <v>223</v>
      </c>
      <c r="F1438" s="501">
        <v>1600</v>
      </c>
    </row>
    <row r="1439" spans="1:6" x14ac:dyDescent="0.25">
      <c r="A1439" s="308">
        <v>43343</v>
      </c>
      <c r="B1439" s="309" t="s">
        <v>485</v>
      </c>
      <c r="C1439" s="309" t="s">
        <v>490</v>
      </c>
      <c r="D1439" s="136" t="str">
        <f t="array" ref="D1439">IF(E1439=0,0,(INDEX(AccountCodes[ACCOUNT NAME],MATCH(E1439,AccountCodes[NGAS CODE],0))))</f>
        <v>Traveling Expenses-Local</v>
      </c>
      <c r="E1439" s="309" t="s">
        <v>223</v>
      </c>
      <c r="F1439" s="501">
        <v>1600</v>
      </c>
    </row>
    <row r="1440" spans="1:6" x14ac:dyDescent="0.25">
      <c r="A1440" s="308">
        <v>43373</v>
      </c>
      <c r="B1440" s="309" t="s">
        <v>485</v>
      </c>
      <c r="C1440" s="309" t="s">
        <v>490</v>
      </c>
      <c r="D1440" s="136" t="str">
        <f t="array" ref="D1440">IF(E1440=0,0,(INDEX(AccountCodes[ACCOUNT NAME],MATCH(E1440,AccountCodes[NGAS CODE],0))))</f>
        <v>Traveling Expenses-Local</v>
      </c>
      <c r="E1440" s="309" t="s">
        <v>223</v>
      </c>
      <c r="F1440" s="501">
        <v>1600</v>
      </c>
    </row>
    <row r="1441" spans="1:6" x14ac:dyDescent="0.25">
      <c r="A1441" s="308">
        <v>43404</v>
      </c>
      <c r="B1441" s="309" t="s">
        <v>485</v>
      </c>
      <c r="C1441" s="309" t="s">
        <v>490</v>
      </c>
      <c r="D1441" s="136" t="str">
        <f t="array" ref="D1441">IF(E1441=0,0,(INDEX(AccountCodes[ACCOUNT NAME],MATCH(E1441,AccountCodes[NGAS CODE],0))))</f>
        <v>Traveling Expenses-Local</v>
      </c>
      <c r="E1441" s="309" t="s">
        <v>223</v>
      </c>
      <c r="F1441" s="501">
        <v>1600</v>
      </c>
    </row>
    <row r="1442" spans="1:6" x14ac:dyDescent="0.25">
      <c r="A1442" s="308">
        <v>43434</v>
      </c>
      <c r="B1442" s="309" t="s">
        <v>485</v>
      </c>
      <c r="C1442" s="309" t="s">
        <v>490</v>
      </c>
      <c r="D1442" s="136" t="str">
        <f t="array" ref="D1442">IF(E1442=0,0,(INDEX(AccountCodes[ACCOUNT NAME],MATCH(E1442,AccountCodes[NGAS CODE],0))))</f>
        <v>Traveling Expenses-Local</v>
      </c>
      <c r="E1442" s="309" t="s">
        <v>223</v>
      </c>
      <c r="F1442" s="501">
        <v>1600</v>
      </c>
    </row>
    <row r="1443" spans="1:6" x14ac:dyDescent="0.25">
      <c r="A1443" s="308">
        <v>43465</v>
      </c>
      <c r="B1443" s="309" t="s">
        <v>485</v>
      </c>
      <c r="C1443" s="309" t="s">
        <v>490</v>
      </c>
      <c r="D1443" s="136" t="str">
        <f t="array" ref="D1443">IF(E1443=0,0,(INDEX(AccountCodes[ACCOUNT NAME],MATCH(E1443,AccountCodes[NGAS CODE],0))))</f>
        <v>Traveling Expenses-Local</v>
      </c>
      <c r="E1443" s="309" t="s">
        <v>223</v>
      </c>
      <c r="F1443" s="501">
        <v>1600</v>
      </c>
    </row>
    <row r="1444" spans="1:6" x14ac:dyDescent="0.25">
      <c r="A1444" s="308">
        <v>43131</v>
      </c>
      <c r="B1444" s="309" t="s">
        <v>485</v>
      </c>
      <c r="C1444" s="309" t="s">
        <v>490</v>
      </c>
      <c r="D1444" s="136" t="str">
        <f t="array" ref="D1444">IF(E1444=0,0,(INDEX(AccountCodes[ACCOUNT NAME],MATCH(E1444,AccountCodes[NGAS CODE],0))))</f>
        <v>Office Supplies Expenses</v>
      </c>
      <c r="E1444" s="309" t="s">
        <v>225</v>
      </c>
      <c r="F1444" s="501">
        <v>45000</v>
      </c>
    </row>
    <row r="1445" spans="1:6" x14ac:dyDescent="0.25">
      <c r="A1445" s="308">
        <v>43220</v>
      </c>
      <c r="B1445" s="309" t="s">
        <v>485</v>
      </c>
      <c r="C1445" s="309" t="s">
        <v>490</v>
      </c>
      <c r="D1445" s="136" t="str">
        <f t="array" ref="D1445">IF(E1445=0,0,(INDEX(AccountCodes[ACCOUNT NAME],MATCH(E1445,AccountCodes[NGAS CODE],0))))</f>
        <v>Office Supplies Expenses</v>
      </c>
      <c r="E1445" s="309" t="s">
        <v>225</v>
      </c>
      <c r="F1445" s="501">
        <v>45000</v>
      </c>
    </row>
    <row r="1446" spans="1:6" x14ac:dyDescent="0.25">
      <c r="A1446" s="308">
        <v>43312</v>
      </c>
      <c r="B1446" s="309" t="s">
        <v>485</v>
      </c>
      <c r="C1446" s="309" t="s">
        <v>490</v>
      </c>
      <c r="D1446" s="136" t="str">
        <f t="array" ref="D1446">IF(E1446=0,0,(INDEX(AccountCodes[ACCOUNT NAME],MATCH(E1446,AccountCodes[NGAS CODE],0))))</f>
        <v>Office Supplies Expenses</v>
      </c>
      <c r="E1446" s="309" t="s">
        <v>225</v>
      </c>
      <c r="F1446" s="501">
        <v>45000</v>
      </c>
    </row>
    <row r="1447" spans="1:6" x14ac:dyDescent="0.25">
      <c r="A1447" s="308">
        <v>43404</v>
      </c>
      <c r="B1447" s="309" t="s">
        <v>485</v>
      </c>
      <c r="C1447" s="309" t="s">
        <v>490</v>
      </c>
      <c r="D1447" s="136" t="str">
        <f t="array" ref="D1447">IF(E1447=0,0,(INDEX(AccountCodes[ACCOUNT NAME],MATCH(E1447,AccountCodes[NGAS CODE],0))))</f>
        <v>Office Supplies Expenses</v>
      </c>
      <c r="E1447" s="309" t="s">
        <v>225</v>
      </c>
      <c r="F1447" s="501">
        <v>45000</v>
      </c>
    </row>
    <row r="1448" spans="1:6" x14ac:dyDescent="0.25">
      <c r="A1448" s="308">
        <v>43131</v>
      </c>
      <c r="B1448" s="309" t="s">
        <v>485</v>
      </c>
      <c r="C1448" s="309" t="s">
        <v>490</v>
      </c>
      <c r="D1448" s="136" t="str">
        <f t="array" ref="D1448">IF(E1448=0,0,(INDEX(AccountCodes[ACCOUNT NAME],MATCH(E1448,AccountCodes[NGAS CODE],0))))</f>
        <v>Fuel, Oil and Lubricants Expenses</v>
      </c>
      <c r="E1448" s="309" t="s">
        <v>229</v>
      </c>
      <c r="F1448" s="501">
        <v>5000</v>
      </c>
    </row>
    <row r="1449" spans="1:6" x14ac:dyDescent="0.25">
      <c r="A1449" s="308">
        <v>43159</v>
      </c>
      <c r="B1449" s="309" t="s">
        <v>485</v>
      </c>
      <c r="C1449" s="309" t="s">
        <v>490</v>
      </c>
      <c r="D1449" s="136" t="str">
        <f t="array" ref="D1449">IF(E1449=0,0,(INDEX(AccountCodes[ACCOUNT NAME],MATCH(E1449,AccountCodes[NGAS CODE],0))))</f>
        <v>Fuel, Oil and Lubricants Expenses</v>
      </c>
      <c r="E1449" s="309" t="s">
        <v>229</v>
      </c>
      <c r="F1449" s="501">
        <v>5000</v>
      </c>
    </row>
    <row r="1450" spans="1:6" x14ac:dyDescent="0.25">
      <c r="A1450" s="308">
        <v>43190</v>
      </c>
      <c r="B1450" s="309" t="s">
        <v>485</v>
      </c>
      <c r="C1450" s="309" t="s">
        <v>490</v>
      </c>
      <c r="D1450" s="136" t="str">
        <f t="array" ref="D1450">IF(E1450=0,0,(INDEX(AccountCodes[ACCOUNT NAME],MATCH(E1450,AccountCodes[NGAS CODE],0))))</f>
        <v>Fuel, Oil and Lubricants Expenses</v>
      </c>
      <c r="E1450" s="309" t="s">
        <v>229</v>
      </c>
      <c r="F1450" s="501">
        <v>5000</v>
      </c>
    </row>
    <row r="1451" spans="1:6" x14ac:dyDescent="0.25">
      <c r="A1451" s="308">
        <v>43220</v>
      </c>
      <c r="B1451" s="309" t="s">
        <v>485</v>
      </c>
      <c r="C1451" s="309" t="s">
        <v>490</v>
      </c>
      <c r="D1451" s="136" t="str">
        <f t="array" ref="D1451">IF(E1451=0,0,(INDEX(AccountCodes[ACCOUNT NAME],MATCH(E1451,AccountCodes[NGAS CODE],0))))</f>
        <v>Fuel, Oil and Lubricants Expenses</v>
      </c>
      <c r="E1451" s="309" t="s">
        <v>229</v>
      </c>
      <c r="F1451" s="501">
        <v>5000</v>
      </c>
    </row>
    <row r="1452" spans="1:6" x14ac:dyDescent="0.25">
      <c r="A1452" s="308">
        <v>43251</v>
      </c>
      <c r="B1452" s="309" t="s">
        <v>485</v>
      </c>
      <c r="C1452" s="309" t="s">
        <v>490</v>
      </c>
      <c r="D1452" s="136" t="str">
        <f t="array" ref="D1452">IF(E1452=0,0,(INDEX(AccountCodes[ACCOUNT NAME],MATCH(E1452,AccountCodes[NGAS CODE],0))))</f>
        <v>Fuel, Oil and Lubricants Expenses</v>
      </c>
      <c r="E1452" s="309" t="s">
        <v>229</v>
      </c>
      <c r="F1452" s="501">
        <v>5000</v>
      </c>
    </row>
    <row r="1453" spans="1:6" x14ac:dyDescent="0.25">
      <c r="A1453" s="308">
        <v>43281</v>
      </c>
      <c r="B1453" s="309" t="s">
        <v>485</v>
      </c>
      <c r="C1453" s="309" t="s">
        <v>490</v>
      </c>
      <c r="D1453" s="136" t="str">
        <f t="array" ref="D1453">IF(E1453=0,0,(INDEX(AccountCodes[ACCOUNT NAME],MATCH(E1453,AccountCodes[NGAS CODE],0))))</f>
        <v>Fuel, Oil and Lubricants Expenses</v>
      </c>
      <c r="E1453" s="309" t="s">
        <v>229</v>
      </c>
      <c r="F1453" s="501">
        <v>5000</v>
      </c>
    </row>
    <row r="1454" spans="1:6" x14ac:dyDescent="0.25">
      <c r="A1454" s="308">
        <v>43312</v>
      </c>
      <c r="B1454" s="309" t="s">
        <v>485</v>
      </c>
      <c r="C1454" s="309" t="s">
        <v>490</v>
      </c>
      <c r="D1454" s="136" t="str">
        <f t="array" ref="D1454">IF(E1454=0,0,(INDEX(AccountCodes[ACCOUNT NAME],MATCH(E1454,AccountCodes[NGAS CODE],0))))</f>
        <v>Fuel, Oil and Lubricants Expenses</v>
      </c>
      <c r="E1454" s="309" t="s">
        <v>229</v>
      </c>
      <c r="F1454" s="501">
        <v>5000</v>
      </c>
    </row>
    <row r="1455" spans="1:6" x14ac:dyDescent="0.25">
      <c r="A1455" s="308">
        <v>43343</v>
      </c>
      <c r="B1455" s="309" t="s">
        <v>485</v>
      </c>
      <c r="C1455" s="309" t="s">
        <v>490</v>
      </c>
      <c r="D1455" s="136" t="str">
        <f t="array" ref="D1455">IF(E1455=0,0,(INDEX(AccountCodes[ACCOUNT NAME],MATCH(E1455,AccountCodes[NGAS CODE],0))))</f>
        <v>Fuel, Oil and Lubricants Expenses</v>
      </c>
      <c r="E1455" s="309" t="s">
        <v>229</v>
      </c>
      <c r="F1455" s="501">
        <v>5000</v>
      </c>
    </row>
    <row r="1456" spans="1:6" x14ac:dyDescent="0.25">
      <c r="A1456" s="308">
        <v>43373</v>
      </c>
      <c r="B1456" s="309" t="s">
        <v>485</v>
      </c>
      <c r="C1456" s="309" t="s">
        <v>490</v>
      </c>
      <c r="D1456" s="136" t="str">
        <f t="array" ref="D1456">IF(E1456=0,0,(INDEX(AccountCodes[ACCOUNT NAME],MATCH(E1456,AccountCodes[NGAS CODE],0))))</f>
        <v>Fuel, Oil and Lubricants Expenses</v>
      </c>
      <c r="E1456" s="309" t="s">
        <v>229</v>
      </c>
      <c r="F1456" s="501">
        <v>2000</v>
      </c>
    </row>
    <row r="1457" spans="1:6" x14ac:dyDescent="0.25">
      <c r="A1457" s="308">
        <v>43404</v>
      </c>
      <c r="B1457" s="309" t="s">
        <v>485</v>
      </c>
      <c r="C1457" s="309" t="s">
        <v>490</v>
      </c>
      <c r="D1457" s="136" t="str">
        <f t="array" ref="D1457">IF(E1457=0,0,(INDEX(AccountCodes[ACCOUNT NAME],MATCH(E1457,AccountCodes[NGAS CODE],0))))</f>
        <v>Fuel, Oil and Lubricants Expenses</v>
      </c>
      <c r="E1457" s="309" t="s">
        <v>229</v>
      </c>
      <c r="F1457" s="501">
        <v>5000</v>
      </c>
    </row>
    <row r="1458" spans="1:6" x14ac:dyDescent="0.25">
      <c r="A1458" s="308">
        <v>43434</v>
      </c>
      <c r="B1458" s="309" t="s">
        <v>485</v>
      </c>
      <c r="C1458" s="309" t="s">
        <v>490</v>
      </c>
      <c r="D1458" s="136" t="str">
        <f t="array" ref="D1458">IF(E1458=0,0,(INDEX(AccountCodes[ACCOUNT NAME],MATCH(E1458,AccountCodes[NGAS CODE],0))))</f>
        <v>Fuel, Oil and Lubricants Expenses</v>
      </c>
      <c r="E1458" s="309" t="s">
        <v>229</v>
      </c>
      <c r="F1458" s="501">
        <v>2000</v>
      </c>
    </row>
    <row r="1459" spans="1:6" x14ac:dyDescent="0.25">
      <c r="A1459" s="308">
        <v>43465</v>
      </c>
      <c r="B1459" s="309" t="s">
        <v>485</v>
      </c>
      <c r="C1459" s="309" t="s">
        <v>490</v>
      </c>
      <c r="D1459" s="136" t="str">
        <f t="array" ref="D1459">IF(E1459=0,0,(INDEX(AccountCodes[ACCOUNT NAME],MATCH(E1459,AccountCodes[NGAS CODE],0))))</f>
        <v>Fuel, Oil and Lubricants Expenses</v>
      </c>
      <c r="E1459" s="309" t="s">
        <v>229</v>
      </c>
      <c r="F1459" s="501">
        <v>5000</v>
      </c>
    </row>
    <row r="1460" spans="1:6" x14ac:dyDescent="0.25">
      <c r="A1460" s="308">
        <v>43131</v>
      </c>
      <c r="B1460" s="309" t="s">
        <v>485</v>
      </c>
      <c r="C1460" s="309" t="s">
        <v>490</v>
      </c>
      <c r="D1460" s="136" t="str">
        <f t="array" ref="D1460">IF(E1460=0,0,(INDEX(AccountCodes[ACCOUNT NAME],MATCH(E1460,AccountCodes[NGAS CODE],0))))</f>
        <v>Water Expenses</v>
      </c>
      <c r="E1460" s="309" t="s">
        <v>232</v>
      </c>
      <c r="F1460" s="501">
        <v>200</v>
      </c>
    </row>
    <row r="1461" spans="1:6" x14ac:dyDescent="0.25">
      <c r="A1461" s="308">
        <v>43159</v>
      </c>
      <c r="B1461" s="309" t="s">
        <v>485</v>
      </c>
      <c r="C1461" s="309" t="s">
        <v>490</v>
      </c>
      <c r="D1461" s="136" t="str">
        <f t="array" ref="D1461">IF(E1461=0,0,(INDEX(AccountCodes[ACCOUNT NAME],MATCH(E1461,AccountCodes[NGAS CODE],0))))</f>
        <v>Water Expenses</v>
      </c>
      <c r="E1461" s="309" t="s">
        <v>232</v>
      </c>
      <c r="F1461" s="501">
        <v>200</v>
      </c>
    </row>
    <row r="1462" spans="1:6" x14ac:dyDescent="0.25">
      <c r="A1462" s="308">
        <v>43190</v>
      </c>
      <c r="B1462" s="309" t="s">
        <v>485</v>
      </c>
      <c r="C1462" s="309" t="s">
        <v>490</v>
      </c>
      <c r="D1462" s="136" t="str">
        <f t="array" ref="D1462">IF(E1462=0,0,(INDEX(AccountCodes[ACCOUNT NAME],MATCH(E1462,AccountCodes[NGAS CODE],0))))</f>
        <v>Water Expenses</v>
      </c>
      <c r="E1462" s="309" t="s">
        <v>232</v>
      </c>
      <c r="F1462" s="501">
        <v>200</v>
      </c>
    </row>
    <row r="1463" spans="1:6" x14ac:dyDescent="0.25">
      <c r="A1463" s="308">
        <v>43220</v>
      </c>
      <c r="B1463" s="309" t="s">
        <v>485</v>
      </c>
      <c r="C1463" s="309" t="s">
        <v>490</v>
      </c>
      <c r="D1463" s="136" t="str">
        <f t="array" ref="D1463">IF(E1463=0,0,(INDEX(AccountCodes[ACCOUNT NAME],MATCH(E1463,AccountCodes[NGAS CODE],0))))</f>
        <v>Water Expenses</v>
      </c>
      <c r="E1463" s="309" t="s">
        <v>232</v>
      </c>
      <c r="F1463" s="501">
        <v>200</v>
      </c>
    </row>
    <row r="1464" spans="1:6" x14ac:dyDescent="0.25">
      <c r="A1464" s="308">
        <v>43251</v>
      </c>
      <c r="B1464" s="309" t="s">
        <v>485</v>
      </c>
      <c r="C1464" s="309" t="s">
        <v>490</v>
      </c>
      <c r="D1464" s="136" t="str">
        <f t="array" ref="D1464">IF(E1464=0,0,(INDEX(AccountCodes[ACCOUNT NAME],MATCH(E1464,AccountCodes[NGAS CODE],0))))</f>
        <v>Water Expenses</v>
      </c>
      <c r="E1464" s="309" t="s">
        <v>232</v>
      </c>
      <c r="F1464" s="501">
        <v>200</v>
      </c>
    </row>
    <row r="1465" spans="1:6" x14ac:dyDescent="0.25">
      <c r="A1465" s="308">
        <v>43281</v>
      </c>
      <c r="B1465" s="309" t="s">
        <v>485</v>
      </c>
      <c r="C1465" s="309" t="s">
        <v>490</v>
      </c>
      <c r="D1465" s="136" t="str">
        <f t="array" ref="D1465">IF(E1465=0,0,(INDEX(AccountCodes[ACCOUNT NAME],MATCH(E1465,AccountCodes[NGAS CODE],0))))</f>
        <v>Water Expenses</v>
      </c>
      <c r="E1465" s="309" t="s">
        <v>232</v>
      </c>
      <c r="F1465" s="501">
        <v>200</v>
      </c>
    </row>
    <row r="1466" spans="1:6" x14ac:dyDescent="0.25">
      <c r="A1466" s="308">
        <v>43312</v>
      </c>
      <c r="B1466" s="309" t="s">
        <v>485</v>
      </c>
      <c r="C1466" s="309" t="s">
        <v>490</v>
      </c>
      <c r="D1466" s="136" t="str">
        <f t="array" ref="D1466">IF(E1466=0,0,(INDEX(AccountCodes[ACCOUNT NAME],MATCH(E1466,AccountCodes[NGAS CODE],0))))</f>
        <v>Water Expenses</v>
      </c>
      <c r="E1466" s="309" t="s">
        <v>232</v>
      </c>
      <c r="F1466" s="501">
        <v>200</v>
      </c>
    </row>
    <row r="1467" spans="1:6" x14ac:dyDescent="0.25">
      <c r="A1467" s="308">
        <v>43343</v>
      </c>
      <c r="B1467" s="309" t="s">
        <v>485</v>
      </c>
      <c r="C1467" s="309" t="s">
        <v>490</v>
      </c>
      <c r="D1467" s="136" t="str">
        <f t="array" ref="D1467">IF(E1467=0,0,(INDEX(AccountCodes[ACCOUNT NAME],MATCH(E1467,AccountCodes[NGAS CODE],0))))</f>
        <v>Water Expenses</v>
      </c>
      <c r="E1467" s="309" t="s">
        <v>232</v>
      </c>
      <c r="F1467" s="501">
        <v>200</v>
      </c>
    </row>
    <row r="1468" spans="1:6" x14ac:dyDescent="0.25">
      <c r="A1468" s="308">
        <v>43373</v>
      </c>
      <c r="B1468" s="309" t="s">
        <v>485</v>
      </c>
      <c r="C1468" s="309" t="s">
        <v>490</v>
      </c>
      <c r="D1468" s="136" t="str">
        <f t="array" ref="D1468">IF(E1468=0,0,(INDEX(AccountCodes[ACCOUNT NAME],MATCH(E1468,AccountCodes[NGAS CODE],0))))</f>
        <v>Water Expenses</v>
      </c>
      <c r="E1468" s="309" t="s">
        <v>232</v>
      </c>
      <c r="F1468" s="501">
        <v>200</v>
      </c>
    </row>
    <row r="1469" spans="1:6" x14ac:dyDescent="0.25">
      <c r="A1469" s="308">
        <v>43404</v>
      </c>
      <c r="B1469" s="309" t="s">
        <v>485</v>
      </c>
      <c r="C1469" s="309" t="s">
        <v>490</v>
      </c>
      <c r="D1469" s="136" t="str">
        <f t="array" ref="D1469">IF(E1469=0,0,(INDEX(AccountCodes[ACCOUNT NAME],MATCH(E1469,AccountCodes[NGAS CODE],0))))</f>
        <v>Water Expenses</v>
      </c>
      <c r="E1469" s="309" t="s">
        <v>232</v>
      </c>
      <c r="F1469" s="501">
        <v>200</v>
      </c>
    </row>
    <row r="1470" spans="1:6" x14ac:dyDescent="0.25">
      <c r="A1470" s="308">
        <v>43434</v>
      </c>
      <c r="B1470" s="309" t="s">
        <v>485</v>
      </c>
      <c r="C1470" s="309" t="s">
        <v>490</v>
      </c>
      <c r="D1470" s="136" t="str">
        <f t="array" ref="D1470">IF(E1470=0,0,(INDEX(AccountCodes[ACCOUNT NAME],MATCH(E1470,AccountCodes[NGAS CODE],0))))</f>
        <v>Water Expenses</v>
      </c>
      <c r="E1470" s="309" t="s">
        <v>232</v>
      </c>
      <c r="F1470" s="501">
        <v>200</v>
      </c>
    </row>
    <row r="1471" spans="1:6" x14ac:dyDescent="0.25">
      <c r="A1471" s="308">
        <v>43465</v>
      </c>
      <c r="B1471" s="309" t="s">
        <v>485</v>
      </c>
      <c r="C1471" s="309" t="s">
        <v>490</v>
      </c>
      <c r="D1471" s="136" t="str">
        <f t="array" ref="D1471">IF(E1471=0,0,(INDEX(AccountCodes[ACCOUNT NAME],MATCH(E1471,AccountCodes[NGAS CODE],0))))</f>
        <v>Water Expenses</v>
      </c>
      <c r="E1471" s="309" t="s">
        <v>232</v>
      </c>
      <c r="F1471" s="501">
        <v>200</v>
      </c>
    </row>
    <row r="1472" spans="1:6" x14ac:dyDescent="0.25">
      <c r="A1472" s="308">
        <v>43404</v>
      </c>
      <c r="B1472" s="309" t="s">
        <v>485</v>
      </c>
      <c r="C1472" s="309" t="s">
        <v>490</v>
      </c>
      <c r="D1472" s="136" t="str">
        <f t="array" ref="D1472">IF(E1472=0,0,(INDEX(AccountCodes[ACCOUNT NAME],MATCH(E1472,AccountCodes[NGAS CODE],0))))</f>
        <v>Repairs and Maintenance-Transportation Equipment - Motor Vehicles</v>
      </c>
      <c r="E1472" s="309" t="s">
        <v>262</v>
      </c>
      <c r="F1472" s="501">
        <v>50000</v>
      </c>
    </row>
    <row r="1473" spans="1:6" x14ac:dyDescent="0.25">
      <c r="A1473" s="308">
        <v>43159</v>
      </c>
      <c r="B1473" s="309" t="s">
        <v>485</v>
      </c>
      <c r="C1473" s="309" t="s">
        <v>490</v>
      </c>
      <c r="D1473" s="136" t="str">
        <f t="array" ref="D1473">IF(E1473=0,0,(INDEX(AccountCodes[ACCOUNT NAME],MATCH(E1473,AccountCodes[NGAS CODE],0))))</f>
        <v>Taxes, Duties and Licenses</v>
      </c>
      <c r="E1473" s="309" t="s">
        <v>272</v>
      </c>
      <c r="F1473" s="501">
        <v>1412</v>
      </c>
    </row>
    <row r="1474" spans="1:6" x14ac:dyDescent="0.25">
      <c r="A1474" s="308">
        <v>43190</v>
      </c>
      <c r="B1474" s="309" t="s">
        <v>485</v>
      </c>
      <c r="C1474" s="309" t="s">
        <v>490</v>
      </c>
      <c r="D1474" s="136" t="str">
        <f t="array" ref="D1474">IF(E1474=0,0,(INDEX(AccountCodes[ACCOUNT NAME],MATCH(E1474,AccountCodes[NGAS CODE],0))))</f>
        <v>Taxes, Duties and Licenses</v>
      </c>
      <c r="E1474" s="309" t="s">
        <v>272</v>
      </c>
      <c r="F1474" s="501">
        <v>9094</v>
      </c>
    </row>
    <row r="1475" spans="1:6" x14ac:dyDescent="0.25">
      <c r="A1475" s="308">
        <v>43281</v>
      </c>
      <c r="B1475" s="309" t="s">
        <v>485</v>
      </c>
      <c r="C1475" s="309" t="s">
        <v>490</v>
      </c>
      <c r="D1475" s="136" t="str">
        <f t="array" ref="D1475">IF(E1475=0,0,(INDEX(AccountCodes[ACCOUNT NAME],MATCH(E1475,AccountCodes[NGAS CODE],0))))</f>
        <v>Taxes, Duties and Licenses</v>
      </c>
      <c r="E1475" s="309" t="s">
        <v>272</v>
      </c>
      <c r="F1475" s="501">
        <v>20844</v>
      </c>
    </row>
    <row r="1476" spans="1:6" x14ac:dyDescent="0.25">
      <c r="A1476" s="308">
        <v>43373</v>
      </c>
      <c r="B1476" s="309" t="s">
        <v>485</v>
      </c>
      <c r="C1476" s="309" t="s">
        <v>490</v>
      </c>
      <c r="D1476" s="136" t="str">
        <f t="array" ref="D1476">IF(E1476=0,0,(INDEX(AccountCodes[ACCOUNT NAME],MATCH(E1476,AccountCodes[NGAS CODE],0))))</f>
        <v>Taxes, Duties and Licenses</v>
      </c>
      <c r="E1476" s="309" t="s">
        <v>272</v>
      </c>
      <c r="F1476" s="501">
        <v>6000</v>
      </c>
    </row>
    <row r="1477" spans="1:6" x14ac:dyDescent="0.25">
      <c r="A1477" s="308">
        <v>43404</v>
      </c>
      <c r="B1477" s="309" t="s">
        <v>485</v>
      </c>
      <c r="C1477" s="309" t="s">
        <v>490</v>
      </c>
      <c r="D1477" s="136" t="str">
        <f t="array" ref="D1477">IF(E1477=0,0,(INDEX(AccountCodes[ACCOUNT NAME],MATCH(E1477,AccountCodes[NGAS CODE],0))))</f>
        <v>Taxes, Duties and Licenses</v>
      </c>
      <c r="E1477" s="309" t="s">
        <v>272</v>
      </c>
      <c r="F1477" s="501">
        <v>13170.15</v>
      </c>
    </row>
    <row r="1478" spans="1:6" x14ac:dyDescent="0.25">
      <c r="A1478" s="308">
        <v>43220</v>
      </c>
      <c r="B1478" s="309" t="s">
        <v>485</v>
      </c>
      <c r="C1478" s="309" t="s">
        <v>490</v>
      </c>
      <c r="D1478" s="136" t="str">
        <f t="array" ref="D1478">IF(E1478=0,0,(INDEX(AccountCodes[ACCOUNT NAME],MATCH(E1478,AccountCodes[NGAS CODE],0))))</f>
        <v>Other Maintenance and Operating Expenses (Irrigator's Share/Remuneration/Subsidy)</v>
      </c>
      <c r="E1478" s="309" t="s">
        <v>333</v>
      </c>
      <c r="F1478" s="501">
        <v>359809.5</v>
      </c>
    </row>
    <row r="1479" spans="1:6" x14ac:dyDescent="0.25">
      <c r="A1479" s="308">
        <v>43312</v>
      </c>
      <c r="B1479" s="309" t="s">
        <v>485</v>
      </c>
      <c r="C1479" s="309" t="s">
        <v>490</v>
      </c>
      <c r="D1479" s="136" t="str">
        <f t="array" ref="D1479">IF(E1479=0,0,(INDEX(AccountCodes[ACCOUNT NAME],MATCH(E1479,AccountCodes[NGAS CODE],0))))</f>
        <v>Other Maintenance and Operating Expenses (Irrigator's Share/Remuneration/Subsidy)</v>
      </c>
      <c r="E1479" s="309" t="s">
        <v>333</v>
      </c>
      <c r="F1479" s="501">
        <v>203757.8</v>
      </c>
    </row>
    <row r="1480" spans="1:6" x14ac:dyDescent="0.25">
      <c r="A1480" s="308">
        <v>43465</v>
      </c>
      <c r="B1480" s="309" t="s">
        <v>485</v>
      </c>
      <c r="C1480" s="309" t="s">
        <v>490</v>
      </c>
      <c r="D1480" s="136" t="str">
        <f t="array" ref="D1480">IF(E1480=0,0,(INDEX(AccountCodes[ACCOUNT NAME],MATCH(E1480,AccountCodes[NGAS CODE],0))))</f>
        <v>Other Maintenance and Operating Expenses (Irrigator's Share/Remuneration/Subsidy)</v>
      </c>
      <c r="E1480" s="309" t="s">
        <v>333</v>
      </c>
      <c r="F1480" s="501">
        <v>1073166.75</v>
      </c>
    </row>
    <row r="1481" spans="1:6" x14ac:dyDescent="0.25">
      <c r="A1481" s="308">
        <v>43251</v>
      </c>
      <c r="B1481" s="309" t="s">
        <v>485</v>
      </c>
      <c r="C1481" s="309" t="s">
        <v>490</v>
      </c>
      <c r="D1481" s="136" t="str">
        <f t="array" ref="D1481">IF(E1481=0,0,(INDEX(AccountCodes[ACCOUNT NAME],MATCH(E1481,AccountCodes[NGAS CODE],0))))</f>
        <v>Repairs and Maintenance-Infrastructure Assets - Other Infrastructure Assets (Irrigation Canal &amp; Laterals)</v>
      </c>
      <c r="E1481" s="309" t="s">
        <v>267</v>
      </c>
      <c r="F1481" s="501">
        <v>500000</v>
      </c>
    </row>
    <row r="1482" spans="1:6" x14ac:dyDescent="0.25">
      <c r="A1482" s="308"/>
      <c r="D1482" s="136">
        <f t="array" ref="D1482">IF(E1482=0,0,(INDEX(AccountCodes[ACCOUNT NAME],MATCH(E1482,AccountCodes[NGAS CODE],0))))</f>
        <v>0</v>
      </c>
      <c r="E1482" s="309"/>
      <c r="F1482" s="501"/>
    </row>
    <row r="1483" spans="1:6" x14ac:dyDescent="0.25">
      <c r="A1483" s="308">
        <v>43131</v>
      </c>
      <c r="B1483" s="309" t="s">
        <v>485</v>
      </c>
      <c r="C1483" s="309" t="s">
        <v>491</v>
      </c>
      <c r="D1483" s="136" t="str">
        <f t="array" ref="D1483">IF(E1483=0,0,(INDEX(AccountCodes[ACCOUNT NAME],MATCH(E1483,AccountCodes[NGAS CODE],0))))</f>
        <v>Salaries and Wages-Regular</v>
      </c>
      <c r="E1483" s="309" t="s">
        <v>162</v>
      </c>
      <c r="F1483" s="501">
        <v>60331</v>
      </c>
    </row>
    <row r="1484" spans="1:6" x14ac:dyDescent="0.25">
      <c r="A1484" s="308">
        <v>43159</v>
      </c>
      <c r="B1484" s="309" t="s">
        <v>485</v>
      </c>
      <c r="C1484" s="309" t="s">
        <v>491</v>
      </c>
      <c r="D1484" s="136" t="str">
        <f t="array" ref="D1484">IF(E1484=0,0,(INDEX(AccountCodes[ACCOUNT NAME],MATCH(E1484,AccountCodes[NGAS CODE],0))))</f>
        <v>Salaries and Wages-Regular</v>
      </c>
      <c r="E1484" s="309" t="s">
        <v>162</v>
      </c>
      <c r="F1484" s="501">
        <v>60331</v>
      </c>
    </row>
    <row r="1485" spans="1:6" x14ac:dyDescent="0.25">
      <c r="A1485" s="308">
        <v>43190</v>
      </c>
      <c r="B1485" s="309" t="s">
        <v>485</v>
      </c>
      <c r="C1485" s="309" t="s">
        <v>491</v>
      </c>
      <c r="D1485" s="136" t="str">
        <f t="array" ref="D1485">IF(E1485=0,0,(INDEX(AccountCodes[ACCOUNT NAME],MATCH(E1485,AccountCodes[NGAS CODE],0))))</f>
        <v>Salaries and Wages-Regular</v>
      </c>
      <c r="E1485" s="309" t="s">
        <v>162</v>
      </c>
      <c r="F1485" s="501">
        <v>60331</v>
      </c>
    </row>
    <row r="1486" spans="1:6" x14ac:dyDescent="0.25">
      <c r="A1486" s="308">
        <v>43220</v>
      </c>
      <c r="B1486" s="309" t="s">
        <v>485</v>
      </c>
      <c r="C1486" s="309" t="s">
        <v>491</v>
      </c>
      <c r="D1486" s="136" t="str">
        <f t="array" ref="D1486">IF(E1486=0,0,(INDEX(AccountCodes[ACCOUNT NAME],MATCH(E1486,AccountCodes[NGAS CODE],0))))</f>
        <v>Salaries and Wages-Regular</v>
      </c>
      <c r="E1486" s="309" t="s">
        <v>162</v>
      </c>
      <c r="F1486" s="501">
        <v>60331</v>
      </c>
    </row>
    <row r="1487" spans="1:6" x14ac:dyDescent="0.25">
      <c r="A1487" s="308">
        <v>43251</v>
      </c>
      <c r="B1487" s="309" t="s">
        <v>485</v>
      </c>
      <c r="C1487" s="309" t="s">
        <v>491</v>
      </c>
      <c r="D1487" s="136" t="str">
        <f t="array" ref="D1487">IF(E1487=0,0,(INDEX(AccountCodes[ACCOUNT NAME],MATCH(E1487,AccountCodes[NGAS CODE],0))))</f>
        <v>Salaries and Wages-Regular</v>
      </c>
      <c r="E1487" s="309" t="s">
        <v>162</v>
      </c>
      <c r="F1487" s="501">
        <v>60331</v>
      </c>
    </row>
    <row r="1488" spans="1:6" x14ac:dyDescent="0.25">
      <c r="A1488" s="308">
        <v>43281</v>
      </c>
      <c r="B1488" s="309" t="s">
        <v>485</v>
      </c>
      <c r="C1488" s="309" t="s">
        <v>491</v>
      </c>
      <c r="D1488" s="136" t="str">
        <f t="array" ref="D1488">IF(E1488=0,0,(INDEX(AccountCodes[ACCOUNT NAME],MATCH(E1488,AccountCodes[NGAS CODE],0))))</f>
        <v>Salaries and Wages-Regular</v>
      </c>
      <c r="E1488" s="309" t="s">
        <v>162</v>
      </c>
      <c r="F1488" s="501">
        <v>60331</v>
      </c>
    </row>
    <row r="1489" spans="1:6" x14ac:dyDescent="0.25">
      <c r="A1489" s="308">
        <v>43312</v>
      </c>
      <c r="B1489" s="309" t="s">
        <v>485</v>
      </c>
      <c r="C1489" s="309" t="s">
        <v>491</v>
      </c>
      <c r="D1489" s="136" t="str">
        <f t="array" ref="D1489">IF(E1489=0,0,(INDEX(AccountCodes[ACCOUNT NAME],MATCH(E1489,AccountCodes[NGAS CODE],0))))</f>
        <v>Salaries and Wages-Regular</v>
      </c>
      <c r="E1489" s="309" t="s">
        <v>162</v>
      </c>
      <c r="F1489" s="501">
        <v>60331</v>
      </c>
    </row>
    <row r="1490" spans="1:6" x14ac:dyDescent="0.25">
      <c r="A1490" s="308">
        <v>43343</v>
      </c>
      <c r="B1490" s="309" t="s">
        <v>485</v>
      </c>
      <c r="C1490" s="309" t="s">
        <v>491</v>
      </c>
      <c r="D1490" s="136" t="str">
        <f t="array" ref="D1490">IF(E1490=0,0,(INDEX(AccountCodes[ACCOUNT NAME],MATCH(E1490,AccountCodes[NGAS CODE],0))))</f>
        <v>Salaries and Wages-Regular</v>
      </c>
      <c r="E1490" s="309" t="s">
        <v>162</v>
      </c>
      <c r="F1490" s="501">
        <v>60331</v>
      </c>
    </row>
    <row r="1491" spans="1:6" x14ac:dyDescent="0.25">
      <c r="A1491" s="308">
        <v>43373</v>
      </c>
      <c r="B1491" s="309" t="s">
        <v>485</v>
      </c>
      <c r="C1491" s="309" t="s">
        <v>491</v>
      </c>
      <c r="D1491" s="136" t="str">
        <f t="array" ref="D1491">IF(E1491=0,0,(INDEX(AccountCodes[ACCOUNT NAME],MATCH(E1491,AccountCodes[NGAS CODE],0))))</f>
        <v>Salaries and Wages-Regular</v>
      </c>
      <c r="E1491" s="309" t="s">
        <v>162</v>
      </c>
      <c r="F1491" s="501">
        <v>60331</v>
      </c>
    </row>
    <row r="1492" spans="1:6" x14ac:dyDescent="0.25">
      <c r="A1492" s="308">
        <v>43404</v>
      </c>
      <c r="B1492" s="309" t="s">
        <v>485</v>
      </c>
      <c r="C1492" s="309" t="s">
        <v>491</v>
      </c>
      <c r="D1492" s="136" t="str">
        <f t="array" ref="D1492">IF(E1492=0,0,(INDEX(AccountCodes[ACCOUNT NAME],MATCH(E1492,AccountCodes[NGAS CODE],0))))</f>
        <v>Salaries and Wages-Regular</v>
      </c>
      <c r="E1492" s="309" t="s">
        <v>162</v>
      </c>
      <c r="F1492" s="501">
        <v>60331</v>
      </c>
    </row>
    <row r="1493" spans="1:6" x14ac:dyDescent="0.25">
      <c r="A1493" s="308">
        <v>43434</v>
      </c>
      <c r="B1493" s="309" t="s">
        <v>485</v>
      </c>
      <c r="C1493" s="309" t="s">
        <v>491</v>
      </c>
      <c r="D1493" s="136" t="str">
        <f t="array" ref="D1493">IF(E1493=0,0,(INDEX(AccountCodes[ACCOUNT NAME],MATCH(E1493,AccountCodes[NGAS CODE],0))))</f>
        <v>Salaries and Wages-Regular</v>
      </c>
      <c r="E1493" s="309" t="s">
        <v>162</v>
      </c>
      <c r="F1493" s="501">
        <v>60331</v>
      </c>
    </row>
    <row r="1494" spans="1:6" x14ac:dyDescent="0.25">
      <c r="A1494" s="308">
        <v>43465</v>
      </c>
      <c r="B1494" s="309" t="s">
        <v>485</v>
      </c>
      <c r="C1494" s="309" t="s">
        <v>491</v>
      </c>
      <c r="D1494" s="136" t="str">
        <f t="array" ref="D1494">IF(E1494=0,0,(INDEX(AccountCodes[ACCOUNT NAME],MATCH(E1494,AccountCodes[NGAS CODE],0))))</f>
        <v>Salaries and Wages-Regular</v>
      </c>
      <c r="E1494" s="309" t="s">
        <v>162</v>
      </c>
      <c r="F1494" s="501">
        <v>60331</v>
      </c>
    </row>
    <row r="1495" spans="1:6" x14ac:dyDescent="0.25">
      <c r="A1495" s="308">
        <v>43131</v>
      </c>
      <c r="B1495" s="309" t="s">
        <v>485</v>
      </c>
      <c r="C1495" s="309" t="s">
        <v>491</v>
      </c>
      <c r="D1495" s="136" t="str">
        <f t="array" ref="D1495">IF(E1495=0,0,(INDEX(AccountCodes[ACCOUNT NAME],MATCH(E1495,AccountCodes[NGAS CODE],0))))</f>
        <v>Personal Economic Relief Allowance (PERA)</v>
      </c>
      <c r="E1495" s="309" t="s">
        <v>164</v>
      </c>
      <c r="F1495" s="501">
        <v>8000</v>
      </c>
    </row>
    <row r="1496" spans="1:6" x14ac:dyDescent="0.25">
      <c r="A1496" s="308">
        <v>43159</v>
      </c>
      <c r="B1496" s="309" t="s">
        <v>485</v>
      </c>
      <c r="C1496" s="309" t="s">
        <v>491</v>
      </c>
      <c r="D1496" s="136" t="str">
        <f t="array" ref="D1496">IF(E1496=0,0,(INDEX(AccountCodes[ACCOUNT NAME],MATCH(E1496,AccountCodes[NGAS CODE],0))))</f>
        <v>Personal Economic Relief Allowance (PERA)</v>
      </c>
      <c r="E1496" s="309" t="s">
        <v>164</v>
      </c>
      <c r="F1496" s="501">
        <v>8000</v>
      </c>
    </row>
    <row r="1497" spans="1:6" x14ac:dyDescent="0.25">
      <c r="A1497" s="308">
        <v>43190</v>
      </c>
      <c r="B1497" s="309" t="s">
        <v>485</v>
      </c>
      <c r="C1497" s="309" t="s">
        <v>491</v>
      </c>
      <c r="D1497" s="136" t="str">
        <f t="array" ref="D1497">IF(E1497=0,0,(INDEX(AccountCodes[ACCOUNT NAME],MATCH(E1497,AccountCodes[NGAS CODE],0))))</f>
        <v>Personal Economic Relief Allowance (PERA)</v>
      </c>
      <c r="E1497" s="309" t="s">
        <v>164</v>
      </c>
      <c r="F1497" s="501">
        <v>8000</v>
      </c>
    </row>
    <row r="1498" spans="1:6" x14ac:dyDescent="0.25">
      <c r="A1498" s="308">
        <v>43220</v>
      </c>
      <c r="B1498" s="309" t="s">
        <v>485</v>
      </c>
      <c r="C1498" s="309" t="s">
        <v>491</v>
      </c>
      <c r="D1498" s="136" t="str">
        <f t="array" ref="D1498">IF(E1498=0,0,(INDEX(AccountCodes[ACCOUNT NAME],MATCH(E1498,AccountCodes[NGAS CODE],0))))</f>
        <v>Personal Economic Relief Allowance (PERA)</v>
      </c>
      <c r="E1498" s="309" t="s">
        <v>164</v>
      </c>
      <c r="F1498" s="501">
        <v>8000</v>
      </c>
    </row>
    <row r="1499" spans="1:6" x14ac:dyDescent="0.25">
      <c r="A1499" s="308">
        <v>43251</v>
      </c>
      <c r="B1499" s="309" t="s">
        <v>485</v>
      </c>
      <c r="C1499" s="309" t="s">
        <v>491</v>
      </c>
      <c r="D1499" s="136" t="str">
        <f t="array" ref="D1499">IF(E1499=0,0,(INDEX(AccountCodes[ACCOUNT NAME],MATCH(E1499,AccountCodes[NGAS CODE],0))))</f>
        <v>Personal Economic Relief Allowance (PERA)</v>
      </c>
      <c r="E1499" s="309" t="s">
        <v>164</v>
      </c>
      <c r="F1499" s="501">
        <v>8000</v>
      </c>
    </row>
    <row r="1500" spans="1:6" x14ac:dyDescent="0.25">
      <c r="A1500" s="308">
        <v>43281</v>
      </c>
      <c r="B1500" s="309" t="s">
        <v>485</v>
      </c>
      <c r="C1500" s="309" t="s">
        <v>491</v>
      </c>
      <c r="D1500" s="136" t="str">
        <f t="array" ref="D1500">IF(E1500=0,0,(INDEX(AccountCodes[ACCOUNT NAME],MATCH(E1500,AccountCodes[NGAS CODE],0))))</f>
        <v>Personal Economic Relief Allowance (PERA)</v>
      </c>
      <c r="E1500" s="309" t="s">
        <v>164</v>
      </c>
      <c r="F1500" s="501">
        <v>8000</v>
      </c>
    </row>
    <row r="1501" spans="1:6" x14ac:dyDescent="0.25">
      <c r="A1501" s="308">
        <v>43312</v>
      </c>
      <c r="B1501" s="309" t="s">
        <v>485</v>
      </c>
      <c r="C1501" s="309" t="s">
        <v>491</v>
      </c>
      <c r="D1501" s="136" t="str">
        <f t="array" ref="D1501">IF(E1501=0,0,(INDEX(AccountCodes[ACCOUNT NAME],MATCH(E1501,AccountCodes[NGAS CODE],0))))</f>
        <v>Personal Economic Relief Allowance (PERA)</v>
      </c>
      <c r="E1501" s="309" t="s">
        <v>164</v>
      </c>
      <c r="F1501" s="501">
        <v>8000</v>
      </c>
    </row>
    <row r="1502" spans="1:6" x14ac:dyDescent="0.25">
      <c r="A1502" s="308">
        <v>43343</v>
      </c>
      <c r="B1502" s="309" t="s">
        <v>485</v>
      </c>
      <c r="C1502" s="309" t="s">
        <v>491</v>
      </c>
      <c r="D1502" s="136" t="str">
        <f t="array" ref="D1502">IF(E1502=0,0,(INDEX(AccountCodes[ACCOUNT NAME],MATCH(E1502,AccountCodes[NGAS CODE],0))))</f>
        <v>Personal Economic Relief Allowance (PERA)</v>
      </c>
      <c r="E1502" s="309" t="s">
        <v>164</v>
      </c>
      <c r="F1502" s="501">
        <v>8000</v>
      </c>
    </row>
    <row r="1503" spans="1:6" x14ac:dyDescent="0.25">
      <c r="A1503" s="308">
        <v>43373</v>
      </c>
      <c r="B1503" s="309" t="s">
        <v>485</v>
      </c>
      <c r="C1503" s="309" t="s">
        <v>491</v>
      </c>
      <c r="D1503" s="136" t="str">
        <f t="array" ref="D1503">IF(E1503=0,0,(INDEX(AccountCodes[ACCOUNT NAME],MATCH(E1503,AccountCodes[NGAS CODE],0))))</f>
        <v>Personal Economic Relief Allowance (PERA)</v>
      </c>
      <c r="E1503" s="309" t="s">
        <v>164</v>
      </c>
      <c r="F1503" s="501">
        <v>8000</v>
      </c>
    </row>
    <row r="1504" spans="1:6" x14ac:dyDescent="0.25">
      <c r="A1504" s="308">
        <v>43404</v>
      </c>
      <c r="B1504" s="309" t="s">
        <v>485</v>
      </c>
      <c r="C1504" s="309" t="s">
        <v>491</v>
      </c>
      <c r="D1504" s="136" t="str">
        <f t="array" ref="D1504">IF(E1504=0,0,(INDEX(AccountCodes[ACCOUNT NAME],MATCH(E1504,AccountCodes[NGAS CODE],0))))</f>
        <v>Personal Economic Relief Allowance (PERA)</v>
      </c>
      <c r="E1504" s="309" t="s">
        <v>164</v>
      </c>
      <c r="F1504" s="501">
        <v>8000</v>
      </c>
    </row>
    <row r="1505" spans="1:6" x14ac:dyDescent="0.25">
      <c r="A1505" s="308">
        <v>43434</v>
      </c>
      <c r="B1505" s="309" t="s">
        <v>485</v>
      </c>
      <c r="C1505" s="309" t="s">
        <v>491</v>
      </c>
      <c r="D1505" s="136" t="str">
        <f t="array" ref="D1505">IF(E1505=0,0,(INDEX(AccountCodes[ACCOUNT NAME],MATCH(E1505,AccountCodes[NGAS CODE],0))))</f>
        <v>Personal Economic Relief Allowance (PERA)</v>
      </c>
      <c r="E1505" s="309" t="s">
        <v>164</v>
      </c>
      <c r="F1505" s="501">
        <v>8000</v>
      </c>
    </row>
    <row r="1506" spans="1:6" x14ac:dyDescent="0.25">
      <c r="A1506" s="308">
        <v>43465</v>
      </c>
      <c r="B1506" s="309" t="s">
        <v>485</v>
      </c>
      <c r="C1506" s="309" t="s">
        <v>491</v>
      </c>
      <c r="D1506" s="136" t="str">
        <f t="array" ref="D1506">IF(E1506=0,0,(INDEX(AccountCodes[ACCOUNT NAME],MATCH(E1506,AccountCodes[NGAS CODE],0))))</f>
        <v>Personal Economic Relief Allowance (PERA)</v>
      </c>
      <c r="E1506" s="309" t="s">
        <v>164</v>
      </c>
      <c r="F1506" s="501">
        <v>8000</v>
      </c>
    </row>
    <row r="1507" spans="1:6" x14ac:dyDescent="0.25">
      <c r="A1507" s="308">
        <v>43190</v>
      </c>
      <c r="B1507" s="309" t="s">
        <v>485</v>
      </c>
      <c r="C1507" s="309" t="s">
        <v>491</v>
      </c>
      <c r="D1507" s="136" t="str">
        <f t="array" ref="D1507">IF(E1507=0,0,(INDEX(AccountCodes[ACCOUNT NAME],MATCH(E1507,AccountCodes[NGAS CODE],0))))</f>
        <v>Clothing/Uniform Allowance</v>
      </c>
      <c r="E1507" s="309" t="s">
        <v>167</v>
      </c>
      <c r="F1507" s="501">
        <v>20000</v>
      </c>
    </row>
    <row r="1508" spans="1:6" x14ac:dyDescent="0.25">
      <c r="A1508" s="308">
        <v>43434</v>
      </c>
      <c r="B1508" s="309" t="s">
        <v>485</v>
      </c>
      <c r="C1508" s="309" t="s">
        <v>491</v>
      </c>
      <c r="D1508" s="136" t="str">
        <f t="array" ref="D1508">IF(E1508=0,0,(INDEX(AccountCodes[ACCOUNT NAME],MATCH(E1508,AccountCodes[NGAS CODE],0))))</f>
        <v>Cash Gift</v>
      </c>
      <c r="E1508" s="309" t="s">
        <v>172</v>
      </c>
      <c r="F1508" s="501">
        <v>20000</v>
      </c>
    </row>
    <row r="1509" spans="1:6" x14ac:dyDescent="0.25">
      <c r="A1509" s="308">
        <v>43251</v>
      </c>
      <c r="B1509" s="309" t="s">
        <v>485</v>
      </c>
      <c r="C1509" s="309" t="s">
        <v>491</v>
      </c>
      <c r="D1509" s="136" t="str">
        <f t="array" ref="D1509">IF(E1509=0,0,(INDEX(AccountCodes[ACCOUNT NAME],MATCH(E1509,AccountCodes[NGAS CODE],0))))</f>
        <v>Mid-Year/Year End Bonus</v>
      </c>
      <c r="E1509" s="309" t="s">
        <v>174</v>
      </c>
      <c r="F1509" s="501">
        <v>60331</v>
      </c>
    </row>
    <row r="1510" spans="1:6" x14ac:dyDescent="0.25">
      <c r="A1510" s="308">
        <v>43434</v>
      </c>
      <c r="B1510" s="309" t="s">
        <v>485</v>
      </c>
      <c r="C1510" s="309" t="s">
        <v>491</v>
      </c>
      <c r="D1510" s="136" t="str">
        <f t="array" ref="D1510">IF(E1510=0,0,(INDEX(AccountCodes[ACCOUNT NAME],MATCH(E1510,AccountCodes[NGAS CODE],0))))</f>
        <v>Mid-Year/Year End Bonus</v>
      </c>
      <c r="E1510" s="309" t="s">
        <v>174</v>
      </c>
      <c r="F1510" s="501">
        <v>60331</v>
      </c>
    </row>
    <row r="1511" spans="1:6" x14ac:dyDescent="0.25">
      <c r="A1511" s="308">
        <v>43131</v>
      </c>
      <c r="B1511" s="309" t="s">
        <v>485</v>
      </c>
      <c r="C1511" s="309" t="s">
        <v>491</v>
      </c>
      <c r="D1511" s="136" t="str">
        <f t="array" ref="D1511">IF(E1511=0,0,(INDEX(AccountCodes[ACCOUNT NAME],MATCH(E1511,AccountCodes[NGAS CODE],0))))</f>
        <v>Other Bonuses and Allowances - Medical Allowance</v>
      </c>
      <c r="E1511" s="309" t="s">
        <v>5</v>
      </c>
      <c r="F1511" s="501">
        <v>200</v>
      </c>
    </row>
    <row r="1512" spans="1:6" x14ac:dyDescent="0.25">
      <c r="A1512" s="308">
        <v>43159</v>
      </c>
      <c r="B1512" s="309" t="s">
        <v>485</v>
      </c>
      <c r="C1512" s="309" t="s">
        <v>491</v>
      </c>
      <c r="D1512" s="136" t="str">
        <f t="array" ref="D1512">IF(E1512=0,0,(INDEX(AccountCodes[ACCOUNT NAME],MATCH(E1512,AccountCodes[NGAS CODE],0))))</f>
        <v>Other Bonuses and Allowances - Medical Allowance</v>
      </c>
      <c r="E1512" s="309" t="s">
        <v>5</v>
      </c>
      <c r="F1512" s="501">
        <v>200</v>
      </c>
    </row>
    <row r="1513" spans="1:6" x14ac:dyDescent="0.25">
      <c r="A1513" s="308">
        <v>43190</v>
      </c>
      <c r="B1513" s="309" t="s">
        <v>485</v>
      </c>
      <c r="C1513" s="309" t="s">
        <v>491</v>
      </c>
      <c r="D1513" s="136" t="str">
        <f t="array" ref="D1513">IF(E1513=0,0,(INDEX(AccountCodes[ACCOUNT NAME],MATCH(E1513,AccountCodes[NGAS CODE],0))))</f>
        <v>Other Bonuses and Allowances - Medical Allowance</v>
      </c>
      <c r="E1513" s="309" t="s">
        <v>5</v>
      </c>
      <c r="F1513" s="501">
        <v>200</v>
      </c>
    </row>
    <row r="1514" spans="1:6" x14ac:dyDescent="0.25">
      <c r="A1514" s="308">
        <v>43220</v>
      </c>
      <c r="B1514" s="309" t="s">
        <v>485</v>
      </c>
      <c r="C1514" s="309" t="s">
        <v>491</v>
      </c>
      <c r="D1514" s="136" t="str">
        <f t="array" ref="D1514">IF(E1514=0,0,(INDEX(AccountCodes[ACCOUNT NAME],MATCH(E1514,AccountCodes[NGAS CODE],0))))</f>
        <v>Other Bonuses and Allowances - Medical Allowance</v>
      </c>
      <c r="E1514" s="309" t="s">
        <v>5</v>
      </c>
      <c r="F1514" s="501">
        <v>200</v>
      </c>
    </row>
    <row r="1515" spans="1:6" x14ac:dyDescent="0.25">
      <c r="A1515" s="308">
        <v>43251</v>
      </c>
      <c r="B1515" s="309" t="s">
        <v>485</v>
      </c>
      <c r="C1515" s="309" t="s">
        <v>491</v>
      </c>
      <c r="D1515" s="136" t="str">
        <f t="array" ref="D1515">IF(E1515=0,0,(INDEX(AccountCodes[ACCOUNT NAME],MATCH(E1515,AccountCodes[NGAS CODE],0))))</f>
        <v>Other Bonuses and Allowances - Medical Allowance</v>
      </c>
      <c r="E1515" s="309" t="s">
        <v>5</v>
      </c>
      <c r="F1515" s="501">
        <v>200</v>
      </c>
    </row>
    <row r="1516" spans="1:6" x14ac:dyDescent="0.25">
      <c r="A1516" s="308">
        <v>43281</v>
      </c>
      <c r="B1516" s="309" t="s">
        <v>485</v>
      </c>
      <c r="C1516" s="309" t="s">
        <v>491</v>
      </c>
      <c r="D1516" s="136" t="str">
        <f t="array" ref="D1516">IF(E1516=0,0,(INDEX(AccountCodes[ACCOUNT NAME],MATCH(E1516,AccountCodes[NGAS CODE],0))))</f>
        <v>Other Bonuses and Allowances - Medical Allowance</v>
      </c>
      <c r="E1516" s="309" t="s">
        <v>5</v>
      </c>
      <c r="F1516" s="501">
        <v>200</v>
      </c>
    </row>
    <row r="1517" spans="1:6" x14ac:dyDescent="0.25">
      <c r="A1517" s="308">
        <v>43312</v>
      </c>
      <c r="B1517" s="309" t="s">
        <v>485</v>
      </c>
      <c r="C1517" s="309" t="s">
        <v>491</v>
      </c>
      <c r="D1517" s="136" t="str">
        <f t="array" ref="D1517">IF(E1517=0,0,(INDEX(AccountCodes[ACCOUNT NAME],MATCH(E1517,AccountCodes[NGAS CODE],0))))</f>
        <v>Other Bonuses and Allowances - Medical Allowance</v>
      </c>
      <c r="E1517" s="309" t="s">
        <v>5</v>
      </c>
      <c r="F1517" s="501">
        <v>200</v>
      </c>
    </row>
    <row r="1518" spans="1:6" x14ac:dyDescent="0.25">
      <c r="A1518" s="308">
        <v>43343</v>
      </c>
      <c r="B1518" s="309" t="s">
        <v>485</v>
      </c>
      <c r="C1518" s="309" t="s">
        <v>491</v>
      </c>
      <c r="D1518" s="136" t="str">
        <f t="array" ref="D1518">IF(E1518=0,0,(INDEX(AccountCodes[ACCOUNT NAME],MATCH(E1518,AccountCodes[NGAS CODE],0))))</f>
        <v>Other Bonuses and Allowances - Medical Allowance</v>
      </c>
      <c r="E1518" s="309" t="s">
        <v>5</v>
      </c>
      <c r="F1518" s="501">
        <v>200</v>
      </c>
    </row>
    <row r="1519" spans="1:6" x14ac:dyDescent="0.25">
      <c r="A1519" s="308">
        <v>43373</v>
      </c>
      <c r="B1519" s="309" t="s">
        <v>485</v>
      </c>
      <c r="C1519" s="309" t="s">
        <v>491</v>
      </c>
      <c r="D1519" s="136" t="str">
        <f t="array" ref="D1519">IF(E1519=0,0,(INDEX(AccountCodes[ACCOUNT NAME],MATCH(E1519,AccountCodes[NGAS CODE],0))))</f>
        <v>Other Bonuses and Allowances - Medical Allowance</v>
      </c>
      <c r="E1519" s="309" t="s">
        <v>5</v>
      </c>
      <c r="F1519" s="501">
        <v>200</v>
      </c>
    </row>
    <row r="1520" spans="1:6" x14ac:dyDescent="0.25">
      <c r="A1520" s="308">
        <v>43404</v>
      </c>
      <c r="B1520" s="309" t="s">
        <v>485</v>
      </c>
      <c r="C1520" s="309" t="s">
        <v>491</v>
      </c>
      <c r="D1520" s="136" t="str">
        <f t="array" ref="D1520">IF(E1520=0,0,(INDEX(AccountCodes[ACCOUNT NAME],MATCH(E1520,AccountCodes[NGAS CODE],0))))</f>
        <v>Other Bonuses and Allowances - Medical Allowance</v>
      </c>
      <c r="E1520" s="309" t="s">
        <v>5</v>
      </c>
      <c r="F1520" s="501">
        <v>200</v>
      </c>
    </row>
    <row r="1521" spans="1:6" x14ac:dyDescent="0.25">
      <c r="A1521" s="308">
        <v>43434</v>
      </c>
      <c r="B1521" s="309" t="s">
        <v>485</v>
      </c>
      <c r="C1521" s="309" t="s">
        <v>491</v>
      </c>
      <c r="D1521" s="136" t="str">
        <f t="array" ref="D1521">IF(E1521=0,0,(INDEX(AccountCodes[ACCOUNT NAME],MATCH(E1521,AccountCodes[NGAS CODE],0))))</f>
        <v>Other Bonuses and Allowances - Medical Allowance</v>
      </c>
      <c r="E1521" s="309" t="s">
        <v>5</v>
      </c>
      <c r="F1521" s="501">
        <v>200</v>
      </c>
    </row>
    <row r="1522" spans="1:6" x14ac:dyDescent="0.25">
      <c r="A1522" s="308">
        <v>43465</v>
      </c>
      <c r="B1522" s="309" t="s">
        <v>485</v>
      </c>
      <c r="C1522" s="309" t="s">
        <v>491</v>
      </c>
      <c r="D1522" s="136" t="str">
        <f t="array" ref="D1522">IF(E1522=0,0,(INDEX(AccountCodes[ACCOUNT NAME],MATCH(E1522,AccountCodes[NGAS CODE],0))))</f>
        <v>Other Bonuses and Allowances - Medical Allowance</v>
      </c>
      <c r="E1522" s="309" t="s">
        <v>5</v>
      </c>
      <c r="F1522" s="501">
        <v>200</v>
      </c>
    </row>
    <row r="1523" spans="1:6" x14ac:dyDescent="0.25">
      <c r="A1523" s="308">
        <v>43131</v>
      </c>
      <c r="B1523" s="309" t="s">
        <v>485</v>
      </c>
      <c r="C1523" s="309" t="s">
        <v>491</v>
      </c>
      <c r="D1523" s="136" t="str">
        <f t="array" ref="D1523">IF(E1523=0,0,(INDEX(AccountCodes[ACCOUNT NAME],MATCH(E1523,AccountCodes[NGAS CODE],0))))</f>
        <v>Other Bonuses and Allowances - Meal Allowance</v>
      </c>
      <c r="E1523" s="309" t="s">
        <v>6</v>
      </c>
      <c r="F1523" s="501">
        <v>66</v>
      </c>
    </row>
    <row r="1524" spans="1:6" x14ac:dyDescent="0.25">
      <c r="A1524" s="308">
        <v>43159</v>
      </c>
      <c r="B1524" s="309" t="s">
        <v>485</v>
      </c>
      <c r="C1524" s="309" t="s">
        <v>491</v>
      </c>
      <c r="D1524" s="136" t="str">
        <f t="array" ref="D1524">IF(E1524=0,0,(INDEX(AccountCodes[ACCOUNT NAME],MATCH(E1524,AccountCodes[NGAS CODE],0))))</f>
        <v>Other Bonuses and Allowances - Meal Allowance</v>
      </c>
      <c r="E1524" s="309" t="s">
        <v>6</v>
      </c>
      <c r="F1524" s="501">
        <v>66</v>
      </c>
    </row>
    <row r="1525" spans="1:6" x14ac:dyDescent="0.25">
      <c r="A1525" s="308">
        <v>43190</v>
      </c>
      <c r="B1525" s="309" t="s">
        <v>485</v>
      </c>
      <c r="C1525" s="309" t="s">
        <v>491</v>
      </c>
      <c r="D1525" s="136" t="str">
        <f t="array" ref="D1525">IF(E1525=0,0,(INDEX(AccountCodes[ACCOUNT NAME],MATCH(E1525,AccountCodes[NGAS CODE],0))))</f>
        <v>Other Bonuses and Allowances - Meal Allowance</v>
      </c>
      <c r="E1525" s="309" t="s">
        <v>6</v>
      </c>
      <c r="F1525" s="501">
        <v>66</v>
      </c>
    </row>
    <row r="1526" spans="1:6" x14ac:dyDescent="0.25">
      <c r="A1526" s="308">
        <v>43220</v>
      </c>
      <c r="B1526" s="309" t="s">
        <v>485</v>
      </c>
      <c r="C1526" s="309" t="s">
        <v>491</v>
      </c>
      <c r="D1526" s="136" t="str">
        <f t="array" ref="D1526">IF(E1526=0,0,(INDEX(AccountCodes[ACCOUNT NAME],MATCH(E1526,AccountCodes[NGAS CODE],0))))</f>
        <v>Other Bonuses and Allowances - Meal Allowance</v>
      </c>
      <c r="E1526" s="309" t="s">
        <v>6</v>
      </c>
      <c r="F1526" s="501">
        <v>66</v>
      </c>
    </row>
    <row r="1527" spans="1:6" x14ac:dyDescent="0.25">
      <c r="A1527" s="308">
        <v>43251</v>
      </c>
      <c r="B1527" s="309" t="s">
        <v>485</v>
      </c>
      <c r="C1527" s="309" t="s">
        <v>491</v>
      </c>
      <c r="D1527" s="136" t="str">
        <f t="array" ref="D1527">IF(E1527=0,0,(INDEX(AccountCodes[ACCOUNT NAME],MATCH(E1527,AccountCodes[NGAS CODE],0))))</f>
        <v>Other Bonuses and Allowances - Meal Allowance</v>
      </c>
      <c r="E1527" s="309" t="s">
        <v>6</v>
      </c>
      <c r="F1527" s="501">
        <v>66</v>
      </c>
    </row>
    <row r="1528" spans="1:6" x14ac:dyDescent="0.25">
      <c r="A1528" s="308">
        <v>43281</v>
      </c>
      <c r="B1528" s="309" t="s">
        <v>485</v>
      </c>
      <c r="C1528" s="309" t="s">
        <v>491</v>
      </c>
      <c r="D1528" s="136" t="str">
        <f t="array" ref="D1528">IF(E1528=0,0,(INDEX(AccountCodes[ACCOUNT NAME],MATCH(E1528,AccountCodes[NGAS CODE],0))))</f>
        <v>Other Bonuses and Allowances - Meal Allowance</v>
      </c>
      <c r="E1528" s="309" t="s">
        <v>6</v>
      </c>
      <c r="F1528" s="501">
        <v>66</v>
      </c>
    </row>
    <row r="1529" spans="1:6" x14ac:dyDescent="0.25">
      <c r="A1529" s="308">
        <v>43312</v>
      </c>
      <c r="B1529" s="309" t="s">
        <v>485</v>
      </c>
      <c r="C1529" s="309" t="s">
        <v>491</v>
      </c>
      <c r="D1529" s="136" t="str">
        <f t="array" ref="D1529">IF(E1529=0,0,(INDEX(AccountCodes[ACCOUNT NAME],MATCH(E1529,AccountCodes[NGAS CODE],0))))</f>
        <v>Other Bonuses and Allowances - Meal Allowance</v>
      </c>
      <c r="E1529" s="309" t="s">
        <v>6</v>
      </c>
      <c r="F1529" s="501">
        <v>66</v>
      </c>
    </row>
    <row r="1530" spans="1:6" x14ac:dyDescent="0.25">
      <c r="A1530" s="308">
        <v>43343</v>
      </c>
      <c r="B1530" s="309" t="s">
        <v>485</v>
      </c>
      <c r="C1530" s="309" t="s">
        <v>491</v>
      </c>
      <c r="D1530" s="136" t="str">
        <f t="array" ref="D1530">IF(E1530=0,0,(INDEX(AccountCodes[ACCOUNT NAME],MATCH(E1530,AccountCodes[NGAS CODE],0))))</f>
        <v>Other Bonuses and Allowances - Meal Allowance</v>
      </c>
      <c r="E1530" s="309" t="s">
        <v>6</v>
      </c>
      <c r="F1530" s="501">
        <v>66</v>
      </c>
    </row>
    <row r="1531" spans="1:6" x14ac:dyDescent="0.25">
      <c r="A1531" s="308">
        <v>43373</v>
      </c>
      <c r="B1531" s="309" t="s">
        <v>485</v>
      </c>
      <c r="C1531" s="309" t="s">
        <v>491</v>
      </c>
      <c r="D1531" s="136" t="str">
        <f t="array" ref="D1531">IF(E1531=0,0,(INDEX(AccountCodes[ACCOUNT NAME],MATCH(E1531,AccountCodes[NGAS CODE],0))))</f>
        <v>Other Bonuses and Allowances - Meal Allowance</v>
      </c>
      <c r="E1531" s="309" t="s">
        <v>6</v>
      </c>
      <c r="F1531" s="501">
        <v>66</v>
      </c>
    </row>
    <row r="1532" spans="1:6" x14ac:dyDescent="0.25">
      <c r="A1532" s="308">
        <v>43404</v>
      </c>
      <c r="B1532" s="309" t="s">
        <v>485</v>
      </c>
      <c r="C1532" s="309" t="s">
        <v>491</v>
      </c>
      <c r="D1532" s="136" t="str">
        <f t="array" ref="D1532">IF(E1532=0,0,(INDEX(AccountCodes[ACCOUNT NAME],MATCH(E1532,AccountCodes[NGAS CODE],0))))</f>
        <v>Other Bonuses and Allowances - Meal Allowance</v>
      </c>
      <c r="E1532" s="309" t="s">
        <v>6</v>
      </c>
      <c r="F1532" s="501">
        <v>66</v>
      </c>
    </row>
    <row r="1533" spans="1:6" x14ac:dyDescent="0.25">
      <c r="A1533" s="308">
        <v>43434</v>
      </c>
      <c r="B1533" s="309" t="s">
        <v>485</v>
      </c>
      <c r="C1533" s="309" t="s">
        <v>491</v>
      </c>
      <c r="D1533" s="136" t="str">
        <f t="array" ref="D1533">IF(E1533=0,0,(INDEX(AccountCodes[ACCOUNT NAME],MATCH(E1533,AccountCodes[NGAS CODE],0))))</f>
        <v>Other Bonuses and Allowances - Meal Allowance</v>
      </c>
      <c r="E1533" s="309" t="s">
        <v>6</v>
      </c>
      <c r="F1533" s="501">
        <v>66</v>
      </c>
    </row>
    <row r="1534" spans="1:6" x14ac:dyDescent="0.25">
      <c r="A1534" s="308">
        <v>43465</v>
      </c>
      <c r="B1534" s="309" t="s">
        <v>485</v>
      </c>
      <c r="C1534" s="309" t="s">
        <v>491</v>
      </c>
      <c r="D1534" s="136" t="str">
        <f t="array" ref="D1534">IF(E1534=0,0,(INDEX(AccountCodes[ACCOUNT NAME],MATCH(E1534,AccountCodes[NGAS CODE],0))))</f>
        <v>Other Bonuses and Allowances - Meal Allowance</v>
      </c>
      <c r="E1534" s="309" t="s">
        <v>6</v>
      </c>
      <c r="F1534" s="501">
        <v>66</v>
      </c>
    </row>
    <row r="1535" spans="1:6" x14ac:dyDescent="0.25">
      <c r="A1535" s="308">
        <v>43465</v>
      </c>
      <c r="B1535" s="309" t="s">
        <v>485</v>
      </c>
      <c r="C1535" s="309" t="s">
        <v>491</v>
      </c>
      <c r="D1535" s="136" t="str">
        <f t="array" ref="D1535">IF(E1535=0,0,(INDEX(AccountCodes[ACCOUNT NAME],MATCH(E1535,AccountCodes[NGAS CODE],0))))</f>
        <v>Other Bonuses and Allowances - Collective Negotiation Agreement Incentive-Civilian</v>
      </c>
      <c r="E1535" s="309" t="s">
        <v>168</v>
      </c>
      <c r="F1535" s="501">
        <v>75000</v>
      </c>
    </row>
    <row r="1536" spans="1:6" x14ac:dyDescent="0.25">
      <c r="A1536" s="308">
        <v>43434</v>
      </c>
      <c r="B1536" s="309" t="s">
        <v>485</v>
      </c>
      <c r="C1536" s="309" t="s">
        <v>491</v>
      </c>
      <c r="D1536" s="136" t="str">
        <f t="array" ref="D1536">IF(E1536=0,0,(INDEX(AccountCodes[ACCOUNT NAME],MATCH(E1536,AccountCodes[NGAS CODE],0))))</f>
        <v>Other Bonuses and Allowances - Productivity Enhancement Incentive-Civilian</v>
      </c>
      <c r="E1536" s="309" t="s">
        <v>170</v>
      </c>
      <c r="F1536" s="501">
        <v>30000</v>
      </c>
    </row>
    <row r="1537" spans="1:6" x14ac:dyDescent="0.25">
      <c r="A1537" s="308">
        <v>43131</v>
      </c>
      <c r="B1537" s="309" t="s">
        <v>485</v>
      </c>
      <c r="C1537" s="309" t="s">
        <v>491</v>
      </c>
      <c r="D1537" s="136" t="str">
        <f t="array" ref="D1537">IF(E1537=0,0,(INDEX(AccountCodes[ACCOUNT NAME],MATCH(E1537,AccountCodes[NGAS CODE],0))))</f>
        <v>Retirement and Life Insurance Premiums</v>
      </c>
      <c r="E1537" s="309" t="s">
        <v>175</v>
      </c>
      <c r="F1537" s="501">
        <v>7239.72</v>
      </c>
    </row>
    <row r="1538" spans="1:6" x14ac:dyDescent="0.25">
      <c r="A1538" s="308">
        <v>43159</v>
      </c>
      <c r="B1538" s="309" t="s">
        <v>485</v>
      </c>
      <c r="C1538" s="309" t="s">
        <v>491</v>
      </c>
      <c r="D1538" s="136" t="str">
        <f t="array" ref="D1538">IF(E1538=0,0,(INDEX(AccountCodes[ACCOUNT NAME],MATCH(E1538,AccountCodes[NGAS CODE],0))))</f>
        <v>Retirement and Life Insurance Premiums</v>
      </c>
      <c r="E1538" s="309" t="s">
        <v>175</v>
      </c>
      <c r="F1538" s="501">
        <v>7239.72</v>
      </c>
    </row>
    <row r="1539" spans="1:6" x14ac:dyDescent="0.25">
      <c r="A1539" s="308">
        <v>43190</v>
      </c>
      <c r="B1539" s="309" t="s">
        <v>485</v>
      </c>
      <c r="C1539" s="309" t="s">
        <v>491</v>
      </c>
      <c r="D1539" s="136" t="str">
        <f t="array" ref="D1539">IF(E1539=0,0,(INDEX(AccountCodes[ACCOUNT NAME],MATCH(E1539,AccountCodes[NGAS CODE],0))))</f>
        <v>Retirement and Life Insurance Premiums</v>
      </c>
      <c r="E1539" s="309" t="s">
        <v>175</v>
      </c>
      <c r="F1539" s="501">
        <v>7239.72</v>
      </c>
    </row>
    <row r="1540" spans="1:6" x14ac:dyDescent="0.25">
      <c r="A1540" s="308">
        <v>43220</v>
      </c>
      <c r="B1540" s="309" t="s">
        <v>485</v>
      </c>
      <c r="C1540" s="309" t="s">
        <v>491</v>
      </c>
      <c r="D1540" s="136" t="str">
        <f t="array" ref="D1540">IF(E1540=0,0,(INDEX(AccountCodes[ACCOUNT NAME],MATCH(E1540,AccountCodes[NGAS CODE],0))))</f>
        <v>Retirement and Life Insurance Premiums</v>
      </c>
      <c r="E1540" s="309" t="s">
        <v>175</v>
      </c>
      <c r="F1540" s="501">
        <v>7239.72</v>
      </c>
    </row>
    <row r="1541" spans="1:6" x14ac:dyDescent="0.25">
      <c r="A1541" s="308">
        <v>43251</v>
      </c>
      <c r="B1541" s="309" t="s">
        <v>485</v>
      </c>
      <c r="C1541" s="309" t="s">
        <v>491</v>
      </c>
      <c r="D1541" s="136" t="str">
        <f t="array" ref="D1541">IF(E1541=0,0,(INDEX(AccountCodes[ACCOUNT NAME],MATCH(E1541,AccountCodes[NGAS CODE],0))))</f>
        <v>Retirement and Life Insurance Premiums</v>
      </c>
      <c r="E1541" s="309" t="s">
        <v>175</v>
      </c>
      <c r="F1541" s="501">
        <v>7239.72</v>
      </c>
    </row>
    <row r="1542" spans="1:6" x14ac:dyDescent="0.25">
      <c r="A1542" s="308">
        <v>43281</v>
      </c>
      <c r="B1542" s="309" t="s">
        <v>485</v>
      </c>
      <c r="C1542" s="309" t="s">
        <v>491</v>
      </c>
      <c r="D1542" s="136" t="str">
        <f t="array" ref="D1542">IF(E1542=0,0,(INDEX(AccountCodes[ACCOUNT NAME],MATCH(E1542,AccountCodes[NGAS CODE],0))))</f>
        <v>Retirement and Life Insurance Premiums</v>
      </c>
      <c r="E1542" s="309" t="s">
        <v>175</v>
      </c>
      <c r="F1542" s="501">
        <v>7239.72</v>
      </c>
    </row>
    <row r="1543" spans="1:6" x14ac:dyDescent="0.25">
      <c r="A1543" s="308">
        <v>43312</v>
      </c>
      <c r="B1543" s="309" t="s">
        <v>485</v>
      </c>
      <c r="C1543" s="309" t="s">
        <v>491</v>
      </c>
      <c r="D1543" s="136" t="str">
        <f t="array" ref="D1543">IF(E1543=0,0,(INDEX(AccountCodes[ACCOUNT NAME],MATCH(E1543,AccountCodes[NGAS CODE],0))))</f>
        <v>Retirement and Life Insurance Premiums</v>
      </c>
      <c r="E1543" s="309" t="s">
        <v>175</v>
      </c>
      <c r="F1543" s="501">
        <v>7239.72</v>
      </c>
    </row>
    <row r="1544" spans="1:6" x14ac:dyDescent="0.25">
      <c r="A1544" s="308">
        <v>43343</v>
      </c>
      <c r="B1544" s="309" t="s">
        <v>485</v>
      </c>
      <c r="C1544" s="309" t="s">
        <v>491</v>
      </c>
      <c r="D1544" s="136" t="str">
        <f t="array" ref="D1544">IF(E1544=0,0,(INDEX(AccountCodes[ACCOUNT NAME],MATCH(E1544,AccountCodes[NGAS CODE],0))))</f>
        <v>Retirement and Life Insurance Premiums</v>
      </c>
      <c r="E1544" s="309" t="s">
        <v>175</v>
      </c>
      <c r="F1544" s="501">
        <v>7239.72</v>
      </c>
    </row>
    <row r="1545" spans="1:6" x14ac:dyDescent="0.25">
      <c r="A1545" s="308">
        <v>43373</v>
      </c>
      <c r="B1545" s="309" t="s">
        <v>485</v>
      </c>
      <c r="C1545" s="309" t="s">
        <v>491</v>
      </c>
      <c r="D1545" s="136" t="str">
        <f t="array" ref="D1545">IF(E1545=0,0,(INDEX(AccountCodes[ACCOUNT NAME],MATCH(E1545,AccountCodes[NGAS CODE],0))))</f>
        <v>Retirement and Life Insurance Premiums</v>
      </c>
      <c r="E1545" s="309" t="s">
        <v>175</v>
      </c>
      <c r="F1545" s="501">
        <v>7239.72</v>
      </c>
    </row>
    <row r="1546" spans="1:6" x14ac:dyDescent="0.25">
      <c r="A1546" s="308">
        <v>43404</v>
      </c>
      <c r="B1546" s="309" t="s">
        <v>485</v>
      </c>
      <c r="C1546" s="309" t="s">
        <v>491</v>
      </c>
      <c r="D1546" s="136" t="str">
        <f t="array" ref="D1546">IF(E1546=0,0,(INDEX(AccountCodes[ACCOUNT NAME],MATCH(E1546,AccountCodes[NGAS CODE],0))))</f>
        <v>Retirement and Life Insurance Premiums</v>
      </c>
      <c r="E1546" s="309" t="s">
        <v>175</v>
      </c>
      <c r="F1546" s="501">
        <v>7239.72</v>
      </c>
    </row>
    <row r="1547" spans="1:6" x14ac:dyDescent="0.25">
      <c r="A1547" s="308">
        <v>43434</v>
      </c>
      <c r="B1547" s="309" t="s">
        <v>485</v>
      </c>
      <c r="C1547" s="309" t="s">
        <v>491</v>
      </c>
      <c r="D1547" s="136" t="str">
        <f t="array" ref="D1547">IF(E1547=0,0,(INDEX(AccountCodes[ACCOUNT NAME],MATCH(E1547,AccountCodes[NGAS CODE],0))))</f>
        <v>Retirement and Life Insurance Premiums</v>
      </c>
      <c r="E1547" s="309" t="s">
        <v>175</v>
      </c>
      <c r="F1547" s="501">
        <v>7239.72</v>
      </c>
    </row>
    <row r="1548" spans="1:6" x14ac:dyDescent="0.25">
      <c r="A1548" s="308">
        <v>43465</v>
      </c>
      <c r="B1548" s="309" t="s">
        <v>485</v>
      </c>
      <c r="C1548" s="309" t="s">
        <v>491</v>
      </c>
      <c r="D1548" s="136" t="str">
        <f t="array" ref="D1548">IF(E1548=0,0,(INDEX(AccountCodes[ACCOUNT NAME],MATCH(E1548,AccountCodes[NGAS CODE],0))))</f>
        <v>Retirement and Life Insurance Premiums</v>
      </c>
      <c r="E1548" s="309" t="s">
        <v>175</v>
      </c>
      <c r="F1548" s="501">
        <v>7239.72</v>
      </c>
    </row>
    <row r="1549" spans="1:6" x14ac:dyDescent="0.25">
      <c r="A1549" s="308">
        <v>43131</v>
      </c>
      <c r="B1549" s="309" t="s">
        <v>485</v>
      </c>
      <c r="C1549" s="309" t="s">
        <v>491</v>
      </c>
      <c r="D1549" s="136" t="str">
        <f t="array" ref="D1549">IF(E1549=0,0,(INDEX(AccountCodes[ACCOUNT NAME],MATCH(E1549,AccountCodes[NGAS CODE],0))))</f>
        <v>Pag-IBIG Contributions</v>
      </c>
      <c r="E1549" s="309" t="s">
        <v>176</v>
      </c>
      <c r="F1549" s="501">
        <v>400</v>
      </c>
    </row>
    <row r="1550" spans="1:6" x14ac:dyDescent="0.25">
      <c r="A1550" s="308">
        <v>43159</v>
      </c>
      <c r="B1550" s="309" t="s">
        <v>485</v>
      </c>
      <c r="C1550" s="309" t="s">
        <v>491</v>
      </c>
      <c r="D1550" s="136" t="str">
        <f t="array" ref="D1550">IF(E1550=0,0,(INDEX(AccountCodes[ACCOUNT NAME],MATCH(E1550,AccountCodes[NGAS CODE],0))))</f>
        <v>Pag-IBIG Contributions</v>
      </c>
      <c r="E1550" s="309" t="s">
        <v>176</v>
      </c>
      <c r="F1550" s="501">
        <v>400</v>
      </c>
    </row>
    <row r="1551" spans="1:6" x14ac:dyDescent="0.25">
      <c r="A1551" s="308">
        <v>43190</v>
      </c>
      <c r="B1551" s="309" t="s">
        <v>485</v>
      </c>
      <c r="C1551" s="309" t="s">
        <v>491</v>
      </c>
      <c r="D1551" s="136" t="str">
        <f t="array" ref="D1551">IF(E1551=0,0,(INDEX(AccountCodes[ACCOUNT NAME],MATCH(E1551,AccountCodes[NGAS CODE],0))))</f>
        <v>Pag-IBIG Contributions</v>
      </c>
      <c r="E1551" s="309" t="s">
        <v>176</v>
      </c>
      <c r="F1551" s="501">
        <v>400</v>
      </c>
    </row>
    <row r="1552" spans="1:6" x14ac:dyDescent="0.25">
      <c r="A1552" s="308">
        <v>43220</v>
      </c>
      <c r="B1552" s="309" t="s">
        <v>485</v>
      </c>
      <c r="C1552" s="309" t="s">
        <v>491</v>
      </c>
      <c r="D1552" s="136" t="str">
        <f t="array" ref="D1552">IF(E1552=0,0,(INDEX(AccountCodes[ACCOUNT NAME],MATCH(E1552,AccountCodes[NGAS CODE],0))))</f>
        <v>Pag-IBIG Contributions</v>
      </c>
      <c r="E1552" s="309" t="s">
        <v>176</v>
      </c>
      <c r="F1552" s="501">
        <v>400</v>
      </c>
    </row>
    <row r="1553" spans="1:6" x14ac:dyDescent="0.25">
      <c r="A1553" s="308">
        <v>43251</v>
      </c>
      <c r="B1553" s="309" t="s">
        <v>485</v>
      </c>
      <c r="C1553" s="309" t="s">
        <v>491</v>
      </c>
      <c r="D1553" s="136" t="str">
        <f t="array" ref="D1553">IF(E1553=0,0,(INDEX(AccountCodes[ACCOUNT NAME],MATCH(E1553,AccountCodes[NGAS CODE],0))))</f>
        <v>Pag-IBIG Contributions</v>
      </c>
      <c r="E1553" s="309" t="s">
        <v>176</v>
      </c>
      <c r="F1553" s="501">
        <v>400</v>
      </c>
    </row>
    <row r="1554" spans="1:6" x14ac:dyDescent="0.25">
      <c r="A1554" s="308">
        <v>43281</v>
      </c>
      <c r="B1554" s="309" t="s">
        <v>485</v>
      </c>
      <c r="C1554" s="309" t="s">
        <v>491</v>
      </c>
      <c r="D1554" s="136" t="str">
        <f t="array" ref="D1554">IF(E1554=0,0,(INDEX(AccountCodes[ACCOUNT NAME],MATCH(E1554,AccountCodes[NGAS CODE],0))))</f>
        <v>Pag-IBIG Contributions</v>
      </c>
      <c r="E1554" s="309" t="s">
        <v>176</v>
      </c>
      <c r="F1554" s="501">
        <v>400</v>
      </c>
    </row>
    <row r="1555" spans="1:6" x14ac:dyDescent="0.25">
      <c r="A1555" s="308">
        <v>43312</v>
      </c>
      <c r="B1555" s="309" t="s">
        <v>485</v>
      </c>
      <c r="C1555" s="309" t="s">
        <v>491</v>
      </c>
      <c r="D1555" s="136" t="str">
        <f t="array" ref="D1555">IF(E1555=0,0,(INDEX(AccountCodes[ACCOUNT NAME],MATCH(E1555,AccountCodes[NGAS CODE],0))))</f>
        <v>Pag-IBIG Contributions</v>
      </c>
      <c r="E1555" s="309" t="s">
        <v>176</v>
      </c>
      <c r="F1555" s="501">
        <v>400</v>
      </c>
    </row>
    <row r="1556" spans="1:6" x14ac:dyDescent="0.25">
      <c r="A1556" s="308">
        <v>43343</v>
      </c>
      <c r="B1556" s="309" t="s">
        <v>485</v>
      </c>
      <c r="C1556" s="309" t="s">
        <v>491</v>
      </c>
      <c r="D1556" s="136" t="str">
        <f t="array" ref="D1556">IF(E1556=0,0,(INDEX(AccountCodes[ACCOUNT NAME],MATCH(E1556,AccountCodes[NGAS CODE],0))))</f>
        <v>Pag-IBIG Contributions</v>
      </c>
      <c r="E1556" s="309" t="s">
        <v>176</v>
      </c>
      <c r="F1556" s="501">
        <v>400</v>
      </c>
    </row>
    <row r="1557" spans="1:6" x14ac:dyDescent="0.25">
      <c r="A1557" s="308">
        <v>43373</v>
      </c>
      <c r="B1557" s="309" t="s">
        <v>485</v>
      </c>
      <c r="C1557" s="309" t="s">
        <v>491</v>
      </c>
      <c r="D1557" s="136" t="str">
        <f t="array" ref="D1557">IF(E1557=0,0,(INDEX(AccountCodes[ACCOUNT NAME],MATCH(E1557,AccountCodes[NGAS CODE],0))))</f>
        <v>Pag-IBIG Contributions</v>
      </c>
      <c r="E1557" s="309" t="s">
        <v>176</v>
      </c>
      <c r="F1557" s="501">
        <v>400</v>
      </c>
    </row>
    <row r="1558" spans="1:6" x14ac:dyDescent="0.25">
      <c r="A1558" s="308">
        <v>43404</v>
      </c>
      <c r="B1558" s="309" t="s">
        <v>485</v>
      </c>
      <c r="C1558" s="309" t="s">
        <v>491</v>
      </c>
      <c r="D1558" s="136" t="str">
        <f t="array" ref="D1558">IF(E1558=0,0,(INDEX(AccountCodes[ACCOUNT NAME],MATCH(E1558,AccountCodes[NGAS CODE],0))))</f>
        <v>Pag-IBIG Contributions</v>
      </c>
      <c r="E1558" s="309" t="s">
        <v>176</v>
      </c>
      <c r="F1558" s="501">
        <v>400</v>
      </c>
    </row>
    <row r="1559" spans="1:6" x14ac:dyDescent="0.25">
      <c r="A1559" s="308">
        <v>43434</v>
      </c>
      <c r="B1559" s="309" t="s">
        <v>485</v>
      </c>
      <c r="C1559" s="309" t="s">
        <v>491</v>
      </c>
      <c r="D1559" s="136" t="str">
        <f t="array" ref="D1559">IF(E1559=0,0,(INDEX(AccountCodes[ACCOUNT NAME],MATCH(E1559,AccountCodes[NGAS CODE],0))))</f>
        <v>Pag-IBIG Contributions</v>
      </c>
      <c r="E1559" s="309" t="s">
        <v>176</v>
      </c>
      <c r="F1559" s="501">
        <v>400</v>
      </c>
    </row>
    <row r="1560" spans="1:6" x14ac:dyDescent="0.25">
      <c r="A1560" s="308">
        <v>43465</v>
      </c>
      <c r="B1560" s="309" t="s">
        <v>485</v>
      </c>
      <c r="C1560" s="309" t="s">
        <v>491</v>
      </c>
      <c r="D1560" s="136" t="str">
        <f t="array" ref="D1560">IF(E1560=0,0,(INDEX(AccountCodes[ACCOUNT NAME],MATCH(E1560,AccountCodes[NGAS CODE],0))))</f>
        <v>Pag-IBIG Contributions</v>
      </c>
      <c r="E1560" s="309" t="s">
        <v>176</v>
      </c>
      <c r="F1560" s="501">
        <v>400</v>
      </c>
    </row>
    <row r="1561" spans="1:6" x14ac:dyDescent="0.25">
      <c r="A1561" s="308">
        <v>43131</v>
      </c>
      <c r="B1561" s="309" t="s">
        <v>485</v>
      </c>
      <c r="C1561" s="309" t="s">
        <v>491</v>
      </c>
      <c r="D1561" s="136" t="str">
        <f t="array" ref="D1561">IF(E1561=0,0,(INDEX(AccountCodes[ACCOUNT NAME],MATCH(E1561,AccountCodes[NGAS CODE],0))))</f>
        <v>PhilHealth Contributions</v>
      </c>
      <c r="E1561" s="309" t="s">
        <v>177</v>
      </c>
      <c r="F1561" s="501">
        <v>887.5</v>
      </c>
    </row>
    <row r="1562" spans="1:6" x14ac:dyDescent="0.25">
      <c r="A1562" s="308">
        <v>43159</v>
      </c>
      <c r="B1562" s="309" t="s">
        <v>485</v>
      </c>
      <c r="C1562" s="309" t="s">
        <v>491</v>
      </c>
      <c r="D1562" s="136" t="str">
        <f t="array" ref="D1562">IF(E1562=0,0,(INDEX(AccountCodes[ACCOUNT NAME],MATCH(E1562,AccountCodes[NGAS CODE],0))))</f>
        <v>PhilHealth Contributions</v>
      </c>
      <c r="E1562" s="309" t="s">
        <v>177</v>
      </c>
      <c r="F1562" s="501">
        <v>887.5</v>
      </c>
    </row>
    <row r="1563" spans="1:6" x14ac:dyDescent="0.25">
      <c r="A1563" s="308">
        <v>43190</v>
      </c>
      <c r="B1563" s="309" t="s">
        <v>485</v>
      </c>
      <c r="C1563" s="309" t="s">
        <v>491</v>
      </c>
      <c r="D1563" s="136" t="str">
        <f t="array" ref="D1563">IF(E1563=0,0,(INDEX(AccountCodes[ACCOUNT NAME],MATCH(E1563,AccountCodes[NGAS CODE],0))))</f>
        <v>PhilHealth Contributions</v>
      </c>
      <c r="E1563" s="309" t="s">
        <v>177</v>
      </c>
      <c r="F1563" s="501">
        <v>887.5</v>
      </c>
    </row>
    <row r="1564" spans="1:6" x14ac:dyDescent="0.25">
      <c r="A1564" s="308">
        <v>43220</v>
      </c>
      <c r="B1564" s="309" t="s">
        <v>485</v>
      </c>
      <c r="C1564" s="309" t="s">
        <v>491</v>
      </c>
      <c r="D1564" s="136" t="str">
        <f t="array" ref="D1564">IF(E1564=0,0,(INDEX(AccountCodes[ACCOUNT NAME],MATCH(E1564,AccountCodes[NGAS CODE],0))))</f>
        <v>PhilHealth Contributions</v>
      </c>
      <c r="E1564" s="309" t="s">
        <v>177</v>
      </c>
      <c r="F1564" s="501">
        <v>887.5</v>
      </c>
    </row>
    <row r="1565" spans="1:6" x14ac:dyDescent="0.25">
      <c r="A1565" s="308">
        <v>43251</v>
      </c>
      <c r="B1565" s="309" t="s">
        <v>485</v>
      </c>
      <c r="C1565" s="309" t="s">
        <v>491</v>
      </c>
      <c r="D1565" s="136" t="str">
        <f t="array" ref="D1565">IF(E1565=0,0,(INDEX(AccountCodes[ACCOUNT NAME],MATCH(E1565,AccountCodes[NGAS CODE],0))))</f>
        <v>PhilHealth Contributions</v>
      </c>
      <c r="E1565" s="309" t="s">
        <v>177</v>
      </c>
      <c r="F1565" s="501">
        <v>887.5</v>
      </c>
    </row>
    <row r="1566" spans="1:6" x14ac:dyDescent="0.25">
      <c r="A1566" s="308">
        <v>43281</v>
      </c>
      <c r="B1566" s="309" t="s">
        <v>485</v>
      </c>
      <c r="C1566" s="309" t="s">
        <v>491</v>
      </c>
      <c r="D1566" s="136" t="str">
        <f t="array" ref="D1566">IF(E1566=0,0,(INDEX(AccountCodes[ACCOUNT NAME],MATCH(E1566,AccountCodes[NGAS CODE],0))))</f>
        <v>PhilHealth Contributions</v>
      </c>
      <c r="E1566" s="309" t="s">
        <v>177</v>
      </c>
      <c r="F1566" s="501">
        <v>887.5</v>
      </c>
    </row>
    <row r="1567" spans="1:6" x14ac:dyDescent="0.25">
      <c r="A1567" s="308">
        <v>43312</v>
      </c>
      <c r="B1567" s="309" t="s">
        <v>485</v>
      </c>
      <c r="C1567" s="309" t="s">
        <v>491</v>
      </c>
      <c r="D1567" s="136" t="str">
        <f t="array" ref="D1567">IF(E1567=0,0,(INDEX(AccountCodes[ACCOUNT NAME],MATCH(E1567,AccountCodes[NGAS CODE],0))))</f>
        <v>PhilHealth Contributions</v>
      </c>
      <c r="E1567" s="309" t="s">
        <v>177</v>
      </c>
      <c r="F1567" s="501">
        <v>887.5</v>
      </c>
    </row>
    <row r="1568" spans="1:6" x14ac:dyDescent="0.25">
      <c r="A1568" s="308">
        <v>43343</v>
      </c>
      <c r="B1568" s="309" t="s">
        <v>485</v>
      </c>
      <c r="C1568" s="309" t="s">
        <v>491</v>
      </c>
      <c r="D1568" s="136" t="str">
        <f t="array" ref="D1568">IF(E1568=0,0,(INDEX(AccountCodes[ACCOUNT NAME],MATCH(E1568,AccountCodes[NGAS CODE],0))))</f>
        <v>PhilHealth Contributions</v>
      </c>
      <c r="E1568" s="309" t="s">
        <v>177</v>
      </c>
      <c r="F1568" s="501">
        <v>887.5</v>
      </c>
    </row>
    <row r="1569" spans="1:6" x14ac:dyDescent="0.25">
      <c r="A1569" s="308">
        <v>43373</v>
      </c>
      <c r="B1569" s="309" t="s">
        <v>485</v>
      </c>
      <c r="C1569" s="309" t="s">
        <v>491</v>
      </c>
      <c r="D1569" s="136" t="str">
        <f t="array" ref="D1569">IF(E1569=0,0,(INDEX(AccountCodes[ACCOUNT NAME],MATCH(E1569,AccountCodes[NGAS CODE],0))))</f>
        <v>PhilHealth Contributions</v>
      </c>
      <c r="E1569" s="309" t="s">
        <v>177</v>
      </c>
      <c r="F1569" s="501">
        <v>887.5</v>
      </c>
    </row>
    <row r="1570" spans="1:6" x14ac:dyDescent="0.25">
      <c r="A1570" s="308">
        <v>43404</v>
      </c>
      <c r="B1570" s="309" t="s">
        <v>485</v>
      </c>
      <c r="C1570" s="309" t="s">
        <v>491</v>
      </c>
      <c r="D1570" s="136" t="str">
        <f t="array" ref="D1570">IF(E1570=0,0,(INDEX(AccountCodes[ACCOUNT NAME],MATCH(E1570,AccountCodes[NGAS CODE],0))))</f>
        <v>PhilHealth Contributions</v>
      </c>
      <c r="E1570" s="309" t="s">
        <v>177</v>
      </c>
      <c r="F1570" s="501">
        <v>887.5</v>
      </c>
    </row>
    <row r="1571" spans="1:6" x14ac:dyDescent="0.25">
      <c r="A1571" s="308">
        <v>43434</v>
      </c>
      <c r="B1571" s="309" t="s">
        <v>485</v>
      </c>
      <c r="C1571" s="309" t="s">
        <v>491</v>
      </c>
      <c r="D1571" s="136" t="str">
        <f t="array" ref="D1571">IF(E1571=0,0,(INDEX(AccountCodes[ACCOUNT NAME],MATCH(E1571,AccountCodes[NGAS CODE],0))))</f>
        <v>PhilHealth Contributions</v>
      </c>
      <c r="E1571" s="309" t="s">
        <v>177</v>
      </c>
      <c r="F1571" s="501">
        <v>887.5</v>
      </c>
    </row>
    <row r="1572" spans="1:6" x14ac:dyDescent="0.25">
      <c r="A1572" s="308">
        <v>43465</v>
      </c>
      <c r="B1572" s="309" t="s">
        <v>485</v>
      </c>
      <c r="C1572" s="309" t="s">
        <v>491</v>
      </c>
      <c r="D1572" s="136" t="str">
        <f t="array" ref="D1572">IF(E1572=0,0,(INDEX(AccountCodes[ACCOUNT NAME],MATCH(E1572,AccountCodes[NGAS CODE],0))))</f>
        <v>PhilHealth Contributions</v>
      </c>
      <c r="E1572" s="309" t="s">
        <v>177</v>
      </c>
      <c r="F1572" s="501">
        <v>887.5</v>
      </c>
    </row>
    <row r="1573" spans="1:6" x14ac:dyDescent="0.25">
      <c r="A1573" s="308">
        <v>43131</v>
      </c>
      <c r="B1573" s="309" t="s">
        <v>485</v>
      </c>
      <c r="C1573" s="309" t="s">
        <v>491</v>
      </c>
      <c r="D1573" s="136" t="str">
        <f t="array" ref="D1573">IF(E1573=0,0,(INDEX(AccountCodes[ACCOUNT NAME],MATCH(E1573,AccountCodes[NGAS CODE],0))))</f>
        <v>Employees Compensation Insurance Premiums</v>
      </c>
      <c r="E1573" s="309" t="s">
        <v>178</v>
      </c>
      <c r="F1573" s="501">
        <v>400</v>
      </c>
    </row>
    <row r="1574" spans="1:6" x14ac:dyDescent="0.25">
      <c r="A1574" s="308">
        <v>43159</v>
      </c>
      <c r="B1574" s="309" t="s">
        <v>485</v>
      </c>
      <c r="C1574" s="309" t="s">
        <v>491</v>
      </c>
      <c r="D1574" s="136" t="str">
        <f t="array" ref="D1574">IF(E1574=0,0,(INDEX(AccountCodes[ACCOUNT NAME],MATCH(E1574,AccountCodes[NGAS CODE],0))))</f>
        <v>Employees Compensation Insurance Premiums</v>
      </c>
      <c r="E1574" s="309" t="s">
        <v>178</v>
      </c>
      <c r="F1574" s="501">
        <v>400</v>
      </c>
    </row>
    <row r="1575" spans="1:6" x14ac:dyDescent="0.25">
      <c r="A1575" s="308">
        <v>43190</v>
      </c>
      <c r="B1575" s="309" t="s">
        <v>485</v>
      </c>
      <c r="C1575" s="309" t="s">
        <v>491</v>
      </c>
      <c r="D1575" s="136" t="str">
        <f t="array" ref="D1575">IF(E1575=0,0,(INDEX(AccountCodes[ACCOUNT NAME],MATCH(E1575,AccountCodes[NGAS CODE],0))))</f>
        <v>Employees Compensation Insurance Premiums</v>
      </c>
      <c r="E1575" s="309" t="s">
        <v>178</v>
      </c>
      <c r="F1575" s="501">
        <v>400</v>
      </c>
    </row>
    <row r="1576" spans="1:6" x14ac:dyDescent="0.25">
      <c r="A1576" s="308">
        <v>43220</v>
      </c>
      <c r="B1576" s="309" t="s">
        <v>485</v>
      </c>
      <c r="C1576" s="309" t="s">
        <v>491</v>
      </c>
      <c r="D1576" s="136" t="str">
        <f t="array" ref="D1576">IF(E1576=0,0,(INDEX(AccountCodes[ACCOUNT NAME],MATCH(E1576,AccountCodes[NGAS CODE],0))))</f>
        <v>Employees Compensation Insurance Premiums</v>
      </c>
      <c r="E1576" s="309" t="s">
        <v>178</v>
      </c>
      <c r="F1576" s="501">
        <v>400</v>
      </c>
    </row>
    <row r="1577" spans="1:6" x14ac:dyDescent="0.25">
      <c r="A1577" s="308">
        <v>43251</v>
      </c>
      <c r="B1577" s="309" t="s">
        <v>485</v>
      </c>
      <c r="C1577" s="309" t="s">
        <v>491</v>
      </c>
      <c r="D1577" s="136" t="str">
        <f t="array" ref="D1577">IF(E1577=0,0,(INDEX(AccountCodes[ACCOUNT NAME],MATCH(E1577,AccountCodes[NGAS CODE],0))))</f>
        <v>Employees Compensation Insurance Premiums</v>
      </c>
      <c r="E1577" s="309" t="s">
        <v>178</v>
      </c>
      <c r="F1577" s="501">
        <v>400</v>
      </c>
    </row>
    <row r="1578" spans="1:6" x14ac:dyDescent="0.25">
      <c r="A1578" s="308">
        <v>43281</v>
      </c>
      <c r="B1578" s="309" t="s">
        <v>485</v>
      </c>
      <c r="C1578" s="309" t="s">
        <v>491</v>
      </c>
      <c r="D1578" s="136" t="str">
        <f t="array" ref="D1578">IF(E1578=0,0,(INDEX(AccountCodes[ACCOUNT NAME],MATCH(E1578,AccountCodes[NGAS CODE],0))))</f>
        <v>Employees Compensation Insurance Premiums</v>
      </c>
      <c r="E1578" s="309" t="s">
        <v>178</v>
      </c>
      <c r="F1578" s="501">
        <v>400</v>
      </c>
    </row>
    <row r="1579" spans="1:6" x14ac:dyDescent="0.25">
      <c r="A1579" s="308">
        <v>43312</v>
      </c>
      <c r="B1579" s="309" t="s">
        <v>485</v>
      </c>
      <c r="C1579" s="309" t="s">
        <v>491</v>
      </c>
      <c r="D1579" s="136" t="str">
        <f t="array" ref="D1579">IF(E1579=0,0,(INDEX(AccountCodes[ACCOUNT NAME],MATCH(E1579,AccountCodes[NGAS CODE],0))))</f>
        <v>Employees Compensation Insurance Premiums</v>
      </c>
      <c r="E1579" s="309" t="s">
        <v>178</v>
      </c>
      <c r="F1579" s="501">
        <v>400</v>
      </c>
    </row>
    <row r="1580" spans="1:6" x14ac:dyDescent="0.25">
      <c r="A1580" s="308">
        <v>43343</v>
      </c>
      <c r="B1580" s="309" t="s">
        <v>485</v>
      </c>
      <c r="C1580" s="309" t="s">
        <v>491</v>
      </c>
      <c r="D1580" s="136" t="str">
        <f t="array" ref="D1580">IF(E1580=0,0,(INDEX(AccountCodes[ACCOUNT NAME],MATCH(E1580,AccountCodes[NGAS CODE],0))))</f>
        <v>Employees Compensation Insurance Premiums</v>
      </c>
      <c r="E1580" s="309" t="s">
        <v>178</v>
      </c>
      <c r="F1580" s="501">
        <v>400</v>
      </c>
    </row>
    <row r="1581" spans="1:6" x14ac:dyDescent="0.25">
      <c r="A1581" s="308">
        <v>43373</v>
      </c>
      <c r="B1581" s="309" t="s">
        <v>485</v>
      </c>
      <c r="C1581" s="309" t="s">
        <v>491</v>
      </c>
      <c r="D1581" s="136" t="str">
        <f t="array" ref="D1581">IF(E1581=0,0,(INDEX(AccountCodes[ACCOUNT NAME],MATCH(E1581,AccountCodes[NGAS CODE],0))))</f>
        <v>Employees Compensation Insurance Premiums</v>
      </c>
      <c r="E1581" s="309" t="s">
        <v>178</v>
      </c>
      <c r="F1581" s="501">
        <v>400</v>
      </c>
    </row>
    <row r="1582" spans="1:6" x14ac:dyDescent="0.25">
      <c r="A1582" s="308">
        <v>43404</v>
      </c>
      <c r="B1582" s="309" t="s">
        <v>485</v>
      </c>
      <c r="C1582" s="309" t="s">
        <v>491</v>
      </c>
      <c r="D1582" s="136" t="str">
        <f t="array" ref="D1582">IF(E1582=0,0,(INDEX(AccountCodes[ACCOUNT NAME],MATCH(E1582,AccountCodes[NGAS CODE],0))))</f>
        <v>Employees Compensation Insurance Premiums</v>
      </c>
      <c r="E1582" s="309" t="s">
        <v>178</v>
      </c>
      <c r="F1582" s="501">
        <v>400</v>
      </c>
    </row>
    <row r="1583" spans="1:6" x14ac:dyDescent="0.25">
      <c r="A1583" s="308">
        <v>43434</v>
      </c>
      <c r="B1583" s="309" t="s">
        <v>485</v>
      </c>
      <c r="C1583" s="309" t="s">
        <v>491</v>
      </c>
      <c r="D1583" s="136" t="str">
        <f t="array" ref="D1583">IF(E1583=0,0,(INDEX(AccountCodes[ACCOUNT NAME],MATCH(E1583,AccountCodes[NGAS CODE],0))))</f>
        <v>Employees Compensation Insurance Premiums</v>
      </c>
      <c r="E1583" s="309" t="s">
        <v>178</v>
      </c>
      <c r="F1583" s="501">
        <v>400</v>
      </c>
    </row>
    <row r="1584" spans="1:6" x14ac:dyDescent="0.25">
      <c r="A1584" s="308">
        <v>43465</v>
      </c>
      <c r="B1584" s="309" t="s">
        <v>485</v>
      </c>
      <c r="C1584" s="309" t="s">
        <v>491</v>
      </c>
      <c r="D1584" s="136" t="str">
        <f t="array" ref="D1584">IF(E1584=0,0,(INDEX(AccountCodes[ACCOUNT NAME],MATCH(E1584,AccountCodes[NGAS CODE],0))))</f>
        <v>Employees Compensation Insurance Premiums</v>
      </c>
      <c r="E1584" s="309" t="s">
        <v>178</v>
      </c>
      <c r="F1584" s="501">
        <v>400</v>
      </c>
    </row>
    <row r="1585" spans="1:6" x14ac:dyDescent="0.25">
      <c r="A1585" s="308">
        <v>43131</v>
      </c>
      <c r="B1585" s="309" t="s">
        <v>485</v>
      </c>
      <c r="C1585" s="309" t="s">
        <v>491</v>
      </c>
      <c r="D1585" s="136" t="str">
        <f t="array" ref="D1585">IF(E1585=0,0,(INDEX(AccountCodes[ACCOUNT NAME],MATCH(E1585,AccountCodes[NGAS CODE],0))))</f>
        <v>Office Supplies Expenses</v>
      </c>
      <c r="E1585" s="309" t="s">
        <v>225</v>
      </c>
      <c r="F1585" s="501">
        <v>15000</v>
      </c>
    </row>
    <row r="1586" spans="1:6" x14ac:dyDescent="0.25">
      <c r="A1586" s="308">
        <v>43220</v>
      </c>
      <c r="B1586" s="309" t="s">
        <v>485</v>
      </c>
      <c r="C1586" s="309" t="s">
        <v>491</v>
      </c>
      <c r="D1586" s="136" t="str">
        <f t="array" ref="D1586">IF(E1586=0,0,(INDEX(AccountCodes[ACCOUNT NAME],MATCH(E1586,AccountCodes[NGAS CODE],0))))</f>
        <v>Office Supplies Expenses</v>
      </c>
      <c r="E1586" s="309" t="s">
        <v>225</v>
      </c>
      <c r="F1586" s="501">
        <v>15000</v>
      </c>
    </row>
    <row r="1587" spans="1:6" x14ac:dyDescent="0.25">
      <c r="A1587" s="308">
        <v>43312</v>
      </c>
      <c r="B1587" s="309" t="s">
        <v>485</v>
      </c>
      <c r="C1587" s="309" t="s">
        <v>491</v>
      </c>
      <c r="D1587" s="136" t="str">
        <f t="array" ref="D1587">IF(E1587=0,0,(INDEX(AccountCodes[ACCOUNT NAME],MATCH(E1587,AccountCodes[NGAS CODE],0))))</f>
        <v>Office Supplies Expenses</v>
      </c>
      <c r="E1587" s="309" t="s">
        <v>225</v>
      </c>
      <c r="F1587" s="501">
        <v>15000</v>
      </c>
    </row>
    <row r="1588" spans="1:6" x14ac:dyDescent="0.25">
      <c r="A1588" s="308">
        <v>43404</v>
      </c>
      <c r="B1588" s="309" t="s">
        <v>485</v>
      </c>
      <c r="C1588" s="309" t="s">
        <v>491</v>
      </c>
      <c r="D1588" s="136" t="str">
        <f t="array" ref="D1588">IF(E1588=0,0,(INDEX(AccountCodes[ACCOUNT NAME],MATCH(E1588,AccountCodes[NGAS CODE],0))))</f>
        <v>Office Supplies Expenses</v>
      </c>
      <c r="E1588" s="309" t="s">
        <v>225</v>
      </c>
      <c r="F1588" s="501">
        <v>15000</v>
      </c>
    </row>
    <row r="1589" spans="1:6" x14ac:dyDescent="0.25">
      <c r="A1589" s="308">
        <v>43131</v>
      </c>
      <c r="B1589" s="309" t="s">
        <v>485</v>
      </c>
      <c r="C1589" s="309" t="s">
        <v>491</v>
      </c>
      <c r="D1589" s="136" t="str">
        <f t="array" ref="D1589">IF(E1589=0,0,(INDEX(AccountCodes[ACCOUNT NAME],MATCH(E1589,AccountCodes[NGAS CODE],0))))</f>
        <v>Fuel, Oil and Lubricants Expenses</v>
      </c>
      <c r="E1589" s="309" t="s">
        <v>229</v>
      </c>
      <c r="F1589" s="501">
        <v>5000</v>
      </c>
    </row>
    <row r="1590" spans="1:6" x14ac:dyDescent="0.25">
      <c r="A1590" s="308">
        <v>43159</v>
      </c>
      <c r="B1590" s="309" t="s">
        <v>485</v>
      </c>
      <c r="C1590" s="309" t="s">
        <v>491</v>
      </c>
      <c r="D1590" s="136" t="str">
        <f t="array" ref="D1590">IF(E1590=0,0,(INDEX(AccountCodes[ACCOUNT NAME],MATCH(E1590,AccountCodes[NGAS CODE],0))))</f>
        <v>Fuel, Oil and Lubricants Expenses</v>
      </c>
      <c r="E1590" s="309" t="s">
        <v>229</v>
      </c>
      <c r="F1590" s="501">
        <v>5000</v>
      </c>
    </row>
    <row r="1591" spans="1:6" x14ac:dyDescent="0.25">
      <c r="A1591" s="308">
        <v>43190</v>
      </c>
      <c r="B1591" s="309" t="s">
        <v>485</v>
      </c>
      <c r="C1591" s="309" t="s">
        <v>491</v>
      </c>
      <c r="D1591" s="136" t="str">
        <f t="array" ref="D1591">IF(E1591=0,0,(INDEX(AccountCodes[ACCOUNT NAME],MATCH(E1591,AccountCodes[NGAS CODE],0))))</f>
        <v>Fuel, Oil and Lubricants Expenses</v>
      </c>
      <c r="E1591" s="309" t="s">
        <v>229</v>
      </c>
      <c r="F1591" s="501">
        <v>5000</v>
      </c>
    </row>
    <row r="1592" spans="1:6" x14ac:dyDescent="0.25">
      <c r="A1592" s="308">
        <v>43220</v>
      </c>
      <c r="B1592" s="309" t="s">
        <v>485</v>
      </c>
      <c r="C1592" s="309" t="s">
        <v>491</v>
      </c>
      <c r="D1592" s="136" t="str">
        <f t="array" ref="D1592">IF(E1592=0,0,(INDEX(AccountCodes[ACCOUNT NAME],MATCH(E1592,AccountCodes[NGAS CODE],0))))</f>
        <v>Fuel, Oil and Lubricants Expenses</v>
      </c>
      <c r="E1592" s="309" t="s">
        <v>229</v>
      </c>
      <c r="F1592" s="501">
        <v>5000</v>
      </c>
    </row>
    <row r="1593" spans="1:6" x14ac:dyDescent="0.25">
      <c r="A1593" s="308">
        <v>43251</v>
      </c>
      <c r="B1593" s="309" t="s">
        <v>485</v>
      </c>
      <c r="C1593" s="309" t="s">
        <v>491</v>
      </c>
      <c r="D1593" s="136" t="str">
        <f t="array" ref="D1593">IF(E1593=0,0,(INDEX(AccountCodes[ACCOUNT NAME],MATCH(E1593,AccountCodes[NGAS CODE],0))))</f>
        <v>Fuel, Oil and Lubricants Expenses</v>
      </c>
      <c r="E1593" s="309" t="s">
        <v>229</v>
      </c>
      <c r="F1593" s="501">
        <v>5000</v>
      </c>
    </row>
    <row r="1594" spans="1:6" x14ac:dyDescent="0.25">
      <c r="A1594" s="308">
        <v>43281</v>
      </c>
      <c r="B1594" s="309" t="s">
        <v>485</v>
      </c>
      <c r="C1594" s="309" t="s">
        <v>491</v>
      </c>
      <c r="D1594" s="136" t="str">
        <f t="array" ref="D1594">IF(E1594=0,0,(INDEX(AccountCodes[ACCOUNT NAME],MATCH(E1594,AccountCodes[NGAS CODE],0))))</f>
        <v>Fuel, Oil and Lubricants Expenses</v>
      </c>
      <c r="E1594" s="309" t="s">
        <v>229</v>
      </c>
      <c r="F1594" s="501">
        <v>5000</v>
      </c>
    </row>
    <row r="1595" spans="1:6" x14ac:dyDescent="0.25">
      <c r="A1595" s="308">
        <v>43312</v>
      </c>
      <c r="B1595" s="309" t="s">
        <v>485</v>
      </c>
      <c r="C1595" s="309" t="s">
        <v>491</v>
      </c>
      <c r="D1595" s="136" t="str">
        <f t="array" ref="D1595">IF(E1595=0,0,(INDEX(AccountCodes[ACCOUNT NAME],MATCH(E1595,AccountCodes[NGAS CODE],0))))</f>
        <v>Fuel, Oil and Lubricants Expenses</v>
      </c>
      <c r="E1595" s="309" t="s">
        <v>229</v>
      </c>
      <c r="F1595" s="501">
        <v>5000</v>
      </c>
    </row>
    <row r="1596" spans="1:6" x14ac:dyDescent="0.25">
      <c r="A1596" s="308">
        <v>43343</v>
      </c>
      <c r="B1596" s="309" t="s">
        <v>485</v>
      </c>
      <c r="C1596" s="309" t="s">
        <v>491</v>
      </c>
      <c r="D1596" s="136" t="str">
        <f t="array" ref="D1596">IF(E1596=0,0,(INDEX(AccountCodes[ACCOUNT NAME],MATCH(E1596,AccountCodes[NGAS CODE],0))))</f>
        <v>Fuel, Oil and Lubricants Expenses</v>
      </c>
      <c r="E1596" s="309" t="s">
        <v>229</v>
      </c>
      <c r="F1596" s="501">
        <v>5000</v>
      </c>
    </row>
    <row r="1597" spans="1:6" x14ac:dyDescent="0.25">
      <c r="A1597" s="308">
        <v>43373</v>
      </c>
      <c r="B1597" s="309" t="s">
        <v>485</v>
      </c>
      <c r="C1597" s="309" t="s">
        <v>491</v>
      </c>
      <c r="D1597" s="136" t="str">
        <f t="array" ref="D1597">IF(E1597=0,0,(INDEX(AccountCodes[ACCOUNT NAME],MATCH(E1597,AccountCodes[NGAS CODE],0))))</f>
        <v>Fuel, Oil and Lubricants Expenses</v>
      </c>
      <c r="E1597" s="309" t="s">
        <v>229</v>
      </c>
      <c r="F1597" s="501">
        <v>5000</v>
      </c>
    </row>
    <row r="1598" spans="1:6" x14ac:dyDescent="0.25">
      <c r="A1598" s="308">
        <v>43404</v>
      </c>
      <c r="B1598" s="309" t="s">
        <v>485</v>
      </c>
      <c r="C1598" s="309" t="s">
        <v>491</v>
      </c>
      <c r="D1598" s="136" t="str">
        <f t="array" ref="D1598">IF(E1598=0,0,(INDEX(AccountCodes[ACCOUNT NAME],MATCH(E1598,AccountCodes[NGAS CODE],0))))</f>
        <v>Fuel, Oil and Lubricants Expenses</v>
      </c>
      <c r="E1598" s="309" t="s">
        <v>229</v>
      </c>
      <c r="F1598" s="501">
        <v>5000</v>
      </c>
    </row>
    <row r="1599" spans="1:6" x14ac:dyDescent="0.25">
      <c r="A1599" s="308">
        <v>43434</v>
      </c>
      <c r="B1599" s="309" t="s">
        <v>485</v>
      </c>
      <c r="C1599" s="309" t="s">
        <v>491</v>
      </c>
      <c r="D1599" s="136" t="str">
        <f t="array" ref="D1599">IF(E1599=0,0,(INDEX(AccountCodes[ACCOUNT NAME],MATCH(E1599,AccountCodes[NGAS CODE],0))))</f>
        <v>Fuel, Oil and Lubricants Expenses</v>
      </c>
      <c r="E1599" s="309" t="s">
        <v>229</v>
      </c>
      <c r="F1599" s="501">
        <v>5000</v>
      </c>
    </row>
    <row r="1600" spans="1:6" x14ac:dyDescent="0.25">
      <c r="A1600" s="308">
        <v>43465</v>
      </c>
      <c r="B1600" s="309" t="s">
        <v>485</v>
      </c>
      <c r="C1600" s="309" t="s">
        <v>491</v>
      </c>
      <c r="D1600" s="136" t="str">
        <f t="array" ref="D1600">IF(E1600=0,0,(INDEX(AccountCodes[ACCOUNT NAME],MATCH(E1600,AccountCodes[NGAS CODE],0))))</f>
        <v>Fuel, Oil and Lubricants Expenses</v>
      </c>
      <c r="E1600" s="309" t="s">
        <v>229</v>
      </c>
      <c r="F1600" s="501">
        <v>5000</v>
      </c>
    </row>
    <row r="1601" spans="1:6" x14ac:dyDescent="0.25">
      <c r="A1601" s="308">
        <v>43131</v>
      </c>
      <c r="B1601" s="309" t="s">
        <v>485</v>
      </c>
      <c r="C1601" s="309" t="s">
        <v>491</v>
      </c>
      <c r="D1601" s="136" t="str">
        <f t="array" ref="D1601">IF(E1601=0,0,(INDEX(AccountCodes[ACCOUNT NAME],MATCH(E1601,AccountCodes[NGAS CODE],0))))</f>
        <v>Water Expenses</v>
      </c>
      <c r="E1601" s="309" t="s">
        <v>232</v>
      </c>
      <c r="F1601" s="501">
        <v>1000</v>
      </c>
    </row>
    <row r="1602" spans="1:6" x14ac:dyDescent="0.25">
      <c r="A1602" s="308">
        <v>43159</v>
      </c>
      <c r="B1602" s="309" t="s">
        <v>485</v>
      </c>
      <c r="C1602" s="309" t="s">
        <v>491</v>
      </c>
      <c r="D1602" s="136" t="str">
        <f t="array" ref="D1602">IF(E1602=0,0,(INDEX(AccountCodes[ACCOUNT NAME],MATCH(E1602,AccountCodes[NGAS CODE],0))))</f>
        <v>Water Expenses</v>
      </c>
      <c r="E1602" s="309" t="s">
        <v>232</v>
      </c>
      <c r="F1602" s="501">
        <v>1000</v>
      </c>
    </row>
    <row r="1603" spans="1:6" x14ac:dyDescent="0.25">
      <c r="A1603" s="308">
        <v>43190</v>
      </c>
      <c r="B1603" s="309" t="s">
        <v>485</v>
      </c>
      <c r="C1603" s="309" t="s">
        <v>491</v>
      </c>
      <c r="D1603" s="136" t="str">
        <f t="array" ref="D1603">IF(E1603=0,0,(INDEX(AccountCodes[ACCOUNT NAME],MATCH(E1603,AccountCodes[NGAS CODE],0))))</f>
        <v>Water Expenses</v>
      </c>
      <c r="E1603" s="309" t="s">
        <v>232</v>
      </c>
      <c r="F1603" s="501">
        <v>1000</v>
      </c>
    </row>
    <row r="1604" spans="1:6" x14ac:dyDescent="0.25">
      <c r="A1604" s="308">
        <v>43220</v>
      </c>
      <c r="B1604" s="309" t="s">
        <v>485</v>
      </c>
      <c r="C1604" s="309" t="s">
        <v>491</v>
      </c>
      <c r="D1604" s="136" t="str">
        <f t="array" ref="D1604">IF(E1604=0,0,(INDEX(AccountCodes[ACCOUNT NAME],MATCH(E1604,AccountCodes[NGAS CODE],0))))</f>
        <v>Water Expenses</v>
      </c>
      <c r="E1604" s="309" t="s">
        <v>232</v>
      </c>
      <c r="F1604" s="501">
        <v>1000</v>
      </c>
    </row>
    <row r="1605" spans="1:6" x14ac:dyDescent="0.25">
      <c r="A1605" s="308">
        <v>43251</v>
      </c>
      <c r="B1605" s="309" t="s">
        <v>485</v>
      </c>
      <c r="C1605" s="309" t="s">
        <v>491</v>
      </c>
      <c r="D1605" s="136" t="str">
        <f t="array" ref="D1605">IF(E1605=0,0,(INDEX(AccountCodes[ACCOUNT NAME],MATCH(E1605,AccountCodes[NGAS CODE],0))))</f>
        <v>Water Expenses</v>
      </c>
      <c r="E1605" s="309" t="s">
        <v>232</v>
      </c>
      <c r="F1605" s="501">
        <v>1000</v>
      </c>
    </row>
    <row r="1606" spans="1:6" x14ac:dyDescent="0.25">
      <c r="A1606" s="308">
        <v>43281</v>
      </c>
      <c r="B1606" s="309" t="s">
        <v>485</v>
      </c>
      <c r="C1606" s="309" t="s">
        <v>491</v>
      </c>
      <c r="D1606" s="136" t="str">
        <f t="array" ref="D1606">IF(E1606=0,0,(INDEX(AccountCodes[ACCOUNT NAME],MATCH(E1606,AccountCodes[NGAS CODE],0))))</f>
        <v>Water Expenses</v>
      </c>
      <c r="E1606" s="309" t="s">
        <v>232</v>
      </c>
      <c r="F1606" s="501">
        <v>1000</v>
      </c>
    </row>
    <row r="1607" spans="1:6" x14ac:dyDescent="0.25">
      <c r="A1607" s="308">
        <v>43312</v>
      </c>
      <c r="B1607" s="309" t="s">
        <v>485</v>
      </c>
      <c r="C1607" s="309" t="s">
        <v>491</v>
      </c>
      <c r="D1607" s="136" t="str">
        <f t="array" ref="D1607">IF(E1607=0,0,(INDEX(AccountCodes[ACCOUNT NAME],MATCH(E1607,AccountCodes[NGAS CODE],0))))</f>
        <v>Water Expenses</v>
      </c>
      <c r="E1607" s="309" t="s">
        <v>232</v>
      </c>
      <c r="F1607" s="501">
        <v>1000</v>
      </c>
    </row>
    <row r="1608" spans="1:6" x14ac:dyDescent="0.25">
      <c r="A1608" s="308">
        <v>43343</v>
      </c>
      <c r="B1608" s="309" t="s">
        <v>485</v>
      </c>
      <c r="C1608" s="309" t="s">
        <v>491</v>
      </c>
      <c r="D1608" s="136" t="str">
        <f t="array" ref="D1608">IF(E1608=0,0,(INDEX(AccountCodes[ACCOUNT NAME],MATCH(E1608,AccountCodes[NGAS CODE],0))))</f>
        <v>Water Expenses</v>
      </c>
      <c r="E1608" s="309" t="s">
        <v>232</v>
      </c>
      <c r="F1608" s="501">
        <v>1000</v>
      </c>
    </row>
    <row r="1609" spans="1:6" x14ac:dyDescent="0.25">
      <c r="A1609" s="308">
        <v>43373</v>
      </c>
      <c r="B1609" s="309" t="s">
        <v>485</v>
      </c>
      <c r="C1609" s="309" t="s">
        <v>491</v>
      </c>
      <c r="D1609" s="136" t="str">
        <f t="array" ref="D1609">IF(E1609=0,0,(INDEX(AccountCodes[ACCOUNT NAME],MATCH(E1609,AccountCodes[NGAS CODE],0))))</f>
        <v>Water Expenses</v>
      </c>
      <c r="E1609" s="309" t="s">
        <v>232</v>
      </c>
      <c r="F1609" s="501">
        <v>1000</v>
      </c>
    </row>
    <row r="1610" spans="1:6" x14ac:dyDescent="0.25">
      <c r="A1610" s="308">
        <v>43404</v>
      </c>
      <c r="B1610" s="309" t="s">
        <v>485</v>
      </c>
      <c r="C1610" s="309" t="s">
        <v>491</v>
      </c>
      <c r="D1610" s="136" t="str">
        <f t="array" ref="D1610">IF(E1610=0,0,(INDEX(AccountCodes[ACCOUNT NAME],MATCH(E1610,AccountCodes[NGAS CODE],0))))</f>
        <v>Water Expenses</v>
      </c>
      <c r="E1610" s="309" t="s">
        <v>232</v>
      </c>
      <c r="F1610" s="501">
        <v>1000</v>
      </c>
    </row>
    <row r="1611" spans="1:6" x14ac:dyDescent="0.25">
      <c r="A1611" s="308">
        <v>43434</v>
      </c>
      <c r="B1611" s="309" t="s">
        <v>485</v>
      </c>
      <c r="C1611" s="309" t="s">
        <v>491</v>
      </c>
      <c r="D1611" s="136" t="str">
        <f t="array" ref="D1611">IF(E1611=0,0,(INDEX(AccountCodes[ACCOUNT NAME],MATCH(E1611,AccountCodes[NGAS CODE],0))))</f>
        <v>Water Expenses</v>
      </c>
      <c r="E1611" s="309" t="s">
        <v>232</v>
      </c>
      <c r="F1611" s="501">
        <v>1000</v>
      </c>
    </row>
    <row r="1612" spans="1:6" x14ac:dyDescent="0.25">
      <c r="A1612" s="308">
        <v>43465</v>
      </c>
      <c r="B1612" s="309" t="s">
        <v>485</v>
      </c>
      <c r="C1612" s="309" t="s">
        <v>491</v>
      </c>
      <c r="D1612" s="136" t="str">
        <f t="array" ref="D1612">IF(E1612=0,0,(INDEX(AccountCodes[ACCOUNT NAME],MATCH(E1612,AccountCodes[NGAS CODE],0))))</f>
        <v>Water Expenses</v>
      </c>
      <c r="E1612" s="309" t="s">
        <v>232</v>
      </c>
      <c r="F1612" s="501">
        <v>1000</v>
      </c>
    </row>
    <row r="1613" spans="1:6" x14ac:dyDescent="0.25">
      <c r="A1613" s="308">
        <v>43131</v>
      </c>
      <c r="B1613" s="309" t="s">
        <v>485</v>
      </c>
      <c r="C1613" s="309" t="s">
        <v>491</v>
      </c>
      <c r="D1613" s="136" t="str">
        <f t="array" ref="D1613">IF(E1613=0,0,(INDEX(AccountCodes[ACCOUNT NAME],MATCH(E1613,AccountCodes[NGAS CODE],0))))</f>
        <v>Electricity Expenses</v>
      </c>
      <c r="E1613" s="309" t="s">
        <v>233</v>
      </c>
      <c r="F1613" s="501">
        <v>5000</v>
      </c>
    </row>
    <row r="1614" spans="1:6" x14ac:dyDescent="0.25">
      <c r="A1614" s="308">
        <v>43159</v>
      </c>
      <c r="B1614" s="309" t="s">
        <v>485</v>
      </c>
      <c r="C1614" s="309" t="s">
        <v>491</v>
      </c>
      <c r="D1614" s="136" t="str">
        <f t="array" ref="D1614">IF(E1614=0,0,(INDEX(AccountCodes[ACCOUNT NAME],MATCH(E1614,AccountCodes[NGAS CODE],0))))</f>
        <v>Electricity Expenses</v>
      </c>
      <c r="E1614" s="309" t="s">
        <v>233</v>
      </c>
      <c r="F1614" s="501">
        <v>5000</v>
      </c>
    </row>
    <row r="1615" spans="1:6" x14ac:dyDescent="0.25">
      <c r="A1615" s="308">
        <v>43190</v>
      </c>
      <c r="B1615" s="309" t="s">
        <v>485</v>
      </c>
      <c r="C1615" s="309" t="s">
        <v>491</v>
      </c>
      <c r="D1615" s="136" t="str">
        <f t="array" ref="D1615">IF(E1615=0,0,(INDEX(AccountCodes[ACCOUNT NAME],MATCH(E1615,AccountCodes[NGAS CODE],0))))</f>
        <v>Electricity Expenses</v>
      </c>
      <c r="E1615" s="309" t="s">
        <v>233</v>
      </c>
      <c r="F1615" s="501">
        <v>5000</v>
      </c>
    </row>
    <row r="1616" spans="1:6" x14ac:dyDescent="0.25">
      <c r="A1616" s="308">
        <v>43220</v>
      </c>
      <c r="B1616" s="309" t="s">
        <v>485</v>
      </c>
      <c r="C1616" s="309" t="s">
        <v>491</v>
      </c>
      <c r="D1616" s="136" t="str">
        <f t="array" ref="D1616">IF(E1616=0,0,(INDEX(AccountCodes[ACCOUNT NAME],MATCH(E1616,AccountCodes[NGAS CODE],0))))</f>
        <v>Electricity Expenses</v>
      </c>
      <c r="E1616" s="309" t="s">
        <v>233</v>
      </c>
      <c r="F1616" s="501">
        <v>5000</v>
      </c>
    </row>
    <row r="1617" spans="1:6" x14ac:dyDescent="0.25">
      <c r="A1617" s="308">
        <v>43251</v>
      </c>
      <c r="B1617" s="309" t="s">
        <v>485</v>
      </c>
      <c r="C1617" s="309" t="s">
        <v>491</v>
      </c>
      <c r="D1617" s="136" t="str">
        <f t="array" ref="D1617">IF(E1617=0,0,(INDEX(AccountCodes[ACCOUNT NAME],MATCH(E1617,AccountCodes[NGAS CODE],0))))</f>
        <v>Electricity Expenses</v>
      </c>
      <c r="E1617" s="309" t="s">
        <v>233</v>
      </c>
      <c r="F1617" s="501">
        <v>5000</v>
      </c>
    </row>
    <row r="1618" spans="1:6" x14ac:dyDescent="0.25">
      <c r="A1618" s="308">
        <v>43281</v>
      </c>
      <c r="B1618" s="309" t="s">
        <v>485</v>
      </c>
      <c r="C1618" s="309" t="s">
        <v>491</v>
      </c>
      <c r="D1618" s="136" t="str">
        <f t="array" ref="D1618">IF(E1618=0,0,(INDEX(AccountCodes[ACCOUNT NAME],MATCH(E1618,AccountCodes[NGAS CODE],0))))</f>
        <v>Electricity Expenses</v>
      </c>
      <c r="E1618" s="309" t="s">
        <v>233</v>
      </c>
      <c r="F1618" s="501">
        <v>5000</v>
      </c>
    </row>
    <row r="1619" spans="1:6" x14ac:dyDescent="0.25">
      <c r="A1619" s="308">
        <v>43312</v>
      </c>
      <c r="B1619" s="309" t="s">
        <v>485</v>
      </c>
      <c r="C1619" s="309" t="s">
        <v>491</v>
      </c>
      <c r="D1619" s="136" t="str">
        <f t="array" ref="D1619">IF(E1619=0,0,(INDEX(AccountCodes[ACCOUNT NAME],MATCH(E1619,AccountCodes[NGAS CODE],0))))</f>
        <v>Electricity Expenses</v>
      </c>
      <c r="E1619" s="309" t="s">
        <v>233</v>
      </c>
      <c r="F1619" s="501">
        <v>5000</v>
      </c>
    </row>
    <row r="1620" spans="1:6" x14ac:dyDescent="0.25">
      <c r="A1620" s="308">
        <v>43343</v>
      </c>
      <c r="B1620" s="309" t="s">
        <v>485</v>
      </c>
      <c r="C1620" s="309" t="s">
        <v>491</v>
      </c>
      <c r="D1620" s="136" t="str">
        <f t="array" ref="D1620">IF(E1620=0,0,(INDEX(AccountCodes[ACCOUNT NAME],MATCH(E1620,AccountCodes[NGAS CODE],0))))</f>
        <v>Electricity Expenses</v>
      </c>
      <c r="E1620" s="309" t="s">
        <v>233</v>
      </c>
      <c r="F1620" s="501">
        <v>5000</v>
      </c>
    </row>
    <row r="1621" spans="1:6" x14ac:dyDescent="0.25">
      <c r="A1621" s="308">
        <v>43373</v>
      </c>
      <c r="B1621" s="309" t="s">
        <v>485</v>
      </c>
      <c r="C1621" s="309" t="s">
        <v>491</v>
      </c>
      <c r="D1621" s="136" t="str">
        <f t="array" ref="D1621">IF(E1621=0,0,(INDEX(AccountCodes[ACCOUNT NAME],MATCH(E1621,AccountCodes[NGAS CODE],0))))</f>
        <v>Electricity Expenses</v>
      </c>
      <c r="E1621" s="309" t="s">
        <v>233</v>
      </c>
      <c r="F1621" s="501">
        <v>5000</v>
      </c>
    </row>
    <row r="1622" spans="1:6" x14ac:dyDescent="0.25">
      <c r="A1622" s="308">
        <v>43404</v>
      </c>
      <c r="B1622" s="309" t="s">
        <v>485</v>
      </c>
      <c r="C1622" s="309" t="s">
        <v>491</v>
      </c>
      <c r="D1622" s="136" t="str">
        <f t="array" ref="D1622">IF(E1622=0,0,(INDEX(AccountCodes[ACCOUNT NAME],MATCH(E1622,AccountCodes[NGAS CODE],0))))</f>
        <v>Electricity Expenses</v>
      </c>
      <c r="E1622" s="309" t="s">
        <v>233</v>
      </c>
      <c r="F1622" s="501">
        <v>5000</v>
      </c>
    </row>
    <row r="1623" spans="1:6" x14ac:dyDescent="0.25">
      <c r="A1623" s="308">
        <v>43434</v>
      </c>
      <c r="B1623" s="309" t="s">
        <v>485</v>
      </c>
      <c r="C1623" s="309" t="s">
        <v>491</v>
      </c>
      <c r="D1623" s="136" t="str">
        <f t="array" ref="D1623">IF(E1623=0,0,(INDEX(AccountCodes[ACCOUNT NAME],MATCH(E1623,AccountCodes[NGAS CODE],0))))</f>
        <v>Electricity Expenses</v>
      </c>
      <c r="E1623" s="309" t="s">
        <v>233</v>
      </c>
      <c r="F1623" s="501">
        <v>5000</v>
      </c>
    </row>
    <row r="1624" spans="1:6" x14ac:dyDescent="0.25">
      <c r="A1624" s="308">
        <v>43465</v>
      </c>
      <c r="B1624" s="309" t="s">
        <v>485</v>
      </c>
      <c r="C1624" s="309" t="s">
        <v>491</v>
      </c>
      <c r="D1624" s="136" t="str">
        <f t="array" ref="D1624">IF(E1624=0,0,(INDEX(AccountCodes[ACCOUNT NAME],MATCH(E1624,AccountCodes[NGAS CODE],0))))</f>
        <v>Electricity Expenses</v>
      </c>
      <c r="E1624" s="309" t="s">
        <v>233</v>
      </c>
      <c r="F1624" s="501">
        <v>5000</v>
      </c>
    </row>
    <row r="1625" spans="1:6" x14ac:dyDescent="0.25">
      <c r="A1625" s="308">
        <v>43131</v>
      </c>
      <c r="B1625" s="309" t="s">
        <v>485</v>
      </c>
      <c r="C1625" s="309" t="s">
        <v>491</v>
      </c>
      <c r="D1625" s="136" t="str">
        <f t="array" ref="D1625">IF(E1625=0,0,(INDEX(AccountCodes[ACCOUNT NAME],MATCH(E1625,AccountCodes[NGAS CODE],0))))</f>
        <v>Telephone Expenses - Landline</v>
      </c>
      <c r="E1625" s="309" t="s">
        <v>235</v>
      </c>
      <c r="F1625" s="501">
        <v>4100</v>
      </c>
    </row>
    <row r="1626" spans="1:6" x14ac:dyDescent="0.25">
      <c r="A1626" s="308">
        <v>43159</v>
      </c>
      <c r="B1626" s="309" t="s">
        <v>485</v>
      </c>
      <c r="C1626" s="309" t="s">
        <v>491</v>
      </c>
      <c r="D1626" s="136" t="str">
        <f t="array" ref="D1626">IF(E1626=0,0,(INDEX(AccountCodes[ACCOUNT NAME],MATCH(E1626,AccountCodes[NGAS CODE],0))))</f>
        <v>Telephone Expenses - Landline</v>
      </c>
      <c r="E1626" s="309" t="s">
        <v>235</v>
      </c>
      <c r="F1626" s="501">
        <v>4100</v>
      </c>
    </row>
    <row r="1627" spans="1:6" x14ac:dyDescent="0.25">
      <c r="A1627" s="308">
        <v>43190</v>
      </c>
      <c r="B1627" s="309" t="s">
        <v>485</v>
      </c>
      <c r="C1627" s="309" t="s">
        <v>491</v>
      </c>
      <c r="D1627" s="136" t="str">
        <f t="array" ref="D1627">IF(E1627=0,0,(INDEX(AccountCodes[ACCOUNT NAME],MATCH(E1627,AccountCodes[NGAS CODE],0))))</f>
        <v>Telephone Expenses - Landline</v>
      </c>
      <c r="E1627" s="309" t="s">
        <v>235</v>
      </c>
      <c r="F1627" s="501">
        <v>4100</v>
      </c>
    </row>
    <row r="1628" spans="1:6" x14ac:dyDescent="0.25">
      <c r="A1628" s="308">
        <v>43220</v>
      </c>
      <c r="B1628" s="309" t="s">
        <v>485</v>
      </c>
      <c r="C1628" s="309" t="s">
        <v>491</v>
      </c>
      <c r="D1628" s="136" t="str">
        <f t="array" ref="D1628">IF(E1628=0,0,(INDEX(AccountCodes[ACCOUNT NAME],MATCH(E1628,AccountCodes[NGAS CODE],0))))</f>
        <v>Telephone Expenses - Landline</v>
      </c>
      <c r="E1628" s="309" t="s">
        <v>235</v>
      </c>
      <c r="F1628" s="501">
        <v>4100</v>
      </c>
    </row>
    <row r="1629" spans="1:6" x14ac:dyDescent="0.25">
      <c r="A1629" s="308">
        <v>43251</v>
      </c>
      <c r="B1629" s="309" t="s">
        <v>485</v>
      </c>
      <c r="C1629" s="309" t="s">
        <v>491</v>
      </c>
      <c r="D1629" s="136" t="str">
        <f t="array" ref="D1629">IF(E1629=0,0,(INDEX(AccountCodes[ACCOUNT NAME],MATCH(E1629,AccountCodes[NGAS CODE],0))))</f>
        <v>Telephone Expenses - Landline</v>
      </c>
      <c r="E1629" s="309" t="s">
        <v>235</v>
      </c>
      <c r="F1629" s="501">
        <v>4100</v>
      </c>
    </row>
    <row r="1630" spans="1:6" x14ac:dyDescent="0.25">
      <c r="A1630" s="308">
        <v>43281</v>
      </c>
      <c r="B1630" s="309" t="s">
        <v>485</v>
      </c>
      <c r="C1630" s="309" t="s">
        <v>491</v>
      </c>
      <c r="D1630" s="136" t="str">
        <f t="array" ref="D1630">IF(E1630=0,0,(INDEX(AccountCodes[ACCOUNT NAME],MATCH(E1630,AccountCodes[NGAS CODE],0))))</f>
        <v>Telephone Expenses - Landline</v>
      </c>
      <c r="E1630" s="309" t="s">
        <v>235</v>
      </c>
      <c r="F1630" s="501">
        <v>4100</v>
      </c>
    </row>
    <row r="1631" spans="1:6" x14ac:dyDescent="0.25">
      <c r="A1631" s="308">
        <v>43312</v>
      </c>
      <c r="B1631" s="309" t="s">
        <v>485</v>
      </c>
      <c r="C1631" s="309" t="s">
        <v>491</v>
      </c>
      <c r="D1631" s="136" t="str">
        <f t="array" ref="D1631">IF(E1631=0,0,(INDEX(AccountCodes[ACCOUNT NAME],MATCH(E1631,AccountCodes[NGAS CODE],0))))</f>
        <v>Telephone Expenses - Landline</v>
      </c>
      <c r="E1631" s="309" t="s">
        <v>235</v>
      </c>
      <c r="F1631" s="501">
        <v>4100</v>
      </c>
    </row>
    <row r="1632" spans="1:6" x14ac:dyDescent="0.25">
      <c r="A1632" s="308">
        <v>43343</v>
      </c>
      <c r="B1632" s="309" t="s">
        <v>485</v>
      </c>
      <c r="C1632" s="309" t="s">
        <v>491</v>
      </c>
      <c r="D1632" s="136" t="str">
        <f t="array" ref="D1632">IF(E1632=0,0,(INDEX(AccountCodes[ACCOUNT NAME],MATCH(E1632,AccountCodes[NGAS CODE],0))))</f>
        <v>Telephone Expenses - Landline</v>
      </c>
      <c r="E1632" s="309" t="s">
        <v>235</v>
      </c>
      <c r="F1632" s="501">
        <v>4100</v>
      </c>
    </row>
    <row r="1633" spans="1:6" x14ac:dyDescent="0.25">
      <c r="A1633" s="308">
        <v>43373</v>
      </c>
      <c r="B1633" s="309" t="s">
        <v>485</v>
      </c>
      <c r="C1633" s="309" t="s">
        <v>491</v>
      </c>
      <c r="D1633" s="136" t="str">
        <f t="array" ref="D1633">IF(E1633=0,0,(INDEX(AccountCodes[ACCOUNT NAME],MATCH(E1633,AccountCodes[NGAS CODE],0))))</f>
        <v>Telephone Expenses - Landline</v>
      </c>
      <c r="E1633" s="309" t="s">
        <v>235</v>
      </c>
      <c r="F1633" s="501">
        <v>4100</v>
      </c>
    </row>
    <row r="1634" spans="1:6" x14ac:dyDescent="0.25">
      <c r="A1634" s="308">
        <v>43404</v>
      </c>
      <c r="B1634" s="309" t="s">
        <v>485</v>
      </c>
      <c r="C1634" s="309" t="s">
        <v>491</v>
      </c>
      <c r="D1634" s="136" t="str">
        <f t="array" ref="D1634">IF(E1634=0,0,(INDEX(AccountCodes[ACCOUNT NAME],MATCH(E1634,AccountCodes[NGAS CODE],0))))</f>
        <v>Telephone Expenses - Landline</v>
      </c>
      <c r="E1634" s="309" t="s">
        <v>235</v>
      </c>
      <c r="F1634" s="501">
        <v>4100</v>
      </c>
    </row>
    <row r="1635" spans="1:6" x14ac:dyDescent="0.25">
      <c r="A1635" s="308">
        <v>43434</v>
      </c>
      <c r="B1635" s="309" t="s">
        <v>485</v>
      </c>
      <c r="C1635" s="309" t="s">
        <v>491</v>
      </c>
      <c r="D1635" s="136" t="str">
        <f t="array" ref="D1635">IF(E1635=0,0,(INDEX(AccountCodes[ACCOUNT NAME],MATCH(E1635,AccountCodes[NGAS CODE],0))))</f>
        <v>Telephone Expenses - Landline</v>
      </c>
      <c r="E1635" s="309" t="s">
        <v>235</v>
      </c>
      <c r="F1635" s="501">
        <v>4100</v>
      </c>
    </row>
    <row r="1636" spans="1:6" x14ac:dyDescent="0.25">
      <c r="A1636" s="308">
        <v>43465</v>
      </c>
      <c r="B1636" s="309" t="s">
        <v>485</v>
      </c>
      <c r="C1636" s="309" t="s">
        <v>491</v>
      </c>
      <c r="D1636" s="136" t="str">
        <f t="array" ref="D1636">IF(E1636=0,0,(INDEX(AccountCodes[ACCOUNT NAME],MATCH(E1636,AccountCodes[NGAS CODE],0))))</f>
        <v>Telephone Expenses - Landline</v>
      </c>
      <c r="E1636" s="309" t="s">
        <v>235</v>
      </c>
      <c r="F1636" s="501">
        <v>4100</v>
      </c>
    </row>
    <row r="1637" spans="1:6" x14ac:dyDescent="0.25">
      <c r="A1637" s="308">
        <v>43190</v>
      </c>
      <c r="B1637" s="309" t="s">
        <v>485</v>
      </c>
      <c r="C1637" s="309" t="s">
        <v>491</v>
      </c>
      <c r="D1637" s="136" t="str">
        <f t="array" ref="D1637">IF(E1637=0,0,(INDEX(AccountCodes[ACCOUNT NAME],MATCH(E1637,AccountCodes[NGAS CODE],0))))</f>
        <v>Taxes, Duties and Licenses</v>
      </c>
      <c r="E1637" s="309" t="s">
        <v>272</v>
      </c>
      <c r="F1637" s="501">
        <v>4827.7299999999996</v>
      </c>
    </row>
    <row r="1638" spans="1:6" x14ac:dyDescent="0.25">
      <c r="A1638" s="308">
        <v>43251</v>
      </c>
      <c r="B1638" s="309" t="s">
        <v>485</v>
      </c>
      <c r="C1638" s="309" t="s">
        <v>491</v>
      </c>
      <c r="D1638" s="136" t="str">
        <f t="array" ref="D1638">IF(E1638=0,0,(INDEX(AccountCodes[ACCOUNT NAME],MATCH(E1638,AccountCodes[NGAS CODE],0))))</f>
        <v>Taxes, Duties and Licenses</v>
      </c>
      <c r="E1638" s="309" t="s">
        <v>272</v>
      </c>
      <c r="F1638" s="501">
        <v>6829.69</v>
      </c>
    </row>
    <row r="1639" spans="1:6" x14ac:dyDescent="0.25">
      <c r="A1639" s="308">
        <v>43281</v>
      </c>
      <c r="B1639" s="309" t="s">
        <v>485</v>
      </c>
      <c r="C1639" s="309" t="s">
        <v>491</v>
      </c>
      <c r="D1639" s="136" t="str">
        <f t="array" ref="D1639">IF(E1639=0,0,(INDEX(AccountCodes[ACCOUNT NAME],MATCH(E1639,AccountCodes[NGAS CODE],0))))</f>
        <v>Taxes, Duties and Licenses</v>
      </c>
      <c r="E1639" s="309" t="s">
        <v>272</v>
      </c>
      <c r="F1639" s="501">
        <v>8740</v>
      </c>
    </row>
    <row r="1640" spans="1:6" x14ac:dyDescent="0.25">
      <c r="A1640" s="308">
        <v>43373</v>
      </c>
      <c r="B1640" s="309" t="s">
        <v>485</v>
      </c>
      <c r="C1640" s="309" t="s">
        <v>491</v>
      </c>
      <c r="D1640" s="136" t="str">
        <f t="array" ref="D1640">IF(E1640=0,0,(INDEX(AccountCodes[ACCOUNT NAME],MATCH(E1640,AccountCodes[NGAS CODE],0))))</f>
        <v>Taxes, Duties and Licenses</v>
      </c>
      <c r="E1640" s="309" t="s">
        <v>272</v>
      </c>
      <c r="F1640" s="501">
        <v>11946.33</v>
      </c>
    </row>
    <row r="1641" spans="1:6" x14ac:dyDescent="0.25">
      <c r="A1641" s="308">
        <v>43281</v>
      </c>
      <c r="B1641" s="309" t="s">
        <v>485</v>
      </c>
      <c r="C1641" s="309" t="s">
        <v>491</v>
      </c>
      <c r="D1641" s="136" t="str">
        <f t="array" ref="D1641">IF(E1641=0,0,(INDEX(AccountCodes[ACCOUNT NAME],MATCH(E1641,AccountCodes[NGAS CODE],0))))</f>
        <v>Other Maintenance and Operating Expenses (Irrigator's Share/Remuneration/Subsidy)</v>
      </c>
      <c r="E1641" s="309" t="s">
        <v>333</v>
      </c>
      <c r="F1641" s="501">
        <v>95403</v>
      </c>
    </row>
    <row r="1642" spans="1:6" x14ac:dyDescent="0.25">
      <c r="A1642" s="308">
        <v>43281</v>
      </c>
      <c r="B1642" s="309" t="s">
        <v>485</v>
      </c>
      <c r="C1642" s="309" t="s">
        <v>491</v>
      </c>
      <c r="D1642" s="136" t="str">
        <f t="array" ref="D1642">IF(E1642=0,0,(INDEX(AccountCodes[ACCOUNT NAME],MATCH(E1642,AccountCodes[NGAS CODE],0))))</f>
        <v>Repairs and Maintenance-Infrastructure Assets - Other Infrastructure Assets (Irrigation Canal &amp; Laterals)</v>
      </c>
      <c r="E1642" s="309" t="s">
        <v>267</v>
      </c>
      <c r="F1642" s="501">
        <v>200000</v>
      </c>
    </row>
    <row r="1643" spans="1:6" x14ac:dyDescent="0.25">
      <c r="A1643" s="308"/>
      <c r="D1643" s="136">
        <f t="array" ref="D1643">IF(E1643=0,0,(INDEX(AccountCodes[ACCOUNT NAME],MATCH(E1643,AccountCodes[NGAS CODE],0))))</f>
        <v>0</v>
      </c>
      <c r="E1643" s="309"/>
      <c r="F1643" s="501"/>
    </row>
    <row r="1644" spans="1:6" x14ac:dyDescent="0.25">
      <c r="A1644" s="308">
        <v>43131</v>
      </c>
      <c r="B1644" s="309" t="s">
        <v>485</v>
      </c>
      <c r="C1644" s="309" t="s">
        <v>492</v>
      </c>
      <c r="D1644" s="136" t="str">
        <f t="array" ref="D1644">IF(E1644=0,0,(INDEX(AccountCodes[ACCOUNT NAME],MATCH(E1644,AccountCodes[NGAS CODE],0))))</f>
        <v>Equipment Rental - Internal (CA)</v>
      </c>
      <c r="E1644" s="309" t="s">
        <v>146</v>
      </c>
      <c r="F1644" s="501">
        <v>150000</v>
      </c>
    </row>
    <row r="1645" spans="1:6" x14ac:dyDescent="0.25">
      <c r="A1645" s="308">
        <v>43159</v>
      </c>
      <c r="B1645" s="309" t="s">
        <v>485</v>
      </c>
      <c r="C1645" s="309" t="s">
        <v>492</v>
      </c>
      <c r="D1645" s="136" t="str">
        <f t="array" ref="D1645">IF(E1645=0,0,(INDEX(AccountCodes[ACCOUNT NAME],MATCH(E1645,AccountCodes[NGAS CODE],0))))</f>
        <v>Equipment Rental - Internal (CA)</v>
      </c>
      <c r="E1645" s="309" t="s">
        <v>146</v>
      </c>
      <c r="F1645" s="501">
        <v>100000</v>
      </c>
    </row>
    <row r="1646" spans="1:6" x14ac:dyDescent="0.25">
      <c r="A1646" s="308">
        <v>43190</v>
      </c>
      <c r="B1646" s="309" t="s">
        <v>485</v>
      </c>
      <c r="C1646" s="309" t="s">
        <v>492</v>
      </c>
      <c r="D1646" s="136" t="str">
        <f t="array" ref="D1646">IF(E1646=0,0,(INDEX(AccountCodes[ACCOUNT NAME],MATCH(E1646,AccountCodes[NGAS CODE],0))))</f>
        <v>Equipment Rental - Internal (CA)</v>
      </c>
      <c r="E1646" s="309" t="s">
        <v>146</v>
      </c>
      <c r="F1646" s="501">
        <v>100000</v>
      </c>
    </row>
    <row r="1647" spans="1:6" x14ac:dyDescent="0.25">
      <c r="A1647" s="308">
        <v>43220</v>
      </c>
      <c r="B1647" s="309" t="s">
        <v>485</v>
      </c>
      <c r="C1647" s="309" t="s">
        <v>492</v>
      </c>
      <c r="D1647" s="136" t="str">
        <f t="array" ref="D1647">IF(E1647=0,0,(INDEX(AccountCodes[ACCOUNT NAME],MATCH(E1647,AccountCodes[NGAS CODE],0))))</f>
        <v>Equipment Rental - Internal (CA)</v>
      </c>
      <c r="E1647" s="309" t="s">
        <v>146</v>
      </c>
      <c r="F1647" s="501">
        <v>150000</v>
      </c>
    </row>
    <row r="1648" spans="1:6" x14ac:dyDescent="0.25">
      <c r="A1648" s="308">
        <v>43251</v>
      </c>
      <c r="B1648" s="309" t="s">
        <v>485</v>
      </c>
      <c r="C1648" s="309" t="s">
        <v>492</v>
      </c>
      <c r="D1648" s="136" t="str">
        <f t="array" ref="D1648">IF(E1648=0,0,(INDEX(AccountCodes[ACCOUNT NAME],MATCH(E1648,AccountCodes[NGAS CODE],0))))</f>
        <v>Equipment Rental - Internal (CA)</v>
      </c>
      <c r="E1648" s="309" t="s">
        <v>146</v>
      </c>
      <c r="F1648" s="501">
        <v>100000</v>
      </c>
    </row>
    <row r="1649" spans="1:6" x14ac:dyDescent="0.25">
      <c r="A1649" s="308">
        <v>43281</v>
      </c>
      <c r="B1649" s="309" t="s">
        <v>485</v>
      </c>
      <c r="C1649" s="309" t="s">
        <v>492</v>
      </c>
      <c r="D1649" s="136" t="str">
        <f t="array" ref="D1649">IF(E1649=0,0,(INDEX(AccountCodes[ACCOUNT NAME],MATCH(E1649,AccountCodes[NGAS CODE],0))))</f>
        <v>Equipment Rental - Internal (CA)</v>
      </c>
      <c r="E1649" s="309" t="s">
        <v>146</v>
      </c>
      <c r="F1649" s="501">
        <v>110000</v>
      </c>
    </row>
    <row r="1650" spans="1:6" x14ac:dyDescent="0.25">
      <c r="A1650" s="308">
        <v>43404</v>
      </c>
      <c r="B1650" s="309" t="s">
        <v>485</v>
      </c>
      <c r="C1650" s="309" t="s">
        <v>492</v>
      </c>
      <c r="D1650" s="136" t="str">
        <f t="array" ref="D1650">IF(E1650=0,0,(INDEX(AccountCodes[ACCOUNT NAME],MATCH(E1650,AccountCodes[NGAS CODE],0))))</f>
        <v>Equipment Rental - Internal (CA)</v>
      </c>
      <c r="E1650" s="309" t="s">
        <v>146</v>
      </c>
      <c r="F1650" s="501">
        <v>90000</v>
      </c>
    </row>
    <row r="1651" spans="1:6" x14ac:dyDescent="0.25">
      <c r="A1651" s="308">
        <v>43434</v>
      </c>
      <c r="B1651" s="309" t="s">
        <v>485</v>
      </c>
      <c r="C1651" s="309" t="s">
        <v>492</v>
      </c>
      <c r="D1651" s="136" t="str">
        <f t="array" ref="D1651">IF(E1651=0,0,(INDEX(AccountCodes[ACCOUNT NAME],MATCH(E1651,AccountCodes[NGAS CODE],0))))</f>
        <v>Equipment Rental - Internal (CA)</v>
      </c>
      <c r="E1651" s="309" t="s">
        <v>146</v>
      </c>
      <c r="F1651" s="501">
        <v>100000</v>
      </c>
    </row>
    <row r="1652" spans="1:6" x14ac:dyDescent="0.25">
      <c r="A1652" s="308">
        <v>43465</v>
      </c>
      <c r="B1652" s="309" t="s">
        <v>485</v>
      </c>
      <c r="C1652" s="309" t="s">
        <v>492</v>
      </c>
      <c r="D1652" s="136" t="str">
        <f t="array" ref="D1652">IF(E1652=0,0,(INDEX(AccountCodes[ACCOUNT NAME],MATCH(E1652,AccountCodes[NGAS CODE],0))))</f>
        <v>Equipment Rental - Internal (CA)</v>
      </c>
      <c r="E1652" s="309" t="s">
        <v>146</v>
      </c>
      <c r="F1652" s="501">
        <v>100000</v>
      </c>
    </row>
    <row r="1653" spans="1:6" x14ac:dyDescent="0.25">
      <c r="A1653" s="308">
        <v>43131</v>
      </c>
      <c r="B1653" s="309" t="s">
        <v>485</v>
      </c>
      <c r="C1653" s="309" t="s">
        <v>492</v>
      </c>
      <c r="D1653" s="136" t="str">
        <f t="array" ref="D1653">IF(E1653=0,0,(INDEX(AccountCodes[ACCOUNT NAME],MATCH(E1653,AccountCodes[NGAS CODE],0))))</f>
        <v>Salaries and Wages-Regular</v>
      </c>
      <c r="E1653" s="309" t="s">
        <v>162</v>
      </c>
      <c r="F1653" s="501">
        <v>505549</v>
      </c>
    </row>
    <row r="1654" spans="1:6" x14ac:dyDescent="0.25">
      <c r="A1654" s="308">
        <v>43159</v>
      </c>
      <c r="B1654" s="309" t="s">
        <v>485</v>
      </c>
      <c r="C1654" s="309" t="s">
        <v>492</v>
      </c>
      <c r="D1654" s="136" t="str">
        <f t="array" ref="D1654">IF(E1654=0,0,(INDEX(AccountCodes[ACCOUNT NAME],MATCH(E1654,AccountCodes[NGAS CODE],0))))</f>
        <v>Salaries and Wages-Regular</v>
      </c>
      <c r="E1654" s="309" t="s">
        <v>162</v>
      </c>
      <c r="F1654" s="501">
        <v>505549</v>
      </c>
    </row>
    <row r="1655" spans="1:6" x14ac:dyDescent="0.25">
      <c r="A1655" s="308">
        <v>43190</v>
      </c>
      <c r="B1655" s="309" t="s">
        <v>485</v>
      </c>
      <c r="C1655" s="309" t="s">
        <v>492</v>
      </c>
      <c r="D1655" s="136" t="str">
        <f t="array" ref="D1655">IF(E1655=0,0,(INDEX(AccountCodes[ACCOUNT NAME],MATCH(E1655,AccountCodes[NGAS CODE],0))))</f>
        <v>Salaries and Wages-Regular</v>
      </c>
      <c r="E1655" s="309" t="s">
        <v>162</v>
      </c>
      <c r="F1655" s="501">
        <v>505549</v>
      </c>
    </row>
    <row r="1656" spans="1:6" x14ac:dyDescent="0.25">
      <c r="A1656" s="308">
        <v>43220</v>
      </c>
      <c r="B1656" s="309" t="s">
        <v>485</v>
      </c>
      <c r="C1656" s="309" t="s">
        <v>492</v>
      </c>
      <c r="D1656" s="136" t="str">
        <f t="array" ref="D1656">IF(E1656=0,0,(INDEX(AccountCodes[ACCOUNT NAME],MATCH(E1656,AccountCodes[NGAS CODE],0))))</f>
        <v>Salaries and Wages-Regular</v>
      </c>
      <c r="E1656" s="309" t="s">
        <v>162</v>
      </c>
      <c r="F1656" s="501">
        <v>505549</v>
      </c>
    </row>
    <row r="1657" spans="1:6" x14ac:dyDescent="0.25">
      <c r="A1657" s="308">
        <v>43251</v>
      </c>
      <c r="B1657" s="309" t="s">
        <v>485</v>
      </c>
      <c r="C1657" s="309" t="s">
        <v>492</v>
      </c>
      <c r="D1657" s="136" t="str">
        <f t="array" ref="D1657">IF(E1657=0,0,(INDEX(AccountCodes[ACCOUNT NAME],MATCH(E1657,AccountCodes[NGAS CODE],0))))</f>
        <v>Salaries and Wages-Regular</v>
      </c>
      <c r="E1657" s="309" t="s">
        <v>162</v>
      </c>
      <c r="F1657" s="501">
        <v>505549</v>
      </c>
    </row>
    <row r="1658" spans="1:6" x14ac:dyDescent="0.25">
      <c r="A1658" s="308">
        <v>43281</v>
      </c>
      <c r="B1658" s="309" t="s">
        <v>485</v>
      </c>
      <c r="C1658" s="309" t="s">
        <v>492</v>
      </c>
      <c r="D1658" s="136" t="str">
        <f t="array" ref="D1658">IF(E1658=0,0,(INDEX(AccountCodes[ACCOUNT NAME],MATCH(E1658,AccountCodes[NGAS CODE],0))))</f>
        <v>Salaries and Wages-Regular</v>
      </c>
      <c r="E1658" s="309" t="s">
        <v>162</v>
      </c>
      <c r="F1658" s="501">
        <v>505549</v>
      </c>
    </row>
    <row r="1659" spans="1:6" x14ac:dyDescent="0.25">
      <c r="A1659" s="308">
        <v>43312</v>
      </c>
      <c r="B1659" s="309" t="s">
        <v>485</v>
      </c>
      <c r="C1659" s="309" t="s">
        <v>492</v>
      </c>
      <c r="D1659" s="136" t="str">
        <f t="array" ref="D1659">IF(E1659=0,0,(INDEX(AccountCodes[ACCOUNT NAME],MATCH(E1659,AccountCodes[NGAS CODE],0))))</f>
        <v>Salaries and Wages-Regular</v>
      </c>
      <c r="E1659" s="309" t="s">
        <v>162</v>
      </c>
      <c r="F1659" s="501">
        <v>505549</v>
      </c>
    </row>
    <row r="1660" spans="1:6" x14ac:dyDescent="0.25">
      <c r="A1660" s="308">
        <v>43343</v>
      </c>
      <c r="B1660" s="309" t="s">
        <v>485</v>
      </c>
      <c r="C1660" s="309" t="s">
        <v>492</v>
      </c>
      <c r="D1660" s="136" t="str">
        <f t="array" ref="D1660">IF(E1660=0,0,(INDEX(AccountCodes[ACCOUNT NAME],MATCH(E1660,AccountCodes[NGAS CODE],0))))</f>
        <v>Salaries and Wages-Regular</v>
      </c>
      <c r="E1660" s="309" t="s">
        <v>162</v>
      </c>
      <c r="F1660" s="501">
        <v>505549</v>
      </c>
    </row>
    <row r="1661" spans="1:6" x14ac:dyDescent="0.25">
      <c r="A1661" s="308">
        <v>43373</v>
      </c>
      <c r="B1661" s="309" t="s">
        <v>485</v>
      </c>
      <c r="C1661" s="309" t="s">
        <v>492</v>
      </c>
      <c r="D1661" s="136" t="str">
        <f t="array" ref="D1661">IF(E1661=0,0,(INDEX(AccountCodes[ACCOUNT NAME],MATCH(E1661,AccountCodes[NGAS CODE],0))))</f>
        <v>Salaries and Wages-Regular</v>
      </c>
      <c r="E1661" s="309" t="s">
        <v>162</v>
      </c>
      <c r="F1661" s="501">
        <v>505549</v>
      </c>
    </row>
    <row r="1662" spans="1:6" x14ac:dyDescent="0.25">
      <c r="A1662" s="308">
        <v>43404</v>
      </c>
      <c r="B1662" s="309" t="s">
        <v>485</v>
      </c>
      <c r="C1662" s="309" t="s">
        <v>492</v>
      </c>
      <c r="D1662" s="136" t="str">
        <f t="array" ref="D1662">IF(E1662=0,0,(INDEX(AccountCodes[ACCOUNT NAME],MATCH(E1662,AccountCodes[NGAS CODE],0))))</f>
        <v>Salaries and Wages-Regular</v>
      </c>
      <c r="E1662" s="309" t="s">
        <v>162</v>
      </c>
      <c r="F1662" s="501">
        <v>505549</v>
      </c>
    </row>
    <row r="1663" spans="1:6" x14ac:dyDescent="0.25">
      <c r="A1663" s="308">
        <v>43434</v>
      </c>
      <c r="B1663" s="309" t="s">
        <v>485</v>
      </c>
      <c r="C1663" s="309" t="s">
        <v>492</v>
      </c>
      <c r="D1663" s="136" t="str">
        <f t="array" ref="D1663">IF(E1663=0,0,(INDEX(AccountCodes[ACCOUNT NAME],MATCH(E1663,AccountCodes[NGAS CODE],0))))</f>
        <v>Salaries and Wages-Regular</v>
      </c>
      <c r="E1663" s="309" t="s">
        <v>162</v>
      </c>
      <c r="F1663" s="501">
        <v>505549</v>
      </c>
    </row>
    <row r="1664" spans="1:6" x14ac:dyDescent="0.25">
      <c r="A1664" s="308">
        <v>43465</v>
      </c>
      <c r="B1664" s="309" t="s">
        <v>485</v>
      </c>
      <c r="C1664" s="309" t="s">
        <v>492</v>
      </c>
      <c r="D1664" s="136" t="str">
        <f t="array" ref="D1664">IF(E1664=0,0,(INDEX(AccountCodes[ACCOUNT NAME],MATCH(E1664,AccountCodes[NGAS CODE],0))))</f>
        <v>Salaries and Wages-Regular</v>
      </c>
      <c r="E1664" s="309" t="s">
        <v>162</v>
      </c>
      <c r="F1664" s="501">
        <v>505549</v>
      </c>
    </row>
    <row r="1665" spans="1:6" x14ac:dyDescent="0.25">
      <c r="A1665" s="308">
        <v>43131</v>
      </c>
      <c r="B1665" s="309" t="s">
        <v>485</v>
      </c>
      <c r="C1665" s="309" t="s">
        <v>492</v>
      </c>
      <c r="D1665" s="136" t="str">
        <f t="array" ref="D1665">IF(E1665=0,0,(INDEX(AccountCodes[ACCOUNT NAME],MATCH(E1665,AccountCodes[NGAS CODE],0))))</f>
        <v>Personal Economic Relief Allowance (PERA)</v>
      </c>
      <c r="E1665" s="309" t="s">
        <v>164</v>
      </c>
      <c r="F1665" s="501">
        <v>50000</v>
      </c>
    </row>
    <row r="1666" spans="1:6" x14ac:dyDescent="0.25">
      <c r="A1666" s="308">
        <v>43159</v>
      </c>
      <c r="B1666" s="309" t="s">
        <v>485</v>
      </c>
      <c r="C1666" s="309" t="s">
        <v>492</v>
      </c>
      <c r="D1666" s="136" t="str">
        <f t="array" ref="D1666">IF(E1666=0,0,(INDEX(AccountCodes[ACCOUNT NAME],MATCH(E1666,AccountCodes[NGAS CODE],0))))</f>
        <v>Personal Economic Relief Allowance (PERA)</v>
      </c>
      <c r="E1666" s="309" t="s">
        <v>164</v>
      </c>
      <c r="F1666" s="501">
        <v>50000</v>
      </c>
    </row>
    <row r="1667" spans="1:6" x14ac:dyDescent="0.25">
      <c r="A1667" s="308">
        <v>43190</v>
      </c>
      <c r="B1667" s="309" t="s">
        <v>485</v>
      </c>
      <c r="C1667" s="309" t="s">
        <v>492</v>
      </c>
      <c r="D1667" s="136" t="str">
        <f t="array" ref="D1667">IF(E1667=0,0,(INDEX(AccountCodes[ACCOUNT NAME],MATCH(E1667,AccountCodes[NGAS CODE],0))))</f>
        <v>Personal Economic Relief Allowance (PERA)</v>
      </c>
      <c r="E1667" s="309" t="s">
        <v>164</v>
      </c>
      <c r="F1667" s="501">
        <v>50000</v>
      </c>
    </row>
    <row r="1668" spans="1:6" x14ac:dyDescent="0.25">
      <c r="A1668" s="308">
        <v>43220</v>
      </c>
      <c r="B1668" s="309" t="s">
        <v>485</v>
      </c>
      <c r="C1668" s="309" t="s">
        <v>492</v>
      </c>
      <c r="D1668" s="136" t="str">
        <f t="array" ref="D1668">IF(E1668=0,0,(INDEX(AccountCodes[ACCOUNT NAME],MATCH(E1668,AccountCodes[NGAS CODE],0))))</f>
        <v>Personal Economic Relief Allowance (PERA)</v>
      </c>
      <c r="E1668" s="309" t="s">
        <v>164</v>
      </c>
      <c r="F1668" s="501">
        <v>50000</v>
      </c>
    </row>
    <row r="1669" spans="1:6" x14ac:dyDescent="0.25">
      <c r="A1669" s="308">
        <v>43251</v>
      </c>
      <c r="B1669" s="309" t="s">
        <v>485</v>
      </c>
      <c r="C1669" s="309" t="s">
        <v>492</v>
      </c>
      <c r="D1669" s="136" t="str">
        <f t="array" ref="D1669">IF(E1669=0,0,(INDEX(AccountCodes[ACCOUNT NAME],MATCH(E1669,AccountCodes[NGAS CODE],0))))</f>
        <v>Personal Economic Relief Allowance (PERA)</v>
      </c>
      <c r="E1669" s="309" t="s">
        <v>164</v>
      </c>
      <c r="F1669" s="501">
        <v>50000</v>
      </c>
    </row>
    <row r="1670" spans="1:6" x14ac:dyDescent="0.25">
      <c r="A1670" s="308">
        <v>43281</v>
      </c>
      <c r="B1670" s="309" t="s">
        <v>485</v>
      </c>
      <c r="C1670" s="309" t="s">
        <v>492</v>
      </c>
      <c r="D1670" s="136" t="str">
        <f t="array" ref="D1670">IF(E1670=0,0,(INDEX(AccountCodes[ACCOUNT NAME],MATCH(E1670,AccountCodes[NGAS CODE],0))))</f>
        <v>Personal Economic Relief Allowance (PERA)</v>
      </c>
      <c r="E1670" s="309" t="s">
        <v>164</v>
      </c>
      <c r="F1670" s="501">
        <v>50000</v>
      </c>
    </row>
    <row r="1671" spans="1:6" x14ac:dyDescent="0.25">
      <c r="A1671" s="308">
        <v>43312</v>
      </c>
      <c r="B1671" s="309" t="s">
        <v>485</v>
      </c>
      <c r="C1671" s="309" t="s">
        <v>492</v>
      </c>
      <c r="D1671" s="136" t="str">
        <f t="array" ref="D1671">IF(E1671=0,0,(INDEX(AccountCodes[ACCOUNT NAME],MATCH(E1671,AccountCodes[NGAS CODE],0))))</f>
        <v>Personal Economic Relief Allowance (PERA)</v>
      </c>
      <c r="E1671" s="309" t="s">
        <v>164</v>
      </c>
      <c r="F1671" s="501">
        <v>50000</v>
      </c>
    </row>
    <row r="1672" spans="1:6" x14ac:dyDescent="0.25">
      <c r="A1672" s="308">
        <v>43343</v>
      </c>
      <c r="B1672" s="309" t="s">
        <v>485</v>
      </c>
      <c r="C1672" s="309" t="s">
        <v>492</v>
      </c>
      <c r="D1672" s="136" t="str">
        <f t="array" ref="D1672">IF(E1672=0,0,(INDEX(AccountCodes[ACCOUNT NAME],MATCH(E1672,AccountCodes[NGAS CODE],0))))</f>
        <v>Personal Economic Relief Allowance (PERA)</v>
      </c>
      <c r="E1672" s="309" t="s">
        <v>164</v>
      </c>
      <c r="F1672" s="501">
        <v>50000</v>
      </c>
    </row>
    <row r="1673" spans="1:6" x14ac:dyDescent="0.25">
      <c r="A1673" s="308">
        <v>43373</v>
      </c>
      <c r="B1673" s="309" t="s">
        <v>485</v>
      </c>
      <c r="C1673" s="309" t="s">
        <v>492</v>
      </c>
      <c r="D1673" s="136" t="str">
        <f t="array" ref="D1673">IF(E1673=0,0,(INDEX(AccountCodes[ACCOUNT NAME],MATCH(E1673,AccountCodes[NGAS CODE],0))))</f>
        <v>Personal Economic Relief Allowance (PERA)</v>
      </c>
      <c r="E1673" s="309" t="s">
        <v>164</v>
      </c>
      <c r="F1673" s="501">
        <v>50000</v>
      </c>
    </row>
    <row r="1674" spans="1:6" x14ac:dyDescent="0.25">
      <c r="A1674" s="308">
        <v>43404</v>
      </c>
      <c r="B1674" s="309" t="s">
        <v>485</v>
      </c>
      <c r="C1674" s="309" t="s">
        <v>492</v>
      </c>
      <c r="D1674" s="136" t="str">
        <f t="array" ref="D1674">IF(E1674=0,0,(INDEX(AccountCodes[ACCOUNT NAME],MATCH(E1674,AccountCodes[NGAS CODE],0))))</f>
        <v>Personal Economic Relief Allowance (PERA)</v>
      </c>
      <c r="E1674" s="309" t="s">
        <v>164</v>
      </c>
      <c r="F1674" s="501">
        <v>50000</v>
      </c>
    </row>
    <row r="1675" spans="1:6" x14ac:dyDescent="0.25">
      <c r="A1675" s="308">
        <v>43434</v>
      </c>
      <c r="B1675" s="309" t="s">
        <v>485</v>
      </c>
      <c r="C1675" s="309" t="s">
        <v>492</v>
      </c>
      <c r="D1675" s="136" t="str">
        <f t="array" ref="D1675">IF(E1675=0,0,(INDEX(AccountCodes[ACCOUNT NAME],MATCH(E1675,AccountCodes[NGAS CODE],0))))</f>
        <v>Personal Economic Relief Allowance (PERA)</v>
      </c>
      <c r="E1675" s="309" t="s">
        <v>164</v>
      </c>
      <c r="F1675" s="501">
        <v>50000</v>
      </c>
    </row>
    <row r="1676" spans="1:6" x14ac:dyDescent="0.25">
      <c r="A1676" s="308">
        <v>43465</v>
      </c>
      <c r="B1676" s="309" t="s">
        <v>485</v>
      </c>
      <c r="C1676" s="309" t="s">
        <v>492</v>
      </c>
      <c r="D1676" s="136" t="str">
        <f t="array" ref="D1676">IF(E1676=0,0,(INDEX(AccountCodes[ACCOUNT NAME],MATCH(E1676,AccountCodes[NGAS CODE],0))))</f>
        <v>Personal Economic Relief Allowance (PERA)</v>
      </c>
      <c r="E1676" s="309" t="s">
        <v>164</v>
      </c>
      <c r="F1676" s="501">
        <v>50000</v>
      </c>
    </row>
    <row r="1677" spans="1:6" x14ac:dyDescent="0.25">
      <c r="A1677" s="308">
        <v>43190</v>
      </c>
      <c r="B1677" s="309" t="s">
        <v>485</v>
      </c>
      <c r="C1677" s="309" t="s">
        <v>492</v>
      </c>
      <c r="D1677" s="136" t="str">
        <f t="array" ref="D1677">IF(E1677=0,0,(INDEX(AccountCodes[ACCOUNT NAME],MATCH(E1677,AccountCodes[NGAS CODE],0))))</f>
        <v>Clothing/Uniform Allowance</v>
      </c>
      <c r="E1677" s="309" t="s">
        <v>167</v>
      </c>
      <c r="F1677" s="501">
        <v>125000</v>
      </c>
    </row>
    <row r="1678" spans="1:6" x14ac:dyDescent="0.25">
      <c r="A1678" s="308">
        <v>43434</v>
      </c>
      <c r="B1678" s="309" t="s">
        <v>485</v>
      </c>
      <c r="C1678" s="309" t="s">
        <v>492</v>
      </c>
      <c r="D1678" s="136" t="str">
        <f t="array" ref="D1678">IF(E1678=0,0,(INDEX(AccountCodes[ACCOUNT NAME],MATCH(E1678,AccountCodes[NGAS CODE],0))))</f>
        <v>Cash Gift</v>
      </c>
      <c r="E1678" s="309" t="s">
        <v>172</v>
      </c>
      <c r="F1678" s="501">
        <v>125000</v>
      </c>
    </row>
    <row r="1679" spans="1:6" x14ac:dyDescent="0.25">
      <c r="A1679" s="308">
        <v>43251</v>
      </c>
      <c r="B1679" s="309" t="s">
        <v>485</v>
      </c>
      <c r="C1679" s="309" t="s">
        <v>492</v>
      </c>
      <c r="D1679" s="136" t="str">
        <f t="array" ref="D1679">IF(E1679=0,0,(INDEX(AccountCodes[ACCOUNT NAME],MATCH(E1679,AccountCodes[NGAS CODE],0))))</f>
        <v>Mid-Year/Year End Bonus</v>
      </c>
      <c r="E1679" s="309" t="s">
        <v>174</v>
      </c>
      <c r="F1679" s="501">
        <v>505549</v>
      </c>
    </row>
    <row r="1680" spans="1:6" x14ac:dyDescent="0.25">
      <c r="A1680" s="308">
        <v>43434</v>
      </c>
      <c r="B1680" s="309" t="s">
        <v>485</v>
      </c>
      <c r="C1680" s="309" t="s">
        <v>492</v>
      </c>
      <c r="D1680" s="136" t="str">
        <f t="array" ref="D1680">IF(E1680=0,0,(INDEX(AccountCodes[ACCOUNT NAME],MATCH(E1680,AccountCodes[NGAS CODE],0))))</f>
        <v>Mid-Year/Year End Bonus</v>
      </c>
      <c r="E1680" s="309" t="s">
        <v>174</v>
      </c>
      <c r="F1680" s="501">
        <v>505549</v>
      </c>
    </row>
    <row r="1681" spans="1:6" x14ac:dyDescent="0.25">
      <c r="A1681" s="308">
        <v>43131</v>
      </c>
      <c r="B1681" s="309" t="s">
        <v>485</v>
      </c>
      <c r="C1681" s="309" t="s">
        <v>492</v>
      </c>
      <c r="D1681" s="136" t="str">
        <f t="array" ref="D1681">IF(E1681=0,0,(INDEX(AccountCodes[ACCOUNT NAME],MATCH(E1681,AccountCodes[NGAS CODE],0))))</f>
        <v>Other Bonuses and Allowances - Medical Allowance</v>
      </c>
      <c r="E1681" s="309" t="s">
        <v>5</v>
      </c>
      <c r="F1681" s="501">
        <v>400</v>
      </c>
    </row>
    <row r="1682" spans="1:6" x14ac:dyDescent="0.25">
      <c r="A1682" s="308">
        <v>43159</v>
      </c>
      <c r="B1682" s="309" t="s">
        <v>485</v>
      </c>
      <c r="C1682" s="309" t="s">
        <v>492</v>
      </c>
      <c r="D1682" s="136" t="str">
        <f t="array" ref="D1682">IF(E1682=0,0,(INDEX(AccountCodes[ACCOUNT NAME],MATCH(E1682,AccountCodes[NGAS CODE],0))))</f>
        <v>Other Bonuses and Allowances - Medical Allowance</v>
      </c>
      <c r="E1682" s="309" t="s">
        <v>5</v>
      </c>
      <c r="F1682" s="501">
        <v>400</v>
      </c>
    </row>
    <row r="1683" spans="1:6" x14ac:dyDescent="0.25">
      <c r="A1683" s="308">
        <v>43190</v>
      </c>
      <c r="B1683" s="309" t="s">
        <v>485</v>
      </c>
      <c r="C1683" s="309" t="s">
        <v>492</v>
      </c>
      <c r="D1683" s="136" t="str">
        <f t="array" ref="D1683">IF(E1683=0,0,(INDEX(AccountCodes[ACCOUNT NAME],MATCH(E1683,AccountCodes[NGAS CODE],0))))</f>
        <v>Other Bonuses and Allowances - Medical Allowance</v>
      </c>
      <c r="E1683" s="309" t="s">
        <v>5</v>
      </c>
      <c r="F1683" s="501">
        <v>400</v>
      </c>
    </row>
    <row r="1684" spans="1:6" x14ac:dyDescent="0.25">
      <c r="A1684" s="308">
        <v>43220</v>
      </c>
      <c r="B1684" s="309" t="s">
        <v>485</v>
      </c>
      <c r="C1684" s="309" t="s">
        <v>492</v>
      </c>
      <c r="D1684" s="136" t="str">
        <f t="array" ref="D1684">IF(E1684=0,0,(INDEX(AccountCodes[ACCOUNT NAME],MATCH(E1684,AccountCodes[NGAS CODE],0))))</f>
        <v>Other Bonuses and Allowances - Medical Allowance</v>
      </c>
      <c r="E1684" s="309" t="s">
        <v>5</v>
      </c>
      <c r="F1684" s="501">
        <v>400</v>
      </c>
    </row>
    <row r="1685" spans="1:6" x14ac:dyDescent="0.25">
      <c r="A1685" s="308">
        <v>43251</v>
      </c>
      <c r="B1685" s="309" t="s">
        <v>485</v>
      </c>
      <c r="C1685" s="309" t="s">
        <v>492</v>
      </c>
      <c r="D1685" s="136" t="str">
        <f t="array" ref="D1685">IF(E1685=0,0,(INDEX(AccountCodes[ACCOUNT NAME],MATCH(E1685,AccountCodes[NGAS CODE],0))))</f>
        <v>Other Bonuses and Allowances - Medical Allowance</v>
      </c>
      <c r="E1685" s="309" t="s">
        <v>5</v>
      </c>
      <c r="F1685" s="501">
        <v>400</v>
      </c>
    </row>
    <row r="1686" spans="1:6" x14ac:dyDescent="0.25">
      <c r="A1686" s="308">
        <v>43281</v>
      </c>
      <c r="B1686" s="309" t="s">
        <v>485</v>
      </c>
      <c r="C1686" s="309" t="s">
        <v>492</v>
      </c>
      <c r="D1686" s="136" t="str">
        <f t="array" ref="D1686">IF(E1686=0,0,(INDEX(AccountCodes[ACCOUNT NAME],MATCH(E1686,AccountCodes[NGAS CODE],0))))</f>
        <v>Other Bonuses and Allowances - Medical Allowance</v>
      </c>
      <c r="E1686" s="309" t="s">
        <v>5</v>
      </c>
      <c r="F1686" s="501">
        <v>400</v>
      </c>
    </row>
    <row r="1687" spans="1:6" x14ac:dyDescent="0.25">
      <c r="A1687" s="308">
        <v>43312</v>
      </c>
      <c r="B1687" s="309" t="s">
        <v>485</v>
      </c>
      <c r="C1687" s="309" t="s">
        <v>492</v>
      </c>
      <c r="D1687" s="136" t="str">
        <f t="array" ref="D1687">IF(E1687=0,0,(INDEX(AccountCodes[ACCOUNT NAME],MATCH(E1687,AccountCodes[NGAS CODE],0))))</f>
        <v>Other Bonuses and Allowances - Medical Allowance</v>
      </c>
      <c r="E1687" s="309" t="s">
        <v>5</v>
      </c>
      <c r="F1687" s="501">
        <v>400</v>
      </c>
    </row>
    <row r="1688" spans="1:6" x14ac:dyDescent="0.25">
      <c r="A1688" s="308">
        <v>43343</v>
      </c>
      <c r="B1688" s="309" t="s">
        <v>485</v>
      </c>
      <c r="C1688" s="309" t="s">
        <v>492</v>
      </c>
      <c r="D1688" s="136" t="str">
        <f t="array" ref="D1688">IF(E1688=0,0,(INDEX(AccountCodes[ACCOUNT NAME],MATCH(E1688,AccountCodes[NGAS CODE],0))))</f>
        <v>Other Bonuses and Allowances - Medical Allowance</v>
      </c>
      <c r="E1688" s="309" t="s">
        <v>5</v>
      </c>
      <c r="F1688" s="501">
        <v>400</v>
      </c>
    </row>
    <row r="1689" spans="1:6" x14ac:dyDescent="0.25">
      <c r="A1689" s="308">
        <v>43373</v>
      </c>
      <c r="B1689" s="309" t="s">
        <v>485</v>
      </c>
      <c r="C1689" s="309" t="s">
        <v>492</v>
      </c>
      <c r="D1689" s="136" t="str">
        <f t="array" ref="D1689">IF(E1689=0,0,(INDEX(AccountCodes[ACCOUNT NAME],MATCH(E1689,AccountCodes[NGAS CODE],0))))</f>
        <v>Other Bonuses and Allowances - Medical Allowance</v>
      </c>
      <c r="E1689" s="309" t="s">
        <v>5</v>
      </c>
      <c r="F1689" s="501">
        <v>400</v>
      </c>
    </row>
    <row r="1690" spans="1:6" x14ac:dyDescent="0.25">
      <c r="A1690" s="308">
        <v>43404</v>
      </c>
      <c r="B1690" s="309" t="s">
        <v>485</v>
      </c>
      <c r="C1690" s="309" t="s">
        <v>492</v>
      </c>
      <c r="D1690" s="136" t="str">
        <f t="array" ref="D1690">IF(E1690=0,0,(INDEX(AccountCodes[ACCOUNT NAME],MATCH(E1690,AccountCodes[NGAS CODE],0))))</f>
        <v>Other Bonuses and Allowances - Medical Allowance</v>
      </c>
      <c r="E1690" s="309" t="s">
        <v>5</v>
      </c>
      <c r="F1690" s="501">
        <v>400</v>
      </c>
    </row>
    <row r="1691" spans="1:6" x14ac:dyDescent="0.25">
      <c r="A1691" s="308">
        <v>43434</v>
      </c>
      <c r="B1691" s="309" t="s">
        <v>485</v>
      </c>
      <c r="C1691" s="309" t="s">
        <v>492</v>
      </c>
      <c r="D1691" s="136" t="str">
        <f t="array" ref="D1691">IF(E1691=0,0,(INDEX(AccountCodes[ACCOUNT NAME],MATCH(E1691,AccountCodes[NGAS CODE],0))))</f>
        <v>Other Bonuses and Allowances - Medical Allowance</v>
      </c>
      <c r="E1691" s="309" t="s">
        <v>5</v>
      </c>
      <c r="F1691" s="501">
        <v>400</v>
      </c>
    </row>
    <row r="1692" spans="1:6" x14ac:dyDescent="0.25">
      <c r="A1692" s="308">
        <v>43465</v>
      </c>
      <c r="B1692" s="309" t="s">
        <v>485</v>
      </c>
      <c r="C1692" s="309" t="s">
        <v>492</v>
      </c>
      <c r="D1692" s="136" t="str">
        <f t="array" ref="D1692">IF(E1692=0,0,(INDEX(AccountCodes[ACCOUNT NAME],MATCH(E1692,AccountCodes[NGAS CODE],0))))</f>
        <v>Other Bonuses and Allowances - Medical Allowance</v>
      </c>
      <c r="E1692" s="309" t="s">
        <v>5</v>
      </c>
      <c r="F1692" s="501">
        <v>400</v>
      </c>
    </row>
    <row r="1693" spans="1:6" x14ac:dyDescent="0.25">
      <c r="A1693" s="308">
        <v>43131</v>
      </c>
      <c r="B1693" s="309" t="s">
        <v>485</v>
      </c>
      <c r="C1693" s="309" t="s">
        <v>492</v>
      </c>
      <c r="D1693" s="136" t="str">
        <f t="array" ref="D1693">IF(E1693=0,0,(INDEX(AccountCodes[ACCOUNT NAME],MATCH(E1693,AccountCodes[NGAS CODE],0))))</f>
        <v>Other Bonuses and Allowances - Meal Allowance</v>
      </c>
      <c r="E1693" s="309" t="s">
        <v>6</v>
      </c>
      <c r="F1693" s="501">
        <v>132</v>
      </c>
    </row>
    <row r="1694" spans="1:6" x14ac:dyDescent="0.25">
      <c r="A1694" s="308">
        <v>43159</v>
      </c>
      <c r="B1694" s="309" t="s">
        <v>485</v>
      </c>
      <c r="C1694" s="309" t="s">
        <v>492</v>
      </c>
      <c r="D1694" s="136" t="str">
        <f t="array" ref="D1694">IF(E1694=0,0,(INDEX(AccountCodes[ACCOUNT NAME],MATCH(E1694,AccountCodes[NGAS CODE],0))))</f>
        <v>Other Bonuses and Allowances - Meal Allowance</v>
      </c>
      <c r="E1694" s="309" t="s">
        <v>6</v>
      </c>
      <c r="F1694" s="501">
        <v>132</v>
      </c>
    </row>
    <row r="1695" spans="1:6" x14ac:dyDescent="0.25">
      <c r="A1695" s="308">
        <v>43190</v>
      </c>
      <c r="B1695" s="309" t="s">
        <v>485</v>
      </c>
      <c r="C1695" s="309" t="s">
        <v>492</v>
      </c>
      <c r="D1695" s="136" t="str">
        <f t="array" ref="D1695">IF(E1695=0,0,(INDEX(AccountCodes[ACCOUNT NAME],MATCH(E1695,AccountCodes[NGAS CODE],0))))</f>
        <v>Other Bonuses and Allowances - Meal Allowance</v>
      </c>
      <c r="E1695" s="309" t="s">
        <v>6</v>
      </c>
      <c r="F1695" s="501">
        <v>132</v>
      </c>
    </row>
    <row r="1696" spans="1:6" x14ac:dyDescent="0.25">
      <c r="A1696" s="308">
        <v>43220</v>
      </c>
      <c r="B1696" s="309" t="s">
        <v>485</v>
      </c>
      <c r="C1696" s="309" t="s">
        <v>492</v>
      </c>
      <c r="D1696" s="136" t="str">
        <f t="array" ref="D1696">IF(E1696=0,0,(INDEX(AccountCodes[ACCOUNT NAME],MATCH(E1696,AccountCodes[NGAS CODE],0))))</f>
        <v>Other Bonuses and Allowances - Meal Allowance</v>
      </c>
      <c r="E1696" s="309" t="s">
        <v>6</v>
      </c>
      <c r="F1696" s="501">
        <v>132</v>
      </c>
    </row>
    <row r="1697" spans="1:6" x14ac:dyDescent="0.25">
      <c r="A1697" s="308">
        <v>43251</v>
      </c>
      <c r="B1697" s="309" t="s">
        <v>485</v>
      </c>
      <c r="C1697" s="309" t="s">
        <v>492</v>
      </c>
      <c r="D1697" s="136" t="str">
        <f t="array" ref="D1697">IF(E1697=0,0,(INDEX(AccountCodes[ACCOUNT NAME],MATCH(E1697,AccountCodes[NGAS CODE],0))))</f>
        <v>Other Bonuses and Allowances - Meal Allowance</v>
      </c>
      <c r="E1697" s="309" t="s">
        <v>6</v>
      </c>
      <c r="F1697" s="501">
        <v>132</v>
      </c>
    </row>
    <row r="1698" spans="1:6" x14ac:dyDescent="0.25">
      <c r="A1698" s="308">
        <v>43281</v>
      </c>
      <c r="B1698" s="309" t="s">
        <v>485</v>
      </c>
      <c r="C1698" s="309" t="s">
        <v>492</v>
      </c>
      <c r="D1698" s="136" t="str">
        <f t="array" ref="D1698">IF(E1698=0,0,(INDEX(AccountCodes[ACCOUNT NAME],MATCH(E1698,AccountCodes[NGAS CODE],0))))</f>
        <v>Other Bonuses and Allowances - Meal Allowance</v>
      </c>
      <c r="E1698" s="309" t="s">
        <v>6</v>
      </c>
      <c r="F1698" s="501">
        <v>132</v>
      </c>
    </row>
    <row r="1699" spans="1:6" x14ac:dyDescent="0.25">
      <c r="A1699" s="308">
        <v>43312</v>
      </c>
      <c r="B1699" s="309" t="s">
        <v>485</v>
      </c>
      <c r="C1699" s="309" t="s">
        <v>492</v>
      </c>
      <c r="D1699" s="136" t="str">
        <f t="array" ref="D1699">IF(E1699=0,0,(INDEX(AccountCodes[ACCOUNT NAME],MATCH(E1699,AccountCodes[NGAS CODE],0))))</f>
        <v>Other Bonuses and Allowances - Meal Allowance</v>
      </c>
      <c r="E1699" s="309" t="s">
        <v>6</v>
      </c>
      <c r="F1699" s="501">
        <v>132</v>
      </c>
    </row>
    <row r="1700" spans="1:6" x14ac:dyDescent="0.25">
      <c r="A1700" s="308">
        <v>43343</v>
      </c>
      <c r="B1700" s="309" t="s">
        <v>485</v>
      </c>
      <c r="C1700" s="309" t="s">
        <v>492</v>
      </c>
      <c r="D1700" s="136" t="str">
        <f t="array" ref="D1700">IF(E1700=0,0,(INDEX(AccountCodes[ACCOUNT NAME],MATCH(E1700,AccountCodes[NGAS CODE],0))))</f>
        <v>Other Bonuses and Allowances - Meal Allowance</v>
      </c>
      <c r="E1700" s="309" t="s">
        <v>6</v>
      </c>
      <c r="F1700" s="501">
        <v>132</v>
      </c>
    </row>
    <row r="1701" spans="1:6" x14ac:dyDescent="0.25">
      <c r="A1701" s="308">
        <v>43373</v>
      </c>
      <c r="B1701" s="309" t="s">
        <v>485</v>
      </c>
      <c r="C1701" s="309" t="s">
        <v>492</v>
      </c>
      <c r="D1701" s="136" t="str">
        <f t="array" ref="D1701">IF(E1701=0,0,(INDEX(AccountCodes[ACCOUNT NAME],MATCH(E1701,AccountCodes[NGAS CODE],0))))</f>
        <v>Other Bonuses and Allowances - Meal Allowance</v>
      </c>
      <c r="E1701" s="309" t="s">
        <v>6</v>
      </c>
      <c r="F1701" s="501">
        <v>132</v>
      </c>
    </row>
    <row r="1702" spans="1:6" x14ac:dyDescent="0.25">
      <c r="A1702" s="308">
        <v>43404</v>
      </c>
      <c r="B1702" s="309" t="s">
        <v>485</v>
      </c>
      <c r="C1702" s="309" t="s">
        <v>492</v>
      </c>
      <c r="D1702" s="136" t="str">
        <f t="array" ref="D1702">IF(E1702=0,0,(INDEX(AccountCodes[ACCOUNT NAME],MATCH(E1702,AccountCodes[NGAS CODE],0))))</f>
        <v>Other Bonuses and Allowances - Meal Allowance</v>
      </c>
      <c r="E1702" s="309" t="s">
        <v>6</v>
      </c>
      <c r="F1702" s="501">
        <v>132</v>
      </c>
    </row>
    <row r="1703" spans="1:6" x14ac:dyDescent="0.25">
      <c r="A1703" s="308">
        <v>43434</v>
      </c>
      <c r="B1703" s="309" t="s">
        <v>485</v>
      </c>
      <c r="C1703" s="309" t="s">
        <v>492</v>
      </c>
      <c r="D1703" s="136" t="str">
        <f t="array" ref="D1703">IF(E1703=0,0,(INDEX(AccountCodes[ACCOUNT NAME],MATCH(E1703,AccountCodes[NGAS CODE],0))))</f>
        <v>Other Bonuses and Allowances - Meal Allowance</v>
      </c>
      <c r="E1703" s="309" t="s">
        <v>6</v>
      </c>
      <c r="F1703" s="501">
        <v>132</v>
      </c>
    </row>
    <row r="1704" spans="1:6" x14ac:dyDescent="0.25">
      <c r="A1704" s="308">
        <v>43465</v>
      </c>
      <c r="B1704" s="309" t="s">
        <v>485</v>
      </c>
      <c r="C1704" s="309" t="s">
        <v>492</v>
      </c>
      <c r="D1704" s="136" t="str">
        <f t="array" ref="D1704">IF(E1704=0,0,(INDEX(AccountCodes[ACCOUNT NAME],MATCH(E1704,AccountCodes[NGAS CODE],0))))</f>
        <v>Other Bonuses and Allowances - Meal Allowance</v>
      </c>
      <c r="E1704" s="309" t="s">
        <v>6</v>
      </c>
      <c r="F1704" s="501">
        <v>132</v>
      </c>
    </row>
    <row r="1705" spans="1:6" x14ac:dyDescent="0.25">
      <c r="A1705" s="308">
        <v>43131</v>
      </c>
      <c r="B1705" s="309" t="s">
        <v>485</v>
      </c>
      <c r="C1705" s="309" t="s">
        <v>492</v>
      </c>
      <c r="D1705" s="136" t="str">
        <f t="array" ref="D1705">IF(E1705=0,0,(INDEX(AccountCodes[ACCOUNT NAME],MATCH(E1705,AccountCodes[NGAS CODE],0))))</f>
        <v>Telephone Expenses - Mobile</v>
      </c>
      <c r="E1705" s="309" t="s">
        <v>236</v>
      </c>
      <c r="F1705" s="501">
        <v>800</v>
      </c>
    </row>
    <row r="1706" spans="1:6" x14ac:dyDescent="0.25">
      <c r="A1706" s="308">
        <v>43159</v>
      </c>
      <c r="B1706" s="309" t="s">
        <v>485</v>
      </c>
      <c r="C1706" s="309" t="s">
        <v>492</v>
      </c>
      <c r="D1706" s="136" t="str">
        <f t="array" ref="D1706">IF(E1706=0,0,(INDEX(AccountCodes[ACCOUNT NAME],MATCH(E1706,AccountCodes[NGAS CODE],0))))</f>
        <v>Telephone Expenses - Mobile</v>
      </c>
      <c r="E1706" s="309" t="s">
        <v>236</v>
      </c>
      <c r="F1706" s="501">
        <v>800</v>
      </c>
    </row>
    <row r="1707" spans="1:6" x14ac:dyDescent="0.25">
      <c r="A1707" s="308">
        <v>43190</v>
      </c>
      <c r="B1707" s="309" t="s">
        <v>485</v>
      </c>
      <c r="C1707" s="309" t="s">
        <v>492</v>
      </c>
      <c r="D1707" s="136" t="str">
        <f t="array" ref="D1707">IF(E1707=0,0,(INDEX(AccountCodes[ACCOUNT NAME],MATCH(E1707,AccountCodes[NGAS CODE],0))))</f>
        <v>Telephone Expenses - Mobile</v>
      </c>
      <c r="E1707" s="309" t="s">
        <v>236</v>
      </c>
      <c r="F1707" s="501">
        <v>800</v>
      </c>
    </row>
    <row r="1708" spans="1:6" x14ac:dyDescent="0.25">
      <c r="A1708" s="308">
        <v>43220</v>
      </c>
      <c r="B1708" s="309" t="s">
        <v>485</v>
      </c>
      <c r="C1708" s="309" t="s">
        <v>492</v>
      </c>
      <c r="D1708" s="136" t="str">
        <f t="array" ref="D1708">IF(E1708=0,0,(INDEX(AccountCodes[ACCOUNT NAME],MATCH(E1708,AccountCodes[NGAS CODE],0))))</f>
        <v>Telephone Expenses - Mobile</v>
      </c>
      <c r="E1708" s="309" t="s">
        <v>236</v>
      </c>
      <c r="F1708" s="501">
        <v>800</v>
      </c>
    </row>
    <row r="1709" spans="1:6" x14ac:dyDescent="0.25">
      <c r="A1709" s="308">
        <v>43251</v>
      </c>
      <c r="B1709" s="309" t="s">
        <v>485</v>
      </c>
      <c r="C1709" s="309" t="s">
        <v>492</v>
      </c>
      <c r="D1709" s="136" t="str">
        <f t="array" ref="D1709">IF(E1709=0,0,(INDEX(AccountCodes[ACCOUNT NAME],MATCH(E1709,AccountCodes[NGAS CODE],0))))</f>
        <v>Telephone Expenses - Mobile</v>
      </c>
      <c r="E1709" s="309" t="s">
        <v>236</v>
      </c>
      <c r="F1709" s="501">
        <v>800</v>
      </c>
    </row>
    <row r="1710" spans="1:6" x14ac:dyDescent="0.25">
      <c r="A1710" s="308">
        <v>43281</v>
      </c>
      <c r="B1710" s="309" t="s">
        <v>485</v>
      </c>
      <c r="C1710" s="309" t="s">
        <v>492</v>
      </c>
      <c r="D1710" s="136" t="str">
        <f t="array" ref="D1710">IF(E1710=0,0,(INDEX(AccountCodes[ACCOUNT NAME],MATCH(E1710,AccountCodes[NGAS CODE],0))))</f>
        <v>Telephone Expenses - Mobile</v>
      </c>
      <c r="E1710" s="309" t="s">
        <v>236</v>
      </c>
      <c r="F1710" s="501">
        <v>800</v>
      </c>
    </row>
    <row r="1711" spans="1:6" x14ac:dyDescent="0.25">
      <c r="A1711" s="308">
        <v>43312</v>
      </c>
      <c r="B1711" s="309" t="s">
        <v>485</v>
      </c>
      <c r="C1711" s="309" t="s">
        <v>492</v>
      </c>
      <c r="D1711" s="136" t="str">
        <f t="array" ref="D1711">IF(E1711=0,0,(INDEX(AccountCodes[ACCOUNT NAME],MATCH(E1711,AccountCodes[NGAS CODE],0))))</f>
        <v>Telephone Expenses - Mobile</v>
      </c>
      <c r="E1711" s="309" t="s">
        <v>236</v>
      </c>
      <c r="F1711" s="501">
        <v>800</v>
      </c>
    </row>
    <row r="1712" spans="1:6" x14ac:dyDescent="0.25">
      <c r="A1712" s="308">
        <v>43343</v>
      </c>
      <c r="B1712" s="309" t="s">
        <v>485</v>
      </c>
      <c r="C1712" s="309" t="s">
        <v>492</v>
      </c>
      <c r="D1712" s="136" t="str">
        <f t="array" ref="D1712">IF(E1712=0,0,(INDEX(AccountCodes[ACCOUNT NAME],MATCH(E1712,AccountCodes[NGAS CODE],0))))</f>
        <v>Telephone Expenses - Mobile</v>
      </c>
      <c r="E1712" s="309" t="s">
        <v>236</v>
      </c>
      <c r="F1712" s="501">
        <v>800</v>
      </c>
    </row>
    <row r="1713" spans="1:6" x14ac:dyDescent="0.25">
      <c r="A1713" s="308">
        <v>43373</v>
      </c>
      <c r="B1713" s="309" t="s">
        <v>485</v>
      </c>
      <c r="C1713" s="309" t="s">
        <v>492</v>
      </c>
      <c r="D1713" s="136" t="str">
        <f t="array" ref="D1713">IF(E1713=0,0,(INDEX(AccountCodes[ACCOUNT NAME],MATCH(E1713,AccountCodes[NGAS CODE],0))))</f>
        <v>Telephone Expenses - Mobile</v>
      </c>
      <c r="E1713" s="309" t="s">
        <v>236</v>
      </c>
      <c r="F1713" s="501">
        <v>800</v>
      </c>
    </row>
    <row r="1714" spans="1:6" x14ac:dyDescent="0.25">
      <c r="A1714" s="308">
        <v>43404</v>
      </c>
      <c r="B1714" s="309" t="s">
        <v>485</v>
      </c>
      <c r="C1714" s="309" t="s">
        <v>492</v>
      </c>
      <c r="D1714" s="136" t="str">
        <f t="array" ref="D1714">IF(E1714=0,0,(INDEX(AccountCodes[ACCOUNT NAME],MATCH(E1714,AccountCodes[NGAS CODE],0))))</f>
        <v>Telephone Expenses - Mobile</v>
      </c>
      <c r="E1714" s="309" t="s">
        <v>236</v>
      </c>
      <c r="F1714" s="501">
        <v>800</v>
      </c>
    </row>
    <row r="1715" spans="1:6" x14ac:dyDescent="0.25">
      <c r="A1715" s="308">
        <v>43434</v>
      </c>
      <c r="B1715" s="309" t="s">
        <v>485</v>
      </c>
      <c r="C1715" s="309" t="s">
        <v>492</v>
      </c>
      <c r="D1715" s="136" t="str">
        <f t="array" ref="D1715">IF(E1715=0,0,(INDEX(AccountCodes[ACCOUNT NAME],MATCH(E1715,AccountCodes[NGAS CODE],0))))</f>
        <v>Telephone Expenses - Mobile</v>
      </c>
      <c r="E1715" s="309" t="s">
        <v>236</v>
      </c>
      <c r="F1715" s="501">
        <v>800</v>
      </c>
    </row>
    <row r="1716" spans="1:6" x14ac:dyDescent="0.25">
      <c r="A1716" s="308">
        <v>43465</v>
      </c>
      <c r="B1716" s="309" t="s">
        <v>485</v>
      </c>
      <c r="C1716" s="309" t="s">
        <v>492</v>
      </c>
      <c r="D1716" s="136" t="str">
        <f t="array" ref="D1716">IF(E1716=0,0,(INDEX(AccountCodes[ACCOUNT NAME],MATCH(E1716,AccountCodes[NGAS CODE],0))))</f>
        <v>Telephone Expenses - Mobile</v>
      </c>
      <c r="E1716" s="309" t="s">
        <v>236</v>
      </c>
      <c r="F1716" s="501">
        <v>800</v>
      </c>
    </row>
    <row r="1717" spans="1:6" x14ac:dyDescent="0.25">
      <c r="A1717" s="308">
        <v>43281</v>
      </c>
      <c r="B1717" s="309" t="s">
        <v>485</v>
      </c>
      <c r="C1717" s="309" t="s">
        <v>492</v>
      </c>
      <c r="D1717" s="136" t="str">
        <f t="array" ref="D1717">IF(E1717=0,0,(INDEX(AccountCodes[ACCOUNT NAME],MATCH(E1717,AccountCodes[NGAS CODE],0))))</f>
        <v>Longevity Pay</v>
      </c>
      <c r="E1717" s="309" t="s">
        <v>216</v>
      </c>
      <c r="F1717" s="501">
        <v>25000</v>
      </c>
    </row>
    <row r="1718" spans="1:6" x14ac:dyDescent="0.25">
      <c r="A1718" s="308">
        <v>43190</v>
      </c>
      <c r="B1718" s="309" t="s">
        <v>485</v>
      </c>
      <c r="C1718" s="309" t="s">
        <v>492</v>
      </c>
      <c r="D1718" s="136" t="str">
        <f t="array" ref="D1718">IF(E1718=0,0,(INDEX(AccountCodes[ACCOUNT NAME],MATCH(E1718,AccountCodes[NGAS CODE],0))))</f>
        <v>Honoraria</v>
      </c>
      <c r="E1718" s="309" t="s">
        <v>173</v>
      </c>
      <c r="F1718" s="501">
        <v>25000</v>
      </c>
    </row>
    <row r="1719" spans="1:6" x14ac:dyDescent="0.25">
      <c r="A1719" s="308">
        <v>43312</v>
      </c>
      <c r="B1719" s="309" t="s">
        <v>485</v>
      </c>
      <c r="C1719" s="309" t="s">
        <v>492</v>
      </c>
      <c r="D1719" s="136" t="str">
        <f t="array" ref="D1719">IF(E1719=0,0,(INDEX(AccountCodes[ACCOUNT NAME],MATCH(E1719,AccountCodes[NGAS CODE],0))))</f>
        <v>Honoraria</v>
      </c>
      <c r="E1719" s="309" t="s">
        <v>173</v>
      </c>
      <c r="F1719" s="501">
        <v>25000</v>
      </c>
    </row>
    <row r="1720" spans="1:6" x14ac:dyDescent="0.25">
      <c r="A1720" s="308">
        <v>43404</v>
      </c>
      <c r="B1720" s="309" t="s">
        <v>485</v>
      </c>
      <c r="C1720" s="309" t="s">
        <v>492</v>
      </c>
      <c r="D1720" s="136" t="str">
        <f t="array" ref="D1720">IF(E1720=0,0,(INDEX(AccountCodes[ACCOUNT NAME],MATCH(E1720,AccountCodes[NGAS CODE],0))))</f>
        <v>Honoraria</v>
      </c>
      <c r="E1720" s="309" t="s">
        <v>173</v>
      </c>
      <c r="F1720" s="501">
        <v>30000</v>
      </c>
    </row>
    <row r="1721" spans="1:6" x14ac:dyDescent="0.25">
      <c r="A1721" s="308">
        <v>43465</v>
      </c>
      <c r="B1721" s="309" t="s">
        <v>485</v>
      </c>
      <c r="C1721" s="309" t="s">
        <v>492</v>
      </c>
      <c r="D1721" s="136" t="str">
        <f t="array" ref="D1721">IF(E1721=0,0,(INDEX(AccountCodes[ACCOUNT NAME],MATCH(E1721,AccountCodes[NGAS CODE],0))))</f>
        <v>Honoraria</v>
      </c>
      <c r="E1721" s="309" t="s">
        <v>173</v>
      </c>
      <c r="F1721" s="501">
        <v>30000</v>
      </c>
    </row>
    <row r="1722" spans="1:6" x14ac:dyDescent="0.25">
      <c r="A1722" s="308">
        <v>43434</v>
      </c>
      <c r="B1722" s="309" t="s">
        <v>485</v>
      </c>
      <c r="C1722" s="309" t="s">
        <v>492</v>
      </c>
      <c r="D1722" s="136" t="str">
        <f t="array" ref="D1722">IF(E1722=0,0,(INDEX(AccountCodes[ACCOUNT NAME],MATCH(E1722,AccountCodes[NGAS CODE],0))))</f>
        <v>Other Bonuses and Allowances - Productivity Enhancement Incentive-Civilian</v>
      </c>
      <c r="E1722" s="309" t="s">
        <v>170</v>
      </c>
      <c r="F1722" s="501">
        <v>95000</v>
      </c>
    </row>
    <row r="1723" spans="1:6" x14ac:dyDescent="0.25">
      <c r="A1723" s="308">
        <v>43465</v>
      </c>
      <c r="B1723" s="309" t="s">
        <v>485</v>
      </c>
      <c r="C1723" s="309" t="s">
        <v>492</v>
      </c>
      <c r="D1723" s="136" t="str">
        <f t="array" ref="D1723">IF(E1723=0,0,(INDEX(AccountCodes[ACCOUNT NAME],MATCH(E1723,AccountCodes[NGAS CODE],0))))</f>
        <v>Other Bonuses and Allowances - Collective Negotiation Agreement Incentive-Civilian</v>
      </c>
      <c r="E1723" s="309" t="s">
        <v>168</v>
      </c>
      <c r="F1723" s="501">
        <v>550000</v>
      </c>
    </row>
    <row r="1724" spans="1:6" x14ac:dyDescent="0.25">
      <c r="A1724" s="308">
        <v>43131</v>
      </c>
      <c r="B1724" s="309" t="s">
        <v>485</v>
      </c>
      <c r="C1724" s="309" t="s">
        <v>492</v>
      </c>
      <c r="D1724" s="136" t="str">
        <f t="array" ref="D1724">IF(E1724=0,0,(INDEX(AccountCodes[ACCOUNT NAME],MATCH(E1724,AccountCodes[NGAS CODE],0))))</f>
        <v>Retirement and Life Insurance Premiums</v>
      </c>
      <c r="E1724" s="309" t="s">
        <v>175</v>
      </c>
      <c r="F1724" s="501">
        <v>60665.88</v>
      </c>
    </row>
    <row r="1725" spans="1:6" x14ac:dyDescent="0.25">
      <c r="A1725" s="308">
        <v>43159</v>
      </c>
      <c r="B1725" s="309" t="s">
        <v>485</v>
      </c>
      <c r="C1725" s="309" t="s">
        <v>492</v>
      </c>
      <c r="D1725" s="136" t="str">
        <f t="array" ref="D1725">IF(E1725=0,0,(INDEX(AccountCodes[ACCOUNT NAME],MATCH(E1725,AccountCodes[NGAS CODE],0))))</f>
        <v>Retirement and Life Insurance Premiums</v>
      </c>
      <c r="E1725" s="309" t="s">
        <v>175</v>
      </c>
      <c r="F1725" s="501">
        <v>60665.88</v>
      </c>
    </row>
    <row r="1726" spans="1:6" x14ac:dyDescent="0.25">
      <c r="A1726" s="308">
        <v>43190</v>
      </c>
      <c r="B1726" s="309" t="s">
        <v>485</v>
      </c>
      <c r="C1726" s="309" t="s">
        <v>492</v>
      </c>
      <c r="D1726" s="136" t="str">
        <f t="array" ref="D1726">IF(E1726=0,0,(INDEX(AccountCodes[ACCOUNT NAME],MATCH(E1726,AccountCodes[NGAS CODE],0))))</f>
        <v>Retirement and Life Insurance Premiums</v>
      </c>
      <c r="E1726" s="309" t="s">
        <v>175</v>
      </c>
      <c r="F1726" s="501">
        <v>60665.88</v>
      </c>
    </row>
    <row r="1727" spans="1:6" x14ac:dyDescent="0.25">
      <c r="A1727" s="308">
        <v>43220</v>
      </c>
      <c r="B1727" s="309" t="s">
        <v>485</v>
      </c>
      <c r="C1727" s="309" t="s">
        <v>492</v>
      </c>
      <c r="D1727" s="136" t="str">
        <f t="array" ref="D1727">IF(E1727=0,0,(INDEX(AccountCodes[ACCOUNT NAME],MATCH(E1727,AccountCodes[NGAS CODE],0))))</f>
        <v>Retirement and Life Insurance Premiums</v>
      </c>
      <c r="E1727" s="309" t="s">
        <v>175</v>
      </c>
      <c r="F1727" s="501">
        <v>60665.88</v>
      </c>
    </row>
    <row r="1728" spans="1:6" x14ac:dyDescent="0.25">
      <c r="A1728" s="308">
        <v>43251</v>
      </c>
      <c r="B1728" s="309" t="s">
        <v>485</v>
      </c>
      <c r="C1728" s="309" t="s">
        <v>492</v>
      </c>
      <c r="D1728" s="136" t="str">
        <f t="array" ref="D1728">IF(E1728=0,0,(INDEX(AccountCodes[ACCOUNT NAME],MATCH(E1728,AccountCodes[NGAS CODE],0))))</f>
        <v>Retirement and Life Insurance Premiums</v>
      </c>
      <c r="E1728" s="309" t="s">
        <v>175</v>
      </c>
      <c r="F1728" s="501">
        <v>60665.88</v>
      </c>
    </row>
    <row r="1729" spans="1:6" x14ac:dyDescent="0.25">
      <c r="A1729" s="308">
        <v>43281</v>
      </c>
      <c r="B1729" s="309" t="s">
        <v>485</v>
      </c>
      <c r="C1729" s="309" t="s">
        <v>492</v>
      </c>
      <c r="D1729" s="136" t="str">
        <f t="array" ref="D1729">IF(E1729=0,0,(INDEX(AccountCodes[ACCOUNT NAME],MATCH(E1729,AccountCodes[NGAS CODE],0))))</f>
        <v>Retirement and Life Insurance Premiums</v>
      </c>
      <c r="E1729" s="309" t="s">
        <v>175</v>
      </c>
      <c r="F1729" s="501">
        <v>60665.88</v>
      </c>
    </row>
    <row r="1730" spans="1:6" x14ac:dyDescent="0.25">
      <c r="A1730" s="308">
        <v>43312</v>
      </c>
      <c r="B1730" s="309" t="s">
        <v>485</v>
      </c>
      <c r="C1730" s="309" t="s">
        <v>492</v>
      </c>
      <c r="D1730" s="136" t="str">
        <f t="array" ref="D1730">IF(E1730=0,0,(INDEX(AccountCodes[ACCOUNT NAME],MATCH(E1730,AccountCodes[NGAS CODE],0))))</f>
        <v>Retirement and Life Insurance Premiums</v>
      </c>
      <c r="E1730" s="309" t="s">
        <v>175</v>
      </c>
      <c r="F1730" s="501">
        <v>60665.88</v>
      </c>
    </row>
    <row r="1731" spans="1:6" x14ac:dyDescent="0.25">
      <c r="A1731" s="308">
        <v>43343</v>
      </c>
      <c r="B1731" s="309" t="s">
        <v>485</v>
      </c>
      <c r="C1731" s="309" t="s">
        <v>492</v>
      </c>
      <c r="D1731" s="136" t="str">
        <f t="array" ref="D1731">IF(E1731=0,0,(INDEX(AccountCodes[ACCOUNT NAME],MATCH(E1731,AccountCodes[NGAS CODE],0))))</f>
        <v>Retirement and Life Insurance Premiums</v>
      </c>
      <c r="E1731" s="309" t="s">
        <v>175</v>
      </c>
      <c r="F1731" s="501">
        <v>60665.88</v>
      </c>
    </row>
    <row r="1732" spans="1:6" x14ac:dyDescent="0.25">
      <c r="A1732" s="308">
        <v>43373</v>
      </c>
      <c r="B1732" s="309" t="s">
        <v>485</v>
      </c>
      <c r="C1732" s="309" t="s">
        <v>492</v>
      </c>
      <c r="D1732" s="136" t="str">
        <f t="array" ref="D1732">IF(E1732=0,0,(INDEX(AccountCodes[ACCOUNT NAME],MATCH(E1732,AccountCodes[NGAS CODE],0))))</f>
        <v>Retirement and Life Insurance Premiums</v>
      </c>
      <c r="E1732" s="309" t="s">
        <v>175</v>
      </c>
      <c r="F1732" s="501">
        <v>60665.88</v>
      </c>
    </row>
    <row r="1733" spans="1:6" x14ac:dyDescent="0.25">
      <c r="A1733" s="308">
        <v>43404</v>
      </c>
      <c r="B1733" s="309" t="s">
        <v>485</v>
      </c>
      <c r="C1733" s="309" t="s">
        <v>492</v>
      </c>
      <c r="D1733" s="136" t="str">
        <f t="array" ref="D1733">IF(E1733=0,0,(INDEX(AccountCodes[ACCOUNT NAME],MATCH(E1733,AccountCodes[NGAS CODE],0))))</f>
        <v>Retirement and Life Insurance Premiums</v>
      </c>
      <c r="E1733" s="309" t="s">
        <v>175</v>
      </c>
      <c r="F1733" s="501">
        <v>60665.88</v>
      </c>
    </row>
    <row r="1734" spans="1:6" x14ac:dyDescent="0.25">
      <c r="A1734" s="308">
        <v>43434</v>
      </c>
      <c r="B1734" s="309" t="s">
        <v>485</v>
      </c>
      <c r="C1734" s="309" t="s">
        <v>492</v>
      </c>
      <c r="D1734" s="136" t="str">
        <f t="array" ref="D1734">IF(E1734=0,0,(INDEX(AccountCodes[ACCOUNT NAME],MATCH(E1734,AccountCodes[NGAS CODE],0))))</f>
        <v>Retirement and Life Insurance Premiums</v>
      </c>
      <c r="E1734" s="309" t="s">
        <v>175</v>
      </c>
      <c r="F1734" s="501">
        <v>60665.88</v>
      </c>
    </row>
    <row r="1735" spans="1:6" x14ac:dyDescent="0.25">
      <c r="A1735" s="308">
        <v>43465</v>
      </c>
      <c r="B1735" s="309" t="s">
        <v>485</v>
      </c>
      <c r="C1735" s="309" t="s">
        <v>492</v>
      </c>
      <c r="D1735" s="136" t="str">
        <f t="array" ref="D1735">IF(E1735=0,0,(INDEX(AccountCodes[ACCOUNT NAME],MATCH(E1735,AccountCodes[NGAS CODE],0))))</f>
        <v>Retirement and Life Insurance Premiums</v>
      </c>
      <c r="E1735" s="309" t="s">
        <v>175</v>
      </c>
      <c r="F1735" s="501">
        <v>60665.88</v>
      </c>
    </row>
    <row r="1736" spans="1:6" x14ac:dyDescent="0.25">
      <c r="A1736" s="308">
        <v>43131</v>
      </c>
      <c r="B1736" s="309" t="s">
        <v>485</v>
      </c>
      <c r="C1736" s="309" t="s">
        <v>492</v>
      </c>
      <c r="D1736" s="136" t="str">
        <f t="array" ref="D1736">IF(E1736=0,0,(INDEX(AccountCodes[ACCOUNT NAME],MATCH(E1736,AccountCodes[NGAS CODE],0))))</f>
        <v>Pag-IBIG Contributions</v>
      </c>
      <c r="E1736" s="309" t="s">
        <v>176</v>
      </c>
      <c r="F1736" s="501">
        <v>2510</v>
      </c>
    </row>
    <row r="1737" spans="1:6" x14ac:dyDescent="0.25">
      <c r="A1737" s="308">
        <v>43159</v>
      </c>
      <c r="B1737" s="309" t="s">
        <v>485</v>
      </c>
      <c r="C1737" s="309" t="s">
        <v>492</v>
      </c>
      <c r="D1737" s="136" t="str">
        <f t="array" ref="D1737">IF(E1737=0,0,(INDEX(AccountCodes[ACCOUNT NAME],MATCH(E1737,AccountCodes[NGAS CODE],0))))</f>
        <v>Pag-IBIG Contributions</v>
      </c>
      <c r="E1737" s="309" t="s">
        <v>176</v>
      </c>
      <c r="F1737" s="501">
        <v>2510</v>
      </c>
    </row>
    <row r="1738" spans="1:6" x14ac:dyDescent="0.25">
      <c r="A1738" s="308">
        <v>43190</v>
      </c>
      <c r="B1738" s="309" t="s">
        <v>485</v>
      </c>
      <c r="C1738" s="309" t="s">
        <v>492</v>
      </c>
      <c r="D1738" s="136" t="str">
        <f t="array" ref="D1738">IF(E1738=0,0,(INDEX(AccountCodes[ACCOUNT NAME],MATCH(E1738,AccountCodes[NGAS CODE],0))))</f>
        <v>Pag-IBIG Contributions</v>
      </c>
      <c r="E1738" s="309" t="s">
        <v>176</v>
      </c>
      <c r="F1738" s="501">
        <v>2510</v>
      </c>
    </row>
    <row r="1739" spans="1:6" x14ac:dyDescent="0.25">
      <c r="A1739" s="308">
        <v>43220</v>
      </c>
      <c r="B1739" s="309" t="s">
        <v>485</v>
      </c>
      <c r="C1739" s="309" t="s">
        <v>492</v>
      </c>
      <c r="D1739" s="136" t="str">
        <f t="array" ref="D1739">IF(E1739=0,0,(INDEX(AccountCodes[ACCOUNT NAME],MATCH(E1739,AccountCodes[NGAS CODE],0))))</f>
        <v>Pag-IBIG Contributions</v>
      </c>
      <c r="E1739" s="309" t="s">
        <v>176</v>
      </c>
      <c r="F1739" s="501">
        <v>2510</v>
      </c>
    </row>
    <row r="1740" spans="1:6" x14ac:dyDescent="0.25">
      <c r="A1740" s="308">
        <v>43251</v>
      </c>
      <c r="B1740" s="309" t="s">
        <v>485</v>
      </c>
      <c r="C1740" s="309" t="s">
        <v>492</v>
      </c>
      <c r="D1740" s="136" t="str">
        <f t="array" ref="D1740">IF(E1740=0,0,(INDEX(AccountCodes[ACCOUNT NAME],MATCH(E1740,AccountCodes[NGAS CODE],0))))</f>
        <v>Pag-IBIG Contributions</v>
      </c>
      <c r="E1740" s="309" t="s">
        <v>176</v>
      </c>
      <c r="F1740" s="501">
        <v>2510</v>
      </c>
    </row>
    <row r="1741" spans="1:6" x14ac:dyDescent="0.25">
      <c r="A1741" s="308">
        <v>43281</v>
      </c>
      <c r="B1741" s="309" t="s">
        <v>485</v>
      </c>
      <c r="C1741" s="309" t="s">
        <v>492</v>
      </c>
      <c r="D1741" s="136" t="str">
        <f t="array" ref="D1741">IF(E1741=0,0,(INDEX(AccountCodes[ACCOUNT NAME],MATCH(E1741,AccountCodes[NGAS CODE],0))))</f>
        <v>Pag-IBIG Contributions</v>
      </c>
      <c r="E1741" s="309" t="s">
        <v>176</v>
      </c>
      <c r="F1741" s="501">
        <v>2510</v>
      </c>
    </row>
    <row r="1742" spans="1:6" x14ac:dyDescent="0.25">
      <c r="A1742" s="308">
        <v>43312</v>
      </c>
      <c r="B1742" s="309" t="s">
        <v>485</v>
      </c>
      <c r="C1742" s="309" t="s">
        <v>492</v>
      </c>
      <c r="D1742" s="136" t="str">
        <f t="array" ref="D1742">IF(E1742=0,0,(INDEX(AccountCodes[ACCOUNT NAME],MATCH(E1742,AccountCodes[NGAS CODE],0))))</f>
        <v>Pag-IBIG Contributions</v>
      </c>
      <c r="E1742" s="309" t="s">
        <v>176</v>
      </c>
      <c r="F1742" s="501">
        <v>2510</v>
      </c>
    </row>
    <row r="1743" spans="1:6" x14ac:dyDescent="0.25">
      <c r="A1743" s="308">
        <v>43343</v>
      </c>
      <c r="B1743" s="309" t="s">
        <v>485</v>
      </c>
      <c r="C1743" s="309" t="s">
        <v>492</v>
      </c>
      <c r="D1743" s="136" t="str">
        <f t="array" ref="D1743">IF(E1743=0,0,(INDEX(AccountCodes[ACCOUNT NAME],MATCH(E1743,AccountCodes[NGAS CODE],0))))</f>
        <v>Pag-IBIG Contributions</v>
      </c>
      <c r="E1743" s="309" t="s">
        <v>176</v>
      </c>
      <c r="F1743" s="501">
        <v>2510</v>
      </c>
    </row>
    <row r="1744" spans="1:6" x14ac:dyDescent="0.25">
      <c r="A1744" s="308">
        <v>43373</v>
      </c>
      <c r="B1744" s="309" t="s">
        <v>485</v>
      </c>
      <c r="C1744" s="309" t="s">
        <v>492</v>
      </c>
      <c r="D1744" s="136" t="str">
        <f t="array" ref="D1744">IF(E1744=0,0,(INDEX(AccountCodes[ACCOUNT NAME],MATCH(E1744,AccountCodes[NGAS CODE],0))))</f>
        <v>Pag-IBIG Contributions</v>
      </c>
      <c r="E1744" s="309" t="s">
        <v>176</v>
      </c>
      <c r="F1744" s="501">
        <v>2510</v>
      </c>
    </row>
    <row r="1745" spans="1:6" x14ac:dyDescent="0.25">
      <c r="A1745" s="308">
        <v>43404</v>
      </c>
      <c r="B1745" s="309" t="s">
        <v>485</v>
      </c>
      <c r="C1745" s="309" t="s">
        <v>492</v>
      </c>
      <c r="D1745" s="136" t="str">
        <f t="array" ref="D1745">IF(E1745=0,0,(INDEX(AccountCodes[ACCOUNT NAME],MATCH(E1745,AccountCodes[NGAS CODE],0))))</f>
        <v>Pag-IBIG Contributions</v>
      </c>
      <c r="E1745" s="309" t="s">
        <v>176</v>
      </c>
      <c r="F1745" s="501">
        <v>2510</v>
      </c>
    </row>
    <row r="1746" spans="1:6" x14ac:dyDescent="0.25">
      <c r="A1746" s="308">
        <v>43434</v>
      </c>
      <c r="B1746" s="309" t="s">
        <v>485</v>
      </c>
      <c r="C1746" s="309" t="s">
        <v>492</v>
      </c>
      <c r="D1746" s="136" t="str">
        <f t="array" ref="D1746">IF(E1746=0,0,(INDEX(AccountCodes[ACCOUNT NAME],MATCH(E1746,AccountCodes[NGAS CODE],0))))</f>
        <v>Pag-IBIG Contributions</v>
      </c>
      <c r="E1746" s="309" t="s">
        <v>176</v>
      </c>
      <c r="F1746" s="501">
        <v>2510</v>
      </c>
    </row>
    <row r="1747" spans="1:6" x14ac:dyDescent="0.25">
      <c r="A1747" s="308">
        <v>43465</v>
      </c>
      <c r="B1747" s="309" t="s">
        <v>485</v>
      </c>
      <c r="C1747" s="309" t="s">
        <v>492</v>
      </c>
      <c r="D1747" s="136" t="str">
        <f t="array" ref="D1747">IF(E1747=0,0,(INDEX(AccountCodes[ACCOUNT NAME],MATCH(E1747,AccountCodes[NGAS CODE],0))))</f>
        <v>Pag-IBIG Contributions</v>
      </c>
      <c r="E1747" s="309" t="s">
        <v>176</v>
      </c>
      <c r="F1747" s="501">
        <v>2510</v>
      </c>
    </row>
    <row r="1748" spans="1:6" x14ac:dyDescent="0.25">
      <c r="A1748" s="308">
        <v>43131</v>
      </c>
      <c r="B1748" s="309" t="s">
        <v>485</v>
      </c>
      <c r="C1748" s="309" t="s">
        <v>492</v>
      </c>
      <c r="D1748" s="136" t="str">
        <f t="array" ref="D1748">IF(E1748=0,0,(INDEX(AccountCodes[ACCOUNT NAME],MATCH(E1748,AccountCodes[NGAS CODE],0))))</f>
        <v>PhilHealth Contributions</v>
      </c>
      <c r="E1748" s="309" t="s">
        <v>177</v>
      </c>
      <c r="F1748" s="501">
        <v>6530.12</v>
      </c>
    </row>
    <row r="1749" spans="1:6" x14ac:dyDescent="0.25">
      <c r="A1749" s="308">
        <v>43159</v>
      </c>
      <c r="B1749" s="309" t="s">
        <v>485</v>
      </c>
      <c r="C1749" s="309" t="s">
        <v>492</v>
      </c>
      <c r="D1749" s="136" t="str">
        <f t="array" ref="D1749">IF(E1749=0,0,(INDEX(AccountCodes[ACCOUNT NAME],MATCH(E1749,AccountCodes[NGAS CODE],0))))</f>
        <v>PhilHealth Contributions</v>
      </c>
      <c r="E1749" s="309" t="s">
        <v>177</v>
      </c>
      <c r="F1749" s="501">
        <v>6530.12</v>
      </c>
    </row>
    <row r="1750" spans="1:6" x14ac:dyDescent="0.25">
      <c r="A1750" s="308">
        <v>43190</v>
      </c>
      <c r="B1750" s="309" t="s">
        <v>485</v>
      </c>
      <c r="C1750" s="309" t="s">
        <v>492</v>
      </c>
      <c r="D1750" s="136" t="str">
        <f t="array" ref="D1750">IF(E1750=0,0,(INDEX(AccountCodes[ACCOUNT NAME],MATCH(E1750,AccountCodes[NGAS CODE],0))))</f>
        <v>PhilHealth Contributions</v>
      </c>
      <c r="E1750" s="309" t="s">
        <v>177</v>
      </c>
      <c r="F1750" s="501">
        <v>6530.12</v>
      </c>
    </row>
    <row r="1751" spans="1:6" x14ac:dyDescent="0.25">
      <c r="A1751" s="308">
        <v>43220</v>
      </c>
      <c r="B1751" s="309" t="s">
        <v>485</v>
      </c>
      <c r="C1751" s="309" t="s">
        <v>492</v>
      </c>
      <c r="D1751" s="136" t="str">
        <f t="array" ref="D1751">IF(E1751=0,0,(INDEX(AccountCodes[ACCOUNT NAME],MATCH(E1751,AccountCodes[NGAS CODE],0))))</f>
        <v>PhilHealth Contributions</v>
      </c>
      <c r="E1751" s="309" t="s">
        <v>177</v>
      </c>
      <c r="F1751" s="501">
        <v>6530.12</v>
      </c>
    </row>
    <row r="1752" spans="1:6" x14ac:dyDescent="0.25">
      <c r="A1752" s="308">
        <v>43251</v>
      </c>
      <c r="B1752" s="309" t="s">
        <v>485</v>
      </c>
      <c r="C1752" s="309" t="s">
        <v>492</v>
      </c>
      <c r="D1752" s="136" t="str">
        <f t="array" ref="D1752">IF(E1752=0,0,(INDEX(AccountCodes[ACCOUNT NAME],MATCH(E1752,AccountCodes[NGAS CODE],0))))</f>
        <v>PhilHealth Contributions</v>
      </c>
      <c r="E1752" s="309" t="s">
        <v>177</v>
      </c>
      <c r="F1752" s="501">
        <v>6530.12</v>
      </c>
    </row>
    <row r="1753" spans="1:6" x14ac:dyDescent="0.25">
      <c r="A1753" s="308">
        <v>43281</v>
      </c>
      <c r="B1753" s="309" t="s">
        <v>485</v>
      </c>
      <c r="C1753" s="309" t="s">
        <v>492</v>
      </c>
      <c r="D1753" s="136" t="str">
        <f t="array" ref="D1753">IF(E1753=0,0,(INDEX(AccountCodes[ACCOUNT NAME],MATCH(E1753,AccountCodes[NGAS CODE],0))))</f>
        <v>PhilHealth Contributions</v>
      </c>
      <c r="E1753" s="309" t="s">
        <v>177</v>
      </c>
      <c r="F1753" s="501">
        <v>6530.12</v>
      </c>
    </row>
    <row r="1754" spans="1:6" x14ac:dyDescent="0.25">
      <c r="A1754" s="308">
        <v>43312</v>
      </c>
      <c r="B1754" s="309" t="s">
        <v>485</v>
      </c>
      <c r="C1754" s="309" t="s">
        <v>492</v>
      </c>
      <c r="D1754" s="136" t="str">
        <f t="array" ref="D1754">IF(E1754=0,0,(INDEX(AccountCodes[ACCOUNT NAME],MATCH(E1754,AccountCodes[NGAS CODE],0))))</f>
        <v>PhilHealth Contributions</v>
      </c>
      <c r="E1754" s="309" t="s">
        <v>177</v>
      </c>
      <c r="F1754" s="501">
        <v>6530.12</v>
      </c>
    </row>
    <row r="1755" spans="1:6" x14ac:dyDescent="0.25">
      <c r="A1755" s="308">
        <v>43343</v>
      </c>
      <c r="B1755" s="309" t="s">
        <v>485</v>
      </c>
      <c r="C1755" s="309" t="s">
        <v>492</v>
      </c>
      <c r="D1755" s="136" t="str">
        <f t="array" ref="D1755">IF(E1755=0,0,(INDEX(AccountCodes[ACCOUNT NAME],MATCH(E1755,AccountCodes[NGAS CODE],0))))</f>
        <v>PhilHealth Contributions</v>
      </c>
      <c r="E1755" s="309" t="s">
        <v>177</v>
      </c>
      <c r="F1755" s="501">
        <v>6530.12</v>
      </c>
    </row>
    <row r="1756" spans="1:6" x14ac:dyDescent="0.25">
      <c r="A1756" s="308">
        <v>43373</v>
      </c>
      <c r="B1756" s="309" t="s">
        <v>485</v>
      </c>
      <c r="C1756" s="309" t="s">
        <v>492</v>
      </c>
      <c r="D1756" s="136" t="str">
        <f t="array" ref="D1756">IF(E1756=0,0,(INDEX(AccountCodes[ACCOUNT NAME],MATCH(E1756,AccountCodes[NGAS CODE],0))))</f>
        <v>PhilHealth Contributions</v>
      </c>
      <c r="E1756" s="309" t="s">
        <v>177</v>
      </c>
      <c r="F1756" s="501">
        <v>6530.12</v>
      </c>
    </row>
    <row r="1757" spans="1:6" x14ac:dyDescent="0.25">
      <c r="A1757" s="308">
        <v>43404</v>
      </c>
      <c r="B1757" s="309" t="s">
        <v>485</v>
      </c>
      <c r="C1757" s="309" t="s">
        <v>492</v>
      </c>
      <c r="D1757" s="136" t="str">
        <f t="array" ref="D1757">IF(E1757=0,0,(INDEX(AccountCodes[ACCOUNT NAME],MATCH(E1757,AccountCodes[NGAS CODE],0))))</f>
        <v>PhilHealth Contributions</v>
      </c>
      <c r="E1757" s="309" t="s">
        <v>177</v>
      </c>
      <c r="F1757" s="501">
        <v>6530.12</v>
      </c>
    </row>
    <row r="1758" spans="1:6" x14ac:dyDescent="0.25">
      <c r="A1758" s="308">
        <v>43434</v>
      </c>
      <c r="B1758" s="309" t="s">
        <v>485</v>
      </c>
      <c r="C1758" s="309" t="s">
        <v>492</v>
      </c>
      <c r="D1758" s="136" t="str">
        <f t="array" ref="D1758">IF(E1758=0,0,(INDEX(AccountCodes[ACCOUNT NAME],MATCH(E1758,AccountCodes[NGAS CODE],0))))</f>
        <v>PhilHealth Contributions</v>
      </c>
      <c r="E1758" s="309" t="s">
        <v>177</v>
      </c>
      <c r="F1758" s="501">
        <v>6530.12</v>
      </c>
    </row>
    <row r="1759" spans="1:6" x14ac:dyDescent="0.25">
      <c r="A1759" s="308">
        <v>43465</v>
      </c>
      <c r="B1759" s="309" t="s">
        <v>485</v>
      </c>
      <c r="C1759" s="309" t="s">
        <v>492</v>
      </c>
      <c r="D1759" s="136" t="str">
        <f t="array" ref="D1759">IF(E1759=0,0,(INDEX(AccountCodes[ACCOUNT NAME],MATCH(E1759,AccountCodes[NGAS CODE],0))))</f>
        <v>PhilHealth Contributions</v>
      </c>
      <c r="E1759" s="309" t="s">
        <v>177</v>
      </c>
      <c r="F1759" s="501">
        <v>6530.12</v>
      </c>
    </row>
    <row r="1760" spans="1:6" x14ac:dyDescent="0.25">
      <c r="A1760" s="308">
        <v>43131</v>
      </c>
      <c r="B1760" s="309" t="s">
        <v>485</v>
      </c>
      <c r="C1760" s="309" t="s">
        <v>492</v>
      </c>
      <c r="D1760" s="136" t="str">
        <f t="array" ref="D1760">IF(E1760=0,0,(INDEX(AccountCodes[ACCOUNT NAME],MATCH(E1760,AccountCodes[NGAS CODE],0))))</f>
        <v>Employees Compensation Insurance Premiums</v>
      </c>
      <c r="E1760" s="309" t="s">
        <v>178</v>
      </c>
      <c r="F1760" s="501">
        <v>2510</v>
      </c>
    </row>
    <row r="1761" spans="1:6" x14ac:dyDescent="0.25">
      <c r="A1761" s="308">
        <v>43159</v>
      </c>
      <c r="B1761" s="309" t="s">
        <v>485</v>
      </c>
      <c r="C1761" s="309" t="s">
        <v>492</v>
      </c>
      <c r="D1761" s="136" t="str">
        <f t="array" ref="D1761">IF(E1761=0,0,(INDEX(AccountCodes[ACCOUNT NAME],MATCH(E1761,AccountCodes[NGAS CODE],0))))</f>
        <v>Employees Compensation Insurance Premiums</v>
      </c>
      <c r="E1761" s="309" t="s">
        <v>178</v>
      </c>
      <c r="F1761" s="501">
        <v>2510</v>
      </c>
    </row>
    <row r="1762" spans="1:6" x14ac:dyDescent="0.25">
      <c r="A1762" s="308">
        <v>43190</v>
      </c>
      <c r="B1762" s="309" t="s">
        <v>485</v>
      </c>
      <c r="C1762" s="309" t="s">
        <v>492</v>
      </c>
      <c r="D1762" s="136" t="str">
        <f t="array" ref="D1762">IF(E1762=0,0,(INDEX(AccountCodes[ACCOUNT NAME],MATCH(E1762,AccountCodes[NGAS CODE],0))))</f>
        <v>Employees Compensation Insurance Premiums</v>
      </c>
      <c r="E1762" s="309" t="s">
        <v>178</v>
      </c>
      <c r="F1762" s="501">
        <v>2510</v>
      </c>
    </row>
    <row r="1763" spans="1:6" x14ac:dyDescent="0.25">
      <c r="A1763" s="308">
        <v>43220</v>
      </c>
      <c r="B1763" s="309" t="s">
        <v>485</v>
      </c>
      <c r="C1763" s="309" t="s">
        <v>492</v>
      </c>
      <c r="D1763" s="136" t="str">
        <f t="array" ref="D1763">IF(E1763=0,0,(INDEX(AccountCodes[ACCOUNT NAME],MATCH(E1763,AccountCodes[NGAS CODE],0))))</f>
        <v>Employees Compensation Insurance Premiums</v>
      </c>
      <c r="E1763" s="309" t="s">
        <v>178</v>
      </c>
      <c r="F1763" s="501">
        <v>2510</v>
      </c>
    </row>
    <row r="1764" spans="1:6" x14ac:dyDescent="0.25">
      <c r="A1764" s="308">
        <v>43251</v>
      </c>
      <c r="B1764" s="309" t="s">
        <v>485</v>
      </c>
      <c r="C1764" s="309" t="s">
        <v>492</v>
      </c>
      <c r="D1764" s="136" t="str">
        <f t="array" ref="D1764">IF(E1764=0,0,(INDEX(AccountCodes[ACCOUNT NAME],MATCH(E1764,AccountCodes[NGAS CODE],0))))</f>
        <v>Employees Compensation Insurance Premiums</v>
      </c>
      <c r="E1764" s="309" t="s">
        <v>178</v>
      </c>
      <c r="F1764" s="501">
        <v>2510</v>
      </c>
    </row>
    <row r="1765" spans="1:6" x14ac:dyDescent="0.25">
      <c r="A1765" s="308">
        <v>43281</v>
      </c>
      <c r="B1765" s="309" t="s">
        <v>485</v>
      </c>
      <c r="C1765" s="309" t="s">
        <v>492</v>
      </c>
      <c r="D1765" s="136" t="str">
        <f t="array" ref="D1765">IF(E1765=0,0,(INDEX(AccountCodes[ACCOUNT NAME],MATCH(E1765,AccountCodes[NGAS CODE],0))))</f>
        <v>Employees Compensation Insurance Premiums</v>
      </c>
      <c r="E1765" s="309" t="s">
        <v>178</v>
      </c>
      <c r="F1765" s="501">
        <v>2510</v>
      </c>
    </row>
    <row r="1766" spans="1:6" x14ac:dyDescent="0.25">
      <c r="A1766" s="308">
        <v>43312</v>
      </c>
      <c r="B1766" s="309" t="s">
        <v>485</v>
      </c>
      <c r="C1766" s="309" t="s">
        <v>492</v>
      </c>
      <c r="D1766" s="136" t="str">
        <f t="array" ref="D1766">IF(E1766=0,0,(INDEX(AccountCodes[ACCOUNT NAME],MATCH(E1766,AccountCodes[NGAS CODE],0))))</f>
        <v>Employees Compensation Insurance Premiums</v>
      </c>
      <c r="E1766" s="309" t="s">
        <v>178</v>
      </c>
      <c r="F1766" s="501">
        <v>2510</v>
      </c>
    </row>
    <row r="1767" spans="1:6" x14ac:dyDescent="0.25">
      <c r="A1767" s="308">
        <v>43343</v>
      </c>
      <c r="B1767" s="309" t="s">
        <v>485</v>
      </c>
      <c r="C1767" s="309" t="s">
        <v>492</v>
      </c>
      <c r="D1767" s="136" t="str">
        <f t="array" ref="D1767">IF(E1767=0,0,(INDEX(AccountCodes[ACCOUNT NAME],MATCH(E1767,AccountCodes[NGAS CODE],0))))</f>
        <v>Employees Compensation Insurance Premiums</v>
      </c>
      <c r="E1767" s="309" t="s">
        <v>178</v>
      </c>
      <c r="F1767" s="501">
        <v>2510</v>
      </c>
    </row>
    <row r="1768" spans="1:6" x14ac:dyDescent="0.25">
      <c r="A1768" s="308">
        <v>43373</v>
      </c>
      <c r="B1768" s="309" t="s">
        <v>485</v>
      </c>
      <c r="C1768" s="309" t="s">
        <v>492</v>
      </c>
      <c r="D1768" s="136" t="str">
        <f t="array" ref="D1768">IF(E1768=0,0,(INDEX(AccountCodes[ACCOUNT NAME],MATCH(E1768,AccountCodes[NGAS CODE],0))))</f>
        <v>Employees Compensation Insurance Premiums</v>
      </c>
      <c r="E1768" s="309" t="s">
        <v>178</v>
      </c>
      <c r="F1768" s="501">
        <v>2510</v>
      </c>
    </row>
    <row r="1769" spans="1:6" x14ac:dyDescent="0.25">
      <c r="A1769" s="308">
        <v>43404</v>
      </c>
      <c r="B1769" s="309" t="s">
        <v>485</v>
      </c>
      <c r="C1769" s="309" t="s">
        <v>492</v>
      </c>
      <c r="D1769" s="136" t="str">
        <f t="array" ref="D1769">IF(E1769=0,0,(INDEX(AccountCodes[ACCOUNT NAME],MATCH(E1769,AccountCodes[NGAS CODE],0))))</f>
        <v>Employees Compensation Insurance Premiums</v>
      </c>
      <c r="E1769" s="309" t="s">
        <v>178</v>
      </c>
      <c r="F1769" s="501">
        <v>2510</v>
      </c>
    </row>
    <row r="1770" spans="1:6" x14ac:dyDescent="0.25">
      <c r="A1770" s="308">
        <v>43434</v>
      </c>
      <c r="B1770" s="309" t="s">
        <v>485</v>
      </c>
      <c r="C1770" s="309" t="s">
        <v>492</v>
      </c>
      <c r="D1770" s="136" t="str">
        <f t="array" ref="D1770">IF(E1770=0,0,(INDEX(AccountCodes[ACCOUNT NAME],MATCH(E1770,AccountCodes[NGAS CODE],0))))</f>
        <v>Employees Compensation Insurance Premiums</v>
      </c>
      <c r="E1770" s="309" t="s">
        <v>178</v>
      </c>
      <c r="F1770" s="501">
        <v>2510</v>
      </c>
    </row>
    <row r="1771" spans="1:6" x14ac:dyDescent="0.25">
      <c r="A1771" s="308">
        <v>43465</v>
      </c>
      <c r="B1771" s="309" t="s">
        <v>485</v>
      </c>
      <c r="C1771" s="309" t="s">
        <v>492</v>
      </c>
      <c r="D1771" s="136" t="str">
        <f t="array" ref="D1771">IF(E1771=0,0,(INDEX(AccountCodes[ACCOUNT NAME],MATCH(E1771,AccountCodes[NGAS CODE],0))))</f>
        <v>Employees Compensation Insurance Premiums</v>
      </c>
      <c r="E1771" s="309" t="s">
        <v>178</v>
      </c>
      <c r="F1771" s="501">
        <v>2510</v>
      </c>
    </row>
    <row r="1772" spans="1:6" x14ac:dyDescent="0.25">
      <c r="A1772" s="308">
        <v>43131</v>
      </c>
      <c r="B1772" s="309" t="s">
        <v>485</v>
      </c>
      <c r="C1772" s="309" t="s">
        <v>492</v>
      </c>
      <c r="D1772" s="136" t="str">
        <f t="array" ref="D1772">IF(E1772=0,0,(INDEX(AccountCodes[ACCOUNT NAME],MATCH(E1772,AccountCodes[NGAS CODE],0))))</f>
        <v>Traveling Expenses-Local</v>
      </c>
      <c r="E1772" s="309" t="s">
        <v>223</v>
      </c>
      <c r="F1772" s="501">
        <v>2000</v>
      </c>
    </row>
    <row r="1773" spans="1:6" x14ac:dyDescent="0.25">
      <c r="A1773" s="308">
        <v>43159</v>
      </c>
      <c r="B1773" s="309" t="s">
        <v>485</v>
      </c>
      <c r="C1773" s="309" t="s">
        <v>492</v>
      </c>
      <c r="D1773" s="136" t="str">
        <f t="array" ref="D1773">IF(E1773=0,0,(INDEX(AccountCodes[ACCOUNT NAME],MATCH(E1773,AccountCodes[NGAS CODE],0))))</f>
        <v>Traveling Expenses-Local</v>
      </c>
      <c r="E1773" s="309" t="s">
        <v>223</v>
      </c>
      <c r="F1773" s="501">
        <v>2000</v>
      </c>
    </row>
    <row r="1774" spans="1:6" x14ac:dyDescent="0.25">
      <c r="A1774" s="308">
        <v>43190</v>
      </c>
      <c r="B1774" s="309" t="s">
        <v>485</v>
      </c>
      <c r="C1774" s="309" t="s">
        <v>492</v>
      </c>
      <c r="D1774" s="136" t="str">
        <f t="array" ref="D1774">IF(E1774=0,0,(INDEX(AccountCodes[ACCOUNT NAME],MATCH(E1774,AccountCodes[NGAS CODE],0))))</f>
        <v>Traveling Expenses-Local</v>
      </c>
      <c r="E1774" s="309" t="s">
        <v>223</v>
      </c>
      <c r="F1774" s="501">
        <v>2000</v>
      </c>
    </row>
    <row r="1775" spans="1:6" x14ac:dyDescent="0.25">
      <c r="A1775" s="308">
        <v>43220</v>
      </c>
      <c r="B1775" s="309" t="s">
        <v>485</v>
      </c>
      <c r="C1775" s="309" t="s">
        <v>492</v>
      </c>
      <c r="D1775" s="136" t="str">
        <f t="array" ref="D1775">IF(E1775=0,0,(INDEX(AccountCodes[ACCOUNT NAME],MATCH(E1775,AccountCodes[NGAS CODE],0))))</f>
        <v>Traveling Expenses-Local</v>
      </c>
      <c r="E1775" s="309" t="s">
        <v>223</v>
      </c>
      <c r="F1775" s="501">
        <v>2000</v>
      </c>
    </row>
    <row r="1776" spans="1:6" x14ac:dyDescent="0.25">
      <c r="A1776" s="308">
        <v>43251</v>
      </c>
      <c r="B1776" s="309" t="s">
        <v>485</v>
      </c>
      <c r="C1776" s="309" t="s">
        <v>492</v>
      </c>
      <c r="D1776" s="136" t="str">
        <f t="array" ref="D1776">IF(E1776=0,0,(INDEX(AccountCodes[ACCOUNT NAME],MATCH(E1776,AccountCodes[NGAS CODE],0))))</f>
        <v>Traveling Expenses-Local</v>
      </c>
      <c r="E1776" s="309" t="s">
        <v>223</v>
      </c>
      <c r="F1776" s="501">
        <v>2000</v>
      </c>
    </row>
    <row r="1777" spans="1:6" x14ac:dyDescent="0.25">
      <c r="A1777" s="308">
        <v>43281</v>
      </c>
      <c r="B1777" s="309" t="s">
        <v>485</v>
      </c>
      <c r="C1777" s="309" t="s">
        <v>492</v>
      </c>
      <c r="D1777" s="136" t="str">
        <f t="array" ref="D1777">IF(E1777=0,0,(INDEX(AccountCodes[ACCOUNT NAME],MATCH(E1777,AccountCodes[NGAS CODE],0))))</f>
        <v>Traveling Expenses-Local</v>
      </c>
      <c r="E1777" s="309" t="s">
        <v>223</v>
      </c>
      <c r="F1777" s="501">
        <v>2000</v>
      </c>
    </row>
    <row r="1778" spans="1:6" x14ac:dyDescent="0.25">
      <c r="A1778" s="308">
        <v>43312</v>
      </c>
      <c r="B1778" s="309" t="s">
        <v>485</v>
      </c>
      <c r="C1778" s="309" t="s">
        <v>492</v>
      </c>
      <c r="D1778" s="136" t="str">
        <f t="array" ref="D1778">IF(E1778=0,0,(INDEX(AccountCodes[ACCOUNT NAME],MATCH(E1778,AccountCodes[NGAS CODE],0))))</f>
        <v>Traveling Expenses-Local</v>
      </c>
      <c r="E1778" s="309" t="s">
        <v>223</v>
      </c>
      <c r="F1778" s="501">
        <v>2000</v>
      </c>
    </row>
    <row r="1779" spans="1:6" x14ac:dyDescent="0.25">
      <c r="A1779" s="308">
        <v>43343</v>
      </c>
      <c r="B1779" s="309" t="s">
        <v>485</v>
      </c>
      <c r="C1779" s="309" t="s">
        <v>492</v>
      </c>
      <c r="D1779" s="136" t="str">
        <f t="array" ref="D1779">IF(E1779=0,0,(INDEX(AccountCodes[ACCOUNT NAME],MATCH(E1779,AccountCodes[NGAS CODE],0))))</f>
        <v>Traveling Expenses-Local</v>
      </c>
      <c r="E1779" s="309" t="s">
        <v>223</v>
      </c>
      <c r="F1779" s="501">
        <v>2000</v>
      </c>
    </row>
    <row r="1780" spans="1:6" x14ac:dyDescent="0.25">
      <c r="A1780" s="308">
        <v>43373</v>
      </c>
      <c r="B1780" s="309" t="s">
        <v>485</v>
      </c>
      <c r="C1780" s="309" t="s">
        <v>492</v>
      </c>
      <c r="D1780" s="136" t="str">
        <f t="array" ref="D1780">IF(E1780=0,0,(INDEX(AccountCodes[ACCOUNT NAME],MATCH(E1780,AccountCodes[NGAS CODE],0))))</f>
        <v>Traveling Expenses-Local</v>
      </c>
      <c r="E1780" s="309" t="s">
        <v>223</v>
      </c>
      <c r="F1780" s="501">
        <v>2000</v>
      </c>
    </row>
    <row r="1781" spans="1:6" x14ac:dyDescent="0.25">
      <c r="A1781" s="308">
        <v>43404</v>
      </c>
      <c r="B1781" s="309" t="s">
        <v>485</v>
      </c>
      <c r="C1781" s="309" t="s">
        <v>492</v>
      </c>
      <c r="D1781" s="136" t="str">
        <f t="array" ref="D1781">IF(E1781=0,0,(INDEX(AccountCodes[ACCOUNT NAME],MATCH(E1781,AccountCodes[NGAS CODE],0))))</f>
        <v>Traveling Expenses-Local</v>
      </c>
      <c r="E1781" s="309" t="s">
        <v>223</v>
      </c>
      <c r="F1781" s="501">
        <v>2000</v>
      </c>
    </row>
    <row r="1782" spans="1:6" x14ac:dyDescent="0.25">
      <c r="A1782" s="308">
        <v>43434</v>
      </c>
      <c r="B1782" s="309" t="s">
        <v>485</v>
      </c>
      <c r="C1782" s="309" t="s">
        <v>492</v>
      </c>
      <c r="D1782" s="136" t="str">
        <f t="array" ref="D1782">IF(E1782=0,0,(INDEX(AccountCodes[ACCOUNT NAME],MATCH(E1782,AccountCodes[NGAS CODE],0))))</f>
        <v>Traveling Expenses-Local</v>
      </c>
      <c r="E1782" s="309" t="s">
        <v>223</v>
      </c>
      <c r="F1782" s="501">
        <v>2000</v>
      </c>
    </row>
    <row r="1783" spans="1:6" x14ac:dyDescent="0.25">
      <c r="A1783" s="308">
        <v>43465</v>
      </c>
      <c r="B1783" s="309" t="s">
        <v>485</v>
      </c>
      <c r="C1783" s="309" t="s">
        <v>492</v>
      </c>
      <c r="D1783" s="136" t="str">
        <f t="array" ref="D1783">IF(E1783=0,0,(INDEX(AccountCodes[ACCOUNT NAME],MATCH(E1783,AccountCodes[NGAS CODE],0))))</f>
        <v>Traveling Expenses-Local</v>
      </c>
      <c r="E1783" s="309" t="s">
        <v>223</v>
      </c>
      <c r="F1783" s="501">
        <v>2000</v>
      </c>
    </row>
    <row r="1784" spans="1:6" x14ac:dyDescent="0.25">
      <c r="A1784" s="308">
        <v>43131</v>
      </c>
      <c r="B1784" s="309" t="s">
        <v>485</v>
      </c>
      <c r="C1784" s="309" t="s">
        <v>492</v>
      </c>
      <c r="D1784" s="136" t="str">
        <f t="array" ref="D1784">IF(E1784=0,0,(INDEX(AccountCodes[ACCOUNT NAME],MATCH(E1784,AccountCodes[NGAS CODE],0))))</f>
        <v>Office Supplies Expenses</v>
      </c>
      <c r="E1784" s="309" t="s">
        <v>225</v>
      </c>
      <c r="F1784" s="501">
        <v>15000</v>
      </c>
    </row>
    <row r="1785" spans="1:6" x14ac:dyDescent="0.25">
      <c r="A1785" s="308">
        <v>43220</v>
      </c>
      <c r="B1785" s="309" t="s">
        <v>485</v>
      </c>
      <c r="C1785" s="309" t="s">
        <v>492</v>
      </c>
      <c r="D1785" s="136" t="str">
        <f t="array" ref="D1785">IF(E1785=0,0,(INDEX(AccountCodes[ACCOUNT NAME],MATCH(E1785,AccountCodes[NGAS CODE],0))))</f>
        <v>Office Supplies Expenses</v>
      </c>
      <c r="E1785" s="309" t="s">
        <v>225</v>
      </c>
      <c r="F1785" s="501">
        <v>10000</v>
      </c>
    </row>
    <row r="1786" spans="1:6" x14ac:dyDescent="0.25">
      <c r="A1786" s="308">
        <v>43312</v>
      </c>
      <c r="B1786" s="309" t="s">
        <v>485</v>
      </c>
      <c r="C1786" s="309" t="s">
        <v>492</v>
      </c>
      <c r="D1786" s="136" t="str">
        <f t="array" ref="D1786">IF(E1786=0,0,(INDEX(AccountCodes[ACCOUNT NAME],MATCH(E1786,AccountCodes[NGAS CODE],0))))</f>
        <v>Office Supplies Expenses</v>
      </c>
      <c r="E1786" s="309" t="s">
        <v>225</v>
      </c>
      <c r="F1786" s="501">
        <v>10000</v>
      </c>
    </row>
    <row r="1787" spans="1:6" x14ac:dyDescent="0.25">
      <c r="A1787" s="308">
        <v>43404</v>
      </c>
      <c r="B1787" s="309" t="s">
        <v>485</v>
      </c>
      <c r="C1787" s="309" t="s">
        <v>492</v>
      </c>
      <c r="D1787" s="136" t="str">
        <f t="array" ref="D1787">IF(E1787=0,0,(INDEX(AccountCodes[ACCOUNT NAME],MATCH(E1787,AccountCodes[NGAS CODE],0))))</f>
        <v>Office Supplies Expenses</v>
      </c>
      <c r="E1787" s="309" t="s">
        <v>225</v>
      </c>
      <c r="F1787" s="501">
        <v>5000</v>
      </c>
    </row>
    <row r="1788" spans="1:6" x14ac:dyDescent="0.25">
      <c r="A1788" s="308">
        <v>43131</v>
      </c>
      <c r="B1788" s="309" t="s">
        <v>485</v>
      </c>
      <c r="C1788" s="309" t="s">
        <v>492</v>
      </c>
      <c r="D1788" s="136" t="str">
        <f t="array" ref="D1788">IF(E1788=0,0,(INDEX(AccountCodes[ACCOUNT NAME],MATCH(E1788,AccountCodes[NGAS CODE],0))))</f>
        <v>Fuel, Oil and Lubricants Expenses</v>
      </c>
      <c r="E1788" s="309" t="s">
        <v>229</v>
      </c>
      <c r="F1788" s="501">
        <v>15000</v>
      </c>
    </row>
    <row r="1789" spans="1:6" x14ac:dyDescent="0.25">
      <c r="A1789" s="308">
        <v>43159</v>
      </c>
      <c r="B1789" s="309" t="s">
        <v>485</v>
      </c>
      <c r="C1789" s="309" t="s">
        <v>492</v>
      </c>
      <c r="D1789" s="136" t="str">
        <f t="array" ref="D1789">IF(E1789=0,0,(INDEX(AccountCodes[ACCOUNT NAME],MATCH(E1789,AccountCodes[NGAS CODE],0))))</f>
        <v>Fuel, Oil and Lubricants Expenses</v>
      </c>
      <c r="E1789" s="309" t="s">
        <v>229</v>
      </c>
      <c r="F1789" s="501">
        <v>15000</v>
      </c>
    </row>
    <row r="1790" spans="1:6" x14ac:dyDescent="0.25">
      <c r="A1790" s="308">
        <v>43190</v>
      </c>
      <c r="B1790" s="309" t="s">
        <v>485</v>
      </c>
      <c r="C1790" s="309" t="s">
        <v>492</v>
      </c>
      <c r="D1790" s="136" t="str">
        <f t="array" ref="D1790">IF(E1790=0,0,(INDEX(AccountCodes[ACCOUNT NAME],MATCH(E1790,AccountCodes[NGAS CODE],0))))</f>
        <v>Fuel, Oil and Lubricants Expenses</v>
      </c>
      <c r="E1790" s="309" t="s">
        <v>229</v>
      </c>
      <c r="F1790" s="501">
        <v>15000</v>
      </c>
    </row>
    <row r="1791" spans="1:6" x14ac:dyDescent="0.25">
      <c r="A1791" s="308">
        <v>43220</v>
      </c>
      <c r="B1791" s="309" t="s">
        <v>485</v>
      </c>
      <c r="C1791" s="309" t="s">
        <v>492</v>
      </c>
      <c r="D1791" s="136" t="str">
        <f t="array" ref="D1791">IF(E1791=0,0,(INDEX(AccountCodes[ACCOUNT NAME],MATCH(E1791,AccountCodes[NGAS CODE],0))))</f>
        <v>Fuel, Oil and Lubricants Expenses</v>
      </c>
      <c r="E1791" s="309" t="s">
        <v>229</v>
      </c>
      <c r="F1791" s="501">
        <v>15000</v>
      </c>
    </row>
    <row r="1792" spans="1:6" x14ac:dyDescent="0.25">
      <c r="A1792" s="308">
        <v>43251</v>
      </c>
      <c r="B1792" s="309" t="s">
        <v>485</v>
      </c>
      <c r="C1792" s="309" t="s">
        <v>492</v>
      </c>
      <c r="D1792" s="136" t="str">
        <f t="array" ref="D1792">IF(E1792=0,0,(INDEX(AccountCodes[ACCOUNT NAME],MATCH(E1792,AccountCodes[NGAS CODE],0))))</f>
        <v>Fuel, Oil and Lubricants Expenses</v>
      </c>
      <c r="E1792" s="309" t="s">
        <v>229</v>
      </c>
      <c r="F1792" s="501">
        <v>12000</v>
      </c>
    </row>
    <row r="1793" spans="1:6" x14ac:dyDescent="0.25">
      <c r="A1793" s="308">
        <v>43281</v>
      </c>
      <c r="B1793" s="309" t="s">
        <v>485</v>
      </c>
      <c r="C1793" s="309" t="s">
        <v>492</v>
      </c>
      <c r="D1793" s="136" t="str">
        <f t="array" ref="D1793">IF(E1793=0,0,(INDEX(AccountCodes[ACCOUNT NAME],MATCH(E1793,AccountCodes[NGAS CODE],0))))</f>
        <v>Fuel, Oil and Lubricants Expenses</v>
      </c>
      <c r="E1793" s="309" t="s">
        <v>229</v>
      </c>
      <c r="F1793" s="501">
        <v>50000</v>
      </c>
    </row>
    <row r="1794" spans="1:6" x14ac:dyDescent="0.25">
      <c r="A1794" s="308">
        <v>43312</v>
      </c>
      <c r="B1794" s="309" t="s">
        <v>485</v>
      </c>
      <c r="C1794" s="309" t="s">
        <v>492</v>
      </c>
      <c r="D1794" s="136" t="str">
        <f t="array" ref="D1794">IF(E1794=0,0,(INDEX(AccountCodes[ACCOUNT NAME],MATCH(E1794,AccountCodes[NGAS CODE],0))))</f>
        <v>Fuel, Oil and Lubricants Expenses</v>
      </c>
      <c r="E1794" s="309" t="s">
        <v>229</v>
      </c>
      <c r="F1794" s="501">
        <v>10000</v>
      </c>
    </row>
    <row r="1795" spans="1:6" x14ac:dyDescent="0.25">
      <c r="A1795" s="308">
        <v>43343</v>
      </c>
      <c r="B1795" s="309" t="s">
        <v>485</v>
      </c>
      <c r="C1795" s="309" t="s">
        <v>492</v>
      </c>
      <c r="D1795" s="136" t="str">
        <f t="array" ref="D1795">IF(E1795=0,0,(INDEX(AccountCodes[ACCOUNT NAME],MATCH(E1795,AccountCodes[NGAS CODE],0))))</f>
        <v>Fuel, Oil and Lubricants Expenses</v>
      </c>
      <c r="E1795" s="309" t="s">
        <v>229</v>
      </c>
      <c r="F1795" s="501">
        <v>10000</v>
      </c>
    </row>
    <row r="1796" spans="1:6" x14ac:dyDescent="0.25">
      <c r="A1796" s="308">
        <v>43373</v>
      </c>
      <c r="B1796" s="309" t="s">
        <v>485</v>
      </c>
      <c r="C1796" s="309" t="s">
        <v>492</v>
      </c>
      <c r="D1796" s="136" t="str">
        <f t="array" ref="D1796">IF(E1796=0,0,(INDEX(AccountCodes[ACCOUNT NAME],MATCH(E1796,AccountCodes[NGAS CODE],0))))</f>
        <v>Fuel, Oil and Lubricants Expenses</v>
      </c>
      <c r="E1796" s="309" t="s">
        <v>229</v>
      </c>
      <c r="F1796" s="501">
        <v>10000</v>
      </c>
    </row>
    <row r="1797" spans="1:6" x14ac:dyDescent="0.25">
      <c r="A1797" s="308">
        <v>43404</v>
      </c>
      <c r="B1797" s="309" t="s">
        <v>485</v>
      </c>
      <c r="C1797" s="309" t="s">
        <v>492</v>
      </c>
      <c r="D1797" s="136" t="str">
        <f t="array" ref="D1797">IF(E1797=0,0,(INDEX(AccountCodes[ACCOUNT NAME],MATCH(E1797,AccountCodes[NGAS CODE],0))))</f>
        <v>Fuel, Oil and Lubricants Expenses</v>
      </c>
      <c r="E1797" s="309" t="s">
        <v>229</v>
      </c>
      <c r="F1797" s="501">
        <v>10000</v>
      </c>
    </row>
    <row r="1798" spans="1:6" x14ac:dyDescent="0.25">
      <c r="A1798" s="308">
        <v>43434</v>
      </c>
      <c r="B1798" s="309" t="s">
        <v>485</v>
      </c>
      <c r="C1798" s="309" t="s">
        <v>492</v>
      </c>
      <c r="D1798" s="136" t="str">
        <f t="array" ref="D1798">IF(E1798=0,0,(INDEX(AccountCodes[ACCOUNT NAME],MATCH(E1798,AccountCodes[NGAS CODE],0))))</f>
        <v>Fuel, Oil and Lubricants Expenses</v>
      </c>
      <c r="E1798" s="309" t="s">
        <v>229</v>
      </c>
      <c r="F1798" s="501">
        <v>20000</v>
      </c>
    </row>
    <row r="1799" spans="1:6" x14ac:dyDescent="0.25">
      <c r="A1799" s="308">
        <v>43465</v>
      </c>
      <c r="B1799" s="309" t="s">
        <v>485</v>
      </c>
      <c r="C1799" s="309" t="s">
        <v>492</v>
      </c>
      <c r="D1799" s="136" t="str">
        <f t="array" ref="D1799">IF(E1799=0,0,(INDEX(AccountCodes[ACCOUNT NAME],MATCH(E1799,AccountCodes[NGAS CODE],0))))</f>
        <v>Fuel, Oil and Lubricants Expenses</v>
      </c>
      <c r="E1799" s="309" t="s">
        <v>229</v>
      </c>
      <c r="F1799" s="501">
        <v>20000</v>
      </c>
    </row>
    <row r="1800" spans="1:6" x14ac:dyDescent="0.25">
      <c r="A1800" s="308">
        <v>43190</v>
      </c>
      <c r="B1800" s="309" t="s">
        <v>485</v>
      </c>
      <c r="C1800" s="309" t="s">
        <v>492</v>
      </c>
      <c r="D1800" s="136" t="str">
        <f t="array" ref="D1800">IF(E1800=0,0,(INDEX(AccountCodes[ACCOUNT NAME],MATCH(E1800,AccountCodes[NGAS CODE],0))))</f>
        <v>Other Supplies and Materials Expenses</v>
      </c>
      <c r="E1800" s="309" t="s">
        <v>231</v>
      </c>
      <c r="F1800" s="501">
        <v>3000</v>
      </c>
    </row>
    <row r="1801" spans="1:6" x14ac:dyDescent="0.25">
      <c r="A1801" s="308">
        <v>43281</v>
      </c>
      <c r="B1801" s="309" t="s">
        <v>485</v>
      </c>
      <c r="C1801" s="309" t="s">
        <v>492</v>
      </c>
      <c r="D1801" s="136" t="str">
        <f t="array" ref="D1801">IF(E1801=0,0,(INDEX(AccountCodes[ACCOUNT NAME],MATCH(E1801,AccountCodes[NGAS CODE],0))))</f>
        <v>Other Supplies and Materials Expenses</v>
      </c>
      <c r="E1801" s="309" t="s">
        <v>231</v>
      </c>
      <c r="F1801" s="501">
        <v>3000</v>
      </c>
    </row>
    <row r="1802" spans="1:6" x14ac:dyDescent="0.25">
      <c r="A1802" s="308">
        <v>43373</v>
      </c>
      <c r="B1802" s="309" t="s">
        <v>485</v>
      </c>
      <c r="C1802" s="309" t="s">
        <v>492</v>
      </c>
      <c r="D1802" s="136" t="str">
        <f t="array" ref="D1802">IF(E1802=0,0,(INDEX(AccountCodes[ACCOUNT NAME],MATCH(E1802,AccountCodes[NGAS CODE],0))))</f>
        <v>Other Supplies and Materials Expenses</v>
      </c>
      <c r="E1802" s="309" t="s">
        <v>231</v>
      </c>
      <c r="F1802" s="501">
        <v>3000</v>
      </c>
    </row>
    <row r="1803" spans="1:6" x14ac:dyDescent="0.25">
      <c r="A1803" s="308">
        <v>43465</v>
      </c>
      <c r="B1803" s="309" t="s">
        <v>485</v>
      </c>
      <c r="C1803" s="309" t="s">
        <v>492</v>
      </c>
      <c r="D1803" s="136" t="str">
        <f t="array" ref="D1803">IF(E1803=0,0,(INDEX(AccountCodes[ACCOUNT NAME],MATCH(E1803,AccountCodes[NGAS CODE],0))))</f>
        <v>Other Supplies and Materials Expenses</v>
      </c>
      <c r="E1803" s="309" t="s">
        <v>231</v>
      </c>
      <c r="F1803" s="501">
        <v>3000</v>
      </c>
    </row>
    <row r="1804" spans="1:6" x14ac:dyDescent="0.25">
      <c r="A1804" s="308">
        <v>43131</v>
      </c>
      <c r="B1804" s="309" t="s">
        <v>485</v>
      </c>
      <c r="C1804" s="309" t="s">
        <v>492</v>
      </c>
      <c r="D1804" s="136" t="str">
        <f t="array" ref="D1804">IF(E1804=0,0,(INDEX(AccountCodes[ACCOUNT NAME],MATCH(E1804,AccountCodes[NGAS CODE],0))))</f>
        <v>Water Expenses</v>
      </c>
      <c r="E1804" s="309" t="s">
        <v>232</v>
      </c>
      <c r="F1804" s="501">
        <v>400</v>
      </c>
    </row>
    <row r="1805" spans="1:6" x14ac:dyDescent="0.25">
      <c r="A1805" s="308">
        <v>43159</v>
      </c>
      <c r="B1805" s="309" t="s">
        <v>485</v>
      </c>
      <c r="C1805" s="309" t="s">
        <v>492</v>
      </c>
      <c r="D1805" s="136" t="str">
        <f t="array" ref="D1805">IF(E1805=0,0,(INDEX(AccountCodes[ACCOUNT NAME],MATCH(E1805,AccountCodes[NGAS CODE],0))))</f>
        <v>Water Expenses</v>
      </c>
      <c r="E1805" s="309" t="s">
        <v>232</v>
      </c>
      <c r="F1805" s="501">
        <v>400</v>
      </c>
    </row>
    <row r="1806" spans="1:6" x14ac:dyDescent="0.25">
      <c r="A1806" s="308">
        <v>43190</v>
      </c>
      <c r="B1806" s="309" t="s">
        <v>485</v>
      </c>
      <c r="C1806" s="309" t="s">
        <v>492</v>
      </c>
      <c r="D1806" s="136" t="str">
        <f t="array" ref="D1806">IF(E1806=0,0,(INDEX(AccountCodes[ACCOUNT NAME],MATCH(E1806,AccountCodes[NGAS CODE],0))))</f>
        <v>Water Expenses</v>
      </c>
      <c r="E1806" s="309" t="s">
        <v>232</v>
      </c>
      <c r="F1806" s="501">
        <v>400</v>
      </c>
    </row>
    <row r="1807" spans="1:6" x14ac:dyDescent="0.25">
      <c r="A1807" s="308">
        <v>43220</v>
      </c>
      <c r="B1807" s="309" t="s">
        <v>485</v>
      </c>
      <c r="C1807" s="309" t="s">
        <v>492</v>
      </c>
      <c r="D1807" s="136" t="str">
        <f t="array" ref="D1807">IF(E1807=0,0,(INDEX(AccountCodes[ACCOUNT NAME],MATCH(E1807,AccountCodes[NGAS CODE],0))))</f>
        <v>Water Expenses</v>
      </c>
      <c r="E1807" s="309" t="s">
        <v>232</v>
      </c>
      <c r="F1807" s="501">
        <v>400</v>
      </c>
    </row>
    <row r="1808" spans="1:6" x14ac:dyDescent="0.25">
      <c r="A1808" s="308">
        <v>43251</v>
      </c>
      <c r="B1808" s="309" t="s">
        <v>485</v>
      </c>
      <c r="C1808" s="309" t="s">
        <v>492</v>
      </c>
      <c r="D1808" s="136" t="str">
        <f t="array" ref="D1808">IF(E1808=0,0,(INDEX(AccountCodes[ACCOUNT NAME],MATCH(E1808,AccountCodes[NGAS CODE],0))))</f>
        <v>Water Expenses</v>
      </c>
      <c r="E1808" s="309" t="s">
        <v>232</v>
      </c>
      <c r="F1808" s="501">
        <v>400</v>
      </c>
    </row>
    <row r="1809" spans="1:6" x14ac:dyDescent="0.25">
      <c r="A1809" s="308">
        <v>43281</v>
      </c>
      <c r="B1809" s="309" t="s">
        <v>485</v>
      </c>
      <c r="C1809" s="309" t="s">
        <v>492</v>
      </c>
      <c r="D1809" s="136" t="str">
        <f t="array" ref="D1809">IF(E1809=0,0,(INDEX(AccountCodes[ACCOUNT NAME],MATCH(E1809,AccountCodes[NGAS CODE],0))))</f>
        <v>Water Expenses</v>
      </c>
      <c r="E1809" s="309" t="s">
        <v>232</v>
      </c>
      <c r="F1809" s="501">
        <v>400</v>
      </c>
    </row>
    <row r="1810" spans="1:6" x14ac:dyDescent="0.25">
      <c r="A1810" s="308">
        <v>43312</v>
      </c>
      <c r="B1810" s="309" t="s">
        <v>485</v>
      </c>
      <c r="C1810" s="309" t="s">
        <v>492</v>
      </c>
      <c r="D1810" s="136" t="str">
        <f t="array" ref="D1810">IF(E1810=0,0,(INDEX(AccountCodes[ACCOUNT NAME],MATCH(E1810,AccountCodes[NGAS CODE],0))))</f>
        <v>Water Expenses</v>
      </c>
      <c r="E1810" s="309" t="s">
        <v>232</v>
      </c>
      <c r="F1810" s="501">
        <v>400</v>
      </c>
    </row>
    <row r="1811" spans="1:6" x14ac:dyDescent="0.25">
      <c r="A1811" s="308">
        <v>43343</v>
      </c>
      <c r="B1811" s="309" t="s">
        <v>485</v>
      </c>
      <c r="C1811" s="309" t="s">
        <v>492</v>
      </c>
      <c r="D1811" s="136" t="str">
        <f t="array" ref="D1811">IF(E1811=0,0,(INDEX(AccountCodes[ACCOUNT NAME],MATCH(E1811,AccountCodes[NGAS CODE],0))))</f>
        <v>Water Expenses</v>
      </c>
      <c r="E1811" s="309" t="s">
        <v>232</v>
      </c>
      <c r="F1811" s="501">
        <v>400</v>
      </c>
    </row>
    <row r="1812" spans="1:6" x14ac:dyDescent="0.25">
      <c r="A1812" s="308">
        <v>43373</v>
      </c>
      <c r="B1812" s="309" t="s">
        <v>485</v>
      </c>
      <c r="C1812" s="309" t="s">
        <v>492</v>
      </c>
      <c r="D1812" s="136" t="str">
        <f t="array" ref="D1812">IF(E1812=0,0,(INDEX(AccountCodes[ACCOUNT NAME],MATCH(E1812,AccountCodes[NGAS CODE],0))))</f>
        <v>Water Expenses</v>
      </c>
      <c r="E1812" s="309" t="s">
        <v>232</v>
      </c>
      <c r="F1812" s="501">
        <v>400</v>
      </c>
    </row>
    <row r="1813" spans="1:6" x14ac:dyDescent="0.25">
      <c r="A1813" s="308">
        <v>43404</v>
      </c>
      <c r="B1813" s="309" t="s">
        <v>485</v>
      </c>
      <c r="C1813" s="309" t="s">
        <v>492</v>
      </c>
      <c r="D1813" s="136" t="str">
        <f t="array" ref="D1813">IF(E1813=0,0,(INDEX(AccountCodes[ACCOUNT NAME],MATCH(E1813,AccountCodes[NGAS CODE],0))))</f>
        <v>Water Expenses</v>
      </c>
      <c r="E1813" s="309" t="s">
        <v>232</v>
      </c>
      <c r="F1813" s="501">
        <v>400</v>
      </c>
    </row>
    <row r="1814" spans="1:6" x14ac:dyDescent="0.25">
      <c r="A1814" s="308">
        <v>43434</v>
      </c>
      <c r="B1814" s="309" t="s">
        <v>485</v>
      </c>
      <c r="C1814" s="309" t="s">
        <v>492</v>
      </c>
      <c r="D1814" s="136" t="str">
        <f t="array" ref="D1814">IF(E1814=0,0,(INDEX(AccountCodes[ACCOUNT NAME],MATCH(E1814,AccountCodes[NGAS CODE],0))))</f>
        <v>Water Expenses</v>
      </c>
      <c r="E1814" s="309" t="s">
        <v>232</v>
      </c>
      <c r="F1814" s="501">
        <v>400</v>
      </c>
    </row>
    <row r="1815" spans="1:6" x14ac:dyDescent="0.25">
      <c r="A1815" s="308">
        <v>43465</v>
      </c>
      <c r="B1815" s="309" t="s">
        <v>485</v>
      </c>
      <c r="C1815" s="309" t="s">
        <v>492</v>
      </c>
      <c r="D1815" s="136" t="str">
        <f t="array" ref="D1815">IF(E1815=0,0,(INDEX(AccountCodes[ACCOUNT NAME],MATCH(E1815,AccountCodes[NGAS CODE],0))))</f>
        <v>Water Expenses</v>
      </c>
      <c r="E1815" s="309" t="s">
        <v>232</v>
      </c>
      <c r="F1815" s="501">
        <v>400</v>
      </c>
    </row>
    <row r="1816" spans="1:6" x14ac:dyDescent="0.25">
      <c r="A1816" s="308">
        <v>43131</v>
      </c>
      <c r="B1816" s="309" t="s">
        <v>485</v>
      </c>
      <c r="C1816" s="309" t="s">
        <v>492</v>
      </c>
      <c r="D1816" s="136" t="str">
        <f t="array" ref="D1816">IF(E1816=0,0,(INDEX(AccountCodes[ACCOUNT NAME],MATCH(E1816,AccountCodes[NGAS CODE],0))))</f>
        <v>Electricity Expenses</v>
      </c>
      <c r="E1816" s="309" t="s">
        <v>233</v>
      </c>
      <c r="F1816" s="501">
        <v>27000</v>
      </c>
    </row>
    <row r="1817" spans="1:6" x14ac:dyDescent="0.25">
      <c r="A1817" s="308">
        <v>43159</v>
      </c>
      <c r="B1817" s="309" t="s">
        <v>485</v>
      </c>
      <c r="C1817" s="309" t="s">
        <v>492</v>
      </c>
      <c r="D1817" s="136" t="str">
        <f t="array" ref="D1817">IF(E1817=0,0,(INDEX(AccountCodes[ACCOUNT NAME],MATCH(E1817,AccountCodes[NGAS CODE],0))))</f>
        <v>Electricity Expenses</v>
      </c>
      <c r="E1817" s="309" t="s">
        <v>233</v>
      </c>
      <c r="F1817" s="501">
        <v>27000</v>
      </c>
    </row>
    <row r="1818" spans="1:6" x14ac:dyDescent="0.25">
      <c r="A1818" s="308">
        <v>43190</v>
      </c>
      <c r="B1818" s="309" t="s">
        <v>485</v>
      </c>
      <c r="C1818" s="309" t="s">
        <v>492</v>
      </c>
      <c r="D1818" s="136" t="str">
        <f t="array" ref="D1818">IF(E1818=0,0,(INDEX(AccountCodes[ACCOUNT NAME],MATCH(E1818,AccountCodes[NGAS CODE],0))))</f>
        <v>Electricity Expenses</v>
      </c>
      <c r="E1818" s="309" t="s">
        <v>233</v>
      </c>
      <c r="F1818" s="501">
        <v>27000</v>
      </c>
    </row>
    <row r="1819" spans="1:6" x14ac:dyDescent="0.25">
      <c r="A1819" s="308">
        <v>43220</v>
      </c>
      <c r="B1819" s="309" t="s">
        <v>485</v>
      </c>
      <c r="C1819" s="309" t="s">
        <v>492</v>
      </c>
      <c r="D1819" s="136" t="str">
        <f t="array" ref="D1819">IF(E1819=0,0,(INDEX(AccountCodes[ACCOUNT NAME],MATCH(E1819,AccountCodes[NGAS CODE],0))))</f>
        <v>Electricity Expenses</v>
      </c>
      <c r="E1819" s="309" t="s">
        <v>233</v>
      </c>
      <c r="F1819" s="501">
        <v>27000</v>
      </c>
    </row>
    <row r="1820" spans="1:6" x14ac:dyDescent="0.25">
      <c r="A1820" s="308">
        <v>43251</v>
      </c>
      <c r="B1820" s="309" t="s">
        <v>485</v>
      </c>
      <c r="C1820" s="309" t="s">
        <v>492</v>
      </c>
      <c r="D1820" s="136" t="str">
        <f t="array" ref="D1820">IF(E1820=0,0,(INDEX(AccountCodes[ACCOUNT NAME],MATCH(E1820,AccountCodes[NGAS CODE],0))))</f>
        <v>Electricity Expenses</v>
      </c>
      <c r="E1820" s="309" t="s">
        <v>233</v>
      </c>
      <c r="F1820" s="501">
        <v>27000</v>
      </c>
    </row>
    <row r="1821" spans="1:6" x14ac:dyDescent="0.25">
      <c r="A1821" s="308">
        <v>43281</v>
      </c>
      <c r="B1821" s="309" t="s">
        <v>485</v>
      </c>
      <c r="C1821" s="309" t="s">
        <v>492</v>
      </c>
      <c r="D1821" s="136" t="str">
        <f t="array" ref="D1821">IF(E1821=0,0,(INDEX(AccountCodes[ACCOUNT NAME],MATCH(E1821,AccountCodes[NGAS CODE],0))))</f>
        <v>Electricity Expenses</v>
      </c>
      <c r="E1821" s="309" t="s">
        <v>233</v>
      </c>
      <c r="F1821" s="501">
        <v>27000</v>
      </c>
    </row>
    <row r="1822" spans="1:6" x14ac:dyDescent="0.25">
      <c r="A1822" s="308">
        <v>43312</v>
      </c>
      <c r="B1822" s="309" t="s">
        <v>485</v>
      </c>
      <c r="C1822" s="309" t="s">
        <v>492</v>
      </c>
      <c r="D1822" s="136" t="str">
        <f t="array" ref="D1822">IF(E1822=0,0,(INDEX(AccountCodes[ACCOUNT NAME],MATCH(E1822,AccountCodes[NGAS CODE],0))))</f>
        <v>Electricity Expenses</v>
      </c>
      <c r="E1822" s="309" t="s">
        <v>233</v>
      </c>
      <c r="F1822" s="501">
        <v>27000</v>
      </c>
    </row>
    <row r="1823" spans="1:6" x14ac:dyDescent="0.25">
      <c r="A1823" s="308">
        <v>43343</v>
      </c>
      <c r="B1823" s="309" t="s">
        <v>485</v>
      </c>
      <c r="C1823" s="309" t="s">
        <v>492</v>
      </c>
      <c r="D1823" s="136" t="str">
        <f t="array" ref="D1823">IF(E1823=0,0,(INDEX(AccountCodes[ACCOUNT NAME],MATCH(E1823,AccountCodes[NGAS CODE],0))))</f>
        <v>Electricity Expenses</v>
      </c>
      <c r="E1823" s="309" t="s">
        <v>233</v>
      </c>
      <c r="F1823" s="501">
        <v>27000</v>
      </c>
    </row>
    <row r="1824" spans="1:6" x14ac:dyDescent="0.25">
      <c r="A1824" s="308">
        <v>43373</v>
      </c>
      <c r="B1824" s="309" t="s">
        <v>485</v>
      </c>
      <c r="C1824" s="309" t="s">
        <v>492</v>
      </c>
      <c r="D1824" s="136" t="str">
        <f t="array" ref="D1824">IF(E1824=0,0,(INDEX(AccountCodes[ACCOUNT NAME],MATCH(E1824,AccountCodes[NGAS CODE],0))))</f>
        <v>Electricity Expenses</v>
      </c>
      <c r="E1824" s="309" t="s">
        <v>233</v>
      </c>
      <c r="F1824" s="501">
        <v>27000</v>
      </c>
    </row>
    <row r="1825" spans="1:6" x14ac:dyDescent="0.25">
      <c r="A1825" s="308">
        <v>43404</v>
      </c>
      <c r="B1825" s="309" t="s">
        <v>485</v>
      </c>
      <c r="C1825" s="309" t="s">
        <v>492</v>
      </c>
      <c r="D1825" s="136" t="str">
        <f t="array" ref="D1825">IF(E1825=0,0,(INDEX(AccountCodes[ACCOUNT NAME],MATCH(E1825,AccountCodes[NGAS CODE],0))))</f>
        <v>Electricity Expenses</v>
      </c>
      <c r="E1825" s="309" t="s">
        <v>233</v>
      </c>
      <c r="F1825" s="501">
        <v>27000</v>
      </c>
    </row>
    <row r="1826" spans="1:6" x14ac:dyDescent="0.25">
      <c r="A1826" s="308">
        <v>43434</v>
      </c>
      <c r="B1826" s="309" t="s">
        <v>485</v>
      </c>
      <c r="C1826" s="309" t="s">
        <v>492</v>
      </c>
      <c r="D1826" s="136" t="str">
        <f t="array" ref="D1826">IF(E1826=0,0,(INDEX(AccountCodes[ACCOUNT NAME],MATCH(E1826,AccountCodes[NGAS CODE],0))))</f>
        <v>Electricity Expenses</v>
      </c>
      <c r="E1826" s="309" t="s">
        <v>233</v>
      </c>
      <c r="F1826" s="501">
        <v>27000</v>
      </c>
    </row>
    <row r="1827" spans="1:6" x14ac:dyDescent="0.25">
      <c r="A1827" s="308">
        <v>43465</v>
      </c>
      <c r="B1827" s="309" t="s">
        <v>485</v>
      </c>
      <c r="C1827" s="309" t="s">
        <v>492</v>
      </c>
      <c r="D1827" s="136" t="str">
        <f t="array" ref="D1827">IF(E1827=0,0,(INDEX(AccountCodes[ACCOUNT NAME],MATCH(E1827,AccountCodes[NGAS CODE],0))))</f>
        <v>Electricity Expenses</v>
      </c>
      <c r="E1827" s="309" t="s">
        <v>233</v>
      </c>
      <c r="F1827" s="501">
        <v>27000</v>
      </c>
    </row>
    <row r="1828" spans="1:6" x14ac:dyDescent="0.25">
      <c r="A1828" s="308">
        <v>43190</v>
      </c>
      <c r="B1828" s="309" t="s">
        <v>485</v>
      </c>
      <c r="C1828" s="309" t="s">
        <v>492</v>
      </c>
      <c r="D1828" s="136" t="str">
        <f t="array" ref="D1828">IF(E1828=0,0,(INDEX(AccountCodes[ACCOUNT NAME],MATCH(E1828,AccountCodes[NGAS CODE],0))))</f>
        <v>Repairs and Maintenance-Transportation Equipment - Motor Vehicles</v>
      </c>
      <c r="E1828" s="309" t="s">
        <v>262</v>
      </c>
      <c r="F1828" s="501">
        <v>30000</v>
      </c>
    </row>
    <row r="1829" spans="1:6" x14ac:dyDescent="0.25">
      <c r="A1829" s="308">
        <v>43312</v>
      </c>
      <c r="B1829" s="309" t="s">
        <v>485</v>
      </c>
      <c r="C1829" s="309" t="s">
        <v>492</v>
      </c>
      <c r="D1829" s="136" t="str">
        <f t="array" ref="D1829">IF(E1829=0,0,(INDEX(AccountCodes[ACCOUNT NAME],MATCH(E1829,AccountCodes[NGAS CODE],0))))</f>
        <v>Repairs and Maintenance-Transportation Equipment - Motor Vehicles</v>
      </c>
      <c r="E1829" s="309" t="s">
        <v>262</v>
      </c>
      <c r="F1829" s="501">
        <v>20000</v>
      </c>
    </row>
    <row r="1830" spans="1:6" x14ac:dyDescent="0.25">
      <c r="A1830" s="308">
        <v>43404</v>
      </c>
      <c r="B1830" s="309" t="s">
        <v>485</v>
      </c>
      <c r="C1830" s="309" t="s">
        <v>492</v>
      </c>
      <c r="D1830" s="136" t="str">
        <f t="array" ref="D1830">IF(E1830=0,0,(INDEX(AccountCodes[ACCOUNT NAME],MATCH(E1830,AccountCodes[NGAS CODE],0))))</f>
        <v>Repairs and Maintenance-Transportation Equipment - Motor Vehicles</v>
      </c>
      <c r="E1830" s="309" t="s">
        <v>262</v>
      </c>
      <c r="F1830" s="501">
        <v>20000</v>
      </c>
    </row>
    <row r="1831" spans="1:6" x14ac:dyDescent="0.25">
      <c r="A1831" s="308">
        <v>43220</v>
      </c>
      <c r="B1831" s="309" t="s">
        <v>485</v>
      </c>
      <c r="C1831" s="309" t="s">
        <v>492</v>
      </c>
      <c r="D1831" s="136" t="str">
        <f t="array" ref="D1831">IF(E1831=0,0,(INDEX(AccountCodes[ACCOUNT NAME],MATCH(E1831,AccountCodes[NGAS CODE],0))))</f>
        <v>Repairs and Maintenance-Other Property, Plant and Equipment - Other Property, Plant and Equipment</v>
      </c>
      <c r="E1831" s="309" t="s">
        <v>265</v>
      </c>
      <c r="F1831" s="501">
        <v>50000</v>
      </c>
    </row>
    <row r="1832" spans="1:6" x14ac:dyDescent="0.25">
      <c r="A1832" s="308">
        <v>43343</v>
      </c>
      <c r="B1832" s="309" t="s">
        <v>485</v>
      </c>
      <c r="C1832" s="309" t="s">
        <v>492</v>
      </c>
      <c r="D1832" s="136" t="str">
        <f t="array" ref="D1832">IF(E1832=0,0,(INDEX(AccountCodes[ACCOUNT NAME],MATCH(E1832,AccountCodes[NGAS CODE],0))))</f>
        <v>Repairs and Maintenance-Other Property, Plant and Equipment - Other Property, Plant and Equipment</v>
      </c>
      <c r="E1832" s="309" t="s">
        <v>265</v>
      </c>
      <c r="F1832" s="501">
        <v>50000</v>
      </c>
    </row>
    <row r="1833" spans="1:6" x14ac:dyDescent="0.25">
      <c r="A1833" s="308">
        <v>43131</v>
      </c>
      <c r="B1833" s="309" t="s">
        <v>485</v>
      </c>
      <c r="C1833" s="309" t="s">
        <v>492</v>
      </c>
      <c r="D1833" s="136" t="str">
        <f t="array" ref="D1833">IF(E1833=0,0,(INDEX(AccountCodes[ACCOUNT NAME],MATCH(E1833,AccountCodes[NGAS CODE],0))))</f>
        <v>Taxes, Duties and Licenses</v>
      </c>
      <c r="E1833" s="309" t="s">
        <v>272</v>
      </c>
      <c r="F1833" s="501">
        <v>5382.44</v>
      </c>
    </row>
    <row r="1834" spans="1:6" x14ac:dyDescent="0.25">
      <c r="A1834" s="308">
        <v>43190</v>
      </c>
      <c r="B1834" s="309" t="s">
        <v>485</v>
      </c>
      <c r="C1834" s="309" t="s">
        <v>492</v>
      </c>
      <c r="D1834" s="136" t="str">
        <f t="array" ref="D1834">IF(E1834=0,0,(INDEX(AccountCodes[ACCOUNT NAME],MATCH(E1834,AccountCodes[NGAS CODE],0))))</f>
        <v>Taxes, Duties and Licenses</v>
      </c>
      <c r="E1834" s="309" t="s">
        <v>272</v>
      </c>
      <c r="F1834" s="501">
        <v>1998.32</v>
      </c>
    </row>
    <row r="1835" spans="1:6" x14ac:dyDescent="0.25">
      <c r="A1835" s="308">
        <v>43251</v>
      </c>
      <c r="B1835" s="309" t="s">
        <v>485</v>
      </c>
      <c r="C1835" s="309" t="s">
        <v>492</v>
      </c>
      <c r="D1835" s="136" t="str">
        <f t="array" ref="D1835">IF(E1835=0,0,(INDEX(AccountCodes[ACCOUNT NAME],MATCH(E1835,AccountCodes[NGAS CODE],0))))</f>
        <v>Taxes, Duties and Licenses</v>
      </c>
      <c r="E1835" s="309" t="s">
        <v>272</v>
      </c>
      <c r="F1835" s="501">
        <v>4967.8500000000004</v>
      </c>
    </row>
    <row r="1836" spans="1:6" x14ac:dyDescent="0.25">
      <c r="A1836" s="308">
        <v>43312</v>
      </c>
      <c r="B1836" s="309" t="s">
        <v>485</v>
      </c>
      <c r="C1836" s="309" t="s">
        <v>492</v>
      </c>
      <c r="D1836" s="136" t="str">
        <f t="array" ref="D1836">IF(E1836=0,0,(INDEX(AccountCodes[ACCOUNT NAME],MATCH(E1836,AccountCodes[NGAS CODE],0))))</f>
        <v>Taxes, Duties and Licenses</v>
      </c>
      <c r="E1836" s="309" t="s">
        <v>272</v>
      </c>
      <c r="F1836" s="501">
        <v>1031.1600000000001</v>
      </c>
    </row>
    <row r="1837" spans="1:6" x14ac:dyDescent="0.25">
      <c r="A1837" s="308">
        <v>43343</v>
      </c>
      <c r="B1837" s="309" t="s">
        <v>485</v>
      </c>
      <c r="C1837" s="309" t="s">
        <v>492</v>
      </c>
      <c r="D1837" s="136" t="str">
        <f t="array" ref="D1837">IF(E1837=0,0,(INDEX(AccountCodes[ACCOUNT NAME],MATCH(E1837,AccountCodes[NGAS CODE],0))))</f>
        <v>Taxes, Duties and Licenses</v>
      </c>
      <c r="E1837" s="309" t="s">
        <v>272</v>
      </c>
      <c r="F1837" s="501">
        <v>2105.31</v>
      </c>
    </row>
    <row r="1838" spans="1:6" x14ac:dyDescent="0.25">
      <c r="A1838" s="308">
        <v>43373</v>
      </c>
      <c r="B1838" s="309" t="s">
        <v>485</v>
      </c>
      <c r="C1838" s="309" t="s">
        <v>492</v>
      </c>
      <c r="D1838" s="136" t="str">
        <f t="array" ref="D1838">IF(E1838=0,0,(INDEX(AccountCodes[ACCOUNT NAME],MATCH(E1838,AccountCodes[NGAS CODE],0))))</f>
        <v>Taxes, Duties and Licenses</v>
      </c>
      <c r="E1838" s="309" t="s">
        <v>272</v>
      </c>
      <c r="F1838" s="501">
        <v>3226.3</v>
      </c>
    </row>
    <row r="1839" spans="1:6" x14ac:dyDescent="0.25">
      <c r="A1839" s="308">
        <v>43404</v>
      </c>
      <c r="B1839" s="309" t="s">
        <v>485</v>
      </c>
      <c r="C1839" s="309" t="s">
        <v>492</v>
      </c>
      <c r="D1839" s="136" t="str">
        <f t="array" ref="D1839">IF(E1839=0,0,(INDEX(AccountCodes[ACCOUNT NAME],MATCH(E1839,AccountCodes[NGAS CODE],0))))</f>
        <v>Taxes, Duties and Licenses</v>
      </c>
      <c r="E1839" s="309" t="s">
        <v>272</v>
      </c>
      <c r="F1839" s="501">
        <v>2085.14</v>
      </c>
    </row>
    <row r="1840" spans="1:6" x14ac:dyDescent="0.25">
      <c r="A1840" s="308">
        <v>43220</v>
      </c>
      <c r="B1840" s="309" t="s">
        <v>485</v>
      </c>
      <c r="C1840" s="309" t="s">
        <v>492</v>
      </c>
      <c r="D1840" s="136" t="str">
        <f t="array" ref="D1840">IF(E1840=0,0,(INDEX(AccountCodes[ACCOUNT NAME],MATCH(E1840,AccountCodes[NGAS CODE],0))))</f>
        <v>Other Maintenance and Operating Expenses (Irrigator's Share/Remuneration/Subsidy)</v>
      </c>
      <c r="E1840" s="309" t="s">
        <v>333</v>
      </c>
      <c r="F1840" s="501">
        <v>768802.5</v>
      </c>
    </row>
    <row r="1841" spans="1:6" x14ac:dyDescent="0.25">
      <c r="A1841" s="308">
        <v>43251</v>
      </c>
      <c r="B1841" s="309" t="s">
        <v>485</v>
      </c>
      <c r="C1841" s="309" t="s">
        <v>492</v>
      </c>
      <c r="D1841" s="136" t="str">
        <f t="array" ref="D1841">IF(E1841=0,0,(INDEX(AccountCodes[ACCOUNT NAME],MATCH(E1841,AccountCodes[NGAS CODE],0))))</f>
        <v>Other Maintenance and Operating Expenses (Irrigator's Share/Remuneration/Subsidy)</v>
      </c>
      <c r="E1841" s="309" t="s">
        <v>333</v>
      </c>
      <c r="F1841" s="501">
        <v>393168.5</v>
      </c>
    </row>
    <row r="1842" spans="1:6" x14ac:dyDescent="0.25">
      <c r="A1842" s="308">
        <v>43281</v>
      </c>
      <c r="B1842" s="309" t="s">
        <v>485</v>
      </c>
      <c r="C1842" s="309" t="s">
        <v>492</v>
      </c>
      <c r="D1842" s="136" t="str">
        <f t="array" ref="D1842">IF(E1842=0,0,(INDEX(AccountCodes[ACCOUNT NAME],MATCH(E1842,AccountCodes[NGAS CODE],0))))</f>
        <v>Repairs and Maintenance-Infrastructure Assets - Other Infrastructure Assets (Irrigation Canal &amp; Laterals)</v>
      </c>
      <c r="E1842" s="309" t="s">
        <v>267</v>
      </c>
      <c r="F1842" s="501">
        <v>200000</v>
      </c>
    </row>
    <row r="1843" spans="1:6" x14ac:dyDescent="0.25">
      <c r="A1843" s="308">
        <v>43404</v>
      </c>
      <c r="B1843" s="309" t="s">
        <v>485</v>
      </c>
      <c r="C1843" s="309" t="s">
        <v>492</v>
      </c>
      <c r="D1843" s="136" t="str">
        <f t="array" ref="D1843">IF(E1843=0,0,(INDEX(AccountCodes[ACCOUNT NAME],MATCH(E1843,AccountCodes[NGAS CODE],0))))</f>
        <v>Repairs and Maintenance-Infrastructure Assets - Other Infrastructure Assets (Irrigation Canal &amp; Laterals)</v>
      </c>
      <c r="E1843" s="309" t="s">
        <v>267</v>
      </c>
      <c r="F1843" s="501">
        <v>100000</v>
      </c>
    </row>
    <row r="1844" spans="1:6" x14ac:dyDescent="0.25">
      <c r="A1844" s="308"/>
      <c r="D1844" s="136">
        <f t="array" ref="D1844">IF(E1844=0,0,(INDEX(AccountCodes[ACCOUNT NAME],MATCH(E1844,AccountCodes[NGAS CODE],0))))</f>
        <v>0</v>
      </c>
      <c r="E1844" s="309"/>
      <c r="F1844" s="501"/>
    </row>
    <row r="1845" spans="1:6" x14ac:dyDescent="0.25">
      <c r="A1845" s="308">
        <v>43131</v>
      </c>
      <c r="B1845" s="309" t="s">
        <v>485</v>
      </c>
      <c r="C1845" s="309" t="s">
        <v>506</v>
      </c>
      <c r="D1845" s="136" t="str">
        <f t="array" ref="D1845">IF(E1845=0,0,(INDEX(AccountCodes[ACCOUNT NAME],MATCH(E1845,AccountCodes[NGAS CODE],0))))</f>
        <v>Miscellaneous Income (Others)</v>
      </c>
      <c r="E1845" s="309" t="s">
        <v>160</v>
      </c>
      <c r="F1845" s="501">
        <v>126000</v>
      </c>
    </row>
    <row r="1846" spans="1:6" x14ac:dyDescent="0.25">
      <c r="A1846" s="308">
        <v>43159</v>
      </c>
      <c r="B1846" s="309" t="s">
        <v>485</v>
      </c>
      <c r="C1846" s="309" t="s">
        <v>506</v>
      </c>
      <c r="D1846" s="136" t="str">
        <f t="array" ref="D1846">IF(E1846=0,0,(INDEX(AccountCodes[ACCOUNT NAME],MATCH(E1846,AccountCodes[NGAS CODE],0))))</f>
        <v>Miscellaneous Income (Others)</v>
      </c>
      <c r="E1846" s="309" t="s">
        <v>160</v>
      </c>
      <c r="F1846" s="501">
        <v>376000</v>
      </c>
    </row>
    <row r="1847" spans="1:6" x14ac:dyDescent="0.25">
      <c r="A1847" s="308">
        <v>43190</v>
      </c>
      <c r="B1847" s="309" t="s">
        <v>485</v>
      </c>
      <c r="C1847" s="309" t="s">
        <v>506</v>
      </c>
      <c r="D1847" s="136" t="str">
        <f t="array" ref="D1847">IF(E1847=0,0,(INDEX(AccountCodes[ACCOUNT NAME],MATCH(E1847,AccountCodes[NGAS CODE],0))))</f>
        <v>Miscellaneous Income (Others)</v>
      </c>
      <c r="E1847" s="309" t="s">
        <v>160</v>
      </c>
      <c r="F1847" s="501">
        <v>269500</v>
      </c>
    </row>
    <row r="1848" spans="1:6" x14ac:dyDescent="0.25">
      <c r="A1848" s="308">
        <v>43220</v>
      </c>
      <c r="B1848" s="309" t="s">
        <v>485</v>
      </c>
      <c r="C1848" s="309" t="s">
        <v>506</v>
      </c>
      <c r="D1848" s="136" t="str">
        <f t="array" ref="D1848">IF(E1848=0,0,(INDEX(AccountCodes[ACCOUNT NAME],MATCH(E1848,AccountCodes[NGAS CODE],0))))</f>
        <v>Miscellaneous Income (Others)</v>
      </c>
      <c r="E1848" s="309" t="s">
        <v>160</v>
      </c>
      <c r="F1848" s="501">
        <v>165000</v>
      </c>
    </row>
    <row r="1849" spans="1:6" x14ac:dyDescent="0.25">
      <c r="A1849" s="308">
        <v>43251</v>
      </c>
      <c r="B1849" s="309" t="s">
        <v>485</v>
      </c>
      <c r="C1849" s="309" t="s">
        <v>506</v>
      </c>
      <c r="D1849" s="136" t="str">
        <f t="array" ref="D1849">IF(E1849=0,0,(INDEX(AccountCodes[ACCOUNT NAME],MATCH(E1849,AccountCodes[NGAS CODE],0))))</f>
        <v>Miscellaneous Income (Others)</v>
      </c>
      <c r="E1849" s="309" t="s">
        <v>160</v>
      </c>
      <c r="F1849" s="501">
        <v>197000</v>
      </c>
    </row>
    <row r="1850" spans="1:6" x14ac:dyDescent="0.25">
      <c r="A1850" s="308">
        <v>43281</v>
      </c>
      <c r="B1850" s="309" t="s">
        <v>485</v>
      </c>
      <c r="C1850" s="309" t="s">
        <v>506</v>
      </c>
      <c r="D1850" s="136" t="str">
        <f t="array" ref="D1850">IF(E1850=0,0,(INDEX(AccountCodes[ACCOUNT NAME],MATCH(E1850,AccountCodes[NGAS CODE],0))))</f>
        <v>Miscellaneous Income (Others)</v>
      </c>
      <c r="E1850" s="309" t="s">
        <v>160</v>
      </c>
      <c r="F1850" s="501">
        <v>151000</v>
      </c>
    </row>
    <row r="1851" spans="1:6" x14ac:dyDescent="0.25">
      <c r="A1851" s="308">
        <v>43312</v>
      </c>
      <c r="B1851" s="309" t="s">
        <v>485</v>
      </c>
      <c r="C1851" s="309" t="s">
        <v>506</v>
      </c>
      <c r="D1851" s="136" t="str">
        <f t="array" ref="D1851">IF(E1851=0,0,(INDEX(AccountCodes[ACCOUNT NAME],MATCH(E1851,AccountCodes[NGAS CODE],0))))</f>
        <v>Miscellaneous Income (Others)</v>
      </c>
      <c r="E1851" s="309" t="s">
        <v>160</v>
      </c>
      <c r="F1851" s="501">
        <v>129500</v>
      </c>
    </row>
    <row r="1852" spans="1:6" x14ac:dyDescent="0.25">
      <c r="A1852" s="308">
        <v>43343</v>
      </c>
      <c r="B1852" s="309" t="s">
        <v>485</v>
      </c>
      <c r="C1852" s="309" t="s">
        <v>506</v>
      </c>
      <c r="D1852" s="136" t="str">
        <f t="array" ref="D1852">IF(E1852=0,0,(INDEX(AccountCodes[ACCOUNT NAME],MATCH(E1852,AccountCodes[NGAS CODE],0))))</f>
        <v>Miscellaneous Income (Others)</v>
      </c>
      <c r="E1852" s="309" t="s">
        <v>160</v>
      </c>
      <c r="F1852" s="501">
        <v>43000</v>
      </c>
    </row>
    <row r="1853" spans="1:6" x14ac:dyDescent="0.25">
      <c r="A1853" s="308">
        <v>43373</v>
      </c>
      <c r="B1853" s="309" t="s">
        <v>485</v>
      </c>
      <c r="C1853" s="309" t="s">
        <v>506</v>
      </c>
      <c r="D1853" s="136" t="str">
        <f t="array" ref="D1853">IF(E1853=0,0,(INDEX(AccountCodes[ACCOUNT NAME],MATCH(E1853,AccountCodes[NGAS CODE],0))))</f>
        <v>Miscellaneous Income (Others)</v>
      </c>
      <c r="E1853" s="309" t="s">
        <v>160</v>
      </c>
      <c r="F1853" s="501">
        <v>42000</v>
      </c>
    </row>
    <row r="1854" spans="1:6" x14ac:dyDescent="0.25">
      <c r="A1854" s="308">
        <v>43404</v>
      </c>
      <c r="B1854" s="309" t="s">
        <v>485</v>
      </c>
      <c r="C1854" s="309" t="s">
        <v>506</v>
      </c>
      <c r="D1854" s="136" t="str">
        <f t="array" ref="D1854">IF(E1854=0,0,(INDEX(AccountCodes[ACCOUNT NAME],MATCH(E1854,AccountCodes[NGAS CODE],0))))</f>
        <v>Miscellaneous Income (Others)</v>
      </c>
      <c r="E1854" s="309" t="s">
        <v>160</v>
      </c>
      <c r="F1854" s="501">
        <v>45000</v>
      </c>
    </row>
    <row r="1855" spans="1:6" x14ac:dyDescent="0.25">
      <c r="A1855" s="308">
        <v>43434</v>
      </c>
      <c r="B1855" s="309" t="s">
        <v>485</v>
      </c>
      <c r="C1855" s="309" t="s">
        <v>506</v>
      </c>
      <c r="D1855" s="136" t="str">
        <f t="array" ref="D1855">IF(E1855=0,0,(INDEX(AccountCodes[ACCOUNT NAME],MATCH(E1855,AccountCodes[NGAS CODE],0))))</f>
        <v>Miscellaneous Income (Others)</v>
      </c>
      <c r="E1855" s="309" t="s">
        <v>160</v>
      </c>
      <c r="F1855" s="501">
        <v>42000</v>
      </c>
    </row>
    <row r="1856" spans="1:6" x14ac:dyDescent="0.25">
      <c r="A1856" s="308">
        <v>43465</v>
      </c>
      <c r="B1856" s="309" t="s">
        <v>485</v>
      </c>
      <c r="C1856" s="309" t="s">
        <v>506</v>
      </c>
      <c r="D1856" s="136" t="str">
        <f t="array" ref="D1856">IF(E1856=0,0,(INDEX(AccountCodes[ACCOUNT NAME],MATCH(E1856,AccountCodes[NGAS CODE],0))))</f>
        <v>Miscellaneous Income (Others)</v>
      </c>
      <c r="E1856" s="309" t="s">
        <v>160</v>
      </c>
      <c r="F1856" s="501">
        <v>42000</v>
      </c>
    </row>
    <row r="1857" spans="1:6" x14ac:dyDescent="0.25">
      <c r="A1857" s="308">
        <v>43131</v>
      </c>
      <c r="B1857" s="309" t="s">
        <v>485</v>
      </c>
      <c r="C1857" s="309" t="s">
        <v>506</v>
      </c>
      <c r="D1857" s="136" t="str">
        <f t="array" ref="D1857">IF(E1857=0,0,(INDEX(AccountCodes[ACCOUNT NAME],MATCH(E1857,AccountCodes[NGAS CODE],0))))</f>
        <v>Salaries and Wages-Regular</v>
      </c>
      <c r="E1857" s="309" t="s">
        <v>162</v>
      </c>
      <c r="F1857" s="501">
        <v>482591</v>
      </c>
    </row>
    <row r="1858" spans="1:6" x14ac:dyDescent="0.25">
      <c r="A1858" s="308">
        <v>43159</v>
      </c>
      <c r="B1858" s="309" t="s">
        <v>485</v>
      </c>
      <c r="C1858" s="309" t="s">
        <v>506</v>
      </c>
      <c r="D1858" s="136" t="str">
        <f t="array" ref="D1858">IF(E1858=0,0,(INDEX(AccountCodes[ACCOUNT NAME],MATCH(E1858,AccountCodes[NGAS CODE],0))))</f>
        <v>Salaries and Wages-Regular</v>
      </c>
      <c r="E1858" s="309" t="s">
        <v>162</v>
      </c>
      <c r="F1858" s="501">
        <v>482591</v>
      </c>
    </row>
    <row r="1859" spans="1:6" x14ac:dyDescent="0.25">
      <c r="A1859" s="308">
        <v>43190</v>
      </c>
      <c r="B1859" s="309" t="s">
        <v>485</v>
      </c>
      <c r="C1859" s="309" t="s">
        <v>506</v>
      </c>
      <c r="D1859" s="136" t="str">
        <f t="array" ref="D1859">IF(E1859=0,0,(INDEX(AccountCodes[ACCOUNT NAME],MATCH(E1859,AccountCodes[NGAS CODE],0))))</f>
        <v>Salaries and Wages-Regular</v>
      </c>
      <c r="E1859" s="309" t="s">
        <v>162</v>
      </c>
      <c r="F1859" s="501">
        <v>482591</v>
      </c>
    </row>
    <row r="1860" spans="1:6" x14ac:dyDescent="0.25">
      <c r="A1860" s="308">
        <v>43220</v>
      </c>
      <c r="B1860" s="309" t="s">
        <v>485</v>
      </c>
      <c r="C1860" s="309" t="s">
        <v>506</v>
      </c>
      <c r="D1860" s="136" t="str">
        <f t="array" ref="D1860">IF(E1860=0,0,(INDEX(AccountCodes[ACCOUNT NAME],MATCH(E1860,AccountCodes[NGAS CODE],0))))</f>
        <v>Salaries and Wages-Regular</v>
      </c>
      <c r="E1860" s="309" t="s">
        <v>162</v>
      </c>
      <c r="F1860" s="501">
        <v>482591</v>
      </c>
    </row>
    <row r="1861" spans="1:6" x14ac:dyDescent="0.25">
      <c r="A1861" s="308">
        <v>43251</v>
      </c>
      <c r="B1861" s="309" t="s">
        <v>485</v>
      </c>
      <c r="C1861" s="309" t="s">
        <v>506</v>
      </c>
      <c r="D1861" s="136" t="str">
        <f t="array" ref="D1861">IF(E1861=0,0,(INDEX(AccountCodes[ACCOUNT NAME],MATCH(E1861,AccountCodes[NGAS CODE],0))))</f>
        <v>Salaries and Wages-Regular</v>
      </c>
      <c r="E1861" s="309" t="s">
        <v>162</v>
      </c>
      <c r="F1861" s="501">
        <v>482591</v>
      </c>
    </row>
    <row r="1862" spans="1:6" x14ac:dyDescent="0.25">
      <c r="A1862" s="308">
        <v>43281</v>
      </c>
      <c r="B1862" s="309" t="s">
        <v>485</v>
      </c>
      <c r="C1862" s="309" t="s">
        <v>506</v>
      </c>
      <c r="D1862" s="136" t="str">
        <f t="array" ref="D1862">IF(E1862=0,0,(INDEX(AccountCodes[ACCOUNT NAME],MATCH(E1862,AccountCodes[NGAS CODE],0))))</f>
        <v>Salaries and Wages-Regular</v>
      </c>
      <c r="E1862" s="309" t="s">
        <v>162</v>
      </c>
      <c r="F1862" s="501">
        <v>482591</v>
      </c>
    </row>
    <row r="1863" spans="1:6" x14ac:dyDescent="0.25">
      <c r="A1863" s="308">
        <v>43312</v>
      </c>
      <c r="B1863" s="309" t="s">
        <v>485</v>
      </c>
      <c r="C1863" s="309" t="s">
        <v>506</v>
      </c>
      <c r="D1863" s="136" t="str">
        <f t="array" ref="D1863">IF(E1863=0,0,(INDEX(AccountCodes[ACCOUNT NAME],MATCH(E1863,AccountCodes[NGAS CODE],0))))</f>
        <v>Salaries and Wages-Regular</v>
      </c>
      <c r="E1863" s="309" t="s">
        <v>162</v>
      </c>
      <c r="F1863" s="501">
        <v>482591</v>
      </c>
    </row>
    <row r="1864" spans="1:6" x14ac:dyDescent="0.25">
      <c r="A1864" s="308">
        <v>43343</v>
      </c>
      <c r="B1864" s="309" t="s">
        <v>485</v>
      </c>
      <c r="C1864" s="309" t="s">
        <v>506</v>
      </c>
      <c r="D1864" s="136" t="str">
        <f t="array" ref="D1864">IF(E1864=0,0,(INDEX(AccountCodes[ACCOUNT NAME],MATCH(E1864,AccountCodes[NGAS CODE],0))))</f>
        <v>Salaries and Wages-Regular</v>
      </c>
      <c r="E1864" s="309" t="s">
        <v>162</v>
      </c>
      <c r="F1864" s="501">
        <v>482591</v>
      </c>
    </row>
    <row r="1865" spans="1:6" x14ac:dyDescent="0.25">
      <c r="A1865" s="308">
        <v>43373</v>
      </c>
      <c r="B1865" s="309" t="s">
        <v>485</v>
      </c>
      <c r="C1865" s="309" t="s">
        <v>506</v>
      </c>
      <c r="D1865" s="136" t="str">
        <f t="array" ref="D1865">IF(E1865=0,0,(INDEX(AccountCodes[ACCOUNT NAME],MATCH(E1865,AccountCodes[NGAS CODE],0))))</f>
        <v>Salaries and Wages-Regular</v>
      </c>
      <c r="E1865" s="309" t="s">
        <v>162</v>
      </c>
      <c r="F1865" s="501">
        <v>482591</v>
      </c>
    </row>
    <row r="1866" spans="1:6" x14ac:dyDescent="0.25">
      <c r="A1866" s="308">
        <v>43404</v>
      </c>
      <c r="B1866" s="309" t="s">
        <v>485</v>
      </c>
      <c r="C1866" s="309" t="s">
        <v>506</v>
      </c>
      <c r="D1866" s="136" t="str">
        <f t="array" ref="D1866">IF(E1866=0,0,(INDEX(AccountCodes[ACCOUNT NAME],MATCH(E1866,AccountCodes[NGAS CODE],0))))</f>
        <v>Salaries and Wages-Regular</v>
      </c>
      <c r="E1866" s="309" t="s">
        <v>162</v>
      </c>
      <c r="F1866" s="501">
        <v>482591</v>
      </c>
    </row>
    <row r="1867" spans="1:6" x14ac:dyDescent="0.25">
      <c r="A1867" s="308">
        <v>43434</v>
      </c>
      <c r="B1867" s="309" t="s">
        <v>485</v>
      </c>
      <c r="C1867" s="309" t="s">
        <v>506</v>
      </c>
      <c r="D1867" s="136" t="str">
        <f t="array" ref="D1867">IF(E1867=0,0,(INDEX(AccountCodes[ACCOUNT NAME],MATCH(E1867,AccountCodes[NGAS CODE],0))))</f>
        <v>Salaries and Wages-Regular</v>
      </c>
      <c r="E1867" s="309" t="s">
        <v>162</v>
      </c>
      <c r="F1867" s="501">
        <v>482591</v>
      </c>
    </row>
    <row r="1868" spans="1:6" x14ac:dyDescent="0.25">
      <c r="A1868" s="308">
        <v>43465</v>
      </c>
      <c r="B1868" s="309" t="s">
        <v>485</v>
      </c>
      <c r="C1868" s="309" t="s">
        <v>506</v>
      </c>
      <c r="D1868" s="136" t="str">
        <f t="array" ref="D1868">IF(E1868=0,0,(INDEX(AccountCodes[ACCOUNT NAME],MATCH(E1868,AccountCodes[NGAS CODE],0))))</f>
        <v>Salaries and Wages-Regular</v>
      </c>
      <c r="E1868" s="309" t="s">
        <v>162</v>
      </c>
      <c r="F1868" s="501">
        <v>482591</v>
      </c>
    </row>
    <row r="1869" spans="1:6" x14ac:dyDescent="0.25">
      <c r="A1869" s="308">
        <v>43131</v>
      </c>
      <c r="B1869" s="309" t="s">
        <v>485</v>
      </c>
      <c r="C1869" s="309" t="s">
        <v>506</v>
      </c>
      <c r="D1869" s="136" t="str">
        <f t="array" ref="D1869">IF(E1869=0,0,(INDEX(AccountCodes[ACCOUNT NAME],MATCH(E1869,AccountCodes[NGAS CODE],0))))</f>
        <v>Salaries and Wages-Casual/Contractual</v>
      </c>
      <c r="E1869" s="309" t="s">
        <v>163</v>
      </c>
      <c r="F1869" s="501">
        <v>69014</v>
      </c>
    </row>
    <row r="1870" spans="1:6" x14ac:dyDescent="0.25">
      <c r="A1870" s="308">
        <v>43159</v>
      </c>
      <c r="B1870" s="309" t="s">
        <v>485</v>
      </c>
      <c r="C1870" s="309" t="s">
        <v>506</v>
      </c>
      <c r="D1870" s="136" t="str">
        <f t="array" ref="D1870">IF(E1870=0,0,(INDEX(AccountCodes[ACCOUNT NAME],MATCH(E1870,AccountCodes[NGAS CODE],0))))</f>
        <v>Salaries and Wages-Casual/Contractual</v>
      </c>
      <c r="E1870" s="309" t="s">
        <v>163</v>
      </c>
      <c r="F1870" s="501">
        <v>69014</v>
      </c>
    </row>
    <row r="1871" spans="1:6" x14ac:dyDescent="0.25">
      <c r="A1871" s="308">
        <v>43190</v>
      </c>
      <c r="B1871" s="309" t="s">
        <v>485</v>
      </c>
      <c r="C1871" s="309" t="s">
        <v>506</v>
      </c>
      <c r="D1871" s="136" t="str">
        <f t="array" ref="D1871">IF(E1871=0,0,(INDEX(AccountCodes[ACCOUNT NAME],MATCH(E1871,AccountCodes[NGAS CODE],0))))</f>
        <v>Salaries and Wages-Casual/Contractual</v>
      </c>
      <c r="E1871" s="309" t="s">
        <v>163</v>
      </c>
      <c r="F1871" s="501">
        <v>69014</v>
      </c>
    </row>
    <row r="1872" spans="1:6" x14ac:dyDescent="0.25">
      <c r="A1872" s="308">
        <v>43220</v>
      </c>
      <c r="B1872" s="309" t="s">
        <v>485</v>
      </c>
      <c r="C1872" s="309" t="s">
        <v>506</v>
      </c>
      <c r="D1872" s="136" t="str">
        <f t="array" ref="D1872">IF(E1872=0,0,(INDEX(AccountCodes[ACCOUNT NAME],MATCH(E1872,AccountCodes[NGAS CODE],0))))</f>
        <v>Salaries and Wages-Casual/Contractual</v>
      </c>
      <c r="E1872" s="309" t="s">
        <v>163</v>
      </c>
      <c r="F1872" s="501">
        <v>69014</v>
      </c>
    </row>
    <row r="1873" spans="1:6" x14ac:dyDescent="0.25">
      <c r="A1873" s="308">
        <v>43251</v>
      </c>
      <c r="B1873" s="309" t="s">
        <v>485</v>
      </c>
      <c r="C1873" s="309" t="s">
        <v>506</v>
      </c>
      <c r="D1873" s="136" t="str">
        <f t="array" ref="D1873">IF(E1873=0,0,(INDEX(AccountCodes[ACCOUNT NAME],MATCH(E1873,AccountCodes[NGAS CODE],0))))</f>
        <v>Salaries and Wages-Casual/Contractual</v>
      </c>
      <c r="E1873" s="309" t="s">
        <v>163</v>
      </c>
      <c r="F1873" s="501">
        <v>69014</v>
      </c>
    </row>
    <row r="1874" spans="1:6" x14ac:dyDescent="0.25">
      <c r="A1874" s="308">
        <v>43281</v>
      </c>
      <c r="B1874" s="309" t="s">
        <v>485</v>
      </c>
      <c r="C1874" s="309" t="s">
        <v>506</v>
      </c>
      <c r="D1874" s="136" t="str">
        <f t="array" ref="D1874">IF(E1874=0,0,(INDEX(AccountCodes[ACCOUNT NAME],MATCH(E1874,AccountCodes[NGAS CODE],0))))</f>
        <v>Salaries and Wages-Casual/Contractual</v>
      </c>
      <c r="E1874" s="309" t="s">
        <v>163</v>
      </c>
      <c r="F1874" s="501">
        <v>69014</v>
      </c>
    </row>
    <row r="1875" spans="1:6" x14ac:dyDescent="0.25">
      <c r="A1875" s="308">
        <v>43312</v>
      </c>
      <c r="B1875" s="309" t="s">
        <v>485</v>
      </c>
      <c r="C1875" s="309" t="s">
        <v>506</v>
      </c>
      <c r="D1875" s="136" t="str">
        <f t="array" ref="D1875">IF(E1875=0,0,(INDEX(AccountCodes[ACCOUNT NAME],MATCH(E1875,AccountCodes[NGAS CODE],0))))</f>
        <v>Salaries and Wages-Casual/Contractual</v>
      </c>
      <c r="E1875" s="309" t="s">
        <v>163</v>
      </c>
      <c r="F1875" s="501">
        <v>69014</v>
      </c>
    </row>
    <row r="1876" spans="1:6" x14ac:dyDescent="0.25">
      <c r="A1876" s="308">
        <v>43343</v>
      </c>
      <c r="B1876" s="309" t="s">
        <v>485</v>
      </c>
      <c r="C1876" s="309" t="s">
        <v>506</v>
      </c>
      <c r="D1876" s="136" t="str">
        <f t="array" ref="D1876">IF(E1876=0,0,(INDEX(AccountCodes[ACCOUNT NAME],MATCH(E1876,AccountCodes[NGAS CODE],0))))</f>
        <v>Salaries and Wages-Casual/Contractual</v>
      </c>
      <c r="E1876" s="309" t="s">
        <v>163</v>
      </c>
      <c r="F1876" s="501">
        <v>69014</v>
      </c>
    </row>
    <row r="1877" spans="1:6" x14ac:dyDescent="0.25">
      <c r="A1877" s="308">
        <v>43373</v>
      </c>
      <c r="B1877" s="309" t="s">
        <v>485</v>
      </c>
      <c r="C1877" s="309" t="s">
        <v>506</v>
      </c>
      <c r="D1877" s="136" t="str">
        <f t="array" ref="D1877">IF(E1877=0,0,(INDEX(AccountCodes[ACCOUNT NAME],MATCH(E1877,AccountCodes[NGAS CODE],0))))</f>
        <v>Salaries and Wages-Casual/Contractual</v>
      </c>
      <c r="E1877" s="309" t="s">
        <v>163</v>
      </c>
      <c r="F1877" s="501">
        <v>69014</v>
      </c>
    </row>
    <row r="1878" spans="1:6" x14ac:dyDescent="0.25">
      <c r="A1878" s="308">
        <v>43404</v>
      </c>
      <c r="B1878" s="309" t="s">
        <v>485</v>
      </c>
      <c r="C1878" s="309" t="s">
        <v>506</v>
      </c>
      <c r="D1878" s="136" t="str">
        <f t="array" ref="D1878">IF(E1878=0,0,(INDEX(AccountCodes[ACCOUNT NAME],MATCH(E1878,AccountCodes[NGAS CODE],0))))</f>
        <v>Salaries and Wages-Casual/Contractual</v>
      </c>
      <c r="E1878" s="309" t="s">
        <v>163</v>
      </c>
      <c r="F1878" s="501">
        <v>69014</v>
      </c>
    </row>
    <row r="1879" spans="1:6" x14ac:dyDescent="0.25">
      <c r="A1879" s="308">
        <v>43434</v>
      </c>
      <c r="B1879" s="309" t="s">
        <v>485</v>
      </c>
      <c r="C1879" s="309" t="s">
        <v>506</v>
      </c>
      <c r="D1879" s="136" t="str">
        <f t="array" ref="D1879">IF(E1879=0,0,(INDEX(AccountCodes[ACCOUNT NAME],MATCH(E1879,AccountCodes[NGAS CODE],0))))</f>
        <v>Salaries and Wages-Casual/Contractual</v>
      </c>
      <c r="E1879" s="309" t="s">
        <v>163</v>
      </c>
      <c r="F1879" s="501">
        <v>69014</v>
      </c>
    </row>
    <row r="1880" spans="1:6" x14ac:dyDescent="0.25">
      <c r="A1880" s="308">
        <v>43465</v>
      </c>
      <c r="B1880" s="309" t="s">
        <v>485</v>
      </c>
      <c r="C1880" s="309" t="s">
        <v>506</v>
      </c>
      <c r="D1880" s="136" t="str">
        <f t="array" ref="D1880">IF(E1880=0,0,(INDEX(AccountCodes[ACCOUNT NAME],MATCH(E1880,AccountCodes[NGAS CODE],0))))</f>
        <v>Salaries and Wages-Casual/Contractual</v>
      </c>
      <c r="E1880" s="309" t="s">
        <v>163</v>
      </c>
      <c r="F1880" s="501">
        <v>69014</v>
      </c>
    </row>
    <row r="1881" spans="1:6" x14ac:dyDescent="0.25">
      <c r="A1881" s="308">
        <v>43131</v>
      </c>
      <c r="B1881" s="309" t="s">
        <v>485</v>
      </c>
      <c r="C1881" s="309" t="s">
        <v>506</v>
      </c>
      <c r="D1881" s="136" t="str">
        <f t="array" ref="D1881">IF(E1881=0,0,(INDEX(AccountCodes[ACCOUNT NAME],MATCH(E1881,AccountCodes[NGAS CODE],0))))</f>
        <v>Representation Allowance (RA)</v>
      </c>
      <c r="E1881" s="309" t="s">
        <v>165</v>
      </c>
      <c r="F1881" s="501">
        <v>10000</v>
      </c>
    </row>
    <row r="1882" spans="1:6" x14ac:dyDescent="0.25">
      <c r="A1882" s="308">
        <v>43159</v>
      </c>
      <c r="B1882" s="309" t="s">
        <v>485</v>
      </c>
      <c r="C1882" s="309" t="s">
        <v>506</v>
      </c>
      <c r="D1882" s="136" t="str">
        <f t="array" ref="D1882">IF(E1882=0,0,(INDEX(AccountCodes[ACCOUNT NAME],MATCH(E1882,AccountCodes[NGAS CODE],0))))</f>
        <v>Representation Allowance (RA)</v>
      </c>
      <c r="E1882" s="309" t="s">
        <v>165</v>
      </c>
      <c r="F1882" s="501">
        <v>10000</v>
      </c>
    </row>
    <row r="1883" spans="1:6" x14ac:dyDescent="0.25">
      <c r="A1883" s="308">
        <v>43190</v>
      </c>
      <c r="B1883" s="309" t="s">
        <v>485</v>
      </c>
      <c r="C1883" s="309" t="s">
        <v>506</v>
      </c>
      <c r="D1883" s="136" t="str">
        <f t="array" ref="D1883">IF(E1883=0,0,(INDEX(AccountCodes[ACCOUNT NAME],MATCH(E1883,AccountCodes[NGAS CODE],0))))</f>
        <v>Representation Allowance (RA)</v>
      </c>
      <c r="E1883" s="309" t="s">
        <v>165</v>
      </c>
      <c r="F1883" s="501">
        <v>10000</v>
      </c>
    </row>
    <row r="1884" spans="1:6" x14ac:dyDescent="0.25">
      <c r="A1884" s="308">
        <v>43220</v>
      </c>
      <c r="B1884" s="309" t="s">
        <v>485</v>
      </c>
      <c r="C1884" s="309" t="s">
        <v>506</v>
      </c>
      <c r="D1884" s="136" t="str">
        <f t="array" ref="D1884">IF(E1884=0,0,(INDEX(AccountCodes[ACCOUNT NAME],MATCH(E1884,AccountCodes[NGAS CODE],0))))</f>
        <v>Representation Allowance (RA)</v>
      </c>
      <c r="E1884" s="309" t="s">
        <v>165</v>
      </c>
      <c r="F1884" s="501">
        <v>10000</v>
      </c>
    </row>
    <row r="1885" spans="1:6" x14ac:dyDescent="0.25">
      <c r="A1885" s="308">
        <v>43251</v>
      </c>
      <c r="B1885" s="309" t="s">
        <v>485</v>
      </c>
      <c r="C1885" s="309" t="s">
        <v>506</v>
      </c>
      <c r="D1885" s="136" t="str">
        <f t="array" ref="D1885">IF(E1885=0,0,(INDEX(AccountCodes[ACCOUNT NAME],MATCH(E1885,AccountCodes[NGAS CODE],0))))</f>
        <v>Representation Allowance (RA)</v>
      </c>
      <c r="E1885" s="309" t="s">
        <v>165</v>
      </c>
      <c r="F1885" s="501">
        <v>10000</v>
      </c>
    </row>
    <row r="1886" spans="1:6" x14ac:dyDescent="0.25">
      <c r="A1886" s="308">
        <v>43281</v>
      </c>
      <c r="B1886" s="309" t="s">
        <v>485</v>
      </c>
      <c r="C1886" s="309" t="s">
        <v>506</v>
      </c>
      <c r="D1886" s="136" t="str">
        <f t="array" ref="D1886">IF(E1886=0,0,(INDEX(AccountCodes[ACCOUNT NAME],MATCH(E1886,AccountCodes[NGAS CODE],0))))</f>
        <v>Representation Allowance (RA)</v>
      </c>
      <c r="E1886" s="309" t="s">
        <v>165</v>
      </c>
      <c r="F1886" s="501">
        <v>10000</v>
      </c>
    </row>
    <row r="1887" spans="1:6" x14ac:dyDescent="0.25">
      <c r="A1887" s="308">
        <v>43312</v>
      </c>
      <c r="B1887" s="309" t="s">
        <v>485</v>
      </c>
      <c r="C1887" s="309" t="s">
        <v>506</v>
      </c>
      <c r="D1887" s="136" t="str">
        <f t="array" ref="D1887">IF(E1887=0,0,(INDEX(AccountCodes[ACCOUNT NAME],MATCH(E1887,AccountCodes[NGAS CODE],0))))</f>
        <v>Representation Allowance (RA)</v>
      </c>
      <c r="E1887" s="309" t="s">
        <v>165</v>
      </c>
      <c r="F1887" s="501">
        <v>10000</v>
      </c>
    </row>
    <row r="1888" spans="1:6" x14ac:dyDescent="0.25">
      <c r="A1888" s="308">
        <v>43343</v>
      </c>
      <c r="B1888" s="309" t="s">
        <v>485</v>
      </c>
      <c r="C1888" s="309" t="s">
        <v>506</v>
      </c>
      <c r="D1888" s="136" t="str">
        <f t="array" ref="D1888">IF(E1888=0,0,(INDEX(AccountCodes[ACCOUNT NAME],MATCH(E1888,AccountCodes[NGAS CODE],0))))</f>
        <v>Representation Allowance (RA)</v>
      </c>
      <c r="E1888" s="309" t="s">
        <v>165</v>
      </c>
      <c r="F1888" s="501">
        <v>10000</v>
      </c>
    </row>
    <row r="1889" spans="1:6" x14ac:dyDescent="0.25">
      <c r="A1889" s="308">
        <v>43373</v>
      </c>
      <c r="B1889" s="309" t="s">
        <v>485</v>
      </c>
      <c r="C1889" s="309" t="s">
        <v>506</v>
      </c>
      <c r="D1889" s="136" t="str">
        <f t="array" ref="D1889">IF(E1889=0,0,(INDEX(AccountCodes[ACCOUNT NAME],MATCH(E1889,AccountCodes[NGAS CODE],0))))</f>
        <v>Representation Allowance (RA)</v>
      </c>
      <c r="E1889" s="309" t="s">
        <v>165</v>
      </c>
      <c r="F1889" s="501">
        <v>10000</v>
      </c>
    </row>
    <row r="1890" spans="1:6" x14ac:dyDescent="0.25">
      <c r="A1890" s="308">
        <v>43404</v>
      </c>
      <c r="B1890" s="309" t="s">
        <v>485</v>
      </c>
      <c r="C1890" s="309" t="s">
        <v>506</v>
      </c>
      <c r="D1890" s="136" t="str">
        <f t="array" ref="D1890">IF(E1890=0,0,(INDEX(AccountCodes[ACCOUNT NAME],MATCH(E1890,AccountCodes[NGAS CODE],0))))</f>
        <v>Representation Allowance (RA)</v>
      </c>
      <c r="E1890" s="309" t="s">
        <v>165</v>
      </c>
      <c r="F1890" s="501">
        <v>10000</v>
      </c>
    </row>
    <row r="1891" spans="1:6" x14ac:dyDescent="0.25">
      <c r="A1891" s="308">
        <v>43434</v>
      </c>
      <c r="B1891" s="309" t="s">
        <v>485</v>
      </c>
      <c r="C1891" s="309" t="s">
        <v>506</v>
      </c>
      <c r="D1891" s="136" t="str">
        <f t="array" ref="D1891">IF(E1891=0,0,(INDEX(AccountCodes[ACCOUNT NAME],MATCH(E1891,AccountCodes[NGAS CODE],0))))</f>
        <v>Representation Allowance (RA)</v>
      </c>
      <c r="E1891" s="309" t="s">
        <v>165</v>
      </c>
      <c r="F1891" s="501">
        <v>10000</v>
      </c>
    </row>
    <row r="1892" spans="1:6" x14ac:dyDescent="0.25">
      <c r="A1892" s="308">
        <v>43465</v>
      </c>
      <c r="B1892" s="309" t="s">
        <v>485</v>
      </c>
      <c r="C1892" s="309" t="s">
        <v>506</v>
      </c>
      <c r="D1892" s="136" t="str">
        <f t="array" ref="D1892">IF(E1892=0,0,(INDEX(AccountCodes[ACCOUNT NAME],MATCH(E1892,AccountCodes[NGAS CODE],0))))</f>
        <v>Representation Allowance (RA)</v>
      </c>
      <c r="E1892" s="309" t="s">
        <v>165</v>
      </c>
      <c r="F1892" s="501">
        <v>10000</v>
      </c>
    </row>
    <row r="1893" spans="1:6" x14ac:dyDescent="0.25">
      <c r="A1893" s="308">
        <v>43131</v>
      </c>
      <c r="B1893" s="309" t="s">
        <v>485</v>
      </c>
      <c r="C1893" s="309" t="s">
        <v>506</v>
      </c>
      <c r="D1893" s="136" t="str">
        <f t="array" ref="D1893">IF(E1893=0,0,(INDEX(AccountCodes[ACCOUNT NAME],MATCH(E1893,AccountCodes[NGAS CODE],0))))</f>
        <v>Personal Economic Relief Allowance (PERA)</v>
      </c>
      <c r="E1893" s="309" t="s">
        <v>164</v>
      </c>
      <c r="F1893" s="501">
        <v>48000</v>
      </c>
    </row>
    <row r="1894" spans="1:6" x14ac:dyDescent="0.25">
      <c r="A1894" s="308">
        <v>43159</v>
      </c>
      <c r="B1894" s="309" t="s">
        <v>485</v>
      </c>
      <c r="C1894" s="309" t="s">
        <v>506</v>
      </c>
      <c r="D1894" s="136" t="str">
        <f t="array" ref="D1894">IF(E1894=0,0,(INDEX(AccountCodes[ACCOUNT NAME],MATCH(E1894,AccountCodes[NGAS CODE],0))))</f>
        <v>Personal Economic Relief Allowance (PERA)</v>
      </c>
      <c r="E1894" s="309" t="s">
        <v>164</v>
      </c>
      <c r="F1894" s="501">
        <v>48000</v>
      </c>
    </row>
    <row r="1895" spans="1:6" x14ac:dyDescent="0.25">
      <c r="A1895" s="308">
        <v>43190</v>
      </c>
      <c r="B1895" s="309" t="s">
        <v>485</v>
      </c>
      <c r="C1895" s="309" t="s">
        <v>506</v>
      </c>
      <c r="D1895" s="136" t="str">
        <f t="array" ref="D1895">IF(E1895=0,0,(INDEX(AccountCodes[ACCOUNT NAME],MATCH(E1895,AccountCodes[NGAS CODE],0))))</f>
        <v>Personal Economic Relief Allowance (PERA)</v>
      </c>
      <c r="E1895" s="309" t="s">
        <v>164</v>
      </c>
      <c r="F1895" s="501">
        <v>48000</v>
      </c>
    </row>
    <row r="1896" spans="1:6" x14ac:dyDescent="0.25">
      <c r="A1896" s="308">
        <v>43220</v>
      </c>
      <c r="B1896" s="309" t="s">
        <v>485</v>
      </c>
      <c r="C1896" s="309" t="s">
        <v>506</v>
      </c>
      <c r="D1896" s="136" t="str">
        <f t="array" ref="D1896">IF(E1896=0,0,(INDEX(AccountCodes[ACCOUNT NAME],MATCH(E1896,AccountCodes[NGAS CODE],0))))</f>
        <v>Personal Economic Relief Allowance (PERA)</v>
      </c>
      <c r="E1896" s="309" t="s">
        <v>164</v>
      </c>
      <c r="F1896" s="501">
        <v>48000</v>
      </c>
    </row>
    <row r="1897" spans="1:6" x14ac:dyDescent="0.25">
      <c r="A1897" s="308">
        <v>43251</v>
      </c>
      <c r="B1897" s="309" t="s">
        <v>485</v>
      </c>
      <c r="C1897" s="309" t="s">
        <v>506</v>
      </c>
      <c r="D1897" s="136" t="str">
        <f t="array" ref="D1897">IF(E1897=0,0,(INDEX(AccountCodes[ACCOUNT NAME],MATCH(E1897,AccountCodes[NGAS CODE],0))))</f>
        <v>Personal Economic Relief Allowance (PERA)</v>
      </c>
      <c r="E1897" s="309" t="s">
        <v>164</v>
      </c>
      <c r="F1897" s="501">
        <v>48000</v>
      </c>
    </row>
    <row r="1898" spans="1:6" x14ac:dyDescent="0.25">
      <c r="A1898" s="308">
        <v>43281</v>
      </c>
      <c r="B1898" s="309" t="s">
        <v>485</v>
      </c>
      <c r="C1898" s="309" t="s">
        <v>506</v>
      </c>
      <c r="D1898" s="136" t="str">
        <f t="array" ref="D1898">IF(E1898=0,0,(INDEX(AccountCodes[ACCOUNT NAME],MATCH(E1898,AccountCodes[NGAS CODE],0))))</f>
        <v>Personal Economic Relief Allowance (PERA)</v>
      </c>
      <c r="E1898" s="309" t="s">
        <v>164</v>
      </c>
      <c r="F1898" s="501">
        <v>48000</v>
      </c>
    </row>
    <row r="1899" spans="1:6" x14ac:dyDescent="0.25">
      <c r="A1899" s="308">
        <v>43312</v>
      </c>
      <c r="B1899" s="309" t="s">
        <v>485</v>
      </c>
      <c r="C1899" s="309" t="s">
        <v>506</v>
      </c>
      <c r="D1899" s="136" t="str">
        <f t="array" ref="D1899">IF(E1899=0,0,(INDEX(AccountCodes[ACCOUNT NAME],MATCH(E1899,AccountCodes[NGAS CODE],0))))</f>
        <v>Personal Economic Relief Allowance (PERA)</v>
      </c>
      <c r="E1899" s="309" t="s">
        <v>164</v>
      </c>
      <c r="F1899" s="501">
        <v>48000</v>
      </c>
    </row>
    <row r="1900" spans="1:6" x14ac:dyDescent="0.25">
      <c r="A1900" s="308">
        <v>43343</v>
      </c>
      <c r="B1900" s="309" t="s">
        <v>485</v>
      </c>
      <c r="C1900" s="309" t="s">
        <v>506</v>
      </c>
      <c r="D1900" s="136" t="str">
        <f t="array" ref="D1900">IF(E1900=0,0,(INDEX(AccountCodes[ACCOUNT NAME],MATCH(E1900,AccountCodes[NGAS CODE],0))))</f>
        <v>Personal Economic Relief Allowance (PERA)</v>
      </c>
      <c r="E1900" s="309" t="s">
        <v>164</v>
      </c>
      <c r="F1900" s="501">
        <v>48000</v>
      </c>
    </row>
    <row r="1901" spans="1:6" x14ac:dyDescent="0.25">
      <c r="A1901" s="308">
        <v>43373</v>
      </c>
      <c r="B1901" s="309" t="s">
        <v>485</v>
      </c>
      <c r="C1901" s="309" t="s">
        <v>506</v>
      </c>
      <c r="D1901" s="136" t="str">
        <f t="array" ref="D1901">IF(E1901=0,0,(INDEX(AccountCodes[ACCOUNT NAME],MATCH(E1901,AccountCodes[NGAS CODE],0))))</f>
        <v>Personal Economic Relief Allowance (PERA)</v>
      </c>
      <c r="E1901" s="309" t="s">
        <v>164</v>
      </c>
      <c r="F1901" s="501">
        <v>48000</v>
      </c>
    </row>
    <row r="1902" spans="1:6" x14ac:dyDescent="0.25">
      <c r="A1902" s="308">
        <v>43404</v>
      </c>
      <c r="B1902" s="309" t="s">
        <v>485</v>
      </c>
      <c r="C1902" s="309" t="s">
        <v>506</v>
      </c>
      <c r="D1902" s="136" t="str">
        <f t="array" ref="D1902">IF(E1902=0,0,(INDEX(AccountCodes[ACCOUNT NAME],MATCH(E1902,AccountCodes[NGAS CODE],0))))</f>
        <v>Personal Economic Relief Allowance (PERA)</v>
      </c>
      <c r="E1902" s="309" t="s">
        <v>164</v>
      </c>
      <c r="F1902" s="501">
        <v>48000</v>
      </c>
    </row>
    <row r="1903" spans="1:6" x14ac:dyDescent="0.25">
      <c r="A1903" s="308">
        <v>43434</v>
      </c>
      <c r="B1903" s="309" t="s">
        <v>485</v>
      </c>
      <c r="C1903" s="309" t="s">
        <v>506</v>
      </c>
      <c r="D1903" s="136" t="str">
        <f t="array" ref="D1903">IF(E1903=0,0,(INDEX(AccountCodes[ACCOUNT NAME],MATCH(E1903,AccountCodes[NGAS CODE],0))))</f>
        <v>Personal Economic Relief Allowance (PERA)</v>
      </c>
      <c r="E1903" s="309" t="s">
        <v>164</v>
      </c>
      <c r="F1903" s="501">
        <v>48000</v>
      </c>
    </row>
    <row r="1904" spans="1:6" x14ac:dyDescent="0.25">
      <c r="A1904" s="308">
        <v>43465</v>
      </c>
      <c r="B1904" s="309" t="s">
        <v>485</v>
      </c>
      <c r="C1904" s="309" t="s">
        <v>506</v>
      </c>
      <c r="D1904" s="136" t="str">
        <f t="array" ref="D1904">IF(E1904=0,0,(INDEX(AccountCodes[ACCOUNT NAME],MATCH(E1904,AccountCodes[NGAS CODE],0))))</f>
        <v>Personal Economic Relief Allowance (PERA)</v>
      </c>
      <c r="E1904" s="309" t="s">
        <v>164</v>
      </c>
      <c r="F1904" s="501">
        <v>48000</v>
      </c>
    </row>
    <row r="1905" spans="1:6" x14ac:dyDescent="0.25">
      <c r="A1905" s="308">
        <v>43190</v>
      </c>
      <c r="B1905" s="309" t="s">
        <v>485</v>
      </c>
      <c r="C1905" s="309" t="s">
        <v>506</v>
      </c>
      <c r="D1905" s="136" t="str">
        <f t="array" ref="D1905">IF(E1905=0,0,(INDEX(AccountCodes[ACCOUNT NAME],MATCH(E1905,AccountCodes[NGAS CODE],0))))</f>
        <v>Clothing/Uniform Allowance</v>
      </c>
      <c r="E1905" s="309" t="s">
        <v>167</v>
      </c>
      <c r="F1905" s="501">
        <v>133000</v>
      </c>
    </row>
    <row r="1906" spans="1:6" x14ac:dyDescent="0.25">
      <c r="A1906" s="308">
        <v>43434</v>
      </c>
      <c r="B1906" s="309" t="s">
        <v>485</v>
      </c>
      <c r="C1906" s="309" t="s">
        <v>506</v>
      </c>
      <c r="D1906" s="136" t="str">
        <f t="array" ref="D1906">IF(E1906=0,0,(INDEX(AccountCodes[ACCOUNT NAME],MATCH(E1906,AccountCodes[NGAS CODE],0))))</f>
        <v>Cash Gift</v>
      </c>
      <c r="E1906" s="309" t="s">
        <v>172</v>
      </c>
      <c r="F1906" s="501">
        <v>120000</v>
      </c>
    </row>
    <row r="1907" spans="1:6" x14ac:dyDescent="0.25">
      <c r="A1907" s="308">
        <v>43251</v>
      </c>
      <c r="B1907" s="309" t="s">
        <v>485</v>
      </c>
      <c r="C1907" s="309" t="s">
        <v>506</v>
      </c>
      <c r="D1907" s="136" t="str">
        <f t="array" ref="D1907">IF(E1907=0,0,(INDEX(AccountCodes[ACCOUNT NAME],MATCH(E1907,AccountCodes[NGAS CODE],0))))</f>
        <v>Mid-Year/Year End Bonus</v>
      </c>
      <c r="E1907" s="309" t="s">
        <v>174</v>
      </c>
      <c r="F1907" s="501">
        <v>551605</v>
      </c>
    </row>
    <row r="1908" spans="1:6" x14ac:dyDescent="0.25">
      <c r="A1908" s="308">
        <v>43434</v>
      </c>
      <c r="B1908" s="309" t="s">
        <v>485</v>
      </c>
      <c r="C1908" s="309" t="s">
        <v>506</v>
      </c>
      <c r="D1908" s="136" t="str">
        <f t="array" ref="D1908">IF(E1908=0,0,(INDEX(AccountCodes[ACCOUNT NAME],MATCH(E1908,AccountCodes[NGAS CODE],0))))</f>
        <v>Mid-Year/Year End Bonus</v>
      </c>
      <c r="E1908" s="309" t="s">
        <v>174</v>
      </c>
      <c r="F1908" s="501">
        <v>551605</v>
      </c>
    </row>
    <row r="1909" spans="1:6" x14ac:dyDescent="0.25">
      <c r="A1909" s="308">
        <v>43131</v>
      </c>
      <c r="B1909" s="309" t="s">
        <v>485</v>
      </c>
      <c r="C1909" s="309" t="s">
        <v>506</v>
      </c>
      <c r="D1909" s="136" t="str">
        <f t="array" ref="D1909">IF(E1909=0,0,(INDEX(AccountCodes[ACCOUNT NAME],MATCH(E1909,AccountCodes[NGAS CODE],0))))</f>
        <v>Other Bonuses and Allowances - Children Allowance</v>
      </c>
      <c r="E1909" s="309" t="s">
        <v>7</v>
      </c>
      <c r="F1909" s="501">
        <v>150</v>
      </c>
    </row>
    <row r="1910" spans="1:6" x14ac:dyDescent="0.25">
      <c r="A1910" s="308">
        <v>43159</v>
      </c>
      <c r="B1910" s="309" t="s">
        <v>485</v>
      </c>
      <c r="C1910" s="309" t="s">
        <v>506</v>
      </c>
      <c r="D1910" s="136" t="str">
        <f t="array" ref="D1910">IF(E1910=0,0,(INDEX(AccountCodes[ACCOUNT NAME],MATCH(E1910,AccountCodes[NGAS CODE],0))))</f>
        <v>Other Bonuses and Allowances - Children Allowance</v>
      </c>
      <c r="E1910" s="309" t="s">
        <v>7</v>
      </c>
      <c r="F1910" s="501">
        <v>150</v>
      </c>
    </row>
    <row r="1911" spans="1:6" x14ac:dyDescent="0.25">
      <c r="A1911" s="308">
        <v>43190</v>
      </c>
      <c r="B1911" s="309" t="s">
        <v>485</v>
      </c>
      <c r="C1911" s="309" t="s">
        <v>506</v>
      </c>
      <c r="D1911" s="136" t="str">
        <f t="array" ref="D1911">IF(E1911=0,0,(INDEX(AccountCodes[ACCOUNT NAME],MATCH(E1911,AccountCodes[NGAS CODE],0))))</f>
        <v>Other Bonuses and Allowances - Children Allowance</v>
      </c>
      <c r="E1911" s="309" t="s">
        <v>7</v>
      </c>
      <c r="F1911" s="501">
        <v>150</v>
      </c>
    </row>
    <row r="1912" spans="1:6" x14ac:dyDescent="0.25">
      <c r="A1912" s="308">
        <v>43220</v>
      </c>
      <c r="B1912" s="309" t="s">
        <v>485</v>
      </c>
      <c r="C1912" s="309" t="s">
        <v>506</v>
      </c>
      <c r="D1912" s="136" t="str">
        <f t="array" ref="D1912">IF(E1912=0,0,(INDEX(AccountCodes[ACCOUNT NAME],MATCH(E1912,AccountCodes[NGAS CODE],0))))</f>
        <v>Other Bonuses and Allowances - Children Allowance</v>
      </c>
      <c r="E1912" s="309" t="s">
        <v>7</v>
      </c>
      <c r="F1912" s="501">
        <v>150</v>
      </c>
    </row>
    <row r="1913" spans="1:6" x14ac:dyDescent="0.25">
      <c r="A1913" s="308">
        <v>43251</v>
      </c>
      <c r="B1913" s="309" t="s">
        <v>485</v>
      </c>
      <c r="C1913" s="309" t="s">
        <v>506</v>
      </c>
      <c r="D1913" s="136" t="str">
        <f t="array" ref="D1913">IF(E1913=0,0,(INDEX(AccountCodes[ACCOUNT NAME],MATCH(E1913,AccountCodes[NGAS CODE],0))))</f>
        <v>Other Bonuses and Allowances - Children Allowance</v>
      </c>
      <c r="E1913" s="309" t="s">
        <v>7</v>
      </c>
      <c r="F1913" s="501">
        <v>150</v>
      </c>
    </row>
    <row r="1914" spans="1:6" x14ac:dyDescent="0.25">
      <c r="A1914" s="308">
        <v>43281</v>
      </c>
      <c r="B1914" s="309" t="s">
        <v>485</v>
      </c>
      <c r="C1914" s="309" t="s">
        <v>506</v>
      </c>
      <c r="D1914" s="136" t="str">
        <f t="array" ref="D1914">IF(E1914=0,0,(INDEX(AccountCodes[ACCOUNT NAME],MATCH(E1914,AccountCodes[NGAS CODE],0))))</f>
        <v>Other Bonuses and Allowances - Children Allowance</v>
      </c>
      <c r="E1914" s="309" t="s">
        <v>7</v>
      </c>
      <c r="F1914" s="501">
        <v>150</v>
      </c>
    </row>
    <row r="1915" spans="1:6" x14ac:dyDescent="0.25">
      <c r="A1915" s="308">
        <v>43312</v>
      </c>
      <c r="B1915" s="309" t="s">
        <v>485</v>
      </c>
      <c r="C1915" s="309" t="s">
        <v>506</v>
      </c>
      <c r="D1915" s="136" t="str">
        <f t="array" ref="D1915">IF(E1915=0,0,(INDEX(AccountCodes[ACCOUNT NAME],MATCH(E1915,AccountCodes[NGAS CODE],0))))</f>
        <v>Other Bonuses and Allowances - Children Allowance</v>
      </c>
      <c r="E1915" s="309" t="s">
        <v>7</v>
      </c>
      <c r="F1915" s="501">
        <v>150</v>
      </c>
    </row>
    <row r="1916" spans="1:6" x14ac:dyDescent="0.25">
      <c r="A1916" s="308">
        <v>43343</v>
      </c>
      <c r="B1916" s="309" t="s">
        <v>485</v>
      </c>
      <c r="C1916" s="309" t="s">
        <v>506</v>
      </c>
      <c r="D1916" s="136" t="str">
        <f t="array" ref="D1916">IF(E1916=0,0,(INDEX(AccountCodes[ACCOUNT NAME],MATCH(E1916,AccountCodes[NGAS CODE],0))))</f>
        <v>Other Bonuses and Allowances - Children Allowance</v>
      </c>
      <c r="E1916" s="309" t="s">
        <v>7</v>
      </c>
      <c r="F1916" s="501">
        <v>150</v>
      </c>
    </row>
    <row r="1917" spans="1:6" x14ac:dyDescent="0.25">
      <c r="A1917" s="308">
        <v>43373</v>
      </c>
      <c r="B1917" s="309" t="s">
        <v>485</v>
      </c>
      <c r="C1917" s="309" t="s">
        <v>506</v>
      </c>
      <c r="D1917" s="136" t="str">
        <f t="array" ref="D1917">IF(E1917=0,0,(INDEX(AccountCodes[ACCOUNT NAME],MATCH(E1917,AccountCodes[NGAS CODE],0))))</f>
        <v>Other Bonuses and Allowances - Children Allowance</v>
      </c>
      <c r="E1917" s="309" t="s">
        <v>7</v>
      </c>
      <c r="F1917" s="501">
        <v>150</v>
      </c>
    </row>
    <row r="1918" spans="1:6" x14ac:dyDescent="0.25">
      <c r="A1918" s="308">
        <v>43404</v>
      </c>
      <c r="B1918" s="309" t="s">
        <v>485</v>
      </c>
      <c r="C1918" s="309" t="s">
        <v>506</v>
      </c>
      <c r="D1918" s="136" t="str">
        <f t="array" ref="D1918">IF(E1918=0,0,(INDEX(AccountCodes[ACCOUNT NAME],MATCH(E1918,AccountCodes[NGAS CODE],0))))</f>
        <v>Other Bonuses and Allowances - Children Allowance</v>
      </c>
      <c r="E1918" s="309" t="s">
        <v>7</v>
      </c>
      <c r="F1918" s="501">
        <v>150</v>
      </c>
    </row>
    <row r="1919" spans="1:6" x14ac:dyDescent="0.25">
      <c r="A1919" s="308">
        <v>43434</v>
      </c>
      <c r="B1919" s="309" t="s">
        <v>485</v>
      </c>
      <c r="C1919" s="309" t="s">
        <v>506</v>
      </c>
      <c r="D1919" s="136" t="str">
        <f t="array" ref="D1919">IF(E1919=0,0,(INDEX(AccountCodes[ACCOUNT NAME],MATCH(E1919,AccountCodes[NGAS CODE],0))))</f>
        <v>Other Bonuses and Allowances - Children Allowance</v>
      </c>
      <c r="E1919" s="309" t="s">
        <v>7</v>
      </c>
      <c r="F1919" s="501">
        <v>150</v>
      </c>
    </row>
    <row r="1920" spans="1:6" x14ac:dyDescent="0.25">
      <c r="A1920" s="308">
        <v>43465</v>
      </c>
      <c r="B1920" s="309" t="s">
        <v>485</v>
      </c>
      <c r="C1920" s="309" t="s">
        <v>506</v>
      </c>
      <c r="D1920" s="136" t="str">
        <f t="array" ref="D1920">IF(E1920=0,0,(INDEX(AccountCodes[ACCOUNT NAME],MATCH(E1920,AccountCodes[NGAS CODE],0))))</f>
        <v>Other Bonuses and Allowances - Children Allowance</v>
      </c>
      <c r="E1920" s="309" t="s">
        <v>7</v>
      </c>
      <c r="F1920" s="501">
        <v>150</v>
      </c>
    </row>
    <row r="1921" spans="1:6" x14ac:dyDescent="0.25">
      <c r="A1921" s="308">
        <v>43131</v>
      </c>
      <c r="B1921" s="309" t="s">
        <v>485</v>
      </c>
      <c r="C1921" s="309" t="s">
        <v>506</v>
      </c>
      <c r="D1921" s="136" t="str">
        <f t="array" ref="D1921">IF(E1921=0,0,(INDEX(AccountCodes[ACCOUNT NAME],MATCH(E1921,AccountCodes[NGAS CODE],0))))</f>
        <v>Other Bonuses and Allowances - Medical Allowance</v>
      </c>
      <c r="E1921" s="309" t="s">
        <v>5</v>
      </c>
      <c r="F1921" s="501">
        <v>1800</v>
      </c>
    </row>
    <row r="1922" spans="1:6" x14ac:dyDescent="0.25">
      <c r="A1922" s="308">
        <v>43159</v>
      </c>
      <c r="B1922" s="309" t="s">
        <v>485</v>
      </c>
      <c r="C1922" s="309" t="s">
        <v>506</v>
      </c>
      <c r="D1922" s="136" t="str">
        <f t="array" ref="D1922">IF(E1922=0,0,(INDEX(AccountCodes[ACCOUNT NAME],MATCH(E1922,AccountCodes[NGAS CODE],0))))</f>
        <v>Other Bonuses and Allowances - Medical Allowance</v>
      </c>
      <c r="E1922" s="309" t="s">
        <v>5</v>
      </c>
      <c r="F1922" s="501">
        <v>1800</v>
      </c>
    </row>
    <row r="1923" spans="1:6" x14ac:dyDescent="0.25">
      <c r="A1923" s="308">
        <v>43190</v>
      </c>
      <c r="B1923" s="309" t="s">
        <v>485</v>
      </c>
      <c r="C1923" s="309" t="s">
        <v>506</v>
      </c>
      <c r="D1923" s="136" t="str">
        <f t="array" ref="D1923">IF(E1923=0,0,(INDEX(AccountCodes[ACCOUNT NAME],MATCH(E1923,AccountCodes[NGAS CODE],0))))</f>
        <v>Other Bonuses and Allowances - Medical Allowance</v>
      </c>
      <c r="E1923" s="309" t="s">
        <v>5</v>
      </c>
      <c r="F1923" s="501">
        <v>1800</v>
      </c>
    </row>
    <row r="1924" spans="1:6" x14ac:dyDescent="0.25">
      <c r="A1924" s="308">
        <v>43220</v>
      </c>
      <c r="B1924" s="309" t="s">
        <v>485</v>
      </c>
      <c r="C1924" s="309" t="s">
        <v>506</v>
      </c>
      <c r="D1924" s="136" t="str">
        <f t="array" ref="D1924">IF(E1924=0,0,(INDEX(AccountCodes[ACCOUNT NAME],MATCH(E1924,AccountCodes[NGAS CODE],0))))</f>
        <v>Other Bonuses and Allowances - Medical Allowance</v>
      </c>
      <c r="E1924" s="309" t="s">
        <v>5</v>
      </c>
      <c r="F1924" s="501">
        <v>1800</v>
      </c>
    </row>
    <row r="1925" spans="1:6" x14ac:dyDescent="0.25">
      <c r="A1925" s="308">
        <v>43251</v>
      </c>
      <c r="B1925" s="309" t="s">
        <v>485</v>
      </c>
      <c r="C1925" s="309" t="s">
        <v>506</v>
      </c>
      <c r="D1925" s="136" t="str">
        <f t="array" ref="D1925">IF(E1925=0,0,(INDEX(AccountCodes[ACCOUNT NAME],MATCH(E1925,AccountCodes[NGAS CODE],0))))</f>
        <v>Other Bonuses and Allowances - Medical Allowance</v>
      </c>
      <c r="E1925" s="309" t="s">
        <v>5</v>
      </c>
      <c r="F1925" s="501">
        <v>1800</v>
      </c>
    </row>
    <row r="1926" spans="1:6" x14ac:dyDescent="0.25">
      <c r="A1926" s="308">
        <v>43281</v>
      </c>
      <c r="B1926" s="309" t="s">
        <v>485</v>
      </c>
      <c r="C1926" s="309" t="s">
        <v>506</v>
      </c>
      <c r="D1926" s="136" t="str">
        <f t="array" ref="D1926">IF(E1926=0,0,(INDEX(AccountCodes[ACCOUNT NAME],MATCH(E1926,AccountCodes[NGAS CODE],0))))</f>
        <v>Other Bonuses and Allowances - Medical Allowance</v>
      </c>
      <c r="E1926" s="309" t="s">
        <v>5</v>
      </c>
      <c r="F1926" s="501">
        <v>1800</v>
      </c>
    </row>
    <row r="1927" spans="1:6" x14ac:dyDescent="0.25">
      <c r="A1927" s="308">
        <v>43312</v>
      </c>
      <c r="B1927" s="309" t="s">
        <v>485</v>
      </c>
      <c r="C1927" s="309" t="s">
        <v>506</v>
      </c>
      <c r="D1927" s="136" t="str">
        <f t="array" ref="D1927">IF(E1927=0,0,(INDEX(AccountCodes[ACCOUNT NAME],MATCH(E1927,AccountCodes[NGAS CODE],0))))</f>
        <v>Other Bonuses and Allowances - Medical Allowance</v>
      </c>
      <c r="E1927" s="309" t="s">
        <v>5</v>
      </c>
      <c r="F1927" s="501">
        <v>1800</v>
      </c>
    </row>
    <row r="1928" spans="1:6" x14ac:dyDescent="0.25">
      <c r="A1928" s="308">
        <v>43343</v>
      </c>
      <c r="B1928" s="309" t="s">
        <v>485</v>
      </c>
      <c r="C1928" s="309" t="s">
        <v>506</v>
      </c>
      <c r="D1928" s="136" t="str">
        <f t="array" ref="D1928">IF(E1928=0,0,(INDEX(AccountCodes[ACCOUNT NAME],MATCH(E1928,AccountCodes[NGAS CODE],0))))</f>
        <v>Other Bonuses and Allowances - Medical Allowance</v>
      </c>
      <c r="E1928" s="309" t="s">
        <v>5</v>
      </c>
      <c r="F1928" s="501">
        <v>1800</v>
      </c>
    </row>
    <row r="1929" spans="1:6" x14ac:dyDescent="0.25">
      <c r="A1929" s="308">
        <v>43373</v>
      </c>
      <c r="B1929" s="309" t="s">
        <v>485</v>
      </c>
      <c r="C1929" s="309" t="s">
        <v>506</v>
      </c>
      <c r="D1929" s="136" t="str">
        <f t="array" ref="D1929">IF(E1929=0,0,(INDEX(AccountCodes[ACCOUNT NAME],MATCH(E1929,AccountCodes[NGAS CODE],0))))</f>
        <v>Other Bonuses and Allowances - Medical Allowance</v>
      </c>
      <c r="E1929" s="309" t="s">
        <v>5</v>
      </c>
      <c r="F1929" s="501">
        <v>1800</v>
      </c>
    </row>
    <row r="1930" spans="1:6" x14ac:dyDescent="0.25">
      <c r="A1930" s="308">
        <v>43404</v>
      </c>
      <c r="B1930" s="309" t="s">
        <v>485</v>
      </c>
      <c r="C1930" s="309" t="s">
        <v>506</v>
      </c>
      <c r="D1930" s="136" t="str">
        <f t="array" ref="D1930">IF(E1930=0,0,(INDEX(AccountCodes[ACCOUNT NAME],MATCH(E1930,AccountCodes[NGAS CODE],0))))</f>
        <v>Other Bonuses and Allowances - Medical Allowance</v>
      </c>
      <c r="E1930" s="309" t="s">
        <v>5</v>
      </c>
      <c r="F1930" s="501">
        <v>1800</v>
      </c>
    </row>
    <row r="1931" spans="1:6" x14ac:dyDescent="0.25">
      <c r="A1931" s="308">
        <v>43434</v>
      </c>
      <c r="B1931" s="309" t="s">
        <v>485</v>
      </c>
      <c r="C1931" s="309" t="s">
        <v>506</v>
      </c>
      <c r="D1931" s="136" t="str">
        <f t="array" ref="D1931">IF(E1931=0,0,(INDEX(AccountCodes[ACCOUNT NAME],MATCH(E1931,AccountCodes[NGAS CODE],0))))</f>
        <v>Other Bonuses and Allowances - Medical Allowance</v>
      </c>
      <c r="E1931" s="309" t="s">
        <v>5</v>
      </c>
      <c r="F1931" s="501">
        <v>1800</v>
      </c>
    </row>
    <row r="1932" spans="1:6" x14ac:dyDescent="0.25">
      <c r="A1932" s="308">
        <v>43465</v>
      </c>
      <c r="B1932" s="309" t="s">
        <v>485</v>
      </c>
      <c r="C1932" s="309" t="s">
        <v>506</v>
      </c>
      <c r="D1932" s="136" t="str">
        <f t="array" ref="D1932">IF(E1932=0,0,(INDEX(AccountCodes[ACCOUNT NAME],MATCH(E1932,AccountCodes[NGAS CODE],0))))</f>
        <v>Other Bonuses and Allowances - Medical Allowance</v>
      </c>
      <c r="E1932" s="309" t="s">
        <v>5</v>
      </c>
      <c r="F1932" s="501">
        <v>1800</v>
      </c>
    </row>
    <row r="1933" spans="1:6" x14ac:dyDescent="0.25">
      <c r="A1933" s="308">
        <v>43131</v>
      </c>
      <c r="B1933" s="309" t="s">
        <v>485</v>
      </c>
      <c r="C1933" s="309" t="s">
        <v>506</v>
      </c>
      <c r="D1933" s="136" t="str">
        <f t="array" ref="D1933">IF(E1933=0,0,(INDEX(AccountCodes[ACCOUNT NAME],MATCH(E1933,AccountCodes[NGAS CODE],0))))</f>
        <v>Other Bonuses and Allowances - Meal Allowance</v>
      </c>
      <c r="E1933" s="309" t="s">
        <v>6</v>
      </c>
      <c r="F1933" s="501">
        <v>594</v>
      </c>
    </row>
    <row r="1934" spans="1:6" x14ac:dyDescent="0.25">
      <c r="A1934" s="308">
        <v>43159</v>
      </c>
      <c r="B1934" s="309" t="s">
        <v>485</v>
      </c>
      <c r="C1934" s="309" t="s">
        <v>506</v>
      </c>
      <c r="D1934" s="136" t="str">
        <f t="array" ref="D1934">IF(E1934=0,0,(INDEX(AccountCodes[ACCOUNT NAME],MATCH(E1934,AccountCodes[NGAS CODE],0))))</f>
        <v>Other Bonuses and Allowances - Meal Allowance</v>
      </c>
      <c r="E1934" s="309" t="s">
        <v>6</v>
      </c>
      <c r="F1934" s="501">
        <v>594</v>
      </c>
    </row>
    <row r="1935" spans="1:6" x14ac:dyDescent="0.25">
      <c r="A1935" s="308">
        <v>43190</v>
      </c>
      <c r="B1935" s="309" t="s">
        <v>485</v>
      </c>
      <c r="C1935" s="309" t="s">
        <v>506</v>
      </c>
      <c r="D1935" s="136" t="str">
        <f t="array" ref="D1935">IF(E1935=0,0,(INDEX(AccountCodes[ACCOUNT NAME],MATCH(E1935,AccountCodes[NGAS CODE],0))))</f>
        <v>Other Bonuses and Allowances - Meal Allowance</v>
      </c>
      <c r="E1935" s="309" t="s">
        <v>6</v>
      </c>
      <c r="F1935" s="501">
        <v>594</v>
      </c>
    </row>
    <row r="1936" spans="1:6" x14ac:dyDescent="0.25">
      <c r="A1936" s="308">
        <v>43220</v>
      </c>
      <c r="B1936" s="309" t="s">
        <v>485</v>
      </c>
      <c r="C1936" s="309" t="s">
        <v>506</v>
      </c>
      <c r="D1936" s="136" t="str">
        <f t="array" ref="D1936">IF(E1936=0,0,(INDEX(AccountCodes[ACCOUNT NAME],MATCH(E1936,AccountCodes[NGAS CODE],0))))</f>
        <v>Other Bonuses and Allowances - Meal Allowance</v>
      </c>
      <c r="E1936" s="309" t="s">
        <v>6</v>
      </c>
      <c r="F1936" s="501">
        <v>594</v>
      </c>
    </row>
    <row r="1937" spans="1:6" x14ac:dyDescent="0.25">
      <c r="A1937" s="308">
        <v>43251</v>
      </c>
      <c r="B1937" s="309" t="s">
        <v>485</v>
      </c>
      <c r="C1937" s="309" t="s">
        <v>506</v>
      </c>
      <c r="D1937" s="136" t="str">
        <f t="array" ref="D1937">IF(E1937=0,0,(INDEX(AccountCodes[ACCOUNT NAME],MATCH(E1937,AccountCodes[NGAS CODE],0))))</f>
        <v>Other Bonuses and Allowances - Meal Allowance</v>
      </c>
      <c r="E1937" s="309" t="s">
        <v>6</v>
      </c>
      <c r="F1937" s="501">
        <v>594</v>
      </c>
    </row>
    <row r="1938" spans="1:6" x14ac:dyDescent="0.25">
      <c r="A1938" s="308">
        <v>43281</v>
      </c>
      <c r="B1938" s="309" t="s">
        <v>485</v>
      </c>
      <c r="C1938" s="309" t="s">
        <v>506</v>
      </c>
      <c r="D1938" s="136" t="str">
        <f t="array" ref="D1938">IF(E1938=0,0,(INDEX(AccountCodes[ACCOUNT NAME],MATCH(E1938,AccountCodes[NGAS CODE],0))))</f>
        <v>Other Bonuses and Allowances - Meal Allowance</v>
      </c>
      <c r="E1938" s="309" t="s">
        <v>6</v>
      </c>
      <c r="F1938" s="501">
        <v>594</v>
      </c>
    </row>
    <row r="1939" spans="1:6" x14ac:dyDescent="0.25">
      <c r="A1939" s="308">
        <v>43312</v>
      </c>
      <c r="B1939" s="309" t="s">
        <v>485</v>
      </c>
      <c r="C1939" s="309" t="s">
        <v>506</v>
      </c>
      <c r="D1939" s="136" t="str">
        <f t="array" ref="D1939">IF(E1939=0,0,(INDEX(AccountCodes[ACCOUNT NAME],MATCH(E1939,AccountCodes[NGAS CODE],0))))</f>
        <v>Other Bonuses and Allowances - Meal Allowance</v>
      </c>
      <c r="E1939" s="309" t="s">
        <v>6</v>
      </c>
      <c r="F1939" s="501">
        <v>594</v>
      </c>
    </row>
    <row r="1940" spans="1:6" x14ac:dyDescent="0.25">
      <c r="A1940" s="308">
        <v>43343</v>
      </c>
      <c r="B1940" s="309" t="s">
        <v>485</v>
      </c>
      <c r="C1940" s="309" t="s">
        <v>506</v>
      </c>
      <c r="D1940" s="136" t="str">
        <f t="array" ref="D1940">IF(E1940=0,0,(INDEX(AccountCodes[ACCOUNT NAME],MATCH(E1940,AccountCodes[NGAS CODE],0))))</f>
        <v>Other Bonuses and Allowances - Meal Allowance</v>
      </c>
      <c r="E1940" s="309" t="s">
        <v>6</v>
      </c>
      <c r="F1940" s="501">
        <v>594</v>
      </c>
    </row>
    <row r="1941" spans="1:6" x14ac:dyDescent="0.25">
      <c r="A1941" s="308">
        <v>43373</v>
      </c>
      <c r="B1941" s="309" t="s">
        <v>485</v>
      </c>
      <c r="C1941" s="309" t="s">
        <v>506</v>
      </c>
      <c r="D1941" s="136" t="str">
        <f t="array" ref="D1941">IF(E1941=0,0,(INDEX(AccountCodes[ACCOUNT NAME],MATCH(E1941,AccountCodes[NGAS CODE],0))))</f>
        <v>Other Bonuses and Allowances - Meal Allowance</v>
      </c>
      <c r="E1941" s="309" t="s">
        <v>6</v>
      </c>
      <c r="F1941" s="501">
        <v>594</v>
      </c>
    </row>
    <row r="1942" spans="1:6" x14ac:dyDescent="0.25">
      <c r="A1942" s="308">
        <v>43404</v>
      </c>
      <c r="B1942" s="309" t="s">
        <v>485</v>
      </c>
      <c r="C1942" s="309" t="s">
        <v>506</v>
      </c>
      <c r="D1942" s="136" t="str">
        <f t="array" ref="D1942">IF(E1942=0,0,(INDEX(AccountCodes[ACCOUNT NAME],MATCH(E1942,AccountCodes[NGAS CODE],0))))</f>
        <v>Other Bonuses and Allowances - Meal Allowance</v>
      </c>
      <c r="E1942" s="309" t="s">
        <v>6</v>
      </c>
      <c r="F1942" s="501">
        <v>594</v>
      </c>
    </row>
    <row r="1943" spans="1:6" x14ac:dyDescent="0.25">
      <c r="A1943" s="308">
        <v>43434</v>
      </c>
      <c r="B1943" s="309" t="s">
        <v>485</v>
      </c>
      <c r="C1943" s="309" t="s">
        <v>506</v>
      </c>
      <c r="D1943" s="136" t="str">
        <f t="array" ref="D1943">IF(E1943=0,0,(INDEX(AccountCodes[ACCOUNT NAME],MATCH(E1943,AccountCodes[NGAS CODE],0))))</f>
        <v>Other Bonuses and Allowances - Meal Allowance</v>
      </c>
      <c r="E1943" s="309" t="s">
        <v>6</v>
      </c>
      <c r="F1943" s="501">
        <v>594</v>
      </c>
    </row>
    <row r="1944" spans="1:6" x14ac:dyDescent="0.25">
      <c r="A1944" s="308">
        <v>43465</v>
      </c>
      <c r="B1944" s="309" t="s">
        <v>485</v>
      </c>
      <c r="C1944" s="309" t="s">
        <v>506</v>
      </c>
      <c r="D1944" s="136" t="str">
        <f t="array" ref="D1944">IF(E1944=0,0,(INDEX(AccountCodes[ACCOUNT NAME],MATCH(E1944,AccountCodes[NGAS CODE],0))))</f>
        <v>Other Bonuses and Allowances - Meal Allowance</v>
      </c>
      <c r="E1944" s="309" t="s">
        <v>6</v>
      </c>
      <c r="F1944" s="501">
        <v>594</v>
      </c>
    </row>
    <row r="1945" spans="1:6" x14ac:dyDescent="0.25">
      <c r="A1945" s="308">
        <v>43131</v>
      </c>
      <c r="B1945" s="309" t="s">
        <v>485</v>
      </c>
      <c r="C1945" s="309" t="s">
        <v>506</v>
      </c>
      <c r="D1945" s="136" t="str">
        <f t="array" ref="D1945">IF(E1945=0,0,(INDEX(AccountCodes[ACCOUNT NAME],MATCH(E1945,AccountCodes[NGAS CODE],0))))</f>
        <v>Telephone Expenses - Mobile</v>
      </c>
      <c r="E1945" s="309" t="s">
        <v>236</v>
      </c>
      <c r="F1945" s="501">
        <v>1500</v>
      </c>
    </row>
    <row r="1946" spans="1:6" x14ac:dyDescent="0.25">
      <c r="A1946" s="308">
        <v>43159</v>
      </c>
      <c r="B1946" s="309" t="s">
        <v>485</v>
      </c>
      <c r="C1946" s="309" t="s">
        <v>506</v>
      </c>
      <c r="D1946" s="136" t="str">
        <f t="array" ref="D1946">IF(E1946=0,0,(INDEX(AccountCodes[ACCOUNT NAME],MATCH(E1946,AccountCodes[NGAS CODE],0))))</f>
        <v>Telephone Expenses - Mobile</v>
      </c>
      <c r="E1946" s="309" t="s">
        <v>236</v>
      </c>
      <c r="F1946" s="501">
        <v>1500</v>
      </c>
    </row>
    <row r="1947" spans="1:6" x14ac:dyDescent="0.25">
      <c r="A1947" s="308">
        <v>43190</v>
      </c>
      <c r="B1947" s="309" t="s">
        <v>485</v>
      </c>
      <c r="C1947" s="309" t="s">
        <v>506</v>
      </c>
      <c r="D1947" s="136" t="str">
        <f t="array" ref="D1947">IF(E1947=0,0,(INDEX(AccountCodes[ACCOUNT NAME],MATCH(E1947,AccountCodes[NGAS CODE],0))))</f>
        <v>Telephone Expenses - Mobile</v>
      </c>
      <c r="E1947" s="309" t="s">
        <v>236</v>
      </c>
      <c r="F1947" s="501">
        <v>1500</v>
      </c>
    </row>
    <row r="1948" spans="1:6" x14ac:dyDescent="0.25">
      <c r="A1948" s="308">
        <v>43220</v>
      </c>
      <c r="B1948" s="309" t="s">
        <v>485</v>
      </c>
      <c r="C1948" s="309" t="s">
        <v>506</v>
      </c>
      <c r="D1948" s="136" t="str">
        <f t="array" ref="D1948">IF(E1948=0,0,(INDEX(AccountCodes[ACCOUNT NAME],MATCH(E1948,AccountCodes[NGAS CODE],0))))</f>
        <v>Telephone Expenses - Mobile</v>
      </c>
      <c r="E1948" s="309" t="s">
        <v>236</v>
      </c>
      <c r="F1948" s="501">
        <v>1500</v>
      </c>
    </row>
    <row r="1949" spans="1:6" x14ac:dyDescent="0.25">
      <c r="A1949" s="308">
        <v>43251</v>
      </c>
      <c r="B1949" s="309" t="s">
        <v>485</v>
      </c>
      <c r="C1949" s="309" t="s">
        <v>506</v>
      </c>
      <c r="D1949" s="136" t="str">
        <f t="array" ref="D1949">IF(E1949=0,0,(INDEX(AccountCodes[ACCOUNT NAME],MATCH(E1949,AccountCodes[NGAS CODE],0))))</f>
        <v>Telephone Expenses - Mobile</v>
      </c>
      <c r="E1949" s="309" t="s">
        <v>236</v>
      </c>
      <c r="F1949" s="501">
        <v>1500</v>
      </c>
    </row>
    <row r="1950" spans="1:6" x14ac:dyDescent="0.25">
      <c r="A1950" s="308">
        <v>43281</v>
      </c>
      <c r="B1950" s="309" t="s">
        <v>485</v>
      </c>
      <c r="C1950" s="309" t="s">
        <v>506</v>
      </c>
      <c r="D1950" s="136" t="str">
        <f t="array" ref="D1950">IF(E1950=0,0,(INDEX(AccountCodes[ACCOUNT NAME],MATCH(E1950,AccountCodes[NGAS CODE],0))))</f>
        <v>Telephone Expenses - Mobile</v>
      </c>
      <c r="E1950" s="309" t="s">
        <v>236</v>
      </c>
      <c r="F1950" s="501">
        <v>1500</v>
      </c>
    </row>
    <row r="1951" spans="1:6" x14ac:dyDescent="0.25">
      <c r="A1951" s="308">
        <v>43312</v>
      </c>
      <c r="B1951" s="309" t="s">
        <v>485</v>
      </c>
      <c r="C1951" s="309" t="s">
        <v>506</v>
      </c>
      <c r="D1951" s="136" t="str">
        <f t="array" ref="D1951">IF(E1951=0,0,(INDEX(AccountCodes[ACCOUNT NAME],MATCH(E1951,AccountCodes[NGAS CODE],0))))</f>
        <v>Telephone Expenses - Mobile</v>
      </c>
      <c r="E1951" s="309" t="s">
        <v>236</v>
      </c>
      <c r="F1951" s="501">
        <v>1500</v>
      </c>
    </row>
    <row r="1952" spans="1:6" x14ac:dyDescent="0.25">
      <c r="A1952" s="308">
        <v>43343</v>
      </c>
      <c r="B1952" s="309" t="s">
        <v>485</v>
      </c>
      <c r="C1952" s="309" t="s">
        <v>506</v>
      </c>
      <c r="D1952" s="136" t="str">
        <f t="array" ref="D1952">IF(E1952=0,0,(INDEX(AccountCodes[ACCOUNT NAME],MATCH(E1952,AccountCodes[NGAS CODE],0))))</f>
        <v>Telephone Expenses - Mobile</v>
      </c>
      <c r="E1952" s="309" t="s">
        <v>236</v>
      </c>
      <c r="F1952" s="501">
        <v>1500</v>
      </c>
    </row>
    <row r="1953" spans="1:6" x14ac:dyDescent="0.25">
      <c r="A1953" s="308">
        <v>43373</v>
      </c>
      <c r="B1953" s="309" t="s">
        <v>485</v>
      </c>
      <c r="C1953" s="309" t="s">
        <v>506</v>
      </c>
      <c r="D1953" s="136" t="str">
        <f t="array" ref="D1953">IF(E1953=0,0,(INDEX(AccountCodes[ACCOUNT NAME],MATCH(E1953,AccountCodes[NGAS CODE],0))))</f>
        <v>Telephone Expenses - Mobile</v>
      </c>
      <c r="E1953" s="309" t="s">
        <v>236</v>
      </c>
      <c r="F1953" s="501">
        <v>1500</v>
      </c>
    </row>
    <row r="1954" spans="1:6" x14ac:dyDescent="0.25">
      <c r="A1954" s="308">
        <v>43404</v>
      </c>
      <c r="B1954" s="309" t="s">
        <v>485</v>
      </c>
      <c r="C1954" s="309" t="s">
        <v>506</v>
      </c>
      <c r="D1954" s="136" t="str">
        <f t="array" ref="D1954">IF(E1954=0,0,(INDEX(AccountCodes[ACCOUNT NAME],MATCH(E1954,AccountCodes[NGAS CODE],0))))</f>
        <v>Telephone Expenses - Mobile</v>
      </c>
      <c r="E1954" s="309" t="s">
        <v>236</v>
      </c>
      <c r="F1954" s="501">
        <v>1500</v>
      </c>
    </row>
    <row r="1955" spans="1:6" x14ac:dyDescent="0.25">
      <c r="A1955" s="308">
        <v>43434</v>
      </c>
      <c r="B1955" s="309" t="s">
        <v>485</v>
      </c>
      <c r="C1955" s="309" t="s">
        <v>506</v>
      </c>
      <c r="D1955" s="136" t="str">
        <f t="array" ref="D1955">IF(E1955=0,0,(INDEX(AccountCodes[ACCOUNT NAME],MATCH(E1955,AccountCodes[NGAS CODE],0))))</f>
        <v>Telephone Expenses - Mobile</v>
      </c>
      <c r="E1955" s="309" t="s">
        <v>236</v>
      </c>
      <c r="F1955" s="501">
        <v>1500</v>
      </c>
    </row>
    <row r="1956" spans="1:6" x14ac:dyDescent="0.25">
      <c r="A1956" s="308">
        <v>43465</v>
      </c>
      <c r="B1956" s="309" t="s">
        <v>485</v>
      </c>
      <c r="C1956" s="309" t="s">
        <v>506</v>
      </c>
      <c r="D1956" s="136" t="str">
        <f t="array" ref="D1956">IF(E1956=0,0,(INDEX(AccountCodes[ACCOUNT NAME],MATCH(E1956,AccountCodes[NGAS CODE],0))))</f>
        <v>Telephone Expenses - Mobile</v>
      </c>
      <c r="E1956" s="309" t="s">
        <v>236</v>
      </c>
      <c r="F1956" s="501">
        <v>1500</v>
      </c>
    </row>
    <row r="1957" spans="1:6" x14ac:dyDescent="0.25">
      <c r="A1957" s="308">
        <v>43281</v>
      </c>
      <c r="B1957" s="309" t="s">
        <v>485</v>
      </c>
      <c r="C1957" s="309" t="s">
        <v>506</v>
      </c>
      <c r="D1957" s="136" t="str">
        <f t="array" ref="D1957">IF(E1957=0,0,(INDEX(AccountCodes[ACCOUNT NAME],MATCH(E1957,AccountCodes[NGAS CODE],0))))</f>
        <v>Longevity Pay</v>
      </c>
      <c r="E1957" s="309" t="s">
        <v>216</v>
      </c>
      <c r="F1957" s="501">
        <v>15000</v>
      </c>
    </row>
    <row r="1958" spans="1:6" x14ac:dyDescent="0.25">
      <c r="A1958" s="308">
        <v>43190</v>
      </c>
      <c r="B1958" s="309" t="s">
        <v>485</v>
      </c>
      <c r="C1958" s="309" t="s">
        <v>506</v>
      </c>
      <c r="D1958" s="136" t="str">
        <f t="array" ref="D1958">IF(E1958=0,0,(INDEX(AccountCodes[ACCOUNT NAME],MATCH(E1958,AccountCodes[NGAS CODE],0))))</f>
        <v>Honoraria</v>
      </c>
      <c r="E1958" s="309" t="s">
        <v>173</v>
      </c>
      <c r="F1958" s="501">
        <v>25000</v>
      </c>
    </row>
    <row r="1959" spans="1:6" x14ac:dyDescent="0.25">
      <c r="A1959" s="308">
        <v>43251</v>
      </c>
      <c r="B1959" s="309" t="s">
        <v>485</v>
      </c>
      <c r="C1959" s="309" t="s">
        <v>506</v>
      </c>
      <c r="D1959" s="136" t="str">
        <f t="array" ref="D1959">IF(E1959=0,0,(INDEX(AccountCodes[ACCOUNT NAME],MATCH(E1959,AccountCodes[NGAS CODE],0))))</f>
        <v>Honoraria</v>
      </c>
      <c r="E1959" s="309" t="s">
        <v>173</v>
      </c>
      <c r="F1959" s="501">
        <v>40000</v>
      </c>
    </row>
    <row r="1960" spans="1:6" x14ac:dyDescent="0.25">
      <c r="A1960" s="308">
        <v>43312</v>
      </c>
      <c r="B1960" s="309" t="s">
        <v>485</v>
      </c>
      <c r="C1960" s="309" t="s">
        <v>506</v>
      </c>
      <c r="D1960" s="136" t="str">
        <f t="array" ref="D1960">IF(E1960=0,0,(INDEX(AccountCodes[ACCOUNT NAME],MATCH(E1960,AccountCodes[NGAS CODE],0))))</f>
        <v>Honoraria</v>
      </c>
      <c r="E1960" s="309" t="s">
        <v>173</v>
      </c>
      <c r="F1960" s="501">
        <v>25000</v>
      </c>
    </row>
    <row r="1961" spans="1:6" x14ac:dyDescent="0.25">
      <c r="A1961" s="308">
        <v>43404</v>
      </c>
      <c r="B1961" s="309" t="s">
        <v>485</v>
      </c>
      <c r="C1961" s="309" t="s">
        <v>506</v>
      </c>
      <c r="D1961" s="136" t="str">
        <f t="array" ref="D1961">IF(E1961=0,0,(INDEX(AccountCodes[ACCOUNT NAME],MATCH(E1961,AccountCodes[NGAS CODE],0))))</f>
        <v>Honoraria</v>
      </c>
      <c r="E1961" s="309" t="s">
        <v>173</v>
      </c>
      <c r="F1961" s="501">
        <v>30000</v>
      </c>
    </row>
    <row r="1962" spans="1:6" x14ac:dyDescent="0.25">
      <c r="A1962" s="308">
        <v>43465</v>
      </c>
      <c r="B1962" s="309" t="s">
        <v>485</v>
      </c>
      <c r="C1962" s="309" t="s">
        <v>506</v>
      </c>
      <c r="D1962" s="136" t="str">
        <f t="array" ref="D1962">IF(E1962=0,0,(INDEX(AccountCodes[ACCOUNT NAME],MATCH(E1962,AccountCodes[NGAS CODE],0))))</f>
        <v>Other Bonuses and Allowances - Collective Negotiation Agreement Incentive-Civilian</v>
      </c>
      <c r="E1962" s="309" t="s">
        <v>168</v>
      </c>
      <c r="F1962" s="501">
        <v>625000</v>
      </c>
    </row>
    <row r="1963" spans="1:6" x14ac:dyDescent="0.25">
      <c r="A1963" s="308">
        <v>43465</v>
      </c>
      <c r="B1963" s="309" t="s">
        <v>485</v>
      </c>
      <c r="C1963" s="309" t="s">
        <v>506</v>
      </c>
      <c r="D1963" s="136" t="str">
        <f t="array" ref="D1963">IF(E1963=0,0,(INDEX(AccountCodes[ACCOUNT NAME],MATCH(E1963,AccountCodes[NGAS CODE],0))))</f>
        <v>Other Bonuses and Allowances - Productivity Enhancement Incentive-Civilian</v>
      </c>
      <c r="E1963" s="309" t="s">
        <v>170</v>
      </c>
      <c r="F1963" s="501">
        <v>120000</v>
      </c>
    </row>
    <row r="1964" spans="1:6" x14ac:dyDescent="0.25">
      <c r="A1964" s="308">
        <v>43159</v>
      </c>
      <c r="B1964" s="309" t="s">
        <v>485</v>
      </c>
      <c r="C1964" s="309" t="s">
        <v>506</v>
      </c>
      <c r="D1964" s="136" t="str">
        <f t="array" ref="D1964">IF(E1964=0,0,(INDEX(AccountCodes[ACCOUNT NAME],MATCH(E1964,AccountCodes[NGAS CODE],0))))</f>
        <v>Terminal Leave Benefits</v>
      </c>
      <c r="E1964" s="309" t="s">
        <v>212</v>
      </c>
      <c r="F1964" s="501">
        <v>1184182.24</v>
      </c>
    </row>
    <row r="1965" spans="1:6" x14ac:dyDescent="0.25">
      <c r="A1965" s="308">
        <v>43465</v>
      </c>
      <c r="B1965" s="309" t="s">
        <v>485</v>
      </c>
      <c r="C1965" s="309" t="s">
        <v>506</v>
      </c>
      <c r="D1965" s="136" t="str">
        <f t="array" ref="D1965">IF(E1965=0,0,(INDEX(AccountCodes[ACCOUNT NAME],MATCH(E1965,AccountCodes[NGAS CODE],0))))</f>
        <v>Terminal Leave Benefits</v>
      </c>
      <c r="E1965" s="309" t="s">
        <v>212</v>
      </c>
      <c r="F1965" s="501">
        <v>519061.16</v>
      </c>
    </row>
    <row r="1966" spans="1:6" x14ac:dyDescent="0.25">
      <c r="A1966" s="308">
        <v>43131</v>
      </c>
      <c r="B1966" s="309" t="s">
        <v>485</v>
      </c>
      <c r="C1966" s="309" t="s">
        <v>506</v>
      </c>
      <c r="D1966" s="136" t="str">
        <f t="array" ref="D1966">IF(E1966=0,0,(INDEX(AccountCodes[ACCOUNT NAME],MATCH(E1966,AccountCodes[NGAS CODE],0))))</f>
        <v>Retirement and Life Insurance Premiums</v>
      </c>
      <c r="E1966" s="309" t="s">
        <v>175</v>
      </c>
      <c r="F1966" s="501">
        <v>66192.600000000006</v>
      </c>
    </row>
    <row r="1967" spans="1:6" x14ac:dyDescent="0.25">
      <c r="A1967" s="308">
        <v>43159</v>
      </c>
      <c r="B1967" s="309" t="s">
        <v>485</v>
      </c>
      <c r="C1967" s="309" t="s">
        <v>506</v>
      </c>
      <c r="D1967" s="136" t="str">
        <f t="array" ref="D1967">IF(E1967=0,0,(INDEX(AccountCodes[ACCOUNT NAME],MATCH(E1967,AccountCodes[NGAS CODE],0))))</f>
        <v>Retirement and Life Insurance Premiums</v>
      </c>
      <c r="E1967" s="309" t="s">
        <v>175</v>
      </c>
      <c r="F1967" s="501">
        <v>66192.600000000006</v>
      </c>
    </row>
    <row r="1968" spans="1:6" x14ac:dyDescent="0.25">
      <c r="A1968" s="308">
        <v>43190</v>
      </c>
      <c r="B1968" s="309" t="s">
        <v>485</v>
      </c>
      <c r="C1968" s="309" t="s">
        <v>506</v>
      </c>
      <c r="D1968" s="136" t="str">
        <f t="array" ref="D1968">IF(E1968=0,0,(INDEX(AccountCodes[ACCOUNT NAME],MATCH(E1968,AccountCodes[NGAS CODE],0))))</f>
        <v>Retirement and Life Insurance Premiums</v>
      </c>
      <c r="E1968" s="309" t="s">
        <v>175</v>
      </c>
      <c r="F1968" s="501">
        <v>66192.600000000006</v>
      </c>
    </row>
    <row r="1969" spans="1:6" x14ac:dyDescent="0.25">
      <c r="A1969" s="308">
        <v>43220</v>
      </c>
      <c r="B1969" s="309" t="s">
        <v>485</v>
      </c>
      <c r="C1969" s="309" t="s">
        <v>506</v>
      </c>
      <c r="D1969" s="136" t="str">
        <f t="array" ref="D1969">IF(E1969=0,0,(INDEX(AccountCodes[ACCOUNT NAME],MATCH(E1969,AccountCodes[NGAS CODE],0))))</f>
        <v>Retirement and Life Insurance Premiums</v>
      </c>
      <c r="E1969" s="309" t="s">
        <v>175</v>
      </c>
      <c r="F1969" s="501">
        <v>66192.600000000006</v>
      </c>
    </row>
    <row r="1970" spans="1:6" x14ac:dyDescent="0.25">
      <c r="A1970" s="308">
        <v>43251</v>
      </c>
      <c r="B1970" s="309" t="s">
        <v>485</v>
      </c>
      <c r="C1970" s="309" t="s">
        <v>506</v>
      </c>
      <c r="D1970" s="136" t="str">
        <f t="array" ref="D1970">IF(E1970=0,0,(INDEX(AccountCodes[ACCOUNT NAME],MATCH(E1970,AccountCodes[NGAS CODE],0))))</f>
        <v>Retirement and Life Insurance Premiums</v>
      </c>
      <c r="E1970" s="309" t="s">
        <v>175</v>
      </c>
      <c r="F1970" s="501">
        <v>66192.600000000006</v>
      </c>
    </row>
    <row r="1971" spans="1:6" x14ac:dyDescent="0.25">
      <c r="A1971" s="308">
        <v>43281</v>
      </c>
      <c r="B1971" s="309" t="s">
        <v>485</v>
      </c>
      <c r="C1971" s="309" t="s">
        <v>506</v>
      </c>
      <c r="D1971" s="136" t="str">
        <f t="array" ref="D1971">IF(E1971=0,0,(INDEX(AccountCodes[ACCOUNT NAME],MATCH(E1971,AccountCodes[NGAS CODE],0))))</f>
        <v>Retirement and Life Insurance Premiums</v>
      </c>
      <c r="E1971" s="309" t="s">
        <v>175</v>
      </c>
      <c r="F1971" s="501">
        <v>66192.600000000006</v>
      </c>
    </row>
    <row r="1972" spans="1:6" x14ac:dyDescent="0.25">
      <c r="A1972" s="308">
        <v>43312</v>
      </c>
      <c r="B1972" s="309" t="s">
        <v>485</v>
      </c>
      <c r="C1972" s="309" t="s">
        <v>506</v>
      </c>
      <c r="D1972" s="136" t="str">
        <f t="array" ref="D1972">IF(E1972=0,0,(INDEX(AccountCodes[ACCOUNT NAME],MATCH(E1972,AccountCodes[NGAS CODE],0))))</f>
        <v>Retirement and Life Insurance Premiums</v>
      </c>
      <c r="E1972" s="309" t="s">
        <v>175</v>
      </c>
      <c r="F1972" s="501">
        <v>66192.600000000006</v>
      </c>
    </row>
    <row r="1973" spans="1:6" x14ac:dyDescent="0.25">
      <c r="A1973" s="308">
        <v>43343</v>
      </c>
      <c r="B1973" s="309" t="s">
        <v>485</v>
      </c>
      <c r="C1973" s="309" t="s">
        <v>506</v>
      </c>
      <c r="D1973" s="136" t="str">
        <f t="array" ref="D1973">IF(E1973=0,0,(INDEX(AccountCodes[ACCOUNT NAME],MATCH(E1973,AccountCodes[NGAS CODE],0))))</f>
        <v>Retirement and Life Insurance Premiums</v>
      </c>
      <c r="E1973" s="309" t="s">
        <v>175</v>
      </c>
      <c r="F1973" s="501">
        <v>66192.600000000006</v>
      </c>
    </row>
    <row r="1974" spans="1:6" x14ac:dyDescent="0.25">
      <c r="A1974" s="308">
        <v>43373</v>
      </c>
      <c r="B1974" s="309" t="s">
        <v>485</v>
      </c>
      <c r="C1974" s="309" t="s">
        <v>506</v>
      </c>
      <c r="D1974" s="136" t="str">
        <f t="array" ref="D1974">IF(E1974=0,0,(INDEX(AccountCodes[ACCOUNT NAME],MATCH(E1974,AccountCodes[NGAS CODE],0))))</f>
        <v>Retirement and Life Insurance Premiums</v>
      </c>
      <c r="E1974" s="309" t="s">
        <v>175</v>
      </c>
      <c r="F1974" s="501">
        <v>66192.600000000006</v>
      </c>
    </row>
    <row r="1975" spans="1:6" x14ac:dyDescent="0.25">
      <c r="A1975" s="308">
        <v>43404</v>
      </c>
      <c r="B1975" s="309" t="s">
        <v>485</v>
      </c>
      <c r="C1975" s="309" t="s">
        <v>506</v>
      </c>
      <c r="D1975" s="136" t="str">
        <f t="array" ref="D1975">IF(E1975=0,0,(INDEX(AccountCodes[ACCOUNT NAME],MATCH(E1975,AccountCodes[NGAS CODE],0))))</f>
        <v>Retirement and Life Insurance Premiums</v>
      </c>
      <c r="E1975" s="309" t="s">
        <v>175</v>
      </c>
      <c r="F1975" s="501">
        <v>66192.600000000006</v>
      </c>
    </row>
    <row r="1976" spans="1:6" x14ac:dyDescent="0.25">
      <c r="A1976" s="308">
        <v>43434</v>
      </c>
      <c r="B1976" s="309" t="s">
        <v>485</v>
      </c>
      <c r="C1976" s="309" t="s">
        <v>506</v>
      </c>
      <c r="D1976" s="136" t="str">
        <f t="array" ref="D1976">IF(E1976=0,0,(INDEX(AccountCodes[ACCOUNT NAME],MATCH(E1976,AccountCodes[NGAS CODE],0))))</f>
        <v>Retirement and Life Insurance Premiums</v>
      </c>
      <c r="E1976" s="309" t="s">
        <v>175</v>
      </c>
      <c r="F1976" s="501">
        <v>66192.600000000006</v>
      </c>
    </row>
    <row r="1977" spans="1:6" x14ac:dyDescent="0.25">
      <c r="A1977" s="308">
        <v>43465</v>
      </c>
      <c r="B1977" s="309" t="s">
        <v>485</v>
      </c>
      <c r="C1977" s="309" t="s">
        <v>506</v>
      </c>
      <c r="D1977" s="136" t="str">
        <f t="array" ref="D1977">IF(E1977=0,0,(INDEX(AccountCodes[ACCOUNT NAME],MATCH(E1977,AccountCodes[NGAS CODE],0))))</f>
        <v>Retirement and Life Insurance Premiums</v>
      </c>
      <c r="E1977" s="309" t="s">
        <v>175</v>
      </c>
      <c r="F1977" s="501">
        <v>66192.600000000006</v>
      </c>
    </row>
    <row r="1978" spans="1:6" x14ac:dyDescent="0.25">
      <c r="A1978" s="308">
        <v>43131</v>
      </c>
      <c r="B1978" s="309" t="s">
        <v>485</v>
      </c>
      <c r="C1978" s="309" t="s">
        <v>506</v>
      </c>
      <c r="D1978" s="136" t="str">
        <f t="array" ref="D1978">IF(E1978=0,0,(INDEX(AccountCodes[ACCOUNT NAME],MATCH(E1978,AccountCodes[NGAS CODE],0))))</f>
        <v>Pag-IBIG Contributions</v>
      </c>
      <c r="E1978" s="309" t="s">
        <v>176</v>
      </c>
      <c r="F1978" s="501">
        <v>2400</v>
      </c>
    </row>
    <row r="1979" spans="1:6" x14ac:dyDescent="0.25">
      <c r="A1979" s="308">
        <v>43159</v>
      </c>
      <c r="B1979" s="309" t="s">
        <v>485</v>
      </c>
      <c r="C1979" s="309" t="s">
        <v>506</v>
      </c>
      <c r="D1979" s="136" t="str">
        <f t="array" ref="D1979">IF(E1979=0,0,(INDEX(AccountCodes[ACCOUNT NAME],MATCH(E1979,AccountCodes[NGAS CODE],0))))</f>
        <v>Pag-IBIG Contributions</v>
      </c>
      <c r="E1979" s="309" t="s">
        <v>176</v>
      </c>
      <c r="F1979" s="501">
        <v>2400</v>
      </c>
    </row>
    <row r="1980" spans="1:6" x14ac:dyDescent="0.25">
      <c r="A1980" s="308">
        <v>43190</v>
      </c>
      <c r="B1980" s="309" t="s">
        <v>485</v>
      </c>
      <c r="C1980" s="309" t="s">
        <v>506</v>
      </c>
      <c r="D1980" s="136" t="str">
        <f t="array" ref="D1980">IF(E1980=0,0,(INDEX(AccountCodes[ACCOUNT NAME],MATCH(E1980,AccountCodes[NGAS CODE],0))))</f>
        <v>Pag-IBIG Contributions</v>
      </c>
      <c r="E1980" s="309" t="s">
        <v>176</v>
      </c>
      <c r="F1980" s="501">
        <v>2400</v>
      </c>
    </row>
    <row r="1981" spans="1:6" x14ac:dyDescent="0.25">
      <c r="A1981" s="308">
        <v>43220</v>
      </c>
      <c r="B1981" s="309" t="s">
        <v>485</v>
      </c>
      <c r="C1981" s="309" t="s">
        <v>506</v>
      </c>
      <c r="D1981" s="136" t="str">
        <f t="array" ref="D1981">IF(E1981=0,0,(INDEX(AccountCodes[ACCOUNT NAME],MATCH(E1981,AccountCodes[NGAS CODE],0))))</f>
        <v>Pag-IBIG Contributions</v>
      </c>
      <c r="E1981" s="309" t="s">
        <v>176</v>
      </c>
      <c r="F1981" s="501">
        <v>2400</v>
      </c>
    </row>
    <row r="1982" spans="1:6" x14ac:dyDescent="0.25">
      <c r="A1982" s="308">
        <v>43251</v>
      </c>
      <c r="B1982" s="309" t="s">
        <v>485</v>
      </c>
      <c r="C1982" s="309" t="s">
        <v>506</v>
      </c>
      <c r="D1982" s="136" t="str">
        <f t="array" ref="D1982">IF(E1982=0,0,(INDEX(AccountCodes[ACCOUNT NAME],MATCH(E1982,AccountCodes[NGAS CODE],0))))</f>
        <v>Pag-IBIG Contributions</v>
      </c>
      <c r="E1982" s="309" t="s">
        <v>176</v>
      </c>
      <c r="F1982" s="501">
        <v>2400</v>
      </c>
    </row>
    <row r="1983" spans="1:6" x14ac:dyDescent="0.25">
      <c r="A1983" s="308">
        <v>43281</v>
      </c>
      <c r="B1983" s="309" t="s">
        <v>485</v>
      </c>
      <c r="C1983" s="309" t="s">
        <v>506</v>
      </c>
      <c r="D1983" s="136" t="str">
        <f t="array" ref="D1983">IF(E1983=0,0,(INDEX(AccountCodes[ACCOUNT NAME],MATCH(E1983,AccountCodes[NGAS CODE],0))))</f>
        <v>Pag-IBIG Contributions</v>
      </c>
      <c r="E1983" s="309" t="s">
        <v>176</v>
      </c>
      <c r="F1983" s="501">
        <v>2400</v>
      </c>
    </row>
    <row r="1984" spans="1:6" x14ac:dyDescent="0.25">
      <c r="A1984" s="308">
        <v>43312</v>
      </c>
      <c r="B1984" s="309" t="s">
        <v>485</v>
      </c>
      <c r="C1984" s="309" t="s">
        <v>506</v>
      </c>
      <c r="D1984" s="136" t="str">
        <f t="array" ref="D1984">IF(E1984=0,0,(INDEX(AccountCodes[ACCOUNT NAME],MATCH(E1984,AccountCodes[NGAS CODE],0))))</f>
        <v>Pag-IBIG Contributions</v>
      </c>
      <c r="E1984" s="309" t="s">
        <v>176</v>
      </c>
      <c r="F1984" s="501">
        <v>2400</v>
      </c>
    </row>
    <row r="1985" spans="1:6" x14ac:dyDescent="0.25">
      <c r="A1985" s="308">
        <v>43343</v>
      </c>
      <c r="B1985" s="309" t="s">
        <v>485</v>
      </c>
      <c r="C1985" s="309" t="s">
        <v>506</v>
      </c>
      <c r="D1985" s="136" t="str">
        <f t="array" ref="D1985">IF(E1985=0,0,(INDEX(AccountCodes[ACCOUNT NAME],MATCH(E1985,AccountCodes[NGAS CODE],0))))</f>
        <v>Pag-IBIG Contributions</v>
      </c>
      <c r="E1985" s="309" t="s">
        <v>176</v>
      </c>
      <c r="F1985" s="501">
        <v>2400</v>
      </c>
    </row>
    <row r="1986" spans="1:6" x14ac:dyDescent="0.25">
      <c r="A1986" s="308">
        <v>43373</v>
      </c>
      <c r="B1986" s="309" t="s">
        <v>485</v>
      </c>
      <c r="C1986" s="309" t="s">
        <v>506</v>
      </c>
      <c r="D1986" s="136" t="str">
        <f t="array" ref="D1986">IF(E1986=0,0,(INDEX(AccountCodes[ACCOUNT NAME],MATCH(E1986,AccountCodes[NGAS CODE],0))))</f>
        <v>Pag-IBIG Contributions</v>
      </c>
      <c r="E1986" s="309" t="s">
        <v>176</v>
      </c>
      <c r="F1986" s="501">
        <v>2400</v>
      </c>
    </row>
    <row r="1987" spans="1:6" x14ac:dyDescent="0.25">
      <c r="A1987" s="308">
        <v>43404</v>
      </c>
      <c r="B1987" s="309" t="s">
        <v>485</v>
      </c>
      <c r="C1987" s="309" t="s">
        <v>506</v>
      </c>
      <c r="D1987" s="136" t="str">
        <f t="array" ref="D1987">IF(E1987=0,0,(INDEX(AccountCodes[ACCOUNT NAME],MATCH(E1987,AccountCodes[NGAS CODE],0))))</f>
        <v>Pag-IBIG Contributions</v>
      </c>
      <c r="E1987" s="309" t="s">
        <v>176</v>
      </c>
      <c r="F1987" s="501">
        <v>2400</v>
      </c>
    </row>
    <row r="1988" spans="1:6" x14ac:dyDescent="0.25">
      <c r="A1988" s="308">
        <v>43434</v>
      </c>
      <c r="B1988" s="309" t="s">
        <v>485</v>
      </c>
      <c r="C1988" s="309" t="s">
        <v>506</v>
      </c>
      <c r="D1988" s="136" t="str">
        <f t="array" ref="D1988">IF(E1988=0,0,(INDEX(AccountCodes[ACCOUNT NAME],MATCH(E1988,AccountCodes[NGAS CODE],0))))</f>
        <v>Pag-IBIG Contributions</v>
      </c>
      <c r="E1988" s="309" t="s">
        <v>176</v>
      </c>
      <c r="F1988" s="501">
        <v>2400</v>
      </c>
    </row>
    <row r="1989" spans="1:6" x14ac:dyDescent="0.25">
      <c r="A1989" s="308">
        <v>43465</v>
      </c>
      <c r="B1989" s="309" t="s">
        <v>485</v>
      </c>
      <c r="C1989" s="309" t="s">
        <v>506</v>
      </c>
      <c r="D1989" s="136" t="str">
        <f t="array" ref="D1989">IF(E1989=0,0,(INDEX(AccountCodes[ACCOUNT NAME],MATCH(E1989,AccountCodes[NGAS CODE],0))))</f>
        <v>Pag-IBIG Contributions</v>
      </c>
      <c r="E1989" s="309" t="s">
        <v>176</v>
      </c>
      <c r="F1989" s="501">
        <v>2400</v>
      </c>
    </row>
    <row r="1990" spans="1:6" x14ac:dyDescent="0.25">
      <c r="A1990" s="308">
        <v>43131</v>
      </c>
      <c r="B1990" s="309" t="s">
        <v>485</v>
      </c>
      <c r="C1990" s="309" t="s">
        <v>506</v>
      </c>
      <c r="D1990" s="136" t="str">
        <f t="array" ref="D1990">IF(E1990=0,0,(INDEX(AccountCodes[ACCOUNT NAME],MATCH(E1990,AccountCodes[NGAS CODE],0))))</f>
        <v>PhilHealth Contributions</v>
      </c>
      <c r="E1990" s="309" t="s">
        <v>177</v>
      </c>
      <c r="F1990" s="501">
        <v>7103.88</v>
      </c>
    </row>
    <row r="1991" spans="1:6" x14ac:dyDescent="0.25">
      <c r="A1991" s="308">
        <v>43159</v>
      </c>
      <c r="B1991" s="309" t="s">
        <v>485</v>
      </c>
      <c r="C1991" s="309" t="s">
        <v>506</v>
      </c>
      <c r="D1991" s="136" t="str">
        <f t="array" ref="D1991">IF(E1991=0,0,(INDEX(AccountCodes[ACCOUNT NAME],MATCH(E1991,AccountCodes[NGAS CODE],0))))</f>
        <v>PhilHealth Contributions</v>
      </c>
      <c r="E1991" s="309" t="s">
        <v>177</v>
      </c>
      <c r="F1991" s="501">
        <v>7103.88</v>
      </c>
    </row>
    <row r="1992" spans="1:6" x14ac:dyDescent="0.25">
      <c r="A1992" s="308">
        <v>43190</v>
      </c>
      <c r="B1992" s="309" t="s">
        <v>485</v>
      </c>
      <c r="C1992" s="309" t="s">
        <v>506</v>
      </c>
      <c r="D1992" s="136" t="str">
        <f t="array" ref="D1992">IF(E1992=0,0,(INDEX(AccountCodes[ACCOUNT NAME],MATCH(E1992,AccountCodes[NGAS CODE],0))))</f>
        <v>PhilHealth Contributions</v>
      </c>
      <c r="E1992" s="309" t="s">
        <v>177</v>
      </c>
      <c r="F1992" s="501">
        <v>7103.88</v>
      </c>
    </row>
    <row r="1993" spans="1:6" x14ac:dyDescent="0.25">
      <c r="A1993" s="308">
        <v>43220</v>
      </c>
      <c r="B1993" s="309" t="s">
        <v>485</v>
      </c>
      <c r="C1993" s="309" t="s">
        <v>506</v>
      </c>
      <c r="D1993" s="136" t="str">
        <f t="array" ref="D1993">IF(E1993=0,0,(INDEX(AccountCodes[ACCOUNT NAME],MATCH(E1993,AccountCodes[NGAS CODE],0))))</f>
        <v>PhilHealth Contributions</v>
      </c>
      <c r="E1993" s="309" t="s">
        <v>177</v>
      </c>
      <c r="F1993" s="501">
        <v>7103.88</v>
      </c>
    </row>
    <row r="1994" spans="1:6" x14ac:dyDescent="0.25">
      <c r="A1994" s="308">
        <v>43251</v>
      </c>
      <c r="B1994" s="309" t="s">
        <v>485</v>
      </c>
      <c r="C1994" s="309" t="s">
        <v>506</v>
      </c>
      <c r="D1994" s="136" t="str">
        <f t="array" ref="D1994">IF(E1994=0,0,(INDEX(AccountCodes[ACCOUNT NAME],MATCH(E1994,AccountCodes[NGAS CODE],0))))</f>
        <v>PhilHealth Contributions</v>
      </c>
      <c r="E1994" s="309" t="s">
        <v>177</v>
      </c>
      <c r="F1994" s="501">
        <v>7103.88</v>
      </c>
    </row>
    <row r="1995" spans="1:6" x14ac:dyDescent="0.25">
      <c r="A1995" s="308">
        <v>43281</v>
      </c>
      <c r="B1995" s="309" t="s">
        <v>485</v>
      </c>
      <c r="C1995" s="309" t="s">
        <v>506</v>
      </c>
      <c r="D1995" s="136" t="str">
        <f t="array" ref="D1995">IF(E1995=0,0,(INDEX(AccountCodes[ACCOUNT NAME],MATCH(E1995,AccountCodes[NGAS CODE],0))))</f>
        <v>PhilHealth Contributions</v>
      </c>
      <c r="E1995" s="309" t="s">
        <v>177</v>
      </c>
      <c r="F1995" s="501">
        <v>7103.88</v>
      </c>
    </row>
    <row r="1996" spans="1:6" x14ac:dyDescent="0.25">
      <c r="A1996" s="308">
        <v>43312</v>
      </c>
      <c r="B1996" s="309" t="s">
        <v>485</v>
      </c>
      <c r="C1996" s="309" t="s">
        <v>506</v>
      </c>
      <c r="D1996" s="136" t="str">
        <f t="array" ref="D1996">IF(E1996=0,0,(INDEX(AccountCodes[ACCOUNT NAME],MATCH(E1996,AccountCodes[NGAS CODE],0))))</f>
        <v>PhilHealth Contributions</v>
      </c>
      <c r="E1996" s="309" t="s">
        <v>177</v>
      </c>
      <c r="F1996" s="501">
        <v>7103.88</v>
      </c>
    </row>
    <row r="1997" spans="1:6" x14ac:dyDescent="0.25">
      <c r="A1997" s="308">
        <v>43343</v>
      </c>
      <c r="B1997" s="309" t="s">
        <v>485</v>
      </c>
      <c r="C1997" s="309" t="s">
        <v>506</v>
      </c>
      <c r="D1997" s="136" t="str">
        <f t="array" ref="D1997">IF(E1997=0,0,(INDEX(AccountCodes[ACCOUNT NAME],MATCH(E1997,AccountCodes[NGAS CODE],0))))</f>
        <v>PhilHealth Contributions</v>
      </c>
      <c r="E1997" s="309" t="s">
        <v>177</v>
      </c>
      <c r="F1997" s="501">
        <v>7103.88</v>
      </c>
    </row>
    <row r="1998" spans="1:6" x14ac:dyDescent="0.25">
      <c r="A1998" s="308">
        <v>43373</v>
      </c>
      <c r="B1998" s="309" t="s">
        <v>485</v>
      </c>
      <c r="C1998" s="309" t="s">
        <v>506</v>
      </c>
      <c r="D1998" s="136" t="str">
        <f t="array" ref="D1998">IF(E1998=0,0,(INDEX(AccountCodes[ACCOUNT NAME],MATCH(E1998,AccountCodes[NGAS CODE],0))))</f>
        <v>PhilHealth Contributions</v>
      </c>
      <c r="E1998" s="309" t="s">
        <v>177</v>
      </c>
      <c r="F1998" s="501">
        <v>7103.88</v>
      </c>
    </row>
    <row r="1999" spans="1:6" x14ac:dyDescent="0.25">
      <c r="A1999" s="308">
        <v>43404</v>
      </c>
      <c r="B1999" s="309" t="s">
        <v>485</v>
      </c>
      <c r="C1999" s="309" t="s">
        <v>506</v>
      </c>
      <c r="D1999" s="136" t="str">
        <f t="array" ref="D1999">IF(E1999=0,0,(INDEX(AccountCodes[ACCOUNT NAME],MATCH(E1999,AccountCodes[NGAS CODE],0))))</f>
        <v>PhilHealth Contributions</v>
      </c>
      <c r="E1999" s="309" t="s">
        <v>177</v>
      </c>
      <c r="F1999" s="501">
        <v>7103.88</v>
      </c>
    </row>
    <row r="2000" spans="1:6" x14ac:dyDescent="0.25">
      <c r="A2000" s="308">
        <v>43434</v>
      </c>
      <c r="B2000" s="309" t="s">
        <v>485</v>
      </c>
      <c r="C2000" s="309" t="s">
        <v>506</v>
      </c>
      <c r="D2000" s="136" t="str">
        <f t="array" ref="D2000">IF(E2000=0,0,(INDEX(AccountCodes[ACCOUNT NAME],MATCH(E2000,AccountCodes[NGAS CODE],0))))</f>
        <v>PhilHealth Contributions</v>
      </c>
      <c r="E2000" s="309" t="s">
        <v>177</v>
      </c>
      <c r="F2000" s="501">
        <v>7103.88</v>
      </c>
    </row>
    <row r="2001" spans="1:6" x14ac:dyDescent="0.25">
      <c r="A2001" s="308">
        <v>43465</v>
      </c>
      <c r="B2001" s="309" t="s">
        <v>485</v>
      </c>
      <c r="C2001" s="309" t="s">
        <v>506</v>
      </c>
      <c r="D2001" s="136" t="str">
        <f t="array" ref="D2001">IF(E2001=0,0,(INDEX(AccountCodes[ACCOUNT NAME],MATCH(E2001,AccountCodes[NGAS CODE],0))))</f>
        <v>PhilHealth Contributions</v>
      </c>
      <c r="E2001" s="309" t="s">
        <v>177</v>
      </c>
      <c r="F2001" s="501">
        <v>7103.88</v>
      </c>
    </row>
    <row r="2002" spans="1:6" x14ac:dyDescent="0.25">
      <c r="A2002" s="308">
        <v>43131</v>
      </c>
      <c r="B2002" s="309" t="s">
        <v>485</v>
      </c>
      <c r="C2002" s="309" t="s">
        <v>506</v>
      </c>
      <c r="D2002" s="136" t="str">
        <f t="array" ref="D2002">IF(E2002=0,0,(INDEX(AccountCodes[ACCOUNT NAME],MATCH(E2002,AccountCodes[NGAS CODE],0))))</f>
        <v>Employees Compensation Insurance Premiums</v>
      </c>
      <c r="E2002" s="309" t="s">
        <v>178</v>
      </c>
      <c r="F2002" s="501">
        <v>2400</v>
      </c>
    </row>
    <row r="2003" spans="1:6" x14ac:dyDescent="0.25">
      <c r="A2003" s="308">
        <v>43159</v>
      </c>
      <c r="B2003" s="309" t="s">
        <v>485</v>
      </c>
      <c r="C2003" s="309" t="s">
        <v>506</v>
      </c>
      <c r="D2003" s="136" t="str">
        <f t="array" ref="D2003">IF(E2003=0,0,(INDEX(AccountCodes[ACCOUNT NAME],MATCH(E2003,AccountCodes[NGAS CODE],0))))</f>
        <v>Employees Compensation Insurance Premiums</v>
      </c>
      <c r="E2003" s="309" t="s">
        <v>178</v>
      </c>
      <c r="F2003" s="501">
        <v>2400</v>
      </c>
    </row>
    <row r="2004" spans="1:6" x14ac:dyDescent="0.25">
      <c r="A2004" s="308">
        <v>43190</v>
      </c>
      <c r="B2004" s="309" t="s">
        <v>485</v>
      </c>
      <c r="C2004" s="309" t="s">
        <v>506</v>
      </c>
      <c r="D2004" s="136" t="str">
        <f t="array" ref="D2004">IF(E2004=0,0,(INDEX(AccountCodes[ACCOUNT NAME],MATCH(E2004,AccountCodes[NGAS CODE],0))))</f>
        <v>Employees Compensation Insurance Premiums</v>
      </c>
      <c r="E2004" s="309" t="s">
        <v>178</v>
      </c>
      <c r="F2004" s="501">
        <v>2400</v>
      </c>
    </row>
    <row r="2005" spans="1:6" x14ac:dyDescent="0.25">
      <c r="A2005" s="308">
        <v>43220</v>
      </c>
      <c r="B2005" s="309" t="s">
        <v>485</v>
      </c>
      <c r="C2005" s="309" t="s">
        <v>506</v>
      </c>
      <c r="D2005" s="136" t="str">
        <f t="array" ref="D2005">IF(E2005=0,0,(INDEX(AccountCodes[ACCOUNT NAME],MATCH(E2005,AccountCodes[NGAS CODE],0))))</f>
        <v>Employees Compensation Insurance Premiums</v>
      </c>
      <c r="E2005" s="309" t="s">
        <v>178</v>
      </c>
      <c r="F2005" s="501">
        <v>2400</v>
      </c>
    </row>
    <row r="2006" spans="1:6" x14ac:dyDescent="0.25">
      <c r="A2006" s="308">
        <v>43251</v>
      </c>
      <c r="B2006" s="309" t="s">
        <v>485</v>
      </c>
      <c r="C2006" s="309" t="s">
        <v>506</v>
      </c>
      <c r="D2006" s="136" t="str">
        <f t="array" ref="D2006">IF(E2006=0,0,(INDEX(AccountCodes[ACCOUNT NAME],MATCH(E2006,AccountCodes[NGAS CODE],0))))</f>
        <v>Employees Compensation Insurance Premiums</v>
      </c>
      <c r="E2006" s="309" t="s">
        <v>178</v>
      </c>
      <c r="F2006" s="501">
        <v>2400</v>
      </c>
    </row>
    <row r="2007" spans="1:6" x14ac:dyDescent="0.25">
      <c r="A2007" s="308">
        <v>43281</v>
      </c>
      <c r="B2007" s="309" t="s">
        <v>485</v>
      </c>
      <c r="C2007" s="309" t="s">
        <v>506</v>
      </c>
      <c r="D2007" s="136" t="str">
        <f t="array" ref="D2007">IF(E2007=0,0,(INDEX(AccountCodes[ACCOUNT NAME],MATCH(E2007,AccountCodes[NGAS CODE],0))))</f>
        <v>Employees Compensation Insurance Premiums</v>
      </c>
      <c r="E2007" s="309" t="s">
        <v>178</v>
      </c>
      <c r="F2007" s="501">
        <v>2400</v>
      </c>
    </row>
    <row r="2008" spans="1:6" x14ac:dyDescent="0.25">
      <c r="A2008" s="308">
        <v>43312</v>
      </c>
      <c r="B2008" s="309" t="s">
        <v>485</v>
      </c>
      <c r="C2008" s="309" t="s">
        <v>506</v>
      </c>
      <c r="D2008" s="136" t="str">
        <f t="array" ref="D2008">IF(E2008=0,0,(INDEX(AccountCodes[ACCOUNT NAME],MATCH(E2008,AccountCodes[NGAS CODE],0))))</f>
        <v>Employees Compensation Insurance Premiums</v>
      </c>
      <c r="E2008" s="309" t="s">
        <v>178</v>
      </c>
      <c r="F2008" s="501">
        <v>2400</v>
      </c>
    </row>
    <row r="2009" spans="1:6" x14ac:dyDescent="0.25">
      <c r="A2009" s="308">
        <v>43343</v>
      </c>
      <c r="B2009" s="309" t="s">
        <v>485</v>
      </c>
      <c r="C2009" s="309" t="s">
        <v>506</v>
      </c>
      <c r="D2009" s="136" t="str">
        <f t="array" ref="D2009">IF(E2009=0,0,(INDEX(AccountCodes[ACCOUNT NAME],MATCH(E2009,AccountCodes[NGAS CODE],0))))</f>
        <v>Employees Compensation Insurance Premiums</v>
      </c>
      <c r="E2009" s="309" t="s">
        <v>178</v>
      </c>
      <c r="F2009" s="501">
        <v>2400</v>
      </c>
    </row>
    <row r="2010" spans="1:6" x14ac:dyDescent="0.25">
      <c r="A2010" s="308">
        <v>43373</v>
      </c>
      <c r="B2010" s="309" t="s">
        <v>485</v>
      </c>
      <c r="C2010" s="309" t="s">
        <v>506</v>
      </c>
      <c r="D2010" s="136" t="str">
        <f t="array" ref="D2010">IF(E2010=0,0,(INDEX(AccountCodes[ACCOUNT NAME],MATCH(E2010,AccountCodes[NGAS CODE],0))))</f>
        <v>Employees Compensation Insurance Premiums</v>
      </c>
      <c r="E2010" s="309" t="s">
        <v>178</v>
      </c>
      <c r="F2010" s="501">
        <v>2400</v>
      </c>
    </row>
    <row r="2011" spans="1:6" x14ac:dyDescent="0.25">
      <c r="A2011" s="308">
        <v>43404</v>
      </c>
      <c r="B2011" s="309" t="s">
        <v>485</v>
      </c>
      <c r="C2011" s="309" t="s">
        <v>506</v>
      </c>
      <c r="D2011" s="136" t="str">
        <f t="array" ref="D2011">IF(E2011=0,0,(INDEX(AccountCodes[ACCOUNT NAME],MATCH(E2011,AccountCodes[NGAS CODE],0))))</f>
        <v>Employees Compensation Insurance Premiums</v>
      </c>
      <c r="E2011" s="309" t="s">
        <v>178</v>
      </c>
      <c r="F2011" s="501">
        <v>2400</v>
      </c>
    </row>
    <row r="2012" spans="1:6" x14ac:dyDescent="0.25">
      <c r="A2012" s="308">
        <v>43434</v>
      </c>
      <c r="B2012" s="309" t="s">
        <v>485</v>
      </c>
      <c r="C2012" s="309" t="s">
        <v>506</v>
      </c>
      <c r="D2012" s="136" t="str">
        <f t="array" ref="D2012">IF(E2012=0,0,(INDEX(AccountCodes[ACCOUNT NAME],MATCH(E2012,AccountCodes[NGAS CODE],0))))</f>
        <v>Employees Compensation Insurance Premiums</v>
      </c>
      <c r="E2012" s="309" t="s">
        <v>178</v>
      </c>
      <c r="F2012" s="501">
        <v>2400</v>
      </c>
    </row>
    <row r="2013" spans="1:6" x14ac:dyDescent="0.25">
      <c r="A2013" s="308">
        <v>43465</v>
      </c>
      <c r="B2013" s="309" t="s">
        <v>485</v>
      </c>
      <c r="C2013" s="309" t="s">
        <v>506</v>
      </c>
      <c r="D2013" s="136" t="str">
        <f t="array" ref="D2013">IF(E2013=0,0,(INDEX(AccountCodes[ACCOUNT NAME],MATCH(E2013,AccountCodes[NGAS CODE],0))))</f>
        <v>Employees Compensation Insurance Premiums</v>
      </c>
      <c r="E2013" s="309" t="s">
        <v>178</v>
      </c>
      <c r="F2013" s="501">
        <v>2400</v>
      </c>
    </row>
    <row r="2014" spans="1:6" x14ac:dyDescent="0.25">
      <c r="A2014" s="308">
        <v>43131</v>
      </c>
      <c r="B2014" s="309" t="s">
        <v>485</v>
      </c>
      <c r="C2014" s="309" t="s">
        <v>506</v>
      </c>
      <c r="D2014" s="136" t="str">
        <f t="array" ref="D2014">IF(E2014=0,0,(INDEX(AccountCodes[ACCOUNT NAME],MATCH(E2014,AccountCodes[NGAS CODE],0))))</f>
        <v>Traveling Expenses-Local</v>
      </c>
      <c r="E2014" s="309" t="s">
        <v>223</v>
      </c>
      <c r="F2014" s="501">
        <v>4700</v>
      </c>
    </row>
    <row r="2015" spans="1:6" x14ac:dyDescent="0.25">
      <c r="A2015" s="308">
        <v>43159</v>
      </c>
      <c r="B2015" s="309" t="s">
        <v>485</v>
      </c>
      <c r="C2015" s="309" t="s">
        <v>506</v>
      </c>
      <c r="D2015" s="136" t="str">
        <f t="array" ref="D2015">IF(E2015=0,0,(INDEX(AccountCodes[ACCOUNT NAME],MATCH(E2015,AccountCodes[NGAS CODE],0))))</f>
        <v>Traveling Expenses-Local</v>
      </c>
      <c r="E2015" s="309" t="s">
        <v>223</v>
      </c>
      <c r="F2015" s="501">
        <v>4700</v>
      </c>
    </row>
    <row r="2016" spans="1:6" x14ac:dyDescent="0.25">
      <c r="A2016" s="308">
        <v>43190</v>
      </c>
      <c r="B2016" s="309" t="s">
        <v>485</v>
      </c>
      <c r="C2016" s="309" t="s">
        <v>506</v>
      </c>
      <c r="D2016" s="136" t="str">
        <f t="array" ref="D2016">IF(E2016=0,0,(INDEX(AccountCodes[ACCOUNT NAME],MATCH(E2016,AccountCodes[NGAS CODE],0))))</f>
        <v>Traveling Expenses-Local</v>
      </c>
      <c r="E2016" s="309" t="s">
        <v>223</v>
      </c>
      <c r="F2016" s="501">
        <v>4700</v>
      </c>
    </row>
    <row r="2017" spans="1:6" x14ac:dyDescent="0.25">
      <c r="A2017" s="308">
        <v>43220</v>
      </c>
      <c r="B2017" s="309" t="s">
        <v>485</v>
      </c>
      <c r="C2017" s="309" t="s">
        <v>506</v>
      </c>
      <c r="D2017" s="136" t="str">
        <f t="array" ref="D2017">IF(E2017=0,0,(INDEX(AccountCodes[ACCOUNT NAME],MATCH(E2017,AccountCodes[NGAS CODE],0))))</f>
        <v>Traveling Expenses-Local</v>
      </c>
      <c r="E2017" s="309" t="s">
        <v>223</v>
      </c>
      <c r="F2017" s="501">
        <v>4700</v>
      </c>
    </row>
    <row r="2018" spans="1:6" x14ac:dyDescent="0.25">
      <c r="A2018" s="308">
        <v>43251</v>
      </c>
      <c r="B2018" s="309" t="s">
        <v>485</v>
      </c>
      <c r="C2018" s="309" t="s">
        <v>506</v>
      </c>
      <c r="D2018" s="136" t="str">
        <f t="array" ref="D2018">IF(E2018=0,0,(INDEX(AccountCodes[ACCOUNT NAME],MATCH(E2018,AccountCodes[NGAS CODE],0))))</f>
        <v>Traveling Expenses-Local</v>
      </c>
      <c r="E2018" s="309" t="s">
        <v>223</v>
      </c>
      <c r="F2018" s="501">
        <v>4700</v>
      </c>
    </row>
    <row r="2019" spans="1:6" x14ac:dyDescent="0.25">
      <c r="A2019" s="308">
        <v>43281</v>
      </c>
      <c r="B2019" s="309" t="s">
        <v>485</v>
      </c>
      <c r="C2019" s="309" t="s">
        <v>506</v>
      </c>
      <c r="D2019" s="136" t="str">
        <f t="array" ref="D2019">IF(E2019=0,0,(INDEX(AccountCodes[ACCOUNT NAME],MATCH(E2019,AccountCodes[NGAS CODE],0))))</f>
        <v>Traveling Expenses-Local</v>
      </c>
      <c r="E2019" s="309" t="s">
        <v>223</v>
      </c>
      <c r="F2019" s="501">
        <v>4700</v>
      </c>
    </row>
    <row r="2020" spans="1:6" x14ac:dyDescent="0.25">
      <c r="A2020" s="308">
        <v>43312</v>
      </c>
      <c r="B2020" s="309" t="s">
        <v>485</v>
      </c>
      <c r="C2020" s="309" t="s">
        <v>506</v>
      </c>
      <c r="D2020" s="136" t="str">
        <f t="array" ref="D2020">IF(E2020=0,0,(INDEX(AccountCodes[ACCOUNT NAME],MATCH(E2020,AccountCodes[NGAS CODE],0))))</f>
        <v>Traveling Expenses-Local</v>
      </c>
      <c r="E2020" s="309" t="s">
        <v>223</v>
      </c>
      <c r="F2020" s="501">
        <v>4700</v>
      </c>
    </row>
    <row r="2021" spans="1:6" x14ac:dyDescent="0.25">
      <c r="A2021" s="308">
        <v>43343</v>
      </c>
      <c r="B2021" s="309" t="s">
        <v>485</v>
      </c>
      <c r="C2021" s="309" t="s">
        <v>506</v>
      </c>
      <c r="D2021" s="136" t="str">
        <f t="array" ref="D2021">IF(E2021=0,0,(INDEX(AccountCodes[ACCOUNT NAME],MATCH(E2021,AccountCodes[NGAS CODE],0))))</f>
        <v>Traveling Expenses-Local</v>
      </c>
      <c r="E2021" s="309" t="s">
        <v>223</v>
      </c>
      <c r="F2021" s="501">
        <v>4700</v>
      </c>
    </row>
    <row r="2022" spans="1:6" x14ac:dyDescent="0.25">
      <c r="A2022" s="308">
        <v>43373</v>
      </c>
      <c r="B2022" s="309" t="s">
        <v>485</v>
      </c>
      <c r="C2022" s="309" t="s">
        <v>506</v>
      </c>
      <c r="D2022" s="136" t="str">
        <f t="array" ref="D2022">IF(E2022=0,0,(INDEX(AccountCodes[ACCOUNT NAME],MATCH(E2022,AccountCodes[NGAS CODE],0))))</f>
        <v>Traveling Expenses-Local</v>
      </c>
      <c r="E2022" s="309" t="s">
        <v>223</v>
      </c>
      <c r="F2022" s="501">
        <v>4700</v>
      </c>
    </row>
    <row r="2023" spans="1:6" x14ac:dyDescent="0.25">
      <c r="A2023" s="308">
        <v>43404</v>
      </c>
      <c r="B2023" s="309" t="s">
        <v>485</v>
      </c>
      <c r="C2023" s="309" t="s">
        <v>506</v>
      </c>
      <c r="D2023" s="136" t="str">
        <f t="array" ref="D2023">IF(E2023=0,0,(INDEX(AccountCodes[ACCOUNT NAME],MATCH(E2023,AccountCodes[NGAS CODE],0))))</f>
        <v>Traveling Expenses-Local</v>
      </c>
      <c r="E2023" s="309" t="s">
        <v>223</v>
      </c>
      <c r="F2023" s="501">
        <v>4700</v>
      </c>
    </row>
    <row r="2024" spans="1:6" x14ac:dyDescent="0.25">
      <c r="A2024" s="308">
        <v>43434</v>
      </c>
      <c r="B2024" s="309" t="s">
        <v>485</v>
      </c>
      <c r="C2024" s="309" t="s">
        <v>506</v>
      </c>
      <c r="D2024" s="136" t="str">
        <f t="array" ref="D2024">IF(E2024=0,0,(INDEX(AccountCodes[ACCOUNT NAME],MATCH(E2024,AccountCodes[NGAS CODE],0))))</f>
        <v>Traveling Expenses-Local</v>
      </c>
      <c r="E2024" s="309" t="s">
        <v>223</v>
      </c>
      <c r="F2024" s="501">
        <v>4700</v>
      </c>
    </row>
    <row r="2025" spans="1:6" x14ac:dyDescent="0.25">
      <c r="A2025" s="308">
        <v>43465</v>
      </c>
      <c r="B2025" s="309" t="s">
        <v>485</v>
      </c>
      <c r="C2025" s="309" t="s">
        <v>506</v>
      </c>
      <c r="D2025" s="136" t="str">
        <f t="array" ref="D2025">IF(E2025=0,0,(INDEX(AccountCodes[ACCOUNT NAME],MATCH(E2025,AccountCodes[NGAS CODE],0))))</f>
        <v>Traveling Expenses-Local</v>
      </c>
      <c r="E2025" s="309" t="s">
        <v>223</v>
      </c>
      <c r="F2025" s="501">
        <v>5100</v>
      </c>
    </row>
    <row r="2026" spans="1:6" x14ac:dyDescent="0.25">
      <c r="A2026" s="308">
        <v>43190</v>
      </c>
      <c r="B2026" s="309" t="s">
        <v>485</v>
      </c>
      <c r="C2026" s="309" t="s">
        <v>506</v>
      </c>
      <c r="D2026" s="136" t="str">
        <f t="array" ref="D2026">IF(E2026=0,0,(INDEX(AccountCodes[ACCOUNT NAME],MATCH(E2026,AccountCodes[NGAS CODE],0))))</f>
        <v>Training Expenses</v>
      </c>
      <c r="E2026" s="309" t="s">
        <v>224</v>
      </c>
      <c r="F2026" s="501">
        <v>37500</v>
      </c>
    </row>
    <row r="2027" spans="1:6" x14ac:dyDescent="0.25">
      <c r="A2027" s="308">
        <v>43281</v>
      </c>
      <c r="B2027" s="309" t="s">
        <v>485</v>
      </c>
      <c r="C2027" s="309" t="s">
        <v>506</v>
      </c>
      <c r="D2027" s="136" t="str">
        <f t="array" ref="D2027">IF(E2027=0,0,(INDEX(AccountCodes[ACCOUNT NAME],MATCH(E2027,AccountCodes[NGAS CODE],0))))</f>
        <v>Training Expenses</v>
      </c>
      <c r="E2027" s="309" t="s">
        <v>224</v>
      </c>
      <c r="F2027" s="501">
        <v>37500</v>
      </c>
    </row>
    <row r="2028" spans="1:6" x14ac:dyDescent="0.25">
      <c r="A2028" s="308">
        <v>43373</v>
      </c>
      <c r="B2028" s="309" t="s">
        <v>485</v>
      </c>
      <c r="C2028" s="309" t="s">
        <v>506</v>
      </c>
      <c r="D2028" s="136" t="str">
        <f t="array" ref="D2028">IF(E2028=0,0,(INDEX(AccountCodes[ACCOUNT NAME],MATCH(E2028,AccountCodes[NGAS CODE],0))))</f>
        <v>Training Expenses</v>
      </c>
      <c r="E2028" s="309" t="s">
        <v>224</v>
      </c>
      <c r="F2028" s="501">
        <v>37500</v>
      </c>
    </row>
    <row r="2029" spans="1:6" x14ac:dyDescent="0.25">
      <c r="A2029" s="308">
        <v>43465</v>
      </c>
      <c r="B2029" s="309" t="s">
        <v>485</v>
      </c>
      <c r="C2029" s="309" t="s">
        <v>506</v>
      </c>
      <c r="D2029" s="136" t="str">
        <f t="array" ref="D2029">IF(E2029=0,0,(INDEX(AccountCodes[ACCOUNT NAME],MATCH(E2029,AccountCodes[NGAS CODE],0))))</f>
        <v>Training Expenses</v>
      </c>
      <c r="E2029" s="309" t="s">
        <v>224</v>
      </c>
      <c r="F2029" s="501">
        <v>37500</v>
      </c>
    </row>
    <row r="2030" spans="1:6" x14ac:dyDescent="0.25">
      <c r="A2030" s="308">
        <v>43131</v>
      </c>
      <c r="B2030" s="309" t="s">
        <v>485</v>
      </c>
      <c r="C2030" s="309" t="s">
        <v>506</v>
      </c>
      <c r="D2030" s="136" t="str">
        <f t="array" ref="D2030">IF(E2030=0,0,(INDEX(AccountCodes[ACCOUNT NAME],MATCH(E2030,AccountCodes[NGAS CODE],0))))</f>
        <v>Office Supplies Expenses</v>
      </c>
      <c r="E2030" s="309" t="s">
        <v>225</v>
      </c>
      <c r="F2030" s="501">
        <v>50000</v>
      </c>
    </row>
    <row r="2031" spans="1:6" x14ac:dyDescent="0.25">
      <c r="A2031" s="308">
        <v>43220</v>
      </c>
      <c r="B2031" s="309" t="s">
        <v>485</v>
      </c>
      <c r="C2031" s="309" t="s">
        <v>506</v>
      </c>
      <c r="D2031" s="136" t="str">
        <f t="array" ref="D2031">IF(E2031=0,0,(INDEX(AccountCodes[ACCOUNT NAME],MATCH(E2031,AccountCodes[NGAS CODE],0))))</f>
        <v>Office Supplies Expenses</v>
      </c>
      <c r="E2031" s="309" t="s">
        <v>225</v>
      </c>
      <c r="F2031" s="501">
        <v>50000</v>
      </c>
    </row>
    <row r="2032" spans="1:6" x14ac:dyDescent="0.25">
      <c r="A2032" s="308">
        <v>43312</v>
      </c>
      <c r="B2032" s="309" t="s">
        <v>485</v>
      </c>
      <c r="C2032" s="309" t="s">
        <v>506</v>
      </c>
      <c r="D2032" s="136" t="str">
        <f t="array" ref="D2032">IF(E2032=0,0,(INDEX(AccountCodes[ACCOUNT NAME],MATCH(E2032,AccountCodes[NGAS CODE],0))))</f>
        <v>Office Supplies Expenses</v>
      </c>
      <c r="E2032" s="309" t="s">
        <v>225</v>
      </c>
      <c r="F2032" s="501">
        <v>50000</v>
      </c>
    </row>
    <row r="2033" spans="1:6" x14ac:dyDescent="0.25">
      <c r="A2033" s="308">
        <v>43404</v>
      </c>
      <c r="B2033" s="309" t="s">
        <v>485</v>
      </c>
      <c r="C2033" s="309" t="s">
        <v>506</v>
      </c>
      <c r="D2033" s="136" t="str">
        <f t="array" ref="D2033">IF(E2033=0,0,(INDEX(AccountCodes[ACCOUNT NAME],MATCH(E2033,AccountCodes[NGAS CODE],0))))</f>
        <v>Office Supplies Expenses</v>
      </c>
      <c r="E2033" s="309" t="s">
        <v>225</v>
      </c>
      <c r="F2033" s="501">
        <v>70000</v>
      </c>
    </row>
    <row r="2034" spans="1:6" x14ac:dyDescent="0.25">
      <c r="A2034" s="308">
        <v>43131</v>
      </c>
      <c r="B2034" s="309" t="s">
        <v>485</v>
      </c>
      <c r="C2034" s="309" t="s">
        <v>506</v>
      </c>
      <c r="D2034" s="136" t="str">
        <f t="array" ref="D2034">IF(E2034=0,0,(INDEX(AccountCodes[ACCOUNT NAME],MATCH(E2034,AccountCodes[NGAS CODE],0))))</f>
        <v>Other Supplies and Materials Expenses</v>
      </c>
      <c r="E2034" s="309" t="s">
        <v>231</v>
      </c>
      <c r="F2034" s="501">
        <v>15000</v>
      </c>
    </row>
    <row r="2035" spans="1:6" x14ac:dyDescent="0.25">
      <c r="A2035" s="308">
        <v>43281</v>
      </c>
      <c r="B2035" s="309" t="s">
        <v>485</v>
      </c>
      <c r="C2035" s="309" t="s">
        <v>506</v>
      </c>
      <c r="D2035" s="136" t="str">
        <f t="array" ref="D2035">IF(E2035=0,0,(INDEX(AccountCodes[ACCOUNT NAME],MATCH(E2035,AccountCodes[NGAS CODE],0))))</f>
        <v>Other Supplies and Materials Expenses</v>
      </c>
      <c r="E2035" s="309" t="s">
        <v>231</v>
      </c>
      <c r="F2035" s="501">
        <v>10000</v>
      </c>
    </row>
    <row r="2036" spans="1:6" x14ac:dyDescent="0.25">
      <c r="A2036" s="308">
        <v>43131</v>
      </c>
      <c r="B2036" s="309" t="s">
        <v>485</v>
      </c>
      <c r="C2036" s="309" t="s">
        <v>506</v>
      </c>
      <c r="D2036" s="136" t="str">
        <f t="array" ref="D2036">IF(E2036=0,0,(INDEX(AccountCodes[ACCOUNT NAME],MATCH(E2036,AccountCodes[NGAS CODE],0))))</f>
        <v>Fuel, Oil and Lubricants Expenses</v>
      </c>
      <c r="E2036" s="309" t="s">
        <v>229</v>
      </c>
      <c r="F2036" s="501">
        <v>100000</v>
      </c>
    </row>
    <row r="2037" spans="1:6" x14ac:dyDescent="0.25">
      <c r="A2037" s="308">
        <v>43159</v>
      </c>
      <c r="B2037" s="309" t="s">
        <v>485</v>
      </c>
      <c r="C2037" s="309" t="s">
        <v>506</v>
      </c>
      <c r="D2037" s="136" t="str">
        <f t="array" ref="D2037">IF(E2037=0,0,(INDEX(AccountCodes[ACCOUNT NAME],MATCH(E2037,AccountCodes[NGAS CODE],0))))</f>
        <v>Fuel, Oil and Lubricants Expenses</v>
      </c>
      <c r="E2037" s="309" t="s">
        <v>229</v>
      </c>
      <c r="F2037" s="501">
        <v>80000</v>
      </c>
    </row>
    <row r="2038" spans="1:6" x14ac:dyDescent="0.25">
      <c r="A2038" s="308">
        <v>43190</v>
      </c>
      <c r="B2038" s="309" t="s">
        <v>485</v>
      </c>
      <c r="C2038" s="309" t="s">
        <v>506</v>
      </c>
      <c r="D2038" s="136" t="str">
        <f t="array" ref="D2038">IF(E2038=0,0,(INDEX(AccountCodes[ACCOUNT NAME],MATCH(E2038,AccountCodes[NGAS CODE],0))))</f>
        <v>Fuel, Oil and Lubricants Expenses</v>
      </c>
      <c r="E2038" s="309" t="s">
        <v>229</v>
      </c>
      <c r="F2038" s="501">
        <v>100000</v>
      </c>
    </row>
    <row r="2039" spans="1:6" x14ac:dyDescent="0.25">
      <c r="A2039" s="308">
        <v>43220</v>
      </c>
      <c r="B2039" s="309" t="s">
        <v>485</v>
      </c>
      <c r="C2039" s="309" t="s">
        <v>506</v>
      </c>
      <c r="D2039" s="136" t="str">
        <f t="array" ref="D2039">IF(E2039=0,0,(INDEX(AccountCodes[ACCOUNT NAME],MATCH(E2039,AccountCodes[NGAS CODE],0))))</f>
        <v>Fuel, Oil and Lubricants Expenses</v>
      </c>
      <c r="E2039" s="309" t="s">
        <v>229</v>
      </c>
      <c r="F2039" s="501">
        <v>75000</v>
      </c>
    </row>
    <row r="2040" spans="1:6" x14ac:dyDescent="0.25">
      <c r="A2040" s="308">
        <v>43251</v>
      </c>
      <c r="B2040" s="309" t="s">
        <v>485</v>
      </c>
      <c r="C2040" s="309" t="s">
        <v>506</v>
      </c>
      <c r="D2040" s="136" t="str">
        <f t="array" ref="D2040">IF(E2040=0,0,(INDEX(AccountCodes[ACCOUNT NAME],MATCH(E2040,AccountCodes[NGAS CODE],0))))</f>
        <v>Fuel, Oil and Lubricants Expenses</v>
      </c>
      <c r="E2040" s="309" t="s">
        <v>229</v>
      </c>
      <c r="F2040" s="501">
        <v>50000</v>
      </c>
    </row>
    <row r="2041" spans="1:6" x14ac:dyDescent="0.25">
      <c r="A2041" s="308">
        <v>43281</v>
      </c>
      <c r="B2041" s="309" t="s">
        <v>485</v>
      </c>
      <c r="C2041" s="309" t="s">
        <v>506</v>
      </c>
      <c r="D2041" s="136" t="str">
        <f t="array" ref="D2041">IF(E2041=0,0,(INDEX(AccountCodes[ACCOUNT NAME],MATCH(E2041,AccountCodes[NGAS CODE],0))))</f>
        <v>Fuel, Oil and Lubricants Expenses</v>
      </c>
      <c r="E2041" s="309" t="s">
        <v>229</v>
      </c>
      <c r="F2041" s="501">
        <v>50000</v>
      </c>
    </row>
    <row r="2042" spans="1:6" x14ac:dyDescent="0.25">
      <c r="A2042" s="308">
        <v>43312</v>
      </c>
      <c r="B2042" s="309" t="s">
        <v>485</v>
      </c>
      <c r="C2042" s="309" t="s">
        <v>506</v>
      </c>
      <c r="D2042" s="136" t="str">
        <f t="array" ref="D2042">IF(E2042=0,0,(INDEX(AccountCodes[ACCOUNT NAME],MATCH(E2042,AccountCodes[NGAS CODE],0))))</f>
        <v>Fuel, Oil and Lubricants Expenses</v>
      </c>
      <c r="E2042" s="309" t="s">
        <v>229</v>
      </c>
      <c r="F2042" s="501">
        <v>30000</v>
      </c>
    </row>
    <row r="2043" spans="1:6" x14ac:dyDescent="0.25">
      <c r="A2043" s="308">
        <v>43343</v>
      </c>
      <c r="B2043" s="309" t="s">
        <v>485</v>
      </c>
      <c r="C2043" s="309" t="s">
        <v>506</v>
      </c>
      <c r="D2043" s="136" t="str">
        <f t="array" ref="D2043">IF(E2043=0,0,(INDEX(AccountCodes[ACCOUNT NAME],MATCH(E2043,AccountCodes[NGAS CODE],0))))</f>
        <v>Fuel, Oil and Lubricants Expenses</v>
      </c>
      <c r="E2043" s="309" t="s">
        <v>229</v>
      </c>
      <c r="F2043" s="501">
        <v>34000</v>
      </c>
    </row>
    <row r="2044" spans="1:6" x14ac:dyDescent="0.25">
      <c r="A2044" s="308">
        <v>43373</v>
      </c>
      <c r="B2044" s="309" t="s">
        <v>485</v>
      </c>
      <c r="C2044" s="309" t="s">
        <v>506</v>
      </c>
      <c r="D2044" s="136" t="str">
        <f t="array" ref="D2044">IF(E2044=0,0,(INDEX(AccountCodes[ACCOUNT NAME],MATCH(E2044,AccountCodes[NGAS CODE],0))))</f>
        <v>Fuel, Oil and Lubricants Expenses</v>
      </c>
      <c r="E2044" s="309" t="s">
        <v>229</v>
      </c>
      <c r="F2044" s="501">
        <v>50000</v>
      </c>
    </row>
    <row r="2045" spans="1:6" x14ac:dyDescent="0.25">
      <c r="A2045" s="308">
        <v>43404</v>
      </c>
      <c r="B2045" s="309" t="s">
        <v>485</v>
      </c>
      <c r="C2045" s="309" t="s">
        <v>506</v>
      </c>
      <c r="D2045" s="136" t="str">
        <f t="array" ref="D2045">IF(E2045=0,0,(INDEX(AccountCodes[ACCOUNT NAME],MATCH(E2045,AccountCodes[NGAS CODE],0))))</f>
        <v>Fuel, Oil and Lubricants Expenses</v>
      </c>
      <c r="E2045" s="309" t="s">
        <v>229</v>
      </c>
      <c r="F2045" s="501">
        <v>45000</v>
      </c>
    </row>
    <row r="2046" spans="1:6" x14ac:dyDescent="0.25">
      <c r="A2046" s="308">
        <v>43434</v>
      </c>
      <c r="B2046" s="309" t="s">
        <v>485</v>
      </c>
      <c r="C2046" s="309" t="s">
        <v>506</v>
      </c>
      <c r="D2046" s="136" t="str">
        <f t="array" ref="D2046">IF(E2046=0,0,(INDEX(AccountCodes[ACCOUNT NAME],MATCH(E2046,AccountCodes[NGAS CODE],0))))</f>
        <v>Fuel, Oil and Lubricants Expenses</v>
      </c>
      <c r="E2046" s="309" t="s">
        <v>229</v>
      </c>
      <c r="F2046" s="501">
        <v>20000</v>
      </c>
    </row>
    <row r="2047" spans="1:6" x14ac:dyDescent="0.25">
      <c r="A2047" s="308">
        <v>43465</v>
      </c>
      <c r="B2047" s="309" t="s">
        <v>485</v>
      </c>
      <c r="C2047" s="309" t="s">
        <v>506</v>
      </c>
      <c r="D2047" s="136" t="str">
        <f t="array" ref="D2047">IF(E2047=0,0,(INDEX(AccountCodes[ACCOUNT NAME],MATCH(E2047,AccountCodes[NGAS CODE],0))))</f>
        <v>Fuel, Oil and Lubricants Expenses</v>
      </c>
      <c r="E2047" s="309" t="s">
        <v>229</v>
      </c>
      <c r="F2047" s="501">
        <v>50000</v>
      </c>
    </row>
    <row r="2048" spans="1:6" x14ac:dyDescent="0.25">
      <c r="A2048" s="308">
        <v>43131</v>
      </c>
      <c r="B2048" s="309" t="s">
        <v>485</v>
      </c>
      <c r="C2048" s="309" t="s">
        <v>506</v>
      </c>
      <c r="D2048" s="136" t="str">
        <f t="array" ref="D2048">IF(E2048=0,0,(INDEX(AccountCodes[ACCOUNT NAME],MATCH(E2048,AccountCodes[NGAS CODE],0))))</f>
        <v>Other Supplies and Materials Expenses</v>
      </c>
      <c r="E2048" s="309" t="s">
        <v>231</v>
      </c>
      <c r="F2048" s="501">
        <v>8000</v>
      </c>
    </row>
    <row r="2049" spans="1:6" x14ac:dyDescent="0.25">
      <c r="A2049" s="308">
        <v>43159</v>
      </c>
      <c r="B2049" s="309" t="s">
        <v>485</v>
      </c>
      <c r="C2049" s="309" t="s">
        <v>506</v>
      </c>
      <c r="D2049" s="136" t="str">
        <f t="array" ref="D2049">IF(E2049=0,0,(INDEX(AccountCodes[ACCOUNT NAME],MATCH(E2049,AccountCodes[NGAS CODE],0))))</f>
        <v>Other Supplies and Materials Expenses</v>
      </c>
      <c r="E2049" s="309" t="s">
        <v>231</v>
      </c>
      <c r="F2049" s="501">
        <v>5000</v>
      </c>
    </row>
    <row r="2050" spans="1:6" x14ac:dyDescent="0.25">
      <c r="A2050" s="308">
        <v>43190</v>
      </c>
      <c r="B2050" s="309" t="s">
        <v>485</v>
      </c>
      <c r="C2050" s="309" t="s">
        <v>506</v>
      </c>
      <c r="D2050" s="136" t="str">
        <f t="array" ref="D2050">IF(E2050=0,0,(INDEX(AccountCodes[ACCOUNT NAME],MATCH(E2050,AccountCodes[NGAS CODE],0))))</f>
        <v>Other Supplies and Materials Expenses</v>
      </c>
      <c r="E2050" s="309" t="s">
        <v>231</v>
      </c>
      <c r="F2050" s="501">
        <v>10000</v>
      </c>
    </row>
    <row r="2051" spans="1:6" x14ac:dyDescent="0.25">
      <c r="A2051" s="308">
        <v>43220</v>
      </c>
      <c r="B2051" s="309" t="s">
        <v>485</v>
      </c>
      <c r="C2051" s="309" t="s">
        <v>506</v>
      </c>
      <c r="D2051" s="136" t="str">
        <f t="array" ref="D2051">IF(E2051=0,0,(INDEX(AccountCodes[ACCOUNT NAME],MATCH(E2051,AccountCodes[NGAS CODE],0))))</f>
        <v>Other Supplies and Materials Expenses</v>
      </c>
      <c r="E2051" s="309" t="s">
        <v>231</v>
      </c>
      <c r="F2051" s="501">
        <v>8000</v>
      </c>
    </row>
    <row r="2052" spans="1:6" x14ac:dyDescent="0.25">
      <c r="A2052" s="308">
        <v>43251</v>
      </c>
      <c r="B2052" s="309" t="s">
        <v>485</v>
      </c>
      <c r="C2052" s="309" t="s">
        <v>506</v>
      </c>
      <c r="D2052" s="136" t="str">
        <f t="array" ref="D2052">IF(E2052=0,0,(INDEX(AccountCodes[ACCOUNT NAME],MATCH(E2052,AccountCodes[NGAS CODE],0))))</f>
        <v>Other Supplies and Materials Expenses</v>
      </c>
      <c r="E2052" s="309" t="s">
        <v>231</v>
      </c>
      <c r="F2052" s="501">
        <v>10000</v>
      </c>
    </row>
    <row r="2053" spans="1:6" x14ac:dyDescent="0.25">
      <c r="A2053" s="308">
        <v>43281</v>
      </c>
      <c r="B2053" s="309" t="s">
        <v>485</v>
      </c>
      <c r="C2053" s="309" t="s">
        <v>506</v>
      </c>
      <c r="D2053" s="136" t="str">
        <f t="array" ref="D2053">IF(E2053=0,0,(INDEX(AccountCodes[ACCOUNT NAME],MATCH(E2053,AccountCodes[NGAS CODE],0))))</f>
        <v>Other Supplies and Materials Expenses</v>
      </c>
      <c r="E2053" s="309" t="s">
        <v>231</v>
      </c>
      <c r="F2053" s="501">
        <v>5000</v>
      </c>
    </row>
    <row r="2054" spans="1:6" x14ac:dyDescent="0.25">
      <c r="A2054" s="308">
        <v>43312</v>
      </c>
      <c r="B2054" s="309" t="s">
        <v>485</v>
      </c>
      <c r="C2054" s="309" t="s">
        <v>506</v>
      </c>
      <c r="D2054" s="136" t="str">
        <f t="array" ref="D2054">IF(E2054=0,0,(INDEX(AccountCodes[ACCOUNT NAME],MATCH(E2054,AccountCodes[NGAS CODE],0))))</f>
        <v>Other Supplies and Materials Expenses</v>
      </c>
      <c r="E2054" s="309" t="s">
        <v>231</v>
      </c>
      <c r="F2054" s="501">
        <v>6000</v>
      </c>
    </row>
    <row r="2055" spans="1:6" x14ac:dyDescent="0.25">
      <c r="A2055" s="308">
        <v>43343</v>
      </c>
      <c r="B2055" s="309" t="s">
        <v>485</v>
      </c>
      <c r="C2055" s="309" t="s">
        <v>506</v>
      </c>
      <c r="D2055" s="136" t="str">
        <f t="array" ref="D2055">IF(E2055=0,0,(INDEX(AccountCodes[ACCOUNT NAME],MATCH(E2055,AccountCodes[NGAS CODE],0))))</f>
        <v>Other Supplies and Materials Expenses</v>
      </c>
      <c r="E2055" s="309" t="s">
        <v>231</v>
      </c>
      <c r="F2055" s="501">
        <v>10000</v>
      </c>
    </row>
    <row r="2056" spans="1:6" x14ac:dyDescent="0.25">
      <c r="A2056" s="308">
        <v>43373</v>
      </c>
      <c r="B2056" s="309" t="s">
        <v>485</v>
      </c>
      <c r="C2056" s="309" t="s">
        <v>506</v>
      </c>
      <c r="D2056" s="136" t="str">
        <f t="array" ref="D2056">IF(E2056=0,0,(INDEX(AccountCodes[ACCOUNT NAME],MATCH(E2056,AccountCodes[NGAS CODE],0))))</f>
        <v>Other Supplies and Materials Expenses</v>
      </c>
      <c r="E2056" s="309" t="s">
        <v>231</v>
      </c>
      <c r="F2056" s="501">
        <v>5000</v>
      </c>
    </row>
    <row r="2057" spans="1:6" x14ac:dyDescent="0.25">
      <c r="A2057" s="308">
        <v>43404</v>
      </c>
      <c r="B2057" s="309" t="s">
        <v>485</v>
      </c>
      <c r="C2057" s="309" t="s">
        <v>506</v>
      </c>
      <c r="D2057" s="136" t="str">
        <f t="array" ref="D2057">IF(E2057=0,0,(INDEX(AccountCodes[ACCOUNT NAME],MATCH(E2057,AccountCodes[NGAS CODE],0))))</f>
        <v>Other Supplies and Materials Expenses</v>
      </c>
      <c r="E2057" s="309" t="s">
        <v>231</v>
      </c>
      <c r="F2057" s="501">
        <v>5000</v>
      </c>
    </row>
    <row r="2058" spans="1:6" x14ac:dyDescent="0.25">
      <c r="A2058" s="308">
        <v>43434</v>
      </c>
      <c r="B2058" s="309" t="s">
        <v>485</v>
      </c>
      <c r="C2058" s="309" t="s">
        <v>506</v>
      </c>
      <c r="D2058" s="136" t="str">
        <f t="array" ref="D2058">IF(E2058=0,0,(INDEX(AccountCodes[ACCOUNT NAME],MATCH(E2058,AccountCodes[NGAS CODE],0))))</f>
        <v>Other Supplies and Materials Expenses</v>
      </c>
      <c r="E2058" s="309" t="s">
        <v>231</v>
      </c>
      <c r="F2058" s="501">
        <v>10000</v>
      </c>
    </row>
    <row r="2059" spans="1:6" x14ac:dyDescent="0.25">
      <c r="A2059" s="308">
        <v>43465</v>
      </c>
      <c r="B2059" s="309" t="s">
        <v>485</v>
      </c>
      <c r="C2059" s="309" t="s">
        <v>506</v>
      </c>
      <c r="D2059" s="136" t="str">
        <f t="array" ref="D2059">IF(E2059=0,0,(INDEX(AccountCodes[ACCOUNT NAME],MATCH(E2059,AccountCodes[NGAS CODE],0))))</f>
        <v>Other Supplies and Materials Expenses</v>
      </c>
      <c r="E2059" s="309" t="s">
        <v>231</v>
      </c>
      <c r="F2059" s="501">
        <v>6000</v>
      </c>
    </row>
    <row r="2060" spans="1:6" x14ac:dyDescent="0.25">
      <c r="A2060" s="308">
        <v>43131</v>
      </c>
      <c r="B2060" s="309" t="s">
        <v>485</v>
      </c>
      <c r="C2060" s="309" t="s">
        <v>506</v>
      </c>
      <c r="D2060" s="136" t="str">
        <f t="array" ref="D2060">IF(E2060=0,0,(INDEX(AccountCodes[ACCOUNT NAME],MATCH(E2060,AccountCodes[NGAS CODE],0))))</f>
        <v>Water Expenses</v>
      </c>
      <c r="E2060" s="309" t="s">
        <v>232</v>
      </c>
      <c r="F2060" s="501">
        <v>4000</v>
      </c>
    </row>
    <row r="2061" spans="1:6" x14ac:dyDescent="0.25">
      <c r="A2061" s="308">
        <v>43159</v>
      </c>
      <c r="B2061" s="309" t="s">
        <v>485</v>
      </c>
      <c r="C2061" s="309" t="s">
        <v>506</v>
      </c>
      <c r="D2061" s="136" t="str">
        <f t="array" ref="D2061">IF(E2061=0,0,(INDEX(AccountCodes[ACCOUNT NAME],MATCH(E2061,AccountCodes[NGAS CODE],0))))</f>
        <v>Water Expenses</v>
      </c>
      <c r="E2061" s="309" t="s">
        <v>232</v>
      </c>
      <c r="F2061" s="501">
        <v>4000</v>
      </c>
    </row>
    <row r="2062" spans="1:6" x14ac:dyDescent="0.25">
      <c r="A2062" s="308">
        <v>43190</v>
      </c>
      <c r="B2062" s="309" t="s">
        <v>485</v>
      </c>
      <c r="C2062" s="309" t="s">
        <v>506</v>
      </c>
      <c r="D2062" s="136" t="str">
        <f t="array" ref="D2062">IF(E2062=0,0,(INDEX(AccountCodes[ACCOUNT NAME],MATCH(E2062,AccountCodes[NGAS CODE],0))))</f>
        <v>Water Expenses</v>
      </c>
      <c r="E2062" s="309" t="s">
        <v>232</v>
      </c>
      <c r="F2062" s="501">
        <v>4000</v>
      </c>
    </row>
    <row r="2063" spans="1:6" x14ac:dyDescent="0.25">
      <c r="A2063" s="308">
        <v>43220</v>
      </c>
      <c r="B2063" s="309" t="s">
        <v>485</v>
      </c>
      <c r="C2063" s="309" t="s">
        <v>506</v>
      </c>
      <c r="D2063" s="136" t="str">
        <f t="array" ref="D2063">IF(E2063=0,0,(INDEX(AccountCodes[ACCOUNT NAME],MATCH(E2063,AccountCodes[NGAS CODE],0))))</f>
        <v>Water Expenses</v>
      </c>
      <c r="E2063" s="309" t="s">
        <v>232</v>
      </c>
      <c r="F2063" s="501">
        <v>4000</v>
      </c>
    </row>
    <row r="2064" spans="1:6" x14ac:dyDescent="0.25">
      <c r="A2064" s="308">
        <v>43251</v>
      </c>
      <c r="B2064" s="309" t="s">
        <v>485</v>
      </c>
      <c r="C2064" s="309" t="s">
        <v>506</v>
      </c>
      <c r="D2064" s="136" t="str">
        <f t="array" ref="D2064">IF(E2064=0,0,(INDEX(AccountCodes[ACCOUNT NAME],MATCH(E2064,AccountCodes[NGAS CODE],0))))</f>
        <v>Water Expenses</v>
      </c>
      <c r="E2064" s="309" t="s">
        <v>232</v>
      </c>
      <c r="F2064" s="501">
        <v>4000</v>
      </c>
    </row>
    <row r="2065" spans="1:6" x14ac:dyDescent="0.25">
      <c r="A2065" s="308">
        <v>43281</v>
      </c>
      <c r="B2065" s="309" t="s">
        <v>485</v>
      </c>
      <c r="C2065" s="309" t="s">
        <v>506</v>
      </c>
      <c r="D2065" s="136" t="str">
        <f t="array" ref="D2065">IF(E2065=0,0,(INDEX(AccountCodes[ACCOUNT NAME],MATCH(E2065,AccountCodes[NGAS CODE],0))))</f>
        <v>Water Expenses</v>
      </c>
      <c r="E2065" s="309" t="s">
        <v>232</v>
      </c>
      <c r="F2065" s="501">
        <v>4000</v>
      </c>
    </row>
    <row r="2066" spans="1:6" x14ac:dyDescent="0.25">
      <c r="A2066" s="308">
        <v>43312</v>
      </c>
      <c r="B2066" s="309" t="s">
        <v>485</v>
      </c>
      <c r="C2066" s="309" t="s">
        <v>506</v>
      </c>
      <c r="D2066" s="136" t="str">
        <f t="array" ref="D2066">IF(E2066=0,0,(INDEX(AccountCodes[ACCOUNT NAME],MATCH(E2066,AccountCodes[NGAS CODE],0))))</f>
        <v>Water Expenses</v>
      </c>
      <c r="E2066" s="309" t="s">
        <v>232</v>
      </c>
      <c r="F2066" s="501">
        <v>4000</v>
      </c>
    </row>
    <row r="2067" spans="1:6" x14ac:dyDescent="0.25">
      <c r="A2067" s="308">
        <v>43343</v>
      </c>
      <c r="B2067" s="309" t="s">
        <v>485</v>
      </c>
      <c r="C2067" s="309" t="s">
        <v>506</v>
      </c>
      <c r="D2067" s="136" t="str">
        <f t="array" ref="D2067">IF(E2067=0,0,(INDEX(AccountCodes[ACCOUNT NAME],MATCH(E2067,AccountCodes[NGAS CODE],0))))</f>
        <v>Water Expenses</v>
      </c>
      <c r="E2067" s="309" t="s">
        <v>232</v>
      </c>
      <c r="F2067" s="501">
        <v>4000</v>
      </c>
    </row>
    <row r="2068" spans="1:6" x14ac:dyDescent="0.25">
      <c r="A2068" s="308">
        <v>43373</v>
      </c>
      <c r="B2068" s="309" t="s">
        <v>485</v>
      </c>
      <c r="C2068" s="309" t="s">
        <v>506</v>
      </c>
      <c r="D2068" s="136" t="str">
        <f t="array" ref="D2068">IF(E2068=0,0,(INDEX(AccountCodes[ACCOUNT NAME],MATCH(E2068,AccountCodes[NGAS CODE],0))))</f>
        <v>Water Expenses</v>
      </c>
      <c r="E2068" s="309" t="s">
        <v>232</v>
      </c>
      <c r="F2068" s="501">
        <v>4000</v>
      </c>
    </row>
    <row r="2069" spans="1:6" x14ac:dyDescent="0.25">
      <c r="A2069" s="308">
        <v>43404</v>
      </c>
      <c r="B2069" s="309" t="s">
        <v>485</v>
      </c>
      <c r="C2069" s="309" t="s">
        <v>506</v>
      </c>
      <c r="D2069" s="136" t="str">
        <f t="array" ref="D2069">IF(E2069=0,0,(INDEX(AccountCodes[ACCOUNT NAME],MATCH(E2069,AccountCodes[NGAS CODE],0))))</f>
        <v>Water Expenses</v>
      </c>
      <c r="E2069" s="309" t="s">
        <v>232</v>
      </c>
      <c r="F2069" s="501">
        <v>4000</v>
      </c>
    </row>
    <row r="2070" spans="1:6" x14ac:dyDescent="0.25">
      <c r="A2070" s="308">
        <v>43434</v>
      </c>
      <c r="B2070" s="309" t="s">
        <v>485</v>
      </c>
      <c r="C2070" s="309" t="s">
        <v>506</v>
      </c>
      <c r="D2070" s="136" t="str">
        <f t="array" ref="D2070">IF(E2070=0,0,(INDEX(AccountCodes[ACCOUNT NAME],MATCH(E2070,AccountCodes[NGAS CODE],0))))</f>
        <v>Water Expenses</v>
      </c>
      <c r="E2070" s="309" t="s">
        <v>232</v>
      </c>
      <c r="F2070" s="501">
        <v>4000</v>
      </c>
    </row>
    <row r="2071" spans="1:6" x14ac:dyDescent="0.25">
      <c r="A2071" s="308">
        <v>43465</v>
      </c>
      <c r="B2071" s="309" t="s">
        <v>485</v>
      </c>
      <c r="C2071" s="309" t="s">
        <v>506</v>
      </c>
      <c r="D2071" s="136" t="str">
        <f t="array" ref="D2071">IF(E2071=0,0,(INDEX(AccountCodes[ACCOUNT NAME],MATCH(E2071,AccountCodes[NGAS CODE],0))))</f>
        <v>Water Expenses</v>
      </c>
      <c r="E2071" s="309" t="s">
        <v>232</v>
      </c>
      <c r="F2071" s="501">
        <v>4000</v>
      </c>
    </row>
    <row r="2072" spans="1:6" x14ac:dyDescent="0.25">
      <c r="A2072" s="308">
        <v>43131</v>
      </c>
      <c r="B2072" s="309" t="s">
        <v>485</v>
      </c>
      <c r="C2072" s="309" t="s">
        <v>506</v>
      </c>
      <c r="D2072" s="136" t="str">
        <f t="array" ref="D2072">IF(E2072=0,0,(INDEX(AccountCodes[ACCOUNT NAME],MATCH(E2072,AccountCodes[NGAS CODE],0))))</f>
        <v>Electricity Expenses</v>
      </c>
      <c r="E2072" s="309" t="s">
        <v>233</v>
      </c>
      <c r="F2072" s="501">
        <v>37000</v>
      </c>
    </row>
    <row r="2073" spans="1:6" x14ac:dyDescent="0.25">
      <c r="A2073" s="308">
        <v>43159</v>
      </c>
      <c r="B2073" s="309" t="s">
        <v>485</v>
      </c>
      <c r="C2073" s="309" t="s">
        <v>506</v>
      </c>
      <c r="D2073" s="136" t="str">
        <f t="array" ref="D2073">IF(E2073=0,0,(INDEX(AccountCodes[ACCOUNT NAME],MATCH(E2073,AccountCodes[NGAS CODE],0))))</f>
        <v>Electricity Expenses</v>
      </c>
      <c r="E2073" s="309" t="s">
        <v>233</v>
      </c>
      <c r="F2073" s="501">
        <v>37000</v>
      </c>
    </row>
    <row r="2074" spans="1:6" x14ac:dyDescent="0.25">
      <c r="A2074" s="308">
        <v>43190</v>
      </c>
      <c r="B2074" s="309" t="s">
        <v>485</v>
      </c>
      <c r="C2074" s="309" t="s">
        <v>506</v>
      </c>
      <c r="D2074" s="136" t="str">
        <f t="array" ref="D2074">IF(E2074=0,0,(INDEX(AccountCodes[ACCOUNT NAME],MATCH(E2074,AccountCodes[NGAS CODE],0))))</f>
        <v>Electricity Expenses</v>
      </c>
      <c r="E2074" s="309" t="s">
        <v>233</v>
      </c>
      <c r="F2074" s="501">
        <v>37000</v>
      </c>
    </row>
    <row r="2075" spans="1:6" x14ac:dyDescent="0.25">
      <c r="A2075" s="308">
        <v>43220</v>
      </c>
      <c r="B2075" s="309" t="s">
        <v>485</v>
      </c>
      <c r="C2075" s="309" t="s">
        <v>506</v>
      </c>
      <c r="D2075" s="136" t="str">
        <f t="array" ref="D2075">IF(E2075=0,0,(INDEX(AccountCodes[ACCOUNT NAME],MATCH(E2075,AccountCodes[NGAS CODE],0))))</f>
        <v>Electricity Expenses</v>
      </c>
      <c r="E2075" s="309" t="s">
        <v>233</v>
      </c>
      <c r="F2075" s="501">
        <v>37000</v>
      </c>
    </row>
    <row r="2076" spans="1:6" x14ac:dyDescent="0.25">
      <c r="A2076" s="308">
        <v>43251</v>
      </c>
      <c r="B2076" s="309" t="s">
        <v>485</v>
      </c>
      <c r="C2076" s="309" t="s">
        <v>506</v>
      </c>
      <c r="D2076" s="136" t="str">
        <f t="array" ref="D2076">IF(E2076=0,0,(INDEX(AccountCodes[ACCOUNT NAME],MATCH(E2076,AccountCodes[NGAS CODE],0))))</f>
        <v>Electricity Expenses</v>
      </c>
      <c r="E2076" s="309" t="s">
        <v>233</v>
      </c>
      <c r="F2076" s="501">
        <v>37000</v>
      </c>
    </row>
    <row r="2077" spans="1:6" x14ac:dyDescent="0.25">
      <c r="A2077" s="308">
        <v>43281</v>
      </c>
      <c r="B2077" s="309" t="s">
        <v>485</v>
      </c>
      <c r="C2077" s="309" t="s">
        <v>506</v>
      </c>
      <c r="D2077" s="136" t="str">
        <f t="array" ref="D2077">IF(E2077=0,0,(INDEX(AccountCodes[ACCOUNT NAME],MATCH(E2077,AccountCodes[NGAS CODE],0))))</f>
        <v>Electricity Expenses</v>
      </c>
      <c r="E2077" s="309" t="s">
        <v>233</v>
      </c>
      <c r="F2077" s="501">
        <v>37000</v>
      </c>
    </row>
    <row r="2078" spans="1:6" x14ac:dyDescent="0.25">
      <c r="A2078" s="308">
        <v>43312</v>
      </c>
      <c r="B2078" s="309" t="s">
        <v>485</v>
      </c>
      <c r="C2078" s="309" t="s">
        <v>506</v>
      </c>
      <c r="D2078" s="136" t="str">
        <f t="array" ref="D2078">IF(E2078=0,0,(INDEX(AccountCodes[ACCOUNT NAME],MATCH(E2078,AccountCodes[NGAS CODE],0))))</f>
        <v>Electricity Expenses</v>
      </c>
      <c r="E2078" s="309" t="s">
        <v>233</v>
      </c>
      <c r="F2078" s="501">
        <v>37000</v>
      </c>
    </row>
    <row r="2079" spans="1:6" x14ac:dyDescent="0.25">
      <c r="A2079" s="308">
        <v>43343</v>
      </c>
      <c r="B2079" s="309" t="s">
        <v>485</v>
      </c>
      <c r="C2079" s="309" t="s">
        <v>506</v>
      </c>
      <c r="D2079" s="136" t="str">
        <f t="array" ref="D2079">IF(E2079=0,0,(INDEX(AccountCodes[ACCOUNT NAME],MATCH(E2079,AccountCodes[NGAS CODE],0))))</f>
        <v>Electricity Expenses</v>
      </c>
      <c r="E2079" s="309" t="s">
        <v>233</v>
      </c>
      <c r="F2079" s="501">
        <v>37000</v>
      </c>
    </row>
    <row r="2080" spans="1:6" x14ac:dyDescent="0.25">
      <c r="A2080" s="308">
        <v>43373</v>
      </c>
      <c r="B2080" s="309" t="s">
        <v>485</v>
      </c>
      <c r="C2080" s="309" t="s">
        <v>506</v>
      </c>
      <c r="D2080" s="136" t="str">
        <f t="array" ref="D2080">IF(E2080=0,0,(INDEX(AccountCodes[ACCOUNT NAME],MATCH(E2080,AccountCodes[NGAS CODE],0))))</f>
        <v>Electricity Expenses</v>
      </c>
      <c r="E2080" s="309" t="s">
        <v>233</v>
      </c>
      <c r="F2080" s="501">
        <v>37000</v>
      </c>
    </row>
    <row r="2081" spans="1:6" x14ac:dyDescent="0.25">
      <c r="A2081" s="308">
        <v>43404</v>
      </c>
      <c r="B2081" s="309" t="s">
        <v>485</v>
      </c>
      <c r="C2081" s="309" t="s">
        <v>506</v>
      </c>
      <c r="D2081" s="136" t="str">
        <f t="array" ref="D2081">IF(E2081=0,0,(INDEX(AccountCodes[ACCOUNT NAME],MATCH(E2081,AccountCodes[NGAS CODE],0))))</f>
        <v>Electricity Expenses</v>
      </c>
      <c r="E2081" s="309" t="s">
        <v>233</v>
      </c>
      <c r="F2081" s="501">
        <v>37000</v>
      </c>
    </row>
    <row r="2082" spans="1:6" x14ac:dyDescent="0.25">
      <c r="A2082" s="308">
        <v>43434</v>
      </c>
      <c r="B2082" s="309" t="s">
        <v>485</v>
      </c>
      <c r="C2082" s="309" t="s">
        <v>506</v>
      </c>
      <c r="D2082" s="136" t="str">
        <f t="array" ref="D2082">IF(E2082=0,0,(INDEX(AccountCodes[ACCOUNT NAME],MATCH(E2082,AccountCodes[NGAS CODE],0))))</f>
        <v>Electricity Expenses</v>
      </c>
      <c r="E2082" s="309" t="s">
        <v>233</v>
      </c>
      <c r="F2082" s="501">
        <v>37000</v>
      </c>
    </row>
    <row r="2083" spans="1:6" x14ac:dyDescent="0.25">
      <c r="A2083" s="308">
        <v>43465</v>
      </c>
      <c r="B2083" s="309" t="s">
        <v>485</v>
      </c>
      <c r="C2083" s="309" t="s">
        <v>506</v>
      </c>
      <c r="D2083" s="136" t="str">
        <f t="array" ref="D2083">IF(E2083=0,0,(INDEX(AccountCodes[ACCOUNT NAME],MATCH(E2083,AccountCodes[NGAS CODE],0))))</f>
        <v>Electricity Expenses</v>
      </c>
      <c r="E2083" s="309" t="s">
        <v>233</v>
      </c>
      <c r="F2083" s="501">
        <v>37000</v>
      </c>
    </row>
    <row r="2084" spans="1:6" x14ac:dyDescent="0.25">
      <c r="A2084" s="308">
        <v>43131</v>
      </c>
      <c r="B2084" s="309" t="s">
        <v>485</v>
      </c>
      <c r="C2084" s="309" t="s">
        <v>506</v>
      </c>
      <c r="D2084" s="136" t="str">
        <f t="array" ref="D2084">IF(E2084=0,0,(INDEX(AccountCodes[ACCOUNT NAME],MATCH(E2084,AccountCodes[NGAS CODE],0))))</f>
        <v>Telephone Expenses - Landline</v>
      </c>
      <c r="E2084" s="309" t="s">
        <v>235</v>
      </c>
      <c r="F2084" s="501">
        <v>12903</v>
      </c>
    </row>
    <row r="2085" spans="1:6" x14ac:dyDescent="0.25">
      <c r="A2085" s="308">
        <v>43159</v>
      </c>
      <c r="B2085" s="309" t="s">
        <v>485</v>
      </c>
      <c r="C2085" s="309" t="s">
        <v>506</v>
      </c>
      <c r="D2085" s="136" t="str">
        <f t="array" ref="D2085">IF(E2085=0,0,(INDEX(AccountCodes[ACCOUNT NAME],MATCH(E2085,AccountCodes[NGAS CODE],0))))</f>
        <v>Telephone Expenses - Landline</v>
      </c>
      <c r="E2085" s="309" t="s">
        <v>235</v>
      </c>
      <c r="F2085" s="501">
        <v>12903</v>
      </c>
    </row>
    <row r="2086" spans="1:6" x14ac:dyDescent="0.25">
      <c r="A2086" s="308">
        <v>43190</v>
      </c>
      <c r="B2086" s="309" t="s">
        <v>485</v>
      </c>
      <c r="C2086" s="309" t="s">
        <v>506</v>
      </c>
      <c r="D2086" s="136" t="str">
        <f t="array" ref="D2086">IF(E2086=0,0,(INDEX(AccountCodes[ACCOUNT NAME],MATCH(E2086,AccountCodes[NGAS CODE],0))))</f>
        <v>Telephone Expenses - Landline</v>
      </c>
      <c r="E2086" s="309" t="s">
        <v>235</v>
      </c>
      <c r="F2086" s="501">
        <v>12903</v>
      </c>
    </row>
    <row r="2087" spans="1:6" x14ac:dyDescent="0.25">
      <c r="A2087" s="308">
        <v>43220</v>
      </c>
      <c r="B2087" s="309" t="s">
        <v>485</v>
      </c>
      <c r="C2087" s="309" t="s">
        <v>506</v>
      </c>
      <c r="D2087" s="136" t="str">
        <f t="array" ref="D2087">IF(E2087=0,0,(INDEX(AccountCodes[ACCOUNT NAME],MATCH(E2087,AccountCodes[NGAS CODE],0))))</f>
        <v>Telephone Expenses - Landline</v>
      </c>
      <c r="E2087" s="309" t="s">
        <v>235</v>
      </c>
      <c r="F2087" s="501">
        <v>12903</v>
      </c>
    </row>
    <row r="2088" spans="1:6" x14ac:dyDescent="0.25">
      <c r="A2088" s="308">
        <v>43251</v>
      </c>
      <c r="B2088" s="309" t="s">
        <v>485</v>
      </c>
      <c r="C2088" s="309" t="s">
        <v>506</v>
      </c>
      <c r="D2088" s="136" t="str">
        <f t="array" ref="D2088">IF(E2088=0,0,(INDEX(AccountCodes[ACCOUNT NAME],MATCH(E2088,AccountCodes[NGAS CODE],0))))</f>
        <v>Telephone Expenses - Landline</v>
      </c>
      <c r="E2088" s="309" t="s">
        <v>235</v>
      </c>
      <c r="F2088" s="501">
        <v>12903</v>
      </c>
    </row>
    <row r="2089" spans="1:6" x14ac:dyDescent="0.25">
      <c r="A2089" s="308">
        <v>43281</v>
      </c>
      <c r="B2089" s="309" t="s">
        <v>485</v>
      </c>
      <c r="C2089" s="309" t="s">
        <v>506</v>
      </c>
      <c r="D2089" s="136" t="str">
        <f t="array" ref="D2089">IF(E2089=0,0,(INDEX(AccountCodes[ACCOUNT NAME],MATCH(E2089,AccountCodes[NGAS CODE],0))))</f>
        <v>Telephone Expenses - Landline</v>
      </c>
      <c r="E2089" s="309" t="s">
        <v>235</v>
      </c>
      <c r="F2089" s="501">
        <v>12903</v>
      </c>
    </row>
    <row r="2090" spans="1:6" x14ac:dyDescent="0.25">
      <c r="A2090" s="308">
        <v>43312</v>
      </c>
      <c r="B2090" s="309" t="s">
        <v>485</v>
      </c>
      <c r="C2090" s="309" t="s">
        <v>506</v>
      </c>
      <c r="D2090" s="136" t="str">
        <f t="array" ref="D2090">IF(E2090=0,0,(INDEX(AccountCodes[ACCOUNT NAME],MATCH(E2090,AccountCodes[NGAS CODE],0))))</f>
        <v>Telephone Expenses - Landline</v>
      </c>
      <c r="E2090" s="309" t="s">
        <v>235</v>
      </c>
      <c r="F2090" s="501">
        <v>12903</v>
      </c>
    </row>
    <row r="2091" spans="1:6" x14ac:dyDescent="0.25">
      <c r="A2091" s="308">
        <v>43343</v>
      </c>
      <c r="B2091" s="309" t="s">
        <v>485</v>
      </c>
      <c r="C2091" s="309" t="s">
        <v>506</v>
      </c>
      <c r="D2091" s="136" t="str">
        <f t="array" ref="D2091">IF(E2091=0,0,(INDEX(AccountCodes[ACCOUNT NAME],MATCH(E2091,AccountCodes[NGAS CODE],0))))</f>
        <v>Telephone Expenses - Landline</v>
      </c>
      <c r="E2091" s="309" t="s">
        <v>235</v>
      </c>
      <c r="F2091" s="501">
        <v>12903</v>
      </c>
    </row>
    <row r="2092" spans="1:6" x14ac:dyDescent="0.25">
      <c r="A2092" s="308">
        <v>43373</v>
      </c>
      <c r="B2092" s="309" t="s">
        <v>485</v>
      </c>
      <c r="C2092" s="309" t="s">
        <v>506</v>
      </c>
      <c r="D2092" s="136" t="str">
        <f t="array" ref="D2092">IF(E2092=0,0,(INDEX(AccountCodes[ACCOUNT NAME],MATCH(E2092,AccountCodes[NGAS CODE],0))))</f>
        <v>Telephone Expenses - Landline</v>
      </c>
      <c r="E2092" s="309" t="s">
        <v>235</v>
      </c>
      <c r="F2092" s="501">
        <v>12903</v>
      </c>
    </row>
    <row r="2093" spans="1:6" x14ac:dyDescent="0.25">
      <c r="A2093" s="308">
        <v>43404</v>
      </c>
      <c r="B2093" s="309" t="s">
        <v>485</v>
      </c>
      <c r="C2093" s="309" t="s">
        <v>506</v>
      </c>
      <c r="D2093" s="136" t="str">
        <f t="array" ref="D2093">IF(E2093=0,0,(INDEX(AccountCodes[ACCOUNT NAME],MATCH(E2093,AccountCodes[NGAS CODE],0))))</f>
        <v>Telephone Expenses - Landline</v>
      </c>
      <c r="E2093" s="309" t="s">
        <v>235</v>
      </c>
      <c r="F2093" s="501">
        <v>12903</v>
      </c>
    </row>
    <row r="2094" spans="1:6" x14ac:dyDescent="0.25">
      <c r="A2094" s="308">
        <v>43434</v>
      </c>
      <c r="B2094" s="309" t="s">
        <v>485</v>
      </c>
      <c r="C2094" s="309" t="s">
        <v>506</v>
      </c>
      <c r="D2094" s="136" t="str">
        <f t="array" ref="D2094">IF(E2094=0,0,(INDEX(AccountCodes[ACCOUNT NAME],MATCH(E2094,AccountCodes[NGAS CODE],0))))</f>
        <v>Telephone Expenses - Landline</v>
      </c>
      <c r="E2094" s="309" t="s">
        <v>235</v>
      </c>
      <c r="F2094" s="501">
        <v>12903</v>
      </c>
    </row>
    <row r="2095" spans="1:6" x14ac:dyDescent="0.25">
      <c r="A2095" s="308">
        <v>43465</v>
      </c>
      <c r="B2095" s="309" t="s">
        <v>485</v>
      </c>
      <c r="C2095" s="309" t="s">
        <v>506</v>
      </c>
      <c r="D2095" s="136" t="str">
        <f t="array" ref="D2095">IF(E2095=0,0,(INDEX(AccountCodes[ACCOUNT NAME],MATCH(E2095,AccountCodes[NGAS CODE],0))))</f>
        <v>Telephone Expenses - Landline</v>
      </c>
      <c r="E2095" s="309" t="s">
        <v>235</v>
      </c>
      <c r="F2095" s="501">
        <v>12903</v>
      </c>
    </row>
    <row r="2096" spans="1:6" x14ac:dyDescent="0.25">
      <c r="A2096" s="308">
        <v>43131</v>
      </c>
      <c r="B2096" s="309" t="s">
        <v>485</v>
      </c>
      <c r="C2096" s="309" t="s">
        <v>506</v>
      </c>
      <c r="D2096" s="136" t="str">
        <f t="array" ref="D2096">IF(E2096=0,0,(INDEX(AccountCodes[ACCOUNT NAME],MATCH(E2096,AccountCodes[NGAS CODE],0))))</f>
        <v>Auditing Services</v>
      </c>
      <c r="E2096" s="309" t="s">
        <v>222</v>
      </c>
      <c r="F2096" s="501">
        <v>10000</v>
      </c>
    </row>
    <row r="2097" spans="1:6" x14ac:dyDescent="0.25">
      <c r="A2097" s="308">
        <v>43159</v>
      </c>
      <c r="B2097" s="309" t="s">
        <v>485</v>
      </c>
      <c r="C2097" s="309" t="s">
        <v>506</v>
      </c>
      <c r="D2097" s="136" t="str">
        <f t="array" ref="D2097">IF(E2097=0,0,(INDEX(AccountCodes[ACCOUNT NAME],MATCH(E2097,AccountCodes[NGAS CODE],0))))</f>
        <v>Auditing Services</v>
      </c>
      <c r="E2097" s="309" t="s">
        <v>222</v>
      </c>
      <c r="F2097" s="501">
        <v>10000</v>
      </c>
    </row>
    <row r="2098" spans="1:6" x14ac:dyDescent="0.25">
      <c r="A2098" s="308">
        <v>43190</v>
      </c>
      <c r="B2098" s="309" t="s">
        <v>485</v>
      </c>
      <c r="C2098" s="309" t="s">
        <v>506</v>
      </c>
      <c r="D2098" s="136" t="str">
        <f t="array" ref="D2098">IF(E2098=0,0,(INDEX(AccountCodes[ACCOUNT NAME],MATCH(E2098,AccountCodes[NGAS CODE],0))))</f>
        <v>Auditing Services</v>
      </c>
      <c r="E2098" s="309" t="s">
        <v>222</v>
      </c>
      <c r="F2098" s="501">
        <v>10000</v>
      </c>
    </row>
    <row r="2099" spans="1:6" x14ac:dyDescent="0.25">
      <c r="A2099" s="308">
        <v>43220</v>
      </c>
      <c r="B2099" s="309" t="s">
        <v>485</v>
      </c>
      <c r="C2099" s="309" t="s">
        <v>506</v>
      </c>
      <c r="D2099" s="136" t="str">
        <f t="array" ref="D2099">IF(E2099=0,0,(INDEX(AccountCodes[ACCOUNT NAME],MATCH(E2099,AccountCodes[NGAS CODE],0))))</f>
        <v>Auditing Services</v>
      </c>
      <c r="E2099" s="309" t="s">
        <v>222</v>
      </c>
      <c r="F2099" s="501">
        <v>10000</v>
      </c>
    </row>
    <row r="2100" spans="1:6" x14ac:dyDescent="0.25">
      <c r="A2100" s="308">
        <v>43251</v>
      </c>
      <c r="B2100" s="309" t="s">
        <v>485</v>
      </c>
      <c r="C2100" s="309" t="s">
        <v>506</v>
      </c>
      <c r="D2100" s="136" t="str">
        <f t="array" ref="D2100">IF(E2100=0,0,(INDEX(AccountCodes[ACCOUNT NAME],MATCH(E2100,AccountCodes[NGAS CODE],0))))</f>
        <v>Auditing Services</v>
      </c>
      <c r="E2100" s="309" t="s">
        <v>222</v>
      </c>
      <c r="F2100" s="501">
        <v>10000</v>
      </c>
    </row>
    <row r="2101" spans="1:6" x14ac:dyDescent="0.25">
      <c r="A2101" s="308">
        <v>43281</v>
      </c>
      <c r="B2101" s="309" t="s">
        <v>485</v>
      </c>
      <c r="C2101" s="309" t="s">
        <v>506</v>
      </c>
      <c r="D2101" s="136" t="str">
        <f t="array" ref="D2101">IF(E2101=0,0,(INDEX(AccountCodes[ACCOUNT NAME],MATCH(E2101,AccountCodes[NGAS CODE],0))))</f>
        <v>Auditing Services</v>
      </c>
      <c r="E2101" s="309" t="s">
        <v>222</v>
      </c>
      <c r="F2101" s="501">
        <v>10000</v>
      </c>
    </row>
    <row r="2102" spans="1:6" x14ac:dyDescent="0.25">
      <c r="A2102" s="308">
        <v>43312</v>
      </c>
      <c r="B2102" s="309" t="s">
        <v>485</v>
      </c>
      <c r="C2102" s="309" t="s">
        <v>506</v>
      </c>
      <c r="D2102" s="136" t="str">
        <f t="array" ref="D2102">IF(E2102=0,0,(INDEX(AccountCodes[ACCOUNT NAME],MATCH(E2102,AccountCodes[NGAS CODE],0))))</f>
        <v>Auditing Services</v>
      </c>
      <c r="E2102" s="309" t="s">
        <v>222</v>
      </c>
      <c r="F2102" s="501">
        <v>10000</v>
      </c>
    </row>
    <row r="2103" spans="1:6" x14ac:dyDescent="0.25">
      <c r="A2103" s="308">
        <v>43343</v>
      </c>
      <c r="B2103" s="309" t="s">
        <v>485</v>
      </c>
      <c r="C2103" s="309" t="s">
        <v>506</v>
      </c>
      <c r="D2103" s="136" t="str">
        <f t="array" ref="D2103">IF(E2103=0,0,(INDEX(AccountCodes[ACCOUNT NAME],MATCH(E2103,AccountCodes[NGAS CODE],0))))</f>
        <v>Auditing Services</v>
      </c>
      <c r="E2103" s="309" t="s">
        <v>222</v>
      </c>
      <c r="F2103" s="501">
        <v>10000</v>
      </c>
    </row>
    <row r="2104" spans="1:6" x14ac:dyDescent="0.25">
      <c r="A2104" s="308">
        <v>43373</v>
      </c>
      <c r="B2104" s="309" t="s">
        <v>485</v>
      </c>
      <c r="C2104" s="309" t="s">
        <v>506</v>
      </c>
      <c r="D2104" s="136" t="str">
        <f t="array" ref="D2104">IF(E2104=0,0,(INDEX(AccountCodes[ACCOUNT NAME],MATCH(E2104,AccountCodes[NGAS CODE],0))))</f>
        <v>Auditing Services</v>
      </c>
      <c r="E2104" s="309" t="s">
        <v>222</v>
      </c>
      <c r="F2104" s="501">
        <v>10000</v>
      </c>
    </row>
    <row r="2105" spans="1:6" x14ac:dyDescent="0.25">
      <c r="A2105" s="308">
        <v>43404</v>
      </c>
      <c r="B2105" s="309" t="s">
        <v>485</v>
      </c>
      <c r="C2105" s="309" t="s">
        <v>506</v>
      </c>
      <c r="D2105" s="136" t="str">
        <f t="array" ref="D2105">IF(E2105=0,0,(INDEX(AccountCodes[ACCOUNT NAME],MATCH(E2105,AccountCodes[NGAS CODE],0))))</f>
        <v>Auditing Services</v>
      </c>
      <c r="E2105" s="309" t="s">
        <v>222</v>
      </c>
      <c r="F2105" s="501">
        <v>10000</v>
      </c>
    </row>
    <row r="2106" spans="1:6" x14ac:dyDescent="0.25">
      <c r="A2106" s="308">
        <v>43434</v>
      </c>
      <c r="B2106" s="309" t="s">
        <v>485</v>
      </c>
      <c r="C2106" s="309" t="s">
        <v>506</v>
      </c>
      <c r="D2106" s="136" t="str">
        <f t="array" ref="D2106">IF(E2106=0,0,(INDEX(AccountCodes[ACCOUNT NAME],MATCH(E2106,AccountCodes[NGAS CODE],0))))</f>
        <v>Auditing Services</v>
      </c>
      <c r="E2106" s="309" t="s">
        <v>222</v>
      </c>
      <c r="F2106" s="501">
        <v>10000</v>
      </c>
    </row>
    <row r="2107" spans="1:6" x14ac:dyDescent="0.25">
      <c r="A2107" s="308">
        <v>43465</v>
      </c>
      <c r="B2107" s="309" t="s">
        <v>485</v>
      </c>
      <c r="C2107" s="309" t="s">
        <v>506</v>
      </c>
      <c r="D2107" s="136" t="str">
        <f t="array" ref="D2107">IF(E2107=0,0,(INDEX(AccountCodes[ACCOUNT NAME],MATCH(E2107,AccountCodes[NGAS CODE],0))))</f>
        <v>Auditing Services</v>
      </c>
      <c r="E2107" s="309" t="s">
        <v>222</v>
      </c>
      <c r="F2107" s="501">
        <v>10000</v>
      </c>
    </row>
    <row r="2108" spans="1:6" x14ac:dyDescent="0.25">
      <c r="A2108" s="308">
        <v>43190</v>
      </c>
      <c r="B2108" s="309" t="s">
        <v>485</v>
      </c>
      <c r="C2108" s="309" t="s">
        <v>506</v>
      </c>
      <c r="D2108" s="136" t="str">
        <f t="array" ref="D2108">IF(E2108=0,0,(INDEX(AccountCodes[ACCOUNT NAME],MATCH(E2108,AccountCodes[NGAS CODE],0))))</f>
        <v>Repairs and Maintenance-Transportation Equipment - Motor Vehicles</v>
      </c>
      <c r="E2108" s="309" t="s">
        <v>262</v>
      </c>
      <c r="F2108" s="501">
        <v>100000</v>
      </c>
    </row>
    <row r="2109" spans="1:6" x14ac:dyDescent="0.25">
      <c r="A2109" s="308">
        <v>43404</v>
      </c>
      <c r="B2109" s="309" t="s">
        <v>485</v>
      </c>
      <c r="C2109" s="309" t="s">
        <v>506</v>
      </c>
      <c r="D2109" s="136" t="str">
        <f t="array" ref="D2109">IF(E2109=0,0,(INDEX(AccountCodes[ACCOUNT NAME],MATCH(E2109,AccountCodes[NGAS CODE],0))))</f>
        <v>Repairs and Maintenance-Transportation Equipment - Motor Vehicles</v>
      </c>
      <c r="E2109" s="309" t="s">
        <v>262</v>
      </c>
      <c r="F2109" s="501">
        <v>150000</v>
      </c>
    </row>
    <row r="2110" spans="1:6" x14ac:dyDescent="0.25">
      <c r="A2110" s="308">
        <v>43465</v>
      </c>
      <c r="B2110" s="309" t="s">
        <v>485</v>
      </c>
      <c r="C2110" s="309" t="s">
        <v>506</v>
      </c>
      <c r="D2110" s="136" t="str">
        <f t="array" ref="D2110">IF(E2110=0,0,(INDEX(AccountCodes[ACCOUNT NAME],MATCH(E2110,AccountCodes[NGAS CODE],0))))</f>
        <v>Repairs and Maintenance-Transportation Equipment - Motor Vehicles</v>
      </c>
      <c r="E2110" s="309" t="s">
        <v>262</v>
      </c>
      <c r="F2110" s="501">
        <v>30000</v>
      </c>
    </row>
    <row r="2111" spans="1:6" x14ac:dyDescent="0.25">
      <c r="A2111" s="308">
        <v>43312</v>
      </c>
      <c r="B2111" s="309" t="s">
        <v>485</v>
      </c>
      <c r="C2111" s="309" t="s">
        <v>506</v>
      </c>
      <c r="D2111" s="136" t="str">
        <f t="array" ref="D2111">IF(E2111=0,0,(INDEX(AccountCodes[ACCOUNT NAME],MATCH(E2111,AccountCodes[NGAS CODE],0))))</f>
        <v>Repairs and Maintenance-Buildings and Other Structures - Buildings</v>
      </c>
      <c r="E2111" s="309" t="s">
        <v>251</v>
      </c>
      <c r="F2111" s="501">
        <v>1500000</v>
      </c>
    </row>
    <row r="2112" spans="1:6" x14ac:dyDescent="0.25">
      <c r="A2112" s="308">
        <v>43373</v>
      </c>
      <c r="B2112" s="309" t="s">
        <v>485</v>
      </c>
      <c r="C2112" s="309" t="s">
        <v>506</v>
      </c>
      <c r="D2112" s="136" t="str">
        <f t="array" ref="D2112">IF(E2112=0,0,(INDEX(AccountCodes[ACCOUNT NAME],MATCH(E2112,AccountCodes[NGAS CODE],0))))</f>
        <v>Taxes, Duties and Licenses</v>
      </c>
      <c r="E2112" s="309" t="s">
        <v>272</v>
      </c>
      <c r="F2112" s="501">
        <v>67500</v>
      </c>
    </row>
    <row r="2113" spans="1:6" x14ac:dyDescent="0.25">
      <c r="A2113" s="308"/>
      <c r="D2113" s="136">
        <f t="array" ref="D2113">IF(E2113=0,0,(INDEX(AccountCodes[ACCOUNT NAME],MATCH(E2113,AccountCodes[NGAS CODE],0))))</f>
        <v>0</v>
      </c>
      <c r="E2113" s="309"/>
      <c r="F2113" s="501"/>
    </row>
    <row r="2114" spans="1:6" x14ac:dyDescent="0.25">
      <c r="A2114" s="308">
        <v>43281</v>
      </c>
      <c r="B2114" s="309" t="s">
        <v>486</v>
      </c>
      <c r="C2114" s="309" t="s">
        <v>493</v>
      </c>
      <c r="D2114" s="136" t="str">
        <f t="array" ref="D2114">IF(E2114=0,0,(INDEX(AccountCodes[ACCOUNT NAME],MATCH(E2114,AccountCodes[NGAS CODE],0))))</f>
        <v>Equipment Rental - External (CA)</v>
      </c>
      <c r="E2114" s="309" t="s">
        <v>147</v>
      </c>
      <c r="F2114" s="501">
        <v>100000</v>
      </c>
    </row>
    <row r="2115" spans="1:6" x14ac:dyDescent="0.25">
      <c r="A2115" s="308">
        <v>43465</v>
      </c>
      <c r="B2115" s="309" t="s">
        <v>486</v>
      </c>
      <c r="C2115" s="309" t="s">
        <v>493</v>
      </c>
      <c r="D2115" s="136" t="str">
        <f t="array" ref="D2115">IF(E2115=0,0,(INDEX(AccountCodes[ACCOUNT NAME],MATCH(E2115,AccountCodes[NGAS CODE],0))))</f>
        <v>Equipment Rental - External (CA)</v>
      </c>
      <c r="E2115" s="309" t="s">
        <v>147</v>
      </c>
      <c r="F2115" s="501">
        <v>100000</v>
      </c>
    </row>
    <row r="2116" spans="1:6" x14ac:dyDescent="0.25">
      <c r="A2116" s="308">
        <v>43131</v>
      </c>
      <c r="B2116" s="309" t="s">
        <v>486</v>
      </c>
      <c r="C2116" s="309" t="s">
        <v>493</v>
      </c>
      <c r="D2116" s="136" t="str">
        <f t="array" ref="D2116">IF(E2116=0,0,(INDEX(AccountCodes[ACCOUNT NAME],MATCH(E2116,AccountCodes[NGAS CODE],0))))</f>
        <v>Salaries and Wages-Regular</v>
      </c>
      <c r="E2116" s="309" t="s">
        <v>162</v>
      </c>
      <c r="F2116" s="501">
        <v>260790</v>
      </c>
    </row>
    <row r="2117" spans="1:6" x14ac:dyDescent="0.25">
      <c r="A2117" s="308">
        <v>43159</v>
      </c>
      <c r="B2117" s="309" t="s">
        <v>486</v>
      </c>
      <c r="C2117" s="309" t="s">
        <v>493</v>
      </c>
      <c r="D2117" s="136" t="str">
        <f t="array" ref="D2117">IF(E2117=0,0,(INDEX(AccountCodes[ACCOUNT NAME],MATCH(E2117,AccountCodes[NGAS CODE],0))))</f>
        <v>Salaries and Wages-Regular</v>
      </c>
      <c r="E2117" s="309" t="s">
        <v>162</v>
      </c>
      <c r="F2117" s="501">
        <v>260790</v>
      </c>
    </row>
    <row r="2118" spans="1:6" x14ac:dyDescent="0.25">
      <c r="A2118" s="308">
        <v>43190</v>
      </c>
      <c r="B2118" s="309" t="s">
        <v>486</v>
      </c>
      <c r="C2118" s="309" t="s">
        <v>493</v>
      </c>
      <c r="D2118" s="136" t="str">
        <f t="array" ref="D2118">IF(E2118=0,0,(INDEX(AccountCodes[ACCOUNT NAME],MATCH(E2118,AccountCodes[NGAS CODE],0))))</f>
        <v>Salaries and Wages-Regular</v>
      </c>
      <c r="E2118" s="309" t="s">
        <v>162</v>
      </c>
      <c r="F2118" s="501">
        <v>260790</v>
      </c>
    </row>
    <row r="2119" spans="1:6" x14ac:dyDescent="0.25">
      <c r="A2119" s="308">
        <v>43220</v>
      </c>
      <c r="B2119" s="309" t="s">
        <v>486</v>
      </c>
      <c r="C2119" s="309" t="s">
        <v>493</v>
      </c>
      <c r="D2119" s="136" t="str">
        <f t="array" ref="D2119">IF(E2119=0,0,(INDEX(AccountCodes[ACCOUNT NAME],MATCH(E2119,AccountCodes[NGAS CODE],0))))</f>
        <v>Salaries and Wages-Regular</v>
      </c>
      <c r="E2119" s="309" t="s">
        <v>162</v>
      </c>
      <c r="F2119" s="501">
        <v>260790</v>
      </c>
    </row>
    <row r="2120" spans="1:6" x14ac:dyDescent="0.25">
      <c r="A2120" s="308">
        <v>43251</v>
      </c>
      <c r="B2120" s="309" t="s">
        <v>486</v>
      </c>
      <c r="C2120" s="309" t="s">
        <v>493</v>
      </c>
      <c r="D2120" s="136" t="str">
        <f t="array" ref="D2120">IF(E2120=0,0,(INDEX(AccountCodes[ACCOUNT NAME],MATCH(E2120,AccountCodes[NGAS CODE],0))))</f>
        <v>Salaries and Wages-Regular</v>
      </c>
      <c r="E2120" s="309" t="s">
        <v>162</v>
      </c>
      <c r="F2120" s="501">
        <v>260790</v>
      </c>
    </row>
    <row r="2121" spans="1:6" x14ac:dyDescent="0.25">
      <c r="A2121" s="308">
        <v>43281</v>
      </c>
      <c r="B2121" s="309" t="s">
        <v>486</v>
      </c>
      <c r="C2121" s="309" t="s">
        <v>493</v>
      </c>
      <c r="D2121" s="136" t="str">
        <f t="array" ref="D2121">IF(E2121=0,0,(INDEX(AccountCodes[ACCOUNT NAME],MATCH(E2121,AccountCodes[NGAS CODE],0))))</f>
        <v>Salaries and Wages-Regular</v>
      </c>
      <c r="E2121" s="309" t="s">
        <v>162</v>
      </c>
      <c r="F2121" s="501">
        <v>260790</v>
      </c>
    </row>
    <row r="2122" spans="1:6" x14ac:dyDescent="0.25">
      <c r="A2122" s="308">
        <v>43312</v>
      </c>
      <c r="B2122" s="309" t="s">
        <v>486</v>
      </c>
      <c r="C2122" s="309" t="s">
        <v>493</v>
      </c>
      <c r="D2122" s="136" t="str">
        <f t="array" ref="D2122">IF(E2122=0,0,(INDEX(AccountCodes[ACCOUNT NAME],MATCH(E2122,AccountCodes[NGAS CODE],0))))</f>
        <v>Salaries and Wages-Regular</v>
      </c>
      <c r="E2122" s="309" t="s">
        <v>162</v>
      </c>
      <c r="F2122" s="501">
        <v>260790</v>
      </c>
    </row>
    <row r="2123" spans="1:6" x14ac:dyDescent="0.25">
      <c r="A2123" s="308">
        <v>43343</v>
      </c>
      <c r="B2123" s="309" t="s">
        <v>486</v>
      </c>
      <c r="C2123" s="309" t="s">
        <v>493</v>
      </c>
      <c r="D2123" s="136" t="str">
        <f t="array" ref="D2123">IF(E2123=0,0,(INDEX(AccountCodes[ACCOUNT NAME],MATCH(E2123,AccountCodes[NGAS CODE],0))))</f>
        <v>Salaries and Wages-Regular</v>
      </c>
      <c r="E2123" s="309" t="s">
        <v>162</v>
      </c>
      <c r="F2123" s="501">
        <v>260790</v>
      </c>
    </row>
    <row r="2124" spans="1:6" x14ac:dyDescent="0.25">
      <c r="A2124" s="308">
        <v>43373</v>
      </c>
      <c r="B2124" s="309" t="s">
        <v>486</v>
      </c>
      <c r="C2124" s="309" t="s">
        <v>493</v>
      </c>
      <c r="D2124" s="136" t="str">
        <f t="array" ref="D2124">IF(E2124=0,0,(INDEX(AccountCodes[ACCOUNT NAME],MATCH(E2124,AccountCodes[NGAS CODE],0))))</f>
        <v>Salaries and Wages-Regular</v>
      </c>
      <c r="E2124" s="309" t="s">
        <v>162</v>
      </c>
      <c r="F2124" s="501">
        <v>260790</v>
      </c>
    </row>
    <row r="2125" spans="1:6" x14ac:dyDescent="0.25">
      <c r="A2125" s="308">
        <v>43404</v>
      </c>
      <c r="B2125" s="309" t="s">
        <v>486</v>
      </c>
      <c r="C2125" s="309" t="s">
        <v>493</v>
      </c>
      <c r="D2125" s="136" t="str">
        <f t="array" ref="D2125">IF(E2125=0,0,(INDEX(AccountCodes[ACCOUNT NAME],MATCH(E2125,AccountCodes[NGAS CODE],0))))</f>
        <v>Salaries and Wages-Regular</v>
      </c>
      <c r="E2125" s="309" t="s">
        <v>162</v>
      </c>
      <c r="F2125" s="501">
        <v>260790</v>
      </c>
    </row>
    <row r="2126" spans="1:6" x14ac:dyDescent="0.25">
      <c r="A2126" s="308">
        <v>43434</v>
      </c>
      <c r="B2126" s="309" t="s">
        <v>486</v>
      </c>
      <c r="C2126" s="309" t="s">
        <v>493</v>
      </c>
      <c r="D2126" s="136" t="str">
        <f t="array" ref="D2126">IF(E2126=0,0,(INDEX(AccountCodes[ACCOUNT NAME],MATCH(E2126,AccountCodes[NGAS CODE],0))))</f>
        <v>Salaries and Wages-Regular</v>
      </c>
      <c r="E2126" s="309" t="s">
        <v>162</v>
      </c>
      <c r="F2126" s="501">
        <v>260790</v>
      </c>
    </row>
    <row r="2127" spans="1:6" x14ac:dyDescent="0.25">
      <c r="A2127" s="308">
        <v>43465</v>
      </c>
      <c r="B2127" s="309" t="s">
        <v>486</v>
      </c>
      <c r="C2127" s="309" t="s">
        <v>493</v>
      </c>
      <c r="D2127" s="136" t="str">
        <f t="array" ref="D2127">IF(E2127=0,0,(INDEX(AccountCodes[ACCOUNT NAME],MATCH(E2127,AccountCodes[NGAS CODE],0))))</f>
        <v>Salaries and Wages-Regular</v>
      </c>
      <c r="E2127" s="309" t="s">
        <v>162</v>
      </c>
      <c r="F2127" s="501">
        <v>260790</v>
      </c>
    </row>
    <row r="2128" spans="1:6" x14ac:dyDescent="0.25">
      <c r="A2128" s="308">
        <v>43131</v>
      </c>
      <c r="B2128" s="309" t="s">
        <v>486</v>
      </c>
      <c r="C2128" s="309" t="s">
        <v>493</v>
      </c>
      <c r="D2128" s="136" t="str">
        <f t="array" ref="D2128">IF(E2128=0,0,(INDEX(AccountCodes[ACCOUNT NAME],MATCH(E2128,AccountCodes[NGAS CODE],0))))</f>
        <v>Salaries and Wages-Casual/Contractual</v>
      </c>
      <c r="E2128" s="309" t="s">
        <v>163</v>
      </c>
      <c r="F2128" s="501">
        <v>89629.8</v>
      </c>
    </row>
    <row r="2129" spans="1:6" x14ac:dyDescent="0.25">
      <c r="A2129" s="308">
        <v>43159</v>
      </c>
      <c r="B2129" s="309" t="s">
        <v>486</v>
      </c>
      <c r="C2129" s="309" t="s">
        <v>493</v>
      </c>
      <c r="D2129" s="136" t="str">
        <f t="array" ref="D2129">IF(E2129=0,0,(INDEX(AccountCodes[ACCOUNT NAME],MATCH(E2129,AccountCodes[NGAS CODE],0))))</f>
        <v>Salaries and Wages-Casual/Contractual</v>
      </c>
      <c r="E2129" s="309" t="s">
        <v>163</v>
      </c>
      <c r="F2129" s="501">
        <v>89629.8</v>
      </c>
    </row>
    <row r="2130" spans="1:6" x14ac:dyDescent="0.25">
      <c r="A2130" s="308">
        <v>43190</v>
      </c>
      <c r="B2130" s="309" t="s">
        <v>486</v>
      </c>
      <c r="C2130" s="309" t="s">
        <v>493</v>
      </c>
      <c r="D2130" s="136" t="str">
        <f t="array" ref="D2130">IF(E2130=0,0,(INDEX(AccountCodes[ACCOUNT NAME],MATCH(E2130,AccountCodes[NGAS CODE],0))))</f>
        <v>Salaries and Wages-Casual/Contractual</v>
      </c>
      <c r="E2130" s="309" t="s">
        <v>163</v>
      </c>
      <c r="F2130" s="501">
        <v>89629.8</v>
      </c>
    </row>
    <row r="2131" spans="1:6" x14ac:dyDescent="0.25">
      <c r="A2131" s="308">
        <v>43220</v>
      </c>
      <c r="B2131" s="309" t="s">
        <v>486</v>
      </c>
      <c r="C2131" s="309" t="s">
        <v>493</v>
      </c>
      <c r="D2131" s="136" t="str">
        <f t="array" ref="D2131">IF(E2131=0,0,(INDEX(AccountCodes[ACCOUNT NAME],MATCH(E2131,AccountCodes[NGAS CODE],0))))</f>
        <v>Salaries and Wages-Casual/Contractual</v>
      </c>
      <c r="E2131" s="309" t="s">
        <v>163</v>
      </c>
      <c r="F2131" s="501">
        <v>89629.8</v>
      </c>
    </row>
    <row r="2132" spans="1:6" x14ac:dyDescent="0.25">
      <c r="A2132" s="308">
        <v>43251</v>
      </c>
      <c r="B2132" s="309" t="s">
        <v>486</v>
      </c>
      <c r="C2132" s="309" t="s">
        <v>493</v>
      </c>
      <c r="D2132" s="136" t="str">
        <f t="array" ref="D2132">IF(E2132=0,0,(INDEX(AccountCodes[ACCOUNT NAME],MATCH(E2132,AccountCodes[NGAS CODE],0))))</f>
        <v>Salaries and Wages-Casual/Contractual</v>
      </c>
      <c r="E2132" s="309" t="s">
        <v>163</v>
      </c>
      <c r="F2132" s="501">
        <v>89629.8</v>
      </c>
    </row>
    <row r="2133" spans="1:6" x14ac:dyDescent="0.25">
      <c r="A2133" s="308">
        <v>43281</v>
      </c>
      <c r="B2133" s="309" t="s">
        <v>486</v>
      </c>
      <c r="C2133" s="309" t="s">
        <v>493</v>
      </c>
      <c r="D2133" s="136" t="str">
        <f t="array" ref="D2133">IF(E2133=0,0,(INDEX(AccountCodes[ACCOUNT NAME],MATCH(E2133,AccountCodes[NGAS CODE],0))))</f>
        <v>Salaries and Wages-Casual/Contractual</v>
      </c>
      <c r="E2133" s="309" t="s">
        <v>163</v>
      </c>
      <c r="F2133" s="501">
        <v>89629.8</v>
      </c>
    </row>
    <row r="2134" spans="1:6" x14ac:dyDescent="0.25">
      <c r="A2134" s="308">
        <v>43312</v>
      </c>
      <c r="B2134" s="309" t="s">
        <v>486</v>
      </c>
      <c r="C2134" s="309" t="s">
        <v>493</v>
      </c>
      <c r="D2134" s="136" t="str">
        <f t="array" ref="D2134">IF(E2134=0,0,(INDEX(AccountCodes[ACCOUNT NAME],MATCH(E2134,AccountCodes[NGAS CODE],0))))</f>
        <v>Salaries and Wages-Casual/Contractual</v>
      </c>
      <c r="E2134" s="309" t="s">
        <v>163</v>
      </c>
      <c r="F2134" s="501">
        <v>89629.8</v>
      </c>
    </row>
    <row r="2135" spans="1:6" x14ac:dyDescent="0.25">
      <c r="A2135" s="308">
        <v>43343</v>
      </c>
      <c r="B2135" s="309" t="s">
        <v>486</v>
      </c>
      <c r="C2135" s="309" t="s">
        <v>493</v>
      </c>
      <c r="D2135" s="136" t="str">
        <f t="array" ref="D2135">IF(E2135=0,0,(INDEX(AccountCodes[ACCOUNT NAME],MATCH(E2135,AccountCodes[NGAS CODE],0))))</f>
        <v>Salaries and Wages-Casual/Contractual</v>
      </c>
      <c r="E2135" s="309" t="s">
        <v>163</v>
      </c>
      <c r="F2135" s="501">
        <v>89629.8</v>
      </c>
    </row>
    <row r="2136" spans="1:6" x14ac:dyDescent="0.25">
      <c r="A2136" s="308">
        <v>43373</v>
      </c>
      <c r="B2136" s="309" t="s">
        <v>486</v>
      </c>
      <c r="C2136" s="309" t="s">
        <v>493</v>
      </c>
      <c r="D2136" s="136" t="str">
        <f t="array" ref="D2136">IF(E2136=0,0,(INDEX(AccountCodes[ACCOUNT NAME],MATCH(E2136,AccountCodes[NGAS CODE],0))))</f>
        <v>Salaries and Wages-Casual/Contractual</v>
      </c>
      <c r="E2136" s="309" t="s">
        <v>163</v>
      </c>
      <c r="F2136" s="501">
        <v>89629.8</v>
      </c>
    </row>
    <row r="2137" spans="1:6" x14ac:dyDescent="0.25">
      <c r="A2137" s="308">
        <v>43404</v>
      </c>
      <c r="B2137" s="309" t="s">
        <v>486</v>
      </c>
      <c r="C2137" s="309" t="s">
        <v>493</v>
      </c>
      <c r="D2137" s="136" t="str">
        <f t="array" ref="D2137">IF(E2137=0,0,(INDEX(AccountCodes[ACCOUNT NAME],MATCH(E2137,AccountCodes[NGAS CODE],0))))</f>
        <v>Salaries and Wages-Casual/Contractual</v>
      </c>
      <c r="E2137" s="309" t="s">
        <v>163</v>
      </c>
      <c r="F2137" s="501">
        <v>89629.8</v>
      </c>
    </row>
    <row r="2138" spans="1:6" x14ac:dyDescent="0.25">
      <c r="A2138" s="308">
        <v>43434</v>
      </c>
      <c r="B2138" s="309" t="s">
        <v>486</v>
      </c>
      <c r="C2138" s="309" t="s">
        <v>493</v>
      </c>
      <c r="D2138" s="136" t="str">
        <f t="array" ref="D2138">IF(E2138=0,0,(INDEX(AccountCodes[ACCOUNT NAME],MATCH(E2138,AccountCodes[NGAS CODE],0))))</f>
        <v>Salaries and Wages-Casual/Contractual</v>
      </c>
      <c r="E2138" s="309" t="s">
        <v>163</v>
      </c>
      <c r="F2138" s="501">
        <v>89629.8</v>
      </c>
    </row>
    <row r="2139" spans="1:6" x14ac:dyDescent="0.25">
      <c r="A2139" s="308">
        <v>43465</v>
      </c>
      <c r="B2139" s="309" t="s">
        <v>486</v>
      </c>
      <c r="C2139" s="309" t="s">
        <v>493</v>
      </c>
      <c r="D2139" s="136" t="str">
        <f t="array" ref="D2139">IF(E2139=0,0,(INDEX(AccountCodes[ACCOUNT NAME],MATCH(E2139,AccountCodes[NGAS CODE],0))))</f>
        <v>Salaries and Wages-Casual/Contractual</v>
      </c>
      <c r="E2139" s="309" t="s">
        <v>163</v>
      </c>
      <c r="F2139" s="501">
        <v>89629.8</v>
      </c>
    </row>
    <row r="2140" spans="1:6" x14ac:dyDescent="0.25">
      <c r="A2140" s="308">
        <v>43131</v>
      </c>
      <c r="B2140" s="309" t="s">
        <v>486</v>
      </c>
      <c r="C2140" s="309" t="s">
        <v>493</v>
      </c>
      <c r="D2140" s="136" t="str">
        <f t="array" ref="D2140">IF(E2140=0,0,(INDEX(AccountCodes[ACCOUNT NAME],MATCH(E2140,AccountCodes[NGAS CODE],0))))</f>
        <v>Personal Economic Relief Allowance (PERA)</v>
      </c>
      <c r="E2140" s="309" t="s">
        <v>164</v>
      </c>
      <c r="F2140" s="501">
        <v>26000</v>
      </c>
    </row>
    <row r="2141" spans="1:6" x14ac:dyDescent="0.25">
      <c r="A2141" s="308">
        <v>43159</v>
      </c>
      <c r="B2141" s="309" t="s">
        <v>486</v>
      </c>
      <c r="C2141" s="309" t="s">
        <v>493</v>
      </c>
      <c r="D2141" s="136" t="str">
        <f t="array" ref="D2141">IF(E2141=0,0,(INDEX(AccountCodes[ACCOUNT NAME],MATCH(E2141,AccountCodes[NGAS CODE],0))))</f>
        <v>Personal Economic Relief Allowance (PERA)</v>
      </c>
      <c r="E2141" s="309" t="s">
        <v>164</v>
      </c>
      <c r="F2141" s="501">
        <v>26000</v>
      </c>
    </row>
    <row r="2142" spans="1:6" x14ac:dyDescent="0.25">
      <c r="A2142" s="308">
        <v>43190</v>
      </c>
      <c r="B2142" s="309" t="s">
        <v>486</v>
      </c>
      <c r="C2142" s="309" t="s">
        <v>493</v>
      </c>
      <c r="D2142" s="136" t="str">
        <f t="array" ref="D2142">IF(E2142=0,0,(INDEX(AccountCodes[ACCOUNT NAME],MATCH(E2142,AccountCodes[NGAS CODE],0))))</f>
        <v>Personal Economic Relief Allowance (PERA)</v>
      </c>
      <c r="E2142" s="309" t="s">
        <v>164</v>
      </c>
      <c r="F2142" s="501">
        <v>26000</v>
      </c>
    </row>
    <row r="2143" spans="1:6" x14ac:dyDescent="0.25">
      <c r="A2143" s="308">
        <v>43220</v>
      </c>
      <c r="B2143" s="309" t="s">
        <v>486</v>
      </c>
      <c r="C2143" s="309" t="s">
        <v>493</v>
      </c>
      <c r="D2143" s="136" t="str">
        <f t="array" ref="D2143">IF(E2143=0,0,(INDEX(AccountCodes[ACCOUNT NAME],MATCH(E2143,AccountCodes[NGAS CODE],0))))</f>
        <v>Personal Economic Relief Allowance (PERA)</v>
      </c>
      <c r="E2143" s="309" t="s">
        <v>164</v>
      </c>
      <c r="F2143" s="501">
        <v>26000</v>
      </c>
    </row>
    <row r="2144" spans="1:6" x14ac:dyDescent="0.25">
      <c r="A2144" s="308">
        <v>43251</v>
      </c>
      <c r="B2144" s="309" t="s">
        <v>486</v>
      </c>
      <c r="C2144" s="309" t="s">
        <v>493</v>
      </c>
      <c r="D2144" s="136" t="str">
        <f t="array" ref="D2144">IF(E2144=0,0,(INDEX(AccountCodes[ACCOUNT NAME],MATCH(E2144,AccountCodes[NGAS CODE],0))))</f>
        <v>Personal Economic Relief Allowance (PERA)</v>
      </c>
      <c r="E2144" s="309" t="s">
        <v>164</v>
      </c>
      <c r="F2144" s="501">
        <v>26000</v>
      </c>
    </row>
    <row r="2145" spans="1:6" x14ac:dyDescent="0.25">
      <c r="A2145" s="308">
        <v>43281</v>
      </c>
      <c r="B2145" s="309" t="s">
        <v>486</v>
      </c>
      <c r="C2145" s="309" t="s">
        <v>493</v>
      </c>
      <c r="D2145" s="136" t="str">
        <f t="array" ref="D2145">IF(E2145=0,0,(INDEX(AccountCodes[ACCOUNT NAME],MATCH(E2145,AccountCodes[NGAS CODE],0))))</f>
        <v>Personal Economic Relief Allowance (PERA)</v>
      </c>
      <c r="E2145" s="309" t="s">
        <v>164</v>
      </c>
      <c r="F2145" s="501">
        <v>26000</v>
      </c>
    </row>
    <row r="2146" spans="1:6" x14ac:dyDescent="0.25">
      <c r="A2146" s="308">
        <v>43312</v>
      </c>
      <c r="B2146" s="309" t="s">
        <v>486</v>
      </c>
      <c r="C2146" s="309" t="s">
        <v>493</v>
      </c>
      <c r="D2146" s="136" t="str">
        <f t="array" ref="D2146">IF(E2146=0,0,(INDEX(AccountCodes[ACCOUNT NAME],MATCH(E2146,AccountCodes[NGAS CODE],0))))</f>
        <v>Personal Economic Relief Allowance (PERA)</v>
      </c>
      <c r="E2146" s="309" t="s">
        <v>164</v>
      </c>
      <c r="F2146" s="501">
        <v>26000</v>
      </c>
    </row>
    <row r="2147" spans="1:6" x14ac:dyDescent="0.25">
      <c r="A2147" s="308">
        <v>43343</v>
      </c>
      <c r="B2147" s="309" t="s">
        <v>486</v>
      </c>
      <c r="C2147" s="309" t="s">
        <v>493</v>
      </c>
      <c r="D2147" s="136" t="str">
        <f t="array" ref="D2147">IF(E2147=0,0,(INDEX(AccountCodes[ACCOUNT NAME],MATCH(E2147,AccountCodes[NGAS CODE],0))))</f>
        <v>Personal Economic Relief Allowance (PERA)</v>
      </c>
      <c r="E2147" s="309" t="s">
        <v>164</v>
      </c>
      <c r="F2147" s="501">
        <v>26000</v>
      </c>
    </row>
    <row r="2148" spans="1:6" x14ac:dyDescent="0.25">
      <c r="A2148" s="308">
        <v>43373</v>
      </c>
      <c r="B2148" s="309" t="s">
        <v>486</v>
      </c>
      <c r="C2148" s="309" t="s">
        <v>493</v>
      </c>
      <c r="D2148" s="136" t="str">
        <f t="array" ref="D2148">IF(E2148=0,0,(INDEX(AccountCodes[ACCOUNT NAME],MATCH(E2148,AccountCodes[NGAS CODE],0))))</f>
        <v>Personal Economic Relief Allowance (PERA)</v>
      </c>
      <c r="E2148" s="309" t="s">
        <v>164</v>
      </c>
      <c r="F2148" s="501">
        <v>26000</v>
      </c>
    </row>
    <row r="2149" spans="1:6" x14ac:dyDescent="0.25">
      <c r="A2149" s="308">
        <v>43404</v>
      </c>
      <c r="B2149" s="309" t="s">
        <v>486</v>
      </c>
      <c r="C2149" s="309" t="s">
        <v>493</v>
      </c>
      <c r="D2149" s="136" t="str">
        <f t="array" ref="D2149">IF(E2149=0,0,(INDEX(AccountCodes[ACCOUNT NAME],MATCH(E2149,AccountCodes[NGAS CODE],0))))</f>
        <v>Personal Economic Relief Allowance (PERA)</v>
      </c>
      <c r="E2149" s="309" t="s">
        <v>164</v>
      </c>
      <c r="F2149" s="501">
        <v>26000</v>
      </c>
    </row>
    <row r="2150" spans="1:6" x14ac:dyDescent="0.25">
      <c r="A2150" s="308">
        <v>43434</v>
      </c>
      <c r="B2150" s="309" t="s">
        <v>486</v>
      </c>
      <c r="C2150" s="309" t="s">
        <v>493</v>
      </c>
      <c r="D2150" s="136" t="str">
        <f t="array" ref="D2150">IF(E2150=0,0,(INDEX(AccountCodes[ACCOUNT NAME],MATCH(E2150,AccountCodes[NGAS CODE],0))))</f>
        <v>Personal Economic Relief Allowance (PERA)</v>
      </c>
      <c r="E2150" s="309" t="s">
        <v>164</v>
      </c>
      <c r="F2150" s="501">
        <v>26000</v>
      </c>
    </row>
    <row r="2151" spans="1:6" x14ac:dyDescent="0.25">
      <c r="A2151" s="308">
        <v>43465</v>
      </c>
      <c r="B2151" s="309" t="s">
        <v>486</v>
      </c>
      <c r="C2151" s="309" t="s">
        <v>493</v>
      </c>
      <c r="D2151" s="136" t="str">
        <f t="array" ref="D2151">IF(E2151=0,0,(INDEX(AccountCodes[ACCOUNT NAME],MATCH(E2151,AccountCodes[NGAS CODE],0))))</f>
        <v>Personal Economic Relief Allowance (PERA)</v>
      </c>
      <c r="E2151" s="309" t="s">
        <v>164</v>
      </c>
      <c r="F2151" s="501">
        <v>26000</v>
      </c>
    </row>
    <row r="2152" spans="1:6" x14ac:dyDescent="0.25">
      <c r="A2152" s="308">
        <v>43465</v>
      </c>
      <c r="B2152" s="309" t="s">
        <v>486</v>
      </c>
      <c r="C2152" s="309" t="s">
        <v>493</v>
      </c>
      <c r="D2152" s="136" t="str">
        <f t="array" ref="D2152">IF(E2152=0,0,(INDEX(AccountCodes[ACCOUNT NAME],MATCH(E2152,AccountCodes[NGAS CODE],0))))</f>
        <v>Other Bonuses and Allowances - Productivity Enhancement Incentive-Civilian</v>
      </c>
      <c r="E2152" s="309" t="s">
        <v>170</v>
      </c>
      <c r="F2152" s="501">
        <v>65000</v>
      </c>
    </row>
    <row r="2153" spans="1:6" x14ac:dyDescent="0.25">
      <c r="A2153" s="308">
        <v>43131</v>
      </c>
      <c r="B2153" s="309" t="s">
        <v>486</v>
      </c>
      <c r="C2153" s="309" t="s">
        <v>493</v>
      </c>
      <c r="D2153" s="136" t="str">
        <f t="array" ref="D2153">IF(E2153=0,0,(INDEX(AccountCodes[ACCOUNT NAME],MATCH(E2153,AccountCodes[NGAS CODE],0))))</f>
        <v>Other Bonuses and Allowances - Children Allowance</v>
      </c>
      <c r="E2153" s="309" t="s">
        <v>7</v>
      </c>
      <c r="F2153" s="501">
        <v>60</v>
      </c>
    </row>
    <row r="2154" spans="1:6" x14ac:dyDescent="0.25">
      <c r="A2154" s="308">
        <v>43159</v>
      </c>
      <c r="B2154" s="309" t="s">
        <v>486</v>
      </c>
      <c r="C2154" s="309" t="s">
        <v>493</v>
      </c>
      <c r="D2154" s="136" t="str">
        <f t="array" ref="D2154">IF(E2154=0,0,(INDEX(AccountCodes[ACCOUNT NAME],MATCH(E2154,AccountCodes[NGAS CODE],0))))</f>
        <v>Other Bonuses and Allowances - Children Allowance</v>
      </c>
      <c r="E2154" s="309" t="s">
        <v>7</v>
      </c>
      <c r="F2154" s="501">
        <v>60</v>
      </c>
    </row>
    <row r="2155" spans="1:6" x14ac:dyDescent="0.25">
      <c r="A2155" s="308">
        <v>43190</v>
      </c>
      <c r="B2155" s="309" t="s">
        <v>486</v>
      </c>
      <c r="C2155" s="309" t="s">
        <v>493</v>
      </c>
      <c r="D2155" s="136" t="str">
        <f t="array" ref="D2155">IF(E2155=0,0,(INDEX(AccountCodes[ACCOUNT NAME],MATCH(E2155,AccountCodes[NGAS CODE],0))))</f>
        <v>Other Bonuses and Allowances - Children Allowance</v>
      </c>
      <c r="E2155" s="309" t="s">
        <v>7</v>
      </c>
      <c r="F2155" s="501">
        <v>60</v>
      </c>
    </row>
    <row r="2156" spans="1:6" x14ac:dyDescent="0.25">
      <c r="A2156" s="308">
        <v>43220</v>
      </c>
      <c r="B2156" s="309" t="s">
        <v>486</v>
      </c>
      <c r="C2156" s="309" t="s">
        <v>493</v>
      </c>
      <c r="D2156" s="136" t="str">
        <f t="array" ref="D2156">IF(E2156=0,0,(INDEX(AccountCodes[ACCOUNT NAME],MATCH(E2156,AccountCodes[NGAS CODE],0))))</f>
        <v>Other Bonuses and Allowances - Children Allowance</v>
      </c>
      <c r="E2156" s="309" t="s">
        <v>7</v>
      </c>
      <c r="F2156" s="501">
        <v>60</v>
      </c>
    </row>
    <row r="2157" spans="1:6" x14ac:dyDescent="0.25">
      <c r="A2157" s="308">
        <v>43251</v>
      </c>
      <c r="B2157" s="309" t="s">
        <v>486</v>
      </c>
      <c r="C2157" s="309" t="s">
        <v>493</v>
      </c>
      <c r="D2157" s="136" t="str">
        <f t="array" ref="D2157">IF(E2157=0,0,(INDEX(AccountCodes[ACCOUNT NAME],MATCH(E2157,AccountCodes[NGAS CODE],0))))</f>
        <v>Other Bonuses and Allowances - Children Allowance</v>
      </c>
      <c r="E2157" s="309" t="s">
        <v>7</v>
      </c>
      <c r="F2157" s="501">
        <v>60</v>
      </c>
    </row>
    <row r="2158" spans="1:6" x14ac:dyDescent="0.25">
      <c r="A2158" s="308">
        <v>43281</v>
      </c>
      <c r="B2158" s="309" t="s">
        <v>486</v>
      </c>
      <c r="C2158" s="309" t="s">
        <v>493</v>
      </c>
      <c r="D2158" s="136" t="str">
        <f t="array" ref="D2158">IF(E2158=0,0,(INDEX(AccountCodes[ACCOUNT NAME],MATCH(E2158,AccountCodes[NGAS CODE],0))))</f>
        <v>Other Bonuses and Allowances - Children Allowance</v>
      </c>
      <c r="E2158" s="309" t="s">
        <v>7</v>
      </c>
      <c r="F2158" s="501">
        <v>60</v>
      </c>
    </row>
    <row r="2159" spans="1:6" x14ac:dyDescent="0.25">
      <c r="A2159" s="308">
        <v>43312</v>
      </c>
      <c r="B2159" s="309" t="s">
        <v>486</v>
      </c>
      <c r="C2159" s="309" t="s">
        <v>493</v>
      </c>
      <c r="D2159" s="136" t="str">
        <f t="array" ref="D2159">IF(E2159=0,0,(INDEX(AccountCodes[ACCOUNT NAME],MATCH(E2159,AccountCodes[NGAS CODE],0))))</f>
        <v>Other Bonuses and Allowances - Children Allowance</v>
      </c>
      <c r="E2159" s="309" t="s">
        <v>7</v>
      </c>
      <c r="F2159" s="501">
        <v>60</v>
      </c>
    </row>
    <row r="2160" spans="1:6" x14ac:dyDescent="0.25">
      <c r="A2160" s="308">
        <v>43343</v>
      </c>
      <c r="B2160" s="309" t="s">
        <v>486</v>
      </c>
      <c r="C2160" s="309" t="s">
        <v>493</v>
      </c>
      <c r="D2160" s="136" t="str">
        <f t="array" ref="D2160">IF(E2160=0,0,(INDEX(AccountCodes[ACCOUNT NAME],MATCH(E2160,AccountCodes[NGAS CODE],0))))</f>
        <v>Other Bonuses and Allowances - Children Allowance</v>
      </c>
      <c r="E2160" s="309" t="s">
        <v>7</v>
      </c>
      <c r="F2160" s="501">
        <v>60</v>
      </c>
    </row>
    <row r="2161" spans="1:6" x14ac:dyDescent="0.25">
      <c r="A2161" s="308">
        <v>43373</v>
      </c>
      <c r="B2161" s="309" t="s">
        <v>486</v>
      </c>
      <c r="C2161" s="309" t="s">
        <v>493</v>
      </c>
      <c r="D2161" s="136" t="str">
        <f t="array" ref="D2161">IF(E2161=0,0,(INDEX(AccountCodes[ACCOUNT NAME],MATCH(E2161,AccountCodes[NGAS CODE],0))))</f>
        <v>Other Bonuses and Allowances - Children Allowance</v>
      </c>
      <c r="E2161" s="309" t="s">
        <v>7</v>
      </c>
      <c r="F2161" s="501">
        <v>60</v>
      </c>
    </row>
    <row r="2162" spans="1:6" x14ac:dyDescent="0.25">
      <c r="A2162" s="308">
        <v>43404</v>
      </c>
      <c r="B2162" s="309" t="s">
        <v>486</v>
      </c>
      <c r="C2162" s="309" t="s">
        <v>493</v>
      </c>
      <c r="D2162" s="136" t="str">
        <f t="array" ref="D2162">IF(E2162=0,0,(INDEX(AccountCodes[ACCOUNT NAME],MATCH(E2162,AccountCodes[NGAS CODE],0))))</f>
        <v>Other Bonuses and Allowances - Children Allowance</v>
      </c>
      <c r="E2162" s="309" t="s">
        <v>7</v>
      </c>
      <c r="F2162" s="501">
        <v>60</v>
      </c>
    </row>
    <row r="2163" spans="1:6" x14ac:dyDescent="0.25">
      <c r="A2163" s="308">
        <v>43434</v>
      </c>
      <c r="B2163" s="309" t="s">
        <v>486</v>
      </c>
      <c r="C2163" s="309" t="s">
        <v>493</v>
      </c>
      <c r="D2163" s="136" t="str">
        <f t="array" ref="D2163">IF(E2163=0,0,(INDEX(AccountCodes[ACCOUNT NAME],MATCH(E2163,AccountCodes[NGAS CODE],0))))</f>
        <v>Other Bonuses and Allowances - Children Allowance</v>
      </c>
      <c r="E2163" s="309" t="s">
        <v>7</v>
      </c>
      <c r="F2163" s="501">
        <v>60</v>
      </c>
    </row>
    <row r="2164" spans="1:6" x14ac:dyDescent="0.25">
      <c r="A2164" s="308">
        <v>43465</v>
      </c>
      <c r="B2164" s="309" t="s">
        <v>486</v>
      </c>
      <c r="C2164" s="309" t="s">
        <v>493</v>
      </c>
      <c r="D2164" s="136" t="str">
        <f t="array" ref="D2164">IF(E2164=0,0,(INDEX(AccountCodes[ACCOUNT NAME],MATCH(E2164,AccountCodes[NGAS CODE],0))))</f>
        <v>Other Bonuses and Allowances - Children Allowance</v>
      </c>
      <c r="E2164" s="309" t="s">
        <v>7</v>
      </c>
      <c r="F2164" s="501">
        <v>60</v>
      </c>
    </row>
    <row r="2165" spans="1:6" x14ac:dyDescent="0.25">
      <c r="A2165" s="308">
        <v>43131</v>
      </c>
      <c r="B2165" s="309" t="s">
        <v>486</v>
      </c>
      <c r="C2165" s="309" t="s">
        <v>493</v>
      </c>
      <c r="D2165" s="136" t="str">
        <f t="array" ref="D2165">IF(E2165=0,0,(INDEX(AccountCodes[ACCOUNT NAME],MATCH(E2165,AccountCodes[NGAS CODE],0))))</f>
        <v>Other Bonuses and Allowances - Medical Allowance</v>
      </c>
      <c r="E2165" s="309" t="s">
        <v>5</v>
      </c>
      <c r="F2165" s="501">
        <v>1400</v>
      </c>
    </row>
    <row r="2166" spans="1:6" x14ac:dyDescent="0.25">
      <c r="A2166" s="308">
        <v>43159</v>
      </c>
      <c r="B2166" s="309" t="s">
        <v>486</v>
      </c>
      <c r="C2166" s="309" t="s">
        <v>493</v>
      </c>
      <c r="D2166" s="136" t="str">
        <f t="array" ref="D2166">IF(E2166=0,0,(INDEX(AccountCodes[ACCOUNT NAME],MATCH(E2166,AccountCodes[NGAS CODE],0))))</f>
        <v>Other Bonuses and Allowances - Medical Allowance</v>
      </c>
      <c r="E2166" s="309" t="s">
        <v>5</v>
      </c>
      <c r="F2166" s="501">
        <v>1400</v>
      </c>
    </row>
    <row r="2167" spans="1:6" x14ac:dyDescent="0.25">
      <c r="A2167" s="308">
        <v>43190</v>
      </c>
      <c r="B2167" s="309" t="s">
        <v>486</v>
      </c>
      <c r="C2167" s="309" t="s">
        <v>493</v>
      </c>
      <c r="D2167" s="136" t="str">
        <f t="array" ref="D2167">IF(E2167=0,0,(INDEX(AccountCodes[ACCOUNT NAME],MATCH(E2167,AccountCodes[NGAS CODE],0))))</f>
        <v>Other Bonuses and Allowances - Medical Allowance</v>
      </c>
      <c r="E2167" s="309" t="s">
        <v>5</v>
      </c>
      <c r="F2167" s="501">
        <v>1400</v>
      </c>
    </row>
    <row r="2168" spans="1:6" x14ac:dyDescent="0.25">
      <c r="A2168" s="308">
        <v>43220</v>
      </c>
      <c r="B2168" s="309" t="s">
        <v>486</v>
      </c>
      <c r="C2168" s="309" t="s">
        <v>493</v>
      </c>
      <c r="D2168" s="136" t="str">
        <f t="array" ref="D2168">IF(E2168=0,0,(INDEX(AccountCodes[ACCOUNT NAME],MATCH(E2168,AccountCodes[NGAS CODE],0))))</f>
        <v>Other Bonuses and Allowances - Medical Allowance</v>
      </c>
      <c r="E2168" s="309" t="s">
        <v>5</v>
      </c>
      <c r="F2168" s="501">
        <v>1400</v>
      </c>
    </row>
    <row r="2169" spans="1:6" x14ac:dyDescent="0.25">
      <c r="A2169" s="308">
        <v>43251</v>
      </c>
      <c r="B2169" s="309" t="s">
        <v>486</v>
      </c>
      <c r="C2169" s="309" t="s">
        <v>493</v>
      </c>
      <c r="D2169" s="136" t="str">
        <f t="array" ref="D2169">IF(E2169=0,0,(INDEX(AccountCodes[ACCOUNT NAME],MATCH(E2169,AccountCodes[NGAS CODE],0))))</f>
        <v>Other Bonuses and Allowances - Medical Allowance</v>
      </c>
      <c r="E2169" s="309" t="s">
        <v>5</v>
      </c>
      <c r="F2169" s="501">
        <v>1400</v>
      </c>
    </row>
    <row r="2170" spans="1:6" x14ac:dyDescent="0.25">
      <c r="A2170" s="308">
        <v>43281</v>
      </c>
      <c r="B2170" s="309" t="s">
        <v>486</v>
      </c>
      <c r="C2170" s="309" t="s">
        <v>493</v>
      </c>
      <c r="D2170" s="136" t="str">
        <f t="array" ref="D2170">IF(E2170=0,0,(INDEX(AccountCodes[ACCOUNT NAME],MATCH(E2170,AccountCodes[NGAS CODE],0))))</f>
        <v>Other Bonuses and Allowances - Medical Allowance</v>
      </c>
      <c r="E2170" s="309" t="s">
        <v>5</v>
      </c>
      <c r="F2170" s="501">
        <v>1400</v>
      </c>
    </row>
    <row r="2171" spans="1:6" x14ac:dyDescent="0.25">
      <c r="A2171" s="308">
        <v>43312</v>
      </c>
      <c r="B2171" s="309" t="s">
        <v>486</v>
      </c>
      <c r="C2171" s="309" t="s">
        <v>493</v>
      </c>
      <c r="D2171" s="136" t="str">
        <f t="array" ref="D2171">IF(E2171=0,0,(INDEX(AccountCodes[ACCOUNT NAME],MATCH(E2171,AccountCodes[NGAS CODE],0))))</f>
        <v>Other Bonuses and Allowances - Medical Allowance</v>
      </c>
      <c r="E2171" s="309" t="s">
        <v>5</v>
      </c>
      <c r="F2171" s="501">
        <v>1400</v>
      </c>
    </row>
    <row r="2172" spans="1:6" x14ac:dyDescent="0.25">
      <c r="A2172" s="308">
        <v>43343</v>
      </c>
      <c r="B2172" s="309" t="s">
        <v>486</v>
      </c>
      <c r="C2172" s="309" t="s">
        <v>493</v>
      </c>
      <c r="D2172" s="136" t="str">
        <f t="array" ref="D2172">IF(E2172=0,0,(INDEX(AccountCodes[ACCOUNT NAME],MATCH(E2172,AccountCodes[NGAS CODE],0))))</f>
        <v>Other Bonuses and Allowances - Medical Allowance</v>
      </c>
      <c r="E2172" s="309" t="s">
        <v>5</v>
      </c>
      <c r="F2172" s="501">
        <v>1400</v>
      </c>
    </row>
    <row r="2173" spans="1:6" x14ac:dyDescent="0.25">
      <c r="A2173" s="308">
        <v>43373</v>
      </c>
      <c r="B2173" s="309" t="s">
        <v>486</v>
      </c>
      <c r="C2173" s="309" t="s">
        <v>493</v>
      </c>
      <c r="D2173" s="136" t="str">
        <f t="array" ref="D2173">IF(E2173=0,0,(INDEX(AccountCodes[ACCOUNT NAME],MATCH(E2173,AccountCodes[NGAS CODE],0))))</f>
        <v>Other Bonuses and Allowances - Medical Allowance</v>
      </c>
      <c r="E2173" s="309" t="s">
        <v>5</v>
      </c>
      <c r="F2173" s="501">
        <v>1400</v>
      </c>
    </row>
    <row r="2174" spans="1:6" x14ac:dyDescent="0.25">
      <c r="A2174" s="308">
        <v>43404</v>
      </c>
      <c r="B2174" s="309" t="s">
        <v>486</v>
      </c>
      <c r="C2174" s="309" t="s">
        <v>493</v>
      </c>
      <c r="D2174" s="136" t="str">
        <f t="array" ref="D2174">IF(E2174=0,0,(INDEX(AccountCodes[ACCOUNT NAME],MATCH(E2174,AccountCodes[NGAS CODE],0))))</f>
        <v>Other Bonuses and Allowances - Medical Allowance</v>
      </c>
      <c r="E2174" s="309" t="s">
        <v>5</v>
      </c>
      <c r="F2174" s="501">
        <v>1400</v>
      </c>
    </row>
    <row r="2175" spans="1:6" x14ac:dyDescent="0.25">
      <c r="A2175" s="308">
        <v>43434</v>
      </c>
      <c r="B2175" s="309" t="s">
        <v>486</v>
      </c>
      <c r="C2175" s="309" t="s">
        <v>493</v>
      </c>
      <c r="D2175" s="136" t="str">
        <f t="array" ref="D2175">IF(E2175=0,0,(INDEX(AccountCodes[ACCOUNT NAME],MATCH(E2175,AccountCodes[NGAS CODE],0))))</f>
        <v>Other Bonuses and Allowances - Medical Allowance</v>
      </c>
      <c r="E2175" s="309" t="s">
        <v>5</v>
      </c>
      <c r="F2175" s="501">
        <v>1400</v>
      </c>
    </row>
    <row r="2176" spans="1:6" x14ac:dyDescent="0.25">
      <c r="A2176" s="308">
        <v>43465</v>
      </c>
      <c r="B2176" s="309" t="s">
        <v>486</v>
      </c>
      <c r="C2176" s="309" t="s">
        <v>493</v>
      </c>
      <c r="D2176" s="136" t="str">
        <f t="array" ref="D2176">IF(E2176=0,0,(INDEX(AccountCodes[ACCOUNT NAME],MATCH(E2176,AccountCodes[NGAS CODE],0))))</f>
        <v>Other Bonuses and Allowances - Medical Allowance</v>
      </c>
      <c r="E2176" s="309" t="s">
        <v>5</v>
      </c>
      <c r="F2176" s="501">
        <v>1400</v>
      </c>
    </row>
    <row r="2177" spans="1:6" x14ac:dyDescent="0.25">
      <c r="A2177" s="308">
        <v>43131</v>
      </c>
      <c r="B2177" s="309" t="s">
        <v>486</v>
      </c>
      <c r="C2177" s="309" t="s">
        <v>493</v>
      </c>
      <c r="D2177" s="136" t="str">
        <f t="array" ref="D2177">IF(E2177=0,0,(INDEX(AccountCodes[ACCOUNT NAME],MATCH(E2177,AccountCodes[NGAS CODE],0))))</f>
        <v>Other Bonuses and Allowances - Meal Allowance</v>
      </c>
      <c r="E2177" s="309" t="s">
        <v>6</v>
      </c>
      <c r="F2177" s="501">
        <v>462</v>
      </c>
    </row>
    <row r="2178" spans="1:6" x14ac:dyDescent="0.25">
      <c r="A2178" s="308">
        <v>43159</v>
      </c>
      <c r="B2178" s="309" t="s">
        <v>486</v>
      </c>
      <c r="C2178" s="309" t="s">
        <v>493</v>
      </c>
      <c r="D2178" s="136" t="str">
        <f t="array" ref="D2178">IF(E2178=0,0,(INDEX(AccountCodes[ACCOUNT NAME],MATCH(E2178,AccountCodes[NGAS CODE],0))))</f>
        <v>Other Bonuses and Allowances - Meal Allowance</v>
      </c>
      <c r="E2178" s="309" t="s">
        <v>6</v>
      </c>
      <c r="F2178" s="501">
        <v>462</v>
      </c>
    </row>
    <row r="2179" spans="1:6" x14ac:dyDescent="0.25">
      <c r="A2179" s="308">
        <v>43190</v>
      </c>
      <c r="B2179" s="309" t="s">
        <v>486</v>
      </c>
      <c r="C2179" s="309" t="s">
        <v>493</v>
      </c>
      <c r="D2179" s="136" t="str">
        <f t="array" ref="D2179">IF(E2179=0,0,(INDEX(AccountCodes[ACCOUNT NAME],MATCH(E2179,AccountCodes[NGAS CODE],0))))</f>
        <v>Other Bonuses and Allowances - Meal Allowance</v>
      </c>
      <c r="E2179" s="309" t="s">
        <v>6</v>
      </c>
      <c r="F2179" s="501">
        <v>462</v>
      </c>
    </row>
    <row r="2180" spans="1:6" x14ac:dyDescent="0.25">
      <c r="A2180" s="308">
        <v>43220</v>
      </c>
      <c r="B2180" s="309" t="s">
        <v>486</v>
      </c>
      <c r="C2180" s="309" t="s">
        <v>493</v>
      </c>
      <c r="D2180" s="136" t="str">
        <f t="array" ref="D2180">IF(E2180=0,0,(INDEX(AccountCodes[ACCOUNT NAME],MATCH(E2180,AccountCodes[NGAS CODE],0))))</f>
        <v>Other Bonuses and Allowances - Meal Allowance</v>
      </c>
      <c r="E2180" s="309" t="s">
        <v>6</v>
      </c>
      <c r="F2180" s="501">
        <v>462</v>
      </c>
    </row>
    <row r="2181" spans="1:6" x14ac:dyDescent="0.25">
      <c r="A2181" s="308">
        <v>43251</v>
      </c>
      <c r="B2181" s="309" t="s">
        <v>486</v>
      </c>
      <c r="C2181" s="309" t="s">
        <v>493</v>
      </c>
      <c r="D2181" s="136" t="str">
        <f t="array" ref="D2181">IF(E2181=0,0,(INDEX(AccountCodes[ACCOUNT NAME],MATCH(E2181,AccountCodes[NGAS CODE],0))))</f>
        <v>Other Bonuses and Allowances - Meal Allowance</v>
      </c>
      <c r="E2181" s="309" t="s">
        <v>6</v>
      </c>
      <c r="F2181" s="501">
        <v>462</v>
      </c>
    </row>
    <row r="2182" spans="1:6" x14ac:dyDescent="0.25">
      <c r="A2182" s="308">
        <v>43281</v>
      </c>
      <c r="B2182" s="309" t="s">
        <v>486</v>
      </c>
      <c r="C2182" s="309" t="s">
        <v>493</v>
      </c>
      <c r="D2182" s="136" t="str">
        <f t="array" ref="D2182">IF(E2182=0,0,(INDEX(AccountCodes[ACCOUNT NAME],MATCH(E2182,AccountCodes[NGAS CODE],0))))</f>
        <v>Other Bonuses and Allowances - Meal Allowance</v>
      </c>
      <c r="E2182" s="309" t="s">
        <v>6</v>
      </c>
      <c r="F2182" s="501">
        <v>462</v>
      </c>
    </row>
    <row r="2183" spans="1:6" x14ac:dyDescent="0.25">
      <c r="A2183" s="308">
        <v>43312</v>
      </c>
      <c r="B2183" s="309" t="s">
        <v>486</v>
      </c>
      <c r="C2183" s="309" t="s">
        <v>493</v>
      </c>
      <c r="D2183" s="136" t="str">
        <f t="array" ref="D2183">IF(E2183=0,0,(INDEX(AccountCodes[ACCOUNT NAME],MATCH(E2183,AccountCodes[NGAS CODE],0))))</f>
        <v>Other Bonuses and Allowances - Meal Allowance</v>
      </c>
      <c r="E2183" s="309" t="s">
        <v>6</v>
      </c>
      <c r="F2183" s="501">
        <v>462</v>
      </c>
    </row>
    <row r="2184" spans="1:6" x14ac:dyDescent="0.25">
      <c r="A2184" s="308">
        <v>43343</v>
      </c>
      <c r="B2184" s="309" t="s">
        <v>486</v>
      </c>
      <c r="C2184" s="309" t="s">
        <v>493</v>
      </c>
      <c r="D2184" s="136" t="str">
        <f t="array" ref="D2184">IF(E2184=0,0,(INDEX(AccountCodes[ACCOUNT NAME],MATCH(E2184,AccountCodes[NGAS CODE],0))))</f>
        <v>Other Bonuses and Allowances - Meal Allowance</v>
      </c>
      <c r="E2184" s="309" t="s">
        <v>6</v>
      </c>
      <c r="F2184" s="501">
        <v>462</v>
      </c>
    </row>
    <row r="2185" spans="1:6" x14ac:dyDescent="0.25">
      <c r="A2185" s="308">
        <v>43373</v>
      </c>
      <c r="B2185" s="309" t="s">
        <v>486</v>
      </c>
      <c r="C2185" s="309" t="s">
        <v>493</v>
      </c>
      <c r="D2185" s="136" t="str">
        <f t="array" ref="D2185">IF(E2185=0,0,(INDEX(AccountCodes[ACCOUNT NAME],MATCH(E2185,AccountCodes[NGAS CODE],0))))</f>
        <v>Other Bonuses and Allowances - Meal Allowance</v>
      </c>
      <c r="E2185" s="309" t="s">
        <v>6</v>
      </c>
      <c r="F2185" s="501">
        <v>462</v>
      </c>
    </row>
    <row r="2186" spans="1:6" x14ac:dyDescent="0.25">
      <c r="A2186" s="308">
        <v>43404</v>
      </c>
      <c r="B2186" s="309" t="s">
        <v>486</v>
      </c>
      <c r="C2186" s="309" t="s">
        <v>493</v>
      </c>
      <c r="D2186" s="136" t="str">
        <f t="array" ref="D2186">IF(E2186=0,0,(INDEX(AccountCodes[ACCOUNT NAME],MATCH(E2186,AccountCodes[NGAS CODE],0))))</f>
        <v>Other Bonuses and Allowances - Meal Allowance</v>
      </c>
      <c r="E2186" s="309" t="s">
        <v>6</v>
      </c>
      <c r="F2186" s="501">
        <v>462</v>
      </c>
    </row>
    <row r="2187" spans="1:6" x14ac:dyDescent="0.25">
      <c r="A2187" s="308">
        <v>43434</v>
      </c>
      <c r="B2187" s="309" t="s">
        <v>486</v>
      </c>
      <c r="C2187" s="309" t="s">
        <v>493</v>
      </c>
      <c r="D2187" s="136" t="str">
        <f t="array" ref="D2187">IF(E2187=0,0,(INDEX(AccountCodes[ACCOUNT NAME],MATCH(E2187,AccountCodes[NGAS CODE],0))))</f>
        <v>Other Bonuses and Allowances - Meal Allowance</v>
      </c>
      <c r="E2187" s="309" t="s">
        <v>6</v>
      </c>
      <c r="F2187" s="501">
        <v>462</v>
      </c>
    </row>
    <row r="2188" spans="1:6" x14ac:dyDescent="0.25">
      <c r="A2188" s="308">
        <v>43465</v>
      </c>
      <c r="B2188" s="309" t="s">
        <v>486</v>
      </c>
      <c r="C2188" s="309" t="s">
        <v>493</v>
      </c>
      <c r="D2188" s="136" t="str">
        <f t="array" ref="D2188">IF(E2188=0,0,(INDEX(AccountCodes[ACCOUNT NAME],MATCH(E2188,AccountCodes[NGAS CODE],0))))</f>
        <v>Other Bonuses and Allowances - Meal Allowance</v>
      </c>
      <c r="E2188" s="309" t="s">
        <v>6</v>
      </c>
      <c r="F2188" s="501">
        <v>462</v>
      </c>
    </row>
    <row r="2189" spans="1:6" x14ac:dyDescent="0.25">
      <c r="A2189" s="308">
        <v>43434</v>
      </c>
      <c r="B2189" s="309" t="s">
        <v>486</v>
      </c>
      <c r="C2189" s="309" t="s">
        <v>493</v>
      </c>
      <c r="D2189" s="136" t="str">
        <f t="array" ref="D2189">IF(E2189=0,0,(INDEX(AccountCodes[ACCOUNT NAME],MATCH(E2189,AccountCodes[NGAS CODE],0))))</f>
        <v>Cash Gift</v>
      </c>
      <c r="E2189" s="309" t="s">
        <v>172</v>
      </c>
      <c r="F2189" s="501">
        <v>65000</v>
      </c>
    </row>
    <row r="2190" spans="1:6" x14ac:dyDescent="0.25">
      <c r="A2190" s="308">
        <v>43251</v>
      </c>
      <c r="B2190" s="309" t="s">
        <v>486</v>
      </c>
      <c r="C2190" s="309" t="s">
        <v>493</v>
      </c>
      <c r="D2190" s="136" t="str">
        <f t="array" ref="D2190">IF(E2190=0,0,(INDEX(AccountCodes[ACCOUNT NAME],MATCH(E2190,AccountCodes[NGAS CODE],0))))</f>
        <v>Mid-Year/Year End Bonus</v>
      </c>
      <c r="E2190" s="309" t="s">
        <v>174</v>
      </c>
      <c r="F2190" s="501">
        <v>260790</v>
      </c>
    </row>
    <row r="2191" spans="1:6" x14ac:dyDescent="0.25">
      <c r="A2191" s="308">
        <v>43434</v>
      </c>
      <c r="B2191" s="309" t="s">
        <v>486</v>
      </c>
      <c r="C2191" s="309" t="s">
        <v>493</v>
      </c>
      <c r="D2191" s="136" t="str">
        <f t="array" ref="D2191">IF(E2191=0,0,(INDEX(AccountCodes[ACCOUNT NAME],MATCH(E2191,AccountCodes[NGAS CODE],0))))</f>
        <v>Mid-Year/Year End Bonus</v>
      </c>
      <c r="E2191" s="309" t="s">
        <v>174</v>
      </c>
      <c r="F2191" s="501">
        <v>260790</v>
      </c>
    </row>
    <row r="2192" spans="1:6" x14ac:dyDescent="0.25">
      <c r="A2192" s="308">
        <v>43131</v>
      </c>
      <c r="B2192" s="309" t="s">
        <v>486</v>
      </c>
      <c r="C2192" s="309" t="s">
        <v>493</v>
      </c>
      <c r="D2192" s="136" t="str">
        <f t="array" ref="D2192">IF(E2192=0,0,(INDEX(AccountCodes[ACCOUNT NAME],MATCH(E2192,AccountCodes[NGAS CODE],0))))</f>
        <v>Retirement and Life Insurance Premiums</v>
      </c>
      <c r="E2192" s="309" t="s">
        <v>175</v>
      </c>
      <c r="F2192" s="501">
        <v>31294.799999999999</v>
      </c>
    </row>
    <row r="2193" spans="1:6" x14ac:dyDescent="0.25">
      <c r="A2193" s="308">
        <v>43159</v>
      </c>
      <c r="B2193" s="309" t="s">
        <v>486</v>
      </c>
      <c r="C2193" s="309" t="s">
        <v>493</v>
      </c>
      <c r="D2193" s="136" t="str">
        <f t="array" ref="D2193">IF(E2193=0,0,(INDEX(AccountCodes[ACCOUNT NAME],MATCH(E2193,AccountCodes[NGAS CODE],0))))</f>
        <v>Retirement and Life Insurance Premiums</v>
      </c>
      <c r="E2193" s="309" t="s">
        <v>175</v>
      </c>
      <c r="F2193" s="501">
        <v>31294.799999999999</v>
      </c>
    </row>
    <row r="2194" spans="1:6" x14ac:dyDescent="0.25">
      <c r="A2194" s="308">
        <v>43190</v>
      </c>
      <c r="B2194" s="309" t="s">
        <v>486</v>
      </c>
      <c r="C2194" s="309" t="s">
        <v>493</v>
      </c>
      <c r="D2194" s="136" t="str">
        <f t="array" ref="D2194">IF(E2194=0,0,(INDEX(AccountCodes[ACCOUNT NAME],MATCH(E2194,AccountCodes[NGAS CODE],0))))</f>
        <v>Retirement and Life Insurance Premiums</v>
      </c>
      <c r="E2194" s="309" t="s">
        <v>175</v>
      </c>
      <c r="F2194" s="501">
        <v>31294.799999999999</v>
      </c>
    </row>
    <row r="2195" spans="1:6" x14ac:dyDescent="0.25">
      <c r="A2195" s="308">
        <v>43220</v>
      </c>
      <c r="B2195" s="309" t="s">
        <v>486</v>
      </c>
      <c r="C2195" s="309" t="s">
        <v>493</v>
      </c>
      <c r="D2195" s="136" t="str">
        <f t="array" ref="D2195">IF(E2195=0,0,(INDEX(AccountCodes[ACCOUNT NAME],MATCH(E2195,AccountCodes[NGAS CODE],0))))</f>
        <v>Retirement and Life Insurance Premiums</v>
      </c>
      <c r="E2195" s="309" t="s">
        <v>175</v>
      </c>
      <c r="F2195" s="501">
        <v>31294.799999999999</v>
      </c>
    </row>
    <row r="2196" spans="1:6" x14ac:dyDescent="0.25">
      <c r="A2196" s="308">
        <v>43251</v>
      </c>
      <c r="B2196" s="309" t="s">
        <v>486</v>
      </c>
      <c r="C2196" s="309" t="s">
        <v>493</v>
      </c>
      <c r="D2196" s="136" t="str">
        <f t="array" ref="D2196">IF(E2196=0,0,(INDEX(AccountCodes[ACCOUNT NAME],MATCH(E2196,AccountCodes[NGAS CODE],0))))</f>
        <v>Retirement and Life Insurance Premiums</v>
      </c>
      <c r="E2196" s="309" t="s">
        <v>175</v>
      </c>
      <c r="F2196" s="501">
        <v>31294.799999999999</v>
      </c>
    </row>
    <row r="2197" spans="1:6" x14ac:dyDescent="0.25">
      <c r="A2197" s="308">
        <v>43281</v>
      </c>
      <c r="B2197" s="309" t="s">
        <v>486</v>
      </c>
      <c r="C2197" s="309" t="s">
        <v>493</v>
      </c>
      <c r="D2197" s="136" t="str">
        <f t="array" ref="D2197">IF(E2197=0,0,(INDEX(AccountCodes[ACCOUNT NAME],MATCH(E2197,AccountCodes[NGAS CODE],0))))</f>
        <v>Retirement and Life Insurance Premiums</v>
      </c>
      <c r="E2197" s="309" t="s">
        <v>175</v>
      </c>
      <c r="F2197" s="501">
        <v>31294.799999999999</v>
      </c>
    </row>
    <row r="2198" spans="1:6" x14ac:dyDescent="0.25">
      <c r="A2198" s="308">
        <v>43312</v>
      </c>
      <c r="B2198" s="309" t="s">
        <v>486</v>
      </c>
      <c r="C2198" s="309" t="s">
        <v>493</v>
      </c>
      <c r="D2198" s="136" t="str">
        <f t="array" ref="D2198">IF(E2198=0,0,(INDEX(AccountCodes[ACCOUNT NAME],MATCH(E2198,AccountCodes[NGAS CODE],0))))</f>
        <v>Retirement and Life Insurance Premiums</v>
      </c>
      <c r="E2198" s="309" t="s">
        <v>175</v>
      </c>
      <c r="F2198" s="501">
        <v>31294.799999999999</v>
      </c>
    </row>
    <row r="2199" spans="1:6" x14ac:dyDescent="0.25">
      <c r="A2199" s="308">
        <v>43343</v>
      </c>
      <c r="B2199" s="309" t="s">
        <v>486</v>
      </c>
      <c r="C2199" s="309" t="s">
        <v>493</v>
      </c>
      <c r="D2199" s="136" t="str">
        <f t="array" ref="D2199">IF(E2199=0,0,(INDEX(AccountCodes[ACCOUNT NAME],MATCH(E2199,AccountCodes[NGAS CODE],0))))</f>
        <v>Retirement and Life Insurance Premiums</v>
      </c>
      <c r="E2199" s="309" t="s">
        <v>175</v>
      </c>
      <c r="F2199" s="501">
        <v>31294.799999999999</v>
      </c>
    </row>
    <row r="2200" spans="1:6" x14ac:dyDescent="0.25">
      <c r="A2200" s="308">
        <v>43373</v>
      </c>
      <c r="B2200" s="309" t="s">
        <v>486</v>
      </c>
      <c r="C2200" s="309" t="s">
        <v>493</v>
      </c>
      <c r="D2200" s="136" t="str">
        <f t="array" ref="D2200">IF(E2200=0,0,(INDEX(AccountCodes[ACCOUNT NAME],MATCH(E2200,AccountCodes[NGAS CODE],0))))</f>
        <v>Retirement and Life Insurance Premiums</v>
      </c>
      <c r="E2200" s="309" t="s">
        <v>175</v>
      </c>
      <c r="F2200" s="501">
        <v>31294.799999999999</v>
      </c>
    </row>
    <row r="2201" spans="1:6" x14ac:dyDescent="0.25">
      <c r="A2201" s="308">
        <v>43404</v>
      </c>
      <c r="B2201" s="309" t="s">
        <v>486</v>
      </c>
      <c r="C2201" s="309" t="s">
        <v>493</v>
      </c>
      <c r="D2201" s="136" t="str">
        <f t="array" ref="D2201">IF(E2201=0,0,(INDEX(AccountCodes[ACCOUNT NAME],MATCH(E2201,AccountCodes[NGAS CODE],0))))</f>
        <v>Retirement and Life Insurance Premiums</v>
      </c>
      <c r="E2201" s="309" t="s">
        <v>175</v>
      </c>
      <c r="F2201" s="501">
        <v>31294.799999999999</v>
      </c>
    </row>
    <row r="2202" spans="1:6" x14ac:dyDescent="0.25">
      <c r="A2202" s="308">
        <v>43434</v>
      </c>
      <c r="B2202" s="309" t="s">
        <v>486</v>
      </c>
      <c r="C2202" s="309" t="s">
        <v>493</v>
      </c>
      <c r="D2202" s="136" t="str">
        <f t="array" ref="D2202">IF(E2202=0,0,(INDEX(AccountCodes[ACCOUNT NAME],MATCH(E2202,AccountCodes[NGAS CODE],0))))</f>
        <v>Retirement and Life Insurance Premiums</v>
      </c>
      <c r="E2202" s="309" t="s">
        <v>175</v>
      </c>
      <c r="F2202" s="501">
        <v>31294.799999999999</v>
      </c>
    </row>
    <row r="2203" spans="1:6" x14ac:dyDescent="0.25">
      <c r="A2203" s="308">
        <v>43465</v>
      </c>
      <c r="B2203" s="309" t="s">
        <v>486</v>
      </c>
      <c r="C2203" s="309" t="s">
        <v>493</v>
      </c>
      <c r="D2203" s="136" t="str">
        <f t="array" ref="D2203">IF(E2203=0,0,(INDEX(AccountCodes[ACCOUNT NAME],MATCH(E2203,AccountCodes[NGAS CODE],0))))</f>
        <v>Retirement and Life Insurance Premiums</v>
      </c>
      <c r="E2203" s="309" t="s">
        <v>175</v>
      </c>
      <c r="F2203" s="501">
        <v>31294.799999999999</v>
      </c>
    </row>
    <row r="2204" spans="1:6" x14ac:dyDescent="0.25">
      <c r="A2204" s="308">
        <v>43131</v>
      </c>
      <c r="B2204" s="309" t="s">
        <v>486</v>
      </c>
      <c r="C2204" s="309" t="s">
        <v>493</v>
      </c>
      <c r="D2204" s="136" t="str">
        <f t="array" ref="D2204">IF(E2204=0,0,(INDEX(AccountCodes[ACCOUNT NAME],MATCH(E2204,AccountCodes[NGAS CODE],0))))</f>
        <v>Pag-IBIG Contributions</v>
      </c>
      <c r="E2204" s="309" t="s">
        <v>176</v>
      </c>
      <c r="F2204" s="501">
        <v>1300</v>
      </c>
    </row>
    <row r="2205" spans="1:6" x14ac:dyDescent="0.25">
      <c r="A2205" s="308">
        <v>43159</v>
      </c>
      <c r="B2205" s="309" t="s">
        <v>486</v>
      </c>
      <c r="C2205" s="309" t="s">
        <v>493</v>
      </c>
      <c r="D2205" s="136" t="str">
        <f t="array" ref="D2205">IF(E2205=0,0,(INDEX(AccountCodes[ACCOUNT NAME],MATCH(E2205,AccountCodes[NGAS CODE],0))))</f>
        <v>Pag-IBIG Contributions</v>
      </c>
      <c r="E2205" s="309" t="s">
        <v>176</v>
      </c>
      <c r="F2205" s="501">
        <v>1300</v>
      </c>
    </row>
    <row r="2206" spans="1:6" x14ac:dyDescent="0.25">
      <c r="A2206" s="308">
        <v>43190</v>
      </c>
      <c r="B2206" s="309" t="s">
        <v>486</v>
      </c>
      <c r="C2206" s="309" t="s">
        <v>493</v>
      </c>
      <c r="D2206" s="136" t="str">
        <f t="array" ref="D2206">IF(E2206=0,0,(INDEX(AccountCodes[ACCOUNT NAME],MATCH(E2206,AccountCodes[NGAS CODE],0))))</f>
        <v>Pag-IBIG Contributions</v>
      </c>
      <c r="E2206" s="309" t="s">
        <v>176</v>
      </c>
      <c r="F2206" s="501">
        <v>1300</v>
      </c>
    </row>
    <row r="2207" spans="1:6" x14ac:dyDescent="0.25">
      <c r="A2207" s="308">
        <v>43220</v>
      </c>
      <c r="B2207" s="309" t="s">
        <v>486</v>
      </c>
      <c r="C2207" s="309" t="s">
        <v>493</v>
      </c>
      <c r="D2207" s="136" t="str">
        <f t="array" ref="D2207">IF(E2207=0,0,(INDEX(AccountCodes[ACCOUNT NAME],MATCH(E2207,AccountCodes[NGAS CODE],0))))</f>
        <v>Pag-IBIG Contributions</v>
      </c>
      <c r="E2207" s="309" t="s">
        <v>176</v>
      </c>
      <c r="F2207" s="501">
        <v>1300</v>
      </c>
    </row>
    <row r="2208" spans="1:6" x14ac:dyDescent="0.25">
      <c r="A2208" s="308">
        <v>43251</v>
      </c>
      <c r="B2208" s="309" t="s">
        <v>486</v>
      </c>
      <c r="C2208" s="309" t="s">
        <v>493</v>
      </c>
      <c r="D2208" s="136" t="str">
        <f t="array" ref="D2208">IF(E2208=0,0,(INDEX(AccountCodes[ACCOUNT NAME],MATCH(E2208,AccountCodes[NGAS CODE],0))))</f>
        <v>Pag-IBIG Contributions</v>
      </c>
      <c r="E2208" s="309" t="s">
        <v>176</v>
      </c>
      <c r="F2208" s="501">
        <v>1300</v>
      </c>
    </row>
    <row r="2209" spans="1:6" x14ac:dyDescent="0.25">
      <c r="A2209" s="308">
        <v>43281</v>
      </c>
      <c r="B2209" s="309" t="s">
        <v>486</v>
      </c>
      <c r="C2209" s="309" t="s">
        <v>493</v>
      </c>
      <c r="D2209" s="136" t="str">
        <f t="array" ref="D2209">IF(E2209=0,0,(INDEX(AccountCodes[ACCOUNT NAME],MATCH(E2209,AccountCodes[NGAS CODE],0))))</f>
        <v>Pag-IBIG Contributions</v>
      </c>
      <c r="E2209" s="309" t="s">
        <v>176</v>
      </c>
      <c r="F2209" s="501">
        <v>1300</v>
      </c>
    </row>
    <row r="2210" spans="1:6" x14ac:dyDescent="0.25">
      <c r="A2210" s="308">
        <v>43312</v>
      </c>
      <c r="B2210" s="309" t="s">
        <v>486</v>
      </c>
      <c r="C2210" s="309" t="s">
        <v>493</v>
      </c>
      <c r="D2210" s="136" t="str">
        <f t="array" ref="D2210">IF(E2210=0,0,(INDEX(AccountCodes[ACCOUNT NAME],MATCH(E2210,AccountCodes[NGAS CODE],0))))</f>
        <v>Pag-IBIG Contributions</v>
      </c>
      <c r="E2210" s="309" t="s">
        <v>176</v>
      </c>
      <c r="F2210" s="501">
        <v>1300</v>
      </c>
    </row>
    <row r="2211" spans="1:6" x14ac:dyDescent="0.25">
      <c r="A2211" s="308">
        <v>43343</v>
      </c>
      <c r="B2211" s="309" t="s">
        <v>486</v>
      </c>
      <c r="C2211" s="309" t="s">
        <v>493</v>
      </c>
      <c r="D2211" s="136" t="str">
        <f t="array" ref="D2211">IF(E2211=0,0,(INDEX(AccountCodes[ACCOUNT NAME],MATCH(E2211,AccountCodes[NGAS CODE],0))))</f>
        <v>Pag-IBIG Contributions</v>
      </c>
      <c r="E2211" s="309" t="s">
        <v>176</v>
      </c>
      <c r="F2211" s="501">
        <v>1300</v>
      </c>
    </row>
    <row r="2212" spans="1:6" x14ac:dyDescent="0.25">
      <c r="A2212" s="308">
        <v>43373</v>
      </c>
      <c r="B2212" s="309" t="s">
        <v>486</v>
      </c>
      <c r="C2212" s="309" t="s">
        <v>493</v>
      </c>
      <c r="D2212" s="136" t="str">
        <f t="array" ref="D2212">IF(E2212=0,0,(INDEX(AccountCodes[ACCOUNT NAME],MATCH(E2212,AccountCodes[NGAS CODE],0))))</f>
        <v>Pag-IBIG Contributions</v>
      </c>
      <c r="E2212" s="309" t="s">
        <v>176</v>
      </c>
      <c r="F2212" s="501">
        <v>1300</v>
      </c>
    </row>
    <row r="2213" spans="1:6" x14ac:dyDescent="0.25">
      <c r="A2213" s="308">
        <v>43404</v>
      </c>
      <c r="B2213" s="309" t="s">
        <v>486</v>
      </c>
      <c r="C2213" s="309" t="s">
        <v>493</v>
      </c>
      <c r="D2213" s="136" t="str">
        <f t="array" ref="D2213">IF(E2213=0,0,(INDEX(AccountCodes[ACCOUNT NAME],MATCH(E2213,AccountCodes[NGAS CODE],0))))</f>
        <v>Pag-IBIG Contributions</v>
      </c>
      <c r="E2213" s="309" t="s">
        <v>176</v>
      </c>
      <c r="F2213" s="501">
        <v>1300</v>
      </c>
    </row>
    <row r="2214" spans="1:6" x14ac:dyDescent="0.25">
      <c r="A2214" s="308">
        <v>43434</v>
      </c>
      <c r="B2214" s="309" t="s">
        <v>486</v>
      </c>
      <c r="C2214" s="309" t="s">
        <v>493</v>
      </c>
      <c r="D2214" s="136" t="str">
        <f t="array" ref="D2214">IF(E2214=0,0,(INDEX(AccountCodes[ACCOUNT NAME],MATCH(E2214,AccountCodes[NGAS CODE],0))))</f>
        <v>Pag-IBIG Contributions</v>
      </c>
      <c r="E2214" s="309" t="s">
        <v>176</v>
      </c>
      <c r="F2214" s="501">
        <v>1300</v>
      </c>
    </row>
    <row r="2215" spans="1:6" x14ac:dyDescent="0.25">
      <c r="A2215" s="308">
        <v>43465</v>
      </c>
      <c r="B2215" s="309" t="s">
        <v>486</v>
      </c>
      <c r="C2215" s="309" t="s">
        <v>493</v>
      </c>
      <c r="D2215" s="136" t="str">
        <f t="array" ref="D2215">IF(E2215=0,0,(INDEX(AccountCodes[ACCOUNT NAME],MATCH(E2215,AccountCodes[NGAS CODE],0))))</f>
        <v>Pag-IBIG Contributions</v>
      </c>
      <c r="E2215" s="309" t="s">
        <v>176</v>
      </c>
      <c r="F2215" s="501">
        <v>1300</v>
      </c>
    </row>
    <row r="2216" spans="1:6" x14ac:dyDescent="0.25">
      <c r="A2216" s="308">
        <v>43131</v>
      </c>
      <c r="B2216" s="309" t="s">
        <v>486</v>
      </c>
      <c r="C2216" s="309" t="s">
        <v>493</v>
      </c>
      <c r="D2216" s="136" t="str">
        <f t="array" ref="D2216">IF(E2216=0,0,(INDEX(AccountCodes[ACCOUNT NAME],MATCH(E2216,AccountCodes[NGAS CODE],0))))</f>
        <v>PhilHealth Contributions</v>
      </c>
      <c r="E2216" s="309" t="s">
        <v>177</v>
      </c>
      <c r="F2216" s="501">
        <v>3087.5</v>
      </c>
    </row>
    <row r="2217" spans="1:6" x14ac:dyDescent="0.25">
      <c r="A2217" s="308">
        <v>43159</v>
      </c>
      <c r="B2217" s="309" t="s">
        <v>486</v>
      </c>
      <c r="C2217" s="309" t="s">
        <v>493</v>
      </c>
      <c r="D2217" s="136" t="str">
        <f t="array" ref="D2217">IF(E2217=0,0,(INDEX(AccountCodes[ACCOUNT NAME],MATCH(E2217,AccountCodes[NGAS CODE],0))))</f>
        <v>PhilHealth Contributions</v>
      </c>
      <c r="E2217" s="309" t="s">
        <v>177</v>
      </c>
      <c r="F2217" s="501">
        <v>3087.5</v>
      </c>
    </row>
    <row r="2218" spans="1:6" x14ac:dyDescent="0.25">
      <c r="A2218" s="308">
        <v>43190</v>
      </c>
      <c r="B2218" s="309" t="s">
        <v>486</v>
      </c>
      <c r="C2218" s="309" t="s">
        <v>493</v>
      </c>
      <c r="D2218" s="136" t="str">
        <f t="array" ref="D2218">IF(E2218=0,0,(INDEX(AccountCodes[ACCOUNT NAME],MATCH(E2218,AccountCodes[NGAS CODE],0))))</f>
        <v>PhilHealth Contributions</v>
      </c>
      <c r="E2218" s="309" t="s">
        <v>177</v>
      </c>
      <c r="F2218" s="501">
        <v>3087.5</v>
      </c>
    </row>
    <row r="2219" spans="1:6" x14ac:dyDescent="0.25">
      <c r="A2219" s="308">
        <v>43220</v>
      </c>
      <c r="B2219" s="309" t="s">
        <v>486</v>
      </c>
      <c r="C2219" s="309" t="s">
        <v>493</v>
      </c>
      <c r="D2219" s="136" t="str">
        <f t="array" ref="D2219">IF(E2219=0,0,(INDEX(AccountCodes[ACCOUNT NAME],MATCH(E2219,AccountCodes[NGAS CODE],0))))</f>
        <v>PhilHealth Contributions</v>
      </c>
      <c r="E2219" s="309" t="s">
        <v>177</v>
      </c>
      <c r="F2219" s="501">
        <v>3087.5</v>
      </c>
    </row>
    <row r="2220" spans="1:6" x14ac:dyDescent="0.25">
      <c r="A2220" s="308">
        <v>43251</v>
      </c>
      <c r="B2220" s="309" t="s">
        <v>486</v>
      </c>
      <c r="C2220" s="309" t="s">
        <v>493</v>
      </c>
      <c r="D2220" s="136" t="str">
        <f t="array" ref="D2220">IF(E2220=0,0,(INDEX(AccountCodes[ACCOUNT NAME],MATCH(E2220,AccountCodes[NGAS CODE],0))))</f>
        <v>PhilHealth Contributions</v>
      </c>
      <c r="E2220" s="309" t="s">
        <v>177</v>
      </c>
      <c r="F2220" s="501">
        <v>3087.5</v>
      </c>
    </row>
    <row r="2221" spans="1:6" x14ac:dyDescent="0.25">
      <c r="A2221" s="308">
        <v>43281</v>
      </c>
      <c r="B2221" s="309" t="s">
        <v>486</v>
      </c>
      <c r="C2221" s="309" t="s">
        <v>493</v>
      </c>
      <c r="D2221" s="136" t="str">
        <f t="array" ref="D2221">IF(E2221=0,0,(INDEX(AccountCodes[ACCOUNT NAME],MATCH(E2221,AccountCodes[NGAS CODE],0))))</f>
        <v>PhilHealth Contributions</v>
      </c>
      <c r="E2221" s="309" t="s">
        <v>177</v>
      </c>
      <c r="F2221" s="501">
        <v>3087.5</v>
      </c>
    </row>
    <row r="2222" spans="1:6" x14ac:dyDescent="0.25">
      <c r="A2222" s="308">
        <v>43312</v>
      </c>
      <c r="B2222" s="309" t="s">
        <v>486</v>
      </c>
      <c r="C2222" s="309" t="s">
        <v>493</v>
      </c>
      <c r="D2222" s="136" t="str">
        <f t="array" ref="D2222">IF(E2222=0,0,(INDEX(AccountCodes[ACCOUNT NAME],MATCH(E2222,AccountCodes[NGAS CODE],0))))</f>
        <v>PhilHealth Contributions</v>
      </c>
      <c r="E2222" s="309" t="s">
        <v>177</v>
      </c>
      <c r="F2222" s="501">
        <v>3087.5</v>
      </c>
    </row>
    <row r="2223" spans="1:6" x14ac:dyDescent="0.25">
      <c r="A2223" s="308">
        <v>43343</v>
      </c>
      <c r="B2223" s="309" t="s">
        <v>486</v>
      </c>
      <c r="C2223" s="309" t="s">
        <v>493</v>
      </c>
      <c r="D2223" s="136" t="str">
        <f t="array" ref="D2223">IF(E2223=0,0,(INDEX(AccountCodes[ACCOUNT NAME],MATCH(E2223,AccountCodes[NGAS CODE],0))))</f>
        <v>PhilHealth Contributions</v>
      </c>
      <c r="E2223" s="309" t="s">
        <v>177</v>
      </c>
      <c r="F2223" s="501">
        <v>3087.5</v>
      </c>
    </row>
    <row r="2224" spans="1:6" x14ac:dyDescent="0.25">
      <c r="A2224" s="308">
        <v>43373</v>
      </c>
      <c r="B2224" s="309" t="s">
        <v>486</v>
      </c>
      <c r="C2224" s="309" t="s">
        <v>493</v>
      </c>
      <c r="D2224" s="136" t="str">
        <f t="array" ref="D2224">IF(E2224=0,0,(INDEX(AccountCodes[ACCOUNT NAME],MATCH(E2224,AccountCodes[NGAS CODE],0))))</f>
        <v>PhilHealth Contributions</v>
      </c>
      <c r="E2224" s="309" t="s">
        <v>177</v>
      </c>
      <c r="F2224" s="501">
        <v>3087.5</v>
      </c>
    </row>
    <row r="2225" spans="1:6" x14ac:dyDescent="0.25">
      <c r="A2225" s="308">
        <v>43404</v>
      </c>
      <c r="B2225" s="309" t="s">
        <v>486</v>
      </c>
      <c r="C2225" s="309" t="s">
        <v>493</v>
      </c>
      <c r="D2225" s="136" t="str">
        <f t="array" ref="D2225">IF(E2225=0,0,(INDEX(AccountCodes[ACCOUNT NAME],MATCH(E2225,AccountCodes[NGAS CODE],0))))</f>
        <v>PhilHealth Contributions</v>
      </c>
      <c r="E2225" s="309" t="s">
        <v>177</v>
      </c>
      <c r="F2225" s="501">
        <v>3087.5</v>
      </c>
    </row>
    <row r="2226" spans="1:6" x14ac:dyDescent="0.25">
      <c r="A2226" s="308">
        <v>43434</v>
      </c>
      <c r="B2226" s="309" t="s">
        <v>486</v>
      </c>
      <c r="C2226" s="309" t="s">
        <v>493</v>
      </c>
      <c r="D2226" s="136" t="str">
        <f t="array" ref="D2226">IF(E2226=0,0,(INDEX(AccountCodes[ACCOUNT NAME],MATCH(E2226,AccountCodes[NGAS CODE],0))))</f>
        <v>PhilHealth Contributions</v>
      </c>
      <c r="E2226" s="309" t="s">
        <v>177</v>
      </c>
      <c r="F2226" s="501">
        <v>3087.5</v>
      </c>
    </row>
    <row r="2227" spans="1:6" x14ac:dyDescent="0.25">
      <c r="A2227" s="308">
        <v>43465</v>
      </c>
      <c r="B2227" s="309" t="s">
        <v>486</v>
      </c>
      <c r="C2227" s="309" t="s">
        <v>493</v>
      </c>
      <c r="D2227" s="136" t="str">
        <f t="array" ref="D2227">IF(E2227=0,0,(INDEX(AccountCodes[ACCOUNT NAME],MATCH(E2227,AccountCodes[NGAS CODE],0))))</f>
        <v>PhilHealth Contributions</v>
      </c>
      <c r="E2227" s="309" t="s">
        <v>177</v>
      </c>
      <c r="F2227" s="501">
        <v>3087.5</v>
      </c>
    </row>
    <row r="2228" spans="1:6" x14ac:dyDescent="0.25">
      <c r="A2228" s="308">
        <v>43131</v>
      </c>
      <c r="B2228" s="309" t="s">
        <v>486</v>
      </c>
      <c r="C2228" s="309" t="s">
        <v>493</v>
      </c>
      <c r="D2228" s="136" t="str">
        <f t="array" ref="D2228">IF(E2228=0,0,(INDEX(AccountCodes[ACCOUNT NAME],MATCH(E2228,AccountCodes[NGAS CODE],0))))</f>
        <v>Employees Compensation Insurance Premiums</v>
      </c>
      <c r="E2228" s="309" t="s">
        <v>178</v>
      </c>
      <c r="F2228" s="501">
        <v>1300</v>
      </c>
    </row>
    <row r="2229" spans="1:6" x14ac:dyDescent="0.25">
      <c r="A2229" s="308">
        <v>43159</v>
      </c>
      <c r="B2229" s="309" t="s">
        <v>486</v>
      </c>
      <c r="C2229" s="309" t="s">
        <v>493</v>
      </c>
      <c r="D2229" s="136" t="str">
        <f t="array" ref="D2229">IF(E2229=0,0,(INDEX(AccountCodes[ACCOUNT NAME],MATCH(E2229,AccountCodes[NGAS CODE],0))))</f>
        <v>Employees Compensation Insurance Premiums</v>
      </c>
      <c r="E2229" s="309" t="s">
        <v>178</v>
      </c>
      <c r="F2229" s="501">
        <v>1300</v>
      </c>
    </row>
    <row r="2230" spans="1:6" x14ac:dyDescent="0.25">
      <c r="A2230" s="308">
        <v>43190</v>
      </c>
      <c r="B2230" s="309" t="s">
        <v>486</v>
      </c>
      <c r="C2230" s="309" t="s">
        <v>493</v>
      </c>
      <c r="D2230" s="136" t="str">
        <f t="array" ref="D2230">IF(E2230=0,0,(INDEX(AccountCodes[ACCOUNT NAME],MATCH(E2230,AccountCodes[NGAS CODE],0))))</f>
        <v>Employees Compensation Insurance Premiums</v>
      </c>
      <c r="E2230" s="309" t="s">
        <v>178</v>
      </c>
      <c r="F2230" s="501">
        <v>1300</v>
      </c>
    </row>
    <row r="2231" spans="1:6" x14ac:dyDescent="0.25">
      <c r="A2231" s="308">
        <v>43220</v>
      </c>
      <c r="B2231" s="309" t="s">
        <v>486</v>
      </c>
      <c r="C2231" s="309" t="s">
        <v>493</v>
      </c>
      <c r="D2231" s="136" t="str">
        <f t="array" ref="D2231">IF(E2231=0,0,(INDEX(AccountCodes[ACCOUNT NAME],MATCH(E2231,AccountCodes[NGAS CODE],0))))</f>
        <v>Employees Compensation Insurance Premiums</v>
      </c>
      <c r="E2231" s="309" t="s">
        <v>178</v>
      </c>
      <c r="F2231" s="501">
        <v>1300</v>
      </c>
    </row>
    <row r="2232" spans="1:6" x14ac:dyDescent="0.25">
      <c r="A2232" s="308">
        <v>43251</v>
      </c>
      <c r="B2232" s="309" t="s">
        <v>486</v>
      </c>
      <c r="C2232" s="309" t="s">
        <v>493</v>
      </c>
      <c r="D2232" s="136" t="str">
        <f t="array" ref="D2232">IF(E2232=0,0,(INDEX(AccountCodes[ACCOUNT NAME],MATCH(E2232,AccountCodes[NGAS CODE],0))))</f>
        <v>Employees Compensation Insurance Premiums</v>
      </c>
      <c r="E2232" s="309" t="s">
        <v>178</v>
      </c>
      <c r="F2232" s="501">
        <v>1300</v>
      </c>
    </row>
    <row r="2233" spans="1:6" x14ac:dyDescent="0.25">
      <c r="A2233" s="308">
        <v>43281</v>
      </c>
      <c r="B2233" s="309" t="s">
        <v>486</v>
      </c>
      <c r="C2233" s="309" t="s">
        <v>493</v>
      </c>
      <c r="D2233" s="136" t="str">
        <f t="array" ref="D2233">IF(E2233=0,0,(INDEX(AccountCodes[ACCOUNT NAME],MATCH(E2233,AccountCodes[NGAS CODE],0))))</f>
        <v>Employees Compensation Insurance Premiums</v>
      </c>
      <c r="E2233" s="309" t="s">
        <v>178</v>
      </c>
      <c r="F2233" s="501">
        <v>1300</v>
      </c>
    </row>
    <row r="2234" spans="1:6" x14ac:dyDescent="0.25">
      <c r="A2234" s="308">
        <v>43312</v>
      </c>
      <c r="B2234" s="309" t="s">
        <v>486</v>
      </c>
      <c r="C2234" s="309" t="s">
        <v>493</v>
      </c>
      <c r="D2234" s="136" t="str">
        <f t="array" ref="D2234">IF(E2234=0,0,(INDEX(AccountCodes[ACCOUNT NAME],MATCH(E2234,AccountCodes[NGAS CODE],0))))</f>
        <v>Employees Compensation Insurance Premiums</v>
      </c>
      <c r="E2234" s="309" t="s">
        <v>178</v>
      </c>
      <c r="F2234" s="501">
        <v>1300</v>
      </c>
    </row>
    <row r="2235" spans="1:6" x14ac:dyDescent="0.25">
      <c r="A2235" s="308">
        <v>43343</v>
      </c>
      <c r="B2235" s="309" t="s">
        <v>486</v>
      </c>
      <c r="C2235" s="309" t="s">
        <v>493</v>
      </c>
      <c r="D2235" s="136" t="str">
        <f t="array" ref="D2235">IF(E2235=0,0,(INDEX(AccountCodes[ACCOUNT NAME],MATCH(E2235,AccountCodes[NGAS CODE],0))))</f>
        <v>Employees Compensation Insurance Premiums</v>
      </c>
      <c r="E2235" s="309" t="s">
        <v>178</v>
      </c>
      <c r="F2235" s="501">
        <v>1300</v>
      </c>
    </row>
    <row r="2236" spans="1:6" x14ac:dyDescent="0.25">
      <c r="A2236" s="308">
        <v>43373</v>
      </c>
      <c r="B2236" s="309" t="s">
        <v>486</v>
      </c>
      <c r="C2236" s="309" t="s">
        <v>493</v>
      </c>
      <c r="D2236" s="136" t="str">
        <f t="array" ref="D2236">IF(E2236=0,0,(INDEX(AccountCodes[ACCOUNT NAME],MATCH(E2236,AccountCodes[NGAS CODE],0))))</f>
        <v>Employees Compensation Insurance Premiums</v>
      </c>
      <c r="E2236" s="309" t="s">
        <v>178</v>
      </c>
      <c r="F2236" s="501">
        <v>1300</v>
      </c>
    </row>
    <row r="2237" spans="1:6" x14ac:dyDescent="0.25">
      <c r="A2237" s="308">
        <v>43404</v>
      </c>
      <c r="B2237" s="309" t="s">
        <v>486</v>
      </c>
      <c r="C2237" s="309" t="s">
        <v>493</v>
      </c>
      <c r="D2237" s="136" t="str">
        <f t="array" ref="D2237">IF(E2237=0,0,(INDEX(AccountCodes[ACCOUNT NAME],MATCH(E2237,AccountCodes[NGAS CODE],0))))</f>
        <v>Employees Compensation Insurance Premiums</v>
      </c>
      <c r="E2237" s="309" t="s">
        <v>178</v>
      </c>
      <c r="F2237" s="501">
        <v>1300</v>
      </c>
    </row>
    <row r="2238" spans="1:6" x14ac:dyDescent="0.25">
      <c r="A2238" s="308">
        <v>43434</v>
      </c>
      <c r="B2238" s="309" t="s">
        <v>486</v>
      </c>
      <c r="C2238" s="309" t="s">
        <v>493</v>
      </c>
      <c r="D2238" s="136" t="str">
        <f t="array" ref="D2238">IF(E2238=0,0,(INDEX(AccountCodes[ACCOUNT NAME],MATCH(E2238,AccountCodes[NGAS CODE],0))))</f>
        <v>Employees Compensation Insurance Premiums</v>
      </c>
      <c r="E2238" s="309" t="s">
        <v>178</v>
      </c>
      <c r="F2238" s="501">
        <v>1300</v>
      </c>
    </row>
    <row r="2239" spans="1:6" x14ac:dyDescent="0.25">
      <c r="A2239" s="308">
        <v>43465</v>
      </c>
      <c r="B2239" s="309" t="s">
        <v>486</v>
      </c>
      <c r="C2239" s="309" t="s">
        <v>493</v>
      </c>
      <c r="D2239" s="136" t="str">
        <f t="array" ref="D2239">IF(E2239=0,0,(INDEX(AccountCodes[ACCOUNT NAME],MATCH(E2239,AccountCodes[NGAS CODE],0))))</f>
        <v>Employees Compensation Insurance Premiums</v>
      </c>
      <c r="E2239" s="309" t="s">
        <v>178</v>
      </c>
      <c r="F2239" s="501">
        <v>1300</v>
      </c>
    </row>
    <row r="2240" spans="1:6" x14ac:dyDescent="0.25">
      <c r="A2240" s="308">
        <v>43131</v>
      </c>
      <c r="B2240" s="309" t="s">
        <v>486</v>
      </c>
      <c r="C2240" s="309" t="s">
        <v>493</v>
      </c>
      <c r="D2240" s="136" t="str">
        <f t="array" ref="D2240">IF(E2240=0,0,(INDEX(AccountCodes[ACCOUNT NAME],MATCH(E2240,AccountCodes[NGAS CODE],0))))</f>
        <v>Terminal Leave Benefits</v>
      </c>
      <c r="E2240" s="309" t="s">
        <v>212</v>
      </c>
      <c r="F2240" s="501">
        <v>962082.29</v>
      </c>
    </row>
    <row r="2241" spans="1:6" x14ac:dyDescent="0.25">
      <c r="A2241" s="308">
        <v>43131</v>
      </c>
      <c r="B2241" s="309" t="s">
        <v>486</v>
      </c>
      <c r="C2241" s="309" t="s">
        <v>493</v>
      </c>
      <c r="D2241" s="136" t="str">
        <f t="array" ref="D2241">IF(E2241=0,0,(INDEX(AccountCodes[ACCOUNT NAME],MATCH(E2241,AccountCodes[NGAS CODE],0))))</f>
        <v>Fuel, Oil and Lubricants Expenses</v>
      </c>
      <c r="E2241" s="309" t="s">
        <v>229</v>
      </c>
      <c r="F2241" s="501">
        <v>110225.2</v>
      </c>
    </row>
    <row r="2242" spans="1:6" x14ac:dyDescent="0.25">
      <c r="A2242" s="308">
        <v>43159</v>
      </c>
      <c r="B2242" s="309" t="s">
        <v>486</v>
      </c>
      <c r="C2242" s="309" t="s">
        <v>493</v>
      </c>
      <c r="D2242" s="136" t="str">
        <f t="array" ref="D2242">IF(E2242=0,0,(INDEX(AccountCodes[ACCOUNT NAME],MATCH(E2242,AccountCodes[NGAS CODE],0))))</f>
        <v>Fuel, Oil and Lubricants Expenses</v>
      </c>
      <c r="E2242" s="309" t="s">
        <v>229</v>
      </c>
      <c r="F2242" s="501">
        <v>110225.2</v>
      </c>
    </row>
    <row r="2243" spans="1:6" x14ac:dyDescent="0.25">
      <c r="A2243" s="308">
        <v>43190</v>
      </c>
      <c r="B2243" s="309" t="s">
        <v>486</v>
      </c>
      <c r="C2243" s="309" t="s">
        <v>493</v>
      </c>
      <c r="D2243" s="136" t="str">
        <f t="array" ref="D2243">IF(E2243=0,0,(INDEX(AccountCodes[ACCOUNT NAME],MATCH(E2243,AccountCodes[NGAS CODE],0))))</f>
        <v>Fuel, Oil and Lubricants Expenses</v>
      </c>
      <c r="E2243" s="309" t="s">
        <v>229</v>
      </c>
      <c r="F2243" s="501">
        <v>110225.2</v>
      </c>
    </row>
    <row r="2244" spans="1:6" x14ac:dyDescent="0.25">
      <c r="A2244" s="308">
        <v>43220</v>
      </c>
      <c r="B2244" s="309" t="s">
        <v>486</v>
      </c>
      <c r="C2244" s="309" t="s">
        <v>493</v>
      </c>
      <c r="D2244" s="136" t="str">
        <f t="array" ref="D2244">IF(E2244=0,0,(INDEX(AccountCodes[ACCOUNT NAME],MATCH(E2244,AccountCodes[NGAS CODE],0))))</f>
        <v>Fuel, Oil and Lubricants Expenses</v>
      </c>
      <c r="E2244" s="309" t="s">
        <v>229</v>
      </c>
      <c r="F2244" s="501">
        <v>110225.2</v>
      </c>
    </row>
    <row r="2245" spans="1:6" x14ac:dyDescent="0.25">
      <c r="A2245" s="308">
        <v>43251</v>
      </c>
      <c r="B2245" s="309" t="s">
        <v>486</v>
      </c>
      <c r="C2245" s="309" t="s">
        <v>493</v>
      </c>
      <c r="D2245" s="136" t="str">
        <f t="array" ref="D2245">IF(E2245=0,0,(INDEX(AccountCodes[ACCOUNT NAME],MATCH(E2245,AccountCodes[NGAS CODE],0))))</f>
        <v>Fuel, Oil and Lubricants Expenses</v>
      </c>
      <c r="E2245" s="309" t="s">
        <v>229</v>
      </c>
      <c r="F2245" s="501">
        <v>110225.2</v>
      </c>
    </row>
    <row r="2246" spans="1:6" x14ac:dyDescent="0.25">
      <c r="A2246" s="308">
        <v>43281</v>
      </c>
      <c r="B2246" s="309" t="s">
        <v>486</v>
      </c>
      <c r="C2246" s="309" t="s">
        <v>493</v>
      </c>
      <c r="D2246" s="136" t="str">
        <f t="array" ref="D2246">IF(E2246=0,0,(INDEX(AccountCodes[ACCOUNT NAME],MATCH(E2246,AccountCodes[NGAS CODE],0))))</f>
        <v>Fuel, Oil and Lubricants Expenses</v>
      </c>
      <c r="E2246" s="309" t="s">
        <v>229</v>
      </c>
      <c r="F2246" s="501">
        <v>110225.2</v>
      </c>
    </row>
    <row r="2247" spans="1:6" x14ac:dyDescent="0.25">
      <c r="A2247" s="308">
        <v>43312</v>
      </c>
      <c r="B2247" s="309" t="s">
        <v>486</v>
      </c>
      <c r="C2247" s="309" t="s">
        <v>493</v>
      </c>
      <c r="D2247" s="136" t="str">
        <f t="array" ref="D2247">IF(E2247=0,0,(INDEX(AccountCodes[ACCOUNT NAME],MATCH(E2247,AccountCodes[NGAS CODE],0))))</f>
        <v>Fuel, Oil and Lubricants Expenses</v>
      </c>
      <c r="E2247" s="309" t="s">
        <v>229</v>
      </c>
      <c r="F2247" s="501">
        <v>110225.2</v>
      </c>
    </row>
    <row r="2248" spans="1:6" x14ac:dyDescent="0.25">
      <c r="A2248" s="308">
        <v>43343</v>
      </c>
      <c r="B2248" s="309" t="s">
        <v>486</v>
      </c>
      <c r="C2248" s="309" t="s">
        <v>493</v>
      </c>
      <c r="D2248" s="136" t="str">
        <f t="array" ref="D2248">IF(E2248=0,0,(INDEX(AccountCodes[ACCOUNT NAME],MATCH(E2248,AccountCodes[NGAS CODE],0))))</f>
        <v>Fuel, Oil and Lubricants Expenses</v>
      </c>
      <c r="E2248" s="309" t="s">
        <v>229</v>
      </c>
      <c r="F2248" s="501">
        <v>110225.2</v>
      </c>
    </row>
    <row r="2249" spans="1:6" x14ac:dyDescent="0.25">
      <c r="A2249" s="308">
        <v>43373</v>
      </c>
      <c r="B2249" s="309" t="s">
        <v>486</v>
      </c>
      <c r="C2249" s="309" t="s">
        <v>493</v>
      </c>
      <c r="D2249" s="136" t="str">
        <f t="array" ref="D2249">IF(E2249=0,0,(INDEX(AccountCodes[ACCOUNT NAME],MATCH(E2249,AccountCodes[NGAS CODE],0))))</f>
        <v>Fuel, Oil and Lubricants Expenses</v>
      </c>
      <c r="E2249" s="309" t="s">
        <v>229</v>
      </c>
      <c r="F2249" s="501">
        <v>110225.2</v>
      </c>
    </row>
    <row r="2250" spans="1:6" x14ac:dyDescent="0.25">
      <c r="A2250" s="308">
        <v>43404</v>
      </c>
      <c r="B2250" s="309" t="s">
        <v>486</v>
      </c>
      <c r="C2250" s="309" t="s">
        <v>493</v>
      </c>
      <c r="D2250" s="136" t="str">
        <f t="array" ref="D2250">IF(E2250=0,0,(INDEX(AccountCodes[ACCOUNT NAME],MATCH(E2250,AccountCodes[NGAS CODE],0))))</f>
        <v>Fuel, Oil and Lubricants Expenses</v>
      </c>
      <c r="E2250" s="309" t="s">
        <v>229</v>
      </c>
      <c r="F2250" s="501">
        <v>110225.2</v>
      </c>
    </row>
    <row r="2251" spans="1:6" x14ac:dyDescent="0.25">
      <c r="A2251" s="308">
        <v>43434</v>
      </c>
      <c r="B2251" s="309" t="s">
        <v>486</v>
      </c>
      <c r="C2251" s="309" t="s">
        <v>493</v>
      </c>
      <c r="D2251" s="136" t="str">
        <f t="array" ref="D2251">IF(E2251=0,0,(INDEX(AccountCodes[ACCOUNT NAME],MATCH(E2251,AccountCodes[NGAS CODE],0))))</f>
        <v>Fuel, Oil and Lubricants Expenses</v>
      </c>
      <c r="E2251" s="309" t="s">
        <v>229</v>
      </c>
      <c r="F2251" s="501">
        <v>110225.2</v>
      </c>
    </row>
    <row r="2252" spans="1:6" x14ac:dyDescent="0.25">
      <c r="A2252" s="308">
        <v>43465</v>
      </c>
      <c r="B2252" s="309" t="s">
        <v>486</v>
      </c>
      <c r="C2252" s="309" t="s">
        <v>493</v>
      </c>
      <c r="D2252" s="136" t="str">
        <f t="array" ref="D2252">IF(E2252=0,0,(INDEX(AccountCodes[ACCOUNT NAME],MATCH(E2252,AccountCodes[NGAS CODE],0))))</f>
        <v>Fuel, Oil and Lubricants Expenses</v>
      </c>
      <c r="E2252" s="309" t="s">
        <v>229</v>
      </c>
      <c r="F2252" s="501">
        <v>110225.2</v>
      </c>
    </row>
    <row r="2253" spans="1:6" x14ac:dyDescent="0.25">
      <c r="A2253" s="308">
        <v>43131</v>
      </c>
      <c r="B2253" s="309" t="s">
        <v>486</v>
      </c>
      <c r="C2253" s="309" t="s">
        <v>493</v>
      </c>
      <c r="D2253" s="136" t="str">
        <f t="array" ref="D2253">IF(E2253=0,0,(INDEX(AccountCodes[ACCOUNT NAME],MATCH(E2253,AccountCodes[NGAS CODE],0))))</f>
        <v>Water Expenses</v>
      </c>
      <c r="E2253" s="309" t="s">
        <v>232</v>
      </c>
      <c r="F2253" s="501">
        <v>2759.68</v>
      </c>
    </row>
    <row r="2254" spans="1:6" x14ac:dyDescent="0.25">
      <c r="A2254" s="308">
        <v>43159</v>
      </c>
      <c r="B2254" s="309" t="s">
        <v>486</v>
      </c>
      <c r="C2254" s="309" t="s">
        <v>493</v>
      </c>
      <c r="D2254" s="136" t="str">
        <f t="array" ref="D2254">IF(E2254=0,0,(INDEX(AccountCodes[ACCOUNT NAME],MATCH(E2254,AccountCodes[NGAS CODE],0))))</f>
        <v>Water Expenses</v>
      </c>
      <c r="E2254" s="309" t="s">
        <v>232</v>
      </c>
      <c r="F2254" s="501">
        <v>2759.68</v>
      </c>
    </row>
    <row r="2255" spans="1:6" x14ac:dyDescent="0.25">
      <c r="A2255" s="308">
        <v>43190</v>
      </c>
      <c r="B2255" s="309" t="s">
        <v>486</v>
      </c>
      <c r="C2255" s="309" t="s">
        <v>493</v>
      </c>
      <c r="D2255" s="136" t="str">
        <f t="array" ref="D2255">IF(E2255=0,0,(INDEX(AccountCodes[ACCOUNT NAME],MATCH(E2255,AccountCodes[NGAS CODE],0))))</f>
        <v>Water Expenses</v>
      </c>
      <c r="E2255" s="309" t="s">
        <v>232</v>
      </c>
      <c r="F2255" s="501">
        <v>2759.68</v>
      </c>
    </row>
    <row r="2256" spans="1:6" x14ac:dyDescent="0.25">
      <c r="A2256" s="308">
        <v>43220</v>
      </c>
      <c r="B2256" s="309" t="s">
        <v>486</v>
      </c>
      <c r="C2256" s="309" t="s">
        <v>493</v>
      </c>
      <c r="D2256" s="136" t="str">
        <f t="array" ref="D2256">IF(E2256=0,0,(INDEX(AccountCodes[ACCOUNT NAME],MATCH(E2256,AccountCodes[NGAS CODE],0))))</f>
        <v>Water Expenses</v>
      </c>
      <c r="E2256" s="309" t="s">
        <v>232</v>
      </c>
      <c r="F2256" s="501">
        <v>2759.68</v>
      </c>
    </row>
    <row r="2257" spans="1:6" x14ac:dyDescent="0.25">
      <c r="A2257" s="308">
        <v>43251</v>
      </c>
      <c r="B2257" s="309" t="s">
        <v>486</v>
      </c>
      <c r="C2257" s="309" t="s">
        <v>493</v>
      </c>
      <c r="D2257" s="136" t="str">
        <f t="array" ref="D2257">IF(E2257=0,0,(INDEX(AccountCodes[ACCOUNT NAME],MATCH(E2257,AccountCodes[NGAS CODE],0))))</f>
        <v>Water Expenses</v>
      </c>
      <c r="E2257" s="309" t="s">
        <v>232</v>
      </c>
      <c r="F2257" s="501">
        <v>2759.68</v>
      </c>
    </row>
    <row r="2258" spans="1:6" x14ac:dyDescent="0.25">
      <c r="A2258" s="308">
        <v>43281</v>
      </c>
      <c r="B2258" s="309" t="s">
        <v>486</v>
      </c>
      <c r="C2258" s="309" t="s">
        <v>493</v>
      </c>
      <c r="D2258" s="136" t="str">
        <f t="array" ref="D2258">IF(E2258=0,0,(INDEX(AccountCodes[ACCOUNT NAME],MATCH(E2258,AccountCodes[NGAS CODE],0))))</f>
        <v>Water Expenses</v>
      </c>
      <c r="E2258" s="309" t="s">
        <v>232</v>
      </c>
      <c r="F2258" s="501">
        <v>2759.68</v>
      </c>
    </row>
    <row r="2259" spans="1:6" x14ac:dyDescent="0.25">
      <c r="A2259" s="308">
        <v>43312</v>
      </c>
      <c r="B2259" s="309" t="s">
        <v>486</v>
      </c>
      <c r="C2259" s="309" t="s">
        <v>493</v>
      </c>
      <c r="D2259" s="136" t="str">
        <f t="array" ref="D2259">IF(E2259=0,0,(INDEX(AccountCodes[ACCOUNT NAME],MATCH(E2259,AccountCodes[NGAS CODE],0))))</f>
        <v>Water Expenses</v>
      </c>
      <c r="E2259" s="309" t="s">
        <v>232</v>
      </c>
      <c r="F2259" s="501">
        <v>2759.68</v>
      </c>
    </row>
    <row r="2260" spans="1:6" x14ac:dyDescent="0.25">
      <c r="A2260" s="308">
        <v>43343</v>
      </c>
      <c r="B2260" s="309" t="s">
        <v>486</v>
      </c>
      <c r="C2260" s="309" t="s">
        <v>493</v>
      </c>
      <c r="D2260" s="136" t="str">
        <f t="array" ref="D2260">IF(E2260=0,0,(INDEX(AccountCodes[ACCOUNT NAME],MATCH(E2260,AccountCodes[NGAS CODE],0))))</f>
        <v>Water Expenses</v>
      </c>
      <c r="E2260" s="309" t="s">
        <v>232</v>
      </c>
      <c r="F2260" s="501">
        <v>2759.68</v>
      </c>
    </row>
    <row r="2261" spans="1:6" x14ac:dyDescent="0.25">
      <c r="A2261" s="308">
        <v>43373</v>
      </c>
      <c r="B2261" s="309" t="s">
        <v>486</v>
      </c>
      <c r="C2261" s="309" t="s">
        <v>493</v>
      </c>
      <c r="D2261" s="136" t="str">
        <f t="array" ref="D2261">IF(E2261=0,0,(INDEX(AccountCodes[ACCOUNT NAME],MATCH(E2261,AccountCodes[NGAS CODE],0))))</f>
        <v>Water Expenses</v>
      </c>
      <c r="E2261" s="309" t="s">
        <v>232</v>
      </c>
      <c r="F2261" s="501">
        <v>2759.68</v>
      </c>
    </row>
    <row r="2262" spans="1:6" x14ac:dyDescent="0.25">
      <c r="A2262" s="308">
        <v>43404</v>
      </c>
      <c r="B2262" s="309" t="s">
        <v>486</v>
      </c>
      <c r="C2262" s="309" t="s">
        <v>493</v>
      </c>
      <c r="D2262" s="136" t="str">
        <f t="array" ref="D2262">IF(E2262=0,0,(INDEX(AccountCodes[ACCOUNT NAME],MATCH(E2262,AccountCodes[NGAS CODE],0))))</f>
        <v>Water Expenses</v>
      </c>
      <c r="E2262" s="309" t="s">
        <v>232</v>
      </c>
      <c r="F2262" s="501">
        <v>2759.68</v>
      </c>
    </row>
    <row r="2263" spans="1:6" x14ac:dyDescent="0.25">
      <c r="A2263" s="308">
        <v>43434</v>
      </c>
      <c r="B2263" s="309" t="s">
        <v>486</v>
      </c>
      <c r="C2263" s="309" t="s">
        <v>493</v>
      </c>
      <c r="D2263" s="136" t="str">
        <f t="array" ref="D2263">IF(E2263=0,0,(INDEX(AccountCodes[ACCOUNT NAME],MATCH(E2263,AccountCodes[NGAS CODE],0))))</f>
        <v>Water Expenses</v>
      </c>
      <c r="E2263" s="309" t="s">
        <v>232</v>
      </c>
      <c r="F2263" s="501">
        <v>2759.68</v>
      </c>
    </row>
    <row r="2264" spans="1:6" x14ac:dyDescent="0.25">
      <c r="A2264" s="308">
        <v>43465</v>
      </c>
      <c r="B2264" s="309" t="s">
        <v>486</v>
      </c>
      <c r="C2264" s="309" t="s">
        <v>493</v>
      </c>
      <c r="D2264" s="136" t="str">
        <f t="array" ref="D2264">IF(E2264=0,0,(INDEX(AccountCodes[ACCOUNT NAME],MATCH(E2264,AccountCodes[NGAS CODE],0))))</f>
        <v>Water Expenses</v>
      </c>
      <c r="E2264" s="309" t="s">
        <v>232</v>
      </c>
      <c r="F2264" s="501">
        <v>2759.68</v>
      </c>
    </row>
    <row r="2265" spans="1:6" x14ac:dyDescent="0.25">
      <c r="A2265" s="308">
        <v>43131</v>
      </c>
      <c r="B2265" s="309" t="s">
        <v>486</v>
      </c>
      <c r="C2265" s="309" t="s">
        <v>493</v>
      </c>
      <c r="D2265" s="136" t="str">
        <f t="array" ref="D2265">IF(E2265=0,0,(INDEX(AccountCodes[ACCOUNT NAME],MATCH(E2265,AccountCodes[NGAS CODE],0))))</f>
        <v>Electricity Expenses</v>
      </c>
      <c r="E2265" s="309" t="s">
        <v>233</v>
      </c>
      <c r="F2265" s="501">
        <v>63707.03</v>
      </c>
    </row>
    <row r="2266" spans="1:6" x14ac:dyDescent="0.25">
      <c r="A2266" s="308">
        <v>43159</v>
      </c>
      <c r="B2266" s="309" t="s">
        <v>486</v>
      </c>
      <c r="C2266" s="309" t="s">
        <v>493</v>
      </c>
      <c r="D2266" s="136" t="str">
        <f t="array" ref="D2266">IF(E2266=0,0,(INDEX(AccountCodes[ACCOUNT NAME],MATCH(E2266,AccountCodes[NGAS CODE],0))))</f>
        <v>Electricity Expenses</v>
      </c>
      <c r="E2266" s="309" t="s">
        <v>233</v>
      </c>
      <c r="F2266" s="501">
        <v>63707.03</v>
      </c>
    </row>
    <row r="2267" spans="1:6" x14ac:dyDescent="0.25">
      <c r="A2267" s="308">
        <v>43190</v>
      </c>
      <c r="B2267" s="309" t="s">
        <v>486</v>
      </c>
      <c r="C2267" s="309" t="s">
        <v>493</v>
      </c>
      <c r="D2267" s="136" t="str">
        <f t="array" ref="D2267">IF(E2267=0,0,(INDEX(AccountCodes[ACCOUNT NAME],MATCH(E2267,AccountCodes[NGAS CODE],0))))</f>
        <v>Electricity Expenses</v>
      </c>
      <c r="E2267" s="309" t="s">
        <v>233</v>
      </c>
      <c r="F2267" s="501">
        <v>63707.03</v>
      </c>
    </row>
    <row r="2268" spans="1:6" x14ac:dyDescent="0.25">
      <c r="A2268" s="308">
        <v>43220</v>
      </c>
      <c r="B2268" s="309" t="s">
        <v>486</v>
      </c>
      <c r="C2268" s="309" t="s">
        <v>493</v>
      </c>
      <c r="D2268" s="136" t="str">
        <f t="array" ref="D2268">IF(E2268=0,0,(INDEX(AccountCodes[ACCOUNT NAME],MATCH(E2268,AccountCodes[NGAS CODE],0))))</f>
        <v>Electricity Expenses</v>
      </c>
      <c r="E2268" s="309" t="s">
        <v>233</v>
      </c>
      <c r="F2268" s="501">
        <v>63707.03</v>
      </c>
    </row>
    <row r="2269" spans="1:6" x14ac:dyDescent="0.25">
      <c r="A2269" s="308">
        <v>43251</v>
      </c>
      <c r="B2269" s="309" t="s">
        <v>486</v>
      </c>
      <c r="C2269" s="309" t="s">
        <v>493</v>
      </c>
      <c r="D2269" s="136" t="str">
        <f t="array" ref="D2269">IF(E2269=0,0,(INDEX(AccountCodes[ACCOUNT NAME],MATCH(E2269,AccountCodes[NGAS CODE],0))))</f>
        <v>Electricity Expenses</v>
      </c>
      <c r="E2269" s="309" t="s">
        <v>233</v>
      </c>
      <c r="F2269" s="501">
        <v>63707.03</v>
      </c>
    </row>
    <row r="2270" spans="1:6" x14ac:dyDescent="0.25">
      <c r="A2270" s="308">
        <v>43281</v>
      </c>
      <c r="B2270" s="309" t="s">
        <v>486</v>
      </c>
      <c r="C2270" s="309" t="s">
        <v>493</v>
      </c>
      <c r="D2270" s="136" t="str">
        <f t="array" ref="D2270">IF(E2270=0,0,(INDEX(AccountCodes[ACCOUNT NAME],MATCH(E2270,AccountCodes[NGAS CODE],0))))</f>
        <v>Electricity Expenses</v>
      </c>
      <c r="E2270" s="309" t="s">
        <v>233</v>
      </c>
      <c r="F2270" s="501">
        <v>63707.03</v>
      </c>
    </row>
    <row r="2271" spans="1:6" x14ac:dyDescent="0.25">
      <c r="A2271" s="308">
        <v>43312</v>
      </c>
      <c r="B2271" s="309" t="s">
        <v>486</v>
      </c>
      <c r="C2271" s="309" t="s">
        <v>493</v>
      </c>
      <c r="D2271" s="136" t="str">
        <f t="array" ref="D2271">IF(E2271=0,0,(INDEX(AccountCodes[ACCOUNT NAME],MATCH(E2271,AccountCodes[NGAS CODE],0))))</f>
        <v>Electricity Expenses</v>
      </c>
      <c r="E2271" s="309" t="s">
        <v>233</v>
      </c>
      <c r="F2271" s="501">
        <v>63707.03</v>
      </c>
    </row>
    <row r="2272" spans="1:6" x14ac:dyDescent="0.25">
      <c r="A2272" s="308">
        <v>43343</v>
      </c>
      <c r="B2272" s="309" t="s">
        <v>486</v>
      </c>
      <c r="C2272" s="309" t="s">
        <v>493</v>
      </c>
      <c r="D2272" s="136" t="str">
        <f t="array" ref="D2272">IF(E2272=0,0,(INDEX(AccountCodes[ACCOUNT NAME],MATCH(E2272,AccountCodes[NGAS CODE],0))))</f>
        <v>Electricity Expenses</v>
      </c>
      <c r="E2272" s="309" t="s">
        <v>233</v>
      </c>
      <c r="F2272" s="501">
        <v>63707.03</v>
      </c>
    </row>
    <row r="2273" spans="1:6" x14ac:dyDescent="0.25">
      <c r="A2273" s="308">
        <v>43373</v>
      </c>
      <c r="B2273" s="309" t="s">
        <v>486</v>
      </c>
      <c r="C2273" s="309" t="s">
        <v>493</v>
      </c>
      <c r="D2273" s="136" t="str">
        <f t="array" ref="D2273">IF(E2273=0,0,(INDEX(AccountCodes[ACCOUNT NAME],MATCH(E2273,AccountCodes[NGAS CODE],0))))</f>
        <v>Electricity Expenses</v>
      </c>
      <c r="E2273" s="309" t="s">
        <v>233</v>
      </c>
      <c r="F2273" s="501">
        <v>63707.03</v>
      </c>
    </row>
    <row r="2274" spans="1:6" x14ac:dyDescent="0.25">
      <c r="A2274" s="308">
        <v>43404</v>
      </c>
      <c r="B2274" s="309" t="s">
        <v>486</v>
      </c>
      <c r="C2274" s="309" t="s">
        <v>493</v>
      </c>
      <c r="D2274" s="136" t="str">
        <f t="array" ref="D2274">IF(E2274=0,0,(INDEX(AccountCodes[ACCOUNT NAME],MATCH(E2274,AccountCodes[NGAS CODE],0))))</f>
        <v>Electricity Expenses</v>
      </c>
      <c r="E2274" s="309" t="s">
        <v>233</v>
      </c>
      <c r="F2274" s="501">
        <v>63707.03</v>
      </c>
    </row>
    <row r="2275" spans="1:6" x14ac:dyDescent="0.25">
      <c r="A2275" s="308">
        <v>43434</v>
      </c>
      <c r="B2275" s="309" t="s">
        <v>486</v>
      </c>
      <c r="C2275" s="309" t="s">
        <v>493</v>
      </c>
      <c r="D2275" s="136" t="str">
        <f t="array" ref="D2275">IF(E2275=0,0,(INDEX(AccountCodes[ACCOUNT NAME],MATCH(E2275,AccountCodes[NGAS CODE],0))))</f>
        <v>Electricity Expenses</v>
      </c>
      <c r="E2275" s="309" t="s">
        <v>233</v>
      </c>
      <c r="F2275" s="501">
        <v>63707.03</v>
      </c>
    </row>
    <row r="2276" spans="1:6" x14ac:dyDescent="0.25">
      <c r="A2276" s="308">
        <v>43465</v>
      </c>
      <c r="B2276" s="309" t="s">
        <v>486</v>
      </c>
      <c r="C2276" s="309" t="s">
        <v>493</v>
      </c>
      <c r="D2276" s="136" t="str">
        <f t="array" ref="D2276">IF(E2276=0,0,(INDEX(AccountCodes[ACCOUNT NAME],MATCH(E2276,AccountCodes[NGAS CODE],0))))</f>
        <v>Electricity Expenses</v>
      </c>
      <c r="E2276" s="309" t="s">
        <v>233</v>
      </c>
      <c r="F2276" s="501">
        <v>63707.03</v>
      </c>
    </row>
    <row r="2277" spans="1:6" x14ac:dyDescent="0.25">
      <c r="A2277" s="308">
        <v>43131</v>
      </c>
      <c r="B2277" s="309" t="s">
        <v>486</v>
      </c>
      <c r="C2277" s="309" t="s">
        <v>493</v>
      </c>
      <c r="D2277" s="136" t="str">
        <f t="array" ref="D2277">IF(E2277=0,0,(INDEX(AccountCodes[ACCOUNT NAME],MATCH(E2277,AccountCodes[NGAS CODE],0))))</f>
        <v>Internet Subscription Expenses</v>
      </c>
      <c r="E2277" s="309" t="s">
        <v>237</v>
      </c>
      <c r="F2277" s="501">
        <v>11110.07</v>
      </c>
    </row>
    <row r="2278" spans="1:6" x14ac:dyDescent="0.25">
      <c r="A2278" s="308">
        <v>43159</v>
      </c>
      <c r="B2278" s="309" t="s">
        <v>486</v>
      </c>
      <c r="C2278" s="309" t="s">
        <v>493</v>
      </c>
      <c r="D2278" s="136" t="str">
        <f t="array" ref="D2278">IF(E2278=0,0,(INDEX(AccountCodes[ACCOUNT NAME],MATCH(E2278,AccountCodes[NGAS CODE],0))))</f>
        <v>Internet Subscription Expenses</v>
      </c>
      <c r="E2278" s="309" t="s">
        <v>237</v>
      </c>
      <c r="F2278" s="501">
        <v>11110.07</v>
      </c>
    </row>
    <row r="2279" spans="1:6" x14ac:dyDescent="0.25">
      <c r="A2279" s="308">
        <v>43190</v>
      </c>
      <c r="B2279" s="309" t="s">
        <v>486</v>
      </c>
      <c r="C2279" s="309" t="s">
        <v>493</v>
      </c>
      <c r="D2279" s="136" t="str">
        <f t="array" ref="D2279">IF(E2279=0,0,(INDEX(AccountCodes[ACCOUNT NAME],MATCH(E2279,AccountCodes[NGAS CODE],0))))</f>
        <v>Internet Subscription Expenses</v>
      </c>
      <c r="E2279" s="309" t="s">
        <v>237</v>
      </c>
      <c r="F2279" s="501">
        <v>11110.07</v>
      </c>
    </row>
    <row r="2280" spans="1:6" x14ac:dyDescent="0.25">
      <c r="A2280" s="308">
        <v>43220</v>
      </c>
      <c r="B2280" s="309" t="s">
        <v>486</v>
      </c>
      <c r="C2280" s="309" t="s">
        <v>493</v>
      </c>
      <c r="D2280" s="136" t="str">
        <f t="array" ref="D2280">IF(E2280=0,0,(INDEX(AccountCodes[ACCOUNT NAME],MATCH(E2280,AccountCodes[NGAS CODE],0))))</f>
        <v>Internet Subscription Expenses</v>
      </c>
      <c r="E2280" s="309" t="s">
        <v>237</v>
      </c>
      <c r="F2280" s="501">
        <v>11110.07</v>
      </c>
    </row>
    <row r="2281" spans="1:6" x14ac:dyDescent="0.25">
      <c r="A2281" s="308">
        <v>43251</v>
      </c>
      <c r="B2281" s="309" t="s">
        <v>486</v>
      </c>
      <c r="C2281" s="309" t="s">
        <v>493</v>
      </c>
      <c r="D2281" s="136" t="str">
        <f t="array" ref="D2281">IF(E2281=0,0,(INDEX(AccountCodes[ACCOUNT NAME],MATCH(E2281,AccountCodes[NGAS CODE],0))))</f>
        <v>Internet Subscription Expenses</v>
      </c>
      <c r="E2281" s="309" t="s">
        <v>237</v>
      </c>
      <c r="F2281" s="501">
        <v>11110.07</v>
      </c>
    </row>
    <row r="2282" spans="1:6" x14ac:dyDescent="0.25">
      <c r="A2282" s="308">
        <v>43281</v>
      </c>
      <c r="B2282" s="309" t="s">
        <v>486</v>
      </c>
      <c r="C2282" s="309" t="s">
        <v>493</v>
      </c>
      <c r="D2282" s="136" t="str">
        <f t="array" ref="D2282">IF(E2282=0,0,(INDEX(AccountCodes[ACCOUNT NAME],MATCH(E2282,AccountCodes[NGAS CODE],0))))</f>
        <v>Internet Subscription Expenses</v>
      </c>
      <c r="E2282" s="309" t="s">
        <v>237</v>
      </c>
      <c r="F2282" s="501">
        <v>11110.07</v>
      </c>
    </row>
    <row r="2283" spans="1:6" x14ac:dyDescent="0.25">
      <c r="A2283" s="308">
        <v>43312</v>
      </c>
      <c r="B2283" s="309" t="s">
        <v>486</v>
      </c>
      <c r="C2283" s="309" t="s">
        <v>493</v>
      </c>
      <c r="D2283" s="136" t="str">
        <f t="array" ref="D2283">IF(E2283=0,0,(INDEX(AccountCodes[ACCOUNT NAME],MATCH(E2283,AccountCodes[NGAS CODE],0))))</f>
        <v>Internet Subscription Expenses</v>
      </c>
      <c r="E2283" s="309" t="s">
        <v>237</v>
      </c>
      <c r="F2283" s="501">
        <v>11110.07</v>
      </c>
    </row>
    <row r="2284" spans="1:6" x14ac:dyDescent="0.25">
      <c r="A2284" s="308">
        <v>43343</v>
      </c>
      <c r="B2284" s="309" t="s">
        <v>486</v>
      </c>
      <c r="C2284" s="309" t="s">
        <v>493</v>
      </c>
      <c r="D2284" s="136" t="str">
        <f t="array" ref="D2284">IF(E2284=0,0,(INDEX(AccountCodes[ACCOUNT NAME],MATCH(E2284,AccountCodes[NGAS CODE],0))))</f>
        <v>Internet Subscription Expenses</v>
      </c>
      <c r="E2284" s="309" t="s">
        <v>237</v>
      </c>
      <c r="F2284" s="501">
        <v>11110.07</v>
      </c>
    </row>
    <row r="2285" spans="1:6" x14ac:dyDescent="0.25">
      <c r="A2285" s="308">
        <v>43373</v>
      </c>
      <c r="B2285" s="309" t="s">
        <v>486</v>
      </c>
      <c r="C2285" s="309" t="s">
        <v>493</v>
      </c>
      <c r="D2285" s="136" t="str">
        <f t="array" ref="D2285">IF(E2285=0,0,(INDEX(AccountCodes[ACCOUNT NAME],MATCH(E2285,AccountCodes[NGAS CODE],0))))</f>
        <v>Internet Subscription Expenses</v>
      </c>
      <c r="E2285" s="309" t="s">
        <v>237</v>
      </c>
      <c r="F2285" s="501">
        <v>11110.07</v>
      </c>
    </row>
    <row r="2286" spans="1:6" x14ac:dyDescent="0.25">
      <c r="A2286" s="308">
        <v>43404</v>
      </c>
      <c r="B2286" s="309" t="s">
        <v>486</v>
      </c>
      <c r="C2286" s="309" t="s">
        <v>493</v>
      </c>
      <c r="D2286" s="136" t="str">
        <f t="array" ref="D2286">IF(E2286=0,0,(INDEX(AccountCodes[ACCOUNT NAME],MATCH(E2286,AccountCodes[NGAS CODE],0))))</f>
        <v>Internet Subscription Expenses</v>
      </c>
      <c r="E2286" s="309" t="s">
        <v>237</v>
      </c>
      <c r="F2286" s="501">
        <v>11110.07</v>
      </c>
    </row>
    <row r="2287" spans="1:6" x14ac:dyDescent="0.25">
      <c r="A2287" s="308">
        <v>43434</v>
      </c>
      <c r="B2287" s="309" t="s">
        <v>486</v>
      </c>
      <c r="C2287" s="309" t="s">
        <v>493</v>
      </c>
      <c r="D2287" s="136" t="str">
        <f t="array" ref="D2287">IF(E2287=0,0,(INDEX(AccountCodes[ACCOUNT NAME],MATCH(E2287,AccountCodes[NGAS CODE],0))))</f>
        <v>Internet Subscription Expenses</v>
      </c>
      <c r="E2287" s="309" t="s">
        <v>237</v>
      </c>
      <c r="F2287" s="501">
        <v>11110.07</v>
      </c>
    </row>
    <row r="2288" spans="1:6" x14ac:dyDescent="0.25">
      <c r="A2288" s="308">
        <v>43465</v>
      </c>
      <c r="B2288" s="309" t="s">
        <v>486</v>
      </c>
      <c r="C2288" s="309" t="s">
        <v>493</v>
      </c>
      <c r="D2288" s="136" t="str">
        <f t="array" ref="D2288">IF(E2288=0,0,(INDEX(AccountCodes[ACCOUNT NAME],MATCH(E2288,AccountCodes[NGAS CODE],0))))</f>
        <v>Internet Subscription Expenses</v>
      </c>
      <c r="E2288" s="309" t="s">
        <v>237</v>
      </c>
      <c r="F2288" s="501">
        <v>11110.07</v>
      </c>
    </row>
    <row r="2289" spans="1:6" x14ac:dyDescent="0.25">
      <c r="A2289" s="308">
        <v>43131</v>
      </c>
      <c r="B2289" s="309" t="s">
        <v>486</v>
      </c>
      <c r="C2289" s="309" t="s">
        <v>493</v>
      </c>
      <c r="D2289" s="136" t="str">
        <f t="array" ref="D2289">IF(E2289=0,0,(INDEX(AccountCodes[ACCOUNT NAME],MATCH(E2289,AccountCodes[NGAS CODE],0))))</f>
        <v>Other Maintenance and Operating Expenses (Irrigator's Share/Remuneration/Subsidy)</v>
      </c>
      <c r="E2289" s="309" t="s">
        <v>333</v>
      </c>
      <c r="F2289" s="501">
        <v>851197.5</v>
      </c>
    </row>
    <row r="2290" spans="1:6" x14ac:dyDescent="0.25">
      <c r="A2290" s="308">
        <v>43312</v>
      </c>
      <c r="B2290" s="309" t="s">
        <v>486</v>
      </c>
      <c r="C2290" s="309" t="s">
        <v>493</v>
      </c>
      <c r="D2290" s="136" t="str">
        <f t="array" ref="D2290">IF(E2290=0,0,(INDEX(AccountCodes[ACCOUNT NAME],MATCH(E2290,AccountCodes[NGAS CODE],0))))</f>
        <v>Other Maintenance and Operating Expenses (Irrigator's Share/Remuneration/Subsidy)</v>
      </c>
      <c r="E2290" s="309" t="s">
        <v>333</v>
      </c>
      <c r="F2290" s="501">
        <v>851197.5</v>
      </c>
    </row>
    <row r="2291" spans="1:6" x14ac:dyDescent="0.25">
      <c r="A2291" s="308"/>
      <c r="D2291" s="136">
        <f t="array" ref="D2291">IF(E2291=0,0,(INDEX(AccountCodes[ACCOUNT NAME],MATCH(E2291,AccountCodes[NGAS CODE],0))))</f>
        <v>0</v>
      </c>
      <c r="E2291" s="309"/>
      <c r="F2291" s="501"/>
    </row>
    <row r="2292" spans="1:6" x14ac:dyDescent="0.25">
      <c r="A2292" s="308">
        <v>43281</v>
      </c>
      <c r="B2292" s="309" t="s">
        <v>486</v>
      </c>
      <c r="C2292" s="309" t="s">
        <v>502</v>
      </c>
      <c r="D2292" s="136" t="str">
        <f t="array" ref="D2292">IF(E2292=0,0,(INDEX(AccountCodes[ACCOUNT NAME],MATCH(E2292,AccountCodes[NGAS CODE],0))))</f>
        <v>Equipment Rental - External (CA)</v>
      </c>
      <c r="E2292" s="309" t="s">
        <v>147</v>
      </c>
      <c r="F2292" s="501">
        <v>25000</v>
      </c>
    </row>
    <row r="2293" spans="1:6" x14ac:dyDescent="0.25">
      <c r="A2293" s="308">
        <v>43465</v>
      </c>
      <c r="B2293" s="309" t="s">
        <v>486</v>
      </c>
      <c r="C2293" s="309" t="s">
        <v>502</v>
      </c>
      <c r="D2293" s="136" t="str">
        <f t="array" ref="D2293">IF(E2293=0,0,(INDEX(AccountCodes[ACCOUNT NAME],MATCH(E2293,AccountCodes[NGAS CODE],0))))</f>
        <v>Equipment Rental - External (CA)</v>
      </c>
      <c r="E2293" s="309" t="s">
        <v>147</v>
      </c>
      <c r="F2293" s="311">
        <v>25000</v>
      </c>
    </row>
    <row r="2294" spans="1:6" x14ac:dyDescent="0.25">
      <c r="A2294" s="308">
        <v>43131</v>
      </c>
      <c r="B2294" s="309" t="s">
        <v>486</v>
      </c>
      <c r="C2294" s="309" t="s">
        <v>502</v>
      </c>
      <c r="D2294" s="136" t="str">
        <f t="array" ref="D2294">IF(E2294=0,0,(INDEX(AccountCodes[ACCOUNT NAME],MATCH(E2294,AccountCodes[NGAS CODE],0))))</f>
        <v>Salaries and Wages-Regular</v>
      </c>
      <c r="E2294" s="309" t="s">
        <v>162</v>
      </c>
      <c r="F2294" s="501">
        <v>74217</v>
      </c>
    </row>
    <row r="2295" spans="1:6" x14ac:dyDescent="0.25">
      <c r="A2295" s="308">
        <v>43159</v>
      </c>
      <c r="B2295" s="309" t="s">
        <v>486</v>
      </c>
      <c r="C2295" s="309" t="s">
        <v>502</v>
      </c>
      <c r="D2295" s="136" t="str">
        <f t="array" ref="D2295">IF(E2295=0,0,(INDEX(AccountCodes[ACCOUNT NAME],MATCH(E2295,AccountCodes[NGAS CODE],0))))</f>
        <v>Salaries and Wages-Regular</v>
      </c>
      <c r="E2295" s="309" t="s">
        <v>162</v>
      </c>
      <c r="F2295" s="501">
        <v>74217</v>
      </c>
    </row>
    <row r="2296" spans="1:6" x14ac:dyDescent="0.25">
      <c r="A2296" s="308">
        <v>43190</v>
      </c>
      <c r="B2296" s="309" t="s">
        <v>486</v>
      </c>
      <c r="C2296" s="309" t="s">
        <v>502</v>
      </c>
      <c r="D2296" s="136" t="str">
        <f t="array" ref="D2296">IF(E2296=0,0,(INDEX(AccountCodes[ACCOUNT NAME],MATCH(E2296,AccountCodes[NGAS CODE],0))))</f>
        <v>Salaries and Wages-Regular</v>
      </c>
      <c r="E2296" s="309" t="s">
        <v>162</v>
      </c>
      <c r="F2296" s="501">
        <v>74217</v>
      </c>
    </row>
    <row r="2297" spans="1:6" x14ac:dyDescent="0.25">
      <c r="A2297" s="308">
        <v>43220</v>
      </c>
      <c r="B2297" s="309" t="s">
        <v>486</v>
      </c>
      <c r="C2297" s="309" t="s">
        <v>502</v>
      </c>
      <c r="D2297" s="136" t="str">
        <f t="array" ref="D2297">IF(E2297=0,0,(INDEX(AccountCodes[ACCOUNT NAME],MATCH(E2297,AccountCodes[NGAS CODE],0))))</f>
        <v>Salaries and Wages-Regular</v>
      </c>
      <c r="E2297" s="309" t="s">
        <v>162</v>
      </c>
      <c r="F2297" s="501">
        <v>74217</v>
      </c>
    </row>
    <row r="2298" spans="1:6" x14ac:dyDescent="0.25">
      <c r="A2298" s="308">
        <v>43251</v>
      </c>
      <c r="B2298" s="309" t="s">
        <v>486</v>
      </c>
      <c r="C2298" s="309" t="s">
        <v>502</v>
      </c>
      <c r="D2298" s="136" t="str">
        <f t="array" ref="D2298">IF(E2298=0,0,(INDEX(AccountCodes[ACCOUNT NAME],MATCH(E2298,AccountCodes[NGAS CODE],0))))</f>
        <v>Salaries and Wages-Regular</v>
      </c>
      <c r="E2298" s="309" t="s">
        <v>162</v>
      </c>
      <c r="F2298" s="501">
        <v>74217</v>
      </c>
    </row>
    <row r="2299" spans="1:6" x14ac:dyDescent="0.25">
      <c r="A2299" s="308">
        <v>43281</v>
      </c>
      <c r="B2299" s="309" t="s">
        <v>486</v>
      </c>
      <c r="C2299" s="309" t="s">
        <v>502</v>
      </c>
      <c r="D2299" s="136" t="str">
        <f t="array" ref="D2299">IF(E2299=0,0,(INDEX(AccountCodes[ACCOUNT NAME],MATCH(E2299,AccountCodes[NGAS CODE],0))))</f>
        <v>Salaries and Wages-Regular</v>
      </c>
      <c r="E2299" s="309" t="s">
        <v>162</v>
      </c>
      <c r="F2299" s="501">
        <v>74217</v>
      </c>
    </row>
    <row r="2300" spans="1:6" x14ac:dyDescent="0.25">
      <c r="A2300" s="308">
        <v>43312</v>
      </c>
      <c r="B2300" s="309" t="s">
        <v>486</v>
      </c>
      <c r="C2300" s="309" t="s">
        <v>502</v>
      </c>
      <c r="D2300" s="136" t="str">
        <f t="array" ref="D2300">IF(E2300=0,0,(INDEX(AccountCodes[ACCOUNT NAME],MATCH(E2300,AccountCodes[NGAS CODE],0))))</f>
        <v>Salaries and Wages-Regular</v>
      </c>
      <c r="E2300" s="309" t="s">
        <v>162</v>
      </c>
      <c r="F2300" s="501">
        <v>74217</v>
      </c>
    </row>
    <row r="2301" spans="1:6" x14ac:dyDescent="0.25">
      <c r="A2301" s="308">
        <v>43343</v>
      </c>
      <c r="B2301" s="309" t="s">
        <v>486</v>
      </c>
      <c r="C2301" s="309" t="s">
        <v>502</v>
      </c>
      <c r="D2301" s="136" t="str">
        <f t="array" ref="D2301">IF(E2301=0,0,(INDEX(AccountCodes[ACCOUNT NAME],MATCH(E2301,AccountCodes[NGAS CODE],0))))</f>
        <v>Salaries and Wages-Regular</v>
      </c>
      <c r="E2301" s="309" t="s">
        <v>162</v>
      </c>
      <c r="F2301" s="501">
        <v>74217</v>
      </c>
    </row>
    <row r="2302" spans="1:6" x14ac:dyDescent="0.25">
      <c r="A2302" s="308">
        <v>43373</v>
      </c>
      <c r="B2302" s="309" t="s">
        <v>486</v>
      </c>
      <c r="C2302" s="309" t="s">
        <v>502</v>
      </c>
      <c r="D2302" s="136" t="str">
        <f t="array" ref="D2302">IF(E2302=0,0,(INDEX(AccountCodes[ACCOUNT NAME],MATCH(E2302,AccountCodes[NGAS CODE],0))))</f>
        <v>Salaries and Wages-Regular</v>
      </c>
      <c r="E2302" s="309" t="s">
        <v>162</v>
      </c>
      <c r="F2302" s="501">
        <v>74217</v>
      </c>
    </row>
    <row r="2303" spans="1:6" x14ac:dyDescent="0.25">
      <c r="A2303" s="308">
        <v>43404</v>
      </c>
      <c r="B2303" s="309" t="s">
        <v>486</v>
      </c>
      <c r="C2303" s="309" t="s">
        <v>502</v>
      </c>
      <c r="D2303" s="136" t="str">
        <f t="array" ref="D2303">IF(E2303=0,0,(INDEX(AccountCodes[ACCOUNT NAME],MATCH(E2303,AccountCodes[NGAS CODE],0))))</f>
        <v>Salaries and Wages-Regular</v>
      </c>
      <c r="E2303" s="309" t="s">
        <v>162</v>
      </c>
      <c r="F2303" s="501">
        <v>74217</v>
      </c>
    </row>
    <row r="2304" spans="1:6" x14ac:dyDescent="0.25">
      <c r="A2304" s="308">
        <v>43434</v>
      </c>
      <c r="B2304" s="309" t="s">
        <v>486</v>
      </c>
      <c r="C2304" s="309" t="s">
        <v>502</v>
      </c>
      <c r="D2304" s="136" t="str">
        <f t="array" ref="D2304">IF(E2304=0,0,(INDEX(AccountCodes[ACCOUNT NAME],MATCH(E2304,AccountCodes[NGAS CODE],0))))</f>
        <v>Salaries and Wages-Regular</v>
      </c>
      <c r="E2304" s="309" t="s">
        <v>162</v>
      </c>
      <c r="F2304" s="501">
        <v>74217</v>
      </c>
    </row>
    <row r="2305" spans="1:6" x14ac:dyDescent="0.25">
      <c r="A2305" s="308">
        <v>43465</v>
      </c>
      <c r="B2305" s="309" t="s">
        <v>486</v>
      </c>
      <c r="C2305" s="309" t="s">
        <v>502</v>
      </c>
      <c r="D2305" s="136" t="str">
        <f t="array" ref="D2305">IF(E2305=0,0,(INDEX(AccountCodes[ACCOUNT NAME],MATCH(E2305,AccountCodes[NGAS CODE],0))))</f>
        <v>Salaries and Wages-Regular</v>
      </c>
      <c r="E2305" s="309" t="s">
        <v>162</v>
      </c>
      <c r="F2305" s="501">
        <v>74217</v>
      </c>
    </row>
    <row r="2306" spans="1:6" x14ac:dyDescent="0.25">
      <c r="A2306" s="308">
        <v>43131</v>
      </c>
      <c r="B2306" s="309" t="s">
        <v>486</v>
      </c>
      <c r="C2306" s="309" t="s">
        <v>502</v>
      </c>
      <c r="D2306" s="136" t="str">
        <f t="array" ref="D2306">IF(E2306=0,0,(INDEX(AccountCodes[ACCOUNT NAME],MATCH(E2306,AccountCodes[NGAS CODE],0))))</f>
        <v>Salaries and Wages-Casual/Contractual</v>
      </c>
      <c r="E2306" s="309" t="s">
        <v>163</v>
      </c>
      <c r="F2306" s="501">
        <v>170493.29</v>
      </c>
    </row>
    <row r="2307" spans="1:6" x14ac:dyDescent="0.25">
      <c r="A2307" s="308">
        <v>43159</v>
      </c>
      <c r="B2307" s="309" t="s">
        <v>486</v>
      </c>
      <c r="C2307" s="309" t="s">
        <v>502</v>
      </c>
      <c r="D2307" s="136" t="str">
        <f t="array" ref="D2307">IF(E2307=0,0,(INDEX(AccountCodes[ACCOUNT NAME],MATCH(E2307,AccountCodes[NGAS CODE],0))))</f>
        <v>Salaries and Wages-Casual/Contractual</v>
      </c>
      <c r="E2307" s="309" t="s">
        <v>163</v>
      </c>
      <c r="F2307" s="501">
        <v>170493.29</v>
      </c>
    </row>
    <row r="2308" spans="1:6" x14ac:dyDescent="0.25">
      <c r="A2308" s="308">
        <v>43190</v>
      </c>
      <c r="B2308" s="309" t="s">
        <v>486</v>
      </c>
      <c r="C2308" s="309" t="s">
        <v>502</v>
      </c>
      <c r="D2308" s="136" t="str">
        <f t="array" ref="D2308">IF(E2308=0,0,(INDEX(AccountCodes[ACCOUNT NAME],MATCH(E2308,AccountCodes[NGAS CODE],0))))</f>
        <v>Salaries and Wages-Casual/Contractual</v>
      </c>
      <c r="E2308" s="309" t="s">
        <v>163</v>
      </c>
      <c r="F2308" s="501">
        <v>170493.29</v>
      </c>
    </row>
    <row r="2309" spans="1:6" x14ac:dyDescent="0.25">
      <c r="A2309" s="308">
        <v>43220</v>
      </c>
      <c r="B2309" s="309" t="s">
        <v>486</v>
      </c>
      <c r="C2309" s="309" t="s">
        <v>502</v>
      </c>
      <c r="D2309" s="136" t="str">
        <f t="array" ref="D2309">IF(E2309=0,0,(INDEX(AccountCodes[ACCOUNT NAME],MATCH(E2309,AccountCodes[NGAS CODE],0))))</f>
        <v>Salaries and Wages-Casual/Contractual</v>
      </c>
      <c r="E2309" s="309" t="s">
        <v>163</v>
      </c>
      <c r="F2309" s="501">
        <v>170493.29</v>
      </c>
    </row>
    <row r="2310" spans="1:6" x14ac:dyDescent="0.25">
      <c r="A2310" s="308">
        <v>43251</v>
      </c>
      <c r="B2310" s="309" t="s">
        <v>486</v>
      </c>
      <c r="C2310" s="309" t="s">
        <v>502</v>
      </c>
      <c r="D2310" s="136" t="str">
        <f t="array" ref="D2310">IF(E2310=0,0,(INDEX(AccountCodes[ACCOUNT NAME],MATCH(E2310,AccountCodes[NGAS CODE],0))))</f>
        <v>Salaries and Wages-Casual/Contractual</v>
      </c>
      <c r="E2310" s="309" t="s">
        <v>163</v>
      </c>
      <c r="F2310" s="501">
        <v>170493.29</v>
      </c>
    </row>
    <row r="2311" spans="1:6" x14ac:dyDescent="0.25">
      <c r="A2311" s="308">
        <v>43281</v>
      </c>
      <c r="B2311" s="309" t="s">
        <v>486</v>
      </c>
      <c r="C2311" s="309" t="s">
        <v>502</v>
      </c>
      <c r="D2311" s="136" t="str">
        <f t="array" ref="D2311">IF(E2311=0,0,(INDEX(AccountCodes[ACCOUNT NAME],MATCH(E2311,AccountCodes[NGAS CODE],0))))</f>
        <v>Salaries and Wages-Casual/Contractual</v>
      </c>
      <c r="E2311" s="309" t="s">
        <v>163</v>
      </c>
      <c r="F2311" s="501">
        <v>170493.29</v>
      </c>
    </row>
    <row r="2312" spans="1:6" x14ac:dyDescent="0.25">
      <c r="A2312" s="308">
        <v>43312</v>
      </c>
      <c r="B2312" s="309" t="s">
        <v>486</v>
      </c>
      <c r="C2312" s="309" t="s">
        <v>502</v>
      </c>
      <c r="D2312" s="136" t="str">
        <f t="array" ref="D2312">IF(E2312=0,0,(INDEX(AccountCodes[ACCOUNT NAME],MATCH(E2312,AccountCodes[NGAS CODE],0))))</f>
        <v>Salaries and Wages-Casual/Contractual</v>
      </c>
      <c r="E2312" s="309" t="s">
        <v>163</v>
      </c>
      <c r="F2312" s="501">
        <v>170493.29</v>
      </c>
    </row>
    <row r="2313" spans="1:6" x14ac:dyDescent="0.25">
      <c r="A2313" s="308">
        <v>43343</v>
      </c>
      <c r="B2313" s="309" t="s">
        <v>486</v>
      </c>
      <c r="C2313" s="309" t="s">
        <v>502</v>
      </c>
      <c r="D2313" s="136" t="str">
        <f t="array" ref="D2313">IF(E2313=0,0,(INDEX(AccountCodes[ACCOUNT NAME],MATCH(E2313,AccountCodes[NGAS CODE],0))))</f>
        <v>Salaries and Wages-Casual/Contractual</v>
      </c>
      <c r="E2313" s="309" t="s">
        <v>163</v>
      </c>
      <c r="F2313" s="501">
        <v>170493.29</v>
      </c>
    </row>
    <row r="2314" spans="1:6" x14ac:dyDescent="0.25">
      <c r="A2314" s="308">
        <v>43373</v>
      </c>
      <c r="B2314" s="309" t="s">
        <v>486</v>
      </c>
      <c r="C2314" s="309" t="s">
        <v>502</v>
      </c>
      <c r="D2314" s="136" t="str">
        <f t="array" ref="D2314">IF(E2314=0,0,(INDEX(AccountCodes[ACCOUNT NAME],MATCH(E2314,AccountCodes[NGAS CODE],0))))</f>
        <v>Salaries and Wages-Casual/Contractual</v>
      </c>
      <c r="E2314" s="309" t="s">
        <v>163</v>
      </c>
      <c r="F2314" s="501">
        <v>170493.29</v>
      </c>
    </row>
    <row r="2315" spans="1:6" x14ac:dyDescent="0.25">
      <c r="A2315" s="308">
        <v>43404</v>
      </c>
      <c r="B2315" s="309" t="s">
        <v>486</v>
      </c>
      <c r="C2315" s="309" t="s">
        <v>502</v>
      </c>
      <c r="D2315" s="136" t="str">
        <f t="array" ref="D2315">IF(E2315=0,0,(INDEX(AccountCodes[ACCOUNT NAME],MATCH(E2315,AccountCodes[NGAS CODE],0))))</f>
        <v>Salaries and Wages-Casual/Contractual</v>
      </c>
      <c r="E2315" s="309" t="s">
        <v>163</v>
      </c>
      <c r="F2315" s="501">
        <v>170493.29</v>
      </c>
    </row>
    <row r="2316" spans="1:6" x14ac:dyDescent="0.25">
      <c r="A2316" s="308">
        <v>43434</v>
      </c>
      <c r="B2316" s="309" t="s">
        <v>486</v>
      </c>
      <c r="C2316" s="309" t="s">
        <v>502</v>
      </c>
      <c r="D2316" s="136" t="str">
        <f t="array" ref="D2316">IF(E2316=0,0,(INDEX(AccountCodes[ACCOUNT NAME],MATCH(E2316,AccountCodes[NGAS CODE],0))))</f>
        <v>Salaries and Wages-Casual/Contractual</v>
      </c>
      <c r="E2316" s="309" t="s">
        <v>163</v>
      </c>
      <c r="F2316" s="501">
        <v>170493.29</v>
      </c>
    </row>
    <row r="2317" spans="1:6" x14ac:dyDescent="0.25">
      <c r="A2317" s="308">
        <v>43465</v>
      </c>
      <c r="B2317" s="309" t="s">
        <v>486</v>
      </c>
      <c r="C2317" s="309" t="s">
        <v>502</v>
      </c>
      <c r="D2317" s="136" t="str">
        <f t="array" ref="D2317">IF(E2317=0,0,(INDEX(AccountCodes[ACCOUNT NAME],MATCH(E2317,AccountCodes[NGAS CODE],0))))</f>
        <v>Salaries and Wages-Casual/Contractual</v>
      </c>
      <c r="E2317" s="309" t="s">
        <v>163</v>
      </c>
      <c r="F2317" s="501">
        <v>170493.29</v>
      </c>
    </row>
    <row r="2318" spans="1:6" x14ac:dyDescent="0.25">
      <c r="A2318" s="308">
        <v>43131</v>
      </c>
      <c r="B2318" s="309" t="s">
        <v>486</v>
      </c>
      <c r="C2318" s="309" t="s">
        <v>502</v>
      </c>
      <c r="D2318" s="136" t="str">
        <f t="array" ref="D2318">IF(E2318=0,0,(INDEX(AccountCodes[ACCOUNT NAME],MATCH(E2318,AccountCodes[NGAS CODE],0))))</f>
        <v>Personal Economic Relief Allowance (PERA)</v>
      </c>
      <c r="E2318" s="309" t="s">
        <v>164</v>
      </c>
      <c r="F2318" s="501">
        <v>8000</v>
      </c>
    </row>
    <row r="2319" spans="1:6" x14ac:dyDescent="0.25">
      <c r="A2319" s="308">
        <v>43159</v>
      </c>
      <c r="B2319" s="309" t="s">
        <v>486</v>
      </c>
      <c r="C2319" s="309" t="s">
        <v>502</v>
      </c>
      <c r="D2319" s="136" t="str">
        <f t="array" ref="D2319">IF(E2319=0,0,(INDEX(AccountCodes[ACCOUNT NAME],MATCH(E2319,AccountCodes[NGAS CODE],0))))</f>
        <v>Personal Economic Relief Allowance (PERA)</v>
      </c>
      <c r="E2319" s="309" t="s">
        <v>164</v>
      </c>
      <c r="F2319" s="501">
        <v>8000</v>
      </c>
    </row>
    <row r="2320" spans="1:6" x14ac:dyDescent="0.25">
      <c r="A2320" s="308">
        <v>43190</v>
      </c>
      <c r="B2320" s="309" t="s">
        <v>486</v>
      </c>
      <c r="C2320" s="309" t="s">
        <v>502</v>
      </c>
      <c r="D2320" s="136" t="str">
        <f t="array" ref="D2320">IF(E2320=0,0,(INDEX(AccountCodes[ACCOUNT NAME],MATCH(E2320,AccountCodes[NGAS CODE],0))))</f>
        <v>Personal Economic Relief Allowance (PERA)</v>
      </c>
      <c r="E2320" s="309" t="s">
        <v>164</v>
      </c>
      <c r="F2320" s="501">
        <v>8000</v>
      </c>
    </row>
    <row r="2321" spans="1:6" x14ac:dyDescent="0.25">
      <c r="A2321" s="308">
        <v>43220</v>
      </c>
      <c r="B2321" s="309" t="s">
        <v>486</v>
      </c>
      <c r="C2321" s="309" t="s">
        <v>502</v>
      </c>
      <c r="D2321" s="136" t="str">
        <f t="array" ref="D2321">IF(E2321=0,0,(INDEX(AccountCodes[ACCOUNT NAME],MATCH(E2321,AccountCodes[NGAS CODE],0))))</f>
        <v>Personal Economic Relief Allowance (PERA)</v>
      </c>
      <c r="E2321" s="309" t="s">
        <v>164</v>
      </c>
      <c r="F2321" s="501">
        <v>8000</v>
      </c>
    </row>
    <row r="2322" spans="1:6" x14ac:dyDescent="0.25">
      <c r="A2322" s="308">
        <v>43251</v>
      </c>
      <c r="B2322" s="309" t="s">
        <v>486</v>
      </c>
      <c r="C2322" s="309" t="s">
        <v>502</v>
      </c>
      <c r="D2322" s="136" t="str">
        <f t="array" ref="D2322">IF(E2322=0,0,(INDEX(AccountCodes[ACCOUNT NAME],MATCH(E2322,AccountCodes[NGAS CODE],0))))</f>
        <v>Personal Economic Relief Allowance (PERA)</v>
      </c>
      <c r="E2322" s="309" t="s">
        <v>164</v>
      </c>
      <c r="F2322" s="501">
        <v>8000</v>
      </c>
    </row>
    <row r="2323" spans="1:6" x14ac:dyDescent="0.25">
      <c r="A2323" s="308">
        <v>43281</v>
      </c>
      <c r="B2323" s="309" t="s">
        <v>486</v>
      </c>
      <c r="C2323" s="309" t="s">
        <v>502</v>
      </c>
      <c r="D2323" s="136" t="str">
        <f t="array" ref="D2323">IF(E2323=0,0,(INDEX(AccountCodes[ACCOUNT NAME],MATCH(E2323,AccountCodes[NGAS CODE],0))))</f>
        <v>Personal Economic Relief Allowance (PERA)</v>
      </c>
      <c r="E2323" s="309" t="s">
        <v>164</v>
      </c>
      <c r="F2323" s="501">
        <v>8000</v>
      </c>
    </row>
    <row r="2324" spans="1:6" x14ac:dyDescent="0.25">
      <c r="A2324" s="308">
        <v>43312</v>
      </c>
      <c r="B2324" s="309" t="s">
        <v>486</v>
      </c>
      <c r="C2324" s="309" t="s">
        <v>502</v>
      </c>
      <c r="D2324" s="136" t="str">
        <f t="array" ref="D2324">IF(E2324=0,0,(INDEX(AccountCodes[ACCOUNT NAME],MATCH(E2324,AccountCodes[NGAS CODE],0))))</f>
        <v>Personal Economic Relief Allowance (PERA)</v>
      </c>
      <c r="E2324" s="309" t="s">
        <v>164</v>
      </c>
      <c r="F2324" s="501">
        <v>8000</v>
      </c>
    </row>
    <row r="2325" spans="1:6" x14ac:dyDescent="0.25">
      <c r="A2325" s="308">
        <v>43343</v>
      </c>
      <c r="B2325" s="309" t="s">
        <v>486</v>
      </c>
      <c r="C2325" s="309" t="s">
        <v>502</v>
      </c>
      <c r="D2325" s="136" t="str">
        <f t="array" ref="D2325">IF(E2325=0,0,(INDEX(AccountCodes[ACCOUNT NAME],MATCH(E2325,AccountCodes[NGAS CODE],0))))</f>
        <v>Personal Economic Relief Allowance (PERA)</v>
      </c>
      <c r="E2325" s="309" t="s">
        <v>164</v>
      </c>
      <c r="F2325" s="501">
        <v>8000</v>
      </c>
    </row>
    <row r="2326" spans="1:6" x14ac:dyDescent="0.25">
      <c r="A2326" s="308">
        <v>43373</v>
      </c>
      <c r="B2326" s="309" t="s">
        <v>486</v>
      </c>
      <c r="C2326" s="309" t="s">
        <v>502</v>
      </c>
      <c r="D2326" s="136" t="str">
        <f t="array" ref="D2326">IF(E2326=0,0,(INDEX(AccountCodes[ACCOUNT NAME],MATCH(E2326,AccountCodes[NGAS CODE],0))))</f>
        <v>Personal Economic Relief Allowance (PERA)</v>
      </c>
      <c r="E2326" s="309" t="s">
        <v>164</v>
      </c>
      <c r="F2326" s="501">
        <v>8000</v>
      </c>
    </row>
    <row r="2327" spans="1:6" x14ac:dyDescent="0.25">
      <c r="A2327" s="308">
        <v>43404</v>
      </c>
      <c r="B2327" s="309" t="s">
        <v>486</v>
      </c>
      <c r="C2327" s="309" t="s">
        <v>502</v>
      </c>
      <c r="D2327" s="136" t="str">
        <f t="array" ref="D2327">IF(E2327=0,0,(INDEX(AccountCodes[ACCOUNT NAME],MATCH(E2327,AccountCodes[NGAS CODE],0))))</f>
        <v>Personal Economic Relief Allowance (PERA)</v>
      </c>
      <c r="E2327" s="309" t="s">
        <v>164</v>
      </c>
      <c r="F2327" s="501">
        <v>8000</v>
      </c>
    </row>
    <row r="2328" spans="1:6" x14ac:dyDescent="0.25">
      <c r="A2328" s="308">
        <v>43434</v>
      </c>
      <c r="B2328" s="309" t="s">
        <v>486</v>
      </c>
      <c r="C2328" s="309" t="s">
        <v>502</v>
      </c>
      <c r="D2328" s="136" t="str">
        <f t="array" ref="D2328">IF(E2328=0,0,(INDEX(AccountCodes[ACCOUNT NAME],MATCH(E2328,AccountCodes[NGAS CODE],0))))</f>
        <v>Personal Economic Relief Allowance (PERA)</v>
      </c>
      <c r="E2328" s="309" t="s">
        <v>164</v>
      </c>
      <c r="F2328" s="501">
        <v>8000</v>
      </c>
    </row>
    <row r="2329" spans="1:6" x14ac:dyDescent="0.25">
      <c r="A2329" s="308">
        <v>43465</v>
      </c>
      <c r="B2329" s="309" t="s">
        <v>486</v>
      </c>
      <c r="C2329" s="309" t="s">
        <v>502</v>
      </c>
      <c r="D2329" s="136" t="str">
        <f t="array" ref="D2329">IF(E2329=0,0,(INDEX(AccountCodes[ACCOUNT NAME],MATCH(E2329,AccountCodes[NGAS CODE],0))))</f>
        <v>Personal Economic Relief Allowance (PERA)</v>
      </c>
      <c r="E2329" s="309" t="s">
        <v>164</v>
      </c>
      <c r="F2329" s="501">
        <v>8000</v>
      </c>
    </row>
    <row r="2330" spans="1:6" x14ac:dyDescent="0.25">
      <c r="A2330" s="308">
        <v>43465</v>
      </c>
      <c r="B2330" s="309" t="s">
        <v>486</v>
      </c>
      <c r="C2330" s="309" t="s">
        <v>502</v>
      </c>
      <c r="D2330" s="136" t="str">
        <f t="array" ref="D2330">IF(E2330=0,0,(INDEX(AccountCodes[ACCOUNT NAME],MATCH(E2330,AccountCodes[NGAS CODE],0))))</f>
        <v>Other Bonuses and Allowances - Productivity Enhancement Incentive-Civilian</v>
      </c>
      <c r="E2330" s="309" t="s">
        <v>170</v>
      </c>
      <c r="F2330" s="501">
        <v>20000</v>
      </c>
    </row>
    <row r="2331" spans="1:6" x14ac:dyDescent="0.25">
      <c r="A2331" s="308">
        <v>43131</v>
      </c>
      <c r="B2331" s="309" t="s">
        <v>486</v>
      </c>
      <c r="C2331" s="309" t="s">
        <v>502</v>
      </c>
      <c r="D2331" s="136" t="str">
        <f t="array" ref="D2331">IF(E2331=0,0,(INDEX(AccountCodes[ACCOUNT NAME],MATCH(E2331,AccountCodes[NGAS CODE],0))))</f>
        <v>Other Bonuses and Allowances - Medical Allowance</v>
      </c>
      <c r="E2331" s="309" t="s">
        <v>5</v>
      </c>
      <c r="F2331" s="501">
        <v>200</v>
      </c>
    </row>
    <row r="2332" spans="1:6" x14ac:dyDescent="0.25">
      <c r="A2332" s="308">
        <v>43159</v>
      </c>
      <c r="B2332" s="309" t="s">
        <v>486</v>
      </c>
      <c r="C2332" s="309" t="s">
        <v>502</v>
      </c>
      <c r="D2332" s="136" t="str">
        <f t="array" ref="D2332">IF(E2332=0,0,(INDEX(AccountCodes[ACCOUNT NAME],MATCH(E2332,AccountCodes[NGAS CODE],0))))</f>
        <v>Other Bonuses and Allowances - Medical Allowance</v>
      </c>
      <c r="E2332" s="309" t="s">
        <v>5</v>
      </c>
      <c r="F2332" s="501">
        <v>200</v>
      </c>
    </row>
    <row r="2333" spans="1:6" x14ac:dyDescent="0.25">
      <c r="A2333" s="308">
        <v>43190</v>
      </c>
      <c r="B2333" s="309" t="s">
        <v>486</v>
      </c>
      <c r="C2333" s="309" t="s">
        <v>502</v>
      </c>
      <c r="D2333" s="136" t="str">
        <f t="array" ref="D2333">IF(E2333=0,0,(INDEX(AccountCodes[ACCOUNT NAME],MATCH(E2333,AccountCodes[NGAS CODE],0))))</f>
        <v>Other Bonuses and Allowances - Medical Allowance</v>
      </c>
      <c r="E2333" s="309" t="s">
        <v>5</v>
      </c>
      <c r="F2333" s="501">
        <v>200</v>
      </c>
    </row>
    <row r="2334" spans="1:6" x14ac:dyDescent="0.25">
      <c r="A2334" s="308">
        <v>43220</v>
      </c>
      <c r="B2334" s="309" t="s">
        <v>486</v>
      </c>
      <c r="C2334" s="309" t="s">
        <v>502</v>
      </c>
      <c r="D2334" s="136" t="str">
        <f t="array" ref="D2334">IF(E2334=0,0,(INDEX(AccountCodes[ACCOUNT NAME],MATCH(E2334,AccountCodes[NGAS CODE],0))))</f>
        <v>Other Bonuses and Allowances - Medical Allowance</v>
      </c>
      <c r="E2334" s="309" t="s">
        <v>5</v>
      </c>
      <c r="F2334" s="501">
        <v>200</v>
      </c>
    </row>
    <row r="2335" spans="1:6" x14ac:dyDescent="0.25">
      <c r="A2335" s="308">
        <v>43251</v>
      </c>
      <c r="B2335" s="309" t="s">
        <v>486</v>
      </c>
      <c r="C2335" s="309" t="s">
        <v>502</v>
      </c>
      <c r="D2335" s="136" t="str">
        <f t="array" ref="D2335">IF(E2335=0,0,(INDEX(AccountCodes[ACCOUNT NAME],MATCH(E2335,AccountCodes[NGAS CODE],0))))</f>
        <v>Other Bonuses and Allowances - Medical Allowance</v>
      </c>
      <c r="E2335" s="309" t="s">
        <v>5</v>
      </c>
      <c r="F2335" s="501">
        <v>200</v>
      </c>
    </row>
    <row r="2336" spans="1:6" x14ac:dyDescent="0.25">
      <c r="A2336" s="308">
        <v>43281</v>
      </c>
      <c r="B2336" s="309" t="s">
        <v>486</v>
      </c>
      <c r="C2336" s="309" t="s">
        <v>502</v>
      </c>
      <c r="D2336" s="136" t="str">
        <f t="array" ref="D2336">IF(E2336=0,0,(INDEX(AccountCodes[ACCOUNT NAME],MATCH(E2336,AccountCodes[NGAS CODE],0))))</f>
        <v>Other Bonuses and Allowances - Medical Allowance</v>
      </c>
      <c r="E2336" s="309" t="s">
        <v>5</v>
      </c>
      <c r="F2336" s="501">
        <v>200</v>
      </c>
    </row>
    <row r="2337" spans="1:6" x14ac:dyDescent="0.25">
      <c r="A2337" s="308">
        <v>43312</v>
      </c>
      <c r="B2337" s="309" t="s">
        <v>486</v>
      </c>
      <c r="C2337" s="309" t="s">
        <v>502</v>
      </c>
      <c r="D2337" s="136" t="str">
        <f t="array" ref="D2337">IF(E2337=0,0,(INDEX(AccountCodes[ACCOUNT NAME],MATCH(E2337,AccountCodes[NGAS CODE],0))))</f>
        <v>Other Bonuses and Allowances - Medical Allowance</v>
      </c>
      <c r="E2337" s="309" t="s">
        <v>5</v>
      </c>
      <c r="F2337" s="501">
        <v>200</v>
      </c>
    </row>
    <row r="2338" spans="1:6" x14ac:dyDescent="0.25">
      <c r="A2338" s="308">
        <v>43343</v>
      </c>
      <c r="B2338" s="309" t="s">
        <v>486</v>
      </c>
      <c r="C2338" s="309" t="s">
        <v>502</v>
      </c>
      <c r="D2338" s="136" t="str">
        <f t="array" ref="D2338">IF(E2338=0,0,(INDEX(AccountCodes[ACCOUNT NAME],MATCH(E2338,AccountCodes[NGAS CODE],0))))</f>
        <v>Other Bonuses and Allowances - Medical Allowance</v>
      </c>
      <c r="E2338" s="309" t="s">
        <v>5</v>
      </c>
      <c r="F2338" s="501">
        <v>200</v>
      </c>
    </row>
    <row r="2339" spans="1:6" x14ac:dyDescent="0.25">
      <c r="A2339" s="308">
        <v>43373</v>
      </c>
      <c r="B2339" s="309" t="s">
        <v>486</v>
      </c>
      <c r="C2339" s="309" t="s">
        <v>502</v>
      </c>
      <c r="D2339" s="136" t="str">
        <f t="array" ref="D2339">IF(E2339=0,0,(INDEX(AccountCodes[ACCOUNT NAME],MATCH(E2339,AccountCodes[NGAS CODE],0))))</f>
        <v>Other Bonuses and Allowances - Medical Allowance</v>
      </c>
      <c r="E2339" s="309" t="s">
        <v>5</v>
      </c>
      <c r="F2339" s="501">
        <v>200</v>
      </c>
    </row>
    <row r="2340" spans="1:6" x14ac:dyDescent="0.25">
      <c r="A2340" s="308">
        <v>43404</v>
      </c>
      <c r="B2340" s="309" t="s">
        <v>486</v>
      </c>
      <c r="C2340" s="309" t="s">
        <v>502</v>
      </c>
      <c r="D2340" s="136" t="str">
        <f t="array" ref="D2340">IF(E2340=0,0,(INDEX(AccountCodes[ACCOUNT NAME],MATCH(E2340,AccountCodes[NGAS CODE],0))))</f>
        <v>Other Bonuses and Allowances - Medical Allowance</v>
      </c>
      <c r="E2340" s="309" t="s">
        <v>5</v>
      </c>
      <c r="F2340" s="501">
        <v>200</v>
      </c>
    </row>
    <row r="2341" spans="1:6" x14ac:dyDescent="0.25">
      <c r="A2341" s="308">
        <v>43434</v>
      </c>
      <c r="B2341" s="309" t="s">
        <v>486</v>
      </c>
      <c r="C2341" s="309" t="s">
        <v>502</v>
      </c>
      <c r="D2341" s="136" t="str">
        <f t="array" ref="D2341">IF(E2341=0,0,(INDEX(AccountCodes[ACCOUNT NAME],MATCH(E2341,AccountCodes[NGAS CODE],0))))</f>
        <v>Other Bonuses and Allowances - Medical Allowance</v>
      </c>
      <c r="E2341" s="309" t="s">
        <v>5</v>
      </c>
      <c r="F2341" s="501">
        <v>200</v>
      </c>
    </row>
    <row r="2342" spans="1:6" x14ac:dyDescent="0.25">
      <c r="A2342" s="308">
        <v>43465</v>
      </c>
      <c r="B2342" s="309" t="s">
        <v>486</v>
      </c>
      <c r="C2342" s="309" t="s">
        <v>502</v>
      </c>
      <c r="D2342" s="136" t="str">
        <f t="array" ref="D2342">IF(E2342=0,0,(INDEX(AccountCodes[ACCOUNT NAME],MATCH(E2342,AccountCodes[NGAS CODE],0))))</f>
        <v>Other Bonuses and Allowances - Medical Allowance</v>
      </c>
      <c r="E2342" s="309" t="s">
        <v>5</v>
      </c>
      <c r="F2342" s="501">
        <v>200</v>
      </c>
    </row>
    <row r="2343" spans="1:6" x14ac:dyDescent="0.25">
      <c r="A2343" s="308">
        <v>43131</v>
      </c>
      <c r="B2343" s="309" t="s">
        <v>486</v>
      </c>
      <c r="C2343" s="309" t="s">
        <v>502</v>
      </c>
      <c r="D2343" s="136" t="str">
        <f t="array" ref="D2343">IF(E2343=0,0,(INDEX(AccountCodes[ACCOUNT NAME],MATCH(E2343,AccountCodes[NGAS CODE],0))))</f>
        <v>Other Bonuses and Allowances - Meal Allowance</v>
      </c>
      <c r="E2343" s="309" t="s">
        <v>6</v>
      </c>
      <c r="F2343" s="501">
        <v>66</v>
      </c>
    </row>
    <row r="2344" spans="1:6" x14ac:dyDescent="0.25">
      <c r="A2344" s="308">
        <v>43159</v>
      </c>
      <c r="B2344" s="309" t="s">
        <v>486</v>
      </c>
      <c r="C2344" s="309" t="s">
        <v>502</v>
      </c>
      <c r="D2344" s="136" t="str">
        <f t="array" ref="D2344">IF(E2344=0,0,(INDEX(AccountCodes[ACCOUNT NAME],MATCH(E2344,AccountCodes[NGAS CODE],0))))</f>
        <v>Other Bonuses and Allowances - Meal Allowance</v>
      </c>
      <c r="E2344" s="309" t="s">
        <v>6</v>
      </c>
      <c r="F2344" s="501">
        <v>66</v>
      </c>
    </row>
    <row r="2345" spans="1:6" x14ac:dyDescent="0.25">
      <c r="A2345" s="308">
        <v>43190</v>
      </c>
      <c r="B2345" s="309" t="s">
        <v>486</v>
      </c>
      <c r="C2345" s="309" t="s">
        <v>502</v>
      </c>
      <c r="D2345" s="136" t="str">
        <f t="array" ref="D2345">IF(E2345=0,0,(INDEX(AccountCodes[ACCOUNT NAME],MATCH(E2345,AccountCodes[NGAS CODE],0))))</f>
        <v>Other Bonuses and Allowances - Meal Allowance</v>
      </c>
      <c r="E2345" s="309" t="s">
        <v>6</v>
      </c>
      <c r="F2345" s="501">
        <v>66</v>
      </c>
    </row>
    <row r="2346" spans="1:6" x14ac:dyDescent="0.25">
      <c r="A2346" s="308">
        <v>43220</v>
      </c>
      <c r="B2346" s="309" t="s">
        <v>486</v>
      </c>
      <c r="C2346" s="309" t="s">
        <v>502</v>
      </c>
      <c r="D2346" s="136" t="str">
        <f t="array" ref="D2346">IF(E2346=0,0,(INDEX(AccountCodes[ACCOUNT NAME],MATCH(E2346,AccountCodes[NGAS CODE],0))))</f>
        <v>Other Bonuses and Allowances - Meal Allowance</v>
      </c>
      <c r="E2346" s="309" t="s">
        <v>6</v>
      </c>
      <c r="F2346" s="501">
        <v>66</v>
      </c>
    </row>
    <row r="2347" spans="1:6" x14ac:dyDescent="0.25">
      <c r="A2347" s="308">
        <v>43251</v>
      </c>
      <c r="B2347" s="309" t="s">
        <v>486</v>
      </c>
      <c r="C2347" s="309" t="s">
        <v>502</v>
      </c>
      <c r="D2347" s="136" t="str">
        <f t="array" ref="D2347">IF(E2347=0,0,(INDEX(AccountCodes[ACCOUNT NAME],MATCH(E2347,AccountCodes[NGAS CODE],0))))</f>
        <v>Other Bonuses and Allowances - Meal Allowance</v>
      </c>
      <c r="E2347" s="309" t="s">
        <v>6</v>
      </c>
      <c r="F2347" s="501">
        <v>66</v>
      </c>
    </row>
    <row r="2348" spans="1:6" x14ac:dyDescent="0.25">
      <c r="A2348" s="308">
        <v>43281</v>
      </c>
      <c r="B2348" s="309" t="s">
        <v>486</v>
      </c>
      <c r="C2348" s="309" t="s">
        <v>502</v>
      </c>
      <c r="D2348" s="136" t="str">
        <f t="array" ref="D2348">IF(E2348=0,0,(INDEX(AccountCodes[ACCOUNT NAME],MATCH(E2348,AccountCodes[NGAS CODE],0))))</f>
        <v>Other Bonuses and Allowances - Meal Allowance</v>
      </c>
      <c r="E2348" s="309" t="s">
        <v>6</v>
      </c>
      <c r="F2348" s="501">
        <v>66</v>
      </c>
    </row>
    <row r="2349" spans="1:6" x14ac:dyDescent="0.25">
      <c r="A2349" s="308">
        <v>43312</v>
      </c>
      <c r="B2349" s="309" t="s">
        <v>486</v>
      </c>
      <c r="C2349" s="309" t="s">
        <v>502</v>
      </c>
      <c r="D2349" s="136" t="str">
        <f t="array" ref="D2349">IF(E2349=0,0,(INDEX(AccountCodes[ACCOUNT NAME],MATCH(E2349,AccountCodes[NGAS CODE],0))))</f>
        <v>Other Bonuses and Allowances - Meal Allowance</v>
      </c>
      <c r="E2349" s="309" t="s">
        <v>6</v>
      </c>
      <c r="F2349" s="501">
        <v>66</v>
      </c>
    </row>
    <row r="2350" spans="1:6" x14ac:dyDescent="0.25">
      <c r="A2350" s="308">
        <v>43343</v>
      </c>
      <c r="B2350" s="309" t="s">
        <v>486</v>
      </c>
      <c r="C2350" s="309" t="s">
        <v>502</v>
      </c>
      <c r="D2350" s="136" t="str">
        <f t="array" ref="D2350">IF(E2350=0,0,(INDEX(AccountCodes[ACCOUNT NAME],MATCH(E2350,AccountCodes[NGAS CODE],0))))</f>
        <v>Other Bonuses and Allowances - Meal Allowance</v>
      </c>
      <c r="E2350" s="309" t="s">
        <v>6</v>
      </c>
      <c r="F2350" s="501">
        <v>66</v>
      </c>
    </row>
    <row r="2351" spans="1:6" x14ac:dyDescent="0.25">
      <c r="A2351" s="308">
        <v>43373</v>
      </c>
      <c r="B2351" s="309" t="s">
        <v>486</v>
      </c>
      <c r="C2351" s="309" t="s">
        <v>502</v>
      </c>
      <c r="D2351" s="136" t="str">
        <f t="array" ref="D2351">IF(E2351=0,0,(INDEX(AccountCodes[ACCOUNT NAME],MATCH(E2351,AccountCodes[NGAS CODE],0))))</f>
        <v>Other Bonuses and Allowances - Meal Allowance</v>
      </c>
      <c r="E2351" s="309" t="s">
        <v>6</v>
      </c>
      <c r="F2351" s="501">
        <v>66</v>
      </c>
    </row>
    <row r="2352" spans="1:6" x14ac:dyDescent="0.25">
      <c r="A2352" s="308">
        <v>43404</v>
      </c>
      <c r="B2352" s="309" t="s">
        <v>486</v>
      </c>
      <c r="C2352" s="309" t="s">
        <v>502</v>
      </c>
      <c r="D2352" s="136" t="str">
        <f t="array" ref="D2352">IF(E2352=0,0,(INDEX(AccountCodes[ACCOUNT NAME],MATCH(E2352,AccountCodes[NGAS CODE],0))))</f>
        <v>Other Bonuses and Allowances - Meal Allowance</v>
      </c>
      <c r="E2352" s="309" t="s">
        <v>6</v>
      </c>
      <c r="F2352" s="501">
        <v>66</v>
      </c>
    </row>
    <row r="2353" spans="1:6" x14ac:dyDescent="0.25">
      <c r="A2353" s="308">
        <v>43434</v>
      </c>
      <c r="B2353" s="309" t="s">
        <v>486</v>
      </c>
      <c r="C2353" s="309" t="s">
        <v>502</v>
      </c>
      <c r="D2353" s="136" t="str">
        <f t="array" ref="D2353">IF(E2353=0,0,(INDEX(AccountCodes[ACCOUNT NAME],MATCH(E2353,AccountCodes[NGAS CODE],0))))</f>
        <v>Other Bonuses and Allowances - Meal Allowance</v>
      </c>
      <c r="E2353" s="309" t="s">
        <v>6</v>
      </c>
      <c r="F2353" s="501">
        <v>66</v>
      </c>
    </row>
    <row r="2354" spans="1:6" x14ac:dyDescent="0.25">
      <c r="A2354" s="308">
        <v>43465</v>
      </c>
      <c r="B2354" s="309" t="s">
        <v>486</v>
      </c>
      <c r="C2354" s="309" t="s">
        <v>502</v>
      </c>
      <c r="D2354" s="136" t="str">
        <f t="array" ref="D2354">IF(E2354=0,0,(INDEX(AccountCodes[ACCOUNT NAME],MATCH(E2354,AccountCodes[NGAS CODE],0))))</f>
        <v>Other Bonuses and Allowances - Meal Allowance</v>
      </c>
      <c r="E2354" s="309" t="s">
        <v>6</v>
      </c>
      <c r="F2354" s="501">
        <v>66</v>
      </c>
    </row>
    <row r="2355" spans="1:6" x14ac:dyDescent="0.25">
      <c r="A2355" s="308">
        <v>43434</v>
      </c>
      <c r="B2355" s="309" t="s">
        <v>486</v>
      </c>
      <c r="C2355" s="309" t="s">
        <v>502</v>
      </c>
      <c r="D2355" s="136" t="str">
        <f t="array" ref="D2355">IF(E2355=0,0,(INDEX(AccountCodes[ACCOUNT NAME],MATCH(E2355,AccountCodes[NGAS CODE],0))))</f>
        <v>Cash Gift</v>
      </c>
      <c r="E2355" s="309" t="s">
        <v>172</v>
      </c>
      <c r="F2355" s="501">
        <v>20000</v>
      </c>
    </row>
    <row r="2356" spans="1:6" x14ac:dyDescent="0.25">
      <c r="A2356" s="308">
        <v>43434</v>
      </c>
      <c r="B2356" s="309" t="s">
        <v>486</v>
      </c>
      <c r="C2356" s="309" t="s">
        <v>502</v>
      </c>
      <c r="D2356" s="136" t="str">
        <f t="array" ref="D2356">IF(E2356=0,0,(INDEX(AccountCodes[ACCOUNT NAME],MATCH(E2356,AccountCodes[NGAS CODE],0))))</f>
        <v>Mid-Year/Year End Bonus</v>
      </c>
      <c r="E2356" s="309" t="s">
        <v>174</v>
      </c>
      <c r="F2356" s="501">
        <v>74217</v>
      </c>
    </row>
    <row r="2357" spans="1:6" x14ac:dyDescent="0.25">
      <c r="A2357" s="308">
        <v>43434</v>
      </c>
      <c r="B2357" s="309" t="s">
        <v>486</v>
      </c>
      <c r="C2357" s="309" t="s">
        <v>502</v>
      </c>
      <c r="D2357" s="136" t="str">
        <f t="array" ref="D2357">IF(E2357=0,0,(INDEX(AccountCodes[ACCOUNT NAME],MATCH(E2357,AccountCodes[NGAS CODE],0))))</f>
        <v>Mid-Year/Year End Bonus</v>
      </c>
      <c r="E2357" s="309" t="s">
        <v>174</v>
      </c>
      <c r="F2357" s="501">
        <v>74217</v>
      </c>
    </row>
    <row r="2358" spans="1:6" x14ac:dyDescent="0.25">
      <c r="A2358" s="308">
        <v>43131</v>
      </c>
      <c r="B2358" s="309" t="s">
        <v>486</v>
      </c>
      <c r="C2358" s="309" t="s">
        <v>502</v>
      </c>
      <c r="D2358" s="136" t="str">
        <f t="array" ref="D2358">IF(E2358=0,0,(INDEX(AccountCodes[ACCOUNT NAME],MATCH(E2358,AccountCodes[NGAS CODE],0))))</f>
        <v>Retirement and Life Insurance Premiums</v>
      </c>
      <c r="E2358" s="309" t="s">
        <v>175</v>
      </c>
      <c r="F2358" s="501">
        <v>8906.0400000000009</v>
      </c>
    </row>
    <row r="2359" spans="1:6" x14ac:dyDescent="0.25">
      <c r="A2359" s="308">
        <v>43159</v>
      </c>
      <c r="B2359" s="309" t="s">
        <v>486</v>
      </c>
      <c r="C2359" s="309" t="s">
        <v>502</v>
      </c>
      <c r="D2359" s="136" t="str">
        <f t="array" ref="D2359">IF(E2359=0,0,(INDEX(AccountCodes[ACCOUNT NAME],MATCH(E2359,AccountCodes[NGAS CODE],0))))</f>
        <v>Retirement and Life Insurance Premiums</v>
      </c>
      <c r="E2359" s="309" t="s">
        <v>175</v>
      </c>
      <c r="F2359" s="501">
        <v>8906.0400000000009</v>
      </c>
    </row>
    <row r="2360" spans="1:6" x14ac:dyDescent="0.25">
      <c r="A2360" s="308">
        <v>43190</v>
      </c>
      <c r="B2360" s="309" t="s">
        <v>486</v>
      </c>
      <c r="C2360" s="309" t="s">
        <v>502</v>
      </c>
      <c r="D2360" s="136" t="str">
        <f t="array" ref="D2360">IF(E2360=0,0,(INDEX(AccountCodes[ACCOUNT NAME],MATCH(E2360,AccountCodes[NGAS CODE],0))))</f>
        <v>Retirement and Life Insurance Premiums</v>
      </c>
      <c r="E2360" s="309" t="s">
        <v>175</v>
      </c>
      <c r="F2360" s="501">
        <v>8906.0400000000009</v>
      </c>
    </row>
    <row r="2361" spans="1:6" x14ac:dyDescent="0.25">
      <c r="A2361" s="308">
        <v>43220</v>
      </c>
      <c r="B2361" s="309" t="s">
        <v>486</v>
      </c>
      <c r="C2361" s="309" t="s">
        <v>502</v>
      </c>
      <c r="D2361" s="136" t="str">
        <f t="array" ref="D2361">IF(E2361=0,0,(INDEX(AccountCodes[ACCOUNT NAME],MATCH(E2361,AccountCodes[NGAS CODE],0))))</f>
        <v>Retirement and Life Insurance Premiums</v>
      </c>
      <c r="E2361" s="309" t="s">
        <v>175</v>
      </c>
      <c r="F2361" s="501">
        <v>8906.0400000000009</v>
      </c>
    </row>
    <row r="2362" spans="1:6" x14ac:dyDescent="0.25">
      <c r="A2362" s="308">
        <v>43251</v>
      </c>
      <c r="B2362" s="309" t="s">
        <v>486</v>
      </c>
      <c r="C2362" s="309" t="s">
        <v>502</v>
      </c>
      <c r="D2362" s="136" t="str">
        <f t="array" ref="D2362">IF(E2362=0,0,(INDEX(AccountCodes[ACCOUNT NAME],MATCH(E2362,AccountCodes[NGAS CODE],0))))</f>
        <v>Retirement and Life Insurance Premiums</v>
      </c>
      <c r="E2362" s="309" t="s">
        <v>175</v>
      </c>
      <c r="F2362" s="501">
        <v>8906.0400000000009</v>
      </c>
    </row>
    <row r="2363" spans="1:6" x14ac:dyDescent="0.25">
      <c r="A2363" s="308">
        <v>43281</v>
      </c>
      <c r="B2363" s="309" t="s">
        <v>486</v>
      </c>
      <c r="C2363" s="309" t="s">
        <v>502</v>
      </c>
      <c r="D2363" s="136" t="str">
        <f t="array" ref="D2363">IF(E2363=0,0,(INDEX(AccountCodes[ACCOUNT NAME],MATCH(E2363,AccountCodes[NGAS CODE],0))))</f>
        <v>Retirement and Life Insurance Premiums</v>
      </c>
      <c r="E2363" s="309" t="s">
        <v>175</v>
      </c>
      <c r="F2363" s="501">
        <v>8906.0400000000009</v>
      </c>
    </row>
    <row r="2364" spans="1:6" x14ac:dyDescent="0.25">
      <c r="A2364" s="308">
        <v>43312</v>
      </c>
      <c r="B2364" s="309" t="s">
        <v>486</v>
      </c>
      <c r="C2364" s="309" t="s">
        <v>502</v>
      </c>
      <c r="D2364" s="136" t="str">
        <f t="array" ref="D2364">IF(E2364=0,0,(INDEX(AccountCodes[ACCOUNT NAME],MATCH(E2364,AccountCodes[NGAS CODE],0))))</f>
        <v>Retirement and Life Insurance Premiums</v>
      </c>
      <c r="E2364" s="309" t="s">
        <v>175</v>
      </c>
      <c r="F2364" s="501">
        <v>8906.0400000000009</v>
      </c>
    </row>
    <row r="2365" spans="1:6" x14ac:dyDescent="0.25">
      <c r="A2365" s="308">
        <v>43343</v>
      </c>
      <c r="B2365" s="309" t="s">
        <v>486</v>
      </c>
      <c r="C2365" s="309" t="s">
        <v>502</v>
      </c>
      <c r="D2365" s="136" t="str">
        <f t="array" ref="D2365">IF(E2365=0,0,(INDEX(AccountCodes[ACCOUNT NAME],MATCH(E2365,AccountCodes[NGAS CODE],0))))</f>
        <v>Retirement and Life Insurance Premiums</v>
      </c>
      <c r="E2365" s="309" t="s">
        <v>175</v>
      </c>
      <c r="F2365" s="501">
        <v>8906.0400000000009</v>
      </c>
    </row>
    <row r="2366" spans="1:6" x14ac:dyDescent="0.25">
      <c r="A2366" s="308">
        <v>43373</v>
      </c>
      <c r="B2366" s="309" t="s">
        <v>486</v>
      </c>
      <c r="C2366" s="309" t="s">
        <v>502</v>
      </c>
      <c r="D2366" s="136" t="str">
        <f t="array" ref="D2366">IF(E2366=0,0,(INDEX(AccountCodes[ACCOUNT NAME],MATCH(E2366,AccountCodes[NGAS CODE],0))))</f>
        <v>Retirement and Life Insurance Premiums</v>
      </c>
      <c r="E2366" s="309" t="s">
        <v>175</v>
      </c>
      <c r="F2366" s="501">
        <v>8906.0400000000009</v>
      </c>
    </row>
    <row r="2367" spans="1:6" x14ac:dyDescent="0.25">
      <c r="A2367" s="308">
        <v>43404</v>
      </c>
      <c r="B2367" s="309" t="s">
        <v>486</v>
      </c>
      <c r="C2367" s="309" t="s">
        <v>502</v>
      </c>
      <c r="D2367" s="136" t="str">
        <f t="array" ref="D2367">IF(E2367=0,0,(INDEX(AccountCodes[ACCOUNT NAME],MATCH(E2367,AccountCodes[NGAS CODE],0))))</f>
        <v>Retirement and Life Insurance Premiums</v>
      </c>
      <c r="E2367" s="309" t="s">
        <v>175</v>
      </c>
      <c r="F2367" s="501">
        <v>8906.0400000000009</v>
      </c>
    </row>
    <row r="2368" spans="1:6" x14ac:dyDescent="0.25">
      <c r="A2368" s="308">
        <v>43434</v>
      </c>
      <c r="B2368" s="309" t="s">
        <v>486</v>
      </c>
      <c r="C2368" s="309" t="s">
        <v>502</v>
      </c>
      <c r="D2368" s="136" t="str">
        <f t="array" ref="D2368">IF(E2368=0,0,(INDEX(AccountCodes[ACCOUNT NAME],MATCH(E2368,AccountCodes[NGAS CODE],0))))</f>
        <v>Retirement and Life Insurance Premiums</v>
      </c>
      <c r="E2368" s="309" t="s">
        <v>175</v>
      </c>
      <c r="F2368" s="501">
        <v>8906.0400000000009</v>
      </c>
    </row>
    <row r="2369" spans="1:6" x14ac:dyDescent="0.25">
      <c r="A2369" s="308">
        <v>43465</v>
      </c>
      <c r="B2369" s="309" t="s">
        <v>486</v>
      </c>
      <c r="C2369" s="309" t="s">
        <v>502</v>
      </c>
      <c r="D2369" s="136" t="str">
        <f t="array" ref="D2369">IF(E2369=0,0,(INDEX(AccountCodes[ACCOUNT NAME],MATCH(E2369,AccountCodes[NGAS CODE],0))))</f>
        <v>Retirement and Life Insurance Premiums</v>
      </c>
      <c r="E2369" s="309" t="s">
        <v>175</v>
      </c>
      <c r="F2369" s="501">
        <v>8906.0400000000009</v>
      </c>
    </row>
    <row r="2370" spans="1:6" x14ac:dyDescent="0.25">
      <c r="A2370" s="308">
        <v>43131</v>
      </c>
      <c r="B2370" s="309" t="s">
        <v>486</v>
      </c>
      <c r="C2370" s="309" t="s">
        <v>502</v>
      </c>
      <c r="D2370" s="136" t="str">
        <f t="array" ref="D2370">IF(E2370=0,0,(INDEX(AccountCodes[ACCOUNT NAME],MATCH(E2370,AccountCodes[NGAS CODE],0))))</f>
        <v>Pag-IBIG Contributions</v>
      </c>
      <c r="E2370" s="309" t="s">
        <v>176</v>
      </c>
      <c r="F2370" s="501">
        <v>400</v>
      </c>
    </row>
    <row r="2371" spans="1:6" x14ac:dyDescent="0.25">
      <c r="A2371" s="308">
        <v>43159</v>
      </c>
      <c r="B2371" s="309" t="s">
        <v>486</v>
      </c>
      <c r="C2371" s="309" t="s">
        <v>502</v>
      </c>
      <c r="D2371" s="136" t="str">
        <f t="array" ref="D2371">IF(E2371=0,0,(INDEX(AccountCodes[ACCOUNT NAME],MATCH(E2371,AccountCodes[NGAS CODE],0))))</f>
        <v>Pag-IBIG Contributions</v>
      </c>
      <c r="E2371" s="309" t="s">
        <v>176</v>
      </c>
      <c r="F2371" s="501">
        <v>400</v>
      </c>
    </row>
    <row r="2372" spans="1:6" x14ac:dyDescent="0.25">
      <c r="A2372" s="308">
        <v>43190</v>
      </c>
      <c r="B2372" s="309" t="s">
        <v>486</v>
      </c>
      <c r="C2372" s="309" t="s">
        <v>502</v>
      </c>
      <c r="D2372" s="136" t="str">
        <f t="array" ref="D2372">IF(E2372=0,0,(INDEX(AccountCodes[ACCOUNT NAME],MATCH(E2372,AccountCodes[NGAS CODE],0))))</f>
        <v>Pag-IBIG Contributions</v>
      </c>
      <c r="E2372" s="309" t="s">
        <v>176</v>
      </c>
      <c r="F2372" s="501">
        <v>400</v>
      </c>
    </row>
    <row r="2373" spans="1:6" x14ac:dyDescent="0.25">
      <c r="A2373" s="308">
        <v>43220</v>
      </c>
      <c r="B2373" s="309" t="s">
        <v>486</v>
      </c>
      <c r="C2373" s="309" t="s">
        <v>502</v>
      </c>
      <c r="D2373" s="136" t="str">
        <f t="array" ref="D2373">IF(E2373=0,0,(INDEX(AccountCodes[ACCOUNT NAME],MATCH(E2373,AccountCodes[NGAS CODE],0))))</f>
        <v>Pag-IBIG Contributions</v>
      </c>
      <c r="E2373" s="309" t="s">
        <v>176</v>
      </c>
      <c r="F2373" s="501">
        <v>400</v>
      </c>
    </row>
    <row r="2374" spans="1:6" x14ac:dyDescent="0.25">
      <c r="A2374" s="308">
        <v>43251</v>
      </c>
      <c r="B2374" s="309" t="s">
        <v>486</v>
      </c>
      <c r="C2374" s="309" t="s">
        <v>502</v>
      </c>
      <c r="D2374" s="136" t="str">
        <f t="array" ref="D2374">IF(E2374=0,0,(INDEX(AccountCodes[ACCOUNT NAME],MATCH(E2374,AccountCodes[NGAS CODE],0))))</f>
        <v>Pag-IBIG Contributions</v>
      </c>
      <c r="E2374" s="309" t="s">
        <v>176</v>
      </c>
      <c r="F2374" s="501">
        <v>400</v>
      </c>
    </row>
    <row r="2375" spans="1:6" x14ac:dyDescent="0.25">
      <c r="A2375" s="308">
        <v>43281</v>
      </c>
      <c r="B2375" s="309" t="s">
        <v>486</v>
      </c>
      <c r="C2375" s="309" t="s">
        <v>502</v>
      </c>
      <c r="D2375" s="136" t="str">
        <f t="array" ref="D2375">IF(E2375=0,0,(INDEX(AccountCodes[ACCOUNT NAME],MATCH(E2375,AccountCodes[NGAS CODE],0))))</f>
        <v>Pag-IBIG Contributions</v>
      </c>
      <c r="E2375" s="309" t="s">
        <v>176</v>
      </c>
      <c r="F2375" s="501">
        <v>400</v>
      </c>
    </row>
    <row r="2376" spans="1:6" x14ac:dyDescent="0.25">
      <c r="A2376" s="308">
        <v>43312</v>
      </c>
      <c r="B2376" s="309" t="s">
        <v>486</v>
      </c>
      <c r="C2376" s="309" t="s">
        <v>502</v>
      </c>
      <c r="D2376" s="136" t="str">
        <f t="array" ref="D2376">IF(E2376=0,0,(INDEX(AccountCodes[ACCOUNT NAME],MATCH(E2376,AccountCodes[NGAS CODE],0))))</f>
        <v>Pag-IBIG Contributions</v>
      </c>
      <c r="E2376" s="309" t="s">
        <v>176</v>
      </c>
      <c r="F2376" s="501">
        <v>400</v>
      </c>
    </row>
    <row r="2377" spans="1:6" x14ac:dyDescent="0.25">
      <c r="A2377" s="308">
        <v>43343</v>
      </c>
      <c r="B2377" s="309" t="s">
        <v>486</v>
      </c>
      <c r="C2377" s="309" t="s">
        <v>502</v>
      </c>
      <c r="D2377" s="136" t="str">
        <f t="array" ref="D2377">IF(E2377=0,0,(INDEX(AccountCodes[ACCOUNT NAME],MATCH(E2377,AccountCodes[NGAS CODE],0))))</f>
        <v>Pag-IBIG Contributions</v>
      </c>
      <c r="E2377" s="309" t="s">
        <v>176</v>
      </c>
      <c r="F2377" s="501">
        <v>400</v>
      </c>
    </row>
    <row r="2378" spans="1:6" x14ac:dyDescent="0.25">
      <c r="A2378" s="308">
        <v>43373</v>
      </c>
      <c r="B2378" s="309" t="s">
        <v>486</v>
      </c>
      <c r="C2378" s="309" t="s">
        <v>502</v>
      </c>
      <c r="D2378" s="136" t="str">
        <f t="array" ref="D2378">IF(E2378=0,0,(INDEX(AccountCodes[ACCOUNT NAME],MATCH(E2378,AccountCodes[NGAS CODE],0))))</f>
        <v>Pag-IBIG Contributions</v>
      </c>
      <c r="E2378" s="309" t="s">
        <v>176</v>
      </c>
      <c r="F2378" s="501">
        <v>400</v>
      </c>
    </row>
    <row r="2379" spans="1:6" x14ac:dyDescent="0.25">
      <c r="A2379" s="308">
        <v>43404</v>
      </c>
      <c r="B2379" s="309" t="s">
        <v>486</v>
      </c>
      <c r="C2379" s="309" t="s">
        <v>502</v>
      </c>
      <c r="D2379" s="136" t="str">
        <f t="array" ref="D2379">IF(E2379=0,0,(INDEX(AccountCodes[ACCOUNT NAME],MATCH(E2379,AccountCodes[NGAS CODE],0))))</f>
        <v>Pag-IBIG Contributions</v>
      </c>
      <c r="E2379" s="309" t="s">
        <v>176</v>
      </c>
      <c r="F2379" s="501">
        <v>400</v>
      </c>
    </row>
    <row r="2380" spans="1:6" x14ac:dyDescent="0.25">
      <c r="A2380" s="308">
        <v>43434</v>
      </c>
      <c r="B2380" s="309" t="s">
        <v>486</v>
      </c>
      <c r="C2380" s="309" t="s">
        <v>502</v>
      </c>
      <c r="D2380" s="136" t="str">
        <f t="array" ref="D2380">IF(E2380=0,0,(INDEX(AccountCodes[ACCOUNT NAME],MATCH(E2380,AccountCodes[NGAS CODE],0))))</f>
        <v>Pag-IBIG Contributions</v>
      </c>
      <c r="E2380" s="309" t="s">
        <v>176</v>
      </c>
      <c r="F2380" s="501">
        <v>400</v>
      </c>
    </row>
    <row r="2381" spans="1:6" x14ac:dyDescent="0.25">
      <c r="A2381" s="308">
        <v>43465</v>
      </c>
      <c r="B2381" s="309" t="s">
        <v>486</v>
      </c>
      <c r="C2381" s="309" t="s">
        <v>502</v>
      </c>
      <c r="D2381" s="136" t="str">
        <f t="array" ref="D2381">IF(E2381=0,0,(INDEX(AccountCodes[ACCOUNT NAME],MATCH(E2381,AccountCodes[NGAS CODE],0))))</f>
        <v>Pag-IBIG Contributions</v>
      </c>
      <c r="E2381" s="309" t="s">
        <v>176</v>
      </c>
      <c r="F2381" s="501">
        <v>400</v>
      </c>
    </row>
    <row r="2382" spans="1:6" x14ac:dyDescent="0.25">
      <c r="A2382" s="308">
        <v>43131</v>
      </c>
      <c r="B2382" s="309" t="s">
        <v>486</v>
      </c>
      <c r="C2382" s="309" t="s">
        <v>502</v>
      </c>
      <c r="D2382" s="136" t="str">
        <f t="array" ref="D2382">IF(E2382=0,0,(INDEX(AccountCodes[ACCOUNT NAME],MATCH(E2382,AccountCodes[NGAS CODE],0))))</f>
        <v>PhilHealth Contributions</v>
      </c>
      <c r="E2382" s="309" t="s">
        <v>177</v>
      </c>
      <c r="F2382" s="501">
        <v>912.5</v>
      </c>
    </row>
    <row r="2383" spans="1:6" x14ac:dyDescent="0.25">
      <c r="A2383" s="308">
        <v>43159</v>
      </c>
      <c r="B2383" s="309" t="s">
        <v>486</v>
      </c>
      <c r="C2383" s="309" t="s">
        <v>502</v>
      </c>
      <c r="D2383" s="136" t="str">
        <f t="array" ref="D2383">IF(E2383=0,0,(INDEX(AccountCodes[ACCOUNT NAME],MATCH(E2383,AccountCodes[NGAS CODE],0))))</f>
        <v>PhilHealth Contributions</v>
      </c>
      <c r="E2383" s="309" t="s">
        <v>177</v>
      </c>
      <c r="F2383" s="501">
        <v>912.5</v>
      </c>
    </row>
    <row r="2384" spans="1:6" x14ac:dyDescent="0.25">
      <c r="A2384" s="308">
        <v>43190</v>
      </c>
      <c r="B2384" s="309" t="s">
        <v>486</v>
      </c>
      <c r="C2384" s="309" t="s">
        <v>502</v>
      </c>
      <c r="D2384" s="136" t="str">
        <f t="array" ref="D2384">IF(E2384=0,0,(INDEX(AccountCodes[ACCOUNT NAME],MATCH(E2384,AccountCodes[NGAS CODE],0))))</f>
        <v>PhilHealth Contributions</v>
      </c>
      <c r="E2384" s="309" t="s">
        <v>177</v>
      </c>
      <c r="F2384" s="501">
        <v>912.5</v>
      </c>
    </row>
    <row r="2385" spans="1:6" x14ac:dyDescent="0.25">
      <c r="A2385" s="308">
        <v>43220</v>
      </c>
      <c r="B2385" s="309" t="s">
        <v>486</v>
      </c>
      <c r="C2385" s="309" t="s">
        <v>502</v>
      </c>
      <c r="D2385" s="136" t="str">
        <f t="array" ref="D2385">IF(E2385=0,0,(INDEX(AccountCodes[ACCOUNT NAME],MATCH(E2385,AccountCodes[NGAS CODE],0))))</f>
        <v>PhilHealth Contributions</v>
      </c>
      <c r="E2385" s="309" t="s">
        <v>177</v>
      </c>
      <c r="F2385" s="501">
        <v>912.5</v>
      </c>
    </row>
    <row r="2386" spans="1:6" x14ac:dyDescent="0.25">
      <c r="A2386" s="308">
        <v>43251</v>
      </c>
      <c r="B2386" s="309" t="s">
        <v>486</v>
      </c>
      <c r="C2386" s="309" t="s">
        <v>502</v>
      </c>
      <c r="D2386" s="136" t="str">
        <f t="array" ref="D2386">IF(E2386=0,0,(INDEX(AccountCodes[ACCOUNT NAME],MATCH(E2386,AccountCodes[NGAS CODE],0))))</f>
        <v>PhilHealth Contributions</v>
      </c>
      <c r="E2386" s="309" t="s">
        <v>177</v>
      </c>
      <c r="F2386" s="501">
        <v>912.5</v>
      </c>
    </row>
    <row r="2387" spans="1:6" x14ac:dyDescent="0.25">
      <c r="A2387" s="308">
        <v>43281</v>
      </c>
      <c r="B2387" s="309" t="s">
        <v>486</v>
      </c>
      <c r="C2387" s="309" t="s">
        <v>502</v>
      </c>
      <c r="D2387" s="136" t="str">
        <f t="array" ref="D2387">IF(E2387=0,0,(INDEX(AccountCodes[ACCOUNT NAME],MATCH(E2387,AccountCodes[NGAS CODE],0))))</f>
        <v>PhilHealth Contributions</v>
      </c>
      <c r="E2387" s="309" t="s">
        <v>177</v>
      </c>
      <c r="F2387" s="501">
        <v>912.5</v>
      </c>
    </row>
    <row r="2388" spans="1:6" x14ac:dyDescent="0.25">
      <c r="A2388" s="308">
        <v>43312</v>
      </c>
      <c r="B2388" s="309" t="s">
        <v>486</v>
      </c>
      <c r="C2388" s="309" t="s">
        <v>502</v>
      </c>
      <c r="D2388" s="136" t="str">
        <f t="array" ref="D2388">IF(E2388=0,0,(INDEX(AccountCodes[ACCOUNT NAME],MATCH(E2388,AccountCodes[NGAS CODE],0))))</f>
        <v>PhilHealth Contributions</v>
      </c>
      <c r="E2388" s="309" t="s">
        <v>177</v>
      </c>
      <c r="F2388" s="501">
        <v>912.5</v>
      </c>
    </row>
    <row r="2389" spans="1:6" x14ac:dyDescent="0.25">
      <c r="A2389" s="308">
        <v>43343</v>
      </c>
      <c r="B2389" s="309" t="s">
        <v>486</v>
      </c>
      <c r="C2389" s="309" t="s">
        <v>502</v>
      </c>
      <c r="D2389" s="136" t="str">
        <f t="array" ref="D2389">IF(E2389=0,0,(INDEX(AccountCodes[ACCOUNT NAME],MATCH(E2389,AccountCodes[NGAS CODE],0))))</f>
        <v>PhilHealth Contributions</v>
      </c>
      <c r="E2389" s="309" t="s">
        <v>177</v>
      </c>
      <c r="F2389" s="501">
        <v>912.5</v>
      </c>
    </row>
    <row r="2390" spans="1:6" x14ac:dyDescent="0.25">
      <c r="A2390" s="308">
        <v>43373</v>
      </c>
      <c r="B2390" s="309" t="s">
        <v>486</v>
      </c>
      <c r="C2390" s="309" t="s">
        <v>502</v>
      </c>
      <c r="D2390" s="136" t="str">
        <f t="array" ref="D2390">IF(E2390=0,0,(INDEX(AccountCodes[ACCOUNT NAME],MATCH(E2390,AccountCodes[NGAS CODE],0))))</f>
        <v>PhilHealth Contributions</v>
      </c>
      <c r="E2390" s="309" t="s">
        <v>177</v>
      </c>
      <c r="F2390" s="501">
        <v>912.5</v>
      </c>
    </row>
    <row r="2391" spans="1:6" x14ac:dyDescent="0.25">
      <c r="A2391" s="308">
        <v>43404</v>
      </c>
      <c r="B2391" s="309" t="s">
        <v>486</v>
      </c>
      <c r="C2391" s="309" t="s">
        <v>502</v>
      </c>
      <c r="D2391" s="136" t="str">
        <f t="array" ref="D2391">IF(E2391=0,0,(INDEX(AccountCodes[ACCOUNT NAME],MATCH(E2391,AccountCodes[NGAS CODE],0))))</f>
        <v>PhilHealth Contributions</v>
      </c>
      <c r="E2391" s="309" t="s">
        <v>177</v>
      </c>
      <c r="F2391" s="501">
        <v>912.5</v>
      </c>
    </row>
    <row r="2392" spans="1:6" x14ac:dyDescent="0.25">
      <c r="A2392" s="308">
        <v>43434</v>
      </c>
      <c r="B2392" s="309" t="s">
        <v>486</v>
      </c>
      <c r="C2392" s="309" t="s">
        <v>502</v>
      </c>
      <c r="D2392" s="136" t="str">
        <f t="array" ref="D2392">IF(E2392=0,0,(INDEX(AccountCodes[ACCOUNT NAME],MATCH(E2392,AccountCodes[NGAS CODE],0))))</f>
        <v>PhilHealth Contributions</v>
      </c>
      <c r="E2392" s="309" t="s">
        <v>177</v>
      </c>
      <c r="F2392" s="501">
        <v>912.5</v>
      </c>
    </row>
    <row r="2393" spans="1:6" x14ac:dyDescent="0.25">
      <c r="A2393" s="308">
        <v>43465</v>
      </c>
      <c r="B2393" s="309" t="s">
        <v>486</v>
      </c>
      <c r="C2393" s="309" t="s">
        <v>502</v>
      </c>
      <c r="D2393" s="136" t="str">
        <f t="array" ref="D2393">IF(E2393=0,0,(INDEX(AccountCodes[ACCOUNT NAME],MATCH(E2393,AccountCodes[NGAS CODE],0))))</f>
        <v>PhilHealth Contributions</v>
      </c>
      <c r="E2393" s="309" t="s">
        <v>177</v>
      </c>
      <c r="F2393" s="501">
        <v>912.5</v>
      </c>
    </row>
    <row r="2394" spans="1:6" x14ac:dyDescent="0.25">
      <c r="A2394" s="308">
        <v>43131</v>
      </c>
      <c r="B2394" s="309" t="s">
        <v>486</v>
      </c>
      <c r="C2394" s="309" t="s">
        <v>502</v>
      </c>
      <c r="D2394" s="136" t="str">
        <f t="array" ref="D2394">IF(E2394=0,0,(INDEX(AccountCodes[ACCOUNT NAME],MATCH(E2394,AccountCodes[NGAS CODE],0))))</f>
        <v>Employees Compensation Insurance Premiums</v>
      </c>
      <c r="E2394" s="309" t="s">
        <v>178</v>
      </c>
      <c r="F2394" s="501">
        <v>400</v>
      </c>
    </row>
    <row r="2395" spans="1:6" x14ac:dyDescent="0.25">
      <c r="A2395" s="308">
        <v>43159</v>
      </c>
      <c r="B2395" s="309" t="s">
        <v>486</v>
      </c>
      <c r="C2395" s="309" t="s">
        <v>502</v>
      </c>
      <c r="D2395" s="136" t="str">
        <f t="array" ref="D2395">IF(E2395=0,0,(INDEX(AccountCodes[ACCOUNT NAME],MATCH(E2395,AccountCodes[NGAS CODE],0))))</f>
        <v>Employees Compensation Insurance Premiums</v>
      </c>
      <c r="E2395" s="309" t="s">
        <v>178</v>
      </c>
      <c r="F2395" s="501">
        <v>400</v>
      </c>
    </row>
    <row r="2396" spans="1:6" x14ac:dyDescent="0.25">
      <c r="A2396" s="308">
        <v>43190</v>
      </c>
      <c r="B2396" s="309" t="s">
        <v>486</v>
      </c>
      <c r="C2396" s="309" t="s">
        <v>502</v>
      </c>
      <c r="D2396" s="136" t="str">
        <f t="array" ref="D2396">IF(E2396=0,0,(INDEX(AccountCodes[ACCOUNT NAME],MATCH(E2396,AccountCodes[NGAS CODE],0))))</f>
        <v>Employees Compensation Insurance Premiums</v>
      </c>
      <c r="E2396" s="309" t="s">
        <v>178</v>
      </c>
      <c r="F2396" s="501">
        <v>400</v>
      </c>
    </row>
    <row r="2397" spans="1:6" x14ac:dyDescent="0.25">
      <c r="A2397" s="308">
        <v>43220</v>
      </c>
      <c r="B2397" s="309" t="s">
        <v>486</v>
      </c>
      <c r="C2397" s="309" t="s">
        <v>502</v>
      </c>
      <c r="D2397" s="136" t="str">
        <f t="array" ref="D2397">IF(E2397=0,0,(INDEX(AccountCodes[ACCOUNT NAME],MATCH(E2397,AccountCodes[NGAS CODE],0))))</f>
        <v>Employees Compensation Insurance Premiums</v>
      </c>
      <c r="E2397" s="309" t="s">
        <v>178</v>
      </c>
      <c r="F2397" s="501">
        <v>400</v>
      </c>
    </row>
    <row r="2398" spans="1:6" x14ac:dyDescent="0.25">
      <c r="A2398" s="308">
        <v>43251</v>
      </c>
      <c r="B2398" s="309" t="s">
        <v>486</v>
      </c>
      <c r="C2398" s="309" t="s">
        <v>502</v>
      </c>
      <c r="D2398" s="136" t="str">
        <f t="array" ref="D2398">IF(E2398=0,0,(INDEX(AccountCodes[ACCOUNT NAME],MATCH(E2398,AccountCodes[NGAS CODE],0))))</f>
        <v>Employees Compensation Insurance Premiums</v>
      </c>
      <c r="E2398" s="309" t="s">
        <v>178</v>
      </c>
      <c r="F2398" s="501">
        <v>400</v>
      </c>
    </row>
    <row r="2399" spans="1:6" x14ac:dyDescent="0.25">
      <c r="A2399" s="308">
        <v>43281</v>
      </c>
      <c r="B2399" s="309" t="s">
        <v>486</v>
      </c>
      <c r="C2399" s="309" t="s">
        <v>502</v>
      </c>
      <c r="D2399" s="136" t="str">
        <f t="array" ref="D2399">IF(E2399=0,0,(INDEX(AccountCodes[ACCOUNT NAME],MATCH(E2399,AccountCodes[NGAS CODE],0))))</f>
        <v>Employees Compensation Insurance Premiums</v>
      </c>
      <c r="E2399" s="309" t="s">
        <v>178</v>
      </c>
      <c r="F2399" s="501">
        <v>400</v>
      </c>
    </row>
    <row r="2400" spans="1:6" x14ac:dyDescent="0.25">
      <c r="A2400" s="308">
        <v>43312</v>
      </c>
      <c r="B2400" s="309" t="s">
        <v>486</v>
      </c>
      <c r="C2400" s="309" t="s">
        <v>502</v>
      </c>
      <c r="D2400" s="136" t="str">
        <f t="array" ref="D2400">IF(E2400=0,0,(INDEX(AccountCodes[ACCOUNT NAME],MATCH(E2400,AccountCodes[NGAS CODE],0))))</f>
        <v>Employees Compensation Insurance Premiums</v>
      </c>
      <c r="E2400" s="309" t="s">
        <v>178</v>
      </c>
      <c r="F2400" s="501">
        <v>400</v>
      </c>
    </row>
    <row r="2401" spans="1:6" x14ac:dyDescent="0.25">
      <c r="A2401" s="308">
        <v>43343</v>
      </c>
      <c r="B2401" s="309" t="s">
        <v>486</v>
      </c>
      <c r="C2401" s="309" t="s">
        <v>502</v>
      </c>
      <c r="D2401" s="136" t="str">
        <f t="array" ref="D2401">IF(E2401=0,0,(INDEX(AccountCodes[ACCOUNT NAME],MATCH(E2401,AccountCodes[NGAS CODE],0))))</f>
        <v>Employees Compensation Insurance Premiums</v>
      </c>
      <c r="E2401" s="309" t="s">
        <v>178</v>
      </c>
      <c r="F2401" s="501">
        <v>400</v>
      </c>
    </row>
    <row r="2402" spans="1:6" x14ac:dyDescent="0.25">
      <c r="A2402" s="308">
        <v>43373</v>
      </c>
      <c r="B2402" s="309" t="s">
        <v>486</v>
      </c>
      <c r="C2402" s="309" t="s">
        <v>502</v>
      </c>
      <c r="D2402" s="136" t="str">
        <f t="array" ref="D2402">IF(E2402=0,0,(INDEX(AccountCodes[ACCOUNT NAME],MATCH(E2402,AccountCodes[NGAS CODE],0))))</f>
        <v>Employees Compensation Insurance Premiums</v>
      </c>
      <c r="E2402" s="309" t="s">
        <v>178</v>
      </c>
      <c r="F2402" s="501">
        <v>400</v>
      </c>
    </row>
    <row r="2403" spans="1:6" x14ac:dyDescent="0.25">
      <c r="A2403" s="308">
        <v>43404</v>
      </c>
      <c r="B2403" s="309" t="s">
        <v>486</v>
      </c>
      <c r="C2403" s="309" t="s">
        <v>502</v>
      </c>
      <c r="D2403" s="136" t="str">
        <f t="array" ref="D2403">IF(E2403=0,0,(INDEX(AccountCodes[ACCOUNT NAME],MATCH(E2403,AccountCodes[NGAS CODE],0))))</f>
        <v>Employees Compensation Insurance Premiums</v>
      </c>
      <c r="E2403" s="309" t="s">
        <v>178</v>
      </c>
      <c r="F2403" s="501">
        <v>400</v>
      </c>
    </row>
    <row r="2404" spans="1:6" x14ac:dyDescent="0.25">
      <c r="A2404" s="308">
        <v>43434</v>
      </c>
      <c r="B2404" s="309" t="s">
        <v>486</v>
      </c>
      <c r="C2404" s="309" t="s">
        <v>502</v>
      </c>
      <c r="D2404" s="136" t="str">
        <f t="array" ref="D2404">IF(E2404=0,0,(INDEX(AccountCodes[ACCOUNT NAME],MATCH(E2404,AccountCodes[NGAS CODE],0))))</f>
        <v>Employees Compensation Insurance Premiums</v>
      </c>
      <c r="E2404" s="309" t="s">
        <v>178</v>
      </c>
      <c r="F2404" s="501">
        <v>400</v>
      </c>
    </row>
    <row r="2405" spans="1:6" x14ac:dyDescent="0.25">
      <c r="A2405" s="308">
        <v>43465</v>
      </c>
      <c r="B2405" s="309" t="s">
        <v>486</v>
      </c>
      <c r="C2405" s="309" t="s">
        <v>502</v>
      </c>
      <c r="D2405" s="136" t="str">
        <f t="array" ref="D2405">IF(E2405=0,0,(INDEX(AccountCodes[ACCOUNT NAME],MATCH(E2405,AccountCodes[NGAS CODE],0))))</f>
        <v>Employees Compensation Insurance Premiums</v>
      </c>
      <c r="E2405" s="309" t="s">
        <v>178</v>
      </c>
      <c r="F2405" s="501">
        <v>400</v>
      </c>
    </row>
    <row r="2406" spans="1:6" x14ac:dyDescent="0.25">
      <c r="A2406" s="308">
        <v>43131</v>
      </c>
      <c r="B2406" s="309" t="s">
        <v>486</v>
      </c>
      <c r="C2406" s="309" t="s">
        <v>502</v>
      </c>
      <c r="D2406" s="136" t="str">
        <f t="array" ref="D2406">IF(E2406=0,0,(INDEX(AccountCodes[ACCOUNT NAME],MATCH(E2406,AccountCodes[NGAS CODE],0))))</f>
        <v>Fuel, Oil and Lubricants Expenses</v>
      </c>
      <c r="E2406" s="309" t="s">
        <v>229</v>
      </c>
      <c r="F2406" s="501">
        <v>73367.7</v>
      </c>
    </row>
    <row r="2407" spans="1:6" x14ac:dyDescent="0.25">
      <c r="A2407" s="308">
        <v>43159</v>
      </c>
      <c r="B2407" s="309" t="s">
        <v>486</v>
      </c>
      <c r="C2407" s="309" t="s">
        <v>502</v>
      </c>
      <c r="D2407" s="136" t="str">
        <f t="array" ref="D2407">IF(E2407=0,0,(INDEX(AccountCodes[ACCOUNT NAME],MATCH(E2407,AccountCodes[NGAS CODE],0))))</f>
        <v>Fuel, Oil and Lubricants Expenses</v>
      </c>
      <c r="E2407" s="309" t="s">
        <v>229</v>
      </c>
      <c r="F2407" s="501">
        <v>73367.7</v>
      </c>
    </row>
    <row r="2408" spans="1:6" x14ac:dyDescent="0.25">
      <c r="A2408" s="308">
        <v>43190</v>
      </c>
      <c r="B2408" s="309" t="s">
        <v>486</v>
      </c>
      <c r="C2408" s="309" t="s">
        <v>502</v>
      </c>
      <c r="D2408" s="136" t="str">
        <f t="array" ref="D2408">IF(E2408=0,0,(INDEX(AccountCodes[ACCOUNT NAME],MATCH(E2408,AccountCodes[NGAS CODE],0))))</f>
        <v>Fuel, Oil and Lubricants Expenses</v>
      </c>
      <c r="E2408" s="309" t="s">
        <v>229</v>
      </c>
      <c r="F2408" s="501">
        <v>73367.7</v>
      </c>
    </row>
    <row r="2409" spans="1:6" x14ac:dyDescent="0.25">
      <c r="A2409" s="308">
        <v>43220</v>
      </c>
      <c r="B2409" s="309" t="s">
        <v>486</v>
      </c>
      <c r="C2409" s="309" t="s">
        <v>502</v>
      </c>
      <c r="D2409" s="136" t="str">
        <f t="array" ref="D2409">IF(E2409=0,0,(INDEX(AccountCodes[ACCOUNT NAME],MATCH(E2409,AccountCodes[NGAS CODE],0))))</f>
        <v>Fuel, Oil and Lubricants Expenses</v>
      </c>
      <c r="E2409" s="309" t="s">
        <v>229</v>
      </c>
      <c r="F2409" s="501">
        <v>73367.7</v>
      </c>
    </row>
    <row r="2410" spans="1:6" x14ac:dyDescent="0.25">
      <c r="A2410" s="308">
        <v>43251</v>
      </c>
      <c r="B2410" s="309" t="s">
        <v>486</v>
      </c>
      <c r="C2410" s="309" t="s">
        <v>502</v>
      </c>
      <c r="D2410" s="136" t="str">
        <f t="array" ref="D2410">IF(E2410=0,0,(INDEX(AccountCodes[ACCOUNT NAME],MATCH(E2410,AccountCodes[NGAS CODE],0))))</f>
        <v>Fuel, Oil and Lubricants Expenses</v>
      </c>
      <c r="E2410" s="309" t="s">
        <v>229</v>
      </c>
      <c r="F2410" s="501">
        <v>73367.7</v>
      </c>
    </row>
    <row r="2411" spans="1:6" x14ac:dyDescent="0.25">
      <c r="A2411" s="308">
        <v>43281</v>
      </c>
      <c r="B2411" s="309" t="s">
        <v>486</v>
      </c>
      <c r="C2411" s="309" t="s">
        <v>502</v>
      </c>
      <c r="D2411" s="136" t="str">
        <f t="array" ref="D2411">IF(E2411=0,0,(INDEX(AccountCodes[ACCOUNT NAME],MATCH(E2411,AccountCodes[NGAS CODE],0))))</f>
        <v>Fuel, Oil and Lubricants Expenses</v>
      </c>
      <c r="E2411" s="309" t="s">
        <v>229</v>
      </c>
      <c r="F2411" s="501">
        <v>73367.7</v>
      </c>
    </row>
    <row r="2412" spans="1:6" x14ac:dyDescent="0.25">
      <c r="A2412" s="308">
        <v>43312</v>
      </c>
      <c r="B2412" s="309" t="s">
        <v>486</v>
      </c>
      <c r="C2412" s="309" t="s">
        <v>502</v>
      </c>
      <c r="D2412" s="136" t="str">
        <f t="array" ref="D2412">IF(E2412=0,0,(INDEX(AccountCodes[ACCOUNT NAME],MATCH(E2412,AccountCodes[NGAS CODE],0))))</f>
        <v>Fuel, Oil and Lubricants Expenses</v>
      </c>
      <c r="E2412" s="309" t="s">
        <v>229</v>
      </c>
      <c r="F2412" s="501">
        <v>73367.7</v>
      </c>
    </row>
    <row r="2413" spans="1:6" x14ac:dyDescent="0.25">
      <c r="A2413" s="308">
        <v>43343</v>
      </c>
      <c r="B2413" s="309" t="s">
        <v>486</v>
      </c>
      <c r="C2413" s="309" t="s">
        <v>502</v>
      </c>
      <c r="D2413" s="136" t="str">
        <f t="array" ref="D2413">IF(E2413=0,0,(INDEX(AccountCodes[ACCOUNT NAME],MATCH(E2413,AccountCodes[NGAS CODE],0))))</f>
        <v>Fuel, Oil and Lubricants Expenses</v>
      </c>
      <c r="E2413" s="309" t="s">
        <v>229</v>
      </c>
      <c r="F2413" s="501">
        <v>73367.7</v>
      </c>
    </row>
    <row r="2414" spans="1:6" x14ac:dyDescent="0.25">
      <c r="A2414" s="308">
        <v>43373</v>
      </c>
      <c r="B2414" s="309" t="s">
        <v>486</v>
      </c>
      <c r="C2414" s="309" t="s">
        <v>502</v>
      </c>
      <c r="D2414" s="136" t="str">
        <f t="array" ref="D2414">IF(E2414=0,0,(INDEX(AccountCodes[ACCOUNT NAME],MATCH(E2414,AccountCodes[NGAS CODE],0))))</f>
        <v>Fuel, Oil and Lubricants Expenses</v>
      </c>
      <c r="E2414" s="309" t="s">
        <v>229</v>
      </c>
      <c r="F2414" s="501">
        <v>73367.7</v>
      </c>
    </row>
    <row r="2415" spans="1:6" x14ac:dyDescent="0.25">
      <c r="A2415" s="308">
        <v>43404</v>
      </c>
      <c r="B2415" s="309" t="s">
        <v>486</v>
      </c>
      <c r="C2415" s="309" t="s">
        <v>502</v>
      </c>
      <c r="D2415" s="136" t="str">
        <f t="array" ref="D2415">IF(E2415=0,0,(INDEX(AccountCodes[ACCOUNT NAME],MATCH(E2415,AccountCodes[NGAS CODE],0))))</f>
        <v>Fuel, Oil and Lubricants Expenses</v>
      </c>
      <c r="E2415" s="309" t="s">
        <v>229</v>
      </c>
      <c r="F2415" s="501">
        <v>73367.7</v>
      </c>
    </row>
    <row r="2416" spans="1:6" x14ac:dyDescent="0.25">
      <c r="A2416" s="308">
        <v>43434</v>
      </c>
      <c r="B2416" s="309" t="s">
        <v>486</v>
      </c>
      <c r="C2416" s="309" t="s">
        <v>502</v>
      </c>
      <c r="D2416" s="136" t="str">
        <f t="array" ref="D2416">IF(E2416=0,0,(INDEX(AccountCodes[ACCOUNT NAME],MATCH(E2416,AccountCodes[NGAS CODE],0))))</f>
        <v>Fuel, Oil and Lubricants Expenses</v>
      </c>
      <c r="E2416" s="309" t="s">
        <v>229</v>
      </c>
      <c r="F2416" s="501">
        <v>73367.7</v>
      </c>
    </row>
    <row r="2417" spans="1:6" x14ac:dyDescent="0.25">
      <c r="A2417" s="308">
        <v>43465</v>
      </c>
      <c r="B2417" s="309" t="s">
        <v>486</v>
      </c>
      <c r="C2417" s="309" t="s">
        <v>502</v>
      </c>
      <c r="D2417" s="136" t="str">
        <f t="array" ref="D2417">IF(E2417=0,0,(INDEX(AccountCodes[ACCOUNT NAME],MATCH(E2417,AccountCodes[NGAS CODE],0))))</f>
        <v>Fuel, Oil and Lubricants Expenses</v>
      </c>
      <c r="E2417" s="309" t="s">
        <v>229</v>
      </c>
      <c r="F2417" s="501">
        <v>73367.7</v>
      </c>
    </row>
    <row r="2418" spans="1:6" x14ac:dyDescent="0.25">
      <c r="A2418" s="308">
        <v>43131</v>
      </c>
      <c r="B2418" s="309" t="s">
        <v>486</v>
      </c>
      <c r="C2418" s="309" t="s">
        <v>502</v>
      </c>
      <c r="D2418" s="136" t="str">
        <f t="array" ref="D2418">IF(E2418=0,0,(INDEX(AccountCodes[ACCOUNT NAME],MATCH(E2418,AccountCodes[NGAS CODE],0))))</f>
        <v>Electricity Expenses</v>
      </c>
      <c r="E2418" s="309" t="s">
        <v>233</v>
      </c>
      <c r="F2418" s="501">
        <v>15855.27</v>
      </c>
    </row>
    <row r="2419" spans="1:6" x14ac:dyDescent="0.25">
      <c r="A2419" s="308">
        <v>43159</v>
      </c>
      <c r="B2419" s="309" t="s">
        <v>486</v>
      </c>
      <c r="C2419" s="309" t="s">
        <v>502</v>
      </c>
      <c r="D2419" s="136" t="str">
        <f t="array" ref="D2419">IF(E2419=0,0,(INDEX(AccountCodes[ACCOUNT NAME],MATCH(E2419,AccountCodes[NGAS CODE],0))))</f>
        <v>Electricity Expenses</v>
      </c>
      <c r="E2419" s="309" t="s">
        <v>233</v>
      </c>
      <c r="F2419" s="501">
        <v>15855.27</v>
      </c>
    </row>
    <row r="2420" spans="1:6" x14ac:dyDescent="0.25">
      <c r="A2420" s="308">
        <v>43190</v>
      </c>
      <c r="B2420" s="309" t="s">
        <v>486</v>
      </c>
      <c r="C2420" s="309" t="s">
        <v>502</v>
      </c>
      <c r="D2420" s="136" t="str">
        <f t="array" ref="D2420">IF(E2420=0,0,(INDEX(AccountCodes[ACCOUNT NAME],MATCH(E2420,AccountCodes[NGAS CODE],0))))</f>
        <v>Electricity Expenses</v>
      </c>
      <c r="E2420" s="309" t="s">
        <v>233</v>
      </c>
      <c r="F2420" s="501">
        <v>15855.27</v>
      </c>
    </row>
    <row r="2421" spans="1:6" x14ac:dyDescent="0.25">
      <c r="A2421" s="308">
        <v>43220</v>
      </c>
      <c r="B2421" s="309" t="s">
        <v>486</v>
      </c>
      <c r="C2421" s="309" t="s">
        <v>502</v>
      </c>
      <c r="D2421" s="136" t="str">
        <f t="array" ref="D2421">IF(E2421=0,0,(INDEX(AccountCodes[ACCOUNT NAME],MATCH(E2421,AccountCodes[NGAS CODE],0))))</f>
        <v>Electricity Expenses</v>
      </c>
      <c r="E2421" s="309" t="s">
        <v>233</v>
      </c>
      <c r="F2421" s="501">
        <v>15855.27</v>
      </c>
    </row>
    <row r="2422" spans="1:6" x14ac:dyDescent="0.25">
      <c r="A2422" s="308">
        <v>43251</v>
      </c>
      <c r="B2422" s="309" t="s">
        <v>486</v>
      </c>
      <c r="C2422" s="309" t="s">
        <v>502</v>
      </c>
      <c r="D2422" s="136" t="str">
        <f t="array" ref="D2422">IF(E2422=0,0,(INDEX(AccountCodes[ACCOUNT NAME],MATCH(E2422,AccountCodes[NGAS CODE],0))))</f>
        <v>Electricity Expenses</v>
      </c>
      <c r="E2422" s="309" t="s">
        <v>233</v>
      </c>
      <c r="F2422" s="501">
        <v>15855.27</v>
      </c>
    </row>
    <row r="2423" spans="1:6" x14ac:dyDescent="0.25">
      <c r="A2423" s="308">
        <v>43281</v>
      </c>
      <c r="B2423" s="309" t="s">
        <v>486</v>
      </c>
      <c r="C2423" s="309" t="s">
        <v>502</v>
      </c>
      <c r="D2423" s="136" t="str">
        <f t="array" ref="D2423">IF(E2423=0,0,(INDEX(AccountCodes[ACCOUNT NAME],MATCH(E2423,AccountCodes[NGAS CODE],0))))</f>
        <v>Electricity Expenses</v>
      </c>
      <c r="E2423" s="309" t="s">
        <v>233</v>
      </c>
      <c r="F2423" s="501">
        <v>15855.27</v>
      </c>
    </row>
    <row r="2424" spans="1:6" x14ac:dyDescent="0.25">
      <c r="A2424" s="308">
        <v>43312</v>
      </c>
      <c r="B2424" s="309" t="s">
        <v>486</v>
      </c>
      <c r="C2424" s="309" t="s">
        <v>502</v>
      </c>
      <c r="D2424" s="136" t="str">
        <f t="array" ref="D2424">IF(E2424=0,0,(INDEX(AccountCodes[ACCOUNT NAME],MATCH(E2424,AccountCodes[NGAS CODE],0))))</f>
        <v>Electricity Expenses</v>
      </c>
      <c r="E2424" s="309" t="s">
        <v>233</v>
      </c>
      <c r="F2424" s="501">
        <v>15855.27</v>
      </c>
    </row>
    <row r="2425" spans="1:6" x14ac:dyDescent="0.25">
      <c r="A2425" s="308">
        <v>43343</v>
      </c>
      <c r="B2425" s="309" t="s">
        <v>486</v>
      </c>
      <c r="C2425" s="309" t="s">
        <v>502</v>
      </c>
      <c r="D2425" s="136" t="str">
        <f t="array" ref="D2425">IF(E2425=0,0,(INDEX(AccountCodes[ACCOUNT NAME],MATCH(E2425,AccountCodes[NGAS CODE],0))))</f>
        <v>Electricity Expenses</v>
      </c>
      <c r="E2425" s="309" t="s">
        <v>233</v>
      </c>
      <c r="F2425" s="501">
        <v>15855.27</v>
      </c>
    </row>
    <row r="2426" spans="1:6" x14ac:dyDescent="0.25">
      <c r="A2426" s="308">
        <v>43373</v>
      </c>
      <c r="B2426" s="309" t="s">
        <v>486</v>
      </c>
      <c r="C2426" s="309" t="s">
        <v>502</v>
      </c>
      <c r="D2426" s="136" t="str">
        <f t="array" ref="D2426">IF(E2426=0,0,(INDEX(AccountCodes[ACCOUNT NAME],MATCH(E2426,AccountCodes[NGAS CODE],0))))</f>
        <v>Electricity Expenses</v>
      </c>
      <c r="E2426" s="309" t="s">
        <v>233</v>
      </c>
      <c r="F2426" s="501">
        <v>15855.27</v>
      </c>
    </row>
    <row r="2427" spans="1:6" x14ac:dyDescent="0.25">
      <c r="A2427" s="308">
        <v>43404</v>
      </c>
      <c r="B2427" s="309" t="s">
        <v>486</v>
      </c>
      <c r="C2427" s="309" t="s">
        <v>502</v>
      </c>
      <c r="D2427" s="136" t="str">
        <f t="array" ref="D2427">IF(E2427=0,0,(INDEX(AccountCodes[ACCOUNT NAME],MATCH(E2427,AccountCodes[NGAS CODE],0))))</f>
        <v>Electricity Expenses</v>
      </c>
      <c r="E2427" s="309" t="s">
        <v>233</v>
      </c>
      <c r="F2427" s="501">
        <v>15855.27</v>
      </c>
    </row>
    <row r="2428" spans="1:6" x14ac:dyDescent="0.25">
      <c r="A2428" s="308">
        <v>43434</v>
      </c>
      <c r="B2428" s="309" t="s">
        <v>486</v>
      </c>
      <c r="C2428" s="309" t="s">
        <v>502</v>
      </c>
      <c r="D2428" s="136" t="str">
        <f t="array" ref="D2428">IF(E2428=0,0,(INDEX(AccountCodes[ACCOUNT NAME],MATCH(E2428,AccountCodes[NGAS CODE],0))))</f>
        <v>Electricity Expenses</v>
      </c>
      <c r="E2428" s="309" t="s">
        <v>233</v>
      </c>
      <c r="F2428" s="501">
        <v>15855.27</v>
      </c>
    </row>
    <row r="2429" spans="1:6" x14ac:dyDescent="0.25">
      <c r="A2429" s="308">
        <v>43465</v>
      </c>
      <c r="B2429" s="309" t="s">
        <v>486</v>
      </c>
      <c r="C2429" s="309" t="s">
        <v>502</v>
      </c>
      <c r="D2429" s="136" t="str">
        <f t="array" ref="D2429">IF(E2429=0,0,(INDEX(AccountCodes[ACCOUNT NAME],MATCH(E2429,AccountCodes[NGAS CODE],0))))</f>
        <v>Electricity Expenses</v>
      </c>
      <c r="E2429" s="309" t="s">
        <v>233</v>
      </c>
      <c r="F2429" s="501">
        <v>15855.27</v>
      </c>
    </row>
    <row r="2430" spans="1:6" x14ac:dyDescent="0.25">
      <c r="A2430" s="308">
        <v>43131</v>
      </c>
      <c r="B2430" s="309" t="s">
        <v>486</v>
      </c>
      <c r="C2430" s="309" t="s">
        <v>502</v>
      </c>
      <c r="D2430" s="136" t="str">
        <f t="array" ref="D2430">IF(E2430=0,0,(INDEX(AccountCodes[ACCOUNT NAME],MATCH(E2430,AccountCodes[NGAS CODE],0))))</f>
        <v>Internet Subscription Expenses</v>
      </c>
      <c r="E2430" s="309" t="s">
        <v>237</v>
      </c>
      <c r="F2430" s="501">
        <v>1419</v>
      </c>
    </row>
    <row r="2431" spans="1:6" x14ac:dyDescent="0.25">
      <c r="A2431" s="308">
        <v>43159</v>
      </c>
      <c r="B2431" s="309" t="s">
        <v>486</v>
      </c>
      <c r="C2431" s="309" t="s">
        <v>502</v>
      </c>
      <c r="D2431" s="136" t="str">
        <f t="array" ref="D2431">IF(E2431=0,0,(INDEX(AccountCodes[ACCOUNT NAME],MATCH(E2431,AccountCodes[NGAS CODE],0))))</f>
        <v>Internet Subscription Expenses</v>
      </c>
      <c r="E2431" s="309" t="s">
        <v>237</v>
      </c>
      <c r="F2431" s="501">
        <v>1419</v>
      </c>
    </row>
    <row r="2432" spans="1:6" x14ac:dyDescent="0.25">
      <c r="A2432" s="308">
        <v>43190</v>
      </c>
      <c r="B2432" s="309" t="s">
        <v>486</v>
      </c>
      <c r="C2432" s="309" t="s">
        <v>502</v>
      </c>
      <c r="D2432" s="136" t="str">
        <f t="array" ref="D2432">IF(E2432=0,0,(INDEX(AccountCodes[ACCOUNT NAME],MATCH(E2432,AccountCodes[NGAS CODE],0))))</f>
        <v>Internet Subscription Expenses</v>
      </c>
      <c r="E2432" s="309" t="s">
        <v>237</v>
      </c>
      <c r="F2432" s="501">
        <v>1419</v>
      </c>
    </row>
    <row r="2433" spans="1:6" x14ac:dyDescent="0.25">
      <c r="A2433" s="308">
        <v>43220</v>
      </c>
      <c r="B2433" s="309" t="s">
        <v>486</v>
      </c>
      <c r="C2433" s="309" t="s">
        <v>502</v>
      </c>
      <c r="D2433" s="136" t="str">
        <f t="array" ref="D2433">IF(E2433=0,0,(INDEX(AccountCodes[ACCOUNT NAME],MATCH(E2433,AccountCodes[NGAS CODE],0))))</f>
        <v>Internet Subscription Expenses</v>
      </c>
      <c r="E2433" s="309" t="s">
        <v>237</v>
      </c>
      <c r="F2433" s="501">
        <v>1419</v>
      </c>
    </row>
    <row r="2434" spans="1:6" x14ac:dyDescent="0.25">
      <c r="A2434" s="308">
        <v>43251</v>
      </c>
      <c r="B2434" s="309" t="s">
        <v>486</v>
      </c>
      <c r="C2434" s="309" t="s">
        <v>502</v>
      </c>
      <c r="D2434" s="136" t="str">
        <f t="array" ref="D2434">IF(E2434=0,0,(INDEX(AccountCodes[ACCOUNT NAME],MATCH(E2434,AccountCodes[NGAS CODE],0))))</f>
        <v>Internet Subscription Expenses</v>
      </c>
      <c r="E2434" s="309" t="s">
        <v>237</v>
      </c>
      <c r="F2434" s="501">
        <v>1419</v>
      </c>
    </row>
    <row r="2435" spans="1:6" x14ac:dyDescent="0.25">
      <c r="A2435" s="308">
        <v>43281</v>
      </c>
      <c r="B2435" s="309" t="s">
        <v>486</v>
      </c>
      <c r="C2435" s="309" t="s">
        <v>502</v>
      </c>
      <c r="D2435" s="136" t="str">
        <f t="array" ref="D2435">IF(E2435=0,0,(INDEX(AccountCodes[ACCOUNT NAME],MATCH(E2435,AccountCodes[NGAS CODE],0))))</f>
        <v>Internet Subscription Expenses</v>
      </c>
      <c r="E2435" s="309" t="s">
        <v>237</v>
      </c>
      <c r="F2435" s="501">
        <v>1419</v>
      </c>
    </row>
    <row r="2436" spans="1:6" x14ac:dyDescent="0.25">
      <c r="A2436" s="308">
        <v>43312</v>
      </c>
      <c r="B2436" s="309" t="s">
        <v>486</v>
      </c>
      <c r="C2436" s="309" t="s">
        <v>502</v>
      </c>
      <c r="D2436" s="136" t="str">
        <f t="array" ref="D2436">IF(E2436=0,0,(INDEX(AccountCodes[ACCOUNT NAME],MATCH(E2436,AccountCodes[NGAS CODE],0))))</f>
        <v>Internet Subscription Expenses</v>
      </c>
      <c r="E2436" s="309" t="s">
        <v>237</v>
      </c>
      <c r="F2436" s="501">
        <v>1419</v>
      </c>
    </row>
    <row r="2437" spans="1:6" x14ac:dyDescent="0.25">
      <c r="A2437" s="308">
        <v>43343</v>
      </c>
      <c r="B2437" s="309" t="s">
        <v>486</v>
      </c>
      <c r="C2437" s="309" t="s">
        <v>502</v>
      </c>
      <c r="D2437" s="136" t="str">
        <f t="array" ref="D2437">IF(E2437=0,0,(INDEX(AccountCodes[ACCOUNT NAME],MATCH(E2437,AccountCodes[NGAS CODE],0))))</f>
        <v>Internet Subscription Expenses</v>
      </c>
      <c r="E2437" s="309" t="s">
        <v>237</v>
      </c>
      <c r="F2437" s="501">
        <v>1419</v>
      </c>
    </row>
    <row r="2438" spans="1:6" x14ac:dyDescent="0.25">
      <c r="A2438" s="308">
        <v>43373</v>
      </c>
      <c r="B2438" s="309" t="s">
        <v>486</v>
      </c>
      <c r="C2438" s="309" t="s">
        <v>502</v>
      </c>
      <c r="D2438" s="136" t="str">
        <f t="array" ref="D2438">IF(E2438=0,0,(INDEX(AccountCodes[ACCOUNT NAME],MATCH(E2438,AccountCodes[NGAS CODE],0))))</f>
        <v>Internet Subscription Expenses</v>
      </c>
      <c r="E2438" s="309" t="s">
        <v>237</v>
      </c>
      <c r="F2438" s="501">
        <v>1419</v>
      </c>
    </row>
    <row r="2439" spans="1:6" x14ac:dyDescent="0.25">
      <c r="A2439" s="308">
        <v>43404</v>
      </c>
      <c r="B2439" s="309" t="s">
        <v>486</v>
      </c>
      <c r="C2439" s="309" t="s">
        <v>502</v>
      </c>
      <c r="D2439" s="136" t="str">
        <f t="array" ref="D2439">IF(E2439=0,0,(INDEX(AccountCodes[ACCOUNT NAME],MATCH(E2439,AccountCodes[NGAS CODE],0))))</f>
        <v>Internet Subscription Expenses</v>
      </c>
      <c r="E2439" s="309" t="s">
        <v>237</v>
      </c>
      <c r="F2439" s="501">
        <v>1419</v>
      </c>
    </row>
    <row r="2440" spans="1:6" x14ac:dyDescent="0.25">
      <c r="A2440" s="308">
        <v>43434</v>
      </c>
      <c r="B2440" s="309" t="s">
        <v>486</v>
      </c>
      <c r="C2440" s="309" t="s">
        <v>502</v>
      </c>
      <c r="D2440" s="136" t="str">
        <f t="array" ref="D2440">IF(E2440=0,0,(INDEX(AccountCodes[ACCOUNT NAME],MATCH(E2440,AccountCodes[NGAS CODE],0))))</f>
        <v>Internet Subscription Expenses</v>
      </c>
      <c r="E2440" s="309" t="s">
        <v>237</v>
      </c>
      <c r="F2440" s="501">
        <v>1419</v>
      </c>
    </row>
    <row r="2441" spans="1:6" x14ac:dyDescent="0.25">
      <c r="A2441" s="308">
        <v>43465</v>
      </c>
      <c r="B2441" s="309" t="s">
        <v>486</v>
      </c>
      <c r="C2441" s="309" t="s">
        <v>502</v>
      </c>
      <c r="D2441" s="136" t="str">
        <f t="array" ref="D2441">IF(E2441=0,0,(INDEX(AccountCodes[ACCOUNT NAME],MATCH(E2441,AccountCodes[NGAS CODE],0))))</f>
        <v>Internet Subscription Expenses</v>
      </c>
      <c r="E2441" s="309" t="s">
        <v>237</v>
      </c>
      <c r="F2441" s="501">
        <v>1419</v>
      </c>
    </row>
    <row r="2442" spans="1:6" x14ac:dyDescent="0.25">
      <c r="A2442" s="308">
        <v>43190</v>
      </c>
      <c r="B2442" s="309" t="s">
        <v>486</v>
      </c>
      <c r="C2442" s="309" t="s">
        <v>502</v>
      </c>
      <c r="D2442" s="136" t="str">
        <f t="array" ref="D2442">IF(E2442=0,0,(INDEX(AccountCodes[ACCOUNT NAME],MATCH(E2442,AccountCodes[NGAS CODE],0))))</f>
        <v>Other Maintenance and Operating Expenses (Irrigator's Share/Remuneration/Subsidy)</v>
      </c>
      <c r="E2442" s="309" t="s">
        <v>333</v>
      </c>
      <c r="F2442" s="501">
        <v>35742.75</v>
      </c>
    </row>
    <row r="2443" spans="1:6" x14ac:dyDescent="0.25">
      <c r="A2443" s="308">
        <v>43281</v>
      </c>
      <c r="B2443" s="309" t="s">
        <v>486</v>
      </c>
      <c r="C2443" s="309" t="s">
        <v>502</v>
      </c>
      <c r="D2443" s="136" t="str">
        <f t="array" ref="D2443">IF(E2443=0,0,(INDEX(AccountCodes[ACCOUNT NAME],MATCH(E2443,AccountCodes[NGAS CODE],0))))</f>
        <v>Other Maintenance and Operating Expenses (Irrigator's Share/Remuneration/Subsidy)</v>
      </c>
      <c r="E2443" s="309" t="s">
        <v>333</v>
      </c>
      <c r="F2443" s="501">
        <v>105000</v>
      </c>
    </row>
    <row r="2444" spans="1:6" x14ac:dyDescent="0.25">
      <c r="A2444" s="308">
        <v>43404</v>
      </c>
      <c r="B2444" s="309" t="s">
        <v>486</v>
      </c>
      <c r="C2444" s="309" t="s">
        <v>502</v>
      </c>
      <c r="D2444" s="136" t="str">
        <f t="array" ref="D2444">IF(E2444=0,0,(INDEX(AccountCodes[ACCOUNT NAME],MATCH(E2444,AccountCodes[NGAS CODE],0))))</f>
        <v>Other Maintenance and Operating Expenses (Irrigator's Share/Remuneration/Subsidy)</v>
      </c>
      <c r="E2444" s="309" t="s">
        <v>333</v>
      </c>
      <c r="F2444" s="501">
        <v>35742.75</v>
      </c>
    </row>
    <row r="2445" spans="1:6" x14ac:dyDescent="0.25">
      <c r="A2445" s="308">
        <v>43465</v>
      </c>
      <c r="B2445" s="309" t="s">
        <v>486</v>
      </c>
      <c r="C2445" s="309" t="s">
        <v>502</v>
      </c>
      <c r="D2445" s="136" t="str">
        <f t="array" ref="D2445">IF(E2445=0,0,(INDEX(AccountCodes[ACCOUNT NAME],MATCH(E2445,AccountCodes[NGAS CODE],0))))</f>
        <v>Other Maintenance and Operating Expenses (Irrigator's Share/Remuneration/Subsidy)</v>
      </c>
      <c r="E2445" s="309" t="s">
        <v>333</v>
      </c>
      <c r="F2445" s="501">
        <v>120000</v>
      </c>
    </row>
    <row r="2446" spans="1:6" x14ac:dyDescent="0.25">
      <c r="A2446" s="308"/>
      <c r="D2446" s="136">
        <f t="array" ref="D2446">IF(E2446=0,0,(INDEX(AccountCodes[ACCOUNT NAME],MATCH(E2446,AccountCodes[NGAS CODE],0))))</f>
        <v>0</v>
      </c>
      <c r="E2446" s="309"/>
      <c r="F2446" s="501"/>
    </row>
    <row r="2447" spans="1:6" x14ac:dyDescent="0.25">
      <c r="A2447" s="308">
        <v>43281</v>
      </c>
      <c r="B2447" s="309" t="s">
        <v>486</v>
      </c>
      <c r="C2447" s="309" t="s">
        <v>503</v>
      </c>
      <c r="D2447" s="136" t="str">
        <f t="array" ref="D2447">IF(E2447=0,0,(INDEX(AccountCodes[ACCOUNT NAME],MATCH(E2447,AccountCodes[NGAS CODE],0))))</f>
        <v>Equipment Rental - External (CA)</v>
      </c>
      <c r="E2447" s="309" t="s">
        <v>147</v>
      </c>
      <c r="F2447" s="501">
        <v>100000</v>
      </c>
    </row>
    <row r="2448" spans="1:6" x14ac:dyDescent="0.25">
      <c r="A2448" s="308">
        <v>43465</v>
      </c>
      <c r="B2448" s="309" t="s">
        <v>486</v>
      </c>
      <c r="C2448" s="309" t="s">
        <v>503</v>
      </c>
      <c r="D2448" s="136" t="str">
        <f t="array" ref="D2448">IF(E2448=0,0,(INDEX(AccountCodes[ACCOUNT NAME],MATCH(E2448,AccountCodes[NGAS CODE],0))))</f>
        <v>Equipment Rental - External (CA)</v>
      </c>
      <c r="E2448" s="309" t="s">
        <v>147</v>
      </c>
      <c r="F2448" s="501">
        <v>100000</v>
      </c>
    </row>
    <row r="2449" spans="1:6" x14ac:dyDescent="0.25">
      <c r="A2449" s="308">
        <v>43131</v>
      </c>
      <c r="B2449" s="309" t="s">
        <v>486</v>
      </c>
      <c r="C2449" s="309" t="s">
        <v>503</v>
      </c>
      <c r="D2449" s="136" t="str">
        <f t="array" ref="D2449">IF(E2449=0,0,(INDEX(AccountCodes[ACCOUNT NAME],MATCH(E2449,AccountCodes[NGAS CODE],0))))</f>
        <v>Salaries and Wages-Regular</v>
      </c>
      <c r="E2449" s="309" t="s">
        <v>162</v>
      </c>
      <c r="F2449" s="501">
        <v>367367</v>
      </c>
    </row>
    <row r="2450" spans="1:6" x14ac:dyDescent="0.25">
      <c r="A2450" s="308">
        <v>43159</v>
      </c>
      <c r="B2450" s="309" t="s">
        <v>486</v>
      </c>
      <c r="C2450" s="309" t="s">
        <v>503</v>
      </c>
      <c r="D2450" s="136" t="str">
        <f t="array" ref="D2450">IF(E2450=0,0,(INDEX(AccountCodes[ACCOUNT NAME],MATCH(E2450,AccountCodes[NGAS CODE],0))))</f>
        <v>Salaries and Wages-Regular</v>
      </c>
      <c r="E2450" s="309" t="s">
        <v>162</v>
      </c>
      <c r="F2450" s="501">
        <v>367367</v>
      </c>
    </row>
    <row r="2451" spans="1:6" x14ac:dyDescent="0.25">
      <c r="A2451" s="308">
        <v>43190</v>
      </c>
      <c r="B2451" s="309" t="s">
        <v>486</v>
      </c>
      <c r="C2451" s="309" t="s">
        <v>503</v>
      </c>
      <c r="D2451" s="136" t="str">
        <f t="array" ref="D2451">IF(E2451=0,0,(INDEX(AccountCodes[ACCOUNT NAME],MATCH(E2451,AccountCodes[NGAS CODE],0))))</f>
        <v>Salaries and Wages-Regular</v>
      </c>
      <c r="E2451" s="309" t="s">
        <v>162</v>
      </c>
      <c r="F2451" s="501">
        <v>367367</v>
      </c>
    </row>
    <row r="2452" spans="1:6" x14ac:dyDescent="0.25">
      <c r="A2452" s="308">
        <v>43220</v>
      </c>
      <c r="B2452" s="309" t="s">
        <v>486</v>
      </c>
      <c r="C2452" s="309" t="s">
        <v>503</v>
      </c>
      <c r="D2452" s="136" t="str">
        <f t="array" ref="D2452">IF(E2452=0,0,(INDEX(AccountCodes[ACCOUNT NAME],MATCH(E2452,AccountCodes[NGAS CODE],0))))</f>
        <v>Salaries and Wages-Regular</v>
      </c>
      <c r="E2452" s="309" t="s">
        <v>162</v>
      </c>
      <c r="F2452" s="501">
        <v>367367</v>
      </c>
    </row>
    <row r="2453" spans="1:6" x14ac:dyDescent="0.25">
      <c r="A2453" s="308">
        <v>43251</v>
      </c>
      <c r="B2453" s="309" t="s">
        <v>486</v>
      </c>
      <c r="C2453" s="309" t="s">
        <v>503</v>
      </c>
      <c r="D2453" s="136" t="str">
        <f t="array" ref="D2453">IF(E2453=0,0,(INDEX(AccountCodes[ACCOUNT NAME],MATCH(E2453,AccountCodes[NGAS CODE],0))))</f>
        <v>Salaries and Wages-Regular</v>
      </c>
      <c r="E2453" s="309" t="s">
        <v>162</v>
      </c>
      <c r="F2453" s="501">
        <v>367367</v>
      </c>
    </row>
    <row r="2454" spans="1:6" x14ac:dyDescent="0.25">
      <c r="A2454" s="308">
        <v>43281</v>
      </c>
      <c r="B2454" s="309" t="s">
        <v>486</v>
      </c>
      <c r="C2454" s="309" t="s">
        <v>503</v>
      </c>
      <c r="D2454" s="136" t="str">
        <f t="array" ref="D2454">IF(E2454=0,0,(INDEX(AccountCodes[ACCOUNT NAME],MATCH(E2454,AccountCodes[NGAS CODE],0))))</f>
        <v>Salaries and Wages-Regular</v>
      </c>
      <c r="E2454" s="309" t="s">
        <v>162</v>
      </c>
      <c r="F2454" s="501">
        <v>367367</v>
      </c>
    </row>
    <row r="2455" spans="1:6" x14ac:dyDescent="0.25">
      <c r="A2455" s="308">
        <v>43312</v>
      </c>
      <c r="B2455" s="309" t="s">
        <v>486</v>
      </c>
      <c r="C2455" s="309" t="s">
        <v>503</v>
      </c>
      <c r="D2455" s="136" t="str">
        <f t="array" ref="D2455">IF(E2455=0,0,(INDEX(AccountCodes[ACCOUNT NAME],MATCH(E2455,AccountCodes[NGAS CODE],0))))</f>
        <v>Salaries and Wages-Regular</v>
      </c>
      <c r="E2455" s="309" t="s">
        <v>162</v>
      </c>
      <c r="F2455" s="501">
        <v>367367</v>
      </c>
    </row>
    <row r="2456" spans="1:6" x14ac:dyDescent="0.25">
      <c r="A2456" s="308">
        <v>43343</v>
      </c>
      <c r="B2456" s="309" t="s">
        <v>486</v>
      </c>
      <c r="C2456" s="309" t="s">
        <v>503</v>
      </c>
      <c r="D2456" s="136" t="str">
        <f t="array" ref="D2456">IF(E2456=0,0,(INDEX(AccountCodes[ACCOUNT NAME],MATCH(E2456,AccountCodes[NGAS CODE],0))))</f>
        <v>Salaries and Wages-Regular</v>
      </c>
      <c r="E2456" s="309" t="s">
        <v>162</v>
      </c>
      <c r="F2456" s="501">
        <v>367367</v>
      </c>
    </row>
    <row r="2457" spans="1:6" x14ac:dyDescent="0.25">
      <c r="A2457" s="308">
        <v>43373</v>
      </c>
      <c r="B2457" s="309" t="s">
        <v>486</v>
      </c>
      <c r="C2457" s="309" t="s">
        <v>503</v>
      </c>
      <c r="D2457" s="136" t="str">
        <f t="array" ref="D2457">IF(E2457=0,0,(INDEX(AccountCodes[ACCOUNT NAME],MATCH(E2457,AccountCodes[NGAS CODE],0))))</f>
        <v>Salaries and Wages-Regular</v>
      </c>
      <c r="E2457" s="309" t="s">
        <v>162</v>
      </c>
      <c r="F2457" s="501">
        <v>367367</v>
      </c>
    </row>
    <row r="2458" spans="1:6" x14ac:dyDescent="0.25">
      <c r="A2458" s="308">
        <v>43404</v>
      </c>
      <c r="B2458" s="309" t="s">
        <v>486</v>
      </c>
      <c r="C2458" s="309" t="s">
        <v>503</v>
      </c>
      <c r="D2458" s="136" t="str">
        <f t="array" ref="D2458">IF(E2458=0,0,(INDEX(AccountCodes[ACCOUNT NAME],MATCH(E2458,AccountCodes[NGAS CODE],0))))</f>
        <v>Salaries and Wages-Regular</v>
      </c>
      <c r="E2458" s="309" t="s">
        <v>162</v>
      </c>
      <c r="F2458" s="501">
        <v>367367</v>
      </c>
    </row>
    <row r="2459" spans="1:6" x14ac:dyDescent="0.25">
      <c r="A2459" s="308">
        <v>43434</v>
      </c>
      <c r="B2459" s="309" t="s">
        <v>486</v>
      </c>
      <c r="C2459" s="309" t="s">
        <v>503</v>
      </c>
      <c r="D2459" s="136" t="str">
        <f t="array" ref="D2459">IF(E2459=0,0,(INDEX(AccountCodes[ACCOUNT NAME],MATCH(E2459,AccountCodes[NGAS CODE],0))))</f>
        <v>Salaries and Wages-Regular</v>
      </c>
      <c r="E2459" s="309" t="s">
        <v>162</v>
      </c>
      <c r="F2459" s="501">
        <v>367367</v>
      </c>
    </row>
    <row r="2460" spans="1:6" x14ac:dyDescent="0.25">
      <c r="A2460" s="308">
        <v>43465</v>
      </c>
      <c r="B2460" s="309" t="s">
        <v>486</v>
      </c>
      <c r="C2460" s="309" t="s">
        <v>503</v>
      </c>
      <c r="D2460" s="136" t="str">
        <f t="array" ref="D2460">IF(E2460=0,0,(INDEX(AccountCodes[ACCOUNT NAME],MATCH(E2460,AccountCodes[NGAS CODE],0))))</f>
        <v>Salaries and Wages-Regular</v>
      </c>
      <c r="E2460" s="309" t="s">
        <v>162</v>
      </c>
      <c r="F2460" s="501">
        <v>367367</v>
      </c>
    </row>
    <row r="2461" spans="1:6" x14ac:dyDescent="0.25">
      <c r="A2461" s="308">
        <v>43131</v>
      </c>
      <c r="B2461" s="309" t="s">
        <v>486</v>
      </c>
      <c r="C2461" s="309" t="s">
        <v>503</v>
      </c>
      <c r="D2461" s="136" t="str">
        <f t="array" ref="D2461">IF(E2461=0,0,(INDEX(AccountCodes[ACCOUNT NAME],MATCH(E2461,AccountCodes[NGAS CODE],0))))</f>
        <v>Salaries and Wages-Casual/Contractual</v>
      </c>
      <c r="E2461" s="309" t="s">
        <v>163</v>
      </c>
      <c r="F2461" s="501">
        <v>55876.09</v>
      </c>
    </row>
    <row r="2462" spans="1:6" x14ac:dyDescent="0.25">
      <c r="A2462" s="308">
        <v>43159</v>
      </c>
      <c r="B2462" s="309" t="s">
        <v>486</v>
      </c>
      <c r="C2462" s="309" t="s">
        <v>503</v>
      </c>
      <c r="D2462" s="136" t="str">
        <f t="array" ref="D2462">IF(E2462=0,0,(INDEX(AccountCodes[ACCOUNT NAME],MATCH(E2462,AccountCodes[NGAS CODE],0))))</f>
        <v>Salaries and Wages-Casual/Contractual</v>
      </c>
      <c r="E2462" s="309" t="s">
        <v>163</v>
      </c>
      <c r="F2462" s="501">
        <v>55876.09</v>
      </c>
    </row>
    <row r="2463" spans="1:6" x14ac:dyDescent="0.25">
      <c r="A2463" s="308">
        <v>43190</v>
      </c>
      <c r="B2463" s="309" t="s">
        <v>486</v>
      </c>
      <c r="C2463" s="309" t="s">
        <v>503</v>
      </c>
      <c r="D2463" s="136" t="str">
        <f t="array" ref="D2463">IF(E2463=0,0,(INDEX(AccountCodes[ACCOUNT NAME],MATCH(E2463,AccountCodes[NGAS CODE],0))))</f>
        <v>Salaries and Wages-Casual/Contractual</v>
      </c>
      <c r="E2463" s="309" t="s">
        <v>163</v>
      </c>
      <c r="F2463" s="501">
        <v>55876.09</v>
      </c>
    </row>
    <row r="2464" spans="1:6" x14ac:dyDescent="0.25">
      <c r="A2464" s="308">
        <v>43220</v>
      </c>
      <c r="B2464" s="309" t="s">
        <v>486</v>
      </c>
      <c r="C2464" s="309" t="s">
        <v>503</v>
      </c>
      <c r="D2464" s="136" t="str">
        <f t="array" ref="D2464">IF(E2464=0,0,(INDEX(AccountCodes[ACCOUNT NAME],MATCH(E2464,AccountCodes[NGAS CODE],0))))</f>
        <v>Salaries and Wages-Casual/Contractual</v>
      </c>
      <c r="E2464" s="309" t="s">
        <v>163</v>
      </c>
      <c r="F2464" s="501">
        <v>55876.09</v>
      </c>
    </row>
    <row r="2465" spans="1:6" x14ac:dyDescent="0.25">
      <c r="A2465" s="308">
        <v>43251</v>
      </c>
      <c r="B2465" s="309" t="s">
        <v>486</v>
      </c>
      <c r="C2465" s="309" t="s">
        <v>503</v>
      </c>
      <c r="D2465" s="136" t="str">
        <f t="array" ref="D2465">IF(E2465=0,0,(INDEX(AccountCodes[ACCOUNT NAME],MATCH(E2465,AccountCodes[NGAS CODE],0))))</f>
        <v>Salaries and Wages-Casual/Contractual</v>
      </c>
      <c r="E2465" s="309" t="s">
        <v>163</v>
      </c>
      <c r="F2465" s="501">
        <v>55876.09</v>
      </c>
    </row>
    <row r="2466" spans="1:6" x14ac:dyDescent="0.25">
      <c r="A2466" s="308">
        <v>43281</v>
      </c>
      <c r="B2466" s="309" t="s">
        <v>486</v>
      </c>
      <c r="C2466" s="309" t="s">
        <v>503</v>
      </c>
      <c r="D2466" s="136" t="str">
        <f t="array" ref="D2466">IF(E2466=0,0,(INDEX(AccountCodes[ACCOUNT NAME],MATCH(E2466,AccountCodes[NGAS CODE],0))))</f>
        <v>Salaries and Wages-Casual/Contractual</v>
      </c>
      <c r="E2466" s="309" t="s">
        <v>163</v>
      </c>
      <c r="F2466" s="501">
        <v>55876.09</v>
      </c>
    </row>
    <row r="2467" spans="1:6" x14ac:dyDescent="0.25">
      <c r="A2467" s="308">
        <v>43312</v>
      </c>
      <c r="B2467" s="309" t="s">
        <v>486</v>
      </c>
      <c r="C2467" s="309" t="s">
        <v>503</v>
      </c>
      <c r="D2467" s="136" t="str">
        <f t="array" ref="D2467">IF(E2467=0,0,(INDEX(AccountCodes[ACCOUNT NAME],MATCH(E2467,AccountCodes[NGAS CODE],0))))</f>
        <v>Salaries and Wages-Casual/Contractual</v>
      </c>
      <c r="E2467" s="309" t="s">
        <v>163</v>
      </c>
      <c r="F2467" s="501">
        <v>55876.09</v>
      </c>
    </row>
    <row r="2468" spans="1:6" x14ac:dyDescent="0.25">
      <c r="A2468" s="308">
        <v>43343</v>
      </c>
      <c r="B2468" s="309" t="s">
        <v>486</v>
      </c>
      <c r="C2468" s="309" t="s">
        <v>503</v>
      </c>
      <c r="D2468" s="136" t="str">
        <f t="array" ref="D2468">IF(E2468=0,0,(INDEX(AccountCodes[ACCOUNT NAME],MATCH(E2468,AccountCodes[NGAS CODE],0))))</f>
        <v>Salaries and Wages-Casual/Contractual</v>
      </c>
      <c r="E2468" s="309" t="s">
        <v>163</v>
      </c>
      <c r="F2468" s="501">
        <v>55876.09</v>
      </c>
    </row>
    <row r="2469" spans="1:6" x14ac:dyDescent="0.25">
      <c r="A2469" s="308">
        <v>43373</v>
      </c>
      <c r="B2469" s="309" t="s">
        <v>486</v>
      </c>
      <c r="C2469" s="309" t="s">
        <v>503</v>
      </c>
      <c r="D2469" s="136" t="str">
        <f t="array" ref="D2469">IF(E2469=0,0,(INDEX(AccountCodes[ACCOUNT NAME],MATCH(E2469,AccountCodes[NGAS CODE],0))))</f>
        <v>Salaries and Wages-Casual/Contractual</v>
      </c>
      <c r="E2469" s="309" t="s">
        <v>163</v>
      </c>
      <c r="F2469" s="501">
        <v>55876.09</v>
      </c>
    </row>
    <row r="2470" spans="1:6" x14ac:dyDescent="0.25">
      <c r="A2470" s="308">
        <v>43404</v>
      </c>
      <c r="B2470" s="309" t="s">
        <v>486</v>
      </c>
      <c r="C2470" s="309" t="s">
        <v>503</v>
      </c>
      <c r="D2470" s="136" t="str">
        <f t="array" ref="D2470">IF(E2470=0,0,(INDEX(AccountCodes[ACCOUNT NAME],MATCH(E2470,AccountCodes[NGAS CODE],0))))</f>
        <v>Salaries and Wages-Casual/Contractual</v>
      </c>
      <c r="E2470" s="309" t="s">
        <v>163</v>
      </c>
      <c r="F2470" s="501">
        <v>55876.09</v>
      </c>
    </row>
    <row r="2471" spans="1:6" x14ac:dyDescent="0.25">
      <c r="A2471" s="308">
        <v>43434</v>
      </c>
      <c r="B2471" s="309" t="s">
        <v>486</v>
      </c>
      <c r="C2471" s="309" t="s">
        <v>503</v>
      </c>
      <c r="D2471" s="136" t="str">
        <f t="array" ref="D2471">IF(E2471=0,0,(INDEX(AccountCodes[ACCOUNT NAME],MATCH(E2471,AccountCodes[NGAS CODE],0))))</f>
        <v>Salaries and Wages-Casual/Contractual</v>
      </c>
      <c r="E2471" s="309" t="s">
        <v>163</v>
      </c>
      <c r="F2471" s="501">
        <v>55876.09</v>
      </c>
    </row>
    <row r="2472" spans="1:6" x14ac:dyDescent="0.25">
      <c r="A2472" s="308">
        <v>43465</v>
      </c>
      <c r="B2472" s="309" t="s">
        <v>486</v>
      </c>
      <c r="C2472" s="309" t="s">
        <v>503</v>
      </c>
      <c r="D2472" s="136" t="str">
        <f t="array" ref="D2472">IF(E2472=0,0,(INDEX(AccountCodes[ACCOUNT NAME],MATCH(E2472,AccountCodes[NGAS CODE],0))))</f>
        <v>Salaries and Wages-Casual/Contractual</v>
      </c>
      <c r="E2472" s="309" t="s">
        <v>163</v>
      </c>
      <c r="F2472" s="501">
        <v>55876.09</v>
      </c>
    </row>
    <row r="2473" spans="1:6" x14ac:dyDescent="0.25">
      <c r="A2473" s="308">
        <v>43131</v>
      </c>
      <c r="B2473" s="309" t="s">
        <v>486</v>
      </c>
      <c r="C2473" s="309" t="s">
        <v>503</v>
      </c>
      <c r="D2473" s="136" t="str">
        <f t="array" ref="D2473">IF(E2473=0,0,(INDEX(AccountCodes[ACCOUNT NAME],MATCH(E2473,AccountCodes[NGAS CODE],0))))</f>
        <v>Personal Economic Relief Allowance (PERA)</v>
      </c>
      <c r="E2473" s="309" t="s">
        <v>164</v>
      </c>
      <c r="F2473" s="501">
        <v>36000</v>
      </c>
    </row>
    <row r="2474" spans="1:6" x14ac:dyDescent="0.25">
      <c r="A2474" s="308">
        <v>43159</v>
      </c>
      <c r="B2474" s="309" t="s">
        <v>486</v>
      </c>
      <c r="C2474" s="309" t="s">
        <v>503</v>
      </c>
      <c r="D2474" s="136" t="str">
        <f t="array" ref="D2474">IF(E2474=0,0,(INDEX(AccountCodes[ACCOUNT NAME],MATCH(E2474,AccountCodes[NGAS CODE],0))))</f>
        <v>Personal Economic Relief Allowance (PERA)</v>
      </c>
      <c r="E2474" s="309" t="s">
        <v>164</v>
      </c>
      <c r="F2474" s="501">
        <v>36000</v>
      </c>
    </row>
    <row r="2475" spans="1:6" x14ac:dyDescent="0.25">
      <c r="A2475" s="308">
        <v>43190</v>
      </c>
      <c r="B2475" s="309" t="s">
        <v>486</v>
      </c>
      <c r="C2475" s="309" t="s">
        <v>503</v>
      </c>
      <c r="D2475" s="136" t="str">
        <f t="array" ref="D2475">IF(E2475=0,0,(INDEX(AccountCodes[ACCOUNT NAME],MATCH(E2475,AccountCodes[NGAS CODE],0))))</f>
        <v>Personal Economic Relief Allowance (PERA)</v>
      </c>
      <c r="E2475" s="309" t="s">
        <v>164</v>
      </c>
      <c r="F2475" s="501">
        <v>36000</v>
      </c>
    </row>
    <row r="2476" spans="1:6" x14ac:dyDescent="0.25">
      <c r="A2476" s="308">
        <v>43220</v>
      </c>
      <c r="B2476" s="309" t="s">
        <v>486</v>
      </c>
      <c r="C2476" s="309" t="s">
        <v>503</v>
      </c>
      <c r="D2476" s="136" t="str">
        <f t="array" ref="D2476">IF(E2476=0,0,(INDEX(AccountCodes[ACCOUNT NAME],MATCH(E2476,AccountCodes[NGAS CODE],0))))</f>
        <v>Personal Economic Relief Allowance (PERA)</v>
      </c>
      <c r="E2476" s="309" t="s">
        <v>164</v>
      </c>
      <c r="F2476" s="501">
        <v>36000</v>
      </c>
    </row>
    <row r="2477" spans="1:6" x14ac:dyDescent="0.25">
      <c r="A2477" s="308">
        <v>43251</v>
      </c>
      <c r="B2477" s="309" t="s">
        <v>486</v>
      </c>
      <c r="C2477" s="309" t="s">
        <v>503</v>
      </c>
      <c r="D2477" s="136" t="str">
        <f t="array" ref="D2477">IF(E2477=0,0,(INDEX(AccountCodes[ACCOUNT NAME],MATCH(E2477,AccountCodes[NGAS CODE],0))))</f>
        <v>Personal Economic Relief Allowance (PERA)</v>
      </c>
      <c r="E2477" s="309" t="s">
        <v>164</v>
      </c>
      <c r="F2477" s="501">
        <v>36000</v>
      </c>
    </row>
    <row r="2478" spans="1:6" x14ac:dyDescent="0.25">
      <c r="A2478" s="308">
        <v>43281</v>
      </c>
      <c r="B2478" s="309" t="s">
        <v>486</v>
      </c>
      <c r="C2478" s="309" t="s">
        <v>503</v>
      </c>
      <c r="D2478" s="136" t="str">
        <f t="array" ref="D2478">IF(E2478=0,0,(INDEX(AccountCodes[ACCOUNT NAME],MATCH(E2478,AccountCodes[NGAS CODE],0))))</f>
        <v>Personal Economic Relief Allowance (PERA)</v>
      </c>
      <c r="E2478" s="309" t="s">
        <v>164</v>
      </c>
      <c r="F2478" s="501">
        <v>36000</v>
      </c>
    </row>
    <row r="2479" spans="1:6" x14ac:dyDescent="0.25">
      <c r="A2479" s="308">
        <v>43312</v>
      </c>
      <c r="B2479" s="309" t="s">
        <v>486</v>
      </c>
      <c r="C2479" s="309" t="s">
        <v>503</v>
      </c>
      <c r="D2479" s="136" t="str">
        <f t="array" ref="D2479">IF(E2479=0,0,(INDEX(AccountCodes[ACCOUNT NAME],MATCH(E2479,AccountCodes[NGAS CODE],0))))</f>
        <v>Personal Economic Relief Allowance (PERA)</v>
      </c>
      <c r="E2479" s="309" t="s">
        <v>164</v>
      </c>
      <c r="F2479" s="501">
        <v>36000</v>
      </c>
    </row>
    <row r="2480" spans="1:6" x14ac:dyDescent="0.25">
      <c r="A2480" s="308">
        <v>43343</v>
      </c>
      <c r="B2480" s="309" t="s">
        <v>486</v>
      </c>
      <c r="C2480" s="309" t="s">
        <v>503</v>
      </c>
      <c r="D2480" s="136" t="str">
        <f t="array" ref="D2480">IF(E2480=0,0,(INDEX(AccountCodes[ACCOUNT NAME],MATCH(E2480,AccountCodes[NGAS CODE],0))))</f>
        <v>Personal Economic Relief Allowance (PERA)</v>
      </c>
      <c r="E2480" s="309" t="s">
        <v>164</v>
      </c>
      <c r="F2480" s="501">
        <v>36000</v>
      </c>
    </row>
    <row r="2481" spans="1:6" x14ac:dyDescent="0.25">
      <c r="A2481" s="308">
        <v>43373</v>
      </c>
      <c r="B2481" s="309" t="s">
        <v>486</v>
      </c>
      <c r="C2481" s="309" t="s">
        <v>503</v>
      </c>
      <c r="D2481" s="136" t="str">
        <f t="array" ref="D2481">IF(E2481=0,0,(INDEX(AccountCodes[ACCOUNT NAME],MATCH(E2481,AccountCodes[NGAS CODE],0))))</f>
        <v>Personal Economic Relief Allowance (PERA)</v>
      </c>
      <c r="E2481" s="309" t="s">
        <v>164</v>
      </c>
      <c r="F2481" s="501">
        <v>36000</v>
      </c>
    </row>
    <row r="2482" spans="1:6" x14ac:dyDescent="0.25">
      <c r="A2482" s="308">
        <v>43404</v>
      </c>
      <c r="B2482" s="309" t="s">
        <v>486</v>
      </c>
      <c r="C2482" s="309" t="s">
        <v>503</v>
      </c>
      <c r="D2482" s="136" t="str">
        <f t="array" ref="D2482">IF(E2482=0,0,(INDEX(AccountCodes[ACCOUNT NAME],MATCH(E2482,AccountCodes[NGAS CODE],0))))</f>
        <v>Personal Economic Relief Allowance (PERA)</v>
      </c>
      <c r="E2482" s="309" t="s">
        <v>164</v>
      </c>
      <c r="F2482" s="501">
        <v>36000</v>
      </c>
    </row>
    <row r="2483" spans="1:6" x14ac:dyDescent="0.25">
      <c r="A2483" s="308">
        <v>43434</v>
      </c>
      <c r="B2483" s="309" t="s">
        <v>486</v>
      </c>
      <c r="C2483" s="309" t="s">
        <v>503</v>
      </c>
      <c r="D2483" s="136" t="str">
        <f t="array" ref="D2483">IF(E2483=0,0,(INDEX(AccountCodes[ACCOUNT NAME],MATCH(E2483,AccountCodes[NGAS CODE],0))))</f>
        <v>Personal Economic Relief Allowance (PERA)</v>
      </c>
      <c r="E2483" s="309" t="s">
        <v>164</v>
      </c>
      <c r="F2483" s="501">
        <v>36000</v>
      </c>
    </row>
    <row r="2484" spans="1:6" x14ac:dyDescent="0.25">
      <c r="A2484" s="308">
        <v>43465</v>
      </c>
      <c r="B2484" s="309" t="s">
        <v>486</v>
      </c>
      <c r="C2484" s="309" t="s">
        <v>503</v>
      </c>
      <c r="D2484" s="136" t="str">
        <f t="array" ref="D2484">IF(E2484=0,0,(INDEX(AccountCodes[ACCOUNT NAME],MATCH(E2484,AccountCodes[NGAS CODE],0))))</f>
        <v>Personal Economic Relief Allowance (PERA)</v>
      </c>
      <c r="E2484" s="309" t="s">
        <v>164</v>
      </c>
      <c r="F2484" s="501">
        <v>36000</v>
      </c>
    </row>
    <row r="2485" spans="1:6" x14ac:dyDescent="0.25">
      <c r="A2485" s="308">
        <v>43465</v>
      </c>
      <c r="B2485" s="309" t="s">
        <v>486</v>
      </c>
      <c r="C2485" s="309" t="s">
        <v>503</v>
      </c>
      <c r="D2485" s="136" t="str">
        <f t="array" ref="D2485">IF(E2485=0,0,(INDEX(AccountCodes[ACCOUNT NAME],MATCH(E2485,AccountCodes[NGAS CODE],0))))</f>
        <v>Other Bonuses and Allowances - Productivity Enhancement Incentive-Civilian</v>
      </c>
      <c r="E2485" s="309" t="s">
        <v>170</v>
      </c>
      <c r="F2485" s="501">
        <v>90000</v>
      </c>
    </row>
    <row r="2486" spans="1:6" x14ac:dyDescent="0.25">
      <c r="A2486" s="308">
        <v>43131</v>
      </c>
      <c r="B2486" s="309" t="s">
        <v>486</v>
      </c>
      <c r="C2486" s="309" t="s">
        <v>503</v>
      </c>
      <c r="D2486" s="136" t="str">
        <f t="array" ref="D2486">IF(E2486=0,0,(INDEX(AccountCodes[ACCOUNT NAME],MATCH(E2486,AccountCodes[NGAS CODE],0))))</f>
        <v>Other Bonuses and Allowances - Children Allowance</v>
      </c>
      <c r="E2486" s="309" t="s">
        <v>7</v>
      </c>
      <c r="F2486" s="501">
        <v>60</v>
      </c>
    </row>
    <row r="2487" spans="1:6" x14ac:dyDescent="0.25">
      <c r="A2487" s="308">
        <v>43159</v>
      </c>
      <c r="B2487" s="309" t="s">
        <v>486</v>
      </c>
      <c r="C2487" s="309" t="s">
        <v>503</v>
      </c>
      <c r="D2487" s="136" t="str">
        <f t="array" ref="D2487">IF(E2487=0,0,(INDEX(AccountCodes[ACCOUNT NAME],MATCH(E2487,AccountCodes[NGAS CODE],0))))</f>
        <v>Other Bonuses and Allowances - Children Allowance</v>
      </c>
      <c r="E2487" s="309" t="s">
        <v>7</v>
      </c>
      <c r="F2487" s="501">
        <v>60</v>
      </c>
    </row>
    <row r="2488" spans="1:6" x14ac:dyDescent="0.25">
      <c r="A2488" s="308">
        <v>43190</v>
      </c>
      <c r="B2488" s="309" t="s">
        <v>486</v>
      </c>
      <c r="C2488" s="309" t="s">
        <v>503</v>
      </c>
      <c r="D2488" s="136" t="str">
        <f t="array" ref="D2488">IF(E2488=0,0,(INDEX(AccountCodes[ACCOUNT NAME],MATCH(E2488,AccountCodes[NGAS CODE],0))))</f>
        <v>Other Bonuses and Allowances - Children Allowance</v>
      </c>
      <c r="E2488" s="309" t="s">
        <v>7</v>
      </c>
      <c r="F2488" s="501">
        <v>60</v>
      </c>
    </row>
    <row r="2489" spans="1:6" x14ac:dyDescent="0.25">
      <c r="A2489" s="308">
        <v>43220</v>
      </c>
      <c r="B2489" s="309" t="s">
        <v>486</v>
      </c>
      <c r="C2489" s="309" t="s">
        <v>503</v>
      </c>
      <c r="D2489" s="136" t="str">
        <f t="array" ref="D2489">IF(E2489=0,0,(INDEX(AccountCodes[ACCOUNT NAME],MATCH(E2489,AccountCodes[NGAS CODE],0))))</f>
        <v>Other Bonuses and Allowances - Children Allowance</v>
      </c>
      <c r="E2489" s="309" t="s">
        <v>7</v>
      </c>
      <c r="F2489" s="501">
        <v>60</v>
      </c>
    </row>
    <row r="2490" spans="1:6" x14ac:dyDescent="0.25">
      <c r="A2490" s="308">
        <v>43251</v>
      </c>
      <c r="B2490" s="309" t="s">
        <v>486</v>
      </c>
      <c r="C2490" s="309" t="s">
        <v>503</v>
      </c>
      <c r="D2490" s="136" t="str">
        <f t="array" ref="D2490">IF(E2490=0,0,(INDEX(AccountCodes[ACCOUNT NAME],MATCH(E2490,AccountCodes[NGAS CODE],0))))</f>
        <v>Other Bonuses and Allowances - Children Allowance</v>
      </c>
      <c r="E2490" s="309" t="s">
        <v>7</v>
      </c>
      <c r="F2490" s="501">
        <v>60</v>
      </c>
    </row>
    <row r="2491" spans="1:6" x14ac:dyDescent="0.25">
      <c r="A2491" s="308">
        <v>43281</v>
      </c>
      <c r="B2491" s="309" t="s">
        <v>486</v>
      </c>
      <c r="C2491" s="309" t="s">
        <v>503</v>
      </c>
      <c r="D2491" s="136" t="str">
        <f t="array" ref="D2491">IF(E2491=0,0,(INDEX(AccountCodes[ACCOUNT NAME],MATCH(E2491,AccountCodes[NGAS CODE],0))))</f>
        <v>Other Bonuses and Allowances - Children Allowance</v>
      </c>
      <c r="E2491" s="309" t="s">
        <v>7</v>
      </c>
      <c r="F2491" s="501">
        <v>60</v>
      </c>
    </row>
    <row r="2492" spans="1:6" x14ac:dyDescent="0.25">
      <c r="A2492" s="308">
        <v>43312</v>
      </c>
      <c r="B2492" s="309" t="s">
        <v>486</v>
      </c>
      <c r="C2492" s="309" t="s">
        <v>503</v>
      </c>
      <c r="D2492" s="136" t="str">
        <f t="array" ref="D2492">IF(E2492=0,0,(INDEX(AccountCodes[ACCOUNT NAME],MATCH(E2492,AccountCodes[NGAS CODE],0))))</f>
        <v>Other Bonuses and Allowances - Children Allowance</v>
      </c>
      <c r="E2492" s="309" t="s">
        <v>7</v>
      </c>
      <c r="F2492" s="501">
        <v>60</v>
      </c>
    </row>
    <row r="2493" spans="1:6" x14ac:dyDescent="0.25">
      <c r="A2493" s="308">
        <v>43343</v>
      </c>
      <c r="B2493" s="309" t="s">
        <v>486</v>
      </c>
      <c r="C2493" s="309" t="s">
        <v>503</v>
      </c>
      <c r="D2493" s="136" t="str">
        <f t="array" ref="D2493">IF(E2493=0,0,(INDEX(AccountCodes[ACCOUNT NAME],MATCH(E2493,AccountCodes[NGAS CODE],0))))</f>
        <v>Other Bonuses and Allowances - Children Allowance</v>
      </c>
      <c r="E2493" s="309" t="s">
        <v>7</v>
      </c>
      <c r="F2493" s="501">
        <v>60</v>
      </c>
    </row>
    <row r="2494" spans="1:6" x14ac:dyDescent="0.25">
      <c r="A2494" s="308">
        <v>43373</v>
      </c>
      <c r="B2494" s="309" t="s">
        <v>486</v>
      </c>
      <c r="C2494" s="309" t="s">
        <v>503</v>
      </c>
      <c r="D2494" s="136" t="str">
        <f t="array" ref="D2494">IF(E2494=0,0,(INDEX(AccountCodes[ACCOUNT NAME],MATCH(E2494,AccountCodes[NGAS CODE],0))))</f>
        <v>Other Bonuses and Allowances - Children Allowance</v>
      </c>
      <c r="E2494" s="309" t="s">
        <v>7</v>
      </c>
      <c r="F2494" s="501">
        <v>60</v>
      </c>
    </row>
    <row r="2495" spans="1:6" x14ac:dyDescent="0.25">
      <c r="A2495" s="308">
        <v>43404</v>
      </c>
      <c r="B2495" s="309" t="s">
        <v>486</v>
      </c>
      <c r="C2495" s="309" t="s">
        <v>503</v>
      </c>
      <c r="D2495" s="136" t="str">
        <f t="array" ref="D2495">IF(E2495=0,0,(INDEX(AccountCodes[ACCOUNT NAME],MATCH(E2495,AccountCodes[NGAS CODE],0))))</f>
        <v>Other Bonuses and Allowances - Children Allowance</v>
      </c>
      <c r="E2495" s="309" t="s">
        <v>7</v>
      </c>
      <c r="F2495" s="501">
        <v>60</v>
      </c>
    </row>
    <row r="2496" spans="1:6" x14ac:dyDescent="0.25">
      <c r="A2496" s="308">
        <v>43434</v>
      </c>
      <c r="B2496" s="309" t="s">
        <v>486</v>
      </c>
      <c r="C2496" s="309" t="s">
        <v>503</v>
      </c>
      <c r="D2496" s="136" t="str">
        <f t="array" ref="D2496">IF(E2496=0,0,(INDEX(AccountCodes[ACCOUNT NAME],MATCH(E2496,AccountCodes[NGAS CODE],0))))</f>
        <v>Other Bonuses and Allowances - Children Allowance</v>
      </c>
      <c r="E2496" s="309" t="s">
        <v>7</v>
      </c>
      <c r="F2496" s="501">
        <v>60</v>
      </c>
    </row>
    <row r="2497" spans="1:6" x14ac:dyDescent="0.25">
      <c r="A2497" s="308">
        <v>43465</v>
      </c>
      <c r="B2497" s="309" t="s">
        <v>486</v>
      </c>
      <c r="C2497" s="309" t="s">
        <v>503</v>
      </c>
      <c r="D2497" s="136" t="str">
        <f t="array" ref="D2497">IF(E2497=0,0,(INDEX(AccountCodes[ACCOUNT NAME],MATCH(E2497,AccountCodes[NGAS CODE],0))))</f>
        <v>Other Bonuses and Allowances - Children Allowance</v>
      </c>
      <c r="E2497" s="309" t="s">
        <v>7</v>
      </c>
      <c r="F2497" s="501">
        <v>60</v>
      </c>
    </row>
    <row r="2498" spans="1:6" x14ac:dyDescent="0.25">
      <c r="A2498" s="308">
        <v>43131</v>
      </c>
      <c r="B2498" s="309" t="s">
        <v>486</v>
      </c>
      <c r="C2498" s="309" t="s">
        <v>503</v>
      </c>
      <c r="D2498" s="136" t="str">
        <f t="array" ref="D2498">IF(E2498=0,0,(INDEX(AccountCodes[ACCOUNT NAME],MATCH(E2498,AccountCodes[NGAS CODE],0))))</f>
        <v>Other Bonuses and Allowances - Medical Allowance</v>
      </c>
      <c r="E2498" s="309" t="s">
        <v>5</v>
      </c>
      <c r="F2498" s="501">
        <v>600</v>
      </c>
    </row>
    <row r="2499" spans="1:6" x14ac:dyDescent="0.25">
      <c r="A2499" s="308">
        <v>43159</v>
      </c>
      <c r="B2499" s="309" t="s">
        <v>486</v>
      </c>
      <c r="C2499" s="309" t="s">
        <v>503</v>
      </c>
      <c r="D2499" s="136" t="str">
        <f t="array" ref="D2499">IF(E2499=0,0,(INDEX(AccountCodes[ACCOUNT NAME],MATCH(E2499,AccountCodes[NGAS CODE],0))))</f>
        <v>Other Bonuses and Allowances - Medical Allowance</v>
      </c>
      <c r="E2499" s="309" t="s">
        <v>5</v>
      </c>
      <c r="F2499" s="501">
        <v>600</v>
      </c>
    </row>
    <row r="2500" spans="1:6" x14ac:dyDescent="0.25">
      <c r="A2500" s="308">
        <v>43190</v>
      </c>
      <c r="B2500" s="309" t="s">
        <v>486</v>
      </c>
      <c r="C2500" s="309" t="s">
        <v>503</v>
      </c>
      <c r="D2500" s="136" t="str">
        <f t="array" ref="D2500">IF(E2500=0,0,(INDEX(AccountCodes[ACCOUNT NAME],MATCH(E2500,AccountCodes[NGAS CODE],0))))</f>
        <v>Other Bonuses and Allowances - Medical Allowance</v>
      </c>
      <c r="E2500" s="309" t="s">
        <v>5</v>
      </c>
      <c r="F2500" s="501">
        <v>600</v>
      </c>
    </row>
    <row r="2501" spans="1:6" x14ac:dyDescent="0.25">
      <c r="A2501" s="308">
        <v>43220</v>
      </c>
      <c r="B2501" s="309" t="s">
        <v>486</v>
      </c>
      <c r="C2501" s="309" t="s">
        <v>503</v>
      </c>
      <c r="D2501" s="136" t="str">
        <f t="array" ref="D2501">IF(E2501=0,0,(INDEX(AccountCodes[ACCOUNT NAME],MATCH(E2501,AccountCodes[NGAS CODE],0))))</f>
        <v>Other Bonuses and Allowances - Medical Allowance</v>
      </c>
      <c r="E2501" s="309" t="s">
        <v>5</v>
      </c>
      <c r="F2501" s="501">
        <v>600</v>
      </c>
    </row>
    <row r="2502" spans="1:6" x14ac:dyDescent="0.25">
      <c r="A2502" s="308">
        <v>43251</v>
      </c>
      <c r="B2502" s="309" t="s">
        <v>486</v>
      </c>
      <c r="C2502" s="309" t="s">
        <v>503</v>
      </c>
      <c r="D2502" s="136" t="str">
        <f t="array" ref="D2502">IF(E2502=0,0,(INDEX(AccountCodes[ACCOUNT NAME],MATCH(E2502,AccountCodes[NGAS CODE],0))))</f>
        <v>Other Bonuses and Allowances - Medical Allowance</v>
      </c>
      <c r="E2502" s="309" t="s">
        <v>5</v>
      </c>
      <c r="F2502" s="501">
        <v>600</v>
      </c>
    </row>
    <row r="2503" spans="1:6" x14ac:dyDescent="0.25">
      <c r="A2503" s="308">
        <v>43281</v>
      </c>
      <c r="B2503" s="309" t="s">
        <v>486</v>
      </c>
      <c r="C2503" s="309" t="s">
        <v>503</v>
      </c>
      <c r="D2503" s="136" t="str">
        <f t="array" ref="D2503">IF(E2503=0,0,(INDEX(AccountCodes[ACCOUNT NAME],MATCH(E2503,AccountCodes[NGAS CODE],0))))</f>
        <v>Other Bonuses and Allowances - Medical Allowance</v>
      </c>
      <c r="E2503" s="309" t="s">
        <v>5</v>
      </c>
      <c r="F2503" s="501">
        <v>600</v>
      </c>
    </row>
    <row r="2504" spans="1:6" x14ac:dyDescent="0.25">
      <c r="A2504" s="308">
        <v>43312</v>
      </c>
      <c r="B2504" s="309" t="s">
        <v>486</v>
      </c>
      <c r="C2504" s="309" t="s">
        <v>503</v>
      </c>
      <c r="D2504" s="136" t="str">
        <f t="array" ref="D2504">IF(E2504=0,0,(INDEX(AccountCodes[ACCOUNT NAME],MATCH(E2504,AccountCodes[NGAS CODE],0))))</f>
        <v>Other Bonuses and Allowances - Medical Allowance</v>
      </c>
      <c r="E2504" s="309" t="s">
        <v>5</v>
      </c>
      <c r="F2504" s="501">
        <v>600</v>
      </c>
    </row>
    <row r="2505" spans="1:6" x14ac:dyDescent="0.25">
      <c r="A2505" s="308">
        <v>43343</v>
      </c>
      <c r="B2505" s="309" t="s">
        <v>486</v>
      </c>
      <c r="C2505" s="309" t="s">
        <v>503</v>
      </c>
      <c r="D2505" s="136" t="str">
        <f t="array" ref="D2505">IF(E2505=0,0,(INDEX(AccountCodes[ACCOUNT NAME],MATCH(E2505,AccountCodes[NGAS CODE],0))))</f>
        <v>Other Bonuses and Allowances - Medical Allowance</v>
      </c>
      <c r="E2505" s="309" t="s">
        <v>5</v>
      </c>
      <c r="F2505" s="501">
        <v>600</v>
      </c>
    </row>
    <row r="2506" spans="1:6" x14ac:dyDescent="0.25">
      <c r="A2506" s="308">
        <v>43373</v>
      </c>
      <c r="B2506" s="309" t="s">
        <v>486</v>
      </c>
      <c r="C2506" s="309" t="s">
        <v>503</v>
      </c>
      <c r="D2506" s="136" t="str">
        <f t="array" ref="D2506">IF(E2506=0,0,(INDEX(AccountCodes[ACCOUNT NAME],MATCH(E2506,AccountCodes[NGAS CODE],0))))</f>
        <v>Other Bonuses and Allowances - Medical Allowance</v>
      </c>
      <c r="E2506" s="309" t="s">
        <v>5</v>
      </c>
      <c r="F2506" s="501">
        <v>600</v>
      </c>
    </row>
    <row r="2507" spans="1:6" x14ac:dyDescent="0.25">
      <c r="A2507" s="308">
        <v>43404</v>
      </c>
      <c r="B2507" s="309" t="s">
        <v>486</v>
      </c>
      <c r="C2507" s="309" t="s">
        <v>503</v>
      </c>
      <c r="D2507" s="136" t="str">
        <f t="array" ref="D2507">IF(E2507=0,0,(INDEX(AccountCodes[ACCOUNT NAME],MATCH(E2507,AccountCodes[NGAS CODE],0))))</f>
        <v>Other Bonuses and Allowances - Medical Allowance</v>
      </c>
      <c r="E2507" s="309" t="s">
        <v>5</v>
      </c>
      <c r="F2507" s="501">
        <v>600</v>
      </c>
    </row>
    <row r="2508" spans="1:6" x14ac:dyDescent="0.25">
      <c r="A2508" s="308">
        <v>43434</v>
      </c>
      <c r="B2508" s="309" t="s">
        <v>486</v>
      </c>
      <c r="C2508" s="309" t="s">
        <v>503</v>
      </c>
      <c r="D2508" s="136" t="str">
        <f t="array" ref="D2508">IF(E2508=0,0,(INDEX(AccountCodes[ACCOUNT NAME],MATCH(E2508,AccountCodes[NGAS CODE],0))))</f>
        <v>Other Bonuses and Allowances - Medical Allowance</v>
      </c>
      <c r="E2508" s="309" t="s">
        <v>5</v>
      </c>
      <c r="F2508" s="501">
        <v>600</v>
      </c>
    </row>
    <row r="2509" spans="1:6" x14ac:dyDescent="0.25">
      <c r="A2509" s="308">
        <v>43465</v>
      </c>
      <c r="B2509" s="309" t="s">
        <v>486</v>
      </c>
      <c r="C2509" s="309" t="s">
        <v>503</v>
      </c>
      <c r="D2509" s="136" t="str">
        <f t="array" ref="D2509">IF(E2509=0,0,(INDEX(AccountCodes[ACCOUNT NAME],MATCH(E2509,AccountCodes[NGAS CODE],0))))</f>
        <v>Other Bonuses and Allowances - Medical Allowance</v>
      </c>
      <c r="E2509" s="309" t="s">
        <v>5</v>
      </c>
      <c r="F2509" s="501">
        <v>600</v>
      </c>
    </row>
    <row r="2510" spans="1:6" x14ac:dyDescent="0.25">
      <c r="A2510" s="308">
        <v>43131</v>
      </c>
      <c r="B2510" s="309" t="s">
        <v>486</v>
      </c>
      <c r="C2510" s="309" t="s">
        <v>503</v>
      </c>
      <c r="D2510" s="136" t="str">
        <f t="array" ref="D2510">IF(E2510=0,0,(INDEX(AccountCodes[ACCOUNT NAME],MATCH(E2510,AccountCodes[NGAS CODE],0))))</f>
        <v>Other Bonuses and Allowances - Meal Allowance</v>
      </c>
      <c r="E2510" s="309" t="s">
        <v>6</v>
      </c>
      <c r="F2510" s="501">
        <v>198</v>
      </c>
    </row>
    <row r="2511" spans="1:6" x14ac:dyDescent="0.25">
      <c r="A2511" s="308">
        <v>43159</v>
      </c>
      <c r="B2511" s="309" t="s">
        <v>486</v>
      </c>
      <c r="C2511" s="309" t="s">
        <v>503</v>
      </c>
      <c r="D2511" s="136" t="str">
        <f t="array" ref="D2511">IF(E2511=0,0,(INDEX(AccountCodes[ACCOUNT NAME],MATCH(E2511,AccountCodes[NGAS CODE],0))))</f>
        <v>Other Bonuses and Allowances - Meal Allowance</v>
      </c>
      <c r="E2511" s="309" t="s">
        <v>6</v>
      </c>
      <c r="F2511" s="501">
        <v>198</v>
      </c>
    </row>
    <row r="2512" spans="1:6" x14ac:dyDescent="0.25">
      <c r="A2512" s="308">
        <v>43190</v>
      </c>
      <c r="B2512" s="309" t="s">
        <v>486</v>
      </c>
      <c r="C2512" s="309" t="s">
        <v>503</v>
      </c>
      <c r="D2512" s="136" t="str">
        <f t="array" ref="D2512">IF(E2512=0,0,(INDEX(AccountCodes[ACCOUNT NAME],MATCH(E2512,AccountCodes[NGAS CODE],0))))</f>
        <v>Other Bonuses and Allowances - Meal Allowance</v>
      </c>
      <c r="E2512" s="309" t="s">
        <v>6</v>
      </c>
      <c r="F2512" s="501">
        <v>198</v>
      </c>
    </row>
    <row r="2513" spans="1:6" x14ac:dyDescent="0.25">
      <c r="A2513" s="308">
        <v>43220</v>
      </c>
      <c r="B2513" s="309" t="s">
        <v>486</v>
      </c>
      <c r="C2513" s="309" t="s">
        <v>503</v>
      </c>
      <c r="D2513" s="136" t="str">
        <f t="array" ref="D2513">IF(E2513=0,0,(INDEX(AccountCodes[ACCOUNT NAME],MATCH(E2513,AccountCodes[NGAS CODE],0))))</f>
        <v>Other Bonuses and Allowances - Meal Allowance</v>
      </c>
      <c r="E2513" s="309" t="s">
        <v>6</v>
      </c>
      <c r="F2513" s="501">
        <v>198</v>
      </c>
    </row>
    <row r="2514" spans="1:6" x14ac:dyDescent="0.25">
      <c r="A2514" s="308">
        <v>43251</v>
      </c>
      <c r="B2514" s="309" t="s">
        <v>486</v>
      </c>
      <c r="C2514" s="309" t="s">
        <v>503</v>
      </c>
      <c r="D2514" s="136" t="str">
        <f t="array" ref="D2514">IF(E2514=0,0,(INDEX(AccountCodes[ACCOUNT NAME],MATCH(E2514,AccountCodes[NGAS CODE],0))))</f>
        <v>Other Bonuses and Allowances - Meal Allowance</v>
      </c>
      <c r="E2514" s="309" t="s">
        <v>6</v>
      </c>
      <c r="F2514" s="501">
        <v>198</v>
      </c>
    </row>
    <row r="2515" spans="1:6" x14ac:dyDescent="0.25">
      <c r="A2515" s="308">
        <v>43281</v>
      </c>
      <c r="B2515" s="309" t="s">
        <v>486</v>
      </c>
      <c r="C2515" s="309" t="s">
        <v>503</v>
      </c>
      <c r="D2515" s="136" t="str">
        <f t="array" ref="D2515">IF(E2515=0,0,(INDEX(AccountCodes[ACCOUNT NAME],MATCH(E2515,AccountCodes[NGAS CODE],0))))</f>
        <v>Other Bonuses and Allowances - Meal Allowance</v>
      </c>
      <c r="E2515" s="309" t="s">
        <v>6</v>
      </c>
      <c r="F2515" s="501">
        <v>198</v>
      </c>
    </row>
    <row r="2516" spans="1:6" x14ac:dyDescent="0.25">
      <c r="A2516" s="308">
        <v>43312</v>
      </c>
      <c r="B2516" s="309" t="s">
        <v>486</v>
      </c>
      <c r="C2516" s="309" t="s">
        <v>503</v>
      </c>
      <c r="D2516" s="136" t="str">
        <f t="array" ref="D2516">IF(E2516=0,0,(INDEX(AccountCodes[ACCOUNT NAME],MATCH(E2516,AccountCodes[NGAS CODE],0))))</f>
        <v>Other Bonuses and Allowances - Meal Allowance</v>
      </c>
      <c r="E2516" s="309" t="s">
        <v>6</v>
      </c>
      <c r="F2516" s="501">
        <v>198</v>
      </c>
    </row>
    <row r="2517" spans="1:6" x14ac:dyDescent="0.25">
      <c r="A2517" s="308">
        <v>43343</v>
      </c>
      <c r="B2517" s="309" t="s">
        <v>486</v>
      </c>
      <c r="C2517" s="309" t="s">
        <v>503</v>
      </c>
      <c r="D2517" s="136" t="str">
        <f t="array" ref="D2517">IF(E2517=0,0,(INDEX(AccountCodes[ACCOUNT NAME],MATCH(E2517,AccountCodes[NGAS CODE],0))))</f>
        <v>Other Bonuses and Allowances - Meal Allowance</v>
      </c>
      <c r="E2517" s="309" t="s">
        <v>6</v>
      </c>
      <c r="F2517" s="501">
        <v>198</v>
      </c>
    </row>
    <row r="2518" spans="1:6" x14ac:dyDescent="0.25">
      <c r="A2518" s="308">
        <v>43373</v>
      </c>
      <c r="B2518" s="309" t="s">
        <v>486</v>
      </c>
      <c r="C2518" s="309" t="s">
        <v>503</v>
      </c>
      <c r="D2518" s="136" t="str">
        <f t="array" ref="D2518">IF(E2518=0,0,(INDEX(AccountCodes[ACCOUNT NAME],MATCH(E2518,AccountCodes[NGAS CODE],0))))</f>
        <v>Other Bonuses and Allowances - Meal Allowance</v>
      </c>
      <c r="E2518" s="309" t="s">
        <v>6</v>
      </c>
      <c r="F2518" s="501">
        <v>198</v>
      </c>
    </row>
    <row r="2519" spans="1:6" x14ac:dyDescent="0.25">
      <c r="A2519" s="308">
        <v>43404</v>
      </c>
      <c r="B2519" s="309" t="s">
        <v>486</v>
      </c>
      <c r="C2519" s="309" t="s">
        <v>503</v>
      </c>
      <c r="D2519" s="136" t="str">
        <f t="array" ref="D2519">IF(E2519=0,0,(INDEX(AccountCodes[ACCOUNT NAME],MATCH(E2519,AccountCodes[NGAS CODE],0))))</f>
        <v>Other Bonuses and Allowances - Meal Allowance</v>
      </c>
      <c r="E2519" s="309" t="s">
        <v>6</v>
      </c>
      <c r="F2519" s="501">
        <v>198</v>
      </c>
    </row>
    <row r="2520" spans="1:6" x14ac:dyDescent="0.25">
      <c r="A2520" s="308">
        <v>43434</v>
      </c>
      <c r="B2520" s="309" t="s">
        <v>486</v>
      </c>
      <c r="C2520" s="309" t="s">
        <v>503</v>
      </c>
      <c r="D2520" s="136" t="str">
        <f t="array" ref="D2520">IF(E2520=0,0,(INDEX(AccountCodes[ACCOUNT NAME],MATCH(E2520,AccountCodes[NGAS CODE],0))))</f>
        <v>Other Bonuses and Allowances - Meal Allowance</v>
      </c>
      <c r="E2520" s="309" t="s">
        <v>6</v>
      </c>
      <c r="F2520" s="501">
        <v>198</v>
      </c>
    </row>
    <row r="2521" spans="1:6" x14ac:dyDescent="0.25">
      <c r="A2521" s="308">
        <v>43465</v>
      </c>
      <c r="B2521" s="309" t="s">
        <v>486</v>
      </c>
      <c r="C2521" s="309" t="s">
        <v>503</v>
      </c>
      <c r="D2521" s="136" t="str">
        <f t="array" ref="D2521">IF(E2521=0,0,(INDEX(AccountCodes[ACCOUNT NAME],MATCH(E2521,AccountCodes[NGAS CODE],0))))</f>
        <v>Other Bonuses and Allowances - Meal Allowance</v>
      </c>
      <c r="E2521" s="309" t="s">
        <v>6</v>
      </c>
      <c r="F2521" s="501">
        <v>198</v>
      </c>
    </row>
    <row r="2522" spans="1:6" x14ac:dyDescent="0.25">
      <c r="A2522" s="308">
        <v>43465</v>
      </c>
      <c r="B2522" s="309" t="s">
        <v>486</v>
      </c>
      <c r="C2522" s="309" t="s">
        <v>503</v>
      </c>
      <c r="D2522" s="136" t="str">
        <f t="array" ref="D2522">IF(E2522=0,0,(INDEX(AccountCodes[ACCOUNT NAME],MATCH(E2522,AccountCodes[NGAS CODE],0))))</f>
        <v>Cash Gift</v>
      </c>
      <c r="E2522" s="309" t="s">
        <v>172</v>
      </c>
      <c r="F2522" s="501">
        <v>90000</v>
      </c>
    </row>
    <row r="2523" spans="1:6" x14ac:dyDescent="0.25">
      <c r="A2523" s="308">
        <v>43251</v>
      </c>
      <c r="B2523" s="309" t="s">
        <v>486</v>
      </c>
      <c r="C2523" s="309" t="s">
        <v>503</v>
      </c>
      <c r="D2523" s="136" t="str">
        <f t="array" ref="D2523">IF(E2523=0,0,(INDEX(AccountCodes[ACCOUNT NAME],MATCH(E2523,AccountCodes[NGAS CODE],0))))</f>
        <v>Mid-Year/Year End Bonus</v>
      </c>
      <c r="E2523" s="309" t="s">
        <v>174</v>
      </c>
      <c r="F2523" s="501">
        <v>367367</v>
      </c>
    </row>
    <row r="2524" spans="1:6" x14ac:dyDescent="0.25">
      <c r="A2524" s="308">
        <v>43465</v>
      </c>
      <c r="B2524" s="309" t="s">
        <v>486</v>
      </c>
      <c r="C2524" s="309" t="s">
        <v>503</v>
      </c>
      <c r="D2524" s="136" t="str">
        <f t="array" ref="D2524">IF(E2524=0,0,(INDEX(AccountCodes[ACCOUNT NAME],MATCH(E2524,AccountCodes[NGAS CODE],0))))</f>
        <v>Mid-Year/Year End Bonus</v>
      </c>
      <c r="E2524" s="309" t="s">
        <v>174</v>
      </c>
      <c r="F2524" s="501">
        <v>367367</v>
      </c>
    </row>
    <row r="2525" spans="1:6" x14ac:dyDescent="0.25">
      <c r="A2525" s="308">
        <v>43131</v>
      </c>
      <c r="B2525" s="309" t="s">
        <v>486</v>
      </c>
      <c r="C2525" s="309" t="s">
        <v>503</v>
      </c>
      <c r="D2525" s="136" t="str">
        <f t="array" ref="D2525">IF(E2525=0,0,(INDEX(AccountCodes[ACCOUNT NAME],MATCH(E2525,AccountCodes[NGAS CODE],0))))</f>
        <v>Retirement and Life Insurance Premiums</v>
      </c>
      <c r="E2525" s="309" t="s">
        <v>175</v>
      </c>
      <c r="F2525" s="501">
        <v>44084.04</v>
      </c>
    </row>
    <row r="2526" spans="1:6" x14ac:dyDescent="0.25">
      <c r="A2526" s="308">
        <v>43159</v>
      </c>
      <c r="B2526" s="309" t="s">
        <v>486</v>
      </c>
      <c r="C2526" s="309" t="s">
        <v>503</v>
      </c>
      <c r="D2526" s="136" t="str">
        <f t="array" ref="D2526">IF(E2526=0,0,(INDEX(AccountCodes[ACCOUNT NAME],MATCH(E2526,AccountCodes[NGAS CODE],0))))</f>
        <v>Retirement and Life Insurance Premiums</v>
      </c>
      <c r="E2526" s="309" t="s">
        <v>175</v>
      </c>
      <c r="F2526" s="501">
        <v>44084.04</v>
      </c>
    </row>
    <row r="2527" spans="1:6" x14ac:dyDescent="0.25">
      <c r="A2527" s="308">
        <v>43190</v>
      </c>
      <c r="B2527" s="309" t="s">
        <v>486</v>
      </c>
      <c r="C2527" s="309" t="s">
        <v>503</v>
      </c>
      <c r="D2527" s="136" t="str">
        <f t="array" ref="D2527">IF(E2527=0,0,(INDEX(AccountCodes[ACCOUNT NAME],MATCH(E2527,AccountCodes[NGAS CODE],0))))</f>
        <v>Retirement and Life Insurance Premiums</v>
      </c>
      <c r="E2527" s="309" t="s">
        <v>175</v>
      </c>
      <c r="F2527" s="501">
        <v>44084.04</v>
      </c>
    </row>
    <row r="2528" spans="1:6" x14ac:dyDescent="0.25">
      <c r="A2528" s="308">
        <v>43220</v>
      </c>
      <c r="B2528" s="309" t="s">
        <v>486</v>
      </c>
      <c r="C2528" s="309" t="s">
        <v>503</v>
      </c>
      <c r="D2528" s="136" t="str">
        <f t="array" ref="D2528">IF(E2528=0,0,(INDEX(AccountCodes[ACCOUNT NAME],MATCH(E2528,AccountCodes[NGAS CODE],0))))</f>
        <v>Retirement and Life Insurance Premiums</v>
      </c>
      <c r="E2528" s="309" t="s">
        <v>175</v>
      </c>
      <c r="F2528" s="501">
        <v>44084.04</v>
      </c>
    </row>
    <row r="2529" spans="1:6" x14ac:dyDescent="0.25">
      <c r="A2529" s="308">
        <v>43251</v>
      </c>
      <c r="B2529" s="309" t="s">
        <v>486</v>
      </c>
      <c r="C2529" s="309" t="s">
        <v>503</v>
      </c>
      <c r="D2529" s="136" t="str">
        <f t="array" ref="D2529">IF(E2529=0,0,(INDEX(AccountCodes[ACCOUNT NAME],MATCH(E2529,AccountCodes[NGAS CODE],0))))</f>
        <v>Retirement and Life Insurance Premiums</v>
      </c>
      <c r="E2529" s="309" t="s">
        <v>175</v>
      </c>
      <c r="F2529" s="501">
        <v>44084.04</v>
      </c>
    </row>
    <row r="2530" spans="1:6" x14ac:dyDescent="0.25">
      <c r="A2530" s="308">
        <v>43281</v>
      </c>
      <c r="B2530" s="309" t="s">
        <v>486</v>
      </c>
      <c r="C2530" s="309" t="s">
        <v>503</v>
      </c>
      <c r="D2530" s="136" t="str">
        <f t="array" ref="D2530">IF(E2530=0,0,(INDEX(AccountCodes[ACCOUNT NAME],MATCH(E2530,AccountCodes[NGAS CODE],0))))</f>
        <v>Retirement and Life Insurance Premiums</v>
      </c>
      <c r="E2530" s="309" t="s">
        <v>175</v>
      </c>
      <c r="F2530" s="501">
        <v>44084.04</v>
      </c>
    </row>
    <row r="2531" spans="1:6" x14ac:dyDescent="0.25">
      <c r="A2531" s="308">
        <v>43312</v>
      </c>
      <c r="B2531" s="309" t="s">
        <v>486</v>
      </c>
      <c r="C2531" s="309" t="s">
        <v>503</v>
      </c>
      <c r="D2531" s="136" t="str">
        <f t="array" ref="D2531">IF(E2531=0,0,(INDEX(AccountCodes[ACCOUNT NAME],MATCH(E2531,AccountCodes[NGAS CODE],0))))</f>
        <v>Retirement and Life Insurance Premiums</v>
      </c>
      <c r="E2531" s="309" t="s">
        <v>175</v>
      </c>
      <c r="F2531" s="501">
        <v>44084.04</v>
      </c>
    </row>
    <row r="2532" spans="1:6" x14ac:dyDescent="0.25">
      <c r="A2532" s="308">
        <v>43343</v>
      </c>
      <c r="B2532" s="309" t="s">
        <v>486</v>
      </c>
      <c r="C2532" s="309" t="s">
        <v>503</v>
      </c>
      <c r="D2532" s="136" t="str">
        <f t="array" ref="D2532">IF(E2532=0,0,(INDEX(AccountCodes[ACCOUNT NAME],MATCH(E2532,AccountCodes[NGAS CODE],0))))</f>
        <v>Retirement and Life Insurance Premiums</v>
      </c>
      <c r="E2532" s="309" t="s">
        <v>175</v>
      </c>
      <c r="F2532" s="501">
        <v>44084.04</v>
      </c>
    </row>
    <row r="2533" spans="1:6" x14ac:dyDescent="0.25">
      <c r="A2533" s="308">
        <v>43373</v>
      </c>
      <c r="B2533" s="309" t="s">
        <v>486</v>
      </c>
      <c r="C2533" s="309" t="s">
        <v>503</v>
      </c>
      <c r="D2533" s="136" t="str">
        <f t="array" ref="D2533">IF(E2533=0,0,(INDEX(AccountCodes[ACCOUNT NAME],MATCH(E2533,AccountCodes[NGAS CODE],0))))</f>
        <v>Retirement and Life Insurance Premiums</v>
      </c>
      <c r="E2533" s="309" t="s">
        <v>175</v>
      </c>
      <c r="F2533" s="501">
        <v>44084.04</v>
      </c>
    </row>
    <row r="2534" spans="1:6" x14ac:dyDescent="0.25">
      <c r="A2534" s="308">
        <v>43404</v>
      </c>
      <c r="B2534" s="309" t="s">
        <v>486</v>
      </c>
      <c r="C2534" s="309" t="s">
        <v>503</v>
      </c>
      <c r="D2534" s="136" t="str">
        <f t="array" ref="D2534">IF(E2534=0,0,(INDEX(AccountCodes[ACCOUNT NAME],MATCH(E2534,AccountCodes[NGAS CODE],0))))</f>
        <v>Retirement and Life Insurance Premiums</v>
      </c>
      <c r="E2534" s="309" t="s">
        <v>175</v>
      </c>
      <c r="F2534" s="501">
        <v>44084.04</v>
      </c>
    </row>
    <row r="2535" spans="1:6" x14ac:dyDescent="0.25">
      <c r="A2535" s="308">
        <v>43434</v>
      </c>
      <c r="B2535" s="309" t="s">
        <v>486</v>
      </c>
      <c r="C2535" s="309" t="s">
        <v>503</v>
      </c>
      <c r="D2535" s="136" t="str">
        <f t="array" ref="D2535">IF(E2535=0,0,(INDEX(AccountCodes[ACCOUNT NAME],MATCH(E2535,AccountCodes[NGAS CODE],0))))</f>
        <v>Retirement and Life Insurance Premiums</v>
      </c>
      <c r="E2535" s="309" t="s">
        <v>175</v>
      </c>
      <c r="F2535" s="501">
        <v>44084.04</v>
      </c>
    </row>
    <row r="2536" spans="1:6" x14ac:dyDescent="0.25">
      <c r="A2536" s="308">
        <v>43465</v>
      </c>
      <c r="B2536" s="309" t="s">
        <v>486</v>
      </c>
      <c r="C2536" s="309" t="s">
        <v>503</v>
      </c>
      <c r="D2536" s="136" t="str">
        <f t="array" ref="D2536">IF(E2536=0,0,(INDEX(AccountCodes[ACCOUNT NAME],MATCH(E2536,AccountCodes[NGAS CODE],0))))</f>
        <v>Retirement and Life Insurance Premiums</v>
      </c>
      <c r="E2536" s="309" t="s">
        <v>175</v>
      </c>
      <c r="F2536" s="501">
        <v>44084.04</v>
      </c>
    </row>
    <row r="2537" spans="1:6" x14ac:dyDescent="0.25">
      <c r="A2537" s="308">
        <v>43131</v>
      </c>
      <c r="B2537" s="309" t="s">
        <v>486</v>
      </c>
      <c r="C2537" s="309" t="s">
        <v>503</v>
      </c>
      <c r="D2537" s="136" t="str">
        <f t="array" ref="D2537">IF(E2537=0,0,(INDEX(AccountCodes[ACCOUNT NAME],MATCH(E2537,AccountCodes[NGAS CODE],0))))</f>
        <v>Pag-IBIG Contributions</v>
      </c>
      <c r="E2537" s="309" t="s">
        <v>176</v>
      </c>
      <c r="F2537" s="501">
        <v>1800</v>
      </c>
    </row>
    <row r="2538" spans="1:6" x14ac:dyDescent="0.25">
      <c r="A2538" s="308">
        <v>43159</v>
      </c>
      <c r="B2538" s="309" t="s">
        <v>486</v>
      </c>
      <c r="C2538" s="309" t="s">
        <v>503</v>
      </c>
      <c r="D2538" s="136" t="str">
        <f t="array" ref="D2538">IF(E2538=0,0,(INDEX(AccountCodes[ACCOUNT NAME],MATCH(E2538,AccountCodes[NGAS CODE],0))))</f>
        <v>Pag-IBIG Contributions</v>
      </c>
      <c r="E2538" s="309" t="s">
        <v>176</v>
      </c>
      <c r="F2538" s="501">
        <v>1800</v>
      </c>
    </row>
    <row r="2539" spans="1:6" x14ac:dyDescent="0.25">
      <c r="A2539" s="308">
        <v>43190</v>
      </c>
      <c r="B2539" s="309" t="s">
        <v>486</v>
      </c>
      <c r="C2539" s="309" t="s">
        <v>503</v>
      </c>
      <c r="D2539" s="136" t="str">
        <f t="array" ref="D2539">IF(E2539=0,0,(INDEX(AccountCodes[ACCOUNT NAME],MATCH(E2539,AccountCodes[NGAS CODE],0))))</f>
        <v>Pag-IBIG Contributions</v>
      </c>
      <c r="E2539" s="309" t="s">
        <v>176</v>
      </c>
      <c r="F2539" s="501">
        <v>1800</v>
      </c>
    </row>
    <row r="2540" spans="1:6" x14ac:dyDescent="0.25">
      <c r="A2540" s="308">
        <v>43220</v>
      </c>
      <c r="B2540" s="309" t="s">
        <v>486</v>
      </c>
      <c r="C2540" s="309" t="s">
        <v>503</v>
      </c>
      <c r="D2540" s="136" t="str">
        <f t="array" ref="D2540">IF(E2540=0,0,(INDEX(AccountCodes[ACCOUNT NAME],MATCH(E2540,AccountCodes[NGAS CODE],0))))</f>
        <v>Pag-IBIG Contributions</v>
      </c>
      <c r="E2540" s="309" t="s">
        <v>176</v>
      </c>
      <c r="F2540" s="501">
        <v>1800</v>
      </c>
    </row>
    <row r="2541" spans="1:6" x14ac:dyDescent="0.25">
      <c r="A2541" s="308">
        <v>43251</v>
      </c>
      <c r="B2541" s="309" t="s">
        <v>486</v>
      </c>
      <c r="C2541" s="309" t="s">
        <v>503</v>
      </c>
      <c r="D2541" s="136" t="str">
        <f t="array" ref="D2541">IF(E2541=0,0,(INDEX(AccountCodes[ACCOUNT NAME],MATCH(E2541,AccountCodes[NGAS CODE],0))))</f>
        <v>Pag-IBIG Contributions</v>
      </c>
      <c r="E2541" s="309" t="s">
        <v>176</v>
      </c>
      <c r="F2541" s="501">
        <v>1800</v>
      </c>
    </row>
    <row r="2542" spans="1:6" x14ac:dyDescent="0.25">
      <c r="A2542" s="308">
        <v>43281</v>
      </c>
      <c r="B2542" s="309" t="s">
        <v>486</v>
      </c>
      <c r="C2542" s="309" t="s">
        <v>503</v>
      </c>
      <c r="D2542" s="136" t="str">
        <f t="array" ref="D2542">IF(E2542=0,0,(INDEX(AccountCodes[ACCOUNT NAME],MATCH(E2542,AccountCodes[NGAS CODE],0))))</f>
        <v>Pag-IBIG Contributions</v>
      </c>
      <c r="E2542" s="309" t="s">
        <v>176</v>
      </c>
      <c r="F2542" s="501">
        <v>1800</v>
      </c>
    </row>
    <row r="2543" spans="1:6" x14ac:dyDescent="0.25">
      <c r="A2543" s="308">
        <v>43312</v>
      </c>
      <c r="B2543" s="309" t="s">
        <v>486</v>
      </c>
      <c r="C2543" s="309" t="s">
        <v>503</v>
      </c>
      <c r="D2543" s="136" t="str">
        <f t="array" ref="D2543">IF(E2543=0,0,(INDEX(AccountCodes[ACCOUNT NAME],MATCH(E2543,AccountCodes[NGAS CODE],0))))</f>
        <v>Pag-IBIG Contributions</v>
      </c>
      <c r="E2543" s="309" t="s">
        <v>176</v>
      </c>
      <c r="F2543" s="501">
        <v>1800</v>
      </c>
    </row>
    <row r="2544" spans="1:6" x14ac:dyDescent="0.25">
      <c r="A2544" s="308">
        <v>43343</v>
      </c>
      <c r="B2544" s="309" t="s">
        <v>486</v>
      </c>
      <c r="C2544" s="309" t="s">
        <v>503</v>
      </c>
      <c r="D2544" s="136" t="str">
        <f t="array" ref="D2544">IF(E2544=0,0,(INDEX(AccountCodes[ACCOUNT NAME],MATCH(E2544,AccountCodes[NGAS CODE],0))))</f>
        <v>Pag-IBIG Contributions</v>
      </c>
      <c r="E2544" s="309" t="s">
        <v>176</v>
      </c>
      <c r="F2544" s="501">
        <v>1800</v>
      </c>
    </row>
    <row r="2545" spans="1:6" x14ac:dyDescent="0.25">
      <c r="A2545" s="308">
        <v>43373</v>
      </c>
      <c r="B2545" s="309" t="s">
        <v>486</v>
      </c>
      <c r="C2545" s="309" t="s">
        <v>503</v>
      </c>
      <c r="D2545" s="136" t="str">
        <f t="array" ref="D2545">IF(E2545=0,0,(INDEX(AccountCodes[ACCOUNT NAME],MATCH(E2545,AccountCodes[NGAS CODE],0))))</f>
        <v>Pag-IBIG Contributions</v>
      </c>
      <c r="E2545" s="309" t="s">
        <v>176</v>
      </c>
      <c r="F2545" s="501">
        <v>1800</v>
      </c>
    </row>
    <row r="2546" spans="1:6" x14ac:dyDescent="0.25">
      <c r="A2546" s="308">
        <v>43404</v>
      </c>
      <c r="B2546" s="309" t="s">
        <v>486</v>
      </c>
      <c r="C2546" s="309" t="s">
        <v>503</v>
      </c>
      <c r="D2546" s="136" t="str">
        <f t="array" ref="D2546">IF(E2546=0,0,(INDEX(AccountCodes[ACCOUNT NAME],MATCH(E2546,AccountCodes[NGAS CODE],0))))</f>
        <v>Pag-IBIG Contributions</v>
      </c>
      <c r="E2546" s="309" t="s">
        <v>176</v>
      </c>
      <c r="F2546" s="501">
        <v>1800</v>
      </c>
    </row>
    <row r="2547" spans="1:6" x14ac:dyDescent="0.25">
      <c r="A2547" s="308">
        <v>43434</v>
      </c>
      <c r="B2547" s="309" t="s">
        <v>486</v>
      </c>
      <c r="C2547" s="309" t="s">
        <v>503</v>
      </c>
      <c r="D2547" s="136" t="str">
        <f t="array" ref="D2547">IF(E2547=0,0,(INDEX(AccountCodes[ACCOUNT NAME],MATCH(E2547,AccountCodes[NGAS CODE],0))))</f>
        <v>Pag-IBIG Contributions</v>
      </c>
      <c r="E2547" s="309" t="s">
        <v>176</v>
      </c>
      <c r="F2547" s="501">
        <v>1800</v>
      </c>
    </row>
    <row r="2548" spans="1:6" x14ac:dyDescent="0.25">
      <c r="A2548" s="308">
        <v>43465</v>
      </c>
      <c r="B2548" s="309" t="s">
        <v>486</v>
      </c>
      <c r="C2548" s="309" t="s">
        <v>503</v>
      </c>
      <c r="D2548" s="136" t="str">
        <f t="array" ref="D2548">IF(E2548=0,0,(INDEX(AccountCodes[ACCOUNT NAME],MATCH(E2548,AccountCodes[NGAS CODE],0))))</f>
        <v>Pag-IBIG Contributions</v>
      </c>
      <c r="E2548" s="309" t="s">
        <v>176</v>
      </c>
      <c r="F2548" s="501">
        <v>1800</v>
      </c>
    </row>
    <row r="2549" spans="1:6" x14ac:dyDescent="0.25">
      <c r="A2549" s="308">
        <v>43131</v>
      </c>
      <c r="B2549" s="309" t="s">
        <v>486</v>
      </c>
      <c r="C2549" s="309" t="s">
        <v>503</v>
      </c>
      <c r="D2549" s="136" t="str">
        <f t="array" ref="D2549">IF(E2549=0,0,(INDEX(AccountCodes[ACCOUNT NAME],MATCH(E2549,AccountCodes[NGAS CODE],0))))</f>
        <v>PhilHealth Contributions</v>
      </c>
      <c r="E2549" s="309" t="s">
        <v>177</v>
      </c>
      <c r="F2549" s="501">
        <v>4387.5</v>
      </c>
    </row>
    <row r="2550" spans="1:6" x14ac:dyDescent="0.25">
      <c r="A2550" s="308">
        <v>43159</v>
      </c>
      <c r="B2550" s="309" t="s">
        <v>486</v>
      </c>
      <c r="C2550" s="309" t="s">
        <v>503</v>
      </c>
      <c r="D2550" s="136" t="str">
        <f t="array" ref="D2550">IF(E2550=0,0,(INDEX(AccountCodes[ACCOUNT NAME],MATCH(E2550,AccountCodes[NGAS CODE],0))))</f>
        <v>PhilHealth Contributions</v>
      </c>
      <c r="E2550" s="309" t="s">
        <v>177</v>
      </c>
      <c r="F2550" s="501">
        <v>4387.5</v>
      </c>
    </row>
    <row r="2551" spans="1:6" x14ac:dyDescent="0.25">
      <c r="A2551" s="308">
        <v>43190</v>
      </c>
      <c r="B2551" s="309" t="s">
        <v>486</v>
      </c>
      <c r="C2551" s="309" t="s">
        <v>503</v>
      </c>
      <c r="D2551" s="136" t="str">
        <f t="array" ref="D2551">IF(E2551=0,0,(INDEX(AccountCodes[ACCOUNT NAME],MATCH(E2551,AccountCodes[NGAS CODE],0))))</f>
        <v>PhilHealth Contributions</v>
      </c>
      <c r="E2551" s="309" t="s">
        <v>177</v>
      </c>
      <c r="F2551" s="501">
        <v>4387.5</v>
      </c>
    </row>
    <row r="2552" spans="1:6" x14ac:dyDescent="0.25">
      <c r="A2552" s="308">
        <v>43220</v>
      </c>
      <c r="B2552" s="309" t="s">
        <v>486</v>
      </c>
      <c r="C2552" s="309" t="s">
        <v>503</v>
      </c>
      <c r="D2552" s="136" t="str">
        <f t="array" ref="D2552">IF(E2552=0,0,(INDEX(AccountCodes[ACCOUNT NAME],MATCH(E2552,AccountCodes[NGAS CODE],0))))</f>
        <v>PhilHealth Contributions</v>
      </c>
      <c r="E2552" s="309" t="s">
        <v>177</v>
      </c>
      <c r="F2552" s="501">
        <v>4387.5</v>
      </c>
    </row>
    <row r="2553" spans="1:6" x14ac:dyDescent="0.25">
      <c r="A2553" s="308">
        <v>43251</v>
      </c>
      <c r="B2553" s="309" t="s">
        <v>486</v>
      </c>
      <c r="C2553" s="309" t="s">
        <v>503</v>
      </c>
      <c r="D2553" s="136" t="str">
        <f t="array" ref="D2553">IF(E2553=0,0,(INDEX(AccountCodes[ACCOUNT NAME],MATCH(E2553,AccountCodes[NGAS CODE],0))))</f>
        <v>PhilHealth Contributions</v>
      </c>
      <c r="E2553" s="309" t="s">
        <v>177</v>
      </c>
      <c r="F2553" s="501">
        <v>4387.5</v>
      </c>
    </row>
    <row r="2554" spans="1:6" x14ac:dyDescent="0.25">
      <c r="A2554" s="308">
        <v>43281</v>
      </c>
      <c r="B2554" s="309" t="s">
        <v>486</v>
      </c>
      <c r="C2554" s="309" t="s">
        <v>503</v>
      </c>
      <c r="D2554" s="136" t="str">
        <f t="array" ref="D2554">IF(E2554=0,0,(INDEX(AccountCodes[ACCOUNT NAME],MATCH(E2554,AccountCodes[NGAS CODE],0))))</f>
        <v>PhilHealth Contributions</v>
      </c>
      <c r="E2554" s="309" t="s">
        <v>177</v>
      </c>
      <c r="F2554" s="501">
        <v>4387.5</v>
      </c>
    </row>
    <row r="2555" spans="1:6" x14ac:dyDescent="0.25">
      <c r="A2555" s="308">
        <v>43312</v>
      </c>
      <c r="B2555" s="309" t="s">
        <v>486</v>
      </c>
      <c r="C2555" s="309" t="s">
        <v>503</v>
      </c>
      <c r="D2555" s="136" t="str">
        <f t="array" ref="D2555">IF(E2555=0,0,(INDEX(AccountCodes[ACCOUNT NAME],MATCH(E2555,AccountCodes[NGAS CODE],0))))</f>
        <v>PhilHealth Contributions</v>
      </c>
      <c r="E2555" s="309" t="s">
        <v>177</v>
      </c>
      <c r="F2555" s="501">
        <v>4387.5</v>
      </c>
    </row>
    <row r="2556" spans="1:6" x14ac:dyDescent="0.25">
      <c r="A2556" s="308">
        <v>43343</v>
      </c>
      <c r="B2556" s="309" t="s">
        <v>486</v>
      </c>
      <c r="C2556" s="309" t="s">
        <v>503</v>
      </c>
      <c r="D2556" s="136" t="str">
        <f t="array" ref="D2556">IF(E2556=0,0,(INDEX(AccountCodes[ACCOUNT NAME],MATCH(E2556,AccountCodes[NGAS CODE],0))))</f>
        <v>PhilHealth Contributions</v>
      </c>
      <c r="E2556" s="309" t="s">
        <v>177</v>
      </c>
      <c r="F2556" s="501">
        <v>4387.5</v>
      </c>
    </row>
    <row r="2557" spans="1:6" x14ac:dyDescent="0.25">
      <c r="A2557" s="308">
        <v>43373</v>
      </c>
      <c r="B2557" s="309" t="s">
        <v>486</v>
      </c>
      <c r="C2557" s="309" t="s">
        <v>503</v>
      </c>
      <c r="D2557" s="136" t="str">
        <f t="array" ref="D2557">IF(E2557=0,0,(INDEX(AccountCodes[ACCOUNT NAME],MATCH(E2557,AccountCodes[NGAS CODE],0))))</f>
        <v>PhilHealth Contributions</v>
      </c>
      <c r="E2557" s="309" t="s">
        <v>177</v>
      </c>
      <c r="F2557" s="501">
        <v>4387.5</v>
      </c>
    </row>
    <row r="2558" spans="1:6" x14ac:dyDescent="0.25">
      <c r="A2558" s="308">
        <v>43404</v>
      </c>
      <c r="B2558" s="309" t="s">
        <v>486</v>
      </c>
      <c r="C2558" s="309" t="s">
        <v>503</v>
      </c>
      <c r="D2558" s="136" t="str">
        <f t="array" ref="D2558">IF(E2558=0,0,(INDEX(AccountCodes[ACCOUNT NAME],MATCH(E2558,AccountCodes[NGAS CODE],0))))</f>
        <v>PhilHealth Contributions</v>
      </c>
      <c r="E2558" s="309" t="s">
        <v>177</v>
      </c>
      <c r="F2558" s="501">
        <v>4387.5</v>
      </c>
    </row>
    <row r="2559" spans="1:6" x14ac:dyDescent="0.25">
      <c r="A2559" s="308">
        <v>43434</v>
      </c>
      <c r="B2559" s="309" t="s">
        <v>486</v>
      </c>
      <c r="C2559" s="309" t="s">
        <v>503</v>
      </c>
      <c r="D2559" s="136" t="str">
        <f t="array" ref="D2559">IF(E2559=0,0,(INDEX(AccountCodes[ACCOUNT NAME],MATCH(E2559,AccountCodes[NGAS CODE],0))))</f>
        <v>PhilHealth Contributions</v>
      </c>
      <c r="E2559" s="309" t="s">
        <v>177</v>
      </c>
      <c r="F2559" s="501">
        <v>4387.5</v>
      </c>
    </row>
    <row r="2560" spans="1:6" x14ac:dyDescent="0.25">
      <c r="A2560" s="308">
        <v>43465</v>
      </c>
      <c r="B2560" s="309" t="s">
        <v>486</v>
      </c>
      <c r="C2560" s="309" t="s">
        <v>503</v>
      </c>
      <c r="D2560" s="136" t="str">
        <f t="array" ref="D2560">IF(E2560=0,0,(INDEX(AccountCodes[ACCOUNT NAME],MATCH(E2560,AccountCodes[NGAS CODE],0))))</f>
        <v>PhilHealth Contributions</v>
      </c>
      <c r="E2560" s="309" t="s">
        <v>177</v>
      </c>
      <c r="F2560" s="501">
        <v>4387.5</v>
      </c>
    </row>
    <row r="2561" spans="1:6" x14ac:dyDescent="0.25">
      <c r="A2561" s="308">
        <v>43131</v>
      </c>
      <c r="B2561" s="309" t="s">
        <v>486</v>
      </c>
      <c r="C2561" s="309" t="s">
        <v>503</v>
      </c>
      <c r="D2561" s="136" t="str">
        <f t="array" ref="D2561">IF(E2561=0,0,(INDEX(AccountCodes[ACCOUNT NAME],MATCH(E2561,AccountCodes[NGAS CODE],0))))</f>
        <v>Employees Compensation Insurance Premiums</v>
      </c>
      <c r="E2561" s="309" t="s">
        <v>178</v>
      </c>
      <c r="F2561" s="501">
        <v>1800</v>
      </c>
    </row>
    <row r="2562" spans="1:6" x14ac:dyDescent="0.25">
      <c r="A2562" s="308">
        <v>43159</v>
      </c>
      <c r="B2562" s="309" t="s">
        <v>486</v>
      </c>
      <c r="C2562" s="309" t="s">
        <v>503</v>
      </c>
      <c r="D2562" s="136" t="str">
        <f t="array" ref="D2562">IF(E2562=0,0,(INDEX(AccountCodes[ACCOUNT NAME],MATCH(E2562,AccountCodes[NGAS CODE],0))))</f>
        <v>Employees Compensation Insurance Premiums</v>
      </c>
      <c r="E2562" s="309" t="s">
        <v>178</v>
      </c>
      <c r="F2562" s="501">
        <v>1800</v>
      </c>
    </row>
    <row r="2563" spans="1:6" x14ac:dyDescent="0.25">
      <c r="A2563" s="308">
        <v>43190</v>
      </c>
      <c r="B2563" s="309" t="s">
        <v>486</v>
      </c>
      <c r="C2563" s="309" t="s">
        <v>503</v>
      </c>
      <c r="D2563" s="136" t="str">
        <f t="array" ref="D2563">IF(E2563=0,0,(INDEX(AccountCodes[ACCOUNT NAME],MATCH(E2563,AccountCodes[NGAS CODE],0))))</f>
        <v>Employees Compensation Insurance Premiums</v>
      </c>
      <c r="E2563" s="309" t="s">
        <v>178</v>
      </c>
      <c r="F2563" s="501">
        <v>1800</v>
      </c>
    </row>
    <row r="2564" spans="1:6" x14ac:dyDescent="0.25">
      <c r="A2564" s="308">
        <v>43220</v>
      </c>
      <c r="B2564" s="309" t="s">
        <v>486</v>
      </c>
      <c r="C2564" s="309" t="s">
        <v>503</v>
      </c>
      <c r="D2564" s="136" t="str">
        <f t="array" ref="D2564">IF(E2564=0,0,(INDEX(AccountCodes[ACCOUNT NAME],MATCH(E2564,AccountCodes[NGAS CODE],0))))</f>
        <v>Employees Compensation Insurance Premiums</v>
      </c>
      <c r="E2564" s="309" t="s">
        <v>178</v>
      </c>
      <c r="F2564" s="501">
        <v>1800</v>
      </c>
    </row>
    <row r="2565" spans="1:6" x14ac:dyDescent="0.25">
      <c r="A2565" s="308">
        <v>43251</v>
      </c>
      <c r="B2565" s="309" t="s">
        <v>486</v>
      </c>
      <c r="C2565" s="309" t="s">
        <v>503</v>
      </c>
      <c r="D2565" s="136" t="str">
        <f t="array" ref="D2565">IF(E2565=0,0,(INDEX(AccountCodes[ACCOUNT NAME],MATCH(E2565,AccountCodes[NGAS CODE],0))))</f>
        <v>Employees Compensation Insurance Premiums</v>
      </c>
      <c r="E2565" s="309" t="s">
        <v>178</v>
      </c>
      <c r="F2565" s="501">
        <v>1800</v>
      </c>
    </row>
    <row r="2566" spans="1:6" x14ac:dyDescent="0.25">
      <c r="A2566" s="308">
        <v>43281</v>
      </c>
      <c r="B2566" s="309" t="s">
        <v>486</v>
      </c>
      <c r="C2566" s="309" t="s">
        <v>503</v>
      </c>
      <c r="D2566" s="136" t="str">
        <f t="array" ref="D2566">IF(E2566=0,0,(INDEX(AccountCodes[ACCOUNT NAME],MATCH(E2566,AccountCodes[NGAS CODE],0))))</f>
        <v>Employees Compensation Insurance Premiums</v>
      </c>
      <c r="E2566" s="309" t="s">
        <v>178</v>
      </c>
      <c r="F2566" s="501">
        <v>1800</v>
      </c>
    </row>
    <row r="2567" spans="1:6" x14ac:dyDescent="0.25">
      <c r="A2567" s="308">
        <v>43312</v>
      </c>
      <c r="B2567" s="309" t="s">
        <v>486</v>
      </c>
      <c r="C2567" s="309" t="s">
        <v>503</v>
      </c>
      <c r="D2567" s="136" t="str">
        <f t="array" ref="D2567">IF(E2567=0,0,(INDEX(AccountCodes[ACCOUNT NAME],MATCH(E2567,AccountCodes[NGAS CODE],0))))</f>
        <v>Employees Compensation Insurance Premiums</v>
      </c>
      <c r="E2567" s="309" t="s">
        <v>178</v>
      </c>
      <c r="F2567" s="501">
        <v>1800</v>
      </c>
    </row>
    <row r="2568" spans="1:6" x14ac:dyDescent="0.25">
      <c r="A2568" s="308">
        <v>43343</v>
      </c>
      <c r="B2568" s="309" t="s">
        <v>486</v>
      </c>
      <c r="C2568" s="309" t="s">
        <v>503</v>
      </c>
      <c r="D2568" s="136" t="str">
        <f t="array" ref="D2568">IF(E2568=0,0,(INDEX(AccountCodes[ACCOUNT NAME],MATCH(E2568,AccountCodes[NGAS CODE],0))))</f>
        <v>Employees Compensation Insurance Premiums</v>
      </c>
      <c r="E2568" s="309" t="s">
        <v>178</v>
      </c>
      <c r="F2568" s="501">
        <v>1800</v>
      </c>
    </row>
    <row r="2569" spans="1:6" x14ac:dyDescent="0.25">
      <c r="A2569" s="308">
        <v>43373</v>
      </c>
      <c r="B2569" s="309" t="s">
        <v>486</v>
      </c>
      <c r="C2569" s="309" t="s">
        <v>503</v>
      </c>
      <c r="D2569" s="136" t="str">
        <f t="array" ref="D2569">IF(E2569=0,0,(INDEX(AccountCodes[ACCOUNT NAME],MATCH(E2569,AccountCodes[NGAS CODE],0))))</f>
        <v>Employees Compensation Insurance Premiums</v>
      </c>
      <c r="E2569" s="309" t="s">
        <v>178</v>
      </c>
      <c r="F2569" s="501">
        <v>1800</v>
      </c>
    </row>
    <row r="2570" spans="1:6" x14ac:dyDescent="0.25">
      <c r="A2570" s="308">
        <v>43404</v>
      </c>
      <c r="B2570" s="309" t="s">
        <v>486</v>
      </c>
      <c r="C2570" s="309" t="s">
        <v>503</v>
      </c>
      <c r="D2570" s="136" t="str">
        <f t="array" ref="D2570">IF(E2570=0,0,(INDEX(AccountCodes[ACCOUNT NAME],MATCH(E2570,AccountCodes[NGAS CODE],0))))</f>
        <v>Employees Compensation Insurance Premiums</v>
      </c>
      <c r="E2570" s="309" t="s">
        <v>178</v>
      </c>
      <c r="F2570" s="501">
        <v>1800</v>
      </c>
    </row>
    <row r="2571" spans="1:6" x14ac:dyDescent="0.25">
      <c r="A2571" s="308">
        <v>43434</v>
      </c>
      <c r="B2571" s="309" t="s">
        <v>486</v>
      </c>
      <c r="C2571" s="309" t="s">
        <v>503</v>
      </c>
      <c r="D2571" s="136" t="str">
        <f t="array" ref="D2571">IF(E2571=0,0,(INDEX(AccountCodes[ACCOUNT NAME],MATCH(E2571,AccountCodes[NGAS CODE],0))))</f>
        <v>Employees Compensation Insurance Premiums</v>
      </c>
      <c r="E2571" s="309" t="s">
        <v>178</v>
      </c>
      <c r="F2571" s="501">
        <v>1800</v>
      </c>
    </row>
    <row r="2572" spans="1:6" x14ac:dyDescent="0.25">
      <c r="A2572" s="308">
        <v>43465</v>
      </c>
      <c r="B2572" s="309" t="s">
        <v>486</v>
      </c>
      <c r="C2572" s="309" t="s">
        <v>503</v>
      </c>
      <c r="D2572" s="136" t="str">
        <f t="array" ref="D2572">IF(E2572=0,0,(INDEX(AccountCodes[ACCOUNT NAME],MATCH(E2572,AccountCodes[NGAS CODE],0))))</f>
        <v>Employees Compensation Insurance Premiums</v>
      </c>
      <c r="E2572" s="309" t="s">
        <v>178</v>
      </c>
      <c r="F2572" s="501">
        <v>1800</v>
      </c>
    </row>
    <row r="2573" spans="1:6" x14ac:dyDescent="0.25">
      <c r="A2573" s="308">
        <v>43131</v>
      </c>
      <c r="B2573" s="309" t="s">
        <v>486</v>
      </c>
      <c r="C2573" s="309" t="s">
        <v>503</v>
      </c>
      <c r="D2573" s="136" t="str">
        <f t="array" ref="D2573">IF(E2573=0,0,(INDEX(AccountCodes[ACCOUNT NAME],MATCH(E2573,AccountCodes[NGAS CODE],0))))</f>
        <v>Fuel, Oil and Lubricants Expenses</v>
      </c>
      <c r="E2573" s="309" t="s">
        <v>229</v>
      </c>
      <c r="F2573" s="501">
        <v>106903.98</v>
      </c>
    </row>
    <row r="2574" spans="1:6" x14ac:dyDescent="0.25">
      <c r="A2574" s="308">
        <v>43159</v>
      </c>
      <c r="B2574" s="309" t="s">
        <v>486</v>
      </c>
      <c r="C2574" s="309" t="s">
        <v>503</v>
      </c>
      <c r="D2574" s="136" t="str">
        <f t="array" ref="D2574">IF(E2574=0,0,(INDEX(AccountCodes[ACCOUNT NAME],MATCH(E2574,AccountCodes[NGAS CODE],0))))</f>
        <v>Fuel, Oil and Lubricants Expenses</v>
      </c>
      <c r="E2574" s="309" t="s">
        <v>229</v>
      </c>
      <c r="F2574" s="501">
        <v>106903.98</v>
      </c>
    </row>
    <row r="2575" spans="1:6" x14ac:dyDescent="0.25">
      <c r="A2575" s="308">
        <v>43190</v>
      </c>
      <c r="B2575" s="309" t="s">
        <v>486</v>
      </c>
      <c r="C2575" s="309" t="s">
        <v>503</v>
      </c>
      <c r="D2575" s="136" t="str">
        <f t="array" ref="D2575">IF(E2575=0,0,(INDEX(AccountCodes[ACCOUNT NAME],MATCH(E2575,AccountCodes[NGAS CODE],0))))</f>
        <v>Fuel, Oil and Lubricants Expenses</v>
      </c>
      <c r="E2575" s="309" t="s">
        <v>229</v>
      </c>
      <c r="F2575" s="501">
        <v>106903.98</v>
      </c>
    </row>
    <row r="2576" spans="1:6" x14ac:dyDescent="0.25">
      <c r="A2576" s="308">
        <v>43220</v>
      </c>
      <c r="B2576" s="309" t="s">
        <v>486</v>
      </c>
      <c r="C2576" s="309" t="s">
        <v>503</v>
      </c>
      <c r="D2576" s="136" t="str">
        <f t="array" ref="D2576">IF(E2576=0,0,(INDEX(AccountCodes[ACCOUNT NAME],MATCH(E2576,AccountCodes[NGAS CODE],0))))</f>
        <v>Fuel, Oil and Lubricants Expenses</v>
      </c>
      <c r="E2576" s="309" t="s">
        <v>229</v>
      </c>
      <c r="F2576" s="501">
        <v>106903.98</v>
      </c>
    </row>
    <row r="2577" spans="1:6" x14ac:dyDescent="0.25">
      <c r="A2577" s="308">
        <v>43251</v>
      </c>
      <c r="B2577" s="309" t="s">
        <v>486</v>
      </c>
      <c r="C2577" s="309" t="s">
        <v>503</v>
      </c>
      <c r="D2577" s="136" t="str">
        <f t="array" ref="D2577">IF(E2577=0,0,(INDEX(AccountCodes[ACCOUNT NAME],MATCH(E2577,AccountCodes[NGAS CODE],0))))</f>
        <v>Fuel, Oil and Lubricants Expenses</v>
      </c>
      <c r="E2577" s="309" t="s">
        <v>229</v>
      </c>
      <c r="F2577" s="501">
        <v>106903.98</v>
      </c>
    </row>
    <row r="2578" spans="1:6" x14ac:dyDescent="0.25">
      <c r="A2578" s="308">
        <v>43281</v>
      </c>
      <c r="B2578" s="309" t="s">
        <v>486</v>
      </c>
      <c r="C2578" s="309" t="s">
        <v>503</v>
      </c>
      <c r="D2578" s="136" t="str">
        <f t="array" ref="D2578">IF(E2578=0,0,(INDEX(AccountCodes[ACCOUNT NAME],MATCH(E2578,AccountCodes[NGAS CODE],0))))</f>
        <v>Fuel, Oil and Lubricants Expenses</v>
      </c>
      <c r="E2578" s="309" t="s">
        <v>229</v>
      </c>
      <c r="F2578" s="501">
        <v>106903.98</v>
      </c>
    </row>
    <row r="2579" spans="1:6" x14ac:dyDescent="0.25">
      <c r="A2579" s="308">
        <v>43312</v>
      </c>
      <c r="B2579" s="309" t="s">
        <v>486</v>
      </c>
      <c r="C2579" s="309" t="s">
        <v>503</v>
      </c>
      <c r="D2579" s="136" t="str">
        <f t="array" ref="D2579">IF(E2579=0,0,(INDEX(AccountCodes[ACCOUNT NAME],MATCH(E2579,AccountCodes[NGAS CODE],0))))</f>
        <v>Fuel, Oil and Lubricants Expenses</v>
      </c>
      <c r="E2579" s="309" t="s">
        <v>229</v>
      </c>
      <c r="F2579" s="501">
        <v>106903.98</v>
      </c>
    </row>
    <row r="2580" spans="1:6" x14ac:dyDescent="0.25">
      <c r="A2580" s="308">
        <v>43343</v>
      </c>
      <c r="B2580" s="309" t="s">
        <v>486</v>
      </c>
      <c r="C2580" s="309" t="s">
        <v>503</v>
      </c>
      <c r="D2580" s="136" t="str">
        <f t="array" ref="D2580">IF(E2580=0,0,(INDEX(AccountCodes[ACCOUNT NAME],MATCH(E2580,AccountCodes[NGAS CODE],0))))</f>
        <v>Fuel, Oil and Lubricants Expenses</v>
      </c>
      <c r="E2580" s="309" t="s">
        <v>229</v>
      </c>
      <c r="F2580" s="501">
        <v>106903.98</v>
      </c>
    </row>
    <row r="2581" spans="1:6" x14ac:dyDescent="0.25">
      <c r="A2581" s="308">
        <v>43373</v>
      </c>
      <c r="B2581" s="309" t="s">
        <v>486</v>
      </c>
      <c r="C2581" s="309" t="s">
        <v>503</v>
      </c>
      <c r="D2581" s="136" t="str">
        <f t="array" ref="D2581">IF(E2581=0,0,(INDEX(AccountCodes[ACCOUNT NAME],MATCH(E2581,AccountCodes[NGAS CODE],0))))</f>
        <v>Fuel, Oil and Lubricants Expenses</v>
      </c>
      <c r="E2581" s="309" t="s">
        <v>229</v>
      </c>
      <c r="F2581" s="501">
        <v>106903.98</v>
      </c>
    </row>
    <row r="2582" spans="1:6" x14ac:dyDescent="0.25">
      <c r="A2582" s="308">
        <v>43404</v>
      </c>
      <c r="B2582" s="309" t="s">
        <v>486</v>
      </c>
      <c r="C2582" s="309" t="s">
        <v>503</v>
      </c>
      <c r="D2582" s="136" t="str">
        <f t="array" ref="D2582">IF(E2582=0,0,(INDEX(AccountCodes[ACCOUNT NAME],MATCH(E2582,AccountCodes[NGAS CODE],0))))</f>
        <v>Fuel, Oil and Lubricants Expenses</v>
      </c>
      <c r="E2582" s="309" t="s">
        <v>229</v>
      </c>
      <c r="F2582" s="501">
        <v>106903.98</v>
      </c>
    </row>
    <row r="2583" spans="1:6" x14ac:dyDescent="0.25">
      <c r="A2583" s="308">
        <v>43434</v>
      </c>
      <c r="B2583" s="309" t="s">
        <v>486</v>
      </c>
      <c r="C2583" s="309" t="s">
        <v>503</v>
      </c>
      <c r="D2583" s="136" t="str">
        <f t="array" ref="D2583">IF(E2583=0,0,(INDEX(AccountCodes[ACCOUNT NAME],MATCH(E2583,AccountCodes[NGAS CODE],0))))</f>
        <v>Fuel, Oil and Lubricants Expenses</v>
      </c>
      <c r="E2583" s="309" t="s">
        <v>229</v>
      </c>
      <c r="F2583" s="501">
        <v>106903.98</v>
      </c>
    </row>
    <row r="2584" spans="1:6" x14ac:dyDescent="0.25">
      <c r="A2584" s="308">
        <v>43465</v>
      </c>
      <c r="B2584" s="309" t="s">
        <v>486</v>
      </c>
      <c r="C2584" s="309" t="s">
        <v>503</v>
      </c>
      <c r="D2584" s="136" t="str">
        <f t="array" ref="D2584">IF(E2584=0,0,(INDEX(AccountCodes[ACCOUNT NAME],MATCH(E2584,AccountCodes[NGAS CODE],0))))</f>
        <v>Fuel, Oil and Lubricants Expenses</v>
      </c>
      <c r="E2584" s="309" t="s">
        <v>229</v>
      </c>
      <c r="F2584" s="501">
        <v>106903.98</v>
      </c>
    </row>
    <row r="2585" spans="1:6" x14ac:dyDescent="0.25">
      <c r="A2585" s="308">
        <v>43131</v>
      </c>
      <c r="B2585" s="309" t="s">
        <v>486</v>
      </c>
      <c r="C2585" s="309" t="s">
        <v>503</v>
      </c>
      <c r="D2585" s="136" t="str">
        <f t="array" ref="D2585">IF(E2585=0,0,(INDEX(AccountCodes[ACCOUNT NAME],MATCH(E2585,AccountCodes[NGAS CODE],0))))</f>
        <v>Water Expenses</v>
      </c>
      <c r="E2585" s="309" t="s">
        <v>232</v>
      </c>
      <c r="F2585" s="501">
        <v>2265</v>
      </c>
    </row>
    <row r="2586" spans="1:6" x14ac:dyDescent="0.25">
      <c r="A2586" s="308">
        <v>43159</v>
      </c>
      <c r="B2586" s="309" t="s">
        <v>486</v>
      </c>
      <c r="C2586" s="309" t="s">
        <v>503</v>
      </c>
      <c r="D2586" s="136" t="str">
        <f t="array" ref="D2586">IF(E2586=0,0,(INDEX(AccountCodes[ACCOUNT NAME],MATCH(E2586,AccountCodes[NGAS CODE],0))))</f>
        <v>Water Expenses</v>
      </c>
      <c r="E2586" s="309" t="s">
        <v>232</v>
      </c>
      <c r="F2586" s="501">
        <v>2265</v>
      </c>
    </row>
    <row r="2587" spans="1:6" x14ac:dyDescent="0.25">
      <c r="A2587" s="308">
        <v>43190</v>
      </c>
      <c r="B2587" s="309" t="s">
        <v>486</v>
      </c>
      <c r="C2587" s="309" t="s">
        <v>503</v>
      </c>
      <c r="D2587" s="136" t="str">
        <f t="array" ref="D2587">IF(E2587=0,0,(INDEX(AccountCodes[ACCOUNT NAME],MATCH(E2587,AccountCodes[NGAS CODE],0))))</f>
        <v>Water Expenses</v>
      </c>
      <c r="E2587" s="309" t="s">
        <v>232</v>
      </c>
      <c r="F2587" s="501">
        <v>2265</v>
      </c>
    </row>
    <row r="2588" spans="1:6" x14ac:dyDescent="0.25">
      <c r="A2588" s="308">
        <v>43220</v>
      </c>
      <c r="B2588" s="309" t="s">
        <v>486</v>
      </c>
      <c r="C2588" s="309" t="s">
        <v>503</v>
      </c>
      <c r="D2588" s="136" t="str">
        <f t="array" ref="D2588">IF(E2588=0,0,(INDEX(AccountCodes[ACCOUNT NAME],MATCH(E2588,AccountCodes[NGAS CODE],0))))</f>
        <v>Water Expenses</v>
      </c>
      <c r="E2588" s="309" t="s">
        <v>232</v>
      </c>
      <c r="F2588" s="501">
        <v>2265</v>
      </c>
    </row>
    <row r="2589" spans="1:6" x14ac:dyDescent="0.25">
      <c r="A2589" s="308">
        <v>43251</v>
      </c>
      <c r="B2589" s="309" t="s">
        <v>486</v>
      </c>
      <c r="C2589" s="309" t="s">
        <v>503</v>
      </c>
      <c r="D2589" s="136" t="str">
        <f t="array" ref="D2589">IF(E2589=0,0,(INDEX(AccountCodes[ACCOUNT NAME],MATCH(E2589,AccountCodes[NGAS CODE],0))))</f>
        <v>Water Expenses</v>
      </c>
      <c r="E2589" s="309" t="s">
        <v>232</v>
      </c>
      <c r="F2589" s="501">
        <v>2265</v>
      </c>
    </row>
    <row r="2590" spans="1:6" x14ac:dyDescent="0.25">
      <c r="A2590" s="308">
        <v>43281</v>
      </c>
      <c r="B2590" s="309" t="s">
        <v>486</v>
      </c>
      <c r="C2590" s="309" t="s">
        <v>503</v>
      </c>
      <c r="D2590" s="136" t="str">
        <f t="array" ref="D2590">IF(E2590=0,0,(INDEX(AccountCodes[ACCOUNT NAME],MATCH(E2590,AccountCodes[NGAS CODE],0))))</f>
        <v>Water Expenses</v>
      </c>
      <c r="E2590" s="309" t="s">
        <v>232</v>
      </c>
      <c r="F2590" s="501">
        <v>2265</v>
      </c>
    </row>
    <row r="2591" spans="1:6" x14ac:dyDescent="0.25">
      <c r="A2591" s="308">
        <v>43312</v>
      </c>
      <c r="B2591" s="309" t="s">
        <v>486</v>
      </c>
      <c r="C2591" s="309" t="s">
        <v>503</v>
      </c>
      <c r="D2591" s="136" t="str">
        <f t="array" ref="D2591">IF(E2591=0,0,(INDEX(AccountCodes[ACCOUNT NAME],MATCH(E2591,AccountCodes[NGAS CODE],0))))</f>
        <v>Water Expenses</v>
      </c>
      <c r="E2591" s="309" t="s">
        <v>232</v>
      </c>
      <c r="F2591" s="501">
        <v>2265</v>
      </c>
    </row>
    <row r="2592" spans="1:6" x14ac:dyDescent="0.25">
      <c r="A2592" s="308">
        <v>43343</v>
      </c>
      <c r="B2592" s="309" t="s">
        <v>486</v>
      </c>
      <c r="C2592" s="309" t="s">
        <v>503</v>
      </c>
      <c r="D2592" s="136" t="str">
        <f t="array" ref="D2592">IF(E2592=0,0,(INDEX(AccountCodes[ACCOUNT NAME],MATCH(E2592,AccountCodes[NGAS CODE],0))))</f>
        <v>Water Expenses</v>
      </c>
      <c r="E2592" s="309" t="s">
        <v>232</v>
      </c>
      <c r="F2592" s="501">
        <v>2265</v>
      </c>
    </row>
    <row r="2593" spans="1:6" x14ac:dyDescent="0.25">
      <c r="A2593" s="308">
        <v>43373</v>
      </c>
      <c r="B2593" s="309" t="s">
        <v>486</v>
      </c>
      <c r="C2593" s="309" t="s">
        <v>503</v>
      </c>
      <c r="D2593" s="136" t="str">
        <f t="array" ref="D2593">IF(E2593=0,0,(INDEX(AccountCodes[ACCOUNT NAME],MATCH(E2593,AccountCodes[NGAS CODE],0))))</f>
        <v>Water Expenses</v>
      </c>
      <c r="E2593" s="309" t="s">
        <v>232</v>
      </c>
      <c r="F2593" s="501">
        <v>2265</v>
      </c>
    </row>
    <row r="2594" spans="1:6" x14ac:dyDescent="0.25">
      <c r="A2594" s="308">
        <v>43404</v>
      </c>
      <c r="B2594" s="309" t="s">
        <v>486</v>
      </c>
      <c r="C2594" s="309" t="s">
        <v>503</v>
      </c>
      <c r="D2594" s="136" t="str">
        <f t="array" ref="D2594">IF(E2594=0,0,(INDEX(AccountCodes[ACCOUNT NAME],MATCH(E2594,AccountCodes[NGAS CODE],0))))</f>
        <v>Water Expenses</v>
      </c>
      <c r="E2594" s="309" t="s">
        <v>232</v>
      </c>
      <c r="F2594" s="501">
        <v>2265</v>
      </c>
    </row>
    <row r="2595" spans="1:6" x14ac:dyDescent="0.25">
      <c r="A2595" s="308">
        <v>43434</v>
      </c>
      <c r="B2595" s="309" t="s">
        <v>486</v>
      </c>
      <c r="C2595" s="309" t="s">
        <v>503</v>
      </c>
      <c r="D2595" s="136" t="str">
        <f t="array" ref="D2595">IF(E2595=0,0,(INDEX(AccountCodes[ACCOUNT NAME],MATCH(E2595,AccountCodes[NGAS CODE],0))))</f>
        <v>Water Expenses</v>
      </c>
      <c r="E2595" s="309" t="s">
        <v>232</v>
      </c>
      <c r="F2595" s="501">
        <v>2265</v>
      </c>
    </row>
    <row r="2596" spans="1:6" x14ac:dyDescent="0.25">
      <c r="A2596" s="308">
        <v>43465</v>
      </c>
      <c r="B2596" s="309" t="s">
        <v>486</v>
      </c>
      <c r="C2596" s="309" t="s">
        <v>503</v>
      </c>
      <c r="D2596" s="136" t="str">
        <f t="array" ref="D2596">IF(E2596=0,0,(INDEX(AccountCodes[ACCOUNT NAME],MATCH(E2596,AccountCodes[NGAS CODE],0))))</f>
        <v>Water Expenses</v>
      </c>
      <c r="E2596" s="309" t="s">
        <v>232</v>
      </c>
      <c r="F2596" s="501">
        <v>2265</v>
      </c>
    </row>
    <row r="2597" spans="1:6" x14ac:dyDescent="0.25">
      <c r="A2597" s="308">
        <v>43131</v>
      </c>
      <c r="B2597" s="309" t="s">
        <v>486</v>
      </c>
      <c r="C2597" s="309" t="s">
        <v>503</v>
      </c>
      <c r="D2597" s="136" t="str">
        <f t="array" ref="D2597">IF(E2597=0,0,(INDEX(AccountCodes[ACCOUNT NAME],MATCH(E2597,AccountCodes[NGAS CODE],0))))</f>
        <v>Electricity Expenses</v>
      </c>
      <c r="E2597" s="309" t="s">
        <v>233</v>
      </c>
      <c r="F2597" s="501">
        <v>14041.47</v>
      </c>
    </row>
    <row r="2598" spans="1:6" x14ac:dyDescent="0.25">
      <c r="A2598" s="308">
        <v>43159</v>
      </c>
      <c r="B2598" s="309" t="s">
        <v>486</v>
      </c>
      <c r="C2598" s="309" t="s">
        <v>503</v>
      </c>
      <c r="D2598" s="136" t="str">
        <f t="array" ref="D2598">IF(E2598=0,0,(INDEX(AccountCodes[ACCOUNT NAME],MATCH(E2598,AccountCodes[NGAS CODE],0))))</f>
        <v>Electricity Expenses</v>
      </c>
      <c r="E2598" s="309" t="s">
        <v>233</v>
      </c>
      <c r="F2598" s="501">
        <v>14041.47</v>
      </c>
    </row>
    <row r="2599" spans="1:6" x14ac:dyDescent="0.25">
      <c r="A2599" s="308">
        <v>43190</v>
      </c>
      <c r="B2599" s="309" t="s">
        <v>486</v>
      </c>
      <c r="C2599" s="309" t="s">
        <v>503</v>
      </c>
      <c r="D2599" s="136" t="str">
        <f t="array" ref="D2599">IF(E2599=0,0,(INDEX(AccountCodes[ACCOUNT NAME],MATCH(E2599,AccountCodes[NGAS CODE],0))))</f>
        <v>Electricity Expenses</v>
      </c>
      <c r="E2599" s="309" t="s">
        <v>233</v>
      </c>
      <c r="F2599" s="501">
        <v>14041.47</v>
      </c>
    </row>
    <row r="2600" spans="1:6" x14ac:dyDescent="0.25">
      <c r="A2600" s="308">
        <v>43220</v>
      </c>
      <c r="B2600" s="309" t="s">
        <v>486</v>
      </c>
      <c r="C2600" s="309" t="s">
        <v>503</v>
      </c>
      <c r="D2600" s="136" t="str">
        <f t="array" ref="D2600">IF(E2600=0,0,(INDEX(AccountCodes[ACCOUNT NAME],MATCH(E2600,AccountCodes[NGAS CODE],0))))</f>
        <v>Electricity Expenses</v>
      </c>
      <c r="E2600" s="309" t="s">
        <v>233</v>
      </c>
      <c r="F2600" s="501">
        <v>14041.47</v>
      </c>
    </row>
    <row r="2601" spans="1:6" x14ac:dyDescent="0.25">
      <c r="A2601" s="308">
        <v>43251</v>
      </c>
      <c r="B2601" s="309" t="s">
        <v>486</v>
      </c>
      <c r="C2601" s="309" t="s">
        <v>503</v>
      </c>
      <c r="D2601" s="136" t="str">
        <f t="array" ref="D2601">IF(E2601=0,0,(INDEX(AccountCodes[ACCOUNT NAME],MATCH(E2601,AccountCodes[NGAS CODE],0))))</f>
        <v>Electricity Expenses</v>
      </c>
      <c r="E2601" s="309" t="s">
        <v>233</v>
      </c>
      <c r="F2601" s="501">
        <v>14041.47</v>
      </c>
    </row>
    <row r="2602" spans="1:6" x14ac:dyDescent="0.25">
      <c r="A2602" s="308">
        <v>43281</v>
      </c>
      <c r="B2602" s="309" t="s">
        <v>486</v>
      </c>
      <c r="C2602" s="309" t="s">
        <v>503</v>
      </c>
      <c r="D2602" s="136" t="str">
        <f t="array" ref="D2602">IF(E2602=0,0,(INDEX(AccountCodes[ACCOUNT NAME],MATCH(E2602,AccountCodes[NGAS CODE],0))))</f>
        <v>Electricity Expenses</v>
      </c>
      <c r="E2602" s="309" t="s">
        <v>233</v>
      </c>
      <c r="F2602" s="501">
        <v>14041.47</v>
      </c>
    </row>
    <row r="2603" spans="1:6" x14ac:dyDescent="0.25">
      <c r="A2603" s="308">
        <v>43312</v>
      </c>
      <c r="B2603" s="309" t="s">
        <v>486</v>
      </c>
      <c r="C2603" s="309" t="s">
        <v>503</v>
      </c>
      <c r="D2603" s="136" t="str">
        <f t="array" ref="D2603">IF(E2603=0,0,(INDEX(AccountCodes[ACCOUNT NAME],MATCH(E2603,AccountCodes[NGAS CODE],0))))</f>
        <v>Electricity Expenses</v>
      </c>
      <c r="E2603" s="309" t="s">
        <v>233</v>
      </c>
      <c r="F2603" s="501">
        <v>14041.47</v>
      </c>
    </row>
    <row r="2604" spans="1:6" x14ac:dyDescent="0.25">
      <c r="A2604" s="308">
        <v>43343</v>
      </c>
      <c r="B2604" s="309" t="s">
        <v>486</v>
      </c>
      <c r="C2604" s="309" t="s">
        <v>503</v>
      </c>
      <c r="D2604" s="136" t="str">
        <f t="array" ref="D2604">IF(E2604=0,0,(INDEX(AccountCodes[ACCOUNT NAME],MATCH(E2604,AccountCodes[NGAS CODE],0))))</f>
        <v>Electricity Expenses</v>
      </c>
      <c r="E2604" s="309" t="s">
        <v>233</v>
      </c>
      <c r="F2604" s="501">
        <v>14041.47</v>
      </c>
    </row>
    <row r="2605" spans="1:6" x14ac:dyDescent="0.25">
      <c r="A2605" s="308">
        <v>43373</v>
      </c>
      <c r="B2605" s="309" t="s">
        <v>486</v>
      </c>
      <c r="C2605" s="309" t="s">
        <v>503</v>
      </c>
      <c r="D2605" s="136" t="str">
        <f t="array" ref="D2605">IF(E2605=0,0,(INDEX(AccountCodes[ACCOUNT NAME],MATCH(E2605,AccountCodes[NGAS CODE],0))))</f>
        <v>Electricity Expenses</v>
      </c>
      <c r="E2605" s="309" t="s">
        <v>233</v>
      </c>
      <c r="F2605" s="501">
        <v>14041.47</v>
      </c>
    </row>
    <row r="2606" spans="1:6" x14ac:dyDescent="0.25">
      <c r="A2606" s="308">
        <v>43404</v>
      </c>
      <c r="B2606" s="309" t="s">
        <v>486</v>
      </c>
      <c r="C2606" s="309" t="s">
        <v>503</v>
      </c>
      <c r="D2606" s="136" t="str">
        <f t="array" ref="D2606">IF(E2606=0,0,(INDEX(AccountCodes[ACCOUNT NAME],MATCH(E2606,AccountCodes[NGAS CODE],0))))</f>
        <v>Electricity Expenses</v>
      </c>
      <c r="E2606" s="309" t="s">
        <v>233</v>
      </c>
      <c r="F2606" s="501">
        <v>14041.47</v>
      </c>
    </row>
    <row r="2607" spans="1:6" x14ac:dyDescent="0.25">
      <c r="A2607" s="308">
        <v>43434</v>
      </c>
      <c r="B2607" s="309" t="s">
        <v>486</v>
      </c>
      <c r="C2607" s="309" t="s">
        <v>503</v>
      </c>
      <c r="D2607" s="136" t="str">
        <f t="array" ref="D2607">IF(E2607=0,0,(INDEX(AccountCodes[ACCOUNT NAME],MATCH(E2607,AccountCodes[NGAS CODE],0))))</f>
        <v>Electricity Expenses</v>
      </c>
      <c r="E2607" s="309" t="s">
        <v>233</v>
      </c>
      <c r="F2607" s="501">
        <v>14041.47</v>
      </c>
    </row>
    <row r="2608" spans="1:6" x14ac:dyDescent="0.25">
      <c r="A2608" s="308">
        <v>43465</v>
      </c>
      <c r="B2608" s="309" t="s">
        <v>486</v>
      </c>
      <c r="C2608" s="309" t="s">
        <v>503</v>
      </c>
      <c r="D2608" s="136" t="str">
        <f t="array" ref="D2608">IF(E2608=0,0,(INDEX(AccountCodes[ACCOUNT NAME],MATCH(E2608,AccountCodes[NGAS CODE],0))))</f>
        <v>Electricity Expenses</v>
      </c>
      <c r="E2608" s="309" t="s">
        <v>233</v>
      </c>
      <c r="F2608" s="501">
        <v>14041.47</v>
      </c>
    </row>
    <row r="2609" spans="1:6" x14ac:dyDescent="0.25">
      <c r="A2609" s="308">
        <v>43131</v>
      </c>
      <c r="B2609" s="309" t="s">
        <v>486</v>
      </c>
      <c r="C2609" s="309" t="s">
        <v>503</v>
      </c>
      <c r="D2609" s="136" t="str">
        <f t="array" ref="D2609">IF(E2609=0,0,(INDEX(AccountCodes[ACCOUNT NAME],MATCH(E2609,AccountCodes[NGAS CODE],0))))</f>
        <v>Internet Subscription Expenses</v>
      </c>
      <c r="E2609" s="309" t="s">
        <v>237</v>
      </c>
      <c r="F2609" s="501">
        <v>5198.2700000000004</v>
      </c>
    </row>
    <row r="2610" spans="1:6" x14ac:dyDescent="0.25">
      <c r="A2610" s="308">
        <v>43159</v>
      </c>
      <c r="B2610" s="309" t="s">
        <v>486</v>
      </c>
      <c r="C2610" s="309" t="s">
        <v>503</v>
      </c>
      <c r="D2610" s="136" t="str">
        <f t="array" ref="D2610">IF(E2610=0,0,(INDEX(AccountCodes[ACCOUNT NAME],MATCH(E2610,AccountCodes[NGAS CODE],0))))</f>
        <v>Internet Subscription Expenses</v>
      </c>
      <c r="E2610" s="309" t="s">
        <v>237</v>
      </c>
      <c r="F2610" s="501">
        <v>5198.2700000000004</v>
      </c>
    </row>
    <row r="2611" spans="1:6" x14ac:dyDescent="0.25">
      <c r="A2611" s="308">
        <v>43190</v>
      </c>
      <c r="B2611" s="309" t="s">
        <v>486</v>
      </c>
      <c r="C2611" s="309" t="s">
        <v>503</v>
      </c>
      <c r="D2611" s="136" t="str">
        <f t="array" ref="D2611">IF(E2611=0,0,(INDEX(AccountCodes[ACCOUNT NAME],MATCH(E2611,AccountCodes[NGAS CODE],0))))</f>
        <v>Internet Subscription Expenses</v>
      </c>
      <c r="E2611" s="309" t="s">
        <v>237</v>
      </c>
      <c r="F2611" s="501">
        <v>5198.2700000000004</v>
      </c>
    </row>
    <row r="2612" spans="1:6" x14ac:dyDescent="0.25">
      <c r="A2612" s="308">
        <v>43220</v>
      </c>
      <c r="B2612" s="309" t="s">
        <v>486</v>
      </c>
      <c r="C2612" s="309" t="s">
        <v>503</v>
      </c>
      <c r="D2612" s="136" t="str">
        <f t="array" ref="D2612">IF(E2612=0,0,(INDEX(AccountCodes[ACCOUNT NAME],MATCH(E2612,AccountCodes[NGAS CODE],0))))</f>
        <v>Internet Subscription Expenses</v>
      </c>
      <c r="E2612" s="309" t="s">
        <v>237</v>
      </c>
      <c r="F2612" s="501">
        <v>5198.2700000000004</v>
      </c>
    </row>
    <row r="2613" spans="1:6" x14ac:dyDescent="0.25">
      <c r="A2613" s="308">
        <v>43251</v>
      </c>
      <c r="B2613" s="309" t="s">
        <v>486</v>
      </c>
      <c r="C2613" s="309" t="s">
        <v>503</v>
      </c>
      <c r="D2613" s="136" t="str">
        <f t="array" ref="D2613">IF(E2613=0,0,(INDEX(AccountCodes[ACCOUNT NAME],MATCH(E2613,AccountCodes[NGAS CODE],0))))</f>
        <v>Internet Subscription Expenses</v>
      </c>
      <c r="E2613" s="309" t="s">
        <v>237</v>
      </c>
      <c r="F2613" s="501">
        <v>5198.2700000000004</v>
      </c>
    </row>
    <row r="2614" spans="1:6" x14ac:dyDescent="0.25">
      <c r="A2614" s="308">
        <v>43281</v>
      </c>
      <c r="B2614" s="309" t="s">
        <v>486</v>
      </c>
      <c r="C2614" s="309" t="s">
        <v>503</v>
      </c>
      <c r="D2614" s="136" t="str">
        <f t="array" ref="D2614">IF(E2614=0,0,(INDEX(AccountCodes[ACCOUNT NAME],MATCH(E2614,AccountCodes[NGAS CODE],0))))</f>
        <v>Internet Subscription Expenses</v>
      </c>
      <c r="E2614" s="309" t="s">
        <v>237</v>
      </c>
      <c r="F2614" s="501">
        <v>5198.2700000000004</v>
      </c>
    </row>
    <row r="2615" spans="1:6" x14ac:dyDescent="0.25">
      <c r="A2615" s="308">
        <v>43312</v>
      </c>
      <c r="B2615" s="309" t="s">
        <v>486</v>
      </c>
      <c r="C2615" s="309" t="s">
        <v>503</v>
      </c>
      <c r="D2615" s="136" t="str">
        <f t="array" ref="D2615">IF(E2615=0,0,(INDEX(AccountCodes[ACCOUNT NAME],MATCH(E2615,AccountCodes[NGAS CODE],0))))</f>
        <v>Internet Subscription Expenses</v>
      </c>
      <c r="E2615" s="309" t="s">
        <v>237</v>
      </c>
      <c r="F2615" s="501">
        <v>5198.2700000000004</v>
      </c>
    </row>
    <row r="2616" spans="1:6" x14ac:dyDescent="0.25">
      <c r="A2616" s="308">
        <v>43343</v>
      </c>
      <c r="B2616" s="309" t="s">
        <v>486</v>
      </c>
      <c r="C2616" s="309" t="s">
        <v>503</v>
      </c>
      <c r="D2616" s="136" t="str">
        <f t="array" ref="D2616">IF(E2616=0,0,(INDEX(AccountCodes[ACCOUNT NAME],MATCH(E2616,AccountCodes[NGAS CODE],0))))</f>
        <v>Internet Subscription Expenses</v>
      </c>
      <c r="E2616" s="309" t="s">
        <v>237</v>
      </c>
      <c r="F2616" s="501">
        <v>5198.2700000000004</v>
      </c>
    </row>
    <row r="2617" spans="1:6" x14ac:dyDescent="0.25">
      <c r="A2617" s="308">
        <v>43373</v>
      </c>
      <c r="B2617" s="309" t="s">
        <v>486</v>
      </c>
      <c r="C2617" s="309" t="s">
        <v>503</v>
      </c>
      <c r="D2617" s="136" t="str">
        <f t="array" ref="D2617">IF(E2617=0,0,(INDEX(AccountCodes[ACCOUNT NAME],MATCH(E2617,AccountCodes[NGAS CODE],0))))</f>
        <v>Internet Subscription Expenses</v>
      </c>
      <c r="E2617" s="309" t="s">
        <v>237</v>
      </c>
      <c r="F2617" s="501">
        <v>5198.2700000000004</v>
      </c>
    </row>
    <row r="2618" spans="1:6" x14ac:dyDescent="0.25">
      <c r="A2618" s="308">
        <v>43404</v>
      </c>
      <c r="B2618" s="309" t="s">
        <v>486</v>
      </c>
      <c r="C2618" s="309" t="s">
        <v>503</v>
      </c>
      <c r="D2618" s="136" t="str">
        <f t="array" ref="D2618">IF(E2618=0,0,(INDEX(AccountCodes[ACCOUNT NAME],MATCH(E2618,AccountCodes[NGAS CODE],0))))</f>
        <v>Internet Subscription Expenses</v>
      </c>
      <c r="E2618" s="309" t="s">
        <v>237</v>
      </c>
      <c r="F2618" s="501">
        <v>5198.2700000000004</v>
      </c>
    </row>
    <row r="2619" spans="1:6" x14ac:dyDescent="0.25">
      <c r="A2619" s="308">
        <v>43434</v>
      </c>
      <c r="B2619" s="309" t="s">
        <v>486</v>
      </c>
      <c r="C2619" s="309" t="s">
        <v>503</v>
      </c>
      <c r="D2619" s="136" t="str">
        <f t="array" ref="D2619">IF(E2619=0,0,(INDEX(AccountCodes[ACCOUNT NAME],MATCH(E2619,AccountCodes[NGAS CODE],0))))</f>
        <v>Internet Subscription Expenses</v>
      </c>
      <c r="E2619" s="309" t="s">
        <v>237</v>
      </c>
      <c r="F2619" s="501">
        <v>5198.2700000000004</v>
      </c>
    </row>
    <row r="2620" spans="1:6" x14ac:dyDescent="0.25">
      <c r="A2620" s="308">
        <v>43465</v>
      </c>
      <c r="B2620" s="309" t="s">
        <v>486</v>
      </c>
      <c r="C2620" s="309" t="s">
        <v>503</v>
      </c>
      <c r="D2620" s="136" t="str">
        <f t="array" ref="D2620">IF(E2620=0,0,(INDEX(AccountCodes[ACCOUNT NAME],MATCH(E2620,AccountCodes[NGAS CODE],0))))</f>
        <v>Internet Subscription Expenses</v>
      </c>
      <c r="E2620" s="309" t="s">
        <v>237</v>
      </c>
      <c r="F2620" s="501">
        <v>5198.2700000000004</v>
      </c>
    </row>
    <row r="2621" spans="1:6" x14ac:dyDescent="0.25">
      <c r="A2621" s="308">
        <v>43190</v>
      </c>
      <c r="B2621" s="309" t="s">
        <v>486</v>
      </c>
      <c r="C2621" s="309" t="s">
        <v>503</v>
      </c>
      <c r="D2621" s="136" t="str">
        <f t="array" ref="D2621">IF(E2621=0,0,(INDEX(AccountCodes[ACCOUNT NAME],MATCH(E2621,AccountCodes[NGAS CODE],0))))</f>
        <v>Other Maintenance and Operating Expenses (Irrigator's Share/Remuneration/Subsidy)</v>
      </c>
      <c r="E2621" s="309" t="s">
        <v>333</v>
      </c>
      <c r="F2621" s="501">
        <v>668990</v>
      </c>
    </row>
    <row r="2622" spans="1:6" x14ac:dyDescent="0.25">
      <c r="A2622" s="308">
        <v>43465</v>
      </c>
      <c r="B2622" s="309" t="s">
        <v>486</v>
      </c>
      <c r="C2622" s="309" t="s">
        <v>503</v>
      </c>
      <c r="D2622" s="136" t="str">
        <f t="array" ref="D2622">IF(E2622=0,0,(INDEX(AccountCodes[ACCOUNT NAME],MATCH(E2622,AccountCodes[NGAS CODE],0))))</f>
        <v>Other Maintenance and Operating Expenses (Irrigator's Share/Remuneration/Subsidy)</v>
      </c>
      <c r="E2622" s="309" t="s">
        <v>333</v>
      </c>
      <c r="F2622" s="501">
        <v>1238990</v>
      </c>
    </row>
    <row r="2623" spans="1:6" x14ac:dyDescent="0.25">
      <c r="A2623" s="308"/>
      <c r="D2623" s="136">
        <f t="array" ref="D2623">IF(E2623=0,0,(INDEX(AccountCodes[ACCOUNT NAME],MATCH(E2623,AccountCodes[NGAS CODE],0))))</f>
        <v>0</v>
      </c>
      <c r="E2623" s="309"/>
      <c r="F2623" s="501"/>
    </row>
    <row r="2624" spans="1:6" x14ac:dyDescent="0.25">
      <c r="A2624" s="308">
        <v>43281</v>
      </c>
      <c r="B2624" s="309" t="s">
        <v>486</v>
      </c>
      <c r="C2624" s="309" t="s">
        <v>504</v>
      </c>
      <c r="D2624" s="136" t="str">
        <f t="array" ref="D2624">IF(E2624=0,0,(INDEX(AccountCodes[ACCOUNT NAME],MATCH(E2624,AccountCodes[NGAS CODE],0))))</f>
        <v>Equipment Rental - External (CA)</v>
      </c>
      <c r="E2624" s="309" t="s">
        <v>147</v>
      </c>
      <c r="F2624" s="501">
        <v>25000</v>
      </c>
    </row>
    <row r="2625" spans="1:6" x14ac:dyDescent="0.25">
      <c r="A2625" s="308">
        <v>43465</v>
      </c>
      <c r="B2625" s="309" t="s">
        <v>486</v>
      </c>
      <c r="C2625" s="309" t="s">
        <v>504</v>
      </c>
      <c r="D2625" s="136" t="str">
        <f t="array" ref="D2625">IF(E2625=0,0,(INDEX(AccountCodes[ACCOUNT NAME],MATCH(E2625,AccountCodes[NGAS CODE],0))))</f>
        <v>Equipment Rental - External (CA)</v>
      </c>
      <c r="E2625" s="309" t="s">
        <v>147</v>
      </c>
      <c r="F2625" s="501">
        <v>25000</v>
      </c>
    </row>
    <row r="2626" spans="1:6" x14ac:dyDescent="0.25">
      <c r="A2626" s="308">
        <v>43131</v>
      </c>
      <c r="B2626" s="309" t="s">
        <v>486</v>
      </c>
      <c r="C2626" s="309" t="s">
        <v>504</v>
      </c>
      <c r="D2626" s="136" t="str">
        <f t="array" ref="D2626">IF(E2626=0,0,(INDEX(AccountCodes[ACCOUNT NAME],MATCH(E2626,AccountCodes[NGAS CODE],0))))</f>
        <v>Salaries and Wages-Regular</v>
      </c>
      <c r="E2626" s="309" t="s">
        <v>162</v>
      </c>
      <c r="F2626" s="501">
        <v>47046</v>
      </c>
    </row>
    <row r="2627" spans="1:6" x14ac:dyDescent="0.25">
      <c r="A2627" s="308">
        <v>43159</v>
      </c>
      <c r="B2627" s="309" t="s">
        <v>486</v>
      </c>
      <c r="C2627" s="309" t="s">
        <v>504</v>
      </c>
      <c r="D2627" s="136" t="str">
        <f t="array" ref="D2627">IF(E2627=0,0,(INDEX(AccountCodes[ACCOUNT NAME],MATCH(E2627,AccountCodes[NGAS CODE],0))))</f>
        <v>Salaries and Wages-Regular</v>
      </c>
      <c r="E2627" s="309" t="s">
        <v>162</v>
      </c>
      <c r="F2627" s="501">
        <v>47046</v>
      </c>
    </row>
    <row r="2628" spans="1:6" x14ac:dyDescent="0.25">
      <c r="A2628" s="308">
        <v>43190</v>
      </c>
      <c r="B2628" s="309" t="s">
        <v>486</v>
      </c>
      <c r="C2628" s="309" t="s">
        <v>504</v>
      </c>
      <c r="D2628" s="136" t="str">
        <f t="array" ref="D2628">IF(E2628=0,0,(INDEX(AccountCodes[ACCOUNT NAME],MATCH(E2628,AccountCodes[NGAS CODE],0))))</f>
        <v>Salaries and Wages-Regular</v>
      </c>
      <c r="E2628" s="309" t="s">
        <v>162</v>
      </c>
      <c r="F2628" s="501">
        <v>47046</v>
      </c>
    </row>
    <row r="2629" spans="1:6" x14ac:dyDescent="0.25">
      <c r="A2629" s="308">
        <v>43220</v>
      </c>
      <c r="B2629" s="309" t="s">
        <v>486</v>
      </c>
      <c r="C2629" s="309" t="s">
        <v>504</v>
      </c>
      <c r="D2629" s="136" t="str">
        <f t="array" ref="D2629">IF(E2629=0,0,(INDEX(AccountCodes[ACCOUNT NAME],MATCH(E2629,AccountCodes[NGAS CODE],0))))</f>
        <v>Salaries and Wages-Regular</v>
      </c>
      <c r="E2629" s="309" t="s">
        <v>162</v>
      </c>
      <c r="F2629" s="501">
        <v>47046</v>
      </c>
    </row>
    <row r="2630" spans="1:6" x14ac:dyDescent="0.25">
      <c r="A2630" s="308">
        <v>43251</v>
      </c>
      <c r="B2630" s="309" t="s">
        <v>486</v>
      </c>
      <c r="C2630" s="309" t="s">
        <v>504</v>
      </c>
      <c r="D2630" s="136" t="str">
        <f t="array" ref="D2630">IF(E2630=0,0,(INDEX(AccountCodes[ACCOUNT NAME],MATCH(E2630,AccountCodes[NGAS CODE],0))))</f>
        <v>Salaries and Wages-Regular</v>
      </c>
      <c r="E2630" s="309" t="s">
        <v>162</v>
      </c>
      <c r="F2630" s="501">
        <v>47046</v>
      </c>
    </row>
    <row r="2631" spans="1:6" x14ac:dyDescent="0.25">
      <c r="A2631" s="308">
        <v>43281</v>
      </c>
      <c r="B2631" s="309" t="s">
        <v>486</v>
      </c>
      <c r="C2631" s="309" t="s">
        <v>504</v>
      </c>
      <c r="D2631" s="136" t="str">
        <f t="array" ref="D2631">IF(E2631=0,0,(INDEX(AccountCodes[ACCOUNT NAME],MATCH(E2631,AccountCodes[NGAS CODE],0))))</f>
        <v>Salaries and Wages-Regular</v>
      </c>
      <c r="E2631" s="309" t="s">
        <v>162</v>
      </c>
      <c r="F2631" s="501">
        <v>47046</v>
      </c>
    </row>
    <row r="2632" spans="1:6" x14ac:dyDescent="0.25">
      <c r="A2632" s="308">
        <v>43312</v>
      </c>
      <c r="B2632" s="309" t="s">
        <v>486</v>
      </c>
      <c r="C2632" s="309" t="s">
        <v>504</v>
      </c>
      <c r="D2632" s="136" t="str">
        <f t="array" ref="D2632">IF(E2632=0,0,(INDEX(AccountCodes[ACCOUNT NAME],MATCH(E2632,AccountCodes[NGAS CODE],0))))</f>
        <v>Salaries and Wages-Regular</v>
      </c>
      <c r="E2632" s="309" t="s">
        <v>162</v>
      </c>
      <c r="F2632" s="501">
        <v>47046</v>
      </c>
    </row>
    <row r="2633" spans="1:6" x14ac:dyDescent="0.25">
      <c r="A2633" s="308">
        <v>43343</v>
      </c>
      <c r="B2633" s="309" t="s">
        <v>486</v>
      </c>
      <c r="C2633" s="309" t="s">
        <v>504</v>
      </c>
      <c r="D2633" s="136" t="str">
        <f t="array" ref="D2633">IF(E2633=0,0,(INDEX(AccountCodes[ACCOUNT NAME],MATCH(E2633,AccountCodes[NGAS CODE],0))))</f>
        <v>Salaries and Wages-Regular</v>
      </c>
      <c r="E2633" s="309" t="s">
        <v>162</v>
      </c>
      <c r="F2633" s="501">
        <v>47046</v>
      </c>
    </row>
    <row r="2634" spans="1:6" x14ac:dyDescent="0.25">
      <c r="A2634" s="308">
        <v>43373</v>
      </c>
      <c r="B2634" s="309" t="s">
        <v>486</v>
      </c>
      <c r="C2634" s="309" t="s">
        <v>504</v>
      </c>
      <c r="D2634" s="136" t="str">
        <f t="array" ref="D2634">IF(E2634=0,0,(INDEX(AccountCodes[ACCOUNT NAME],MATCH(E2634,AccountCodes[NGAS CODE],0))))</f>
        <v>Salaries and Wages-Regular</v>
      </c>
      <c r="E2634" s="309" t="s">
        <v>162</v>
      </c>
      <c r="F2634" s="501">
        <v>47046</v>
      </c>
    </row>
    <row r="2635" spans="1:6" x14ac:dyDescent="0.25">
      <c r="A2635" s="308">
        <v>43404</v>
      </c>
      <c r="B2635" s="309" t="s">
        <v>486</v>
      </c>
      <c r="C2635" s="309" t="s">
        <v>504</v>
      </c>
      <c r="D2635" s="136" t="str">
        <f t="array" ref="D2635">IF(E2635=0,0,(INDEX(AccountCodes[ACCOUNT NAME],MATCH(E2635,AccountCodes[NGAS CODE],0))))</f>
        <v>Salaries and Wages-Regular</v>
      </c>
      <c r="E2635" s="309" t="s">
        <v>162</v>
      </c>
      <c r="F2635" s="501">
        <v>47046</v>
      </c>
    </row>
    <row r="2636" spans="1:6" x14ac:dyDescent="0.25">
      <c r="A2636" s="308">
        <v>43434</v>
      </c>
      <c r="B2636" s="309" t="s">
        <v>486</v>
      </c>
      <c r="C2636" s="309" t="s">
        <v>504</v>
      </c>
      <c r="D2636" s="136" t="str">
        <f t="array" ref="D2636">IF(E2636=0,0,(INDEX(AccountCodes[ACCOUNT NAME],MATCH(E2636,AccountCodes[NGAS CODE],0))))</f>
        <v>Salaries and Wages-Regular</v>
      </c>
      <c r="E2636" s="309" t="s">
        <v>162</v>
      </c>
      <c r="F2636" s="501">
        <v>47046</v>
      </c>
    </row>
    <row r="2637" spans="1:6" x14ac:dyDescent="0.25">
      <c r="A2637" s="308">
        <v>43465</v>
      </c>
      <c r="B2637" s="309" t="s">
        <v>486</v>
      </c>
      <c r="C2637" s="309" t="s">
        <v>504</v>
      </c>
      <c r="D2637" s="136" t="str">
        <f t="array" ref="D2637">IF(E2637=0,0,(INDEX(AccountCodes[ACCOUNT NAME],MATCH(E2637,AccountCodes[NGAS CODE],0))))</f>
        <v>Salaries and Wages-Regular</v>
      </c>
      <c r="E2637" s="309" t="s">
        <v>162</v>
      </c>
      <c r="F2637" s="501">
        <v>47046</v>
      </c>
    </row>
    <row r="2638" spans="1:6" x14ac:dyDescent="0.25">
      <c r="A2638" s="308">
        <v>43131</v>
      </c>
      <c r="B2638" s="309" t="s">
        <v>486</v>
      </c>
      <c r="C2638" s="309" t="s">
        <v>504</v>
      </c>
      <c r="D2638" s="136" t="str">
        <f t="array" ref="D2638">IF(E2638=0,0,(INDEX(AccountCodes[ACCOUNT NAME],MATCH(E2638,AccountCodes[NGAS CODE],0))))</f>
        <v>Salaries and Wages-Casual/Contractual</v>
      </c>
      <c r="E2638" s="309" t="s">
        <v>163</v>
      </c>
      <c r="F2638" s="501">
        <v>79539.61</v>
      </c>
    </row>
    <row r="2639" spans="1:6" x14ac:dyDescent="0.25">
      <c r="A2639" s="308">
        <v>43159</v>
      </c>
      <c r="B2639" s="309" t="s">
        <v>486</v>
      </c>
      <c r="C2639" s="309" t="s">
        <v>504</v>
      </c>
      <c r="D2639" s="136" t="str">
        <f t="array" ref="D2639">IF(E2639=0,0,(INDEX(AccountCodes[ACCOUNT NAME],MATCH(E2639,AccountCodes[NGAS CODE],0))))</f>
        <v>Salaries and Wages-Casual/Contractual</v>
      </c>
      <c r="E2639" s="309" t="s">
        <v>163</v>
      </c>
      <c r="F2639" s="501">
        <v>79539.61</v>
      </c>
    </row>
    <row r="2640" spans="1:6" x14ac:dyDescent="0.25">
      <c r="A2640" s="308">
        <v>43190</v>
      </c>
      <c r="B2640" s="309" t="s">
        <v>486</v>
      </c>
      <c r="C2640" s="309" t="s">
        <v>504</v>
      </c>
      <c r="D2640" s="136" t="str">
        <f t="array" ref="D2640">IF(E2640=0,0,(INDEX(AccountCodes[ACCOUNT NAME],MATCH(E2640,AccountCodes[NGAS CODE],0))))</f>
        <v>Salaries and Wages-Casual/Contractual</v>
      </c>
      <c r="E2640" s="309" t="s">
        <v>163</v>
      </c>
      <c r="F2640" s="501">
        <v>79539.61</v>
      </c>
    </row>
    <row r="2641" spans="1:6" x14ac:dyDescent="0.25">
      <c r="A2641" s="308">
        <v>43220</v>
      </c>
      <c r="B2641" s="309" t="s">
        <v>486</v>
      </c>
      <c r="C2641" s="309" t="s">
        <v>504</v>
      </c>
      <c r="D2641" s="136" t="str">
        <f t="array" ref="D2641">IF(E2641=0,0,(INDEX(AccountCodes[ACCOUNT NAME],MATCH(E2641,AccountCodes[NGAS CODE],0))))</f>
        <v>Salaries and Wages-Casual/Contractual</v>
      </c>
      <c r="E2641" s="309" t="s">
        <v>163</v>
      </c>
      <c r="F2641" s="501">
        <v>79539.61</v>
      </c>
    </row>
    <row r="2642" spans="1:6" x14ac:dyDescent="0.25">
      <c r="A2642" s="308">
        <v>43251</v>
      </c>
      <c r="B2642" s="309" t="s">
        <v>486</v>
      </c>
      <c r="C2642" s="309" t="s">
        <v>504</v>
      </c>
      <c r="D2642" s="136" t="str">
        <f t="array" ref="D2642">IF(E2642=0,0,(INDEX(AccountCodes[ACCOUNT NAME],MATCH(E2642,AccountCodes[NGAS CODE],0))))</f>
        <v>Salaries and Wages-Casual/Contractual</v>
      </c>
      <c r="E2642" s="309" t="s">
        <v>163</v>
      </c>
      <c r="F2642" s="501">
        <v>79539.61</v>
      </c>
    </row>
    <row r="2643" spans="1:6" x14ac:dyDescent="0.25">
      <c r="A2643" s="308">
        <v>43281</v>
      </c>
      <c r="B2643" s="309" t="s">
        <v>486</v>
      </c>
      <c r="C2643" s="309" t="s">
        <v>504</v>
      </c>
      <c r="D2643" s="136" t="str">
        <f t="array" ref="D2643">IF(E2643=0,0,(INDEX(AccountCodes[ACCOUNT NAME],MATCH(E2643,AccountCodes[NGAS CODE],0))))</f>
        <v>Salaries and Wages-Casual/Contractual</v>
      </c>
      <c r="E2643" s="309" t="s">
        <v>163</v>
      </c>
      <c r="F2643" s="501">
        <v>79539.61</v>
      </c>
    </row>
    <row r="2644" spans="1:6" x14ac:dyDescent="0.25">
      <c r="A2644" s="308">
        <v>43312</v>
      </c>
      <c r="B2644" s="309" t="s">
        <v>486</v>
      </c>
      <c r="C2644" s="309" t="s">
        <v>504</v>
      </c>
      <c r="D2644" s="136" t="str">
        <f t="array" ref="D2644">IF(E2644=0,0,(INDEX(AccountCodes[ACCOUNT NAME],MATCH(E2644,AccountCodes[NGAS CODE],0))))</f>
        <v>Salaries and Wages-Casual/Contractual</v>
      </c>
      <c r="E2644" s="309" t="s">
        <v>163</v>
      </c>
      <c r="F2644" s="501">
        <v>79539.61</v>
      </c>
    </row>
    <row r="2645" spans="1:6" x14ac:dyDescent="0.25">
      <c r="A2645" s="308">
        <v>43343</v>
      </c>
      <c r="B2645" s="309" t="s">
        <v>486</v>
      </c>
      <c r="C2645" s="309" t="s">
        <v>504</v>
      </c>
      <c r="D2645" s="136" t="str">
        <f t="array" ref="D2645">IF(E2645=0,0,(INDEX(AccountCodes[ACCOUNT NAME],MATCH(E2645,AccountCodes[NGAS CODE],0))))</f>
        <v>Salaries and Wages-Casual/Contractual</v>
      </c>
      <c r="E2645" s="309" t="s">
        <v>163</v>
      </c>
      <c r="F2645" s="501">
        <v>79539.61</v>
      </c>
    </row>
    <row r="2646" spans="1:6" x14ac:dyDescent="0.25">
      <c r="A2646" s="308">
        <v>43373</v>
      </c>
      <c r="B2646" s="309" t="s">
        <v>486</v>
      </c>
      <c r="C2646" s="309" t="s">
        <v>504</v>
      </c>
      <c r="D2646" s="136" t="str">
        <f t="array" ref="D2646">IF(E2646=0,0,(INDEX(AccountCodes[ACCOUNT NAME],MATCH(E2646,AccountCodes[NGAS CODE],0))))</f>
        <v>Salaries and Wages-Casual/Contractual</v>
      </c>
      <c r="E2646" s="309" t="s">
        <v>163</v>
      </c>
      <c r="F2646" s="501">
        <v>79539.61</v>
      </c>
    </row>
    <row r="2647" spans="1:6" x14ac:dyDescent="0.25">
      <c r="A2647" s="308">
        <v>43404</v>
      </c>
      <c r="B2647" s="309" t="s">
        <v>486</v>
      </c>
      <c r="C2647" s="309" t="s">
        <v>504</v>
      </c>
      <c r="D2647" s="136" t="str">
        <f t="array" ref="D2647">IF(E2647=0,0,(INDEX(AccountCodes[ACCOUNT NAME],MATCH(E2647,AccountCodes[NGAS CODE],0))))</f>
        <v>Salaries and Wages-Casual/Contractual</v>
      </c>
      <c r="E2647" s="309" t="s">
        <v>163</v>
      </c>
      <c r="F2647" s="501">
        <v>79539.61</v>
      </c>
    </row>
    <row r="2648" spans="1:6" x14ac:dyDescent="0.25">
      <c r="A2648" s="308">
        <v>43434</v>
      </c>
      <c r="B2648" s="309" t="s">
        <v>486</v>
      </c>
      <c r="C2648" s="309" t="s">
        <v>504</v>
      </c>
      <c r="D2648" s="136" t="str">
        <f t="array" ref="D2648">IF(E2648=0,0,(INDEX(AccountCodes[ACCOUNT NAME],MATCH(E2648,AccountCodes[NGAS CODE],0))))</f>
        <v>Salaries and Wages-Casual/Contractual</v>
      </c>
      <c r="E2648" s="309" t="s">
        <v>163</v>
      </c>
      <c r="F2648" s="501">
        <v>79539.61</v>
      </c>
    </row>
    <row r="2649" spans="1:6" x14ac:dyDescent="0.25">
      <c r="A2649" s="308">
        <v>43465</v>
      </c>
      <c r="B2649" s="309" t="s">
        <v>486</v>
      </c>
      <c r="C2649" s="309" t="s">
        <v>504</v>
      </c>
      <c r="D2649" s="136" t="str">
        <f t="array" ref="D2649">IF(E2649=0,0,(INDEX(AccountCodes[ACCOUNT NAME],MATCH(E2649,AccountCodes[NGAS CODE],0))))</f>
        <v>Salaries and Wages-Casual/Contractual</v>
      </c>
      <c r="E2649" s="309" t="s">
        <v>163</v>
      </c>
      <c r="F2649" s="501">
        <v>79539.61</v>
      </c>
    </row>
    <row r="2650" spans="1:6" x14ac:dyDescent="0.25">
      <c r="A2650" s="308">
        <v>43131</v>
      </c>
      <c r="B2650" s="309" t="s">
        <v>486</v>
      </c>
      <c r="C2650" s="309" t="s">
        <v>504</v>
      </c>
      <c r="D2650" s="136" t="str">
        <f t="array" ref="D2650">IF(E2650=0,0,(INDEX(AccountCodes[ACCOUNT NAME],MATCH(E2650,AccountCodes[NGAS CODE],0))))</f>
        <v>Personal Economic Relief Allowance (PERA)</v>
      </c>
      <c r="E2650" s="309" t="s">
        <v>164</v>
      </c>
      <c r="F2650" s="501">
        <v>10000</v>
      </c>
    </row>
    <row r="2651" spans="1:6" x14ac:dyDescent="0.25">
      <c r="A2651" s="308">
        <v>43159</v>
      </c>
      <c r="B2651" s="309" t="s">
        <v>486</v>
      </c>
      <c r="C2651" s="309" t="s">
        <v>504</v>
      </c>
      <c r="D2651" s="136" t="str">
        <f t="array" ref="D2651">IF(E2651=0,0,(INDEX(AccountCodes[ACCOUNT NAME],MATCH(E2651,AccountCodes[NGAS CODE],0))))</f>
        <v>Personal Economic Relief Allowance (PERA)</v>
      </c>
      <c r="E2651" s="309" t="s">
        <v>164</v>
      </c>
      <c r="F2651" s="501">
        <v>10000</v>
      </c>
    </row>
    <row r="2652" spans="1:6" x14ac:dyDescent="0.25">
      <c r="A2652" s="308">
        <v>43190</v>
      </c>
      <c r="B2652" s="309" t="s">
        <v>486</v>
      </c>
      <c r="C2652" s="309" t="s">
        <v>504</v>
      </c>
      <c r="D2652" s="136" t="str">
        <f t="array" ref="D2652">IF(E2652=0,0,(INDEX(AccountCodes[ACCOUNT NAME],MATCH(E2652,AccountCodes[NGAS CODE],0))))</f>
        <v>Personal Economic Relief Allowance (PERA)</v>
      </c>
      <c r="E2652" s="309" t="s">
        <v>164</v>
      </c>
      <c r="F2652" s="501">
        <v>10000</v>
      </c>
    </row>
    <row r="2653" spans="1:6" x14ac:dyDescent="0.25">
      <c r="A2653" s="308">
        <v>43220</v>
      </c>
      <c r="B2653" s="309" t="s">
        <v>486</v>
      </c>
      <c r="C2653" s="309" t="s">
        <v>504</v>
      </c>
      <c r="D2653" s="136" t="str">
        <f t="array" ref="D2653">IF(E2653=0,0,(INDEX(AccountCodes[ACCOUNT NAME],MATCH(E2653,AccountCodes[NGAS CODE],0))))</f>
        <v>Personal Economic Relief Allowance (PERA)</v>
      </c>
      <c r="E2653" s="309" t="s">
        <v>164</v>
      </c>
      <c r="F2653" s="501">
        <v>10000</v>
      </c>
    </row>
    <row r="2654" spans="1:6" x14ac:dyDescent="0.25">
      <c r="A2654" s="308">
        <v>43251</v>
      </c>
      <c r="B2654" s="309" t="s">
        <v>486</v>
      </c>
      <c r="C2654" s="309" t="s">
        <v>504</v>
      </c>
      <c r="D2654" s="136" t="str">
        <f t="array" ref="D2654">IF(E2654=0,0,(INDEX(AccountCodes[ACCOUNT NAME],MATCH(E2654,AccountCodes[NGAS CODE],0))))</f>
        <v>Personal Economic Relief Allowance (PERA)</v>
      </c>
      <c r="E2654" s="309" t="s">
        <v>164</v>
      </c>
      <c r="F2654" s="501">
        <v>10000</v>
      </c>
    </row>
    <row r="2655" spans="1:6" x14ac:dyDescent="0.25">
      <c r="A2655" s="308">
        <v>43281</v>
      </c>
      <c r="B2655" s="309" t="s">
        <v>486</v>
      </c>
      <c r="C2655" s="309" t="s">
        <v>504</v>
      </c>
      <c r="D2655" s="136" t="str">
        <f t="array" ref="D2655">IF(E2655=0,0,(INDEX(AccountCodes[ACCOUNT NAME],MATCH(E2655,AccountCodes[NGAS CODE],0))))</f>
        <v>Personal Economic Relief Allowance (PERA)</v>
      </c>
      <c r="E2655" s="309" t="s">
        <v>164</v>
      </c>
      <c r="F2655" s="501">
        <v>10000</v>
      </c>
    </row>
    <row r="2656" spans="1:6" x14ac:dyDescent="0.25">
      <c r="A2656" s="308">
        <v>43312</v>
      </c>
      <c r="B2656" s="309" t="s">
        <v>486</v>
      </c>
      <c r="C2656" s="309" t="s">
        <v>504</v>
      </c>
      <c r="D2656" s="136" t="str">
        <f t="array" ref="D2656">IF(E2656=0,0,(INDEX(AccountCodes[ACCOUNT NAME],MATCH(E2656,AccountCodes[NGAS CODE],0))))</f>
        <v>Personal Economic Relief Allowance (PERA)</v>
      </c>
      <c r="E2656" s="309" t="s">
        <v>164</v>
      </c>
      <c r="F2656" s="501">
        <v>10000</v>
      </c>
    </row>
    <row r="2657" spans="1:6" x14ac:dyDescent="0.25">
      <c r="A2657" s="308">
        <v>43343</v>
      </c>
      <c r="B2657" s="309" t="s">
        <v>486</v>
      </c>
      <c r="C2657" s="309" t="s">
        <v>504</v>
      </c>
      <c r="D2657" s="136" t="str">
        <f t="array" ref="D2657">IF(E2657=0,0,(INDEX(AccountCodes[ACCOUNT NAME],MATCH(E2657,AccountCodes[NGAS CODE],0))))</f>
        <v>Personal Economic Relief Allowance (PERA)</v>
      </c>
      <c r="E2657" s="309" t="s">
        <v>164</v>
      </c>
      <c r="F2657" s="501">
        <v>10000</v>
      </c>
    </row>
    <row r="2658" spans="1:6" x14ac:dyDescent="0.25">
      <c r="A2658" s="308">
        <v>43373</v>
      </c>
      <c r="B2658" s="309" t="s">
        <v>486</v>
      </c>
      <c r="C2658" s="309" t="s">
        <v>504</v>
      </c>
      <c r="D2658" s="136" t="str">
        <f t="array" ref="D2658">IF(E2658=0,0,(INDEX(AccountCodes[ACCOUNT NAME],MATCH(E2658,AccountCodes[NGAS CODE],0))))</f>
        <v>Personal Economic Relief Allowance (PERA)</v>
      </c>
      <c r="E2658" s="309" t="s">
        <v>164</v>
      </c>
      <c r="F2658" s="501">
        <v>10000</v>
      </c>
    </row>
    <row r="2659" spans="1:6" x14ac:dyDescent="0.25">
      <c r="A2659" s="308">
        <v>43404</v>
      </c>
      <c r="B2659" s="309" t="s">
        <v>486</v>
      </c>
      <c r="C2659" s="309" t="s">
        <v>504</v>
      </c>
      <c r="D2659" s="136" t="str">
        <f t="array" ref="D2659">IF(E2659=0,0,(INDEX(AccountCodes[ACCOUNT NAME],MATCH(E2659,AccountCodes[NGAS CODE],0))))</f>
        <v>Personal Economic Relief Allowance (PERA)</v>
      </c>
      <c r="E2659" s="309" t="s">
        <v>164</v>
      </c>
      <c r="F2659" s="501">
        <v>10000</v>
      </c>
    </row>
    <row r="2660" spans="1:6" x14ac:dyDescent="0.25">
      <c r="A2660" s="308">
        <v>43434</v>
      </c>
      <c r="B2660" s="309" t="s">
        <v>486</v>
      </c>
      <c r="C2660" s="309" t="s">
        <v>504</v>
      </c>
      <c r="D2660" s="136" t="str">
        <f t="array" ref="D2660">IF(E2660=0,0,(INDEX(AccountCodes[ACCOUNT NAME],MATCH(E2660,AccountCodes[NGAS CODE],0))))</f>
        <v>Personal Economic Relief Allowance (PERA)</v>
      </c>
      <c r="E2660" s="309" t="s">
        <v>164</v>
      </c>
      <c r="F2660" s="501">
        <v>10000</v>
      </c>
    </row>
    <row r="2661" spans="1:6" x14ac:dyDescent="0.25">
      <c r="A2661" s="308">
        <v>43465</v>
      </c>
      <c r="B2661" s="309" t="s">
        <v>486</v>
      </c>
      <c r="C2661" s="309" t="s">
        <v>504</v>
      </c>
      <c r="D2661" s="136" t="str">
        <f t="array" ref="D2661">IF(E2661=0,0,(INDEX(AccountCodes[ACCOUNT NAME],MATCH(E2661,AccountCodes[NGAS CODE],0))))</f>
        <v>Personal Economic Relief Allowance (PERA)</v>
      </c>
      <c r="E2661" s="309" t="s">
        <v>164</v>
      </c>
      <c r="F2661" s="501">
        <v>10000</v>
      </c>
    </row>
    <row r="2662" spans="1:6" x14ac:dyDescent="0.25">
      <c r="A2662" s="308">
        <v>43465</v>
      </c>
      <c r="B2662" s="309" t="s">
        <v>486</v>
      </c>
      <c r="C2662" s="309" t="s">
        <v>504</v>
      </c>
      <c r="D2662" s="136" t="str">
        <f t="array" ref="D2662">IF(E2662=0,0,(INDEX(AccountCodes[ACCOUNT NAME],MATCH(E2662,AccountCodes[NGAS CODE],0))))</f>
        <v>Other Bonuses and Allowances - Productivity Enhancement Incentive-Civilian</v>
      </c>
      <c r="E2662" s="309" t="s">
        <v>170</v>
      </c>
      <c r="F2662" s="501">
        <v>25000</v>
      </c>
    </row>
    <row r="2663" spans="1:6" x14ac:dyDescent="0.25">
      <c r="A2663" s="308">
        <v>43131</v>
      </c>
      <c r="B2663" s="309" t="s">
        <v>486</v>
      </c>
      <c r="C2663" s="309" t="s">
        <v>504</v>
      </c>
      <c r="D2663" s="136" t="str">
        <f t="array" ref="D2663">IF(E2663=0,0,(INDEX(AccountCodes[ACCOUNT NAME],MATCH(E2663,AccountCodes[NGAS CODE],0))))</f>
        <v>Other Bonuses and Allowances - Medical Allowance</v>
      </c>
      <c r="E2663" s="309" t="s">
        <v>5</v>
      </c>
      <c r="F2663" s="501">
        <v>400</v>
      </c>
    </row>
    <row r="2664" spans="1:6" x14ac:dyDescent="0.25">
      <c r="A2664" s="308">
        <v>43159</v>
      </c>
      <c r="B2664" s="309" t="s">
        <v>486</v>
      </c>
      <c r="C2664" s="309" t="s">
        <v>504</v>
      </c>
      <c r="D2664" s="136" t="str">
        <f t="array" ref="D2664">IF(E2664=0,0,(INDEX(AccountCodes[ACCOUNT NAME],MATCH(E2664,AccountCodes[NGAS CODE],0))))</f>
        <v>Other Bonuses and Allowances - Medical Allowance</v>
      </c>
      <c r="E2664" s="309" t="s">
        <v>5</v>
      </c>
      <c r="F2664" s="501">
        <v>400</v>
      </c>
    </row>
    <row r="2665" spans="1:6" x14ac:dyDescent="0.25">
      <c r="A2665" s="308">
        <v>43190</v>
      </c>
      <c r="B2665" s="309" t="s">
        <v>486</v>
      </c>
      <c r="C2665" s="309" t="s">
        <v>504</v>
      </c>
      <c r="D2665" s="136" t="str">
        <f t="array" ref="D2665">IF(E2665=0,0,(INDEX(AccountCodes[ACCOUNT NAME],MATCH(E2665,AccountCodes[NGAS CODE],0))))</f>
        <v>Other Bonuses and Allowances - Medical Allowance</v>
      </c>
      <c r="E2665" s="309" t="s">
        <v>5</v>
      </c>
      <c r="F2665" s="501">
        <v>400</v>
      </c>
    </row>
    <row r="2666" spans="1:6" x14ac:dyDescent="0.25">
      <c r="A2666" s="308">
        <v>43220</v>
      </c>
      <c r="B2666" s="309" t="s">
        <v>486</v>
      </c>
      <c r="C2666" s="309" t="s">
        <v>504</v>
      </c>
      <c r="D2666" s="136" t="str">
        <f t="array" ref="D2666">IF(E2666=0,0,(INDEX(AccountCodes[ACCOUNT NAME],MATCH(E2666,AccountCodes[NGAS CODE],0))))</f>
        <v>Other Bonuses and Allowances - Medical Allowance</v>
      </c>
      <c r="E2666" s="309" t="s">
        <v>5</v>
      </c>
      <c r="F2666" s="501">
        <v>400</v>
      </c>
    </row>
    <row r="2667" spans="1:6" x14ac:dyDescent="0.25">
      <c r="A2667" s="308">
        <v>43251</v>
      </c>
      <c r="B2667" s="309" t="s">
        <v>486</v>
      </c>
      <c r="C2667" s="309" t="s">
        <v>504</v>
      </c>
      <c r="D2667" s="136" t="str">
        <f t="array" ref="D2667">IF(E2667=0,0,(INDEX(AccountCodes[ACCOUNT NAME],MATCH(E2667,AccountCodes[NGAS CODE],0))))</f>
        <v>Other Bonuses and Allowances - Medical Allowance</v>
      </c>
      <c r="E2667" s="309" t="s">
        <v>5</v>
      </c>
      <c r="F2667" s="501">
        <v>400</v>
      </c>
    </row>
    <row r="2668" spans="1:6" x14ac:dyDescent="0.25">
      <c r="A2668" s="308">
        <v>43281</v>
      </c>
      <c r="B2668" s="309" t="s">
        <v>486</v>
      </c>
      <c r="C2668" s="309" t="s">
        <v>504</v>
      </c>
      <c r="D2668" s="136" t="str">
        <f t="array" ref="D2668">IF(E2668=0,0,(INDEX(AccountCodes[ACCOUNT NAME],MATCH(E2668,AccountCodes[NGAS CODE],0))))</f>
        <v>Other Bonuses and Allowances - Medical Allowance</v>
      </c>
      <c r="E2668" s="309" t="s">
        <v>5</v>
      </c>
      <c r="F2668" s="501">
        <v>400</v>
      </c>
    </row>
    <row r="2669" spans="1:6" x14ac:dyDescent="0.25">
      <c r="A2669" s="308">
        <v>43312</v>
      </c>
      <c r="B2669" s="309" t="s">
        <v>486</v>
      </c>
      <c r="C2669" s="309" t="s">
        <v>504</v>
      </c>
      <c r="D2669" s="136" t="str">
        <f t="array" ref="D2669">IF(E2669=0,0,(INDEX(AccountCodes[ACCOUNT NAME],MATCH(E2669,AccountCodes[NGAS CODE],0))))</f>
        <v>Other Bonuses and Allowances - Medical Allowance</v>
      </c>
      <c r="E2669" s="309" t="s">
        <v>5</v>
      </c>
      <c r="F2669" s="501">
        <v>400</v>
      </c>
    </row>
    <row r="2670" spans="1:6" x14ac:dyDescent="0.25">
      <c r="A2670" s="308">
        <v>43343</v>
      </c>
      <c r="B2670" s="309" t="s">
        <v>486</v>
      </c>
      <c r="C2670" s="309" t="s">
        <v>504</v>
      </c>
      <c r="D2670" s="136" t="str">
        <f t="array" ref="D2670">IF(E2670=0,0,(INDEX(AccountCodes[ACCOUNT NAME],MATCH(E2670,AccountCodes[NGAS CODE],0))))</f>
        <v>Other Bonuses and Allowances - Medical Allowance</v>
      </c>
      <c r="E2670" s="309" t="s">
        <v>5</v>
      </c>
      <c r="F2670" s="501">
        <v>400</v>
      </c>
    </row>
    <row r="2671" spans="1:6" x14ac:dyDescent="0.25">
      <c r="A2671" s="308">
        <v>43373</v>
      </c>
      <c r="B2671" s="309" t="s">
        <v>486</v>
      </c>
      <c r="C2671" s="309" t="s">
        <v>504</v>
      </c>
      <c r="D2671" s="136" t="str">
        <f t="array" ref="D2671">IF(E2671=0,0,(INDEX(AccountCodes[ACCOUNT NAME],MATCH(E2671,AccountCodes[NGAS CODE],0))))</f>
        <v>Other Bonuses and Allowances - Medical Allowance</v>
      </c>
      <c r="E2671" s="309" t="s">
        <v>5</v>
      </c>
      <c r="F2671" s="501">
        <v>400</v>
      </c>
    </row>
    <row r="2672" spans="1:6" x14ac:dyDescent="0.25">
      <c r="A2672" s="308">
        <v>43404</v>
      </c>
      <c r="B2672" s="309" t="s">
        <v>486</v>
      </c>
      <c r="C2672" s="309" t="s">
        <v>504</v>
      </c>
      <c r="D2672" s="136" t="str">
        <f t="array" ref="D2672">IF(E2672=0,0,(INDEX(AccountCodes[ACCOUNT NAME],MATCH(E2672,AccountCodes[NGAS CODE],0))))</f>
        <v>Other Bonuses and Allowances - Medical Allowance</v>
      </c>
      <c r="E2672" s="309" t="s">
        <v>5</v>
      </c>
      <c r="F2672" s="501">
        <v>400</v>
      </c>
    </row>
    <row r="2673" spans="1:6" x14ac:dyDescent="0.25">
      <c r="A2673" s="308">
        <v>43434</v>
      </c>
      <c r="B2673" s="309" t="s">
        <v>486</v>
      </c>
      <c r="C2673" s="309" t="s">
        <v>504</v>
      </c>
      <c r="D2673" s="136" t="str">
        <f t="array" ref="D2673">IF(E2673=0,0,(INDEX(AccountCodes[ACCOUNT NAME],MATCH(E2673,AccountCodes[NGAS CODE],0))))</f>
        <v>Other Bonuses and Allowances - Medical Allowance</v>
      </c>
      <c r="E2673" s="309" t="s">
        <v>5</v>
      </c>
      <c r="F2673" s="501">
        <v>400</v>
      </c>
    </row>
    <row r="2674" spans="1:6" x14ac:dyDescent="0.25">
      <c r="A2674" s="308">
        <v>43465</v>
      </c>
      <c r="B2674" s="309" t="s">
        <v>486</v>
      </c>
      <c r="C2674" s="309" t="s">
        <v>504</v>
      </c>
      <c r="D2674" s="136" t="str">
        <f t="array" ref="D2674">IF(E2674=0,0,(INDEX(AccountCodes[ACCOUNT NAME],MATCH(E2674,AccountCodes[NGAS CODE],0))))</f>
        <v>Other Bonuses and Allowances - Medical Allowance</v>
      </c>
      <c r="E2674" s="309" t="s">
        <v>5</v>
      </c>
      <c r="F2674" s="501">
        <v>400</v>
      </c>
    </row>
    <row r="2675" spans="1:6" x14ac:dyDescent="0.25">
      <c r="A2675" s="308">
        <v>43131</v>
      </c>
      <c r="B2675" s="309" t="s">
        <v>486</v>
      </c>
      <c r="C2675" s="309" t="s">
        <v>504</v>
      </c>
      <c r="D2675" s="136" t="str">
        <f t="array" ref="D2675">IF(E2675=0,0,(INDEX(AccountCodes[ACCOUNT NAME],MATCH(E2675,AccountCodes[NGAS CODE],0))))</f>
        <v>Other Bonuses and Allowances - Meal Allowance</v>
      </c>
      <c r="E2675" s="309" t="s">
        <v>6</v>
      </c>
      <c r="F2675" s="501">
        <v>132</v>
      </c>
    </row>
    <row r="2676" spans="1:6" x14ac:dyDescent="0.25">
      <c r="A2676" s="308">
        <v>43159</v>
      </c>
      <c r="B2676" s="309" t="s">
        <v>486</v>
      </c>
      <c r="C2676" s="309" t="s">
        <v>504</v>
      </c>
      <c r="D2676" s="136" t="str">
        <f t="array" ref="D2676">IF(E2676=0,0,(INDEX(AccountCodes[ACCOUNT NAME],MATCH(E2676,AccountCodes[NGAS CODE],0))))</f>
        <v>Other Bonuses and Allowances - Meal Allowance</v>
      </c>
      <c r="E2676" s="309" t="s">
        <v>6</v>
      </c>
      <c r="F2676" s="501">
        <v>132</v>
      </c>
    </row>
    <row r="2677" spans="1:6" x14ac:dyDescent="0.25">
      <c r="A2677" s="308">
        <v>43190</v>
      </c>
      <c r="B2677" s="309" t="s">
        <v>486</v>
      </c>
      <c r="C2677" s="309" t="s">
        <v>504</v>
      </c>
      <c r="D2677" s="136" t="str">
        <f t="array" ref="D2677">IF(E2677=0,0,(INDEX(AccountCodes[ACCOUNT NAME],MATCH(E2677,AccountCodes[NGAS CODE],0))))</f>
        <v>Other Bonuses and Allowances - Meal Allowance</v>
      </c>
      <c r="E2677" s="309" t="s">
        <v>6</v>
      </c>
      <c r="F2677" s="501">
        <v>132</v>
      </c>
    </row>
    <row r="2678" spans="1:6" x14ac:dyDescent="0.25">
      <c r="A2678" s="308">
        <v>43220</v>
      </c>
      <c r="B2678" s="309" t="s">
        <v>486</v>
      </c>
      <c r="C2678" s="309" t="s">
        <v>504</v>
      </c>
      <c r="D2678" s="136" t="str">
        <f t="array" ref="D2678">IF(E2678=0,0,(INDEX(AccountCodes[ACCOUNT NAME],MATCH(E2678,AccountCodes[NGAS CODE],0))))</f>
        <v>Other Bonuses and Allowances - Meal Allowance</v>
      </c>
      <c r="E2678" s="309" t="s">
        <v>6</v>
      </c>
      <c r="F2678" s="501">
        <v>132</v>
      </c>
    </row>
    <row r="2679" spans="1:6" x14ac:dyDescent="0.25">
      <c r="A2679" s="308">
        <v>43251</v>
      </c>
      <c r="B2679" s="309" t="s">
        <v>486</v>
      </c>
      <c r="C2679" s="309" t="s">
        <v>504</v>
      </c>
      <c r="D2679" s="136" t="str">
        <f t="array" ref="D2679">IF(E2679=0,0,(INDEX(AccountCodes[ACCOUNT NAME],MATCH(E2679,AccountCodes[NGAS CODE],0))))</f>
        <v>Other Bonuses and Allowances - Meal Allowance</v>
      </c>
      <c r="E2679" s="309" t="s">
        <v>6</v>
      </c>
      <c r="F2679" s="501">
        <v>132</v>
      </c>
    </row>
    <row r="2680" spans="1:6" x14ac:dyDescent="0.25">
      <c r="A2680" s="308">
        <v>43281</v>
      </c>
      <c r="B2680" s="309" t="s">
        <v>486</v>
      </c>
      <c r="C2680" s="309" t="s">
        <v>504</v>
      </c>
      <c r="D2680" s="136" t="str">
        <f t="array" ref="D2680">IF(E2680=0,0,(INDEX(AccountCodes[ACCOUNT NAME],MATCH(E2680,AccountCodes[NGAS CODE],0))))</f>
        <v>Other Bonuses and Allowances - Meal Allowance</v>
      </c>
      <c r="E2680" s="309" t="s">
        <v>6</v>
      </c>
      <c r="F2680" s="501">
        <v>132</v>
      </c>
    </row>
    <row r="2681" spans="1:6" x14ac:dyDescent="0.25">
      <c r="A2681" s="308">
        <v>43312</v>
      </c>
      <c r="B2681" s="309" t="s">
        <v>486</v>
      </c>
      <c r="C2681" s="309" t="s">
        <v>504</v>
      </c>
      <c r="D2681" s="136" t="str">
        <f t="array" ref="D2681">IF(E2681=0,0,(INDEX(AccountCodes[ACCOUNT NAME],MATCH(E2681,AccountCodes[NGAS CODE],0))))</f>
        <v>Other Bonuses and Allowances - Meal Allowance</v>
      </c>
      <c r="E2681" s="309" t="s">
        <v>6</v>
      </c>
      <c r="F2681" s="501">
        <v>132</v>
      </c>
    </row>
    <row r="2682" spans="1:6" x14ac:dyDescent="0.25">
      <c r="A2682" s="308">
        <v>43343</v>
      </c>
      <c r="B2682" s="309" t="s">
        <v>486</v>
      </c>
      <c r="C2682" s="309" t="s">
        <v>504</v>
      </c>
      <c r="D2682" s="136" t="str">
        <f t="array" ref="D2682">IF(E2682=0,0,(INDEX(AccountCodes[ACCOUNT NAME],MATCH(E2682,AccountCodes[NGAS CODE],0))))</f>
        <v>Other Bonuses and Allowances - Meal Allowance</v>
      </c>
      <c r="E2682" s="309" t="s">
        <v>6</v>
      </c>
      <c r="F2682" s="501">
        <v>132</v>
      </c>
    </row>
    <row r="2683" spans="1:6" x14ac:dyDescent="0.25">
      <c r="A2683" s="308">
        <v>43373</v>
      </c>
      <c r="B2683" s="309" t="s">
        <v>486</v>
      </c>
      <c r="C2683" s="309" t="s">
        <v>504</v>
      </c>
      <c r="D2683" s="136" t="str">
        <f t="array" ref="D2683">IF(E2683=0,0,(INDEX(AccountCodes[ACCOUNT NAME],MATCH(E2683,AccountCodes[NGAS CODE],0))))</f>
        <v>Other Bonuses and Allowances - Meal Allowance</v>
      </c>
      <c r="E2683" s="309" t="s">
        <v>6</v>
      </c>
      <c r="F2683" s="501">
        <v>132</v>
      </c>
    </row>
    <row r="2684" spans="1:6" x14ac:dyDescent="0.25">
      <c r="A2684" s="308">
        <v>43404</v>
      </c>
      <c r="B2684" s="309" t="s">
        <v>486</v>
      </c>
      <c r="C2684" s="309" t="s">
        <v>504</v>
      </c>
      <c r="D2684" s="136" t="str">
        <f t="array" ref="D2684">IF(E2684=0,0,(INDEX(AccountCodes[ACCOUNT NAME],MATCH(E2684,AccountCodes[NGAS CODE],0))))</f>
        <v>Other Bonuses and Allowances - Meal Allowance</v>
      </c>
      <c r="E2684" s="309" t="s">
        <v>6</v>
      </c>
      <c r="F2684" s="501">
        <v>132</v>
      </c>
    </row>
    <row r="2685" spans="1:6" x14ac:dyDescent="0.25">
      <c r="A2685" s="308">
        <v>43434</v>
      </c>
      <c r="B2685" s="309" t="s">
        <v>486</v>
      </c>
      <c r="C2685" s="309" t="s">
        <v>504</v>
      </c>
      <c r="D2685" s="136" t="str">
        <f t="array" ref="D2685">IF(E2685=0,0,(INDEX(AccountCodes[ACCOUNT NAME],MATCH(E2685,AccountCodes[NGAS CODE],0))))</f>
        <v>Other Bonuses and Allowances - Meal Allowance</v>
      </c>
      <c r="E2685" s="309" t="s">
        <v>6</v>
      </c>
      <c r="F2685" s="501">
        <v>132</v>
      </c>
    </row>
    <row r="2686" spans="1:6" x14ac:dyDescent="0.25">
      <c r="A2686" s="308">
        <v>43465</v>
      </c>
      <c r="B2686" s="309" t="s">
        <v>486</v>
      </c>
      <c r="C2686" s="309" t="s">
        <v>504</v>
      </c>
      <c r="D2686" s="136" t="str">
        <f t="array" ref="D2686">IF(E2686=0,0,(INDEX(AccountCodes[ACCOUNT NAME],MATCH(E2686,AccountCodes[NGAS CODE],0))))</f>
        <v>Other Bonuses and Allowances - Meal Allowance</v>
      </c>
      <c r="E2686" s="309" t="s">
        <v>6</v>
      </c>
      <c r="F2686" s="501">
        <v>132</v>
      </c>
    </row>
    <row r="2687" spans="1:6" x14ac:dyDescent="0.25">
      <c r="A2687" s="308">
        <v>43434</v>
      </c>
      <c r="B2687" s="309" t="s">
        <v>486</v>
      </c>
      <c r="C2687" s="309" t="s">
        <v>504</v>
      </c>
      <c r="D2687" s="136" t="str">
        <f t="array" ref="D2687">IF(E2687=0,0,(INDEX(AccountCodes[ACCOUNT NAME],MATCH(E2687,AccountCodes[NGAS CODE],0))))</f>
        <v>Cash Gift</v>
      </c>
      <c r="E2687" s="309" t="s">
        <v>172</v>
      </c>
      <c r="F2687" s="501">
        <v>15000</v>
      </c>
    </row>
    <row r="2688" spans="1:6" x14ac:dyDescent="0.25">
      <c r="A2688" s="308">
        <v>43251</v>
      </c>
      <c r="B2688" s="309" t="s">
        <v>486</v>
      </c>
      <c r="C2688" s="309" t="s">
        <v>504</v>
      </c>
      <c r="D2688" s="136" t="str">
        <f t="array" ref="D2688">IF(E2688=0,0,(INDEX(AccountCodes[ACCOUNT NAME],MATCH(E2688,AccountCodes[NGAS CODE],0))))</f>
        <v>Mid-Year/Year End Bonus</v>
      </c>
      <c r="E2688" s="309" t="s">
        <v>174</v>
      </c>
      <c r="F2688" s="501">
        <v>47046</v>
      </c>
    </row>
    <row r="2689" spans="1:6" x14ac:dyDescent="0.25">
      <c r="A2689" s="308">
        <v>43434</v>
      </c>
      <c r="B2689" s="309" t="s">
        <v>486</v>
      </c>
      <c r="C2689" s="309" t="s">
        <v>504</v>
      </c>
      <c r="D2689" s="136" t="str">
        <f t="array" ref="D2689">IF(E2689=0,0,(INDEX(AccountCodes[ACCOUNT NAME],MATCH(E2689,AccountCodes[NGAS CODE],0))))</f>
        <v>Mid-Year/Year End Bonus</v>
      </c>
      <c r="E2689" s="309" t="s">
        <v>174</v>
      </c>
      <c r="F2689" s="501">
        <v>47046</v>
      </c>
    </row>
    <row r="2690" spans="1:6" x14ac:dyDescent="0.25">
      <c r="A2690" s="308">
        <v>43131</v>
      </c>
      <c r="B2690" s="309" t="s">
        <v>486</v>
      </c>
      <c r="C2690" s="309" t="s">
        <v>504</v>
      </c>
      <c r="D2690" s="136" t="str">
        <f t="array" ref="D2690">IF(E2690=0,0,(INDEX(AccountCodes[ACCOUNT NAME],MATCH(E2690,AccountCodes[NGAS CODE],0))))</f>
        <v>Retirement and Life Insurance Premiums</v>
      </c>
      <c r="E2690" s="309" t="s">
        <v>175</v>
      </c>
      <c r="F2690" s="501">
        <v>8141.76</v>
      </c>
    </row>
    <row r="2691" spans="1:6" x14ac:dyDescent="0.25">
      <c r="A2691" s="308">
        <v>43159</v>
      </c>
      <c r="B2691" s="309" t="s">
        <v>486</v>
      </c>
      <c r="C2691" s="309" t="s">
        <v>504</v>
      </c>
      <c r="D2691" s="136" t="str">
        <f t="array" ref="D2691">IF(E2691=0,0,(INDEX(AccountCodes[ACCOUNT NAME],MATCH(E2691,AccountCodes[NGAS CODE],0))))</f>
        <v>Retirement and Life Insurance Premiums</v>
      </c>
      <c r="E2691" s="309" t="s">
        <v>175</v>
      </c>
      <c r="F2691" s="501">
        <v>8141.76</v>
      </c>
    </row>
    <row r="2692" spans="1:6" x14ac:dyDescent="0.25">
      <c r="A2692" s="308">
        <v>43190</v>
      </c>
      <c r="B2692" s="309" t="s">
        <v>486</v>
      </c>
      <c r="C2692" s="309" t="s">
        <v>504</v>
      </c>
      <c r="D2692" s="136" t="str">
        <f t="array" ref="D2692">IF(E2692=0,0,(INDEX(AccountCodes[ACCOUNT NAME],MATCH(E2692,AccountCodes[NGAS CODE],0))))</f>
        <v>Retirement and Life Insurance Premiums</v>
      </c>
      <c r="E2692" s="309" t="s">
        <v>175</v>
      </c>
      <c r="F2692" s="501">
        <v>8141.76</v>
      </c>
    </row>
    <row r="2693" spans="1:6" x14ac:dyDescent="0.25">
      <c r="A2693" s="308">
        <v>43220</v>
      </c>
      <c r="B2693" s="309" t="s">
        <v>486</v>
      </c>
      <c r="C2693" s="309" t="s">
        <v>504</v>
      </c>
      <c r="D2693" s="136" t="str">
        <f t="array" ref="D2693">IF(E2693=0,0,(INDEX(AccountCodes[ACCOUNT NAME],MATCH(E2693,AccountCodes[NGAS CODE],0))))</f>
        <v>Retirement and Life Insurance Premiums</v>
      </c>
      <c r="E2693" s="309" t="s">
        <v>175</v>
      </c>
      <c r="F2693" s="501">
        <v>8141.76</v>
      </c>
    </row>
    <row r="2694" spans="1:6" x14ac:dyDescent="0.25">
      <c r="A2694" s="308">
        <v>43251</v>
      </c>
      <c r="B2694" s="309" t="s">
        <v>486</v>
      </c>
      <c r="C2694" s="309" t="s">
        <v>504</v>
      </c>
      <c r="D2694" s="136" t="str">
        <f t="array" ref="D2694">IF(E2694=0,0,(INDEX(AccountCodes[ACCOUNT NAME],MATCH(E2694,AccountCodes[NGAS CODE],0))))</f>
        <v>Retirement and Life Insurance Premiums</v>
      </c>
      <c r="E2694" s="309" t="s">
        <v>175</v>
      </c>
      <c r="F2694" s="501">
        <v>8141.76</v>
      </c>
    </row>
    <row r="2695" spans="1:6" x14ac:dyDescent="0.25">
      <c r="A2695" s="308">
        <v>43281</v>
      </c>
      <c r="B2695" s="309" t="s">
        <v>486</v>
      </c>
      <c r="C2695" s="309" t="s">
        <v>504</v>
      </c>
      <c r="D2695" s="136" t="str">
        <f t="array" ref="D2695">IF(E2695=0,0,(INDEX(AccountCodes[ACCOUNT NAME],MATCH(E2695,AccountCodes[NGAS CODE],0))))</f>
        <v>Retirement and Life Insurance Premiums</v>
      </c>
      <c r="E2695" s="309" t="s">
        <v>175</v>
      </c>
      <c r="F2695" s="501">
        <v>8141.76</v>
      </c>
    </row>
    <row r="2696" spans="1:6" x14ac:dyDescent="0.25">
      <c r="A2696" s="308">
        <v>43312</v>
      </c>
      <c r="B2696" s="309" t="s">
        <v>486</v>
      </c>
      <c r="C2696" s="309" t="s">
        <v>504</v>
      </c>
      <c r="D2696" s="136" t="str">
        <f t="array" ref="D2696">IF(E2696=0,0,(INDEX(AccountCodes[ACCOUNT NAME],MATCH(E2696,AccountCodes[NGAS CODE],0))))</f>
        <v>Retirement and Life Insurance Premiums</v>
      </c>
      <c r="E2696" s="309" t="s">
        <v>175</v>
      </c>
      <c r="F2696" s="501">
        <v>8141.76</v>
      </c>
    </row>
    <row r="2697" spans="1:6" x14ac:dyDescent="0.25">
      <c r="A2697" s="308">
        <v>43343</v>
      </c>
      <c r="B2697" s="309" t="s">
        <v>486</v>
      </c>
      <c r="C2697" s="309" t="s">
        <v>504</v>
      </c>
      <c r="D2697" s="136" t="str">
        <f t="array" ref="D2697">IF(E2697=0,0,(INDEX(AccountCodes[ACCOUNT NAME],MATCH(E2697,AccountCodes[NGAS CODE],0))))</f>
        <v>Retirement and Life Insurance Premiums</v>
      </c>
      <c r="E2697" s="309" t="s">
        <v>175</v>
      </c>
      <c r="F2697" s="501">
        <v>8141.76</v>
      </c>
    </row>
    <row r="2698" spans="1:6" x14ac:dyDescent="0.25">
      <c r="A2698" s="308">
        <v>43373</v>
      </c>
      <c r="B2698" s="309" t="s">
        <v>486</v>
      </c>
      <c r="C2698" s="309" t="s">
        <v>504</v>
      </c>
      <c r="D2698" s="136" t="str">
        <f t="array" ref="D2698">IF(E2698=0,0,(INDEX(AccountCodes[ACCOUNT NAME],MATCH(E2698,AccountCodes[NGAS CODE],0))))</f>
        <v>Retirement and Life Insurance Premiums</v>
      </c>
      <c r="E2698" s="309" t="s">
        <v>175</v>
      </c>
      <c r="F2698" s="501">
        <v>8141.76</v>
      </c>
    </row>
    <row r="2699" spans="1:6" x14ac:dyDescent="0.25">
      <c r="A2699" s="308">
        <v>43404</v>
      </c>
      <c r="B2699" s="309" t="s">
        <v>486</v>
      </c>
      <c r="C2699" s="309" t="s">
        <v>504</v>
      </c>
      <c r="D2699" s="136" t="str">
        <f t="array" ref="D2699">IF(E2699=0,0,(INDEX(AccountCodes[ACCOUNT NAME],MATCH(E2699,AccountCodes[NGAS CODE],0))))</f>
        <v>Retirement and Life Insurance Premiums</v>
      </c>
      <c r="E2699" s="309" t="s">
        <v>175</v>
      </c>
      <c r="F2699" s="501">
        <v>8141.76</v>
      </c>
    </row>
    <row r="2700" spans="1:6" x14ac:dyDescent="0.25">
      <c r="A2700" s="308">
        <v>43434</v>
      </c>
      <c r="B2700" s="309" t="s">
        <v>486</v>
      </c>
      <c r="C2700" s="309" t="s">
        <v>504</v>
      </c>
      <c r="D2700" s="136" t="str">
        <f t="array" ref="D2700">IF(E2700=0,0,(INDEX(AccountCodes[ACCOUNT NAME],MATCH(E2700,AccountCodes[NGAS CODE],0))))</f>
        <v>Retirement and Life Insurance Premiums</v>
      </c>
      <c r="E2700" s="309" t="s">
        <v>175</v>
      </c>
      <c r="F2700" s="501">
        <v>8141.76</v>
      </c>
    </row>
    <row r="2701" spans="1:6" x14ac:dyDescent="0.25">
      <c r="A2701" s="308">
        <v>43465</v>
      </c>
      <c r="B2701" s="309" t="s">
        <v>486</v>
      </c>
      <c r="C2701" s="309" t="s">
        <v>504</v>
      </c>
      <c r="D2701" s="136" t="str">
        <f t="array" ref="D2701">IF(E2701=0,0,(INDEX(AccountCodes[ACCOUNT NAME],MATCH(E2701,AccountCodes[NGAS CODE],0))))</f>
        <v>Retirement and Life Insurance Premiums</v>
      </c>
      <c r="E2701" s="309" t="s">
        <v>175</v>
      </c>
      <c r="F2701" s="501">
        <v>8141.76</v>
      </c>
    </row>
    <row r="2702" spans="1:6" x14ac:dyDescent="0.25">
      <c r="A2702" s="308">
        <v>43131</v>
      </c>
      <c r="B2702" s="309" t="s">
        <v>486</v>
      </c>
      <c r="C2702" s="309" t="s">
        <v>504</v>
      </c>
      <c r="D2702" s="136" t="str">
        <f t="array" ref="D2702">IF(E2702=0,0,(INDEX(AccountCodes[ACCOUNT NAME],MATCH(E2702,AccountCodes[NGAS CODE],0))))</f>
        <v>Pag-IBIG Contributions</v>
      </c>
      <c r="E2702" s="309" t="s">
        <v>176</v>
      </c>
      <c r="F2702" s="501">
        <v>500</v>
      </c>
    </row>
    <row r="2703" spans="1:6" x14ac:dyDescent="0.25">
      <c r="A2703" s="308">
        <v>43159</v>
      </c>
      <c r="B2703" s="309" t="s">
        <v>486</v>
      </c>
      <c r="C2703" s="309" t="s">
        <v>504</v>
      </c>
      <c r="D2703" s="136" t="str">
        <f t="array" ref="D2703">IF(E2703=0,0,(INDEX(AccountCodes[ACCOUNT NAME],MATCH(E2703,AccountCodes[NGAS CODE],0))))</f>
        <v>Pag-IBIG Contributions</v>
      </c>
      <c r="E2703" s="309" t="s">
        <v>176</v>
      </c>
      <c r="F2703" s="501">
        <v>500</v>
      </c>
    </row>
    <row r="2704" spans="1:6" x14ac:dyDescent="0.25">
      <c r="A2704" s="308">
        <v>43190</v>
      </c>
      <c r="B2704" s="309" t="s">
        <v>486</v>
      </c>
      <c r="C2704" s="309" t="s">
        <v>504</v>
      </c>
      <c r="D2704" s="136" t="str">
        <f t="array" ref="D2704">IF(E2704=0,0,(INDEX(AccountCodes[ACCOUNT NAME],MATCH(E2704,AccountCodes[NGAS CODE],0))))</f>
        <v>Pag-IBIG Contributions</v>
      </c>
      <c r="E2704" s="309" t="s">
        <v>176</v>
      </c>
      <c r="F2704" s="501">
        <v>500</v>
      </c>
    </row>
    <row r="2705" spans="1:6" x14ac:dyDescent="0.25">
      <c r="A2705" s="308">
        <v>43220</v>
      </c>
      <c r="B2705" s="309" t="s">
        <v>486</v>
      </c>
      <c r="C2705" s="309" t="s">
        <v>504</v>
      </c>
      <c r="D2705" s="136" t="str">
        <f t="array" ref="D2705">IF(E2705=0,0,(INDEX(AccountCodes[ACCOUNT NAME],MATCH(E2705,AccountCodes[NGAS CODE],0))))</f>
        <v>Pag-IBIG Contributions</v>
      </c>
      <c r="E2705" s="309" t="s">
        <v>176</v>
      </c>
      <c r="F2705" s="501">
        <v>500</v>
      </c>
    </row>
    <row r="2706" spans="1:6" x14ac:dyDescent="0.25">
      <c r="A2706" s="308">
        <v>43251</v>
      </c>
      <c r="B2706" s="309" t="s">
        <v>486</v>
      </c>
      <c r="C2706" s="309" t="s">
        <v>504</v>
      </c>
      <c r="D2706" s="136" t="str">
        <f t="array" ref="D2706">IF(E2706=0,0,(INDEX(AccountCodes[ACCOUNT NAME],MATCH(E2706,AccountCodes[NGAS CODE],0))))</f>
        <v>Pag-IBIG Contributions</v>
      </c>
      <c r="E2706" s="309" t="s">
        <v>176</v>
      </c>
      <c r="F2706" s="501">
        <v>500</v>
      </c>
    </row>
    <row r="2707" spans="1:6" x14ac:dyDescent="0.25">
      <c r="A2707" s="308">
        <v>43281</v>
      </c>
      <c r="B2707" s="309" t="s">
        <v>486</v>
      </c>
      <c r="C2707" s="309" t="s">
        <v>504</v>
      </c>
      <c r="D2707" s="136" t="str">
        <f t="array" ref="D2707">IF(E2707=0,0,(INDEX(AccountCodes[ACCOUNT NAME],MATCH(E2707,AccountCodes[NGAS CODE],0))))</f>
        <v>Pag-IBIG Contributions</v>
      </c>
      <c r="E2707" s="309" t="s">
        <v>176</v>
      </c>
      <c r="F2707" s="501">
        <v>500</v>
      </c>
    </row>
    <row r="2708" spans="1:6" x14ac:dyDescent="0.25">
      <c r="A2708" s="308">
        <v>43312</v>
      </c>
      <c r="B2708" s="309" t="s">
        <v>486</v>
      </c>
      <c r="C2708" s="309" t="s">
        <v>504</v>
      </c>
      <c r="D2708" s="136" t="str">
        <f t="array" ref="D2708">IF(E2708=0,0,(INDEX(AccountCodes[ACCOUNT NAME],MATCH(E2708,AccountCodes[NGAS CODE],0))))</f>
        <v>Pag-IBIG Contributions</v>
      </c>
      <c r="E2708" s="309" t="s">
        <v>176</v>
      </c>
      <c r="F2708" s="501">
        <v>500</v>
      </c>
    </row>
    <row r="2709" spans="1:6" x14ac:dyDescent="0.25">
      <c r="A2709" s="308">
        <v>43343</v>
      </c>
      <c r="B2709" s="309" t="s">
        <v>486</v>
      </c>
      <c r="C2709" s="309" t="s">
        <v>504</v>
      </c>
      <c r="D2709" s="136" t="str">
        <f t="array" ref="D2709">IF(E2709=0,0,(INDEX(AccountCodes[ACCOUNT NAME],MATCH(E2709,AccountCodes[NGAS CODE],0))))</f>
        <v>Pag-IBIG Contributions</v>
      </c>
      <c r="E2709" s="309" t="s">
        <v>176</v>
      </c>
      <c r="F2709" s="501">
        <v>500</v>
      </c>
    </row>
    <row r="2710" spans="1:6" x14ac:dyDescent="0.25">
      <c r="A2710" s="308">
        <v>43373</v>
      </c>
      <c r="B2710" s="309" t="s">
        <v>486</v>
      </c>
      <c r="C2710" s="309" t="s">
        <v>504</v>
      </c>
      <c r="D2710" s="136" t="str">
        <f t="array" ref="D2710">IF(E2710=0,0,(INDEX(AccountCodes[ACCOUNT NAME],MATCH(E2710,AccountCodes[NGAS CODE],0))))</f>
        <v>Pag-IBIG Contributions</v>
      </c>
      <c r="E2710" s="309" t="s">
        <v>176</v>
      </c>
      <c r="F2710" s="501">
        <v>500</v>
      </c>
    </row>
    <row r="2711" spans="1:6" x14ac:dyDescent="0.25">
      <c r="A2711" s="308">
        <v>43404</v>
      </c>
      <c r="B2711" s="309" t="s">
        <v>486</v>
      </c>
      <c r="C2711" s="309" t="s">
        <v>504</v>
      </c>
      <c r="D2711" s="136" t="str">
        <f t="array" ref="D2711">IF(E2711=0,0,(INDEX(AccountCodes[ACCOUNT NAME],MATCH(E2711,AccountCodes[NGAS CODE],0))))</f>
        <v>Pag-IBIG Contributions</v>
      </c>
      <c r="E2711" s="309" t="s">
        <v>176</v>
      </c>
      <c r="F2711" s="501">
        <v>500</v>
      </c>
    </row>
    <row r="2712" spans="1:6" x14ac:dyDescent="0.25">
      <c r="A2712" s="308">
        <v>43434</v>
      </c>
      <c r="B2712" s="309" t="s">
        <v>486</v>
      </c>
      <c r="C2712" s="309" t="s">
        <v>504</v>
      </c>
      <c r="D2712" s="136" t="str">
        <f t="array" ref="D2712">IF(E2712=0,0,(INDEX(AccountCodes[ACCOUNT NAME],MATCH(E2712,AccountCodes[NGAS CODE],0))))</f>
        <v>Pag-IBIG Contributions</v>
      </c>
      <c r="E2712" s="309" t="s">
        <v>176</v>
      </c>
      <c r="F2712" s="501">
        <v>500</v>
      </c>
    </row>
    <row r="2713" spans="1:6" x14ac:dyDescent="0.25">
      <c r="A2713" s="308">
        <v>43465</v>
      </c>
      <c r="B2713" s="309" t="s">
        <v>486</v>
      </c>
      <c r="C2713" s="309" t="s">
        <v>504</v>
      </c>
      <c r="D2713" s="136" t="str">
        <f t="array" ref="D2713">IF(E2713=0,0,(INDEX(AccountCodes[ACCOUNT NAME],MATCH(E2713,AccountCodes[NGAS CODE],0))))</f>
        <v>Pag-IBIG Contributions</v>
      </c>
      <c r="E2713" s="309" t="s">
        <v>176</v>
      </c>
      <c r="F2713" s="501">
        <v>500</v>
      </c>
    </row>
    <row r="2714" spans="1:6" x14ac:dyDescent="0.25">
      <c r="A2714" s="308">
        <v>43131</v>
      </c>
      <c r="B2714" s="309" t="s">
        <v>486</v>
      </c>
      <c r="C2714" s="309" t="s">
        <v>504</v>
      </c>
      <c r="D2714" s="136" t="str">
        <f t="array" ref="D2714">IF(E2714=0,0,(INDEX(AccountCodes[ACCOUNT NAME],MATCH(E2714,AccountCodes[NGAS CODE],0))))</f>
        <v>PhilHealth Contributions</v>
      </c>
      <c r="E2714" s="309" t="s">
        <v>177</v>
      </c>
      <c r="F2714" s="501">
        <v>825</v>
      </c>
    </row>
    <row r="2715" spans="1:6" x14ac:dyDescent="0.25">
      <c r="A2715" s="308">
        <v>43159</v>
      </c>
      <c r="B2715" s="309" t="s">
        <v>486</v>
      </c>
      <c r="C2715" s="309" t="s">
        <v>504</v>
      </c>
      <c r="D2715" s="136" t="str">
        <f t="array" ref="D2715">IF(E2715=0,0,(INDEX(AccountCodes[ACCOUNT NAME],MATCH(E2715,AccountCodes[NGAS CODE],0))))</f>
        <v>PhilHealth Contributions</v>
      </c>
      <c r="E2715" s="309" t="s">
        <v>177</v>
      </c>
      <c r="F2715" s="501">
        <v>825</v>
      </c>
    </row>
    <row r="2716" spans="1:6" x14ac:dyDescent="0.25">
      <c r="A2716" s="308">
        <v>43190</v>
      </c>
      <c r="B2716" s="309" t="s">
        <v>486</v>
      </c>
      <c r="C2716" s="309" t="s">
        <v>504</v>
      </c>
      <c r="D2716" s="136" t="str">
        <f t="array" ref="D2716">IF(E2716=0,0,(INDEX(AccountCodes[ACCOUNT NAME],MATCH(E2716,AccountCodes[NGAS CODE],0))))</f>
        <v>PhilHealth Contributions</v>
      </c>
      <c r="E2716" s="309" t="s">
        <v>177</v>
      </c>
      <c r="F2716" s="501">
        <v>825</v>
      </c>
    </row>
    <row r="2717" spans="1:6" x14ac:dyDescent="0.25">
      <c r="A2717" s="308">
        <v>43220</v>
      </c>
      <c r="B2717" s="309" t="s">
        <v>486</v>
      </c>
      <c r="C2717" s="309" t="s">
        <v>504</v>
      </c>
      <c r="D2717" s="136" t="str">
        <f t="array" ref="D2717">IF(E2717=0,0,(INDEX(AccountCodes[ACCOUNT NAME],MATCH(E2717,AccountCodes[NGAS CODE],0))))</f>
        <v>PhilHealth Contributions</v>
      </c>
      <c r="E2717" s="309" t="s">
        <v>177</v>
      </c>
      <c r="F2717" s="501">
        <v>825</v>
      </c>
    </row>
    <row r="2718" spans="1:6" x14ac:dyDescent="0.25">
      <c r="A2718" s="308">
        <v>43251</v>
      </c>
      <c r="B2718" s="309" t="s">
        <v>486</v>
      </c>
      <c r="C2718" s="309" t="s">
        <v>504</v>
      </c>
      <c r="D2718" s="136" t="str">
        <f t="array" ref="D2718">IF(E2718=0,0,(INDEX(AccountCodes[ACCOUNT NAME],MATCH(E2718,AccountCodes[NGAS CODE],0))))</f>
        <v>PhilHealth Contributions</v>
      </c>
      <c r="E2718" s="309" t="s">
        <v>177</v>
      </c>
      <c r="F2718" s="501">
        <v>825</v>
      </c>
    </row>
    <row r="2719" spans="1:6" x14ac:dyDescent="0.25">
      <c r="A2719" s="308">
        <v>43281</v>
      </c>
      <c r="B2719" s="309" t="s">
        <v>486</v>
      </c>
      <c r="C2719" s="309" t="s">
        <v>504</v>
      </c>
      <c r="D2719" s="136" t="str">
        <f t="array" ref="D2719">IF(E2719=0,0,(INDEX(AccountCodes[ACCOUNT NAME],MATCH(E2719,AccountCodes[NGAS CODE],0))))</f>
        <v>PhilHealth Contributions</v>
      </c>
      <c r="E2719" s="309" t="s">
        <v>177</v>
      </c>
      <c r="F2719" s="501">
        <v>825</v>
      </c>
    </row>
    <row r="2720" spans="1:6" x14ac:dyDescent="0.25">
      <c r="A2720" s="308">
        <v>43312</v>
      </c>
      <c r="B2720" s="309" t="s">
        <v>486</v>
      </c>
      <c r="C2720" s="309" t="s">
        <v>504</v>
      </c>
      <c r="D2720" s="136" t="str">
        <f t="array" ref="D2720">IF(E2720=0,0,(INDEX(AccountCodes[ACCOUNT NAME],MATCH(E2720,AccountCodes[NGAS CODE],0))))</f>
        <v>PhilHealth Contributions</v>
      </c>
      <c r="E2720" s="309" t="s">
        <v>177</v>
      </c>
      <c r="F2720" s="501">
        <v>825</v>
      </c>
    </row>
    <row r="2721" spans="1:6" x14ac:dyDescent="0.25">
      <c r="A2721" s="308">
        <v>43343</v>
      </c>
      <c r="B2721" s="309" t="s">
        <v>486</v>
      </c>
      <c r="C2721" s="309" t="s">
        <v>504</v>
      </c>
      <c r="D2721" s="136" t="str">
        <f t="array" ref="D2721">IF(E2721=0,0,(INDEX(AccountCodes[ACCOUNT NAME],MATCH(E2721,AccountCodes[NGAS CODE],0))))</f>
        <v>PhilHealth Contributions</v>
      </c>
      <c r="E2721" s="309" t="s">
        <v>177</v>
      </c>
      <c r="F2721" s="501">
        <v>825</v>
      </c>
    </row>
    <row r="2722" spans="1:6" x14ac:dyDescent="0.25">
      <c r="A2722" s="308">
        <v>43373</v>
      </c>
      <c r="B2722" s="309" t="s">
        <v>486</v>
      </c>
      <c r="C2722" s="309" t="s">
        <v>504</v>
      </c>
      <c r="D2722" s="136" t="str">
        <f t="array" ref="D2722">IF(E2722=0,0,(INDEX(AccountCodes[ACCOUNT NAME],MATCH(E2722,AccountCodes[NGAS CODE],0))))</f>
        <v>PhilHealth Contributions</v>
      </c>
      <c r="E2722" s="309" t="s">
        <v>177</v>
      </c>
      <c r="F2722" s="501">
        <v>825</v>
      </c>
    </row>
    <row r="2723" spans="1:6" x14ac:dyDescent="0.25">
      <c r="A2723" s="308">
        <v>43404</v>
      </c>
      <c r="B2723" s="309" t="s">
        <v>486</v>
      </c>
      <c r="C2723" s="309" t="s">
        <v>504</v>
      </c>
      <c r="D2723" s="136" t="str">
        <f t="array" ref="D2723">IF(E2723=0,0,(INDEX(AccountCodes[ACCOUNT NAME],MATCH(E2723,AccountCodes[NGAS CODE],0))))</f>
        <v>PhilHealth Contributions</v>
      </c>
      <c r="E2723" s="309" t="s">
        <v>177</v>
      </c>
      <c r="F2723" s="501">
        <v>825</v>
      </c>
    </row>
    <row r="2724" spans="1:6" x14ac:dyDescent="0.25">
      <c r="A2724" s="308">
        <v>43434</v>
      </c>
      <c r="B2724" s="309" t="s">
        <v>486</v>
      </c>
      <c r="C2724" s="309" t="s">
        <v>504</v>
      </c>
      <c r="D2724" s="136" t="str">
        <f t="array" ref="D2724">IF(E2724=0,0,(INDEX(AccountCodes[ACCOUNT NAME],MATCH(E2724,AccountCodes[NGAS CODE],0))))</f>
        <v>PhilHealth Contributions</v>
      </c>
      <c r="E2724" s="309" t="s">
        <v>177</v>
      </c>
      <c r="F2724" s="501">
        <v>825</v>
      </c>
    </row>
    <row r="2725" spans="1:6" x14ac:dyDescent="0.25">
      <c r="A2725" s="308">
        <v>43465</v>
      </c>
      <c r="B2725" s="309" t="s">
        <v>486</v>
      </c>
      <c r="C2725" s="309" t="s">
        <v>504</v>
      </c>
      <c r="D2725" s="136" t="str">
        <f t="array" ref="D2725">IF(E2725=0,0,(INDEX(AccountCodes[ACCOUNT NAME],MATCH(E2725,AccountCodes[NGAS CODE],0))))</f>
        <v>PhilHealth Contributions</v>
      </c>
      <c r="E2725" s="309" t="s">
        <v>177</v>
      </c>
      <c r="F2725" s="501">
        <v>825</v>
      </c>
    </row>
    <row r="2726" spans="1:6" x14ac:dyDescent="0.25">
      <c r="A2726" s="308">
        <v>43131</v>
      </c>
      <c r="B2726" s="309" t="s">
        <v>486</v>
      </c>
      <c r="C2726" s="309" t="s">
        <v>504</v>
      </c>
      <c r="D2726" s="136" t="str">
        <f t="array" ref="D2726">IF(E2726=0,0,(INDEX(AccountCodes[ACCOUNT NAME],MATCH(E2726,AccountCodes[NGAS CODE],0))))</f>
        <v>Employees Compensation Insurance Premiums</v>
      </c>
      <c r="E2726" s="309" t="s">
        <v>178</v>
      </c>
      <c r="F2726" s="501">
        <v>500</v>
      </c>
    </row>
    <row r="2727" spans="1:6" x14ac:dyDescent="0.25">
      <c r="A2727" s="308">
        <v>43159</v>
      </c>
      <c r="B2727" s="309" t="s">
        <v>486</v>
      </c>
      <c r="C2727" s="309" t="s">
        <v>504</v>
      </c>
      <c r="D2727" s="136" t="str">
        <f t="array" ref="D2727">IF(E2727=0,0,(INDEX(AccountCodes[ACCOUNT NAME],MATCH(E2727,AccountCodes[NGAS CODE],0))))</f>
        <v>Employees Compensation Insurance Premiums</v>
      </c>
      <c r="E2727" s="309" t="s">
        <v>178</v>
      </c>
      <c r="F2727" s="501">
        <v>500</v>
      </c>
    </row>
    <row r="2728" spans="1:6" x14ac:dyDescent="0.25">
      <c r="A2728" s="308">
        <v>43190</v>
      </c>
      <c r="B2728" s="309" t="s">
        <v>486</v>
      </c>
      <c r="C2728" s="309" t="s">
        <v>504</v>
      </c>
      <c r="D2728" s="136" t="str">
        <f t="array" ref="D2728">IF(E2728=0,0,(INDEX(AccountCodes[ACCOUNT NAME],MATCH(E2728,AccountCodes[NGAS CODE],0))))</f>
        <v>Employees Compensation Insurance Premiums</v>
      </c>
      <c r="E2728" s="309" t="s">
        <v>178</v>
      </c>
      <c r="F2728" s="501">
        <v>500</v>
      </c>
    </row>
    <row r="2729" spans="1:6" x14ac:dyDescent="0.25">
      <c r="A2729" s="308">
        <v>43220</v>
      </c>
      <c r="B2729" s="309" t="s">
        <v>486</v>
      </c>
      <c r="C2729" s="309" t="s">
        <v>504</v>
      </c>
      <c r="D2729" s="136" t="str">
        <f t="array" ref="D2729">IF(E2729=0,0,(INDEX(AccountCodes[ACCOUNT NAME],MATCH(E2729,AccountCodes[NGAS CODE],0))))</f>
        <v>Employees Compensation Insurance Premiums</v>
      </c>
      <c r="E2729" s="309" t="s">
        <v>178</v>
      </c>
      <c r="F2729" s="501">
        <v>500</v>
      </c>
    </row>
    <row r="2730" spans="1:6" x14ac:dyDescent="0.25">
      <c r="A2730" s="308">
        <v>43251</v>
      </c>
      <c r="B2730" s="309" t="s">
        <v>486</v>
      </c>
      <c r="C2730" s="309" t="s">
        <v>504</v>
      </c>
      <c r="D2730" s="136" t="str">
        <f t="array" ref="D2730">IF(E2730=0,0,(INDEX(AccountCodes[ACCOUNT NAME],MATCH(E2730,AccountCodes[NGAS CODE],0))))</f>
        <v>Employees Compensation Insurance Premiums</v>
      </c>
      <c r="E2730" s="309" t="s">
        <v>178</v>
      </c>
      <c r="F2730" s="501">
        <v>500</v>
      </c>
    </row>
    <row r="2731" spans="1:6" x14ac:dyDescent="0.25">
      <c r="A2731" s="308">
        <v>43281</v>
      </c>
      <c r="B2731" s="309" t="s">
        <v>486</v>
      </c>
      <c r="C2731" s="309" t="s">
        <v>504</v>
      </c>
      <c r="D2731" s="136" t="str">
        <f t="array" ref="D2731">IF(E2731=0,0,(INDEX(AccountCodes[ACCOUNT NAME],MATCH(E2731,AccountCodes[NGAS CODE],0))))</f>
        <v>Employees Compensation Insurance Premiums</v>
      </c>
      <c r="E2731" s="309" t="s">
        <v>178</v>
      </c>
      <c r="F2731" s="501">
        <v>500</v>
      </c>
    </row>
    <row r="2732" spans="1:6" x14ac:dyDescent="0.25">
      <c r="A2732" s="308">
        <v>43312</v>
      </c>
      <c r="B2732" s="309" t="s">
        <v>486</v>
      </c>
      <c r="C2732" s="309" t="s">
        <v>504</v>
      </c>
      <c r="D2732" s="136" t="str">
        <f t="array" ref="D2732">IF(E2732=0,0,(INDEX(AccountCodes[ACCOUNT NAME],MATCH(E2732,AccountCodes[NGAS CODE],0))))</f>
        <v>Employees Compensation Insurance Premiums</v>
      </c>
      <c r="E2732" s="309" t="s">
        <v>178</v>
      </c>
      <c r="F2732" s="501">
        <v>500</v>
      </c>
    </row>
    <row r="2733" spans="1:6" x14ac:dyDescent="0.25">
      <c r="A2733" s="308">
        <v>43343</v>
      </c>
      <c r="B2733" s="309" t="s">
        <v>486</v>
      </c>
      <c r="C2733" s="309" t="s">
        <v>504</v>
      </c>
      <c r="D2733" s="136" t="str">
        <f t="array" ref="D2733">IF(E2733=0,0,(INDEX(AccountCodes[ACCOUNT NAME],MATCH(E2733,AccountCodes[NGAS CODE],0))))</f>
        <v>Employees Compensation Insurance Premiums</v>
      </c>
      <c r="E2733" s="309" t="s">
        <v>178</v>
      </c>
      <c r="F2733" s="501">
        <v>500</v>
      </c>
    </row>
    <row r="2734" spans="1:6" x14ac:dyDescent="0.25">
      <c r="A2734" s="308">
        <v>43373</v>
      </c>
      <c r="B2734" s="309" t="s">
        <v>486</v>
      </c>
      <c r="C2734" s="309" t="s">
        <v>504</v>
      </c>
      <c r="D2734" s="136" t="str">
        <f t="array" ref="D2734">IF(E2734=0,0,(INDEX(AccountCodes[ACCOUNT NAME],MATCH(E2734,AccountCodes[NGAS CODE],0))))</f>
        <v>Employees Compensation Insurance Premiums</v>
      </c>
      <c r="E2734" s="309" t="s">
        <v>178</v>
      </c>
      <c r="F2734" s="501">
        <v>500</v>
      </c>
    </row>
    <row r="2735" spans="1:6" x14ac:dyDescent="0.25">
      <c r="A2735" s="308">
        <v>43404</v>
      </c>
      <c r="B2735" s="309" t="s">
        <v>486</v>
      </c>
      <c r="C2735" s="309" t="s">
        <v>504</v>
      </c>
      <c r="D2735" s="136" t="str">
        <f t="array" ref="D2735">IF(E2735=0,0,(INDEX(AccountCodes[ACCOUNT NAME],MATCH(E2735,AccountCodes[NGAS CODE],0))))</f>
        <v>Employees Compensation Insurance Premiums</v>
      </c>
      <c r="E2735" s="309" t="s">
        <v>178</v>
      </c>
      <c r="F2735" s="501">
        <v>500</v>
      </c>
    </row>
    <row r="2736" spans="1:6" x14ac:dyDescent="0.25">
      <c r="A2736" s="308">
        <v>43434</v>
      </c>
      <c r="B2736" s="309" t="s">
        <v>486</v>
      </c>
      <c r="C2736" s="309" t="s">
        <v>504</v>
      </c>
      <c r="D2736" s="136" t="str">
        <f t="array" ref="D2736">IF(E2736=0,0,(INDEX(AccountCodes[ACCOUNT NAME],MATCH(E2736,AccountCodes[NGAS CODE],0))))</f>
        <v>Employees Compensation Insurance Premiums</v>
      </c>
      <c r="E2736" s="309" t="s">
        <v>178</v>
      </c>
      <c r="F2736" s="501">
        <v>500</v>
      </c>
    </row>
    <row r="2737" spans="1:6" x14ac:dyDescent="0.25">
      <c r="A2737" s="308">
        <v>43465</v>
      </c>
      <c r="B2737" s="309" t="s">
        <v>486</v>
      </c>
      <c r="C2737" s="309" t="s">
        <v>504</v>
      </c>
      <c r="D2737" s="136" t="str">
        <f t="array" ref="D2737">IF(E2737=0,0,(INDEX(AccountCodes[ACCOUNT NAME],MATCH(E2737,AccountCodes[NGAS CODE],0))))</f>
        <v>Employees Compensation Insurance Premiums</v>
      </c>
      <c r="E2737" s="309" t="s">
        <v>178</v>
      </c>
      <c r="F2737" s="501">
        <v>500</v>
      </c>
    </row>
    <row r="2738" spans="1:6" x14ac:dyDescent="0.25">
      <c r="A2738" s="308">
        <v>43131</v>
      </c>
      <c r="B2738" s="309" t="s">
        <v>486</v>
      </c>
      <c r="C2738" s="309" t="s">
        <v>504</v>
      </c>
      <c r="D2738" s="136" t="str">
        <f t="array" ref="D2738">IF(E2738=0,0,(INDEX(AccountCodes[ACCOUNT NAME],MATCH(E2738,AccountCodes[NGAS CODE],0))))</f>
        <v>Electricity Expenses</v>
      </c>
      <c r="E2738" s="309" t="s">
        <v>233</v>
      </c>
      <c r="F2738" s="501">
        <v>8239.24</v>
      </c>
    </row>
    <row r="2739" spans="1:6" x14ac:dyDescent="0.25">
      <c r="A2739" s="308">
        <v>43159</v>
      </c>
      <c r="B2739" s="309" t="s">
        <v>486</v>
      </c>
      <c r="C2739" s="309" t="s">
        <v>504</v>
      </c>
      <c r="D2739" s="136" t="str">
        <f t="array" ref="D2739">IF(E2739=0,0,(INDEX(AccountCodes[ACCOUNT NAME],MATCH(E2739,AccountCodes[NGAS CODE],0))))</f>
        <v>Electricity Expenses</v>
      </c>
      <c r="E2739" s="309" t="s">
        <v>233</v>
      </c>
      <c r="F2739" s="501">
        <v>8239.24</v>
      </c>
    </row>
    <row r="2740" spans="1:6" x14ac:dyDescent="0.25">
      <c r="A2740" s="308">
        <v>43190</v>
      </c>
      <c r="B2740" s="309" t="s">
        <v>486</v>
      </c>
      <c r="C2740" s="309" t="s">
        <v>504</v>
      </c>
      <c r="D2740" s="136" t="str">
        <f t="array" ref="D2740">IF(E2740=0,0,(INDEX(AccountCodes[ACCOUNT NAME],MATCH(E2740,AccountCodes[NGAS CODE],0))))</f>
        <v>Electricity Expenses</v>
      </c>
      <c r="E2740" s="309" t="s">
        <v>233</v>
      </c>
      <c r="F2740" s="501">
        <v>8239.24</v>
      </c>
    </row>
    <row r="2741" spans="1:6" x14ac:dyDescent="0.25">
      <c r="A2741" s="308">
        <v>43220</v>
      </c>
      <c r="B2741" s="309" t="s">
        <v>486</v>
      </c>
      <c r="C2741" s="309" t="s">
        <v>504</v>
      </c>
      <c r="D2741" s="136" t="str">
        <f t="array" ref="D2741">IF(E2741=0,0,(INDEX(AccountCodes[ACCOUNT NAME],MATCH(E2741,AccountCodes[NGAS CODE],0))))</f>
        <v>Electricity Expenses</v>
      </c>
      <c r="E2741" s="309" t="s">
        <v>233</v>
      </c>
      <c r="F2741" s="501">
        <v>8239.24</v>
      </c>
    </row>
    <row r="2742" spans="1:6" x14ac:dyDescent="0.25">
      <c r="A2742" s="308">
        <v>43251</v>
      </c>
      <c r="B2742" s="309" t="s">
        <v>486</v>
      </c>
      <c r="C2742" s="309" t="s">
        <v>504</v>
      </c>
      <c r="D2742" s="136" t="str">
        <f t="array" ref="D2742">IF(E2742=0,0,(INDEX(AccountCodes[ACCOUNT NAME],MATCH(E2742,AccountCodes[NGAS CODE],0))))</f>
        <v>Electricity Expenses</v>
      </c>
      <c r="E2742" s="309" t="s">
        <v>233</v>
      </c>
      <c r="F2742" s="501">
        <v>8239.24</v>
      </c>
    </row>
    <row r="2743" spans="1:6" x14ac:dyDescent="0.25">
      <c r="A2743" s="308">
        <v>43281</v>
      </c>
      <c r="B2743" s="309" t="s">
        <v>486</v>
      </c>
      <c r="C2743" s="309" t="s">
        <v>504</v>
      </c>
      <c r="D2743" s="136" t="str">
        <f t="array" ref="D2743">IF(E2743=0,0,(INDEX(AccountCodes[ACCOUNT NAME],MATCH(E2743,AccountCodes[NGAS CODE],0))))</f>
        <v>Electricity Expenses</v>
      </c>
      <c r="E2743" s="309" t="s">
        <v>233</v>
      </c>
      <c r="F2743" s="501">
        <v>8239.24</v>
      </c>
    </row>
    <row r="2744" spans="1:6" x14ac:dyDescent="0.25">
      <c r="A2744" s="308">
        <v>43312</v>
      </c>
      <c r="B2744" s="309" t="s">
        <v>486</v>
      </c>
      <c r="C2744" s="309" t="s">
        <v>504</v>
      </c>
      <c r="D2744" s="136" t="str">
        <f t="array" ref="D2744">IF(E2744=0,0,(INDEX(AccountCodes[ACCOUNT NAME],MATCH(E2744,AccountCodes[NGAS CODE],0))))</f>
        <v>Electricity Expenses</v>
      </c>
      <c r="E2744" s="309" t="s">
        <v>233</v>
      </c>
      <c r="F2744" s="501">
        <v>8239.24</v>
      </c>
    </row>
    <row r="2745" spans="1:6" x14ac:dyDescent="0.25">
      <c r="A2745" s="308">
        <v>43343</v>
      </c>
      <c r="B2745" s="309" t="s">
        <v>486</v>
      </c>
      <c r="C2745" s="309" t="s">
        <v>504</v>
      </c>
      <c r="D2745" s="136" t="str">
        <f t="array" ref="D2745">IF(E2745=0,0,(INDEX(AccountCodes[ACCOUNT NAME],MATCH(E2745,AccountCodes[NGAS CODE],0))))</f>
        <v>Electricity Expenses</v>
      </c>
      <c r="E2745" s="309" t="s">
        <v>233</v>
      </c>
      <c r="F2745" s="501">
        <v>8239.24</v>
      </c>
    </row>
    <row r="2746" spans="1:6" x14ac:dyDescent="0.25">
      <c r="A2746" s="308">
        <v>43373</v>
      </c>
      <c r="B2746" s="309" t="s">
        <v>486</v>
      </c>
      <c r="C2746" s="309" t="s">
        <v>504</v>
      </c>
      <c r="D2746" s="136" t="str">
        <f t="array" ref="D2746">IF(E2746=0,0,(INDEX(AccountCodes[ACCOUNT NAME],MATCH(E2746,AccountCodes[NGAS CODE],0))))</f>
        <v>Electricity Expenses</v>
      </c>
      <c r="E2746" s="309" t="s">
        <v>233</v>
      </c>
      <c r="F2746" s="501">
        <v>8239.24</v>
      </c>
    </row>
    <row r="2747" spans="1:6" x14ac:dyDescent="0.25">
      <c r="A2747" s="308">
        <v>43404</v>
      </c>
      <c r="B2747" s="309" t="s">
        <v>486</v>
      </c>
      <c r="C2747" s="309" t="s">
        <v>504</v>
      </c>
      <c r="D2747" s="136" t="str">
        <f t="array" ref="D2747">IF(E2747=0,0,(INDEX(AccountCodes[ACCOUNT NAME],MATCH(E2747,AccountCodes[NGAS CODE],0))))</f>
        <v>Electricity Expenses</v>
      </c>
      <c r="E2747" s="309" t="s">
        <v>233</v>
      </c>
      <c r="F2747" s="501">
        <v>8239.24</v>
      </c>
    </row>
    <row r="2748" spans="1:6" x14ac:dyDescent="0.25">
      <c r="A2748" s="308">
        <v>43434</v>
      </c>
      <c r="B2748" s="309" t="s">
        <v>486</v>
      </c>
      <c r="C2748" s="309" t="s">
        <v>504</v>
      </c>
      <c r="D2748" s="136" t="str">
        <f t="array" ref="D2748">IF(E2748=0,0,(INDEX(AccountCodes[ACCOUNT NAME],MATCH(E2748,AccountCodes[NGAS CODE],0))))</f>
        <v>Electricity Expenses</v>
      </c>
      <c r="E2748" s="309" t="s">
        <v>233</v>
      </c>
      <c r="F2748" s="501">
        <v>8239.24</v>
      </c>
    </row>
    <row r="2749" spans="1:6" x14ac:dyDescent="0.25">
      <c r="A2749" s="308">
        <v>43465</v>
      </c>
      <c r="B2749" s="309" t="s">
        <v>486</v>
      </c>
      <c r="C2749" s="309" t="s">
        <v>504</v>
      </c>
      <c r="D2749" s="136" t="str">
        <f t="array" ref="D2749">IF(E2749=0,0,(INDEX(AccountCodes[ACCOUNT NAME],MATCH(E2749,AccountCodes[NGAS CODE],0))))</f>
        <v>Electricity Expenses</v>
      </c>
      <c r="E2749" s="309" t="s">
        <v>233</v>
      </c>
      <c r="F2749" s="501">
        <v>8239.24</v>
      </c>
    </row>
    <row r="2750" spans="1:6" x14ac:dyDescent="0.25">
      <c r="A2750" s="308">
        <v>43131</v>
      </c>
      <c r="B2750" s="309" t="s">
        <v>486</v>
      </c>
      <c r="C2750" s="309" t="s">
        <v>504</v>
      </c>
      <c r="D2750" s="136" t="str">
        <f t="array" ref="D2750">IF(E2750=0,0,(INDEX(AccountCodes[ACCOUNT NAME],MATCH(E2750,AccountCodes[NGAS CODE],0))))</f>
        <v>Internet Subscription Expenses</v>
      </c>
      <c r="E2750" s="309" t="s">
        <v>237</v>
      </c>
      <c r="F2750" s="501">
        <v>999</v>
      </c>
    </row>
    <row r="2751" spans="1:6" x14ac:dyDescent="0.25">
      <c r="A2751" s="308">
        <v>43159</v>
      </c>
      <c r="B2751" s="309" t="s">
        <v>486</v>
      </c>
      <c r="C2751" s="309" t="s">
        <v>504</v>
      </c>
      <c r="D2751" s="136" t="str">
        <f t="array" ref="D2751">IF(E2751=0,0,(INDEX(AccountCodes[ACCOUNT NAME],MATCH(E2751,AccountCodes[NGAS CODE],0))))</f>
        <v>Internet Subscription Expenses</v>
      </c>
      <c r="E2751" s="309" t="s">
        <v>237</v>
      </c>
      <c r="F2751" s="501">
        <v>999</v>
      </c>
    </row>
    <row r="2752" spans="1:6" x14ac:dyDescent="0.25">
      <c r="A2752" s="308">
        <v>43190</v>
      </c>
      <c r="B2752" s="309" t="s">
        <v>486</v>
      </c>
      <c r="C2752" s="309" t="s">
        <v>504</v>
      </c>
      <c r="D2752" s="136" t="str">
        <f t="array" ref="D2752">IF(E2752=0,0,(INDEX(AccountCodes[ACCOUNT NAME],MATCH(E2752,AccountCodes[NGAS CODE],0))))</f>
        <v>Internet Subscription Expenses</v>
      </c>
      <c r="E2752" s="309" t="s">
        <v>237</v>
      </c>
      <c r="F2752" s="501">
        <v>999</v>
      </c>
    </row>
    <row r="2753" spans="1:6" x14ac:dyDescent="0.25">
      <c r="A2753" s="308">
        <v>43220</v>
      </c>
      <c r="B2753" s="309" t="s">
        <v>486</v>
      </c>
      <c r="C2753" s="309" t="s">
        <v>504</v>
      </c>
      <c r="D2753" s="136" t="str">
        <f t="array" ref="D2753">IF(E2753=0,0,(INDEX(AccountCodes[ACCOUNT NAME],MATCH(E2753,AccountCodes[NGAS CODE],0))))</f>
        <v>Internet Subscription Expenses</v>
      </c>
      <c r="E2753" s="309" t="s">
        <v>237</v>
      </c>
      <c r="F2753" s="501">
        <v>999</v>
      </c>
    </row>
    <row r="2754" spans="1:6" x14ac:dyDescent="0.25">
      <c r="A2754" s="308">
        <v>43251</v>
      </c>
      <c r="B2754" s="309" t="s">
        <v>486</v>
      </c>
      <c r="C2754" s="309" t="s">
        <v>504</v>
      </c>
      <c r="D2754" s="136" t="str">
        <f t="array" ref="D2754">IF(E2754=0,0,(INDEX(AccountCodes[ACCOUNT NAME],MATCH(E2754,AccountCodes[NGAS CODE],0))))</f>
        <v>Internet Subscription Expenses</v>
      </c>
      <c r="E2754" s="309" t="s">
        <v>237</v>
      </c>
      <c r="F2754" s="501">
        <v>999</v>
      </c>
    </row>
    <row r="2755" spans="1:6" x14ac:dyDescent="0.25">
      <c r="A2755" s="308">
        <v>43281</v>
      </c>
      <c r="B2755" s="309" t="s">
        <v>486</v>
      </c>
      <c r="C2755" s="309" t="s">
        <v>504</v>
      </c>
      <c r="D2755" s="136" t="str">
        <f t="array" ref="D2755">IF(E2755=0,0,(INDEX(AccountCodes[ACCOUNT NAME],MATCH(E2755,AccountCodes[NGAS CODE],0))))</f>
        <v>Internet Subscription Expenses</v>
      </c>
      <c r="E2755" s="309" t="s">
        <v>237</v>
      </c>
      <c r="F2755" s="501">
        <v>999</v>
      </c>
    </row>
    <row r="2756" spans="1:6" x14ac:dyDescent="0.25">
      <c r="A2756" s="308">
        <v>43312</v>
      </c>
      <c r="B2756" s="309" t="s">
        <v>486</v>
      </c>
      <c r="C2756" s="309" t="s">
        <v>504</v>
      </c>
      <c r="D2756" s="136" t="str">
        <f t="array" ref="D2756">IF(E2756=0,0,(INDEX(AccountCodes[ACCOUNT NAME],MATCH(E2756,AccountCodes[NGAS CODE],0))))</f>
        <v>Internet Subscription Expenses</v>
      </c>
      <c r="E2756" s="309" t="s">
        <v>237</v>
      </c>
      <c r="F2756" s="501">
        <v>999</v>
      </c>
    </row>
    <row r="2757" spans="1:6" x14ac:dyDescent="0.25">
      <c r="A2757" s="308">
        <v>43343</v>
      </c>
      <c r="B2757" s="309" t="s">
        <v>486</v>
      </c>
      <c r="C2757" s="309" t="s">
        <v>504</v>
      </c>
      <c r="D2757" s="136" t="str">
        <f t="array" ref="D2757">IF(E2757=0,0,(INDEX(AccountCodes[ACCOUNT NAME],MATCH(E2757,AccountCodes[NGAS CODE],0))))</f>
        <v>Internet Subscription Expenses</v>
      </c>
      <c r="E2757" s="309" t="s">
        <v>237</v>
      </c>
      <c r="F2757" s="501">
        <v>999</v>
      </c>
    </row>
    <row r="2758" spans="1:6" x14ac:dyDescent="0.25">
      <c r="A2758" s="308">
        <v>43373</v>
      </c>
      <c r="B2758" s="309" t="s">
        <v>486</v>
      </c>
      <c r="C2758" s="309" t="s">
        <v>504</v>
      </c>
      <c r="D2758" s="136" t="str">
        <f t="array" ref="D2758">IF(E2758=0,0,(INDEX(AccountCodes[ACCOUNT NAME],MATCH(E2758,AccountCodes[NGAS CODE],0))))</f>
        <v>Internet Subscription Expenses</v>
      </c>
      <c r="E2758" s="309" t="s">
        <v>237</v>
      </c>
      <c r="F2758" s="501">
        <v>999</v>
      </c>
    </row>
    <row r="2759" spans="1:6" x14ac:dyDescent="0.25">
      <c r="A2759" s="308">
        <v>43404</v>
      </c>
      <c r="B2759" s="309" t="s">
        <v>486</v>
      </c>
      <c r="C2759" s="309" t="s">
        <v>504</v>
      </c>
      <c r="D2759" s="136" t="str">
        <f t="array" ref="D2759">IF(E2759=0,0,(INDEX(AccountCodes[ACCOUNT NAME],MATCH(E2759,AccountCodes[NGAS CODE],0))))</f>
        <v>Internet Subscription Expenses</v>
      </c>
      <c r="E2759" s="309" t="s">
        <v>237</v>
      </c>
      <c r="F2759" s="501">
        <v>999</v>
      </c>
    </row>
    <row r="2760" spans="1:6" x14ac:dyDescent="0.25">
      <c r="A2760" s="308">
        <v>43434</v>
      </c>
      <c r="B2760" s="309" t="s">
        <v>486</v>
      </c>
      <c r="C2760" s="309" t="s">
        <v>504</v>
      </c>
      <c r="D2760" s="136" t="str">
        <f t="array" ref="D2760">IF(E2760=0,0,(INDEX(AccountCodes[ACCOUNT NAME],MATCH(E2760,AccountCodes[NGAS CODE],0))))</f>
        <v>Internet Subscription Expenses</v>
      </c>
      <c r="E2760" s="309" t="s">
        <v>237</v>
      </c>
      <c r="F2760" s="501">
        <v>999</v>
      </c>
    </row>
    <row r="2761" spans="1:6" x14ac:dyDescent="0.25">
      <c r="A2761" s="308">
        <v>43465</v>
      </c>
      <c r="B2761" s="309" t="s">
        <v>486</v>
      </c>
      <c r="C2761" s="309" t="s">
        <v>504</v>
      </c>
      <c r="D2761" s="136" t="str">
        <f t="array" ref="D2761">IF(E2761=0,0,(INDEX(AccountCodes[ACCOUNT NAME],MATCH(E2761,AccountCodes[NGAS CODE],0))))</f>
        <v>Internet Subscription Expenses</v>
      </c>
      <c r="E2761" s="309" t="s">
        <v>237</v>
      </c>
      <c r="F2761" s="501">
        <v>999</v>
      </c>
    </row>
    <row r="2762" spans="1:6" x14ac:dyDescent="0.25">
      <c r="A2762" s="308">
        <v>43220</v>
      </c>
      <c r="B2762" s="309" t="s">
        <v>486</v>
      </c>
      <c r="C2762" s="309" t="s">
        <v>504</v>
      </c>
      <c r="D2762" s="136" t="str">
        <f t="array" ref="D2762">IF(E2762=0,0,(INDEX(AccountCodes[ACCOUNT NAME],MATCH(E2762,AccountCodes[NGAS CODE],0))))</f>
        <v>Other Maintenance and Operating Expenses (Irrigator's Share/Remuneration/Subsidy)</v>
      </c>
      <c r="E2762" s="309" t="s">
        <v>333</v>
      </c>
      <c r="F2762" s="501">
        <v>156555</v>
      </c>
    </row>
    <row r="2763" spans="1:6" x14ac:dyDescent="0.25">
      <c r="A2763" s="308">
        <v>43251</v>
      </c>
      <c r="B2763" s="309" t="s">
        <v>486</v>
      </c>
      <c r="C2763" s="309" t="s">
        <v>504</v>
      </c>
      <c r="D2763" s="136" t="str">
        <f t="array" ref="D2763">IF(E2763=0,0,(INDEX(AccountCodes[ACCOUNT NAME],MATCH(E2763,AccountCodes[NGAS CODE],0))))</f>
        <v>Other Maintenance and Operating Expenses (Irrigator's Share/Remuneration/Subsidy)</v>
      </c>
      <c r="E2763" s="309" t="s">
        <v>333</v>
      </c>
      <c r="F2763" s="501">
        <v>156555</v>
      </c>
    </row>
    <row r="2764" spans="1:6" x14ac:dyDescent="0.25">
      <c r="A2764" s="308">
        <v>43404</v>
      </c>
      <c r="B2764" s="309" t="s">
        <v>486</v>
      </c>
      <c r="C2764" s="309" t="s">
        <v>504</v>
      </c>
      <c r="D2764" s="136" t="str">
        <f t="array" ref="D2764">IF(E2764=0,0,(INDEX(AccountCodes[ACCOUNT NAME],MATCH(E2764,AccountCodes[NGAS CODE],0))))</f>
        <v>Other Maintenance and Operating Expenses (Irrigator's Share/Remuneration/Subsidy)</v>
      </c>
      <c r="E2764" s="309" t="s">
        <v>333</v>
      </c>
      <c r="F2764" s="501">
        <v>145680</v>
      </c>
    </row>
    <row r="2765" spans="1:6" x14ac:dyDescent="0.25">
      <c r="A2765" s="308">
        <v>43434</v>
      </c>
      <c r="B2765" s="309" t="s">
        <v>486</v>
      </c>
      <c r="C2765" s="309" t="s">
        <v>504</v>
      </c>
      <c r="D2765" s="136" t="str">
        <f t="array" ref="D2765">IF(E2765=0,0,(INDEX(AccountCodes[ACCOUNT NAME],MATCH(E2765,AccountCodes[NGAS CODE],0))))</f>
        <v>Other Maintenance and Operating Expenses (Irrigator's Share/Remuneration/Subsidy)</v>
      </c>
      <c r="E2765" s="309" t="s">
        <v>333</v>
      </c>
      <c r="F2765" s="501">
        <v>145680</v>
      </c>
    </row>
    <row r="2766" spans="1:6" x14ac:dyDescent="0.25">
      <c r="A2766" s="308"/>
      <c r="D2766" s="136">
        <f t="array" ref="D2766">IF(E2766=0,0,(INDEX(AccountCodes[ACCOUNT NAME],MATCH(E2766,AccountCodes[NGAS CODE],0))))</f>
        <v>0</v>
      </c>
      <c r="E2766" s="309"/>
      <c r="F2766" s="501"/>
    </row>
    <row r="2767" spans="1:6" x14ac:dyDescent="0.25">
      <c r="A2767" s="308">
        <v>43131</v>
      </c>
      <c r="B2767" s="309" t="s">
        <v>486</v>
      </c>
      <c r="C2767" s="309" t="s">
        <v>507</v>
      </c>
      <c r="D2767" s="136" t="str">
        <f t="array" ref="D2767">IF(E2767=0,0,(INDEX(AccountCodes[ACCOUNT NAME],MATCH(E2767,AccountCodes[NGAS CODE],0))))</f>
        <v>Miscellaneous Income (Others)</v>
      </c>
      <c r="E2767" s="309" t="s">
        <v>160</v>
      </c>
      <c r="F2767" s="501">
        <v>280000</v>
      </c>
    </row>
    <row r="2768" spans="1:6" x14ac:dyDescent="0.25">
      <c r="A2768" s="308">
        <v>43159</v>
      </c>
      <c r="B2768" s="309" t="s">
        <v>486</v>
      </c>
      <c r="C2768" s="309" t="s">
        <v>507</v>
      </c>
      <c r="D2768" s="136" t="str">
        <f t="array" ref="D2768">IF(E2768=0,0,(INDEX(AccountCodes[ACCOUNT NAME],MATCH(E2768,AccountCodes[NGAS CODE],0))))</f>
        <v>Miscellaneous Income (Others)</v>
      </c>
      <c r="E2768" s="309" t="s">
        <v>160</v>
      </c>
      <c r="F2768" s="501">
        <v>280000</v>
      </c>
    </row>
    <row r="2769" spans="1:6" x14ac:dyDescent="0.25">
      <c r="A2769" s="308">
        <v>43190</v>
      </c>
      <c r="B2769" s="309" t="s">
        <v>486</v>
      </c>
      <c r="C2769" s="309" t="s">
        <v>507</v>
      </c>
      <c r="D2769" s="136" t="str">
        <f t="array" ref="D2769">IF(E2769=0,0,(INDEX(AccountCodes[ACCOUNT NAME],MATCH(E2769,AccountCodes[NGAS CODE],0))))</f>
        <v>Miscellaneous Income (Others)</v>
      </c>
      <c r="E2769" s="309" t="s">
        <v>160</v>
      </c>
      <c r="F2769" s="501">
        <v>266000</v>
      </c>
    </row>
    <row r="2770" spans="1:6" x14ac:dyDescent="0.25">
      <c r="A2770" s="308">
        <v>43131</v>
      </c>
      <c r="B2770" s="309" t="s">
        <v>486</v>
      </c>
      <c r="C2770" s="309" t="s">
        <v>507</v>
      </c>
      <c r="D2770" s="136" t="str">
        <f t="array" ref="D2770">IF(E2770=0,0,(INDEX(AccountCodes[ACCOUNT NAME],MATCH(E2770,AccountCodes[NGAS CODE],0))))</f>
        <v>Salaries and Wages-Regular</v>
      </c>
      <c r="E2770" s="309" t="s">
        <v>162</v>
      </c>
      <c r="F2770" s="501">
        <v>387277</v>
      </c>
    </row>
    <row r="2771" spans="1:6" x14ac:dyDescent="0.25">
      <c r="A2771" s="308">
        <v>43159</v>
      </c>
      <c r="B2771" s="309" t="s">
        <v>486</v>
      </c>
      <c r="C2771" s="309" t="s">
        <v>507</v>
      </c>
      <c r="D2771" s="136" t="str">
        <f t="array" ref="D2771">IF(E2771=0,0,(INDEX(AccountCodes[ACCOUNT NAME],MATCH(E2771,AccountCodes[NGAS CODE],0))))</f>
        <v>Salaries and Wages-Regular</v>
      </c>
      <c r="E2771" s="309" t="s">
        <v>162</v>
      </c>
      <c r="F2771" s="501">
        <v>387277</v>
      </c>
    </row>
    <row r="2772" spans="1:6" x14ac:dyDescent="0.25">
      <c r="A2772" s="308">
        <v>43190</v>
      </c>
      <c r="B2772" s="309" t="s">
        <v>486</v>
      </c>
      <c r="C2772" s="309" t="s">
        <v>507</v>
      </c>
      <c r="D2772" s="136" t="str">
        <f t="array" ref="D2772">IF(E2772=0,0,(INDEX(AccountCodes[ACCOUNT NAME],MATCH(E2772,AccountCodes[NGAS CODE],0))))</f>
        <v>Salaries and Wages-Regular</v>
      </c>
      <c r="E2772" s="309" t="s">
        <v>162</v>
      </c>
      <c r="F2772" s="501">
        <v>387277</v>
      </c>
    </row>
    <row r="2773" spans="1:6" x14ac:dyDescent="0.25">
      <c r="A2773" s="308">
        <v>43220</v>
      </c>
      <c r="B2773" s="309" t="s">
        <v>486</v>
      </c>
      <c r="C2773" s="309" t="s">
        <v>507</v>
      </c>
      <c r="D2773" s="136" t="str">
        <f t="array" ref="D2773">IF(E2773=0,0,(INDEX(AccountCodes[ACCOUNT NAME],MATCH(E2773,AccountCodes[NGAS CODE],0))))</f>
        <v>Salaries and Wages-Regular</v>
      </c>
      <c r="E2773" s="309" t="s">
        <v>162</v>
      </c>
      <c r="F2773" s="501">
        <v>387277</v>
      </c>
    </row>
    <row r="2774" spans="1:6" x14ac:dyDescent="0.25">
      <c r="A2774" s="308">
        <v>43251</v>
      </c>
      <c r="B2774" s="309" t="s">
        <v>486</v>
      </c>
      <c r="C2774" s="309" t="s">
        <v>507</v>
      </c>
      <c r="D2774" s="136" t="str">
        <f t="array" ref="D2774">IF(E2774=0,0,(INDEX(AccountCodes[ACCOUNT NAME],MATCH(E2774,AccountCodes[NGAS CODE],0))))</f>
        <v>Salaries and Wages-Regular</v>
      </c>
      <c r="E2774" s="309" t="s">
        <v>162</v>
      </c>
      <c r="F2774" s="501">
        <v>387277</v>
      </c>
    </row>
    <row r="2775" spans="1:6" x14ac:dyDescent="0.25">
      <c r="A2775" s="308">
        <v>43281</v>
      </c>
      <c r="B2775" s="309" t="s">
        <v>486</v>
      </c>
      <c r="C2775" s="309" t="s">
        <v>507</v>
      </c>
      <c r="D2775" s="136" t="str">
        <f t="array" ref="D2775">IF(E2775=0,0,(INDEX(AccountCodes[ACCOUNT NAME],MATCH(E2775,AccountCodes[NGAS CODE],0))))</f>
        <v>Salaries and Wages-Regular</v>
      </c>
      <c r="E2775" s="309" t="s">
        <v>162</v>
      </c>
      <c r="F2775" s="501">
        <v>387277</v>
      </c>
    </row>
    <row r="2776" spans="1:6" x14ac:dyDescent="0.25">
      <c r="A2776" s="308">
        <v>43312</v>
      </c>
      <c r="B2776" s="309" t="s">
        <v>486</v>
      </c>
      <c r="C2776" s="309" t="s">
        <v>507</v>
      </c>
      <c r="D2776" s="136" t="str">
        <f t="array" ref="D2776">IF(E2776=0,0,(INDEX(AccountCodes[ACCOUNT NAME],MATCH(E2776,AccountCodes[NGAS CODE],0))))</f>
        <v>Salaries and Wages-Regular</v>
      </c>
      <c r="E2776" s="309" t="s">
        <v>162</v>
      </c>
      <c r="F2776" s="501">
        <v>387277</v>
      </c>
    </row>
    <row r="2777" spans="1:6" x14ac:dyDescent="0.25">
      <c r="A2777" s="308">
        <v>43343</v>
      </c>
      <c r="B2777" s="309" t="s">
        <v>486</v>
      </c>
      <c r="C2777" s="309" t="s">
        <v>507</v>
      </c>
      <c r="D2777" s="136" t="str">
        <f t="array" ref="D2777">IF(E2777=0,0,(INDEX(AccountCodes[ACCOUNT NAME],MATCH(E2777,AccountCodes[NGAS CODE],0))))</f>
        <v>Salaries and Wages-Regular</v>
      </c>
      <c r="E2777" s="309" t="s">
        <v>162</v>
      </c>
      <c r="F2777" s="501">
        <v>387277</v>
      </c>
    </row>
    <row r="2778" spans="1:6" x14ac:dyDescent="0.25">
      <c r="A2778" s="308">
        <v>43373</v>
      </c>
      <c r="B2778" s="309" t="s">
        <v>486</v>
      </c>
      <c r="C2778" s="309" t="s">
        <v>507</v>
      </c>
      <c r="D2778" s="136" t="str">
        <f t="array" ref="D2778">IF(E2778=0,0,(INDEX(AccountCodes[ACCOUNT NAME],MATCH(E2778,AccountCodes[NGAS CODE],0))))</f>
        <v>Salaries and Wages-Regular</v>
      </c>
      <c r="E2778" s="309" t="s">
        <v>162</v>
      </c>
      <c r="F2778" s="501">
        <v>387277</v>
      </c>
    </row>
    <row r="2779" spans="1:6" x14ac:dyDescent="0.25">
      <c r="A2779" s="308">
        <v>43404</v>
      </c>
      <c r="B2779" s="309" t="s">
        <v>486</v>
      </c>
      <c r="C2779" s="309" t="s">
        <v>507</v>
      </c>
      <c r="D2779" s="136" t="str">
        <f t="array" ref="D2779">IF(E2779=0,0,(INDEX(AccountCodes[ACCOUNT NAME],MATCH(E2779,AccountCodes[NGAS CODE],0))))</f>
        <v>Salaries and Wages-Regular</v>
      </c>
      <c r="E2779" s="309" t="s">
        <v>162</v>
      </c>
      <c r="F2779" s="501">
        <v>387277</v>
      </c>
    </row>
    <row r="2780" spans="1:6" x14ac:dyDescent="0.25">
      <c r="A2780" s="308">
        <v>43434</v>
      </c>
      <c r="B2780" s="309" t="s">
        <v>486</v>
      </c>
      <c r="C2780" s="309" t="s">
        <v>507</v>
      </c>
      <c r="D2780" s="136" t="str">
        <f t="array" ref="D2780">IF(E2780=0,0,(INDEX(AccountCodes[ACCOUNT NAME],MATCH(E2780,AccountCodes[NGAS CODE],0))))</f>
        <v>Salaries and Wages-Regular</v>
      </c>
      <c r="E2780" s="309" t="s">
        <v>162</v>
      </c>
      <c r="F2780" s="501">
        <v>387277</v>
      </c>
    </row>
    <row r="2781" spans="1:6" x14ac:dyDescent="0.25">
      <c r="A2781" s="308">
        <v>43465</v>
      </c>
      <c r="B2781" s="309" t="s">
        <v>486</v>
      </c>
      <c r="C2781" s="309" t="s">
        <v>507</v>
      </c>
      <c r="D2781" s="136" t="str">
        <f t="array" ref="D2781">IF(E2781=0,0,(INDEX(AccountCodes[ACCOUNT NAME],MATCH(E2781,AccountCodes[NGAS CODE],0))))</f>
        <v>Salaries and Wages-Regular</v>
      </c>
      <c r="E2781" s="309" t="s">
        <v>162</v>
      </c>
      <c r="F2781" s="501">
        <v>387277</v>
      </c>
    </row>
    <row r="2782" spans="1:6" x14ac:dyDescent="0.25">
      <c r="A2782" s="308">
        <v>43131</v>
      </c>
      <c r="B2782" s="309" t="s">
        <v>486</v>
      </c>
      <c r="C2782" s="309" t="s">
        <v>507</v>
      </c>
      <c r="D2782" s="136" t="str">
        <f t="array" ref="D2782">IF(E2782=0,0,(INDEX(AccountCodes[ACCOUNT NAME],MATCH(E2782,AccountCodes[NGAS CODE],0))))</f>
        <v>Salaries and Wages-Casual/Contractual</v>
      </c>
      <c r="E2782" s="309" t="s">
        <v>163</v>
      </c>
      <c r="F2782" s="501">
        <v>198191.87</v>
      </c>
    </row>
    <row r="2783" spans="1:6" x14ac:dyDescent="0.25">
      <c r="A2783" s="308">
        <v>43159</v>
      </c>
      <c r="B2783" s="309" t="s">
        <v>486</v>
      </c>
      <c r="C2783" s="309" t="s">
        <v>507</v>
      </c>
      <c r="D2783" s="136" t="str">
        <f t="array" ref="D2783">IF(E2783=0,0,(INDEX(AccountCodes[ACCOUNT NAME],MATCH(E2783,AccountCodes[NGAS CODE],0))))</f>
        <v>Salaries and Wages-Casual/Contractual</v>
      </c>
      <c r="E2783" s="309" t="s">
        <v>163</v>
      </c>
      <c r="F2783" s="501">
        <v>198191.87</v>
      </c>
    </row>
    <row r="2784" spans="1:6" x14ac:dyDescent="0.25">
      <c r="A2784" s="308">
        <v>43190</v>
      </c>
      <c r="B2784" s="309" t="s">
        <v>486</v>
      </c>
      <c r="C2784" s="309" t="s">
        <v>507</v>
      </c>
      <c r="D2784" s="136" t="str">
        <f t="array" ref="D2784">IF(E2784=0,0,(INDEX(AccountCodes[ACCOUNT NAME],MATCH(E2784,AccountCodes[NGAS CODE],0))))</f>
        <v>Salaries and Wages-Casual/Contractual</v>
      </c>
      <c r="E2784" s="309" t="s">
        <v>163</v>
      </c>
      <c r="F2784" s="501">
        <v>198191.87</v>
      </c>
    </row>
    <row r="2785" spans="1:6" x14ac:dyDescent="0.25">
      <c r="A2785" s="308">
        <v>43220</v>
      </c>
      <c r="B2785" s="309" t="s">
        <v>486</v>
      </c>
      <c r="C2785" s="309" t="s">
        <v>507</v>
      </c>
      <c r="D2785" s="136" t="str">
        <f t="array" ref="D2785">IF(E2785=0,0,(INDEX(AccountCodes[ACCOUNT NAME],MATCH(E2785,AccountCodes[NGAS CODE],0))))</f>
        <v>Salaries and Wages-Casual/Contractual</v>
      </c>
      <c r="E2785" s="309" t="s">
        <v>163</v>
      </c>
      <c r="F2785" s="501">
        <v>198191.87</v>
      </c>
    </row>
    <row r="2786" spans="1:6" x14ac:dyDescent="0.25">
      <c r="A2786" s="308">
        <v>43251</v>
      </c>
      <c r="B2786" s="309" t="s">
        <v>486</v>
      </c>
      <c r="C2786" s="309" t="s">
        <v>507</v>
      </c>
      <c r="D2786" s="136" t="str">
        <f t="array" ref="D2786">IF(E2786=0,0,(INDEX(AccountCodes[ACCOUNT NAME],MATCH(E2786,AccountCodes[NGAS CODE],0))))</f>
        <v>Salaries and Wages-Casual/Contractual</v>
      </c>
      <c r="E2786" s="309" t="s">
        <v>163</v>
      </c>
      <c r="F2786" s="501">
        <v>198191.87</v>
      </c>
    </row>
    <row r="2787" spans="1:6" x14ac:dyDescent="0.25">
      <c r="A2787" s="308">
        <v>43281</v>
      </c>
      <c r="B2787" s="309" t="s">
        <v>486</v>
      </c>
      <c r="C2787" s="309" t="s">
        <v>507</v>
      </c>
      <c r="D2787" s="136" t="str">
        <f t="array" ref="D2787">IF(E2787=0,0,(INDEX(AccountCodes[ACCOUNT NAME],MATCH(E2787,AccountCodes[NGAS CODE],0))))</f>
        <v>Salaries and Wages-Casual/Contractual</v>
      </c>
      <c r="E2787" s="309" t="s">
        <v>163</v>
      </c>
      <c r="F2787" s="501">
        <v>198191.87</v>
      </c>
    </row>
    <row r="2788" spans="1:6" x14ac:dyDescent="0.25">
      <c r="A2788" s="308">
        <v>43312</v>
      </c>
      <c r="B2788" s="309" t="s">
        <v>486</v>
      </c>
      <c r="C2788" s="309" t="s">
        <v>507</v>
      </c>
      <c r="D2788" s="136" t="str">
        <f t="array" ref="D2788">IF(E2788=0,0,(INDEX(AccountCodes[ACCOUNT NAME],MATCH(E2788,AccountCodes[NGAS CODE],0))))</f>
        <v>Salaries and Wages-Casual/Contractual</v>
      </c>
      <c r="E2788" s="309" t="s">
        <v>163</v>
      </c>
      <c r="F2788" s="501">
        <v>198191.87</v>
      </c>
    </row>
    <row r="2789" spans="1:6" x14ac:dyDescent="0.25">
      <c r="A2789" s="308">
        <v>43343</v>
      </c>
      <c r="B2789" s="309" t="s">
        <v>486</v>
      </c>
      <c r="C2789" s="309" t="s">
        <v>507</v>
      </c>
      <c r="D2789" s="136" t="str">
        <f t="array" ref="D2789">IF(E2789=0,0,(INDEX(AccountCodes[ACCOUNT NAME],MATCH(E2789,AccountCodes[NGAS CODE],0))))</f>
        <v>Salaries and Wages-Casual/Contractual</v>
      </c>
      <c r="E2789" s="309" t="s">
        <v>163</v>
      </c>
      <c r="F2789" s="501">
        <v>198191.87</v>
      </c>
    </row>
    <row r="2790" spans="1:6" x14ac:dyDescent="0.25">
      <c r="A2790" s="308">
        <v>43373</v>
      </c>
      <c r="B2790" s="309" t="s">
        <v>486</v>
      </c>
      <c r="C2790" s="309" t="s">
        <v>507</v>
      </c>
      <c r="D2790" s="136" t="str">
        <f t="array" ref="D2790">IF(E2790=0,0,(INDEX(AccountCodes[ACCOUNT NAME],MATCH(E2790,AccountCodes[NGAS CODE],0))))</f>
        <v>Salaries and Wages-Casual/Contractual</v>
      </c>
      <c r="E2790" s="309" t="s">
        <v>163</v>
      </c>
      <c r="F2790" s="501">
        <v>198191.87</v>
      </c>
    </row>
    <row r="2791" spans="1:6" x14ac:dyDescent="0.25">
      <c r="A2791" s="308">
        <v>43404</v>
      </c>
      <c r="B2791" s="309" t="s">
        <v>486</v>
      </c>
      <c r="C2791" s="309" t="s">
        <v>507</v>
      </c>
      <c r="D2791" s="136" t="str">
        <f t="array" ref="D2791">IF(E2791=0,0,(INDEX(AccountCodes[ACCOUNT NAME],MATCH(E2791,AccountCodes[NGAS CODE],0))))</f>
        <v>Salaries and Wages-Casual/Contractual</v>
      </c>
      <c r="E2791" s="309" t="s">
        <v>163</v>
      </c>
      <c r="F2791" s="501">
        <v>198191.87</v>
      </c>
    </row>
    <row r="2792" spans="1:6" x14ac:dyDescent="0.25">
      <c r="A2792" s="308">
        <v>43434</v>
      </c>
      <c r="B2792" s="309" t="s">
        <v>486</v>
      </c>
      <c r="C2792" s="309" t="s">
        <v>507</v>
      </c>
      <c r="D2792" s="136" t="str">
        <f t="array" ref="D2792">IF(E2792=0,0,(INDEX(AccountCodes[ACCOUNT NAME],MATCH(E2792,AccountCodes[NGAS CODE],0))))</f>
        <v>Salaries and Wages-Casual/Contractual</v>
      </c>
      <c r="E2792" s="309" t="s">
        <v>163</v>
      </c>
      <c r="F2792" s="501">
        <v>198191.87</v>
      </c>
    </row>
    <row r="2793" spans="1:6" x14ac:dyDescent="0.25">
      <c r="A2793" s="308">
        <v>43465</v>
      </c>
      <c r="B2793" s="309" t="s">
        <v>486</v>
      </c>
      <c r="C2793" s="309" t="s">
        <v>507</v>
      </c>
      <c r="D2793" s="136" t="str">
        <f t="array" ref="D2793">IF(E2793=0,0,(INDEX(AccountCodes[ACCOUNT NAME],MATCH(E2793,AccountCodes[NGAS CODE],0))))</f>
        <v>Salaries and Wages-Casual/Contractual</v>
      </c>
      <c r="E2793" s="309" t="s">
        <v>163</v>
      </c>
      <c r="F2793" s="501">
        <v>198191.87</v>
      </c>
    </row>
    <row r="2794" spans="1:6" x14ac:dyDescent="0.25">
      <c r="A2794" s="308">
        <v>43131</v>
      </c>
      <c r="B2794" s="309" t="s">
        <v>486</v>
      </c>
      <c r="C2794" s="309" t="s">
        <v>507</v>
      </c>
      <c r="D2794" s="136" t="str">
        <f t="array" ref="D2794">IF(E2794=0,0,(INDEX(AccountCodes[ACCOUNT NAME],MATCH(E2794,AccountCodes[NGAS CODE],0))))</f>
        <v>Personal Economic Relief Allowance (PERA)</v>
      </c>
      <c r="E2794" s="309" t="s">
        <v>164</v>
      </c>
      <c r="F2794" s="501">
        <v>36000</v>
      </c>
    </row>
    <row r="2795" spans="1:6" x14ac:dyDescent="0.25">
      <c r="A2795" s="308">
        <v>43159</v>
      </c>
      <c r="B2795" s="309" t="s">
        <v>486</v>
      </c>
      <c r="C2795" s="309" t="s">
        <v>507</v>
      </c>
      <c r="D2795" s="136" t="str">
        <f t="array" ref="D2795">IF(E2795=0,0,(INDEX(AccountCodes[ACCOUNT NAME],MATCH(E2795,AccountCodes[NGAS CODE],0))))</f>
        <v>Personal Economic Relief Allowance (PERA)</v>
      </c>
      <c r="E2795" s="309" t="s">
        <v>164</v>
      </c>
      <c r="F2795" s="501">
        <v>36000</v>
      </c>
    </row>
    <row r="2796" spans="1:6" x14ac:dyDescent="0.25">
      <c r="A2796" s="308">
        <v>43190</v>
      </c>
      <c r="B2796" s="309" t="s">
        <v>486</v>
      </c>
      <c r="C2796" s="309" t="s">
        <v>507</v>
      </c>
      <c r="D2796" s="136" t="str">
        <f t="array" ref="D2796">IF(E2796=0,0,(INDEX(AccountCodes[ACCOUNT NAME],MATCH(E2796,AccountCodes[NGAS CODE],0))))</f>
        <v>Personal Economic Relief Allowance (PERA)</v>
      </c>
      <c r="E2796" s="309" t="s">
        <v>164</v>
      </c>
      <c r="F2796" s="501">
        <v>36000</v>
      </c>
    </row>
    <row r="2797" spans="1:6" x14ac:dyDescent="0.25">
      <c r="A2797" s="308">
        <v>43220</v>
      </c>
      <c r="B2797" s="309" t="s">
        <v>486</v>
      </c>
      <c r="C2797" s="309" t="s">
        <v>507</v>
      </c>
      <c r="D2797" s="136" t="str">
        <f t="array" ref="D2797">IF(E2797=0,0,(INDEX(AccountCodes[ACCOUNT NAME],MATCH(E2797,AccountCodes[NGAS CODE],0))))</f>
        <v>Personal Economic Relief Allowance (PERA)</v>
      </c>
      <c r="E2797" s="309" t="s">
        <v>164</v>
      </c>
      <c r="F2797" s="501">
        <v>36000</v>
      </c>
    </row>
    <row r="2798" spans="1:6" x14ac:dyDescent="0.25">
      <c r="A2798" s="308">
        <v>43251</v>
      </c>
      <c r="B2798" s="309" t="s">
        <v>486</v>
      </c>
      <c r="C2798" s="309" t="s">
        <v>507</v>
      </c>
      <c r="D2798" s="136" t="str">
        <f t="array" ref="D2798">IF(E2798=0,0,(INDEX(AccountCodes[ACCOUNT NAME],MATCH(E2798,AccountCodes[NGAS CODE],0))))</f>
        <v>Personal Economic Relief Allowance (PERA)</v>
      </c>
      <c r="E2798" s="309" t="s">
        <v>164</v>
      </c>
      <c r="F2798" s="501">
        <v>36000</v>
      </c>
    </row>
    <row r="2799" spans="1:6" x14ac:dyDescent="0.25">
      <c r="A2799" s="308">
        <v>43281</v>
      </c>
      <c r="B2799" s="309" t="s">
        <v>486</v>
      </c>
      <c r="C2799" s="309" t="s">
        <v>507</v>
      </c>
      <c r="D2799" s="136" t="str">
        <f t="array" ref="D2799">IF(E2799=0,0,(INDEX(AccountCodes[ACCOUNT NAME],MATCH(E2799,AccountCodes[NGAS CODE],0))))</f>
        <v>Personal Economic Relief Allowance (PERA)</v>
      </c>
      <c r="E2799" s="309" t="s">
        <v>164</v>
      </c>
      <c r="F2799" s="501">
        <v>36000</v>
      </c>
    </row>
    <row r="2800" spans="1:6" x14ac:dyDescent="0.25">
      <c r="A2800" s="308">
        <v>43312</v>
      </c>
      <c r="B2800" s="309" t="s">
        <v>486</v>
      </c>
      <c r="C2800" s="309" t="s">
        <v>507</v>
      </c>
      <c r="D2800" s="136" t="str">
        <f t="array" ref="D2800">IF(E2800=0,0,(INDEX(AccountCodes[ACCOUNT NAME],MATCH(E2800,AccountCodes[NGAS CODE],0))))</f>
        <v>Personal Economic Relief Allowance (PERA)</v>
      </c>
      <c r="E2800" s="309" t="s">
        <v>164</v>
      </c>
      <c r="F2800" s="501">
        <v>36000</v>
      </c>
    </row>
    <row r="2801" spans="1:6" x14ac:dyDescent="0.25">
      <c r="A2801" s="308">
        <v>43343</v>
      </c>
      <c r="B2801" s="309" t="s">
        <v>486</v>
      </c>
      <c r="C2801" s="309" t="s">
        <v>507</v>
      </c>
      <c r="D2801" s="136" t="str">
        <f t="array" ref="D2801">IF(E2801=0,0,(INDEX(AccountCodes[ACCOUNT NAME],MATCH(E2801,AccountCodes[NGAS CODE],0))))</f>
        <v>Personal Economic Relief Allowance (PERA)</v>
      </c>
      <c r="E2801" s="309" t="s">
        <v>164</v>
      </c>
      <c r="F2801" s="501">
        <v>36000</v>
      </c>
    </row>
    <row r="2802" spans="1:6" x14ac:dyDescent="0.25">
      <c r="A2802" s="308">
        <v>43373</v>
      </c>
      <c r="B2802" s="309" t="s">
        <v>486</v>
      </c>
      <c r="C2802" s="309" t="s">
        <v>507</v>
      </c>
      <c r="D2802" s="136" t="str">
        <f t="array" ref="D2802">IF(E2802=0,0,(INDEX(AccountCodes[ACCOUNT NAME],MATCH(E2802,AccountCodes[NGAS CODE],0))))</f>
        <v>Personal Economic Relief Allowance (PERA)</v>
      </c>
      <c r="E2802" s="309" t="s">
        <v>164</v>
      </c>
      <c r="F2802" s="501">
        <v>36000</v>
      </c>
    </row>
    <row r="2803" spans="1:6" x14ac:dyDescent="0.25">
      <c r="A2803" s="308">
        <v>43404</v>
      </c>
      <c r="B2803" s="309" t="s">
        <v>486</v>
      </c>
      <c r="C2803" s="309" t="s">
        <v>507</v>
      </c>
      <c r="D2803" s="136" t="str">
        <f t="array" ref="D2803">IF(E2803=0,0,(INDEX(AccountCodes[ACCOUNT NAME],MATCH(E2803,AccountCodes[NGAS CODE],0))))</f>
        <v>Personal Economic Relief Allowance (PERA)</v>
      </c>
      <c r="E2803" s="309" t="s">
        <v>164</v>
      </c>
      <c r="F2803" s="501">
        <v>36000</v>
      </c>
    </row>
    <row r="2804" spans="1:6" x14ac:dyDescent="0.25">
      <c r="A2804" s="308">
        <v>43434</v>
      </c>
      <c r="B2804" s="309" t="s">
        <v>486</v>
      </c>
      <c r="C2804" s="309" t="s">
        <v>507</v>
      </c>
      <c r="D2804" s="136" t="str">
        <f t="array" ref="D2804">IF(E2804=0,0,(INDEX(AccountCodes[ACCOUNT NAME],MATCH(E2804,AccountCodes[NGAS CODE],0))))</f>
        <v>Personal Economic Relief Allowance (PERA)</v>
      </c>
      <c r="E2804" s="309" t="s">
        <v>164</v>
      </c>
      <c r="F2804" s="501">
        <v>36000</v>
      </c>
    </row>
    <row r="2805" spans="1:6" x14ac:dyDescent="0.25">
      <c r="A2805" s="308">
        <v>43465</v>
      </c>
      <c r="B2805" s="309" t="s">
        <v>486</v>
      </c>
      <c r="C2805" s="309" t="s">
        <v>507</v>
      </c>
      <c r="D2805" s="136" t="str">
        <f t="array" ref="D2805">IF(E2805=0,0,(INDEX(AccountCodes[ACCOUNT NAME],MATCH(E2805,AccountCodes[NGAS CODE],0))))</f>
        <v>Personal Economic Relief Allowance (PERA)</v>
      </c>
      <c r="E2805" s="309" t="s">
        <v>164</v>
      </c>
      <c r="F2805" s="501">
        <v>36000</v>
      </c>
    </row>
    <row r="2806" spans="1:6" x14ac:dyDescent="0.25">
      <c r="A2806" s="308">
        <v>43131</v>
      </c>
      <c r="B2806" s="309" t="s">
        <v>486</v>
      </c>
      <c r="C2806" s="309" t="s">
        <v>507</v>
      </c>
      <c r="D2806" s="136" t="str">
        <f t="array" ref="D2806">IF(E2806=0,0,(INDEX(AccountCodes[ACCOUNT NAME],MATCH(E2806,AccountCodes[NGAS CODE],0))))</f>
        <v>Representation Allowance (RA)</v>
      </c>
      <c r="E2806" s="309" t="s">
        <v>165</v>
      </c>
      <c r="F2806" s="501">
        <v>5000</v>
      </c>
    </row>
    <row r="2807" spans="1:6" x14ac:dyDescent="0.25">
      <c r="A2807" s="308">
        <v>43159</v>
      </c>
      <c r="B2807" s="309" t="s">
        <v>486</v>
      </c>
      <c r="C2807" s="309" t="s">
        <v>507</v>
      </c>
      <c r="D2807" s="136" t="str">
        <f t="array" ref="D2807">IF(E2807=0,0,(INDEX(AccountCodes[ACCOUNT NAME],MATCH(E2807,AccountCodes[NGAS CODE],0))))</f>
        <v>Representation Allowance (RA)</v>
      </c>
      <c r="E2807" s="309" t="s">
        <v>165</v>
      </c>
      <c r="F2807" s="501">
        <v>5000</v>
      </c>
    </row>
    <row r="2808" spans="1:6" x14ac:dyDescent="0.25">
      <c r="A2808" s="308">
        <v>43190</v>
      </c>
      <c r="B2808" s="309" t="s">
        <v>486</v>
      </c>
      <c r="C2808" s="309" t="s">
        <v>507</v>
      </c>
      <c r="D2808" s="136" t="str">
        <f t="array" ref="D2808">IF(E2808=0,0,(INDEX(AccountCodes[ACCOUNT NAME],MATCH(E2808,AccountCodes[NGAS CODE],0))))</f>
        <v>Representation Allowance (RA)</v>
      </c>
      <c r="E2808" s="309" t="s">
        <v>165</v>
      </c>
      <c r="F2808" s="501">
        <v>5000</v>
      </c>
    </row>
    <row r="2809" spans="1:6" x14ac:dyDescent="0.25">
      <c r="A2809" s="308">
        <v>43220</v>
      </c>
      <c r="B2809" s="309" t="s">
        <v>486</v>
      </c>
      <c r="C2809" s="309" t="s">
        <v>507</v>
      </c>
      <c r="D2809" s="136" t="str">
        <f t="array" ref="D2809">IF(E2809=0,0,(INDEX(AccountCodes[ACCOUNT NAME],MATCH(E2809,AccountCodes[NGAS CODE],0))))</f>
        <v>Representation Allowance (RA)</v>
      </c>
      <c r="E2809" s="309" t="s">
        <v>165</v>
      </c>
      <c r="F2809" s="501">
        <v>5000</v>
      </c>
    </row>
    <row r="2810" spans="1:6" x14ac:dyDescent="0.25">
      <c r="A2810" s="308">
        <v>43251</v>
      </c>
      <c r="B2810" s="309" t="s">
        <v>486</v>
      </c>
      <c r="C2810" s="309" t="s">
        <v>507</v>
      </c>
      <c r="D2810" s="136" t="str">
        <f t="array" ref="D2810">IF(E2810=0,0,(INDEX(AccountCodes[ACCOUNT NAME],MATCH(E2810,AccountCodes[NGAS CODE],0))))</f>
        <v>Representation Allowance (RA)</v>
      </c>
      <c r="E2810" s="309" t="s">
        <v>165</v>
      </c>
      <c r="F2810" s="501">
        <v>5000</v>
      </c>
    </row>
    <row r="2811" spans="1:6" x14ac:dyDescent="0.25">
      <c r="A2811" s="308">
        <v>43281</v>
      </c>
      <c r="B2811" s="309" t="s">
        <v>486</v>
      </c>
      <c r="C2811" s="309" t="s">
        <v>507</v>
      </c>
      <c r="D2811" s="136" t="str">
        <f t="array" ref="D2811">IF(E2811=0,0,(INDEX(AccountCodes[ACCOUNT NAME],MATCH(E2811,AccountCodes[NGAS CODE],0))))</f>
        <v>Representation Allowance (RA)</v>
      </c>
      <c r="E2811" s="309" t="s">
        <v>165</v>
      </c>
      <c r="F2811" s="501">
        <v>5000</v>
      </c>
    </row>
    <row r="2812" spans="1:6" x14ac:dyDescent="0.25">
      <c r="A2812" s="308">
        <v>43312</v>
      </c>
      <c r="B2812" s="309" t="s">
        <v>486</v>
      </c>
      <c r="C2812" s="309" t="s">
        <v>507</v>
      </c>
      <c r="D2812" s="136" t="str">
        <f t="array" ref="D2812">IF(E2812=0,0,(INDEX(AccountCodes[ACCOUNT NAME],MATCH(E2812,AccountCodes[NGAS CODE],0))))</f>
        <v>Representation Allowance (RA)</v>
      </c>
      <c r="E2812" s="309" t="s">
        <v>165</v>
      </c>
      <c r="F2812" s="501">
        <v>5000</v>
      </c>
    </row>
    <row r="2813" spans="1:6" x14ac:dyDescent="0.25">
      <c r="A2813" s="308">
        <v>43343</v>
      </c>
      <c r="B2813" s="309" t="s">
        <v>486</v>
      </c>
      <c r="C2813" s="309" t="s">
        <v>507</v>
      </c>
      <c r="D2813" s="136" t="str">
        <f t="array" ref="D2813">IF(E2813=0,0,(INDEX(AccountCodes[ACCOUNT NAME],MATCH(E2813,AccountCodes[NGAS CODE],0))))</f>
        <v>Representation Allowance (RA)</v>
      </c>
      <c r="E2813" s="309" t="s">
        <v>165</v>
      </c>
      <c r="F2813" s="501">
        <v>5000</v>
      </c>
    </row>
    <row r="2814" spans="1:6" x14ac:dyDescent="0.25">
      <c r="A2814" s="308">
        <v>43373</v>
      </c>
      <c r="B2814" s="309" t="s">
        <v>486</v>
      </c>
      <c r="C2814" s="309" t="s">
        <v>507</v>
      </c>
      <c r="D2814" s="136" t="str">
        <f t="array" ref="D2814">IF(E2814=0,0,(INDEX(AccountCodes[ACCOUNT NAME],MATCH(E2814,AccountCodes[NGAS CODE],0))))</f>
        <v>Representation Allowance (RA)</v>
      </c>
      <c r="E2814" s="309" t="s">
        <v>165</v>
      </c>
      <c r="F2814" s="501">
        <v>5000</v>
      </c>
    </row>
    <row r="2815" spans="1:6" x14ac:dyDescent="0.25">
      <c r="A2815" s="308">
        <v>43404</v>
      </c>
      <c r="B2815" s="309" t="s">
        <v>486</v>
      </c>
      <c r="C2815" s="309" t="s">
        <v>507</v>
      </c>
      <c r="D2815" s="136" t="str">
        <f t="array" ref="D2815">IF(E2815=0,0,(INDEX(AccountCodes[ACCOUNT NAME],MATCH(E2815,AccountCodes[NGAS CODE],0))))</f>
        <v>Representation Allowance (RA)</v>
      </c>
      <c r="E2815" s="309" t="s">
        <v>165</v>
      </c>
      <c r="F2815" s="501">
        <v>5000</v>
      </c>
    </row>
    <row r="2816" spans="1:6" x14ac:dyDescent="0.25">
      <c r="A2816" s="308">
        <v>43434</v>
      </c>
      <c r="B2816" s="309" t="s">
        <v>486</v>
      </c>
      <c r="C2816" s="309" t="s">
        <v>507</v>
      </c>
      <c r="D2816" s="136" t="str">
        <f t="array" ref="D2816">IF(E2816=0,0,(INDEX(AccountCodes[ACCOUNT NAME],MATCH(E2816,AccountCodes[NGAS CODE],0))))</f>
        <v>Representation Allowance (RA)</v>
      </c>
      <c r="E2816" s="309" t="s">
        <v>165</v>
      </c>
      <c r="F2816" s="501">
        <v>5000</v>
      </c>
    </row>
    <row r="2817" spans="1:6" x14ac:dyDescent="0.25">
      <c r="A2817" s="308">
        <v>43465</v>
      </c>
      <c r="B2817" s="309" t="s">
        <v>486</v>
      </c>
      <c r="C2817" s="309" t="s">
        <v>507</v>
      </c>
      <c r="D2817" s="136" t="str">
        <f t="array" ref="D2817">IF(E2817=0,0,(INDEX(AccountCodes[ACCOUNT NAME],MATCH(E2817,AccountCodes[NGAS CODE],0))))</f>
        <v>Representation Allowance (RA)</v>
      </c>
      <c r="E2817" s="309" t="s">
        <v>165</v>
      </c>
      <c r="F2817" s="501">
        <v>5000</v>
      </c>
    </row>
    <row r="2818" spans="1:6" x14ac:dyDescent="0.25">
      <c r="A2818" s="308">
        <v>43465</v>
      </c>
      <c r="B2818" s="309" t="s">
        <v>486</v>
      </c>
      <c r="C2818" s="309" t="s">
        <v>507</v>
      </c>
      <c r="D2818" s="136" t="str">
        <f t="array" ref="D2818">IF(E2818=0,0,(INDEX(AccountCodes[ACCOUNT NAME],MATCH(E2818,AccountCodes[NGAS CODE],0))))</f>
        <v>Other Bonuses and Allowances - Productivity Enhancement Incentive-Civilian</v>
      </c>
      <c r="E2818" s="309" t="s">
        <v>170</v>
      </c>
      <c r="F2818" s="501">
        <v>90000</v>
      </c>
    </row>
    <row r="2819" spans="1:6" x14ac:dyDescent="0.25">
      <c r="A2819" s="308">
        <v>43131</v>
      </c>
      <c r="B2819" s="309" t="s">
        <v>486</v>
      </c>
      <c r="C2819" s="309" t="s">
        <v>507</v>
      </c>
      <c r="D2819" s="136" t="str">
        <f t="array" ref="D2819">IF(E2819=0,0,(INDEX(AccountCodes[ACCOUNT NAME],MATCH(E2819,AccountCodes[NGAS CODE],0))))</f>
        <v>Other Bonuses and Allowances - Children Allowance</v>
      </c>
      <c r="E2819" s="309" t="s">
        <v>7</v>
      </c>
      <c r="F2819" s="501">
        <v>30</v>
      </c>
    </row>
    <row r="2820" spans="1:6" x14ac:dyDescent="0.25">
      <c r="A2820" s="308">
        <v>43159</v>
      </c>
      <c r="B2820" s="309" t="s">
        <v>486</v>
      </c>
      <c r="C2820" s="309" t="s">
        <v>507</v>
      </c>
      <c r="D2820" s="136" t="str">
        <f t="array" ref="D2820">IF(E2820=0,0,(INDEX(AccountCodes[ACCOUNT NAME],MATCH(E2820,AccountCodes[NGAS CODE],0))))</f>
        <v>Other Bonuses and Allowances - Children Allowance</v>
      </c>
      <c r="E2820" s="309" t="s">
        <v>7</v>
      </c>
      <c r="F2820" s="501">
        <v>30</v>
      </c>
    </row>
    <row r="2821" spans="1:6" x14ac:dyDescent="0.25">
      <c r="A2821" s="308">
        <v>43190</v>
      </c>
      <c r="B2821" s="309" t="s">
        <v>486</v>
      </c>
      <c r="C2821" s="309" t="s">
        <v>507</v>
      </c>
      <c r="D2821" s="136" t="str">
        <f t="array" ref="D2821">IF(E2821=0,0,(INDEX(AccountCodes[ACCOUNT NAME],MATCH(E2821,AccountCodes[NGAS CODE],0))))</f>
        <v>Other Bonuses and Allowances - Children Allowance</v>
      </c>
      <c r="E2821" s="309" t="s">
        <v>7</v>
      </c>
      <c r="F2821" s="501">
        <v>30</v>
      </c>
    </row>
    <row r="2822" spans="1:6" x14ac:dyDescent="0.25">
      <c r="A2822" s="308">
        <v>43220</v>
      </c>
      <c r="B2822" s="309" t="s">
        <v>486</v>
      </c>
      <c r="C2822" s="309" t="s">
        <v>507</v>
      </c>
      <c r="D2822" s="136" t="str">
        <f t="array" ref="D2822">IF(E2822=0,0,(INDEX(AccountCodes[ACCOUNT NAME],MATCH(E2822,AccountCodes[NGAS CODE],0))))</f>
        <v>Other Bonuses and Allowances - Children Allowance</v>
      </c>
      <c r="E2822" s="309" t="s">
        <v>7</v>
      </c>
      <c r="F2822" s="501">
        <v>30</v>
      </c>
    </row>
    <row r="2823" spans="1:6" x14ac:dyDescent="0.25">
      <c r="A2823" s="308">
        <v>43251</v>
      </c>
      <c r="B2823" s="309" t="s">
        <v>486</v>
      </c>
      <c r="C2823" s="309" t="s">
        <v>507</v>
      </c>
      <c r="D2823" s="136" t="str">
        <f t="array" ref="D2823">IF(E2823=0,0,(INDEX(AccountCodes[ACCOUNT NAME],MATCH(E2823,AccountCodes[NGAS CODE],0))))</f>
        <v>Other Bonuses and Allowances - Children Allowance</v>
      </c>
      <c r="E2823" s="309" t="s">
        <v>7</v>
      </c>
      <c r="F2823" s="501">
        <v>30</v>
      </c>
    </row>
    <row r="2824" spans="1:6" x14ac:dyDescent="0.25">
      <c r="A2824" s="308">
        <v>43281</v>
      </c>
      <c r="B2824" s="309" t="s">
        <v>486</v>
      </c>
      <c r="C2824" s="309" t="s">
        <v>507</v>
      </c>
      <c r="D2824" s="136" t="str">
        <f t="array" ref="D2824">IF(E2824=0,0,(INDEX(AccountCodes[ACCOUNT NAME],MATCH(E2824,AccountCodes[NGAS CODE],0))))</f>
        <v>Other Bonuses and Allowances - Children Allowance</v>
      </c>
      <c r="E2824" s="309" t="s">
        <v>7</v>
      </c>
      <c r="F2824" s="501">
        <v>30</v>
      </c>
    </row>
    <row r="2825" spans="1:6" x14ac:dyDescent="0.25">
      <c r="A2825" s="308">
        <v>43312</v>
      </c>
      <c r="B2825" s="309" t="s">
        <v>486</v>
      </c>
      <c r="C2825" s="309" t="s">
        <v>507</v>
      </c>
      <c r="D2825" s="136" t="str">
        <f t="array" ref="D2825">IF(E2825=0,0,(INDEX(AccountCodes[ACCOUNT NAME],MATCH(E2825,AccountCodes[NGAS CODE],0))))</f>
        <v>Other Bonuses and Allowances - Children Allowance</v>
      </c>
      <c r="E2825" s="309" t="s">
        <v>7</v>
      </c>
      <c r="F2825" s="501">
        <v>30</v>
      </c>
    </row>
    <row r="2826" spans="1:6" x14ac:dyDescent="0.25">
      <c r="A2826" s="308">
        <v>43343</v>
      </c>
      <c r="B2826" s="309" t="s">
        <v>486</v>
      </c>
      <c r="C2826" s="309" t="s">
        <v>507</v>
      </c>
      <c r="D2826" s="136" t="str">
        <f t="array" ref="D2826">IF(E2826=0,0,(INDEX(AccountCodes[ACCOUNT NAME],MATCH(E2826,AccountCodes[NGAS CODE],0))))</f>
        <v>Other Bonuses and Allowances - Children Allowance</v>
      </c>
      <c r="E2826" s="309" t="s">
        <v>7</v>
      </c>
      <c r="F2826" s="501">
        <v>30</v>
      </c>
    </row>
    <row r="2827" spans="1:6" x14ac:dyDescent="0.25">
      <c r="A2827" s="308">
        <v>43373</v>
      </c>
      <c r="B2827" s="309" t="s">
        <v>486</v>
      </c>
      <c r="C2827" s="309" t="s">
        <v>507</v>
      </c>
      <c r="D2827" s="136" t="str">
        <f t="array" ref="D2827">IF(E2827=0,0,(INDEX(AccountCodes[ACCOUNT NAME],MATCH(E2827,AccountCodes[NGAS CODE],0))))</f>
        <v>Other Bonuses and Allowances - Children Allowance</v>
      </c>
      <c r="E2827" s="309" t="s">
        <v>7</v>
      </c>
      <c r="F2827" s="501">
        <v>30</v>
      </c>
    </row>
    <row r="2828" spans="1:6" x14ac:dyDescent="0.25">
      <c r="A2828" s="308">
        <v>43404</v>
      </c>
      <c r="B2828" s="309" t="s">
        <v>486</v>
      </c>
      <c r="C2828" s="309" t="s">
        <v>507</v>
      </c>
      <c r="D2828" s="136" t="str">
        <f t="array" ref="D2828">IF(E2828=0,0,(INDEX(AccountCodes[ACCOUNT NAME],MATCH(E2828,AccountCodes[NGAS CODE],0))))</f>
        <v>Other Bonuses and Allowances - Children Allowance</v>
      </c>
      <c r="E2828" s="309" t="s">
        <v>7</v>
      </c>
      <c r="F2828" s="501">
        <v>30</v>
      </c>
    </row>
    <row r="2829" spans="1:6" x14ac:dyDescent="0.25">
      <c r="A2829" s="308">
        <v>43434</v>
      </c>
      <c r="B2829" s="309" t="s">
        <v>486</v>
      </c>
      <c r="C2829" s="309" t="s">
        <v>507</v>
      </c>
      <c r="D2829" s="136" t="str">
        <f t="array" ref="D2829">IF(E2829=0,0,(INDEX(AccountCodes[ACCOUNT NAME],MATCH(E2829,AccountCodes[NGAS CODE],0))))</f>
        <v>Other Bonuses and Allowances - Children Allowance</v>
      </c>
      <c r="E2829" s="309" t="s">
        <v>7</v>
      </c>
      <c r="F2829" s="501">
        <v>30</v>
      </c>
    </row>
    <row r="2830" spans="1:6" x14ac:dyDescent="0.25">
      <c r="A2830" s="308">
        <v>43465</v>
      </c>
      <c r="B2830" s="309" t="s">
        <v>486</v>
      </c>
      <c r="C2830" s="309" t="s">
        <v>507</v>
      </c>
      <c r="D2830" s="136" t="str">
        <f t="array" ref="D2830">IF(E2830=0,0,(INDEX(AccountCodes[ACCOUNT NAME],MATCH(E2830,AccountCodes[NGAS CODE],0))))</f>
        <v>Other Bonuses and Allowances - Children Allowance</v>
      </c>
      <c r="E2830" s="309" t="s">
        <v>7</v>
      </c>
      <c r="F2830" s="501">
        <v>30</v>
      </c>
    </row>
    <row r="2831" spans="1:6" x14ac:dyDescent="0.25">
      <c r="A2831" s="308">
        <v>43131</v>
      </c>
      <c r="B2831" s="309" t="s">
        <v>486</v>
      </c>
      <c r="C2831" s="309" t="s">
        <v>507</v>
      </c>
      <c r="D2831" s="136" t="str">
        <f t="array" ref="D2831">IF(E2831=0,0,(INDEX(AccountCodes[ACCOUNT NAME],MATCH(E2831,AccountCodes[NGAS CODE],0))))</f>
        <v>Other Bonuses and Allowances - Medical Allowance</v>
      </c>
      <c r="E2831" s="309" t="s">
        <v>5</v>
      </c>
      <c r="F2831" s="501">
        <v>1000</v>
      </c>
    </row>
    <row r="2832" spans="1:6" x14ac:dyDescent="0.25">
      <c r="A2832" s="308">
        <v>43159</v>
      </c>
      <c r="B2832" s="309" t="s">
        <v>486</v>
      </c>
      <c r="C2832" s="309" t="s">
        <v>507</v>
      </c>
      <c r="D2832" s="136" t="str">
        <f t="array" ref="D2832">IF(E2832=0,0,(INDEX(AccountCodes[ACCOUNT NAME],MATCH(E2832,AccountCodes[NGAS CODE],0))))</f>
        <v>Other Bonuses and Allowances - Medical Allowance</v>
      </c>
      <c r="E2832" s="309" t="s">
        <v>5</v>
      </c>
      <c r="F2832" s="501">
        <v>1000</v>
      </c>
    </row>
    <row r="2833" spans="1:6" x14ac:dyDescent="0.25">
      <c r="A2833" s="308">
        <v>43190</v>
      </c>
      <c r="B2833" s="309" t="s">
        <v>486</v>
      </c>
      <c r="C2833" s="309" t="s">
        <v>507</v>
      </c>
      <c r="D2833" s="136" t="str">
        <f t="array" ref="D2833">IF(E2833=0,0,(INDEX(AccountCodes[ACCOUNT NAME],MATCH(E2833,AccountCodes[NGAS CODE],0))))</f>
        <v>Other Bonuses and Allowances - Medical Allowance</v>
      </c>
      <c r="E2833" s="309" t="s">
        <v>5</v>
      </c>
      <c r="F2833" s="501">
        <v>1000</v>
      </c>
    </row>
    <row r="2834" spans="1:6" x14ac:dyDescent="0.25">
      <c r="A2834" s="308">
        <v>43220</v>
      </c>
      <c r="B2834" s="309" t="s">
        <v>486</v>
      </c>
      <c r="C2834" s="309" t="s">
        <v>507</v>
      </c>
      <c r="D2834" s="136" t="str">
        <f t="array" ref="D2834">IF(E2834=0,0,(INDEX(AccountCodes[ACCOUNT NAME],MATCH(E2834,AccountCodes[NGAS CODE],0))))</f>
        <v>Other Bonuses and Allowances - Medical Allowance</v>
      </c>
      <c r="E2834" s="309" t="s">
        <v>5</v>
      </c>
      <c r="F2834" s="501">
        <v>1000</v>
      </c>
    </row>
    <row r="2835" spans="1:6" x14ac:dyDescent="0.25">
      <c r="A2835" s="308">
        <v>43251</v>
      </c>
      <c r="B2835" s="309" t="s">
        <v>486</v>
      </c>
      <c r="C2835" s="309" t="s">
        <v>507</v>
      </c>
      <c r="D2835" s="136" t="str">
        <f t="array" ref="D2835">IF(E2835=0,0,(INDEX(AccountCodes[ACCOUNT NAME],MATCH(E2835,AccountCodes[NGAS CODE],0))))</f>
        <v>Other Bonuses and Allowances - Medical Allowance</v>
      </c>
      <c r="E2835" s="309" t="s">
        <v>5</v>
      </c>
      <c r="F2835" s="501">
        <v>1000</v>
      </c>
    </row>
    <row r="2836" spans="1:6" x14ac:dyDescent="0.25">
      <c r="A2836" s="308">
        <v>43281</v>
      </c>
      <c r="B2836" s="309" t="s">
        <v>486</v>
      </c>
      <c r="C2836" s="309" t="s">
        <v>507</v>
      </c>
      <c r="D2836" s="136" t="str">
        <f t="array" ref="D2836">IF(E2836=0,0,(INDEX(AccountCodes[ACCOUNT NAME],MATCH(E2836,AccountCodes[NGAS CODE],0))))</f>
        <v>Other Bonuses and Allowances - Medical Allowance</v>
      </c>
      <c r="E2836" s="309" t="s">
        <v>5</v>
      </c>
      <c r="F2836" s="501">
        <v>1000</v>
      </c>
    </row>
    <row r="2837" spans="1:6" x14ac:dyDescent="0.25">
      <c r="A2837" s="308">
        <v>43312</v>
      </c>
      <c r="B2837" s="309" t="s">
        <v>486</v>
      </c>
      <c r="C2837" s="309" t="s">
        <v>507</v>
      </c>
      <c r="D2837" s="136" t="str">
        <f t="array" ref="D2837">IF(E2837=0,0,(INDEX(AccountCodes[ACCOUNT NAME],MATCH(E2837,AccountCodes[NGAS CODE],0))))</f>
        <v>Other Bonuses and Allowances - Medical Allowance</v>
      </c>
      <c r="E2837" s="309" t="s">
        <v>5</v>
      </c>
      <c r="F2837" s="501">
        <v>1000</v>
      </c>
    </row>
    <row r="2838" spans="1:6" x14ac:dyDescent="0.25">
      <c r="A2838" s="308">
        <v>43343</v>
      </c>
      <c r="B2838" s="309" t="s">
        <v>486</v>
      </c>
      <c r="C2838" s="309" t="s">
        <v>507</v>
      </c>
      <c r="D2838" s="136" t="str">
        <f t="array" ref="D2838">IF(E2838=0,0,(INDEX(AccountCodes[ACCOUNT NAME],MATCH(E2838,AccountCodes[NGAS CODE],0))))</f>
        <v>Other Bonuses and Allowances - Medical Allowance</v>
      </c>
      <c r="E2838" s="309" t="s">
        <v>5</v>
      </c>
      <c r="F2838" s="501">
        <v>1000</v>
      </c>
    </row>
    <row r="2839" spans="1:6" x14ac:dyDescent="0.25">
      <c r="A2839" s="308">
        <v>43373</v>
      </c>
      <c r="B2839" s="309" t="s">
        <v>486</v>
      </c>
      <c r="C2839" s="309" t="s">
        <v>507</v>
      </c>
      <c r="D2839" s="136" t="str">
        <f t="array" ref="D2839">IF(E2839=0,0,(INDEX(AccountCodes[ACCOUNT NAME],MATCH(E2839,AccountCodes[NGAS CODE],0))))</f>
        <v>Other Bonuses and Allowances - Medical Allowance</v>
      </c>
      <c r="E2839" s="309" t="s">
        <v>5</v>
      </c>
      <c r="F2839" s="501">
        <v>1000</v>
      </c>
    </row>
    <row r="2840" spans="1:6" x14ac:dyDescent="0.25">
      <c r="A2840" s="308">
        <v>43404</v>
      </c>
      <c r="B2840" s="309" t="s">
        <v>486</v>
      </c>
      <c r="C2840" s="309" t="s">
        <v>507</v>
      </c>
      <c r="D2840" s="136" t="str">
        <f t="array" ref="D2840">IF(E2840=0,0,(INDEX(AccountCodes[ACCOUNT NAME],MATCH(E2840,AccountCodes[NGAS CODE],0))))</f>
        <v>Other Bonuses and Allowances - Medical Allowance</v>
      </c>
      <c r="E2840" s="309" t="s">
        <v>5</v>
      </c>
      <c r="F2840" s="501">
        <v>1000</v>
      </c>
    </row>
    <row r="2841" spans="1:6" x14ac:dyDescent="0.25">
      <c r="A2841" s="308">
        <v>43434</v>
      </c>
      <c r="B2841" s="309" t="s">
        <v>486</v>
      </c>
      <c r="C2841" s="309" t="s">
        <v>507</v>
      </c>
      <c r="D2841" s="136" t="str">
        <f t="array" ref="D2841">IF(E2841=0,0,(INDEX(AccountCodes[ACCOUNT NAME],MATCH(E2841,AccountCodes[NGAS CODE],0))))</f>
        <v>Other Bonuses and Allowances - Medical Allowance</v>
      </c>
      <c r="E2841" s="309" t="s">
        <v>5</v>
      </c>
      <c r="F2841" s="501">
        <v>1000</v>
      </c>
    </row>
    <row r="2842" spans="1:6" x14ac:dyDescent="0.25">
      <c r="A2842" s="308">
        <v>43465</v>
      </c>
      <c r="B2842" s="309" t="s">
        <v>486</v>
      </c>
      <c r="C2842" s="309" t="s">
        <v>507</v>
      </c>
      <c r="D2842" s="136" t="str">
        <f t="array" ref="D2842">IF(E2842=0,0,(INDEX(AccountCodes[ACCOUNT NAME],MATCH(E2842,AccountCodes[NGAS CODE],0))))</f>
        <v>Other Bonuses and Allowances - Medical Allowance</v>
      </c>
      <c r="E2842" s="309" t="s">
        <v>5</v>
      </c>
      <c r="F2842" s="501">
        <v>1000</v>
      </c>
    </row>
    <row r="2843" spans="1:6" x14ac:dyDescent="0.25">
      <c r="A2843" s="308">
        <v>43131</v>
      </c>
      <c r="B2843" s="309" t="s">
        <v>486</v>
      </c>
      <c r="C2843" s="309" t="s">
        <v>507</v>
      </c>
      <c r="D2843" s="136" t="str">
        <f t="array" ref="D2843">IF(E2843=0,0,(INDEX(AccountCodes[ACCOUNT NAME],MATCH(E2843,AccountCodes[NGAS CODE],0))))</f>
        <v>Other Bonuses and Allowances - Meal Allowance</v>
      </c>
      <c r="E2843" s="309" t="s">
        <v>6</v>
      </c>
      <c r="F2843" s="501">
        <v>330</v>
      </c>
    </row>
    <row r="2844" spans="1:6" x14ac:dyDescent="0.25">
      <c r="A2844" s="308">
        <v>43159</v>
      </c>
      <c r="B2844" s="309" t="s">
        <v>486</v>
      </c>
      <c r="C2844" s="309" t="s">
        <v>507</v>
      </c>
      <c r="D2844" s="136" t="str">
        <f t="array" ref="D2844">IF(E2844=0,0,(INDEX(AccountCodes[ACCOUNT NAME],MATCH(E2844,AccountCodes[NGAS CODE],0))))</f>
        <v>Other Bonuses and Allowances - Meal Allowance</v>
      </c>
      <c r="E2844" s="309" t="s">
        <v>6</v>
      </c>
      <c r="F2844" s="501">
        <v>330</v>
      </c>
    </row>
    <row r="2845" spans="1:6" x14ac:dyDescent="0.25">
      <c r="A2845" s="308">
        <v>43190</v>
      </c>
      <c r="B2845" s="309" t="s">
        <v>486</v>
      </c>
      <c r="C2845" s="309" t="s">
        <v>507</v>
      </c>
      <c r="D2845" s="136" t="str">
        <f t="array" ref="D2845">IF(E2845=0,0,(INDEX(AccountCodes[ACCOUNT NAME],MATCH(E2845,AccountCodes[NGAS CODE],0))))</f>
        <v>Other Bonuses and Allowances - Meal Allowance</v>
      </c>
      <c r="E2845" s="309" t="s">
        <v>6</v>
      </c>
      <c r="F2845" s="501">
        <v>330</v>
      </c>
    </row>
    <row r="2846" spans="1:6" x14ac:dyDescent="0.25">
      <c r="A2846" s="308">
        <v>43220</v>
      </c>
      <c r="B2846" s="309" t="s">
        <v>486</v>
      </c>
      <c r="C2846" s="309" t="s">
        <v>507</v>
      </c>
      <c r="D2846" s="136" t="str">
        <f t="array" ref="D2846">IF(E2846=0,0,(INDEX(AccountCodes[ACCOUNT NAME],MATCH(E2846,AccountCodes[NGAS CODE],0))))</f>
        <v>Other Bonuses and Allowances - Meal Allowance</v>
      </c>
      <c r="E2846" s="309" t="s">
        <v>6</v>
      </c>
      <c r="F2846" s="501">
        <v>330</v>
      </c>
    </row>
    <row r="2847" spans="1:6" x14ac:dyDescent="0.25">
      <c r="A2847" s="308">
        <v>43251</v>
      </c>
      <c r="B2847" s="309" t="s">
        <v>486</v>
      </c>
      <c r="C2847" s="309" t="s">
        <v>507</v>
      </c>
      <c r="D2847" s="136" t="str">
        <f t="array" ref="D2847">IF(E2847=0,0,(INDEX(AccountCodes[ACCOUNT NAME],MATCH(E2847,AccountCodes[NGAS CODE],0))))</f>
        <v>Other Bonuses and Allowances - Meal Allowance</v>
      </c>
      <c r="E2847" s="309" t="s">
        <v>6</v>
      </c>
      <c r="F2847" s="501">
        <v>330</v>
      </c>
    </row>
    <row r="2848" spans="1:6" x14ac:dyDescent="0.25">
      <c r="A2848" s="308">
        <v>43281</v>
      </c>
      <c r="B2848" s="309" t="s">
        <v>486</v>
      </c>
      <c r="C2848" s="309" t="s">
        <v>507</v>
      </c>
      <c r="D2848" s="136" t="str">
        <f t="array" ref="D2848">IF(E2848=0,0,(INDEX(AccountCodes[ACCOUNT NAME],MATCH(E2848,AccountCodes[NGAS CODE],0))))</f>
        <v>Other Bonuses and Allowances - Meal Allowance</v>
      </c>
      <c r="E2848" s="309" t="s">
        <v>6</v>
      </c>
      <c r="F2848" s="501">
        <v>330</v>
      </c>
    </row>
    <row r="2849" spans="1:6" x14ac:dyDescent="0.25">
      <c r="A2849" s="308">
        <v>43312</v>
      </c>
      <c r="B2849" s="309" t="s">
        <v>486</v>
      </c>
      <c r="C2849" s="309" t="s">
        <v>507</v>
      </c>
      <c r="D2849" s="136" t="str">
        <f t="array" ref="D2849">IF(E2849=0,0,(INDEX(AccountCodes[ACCOUNT NAME],MATCH(E2849,AccountCodes[NGAS CODE],0))))</f>
        <v>Other Bonuses and Allowances - Meal Allowance</v>
      </c>
      <c r="E2849" s="309" t="s">
        <v>6</v>
      </c>
      <c r="F2849" s="501">
        <v>330</v>
      </c>
    </row>
    <row r="2850" spans="1:6" x14ac:dyDescent="0.25">
      <c r="A2850" s="308">
        <v>43343</v>
      </c>
      <c r="B2850" s="309" t="s">
        <v>486</v>
      </c>
      <c r="C2850" s="309" t="s">
        <v>507</v>
      </c>
      <c r="D2850" s="136" t="str">
        <f t="array" ref="D2850">IF(E2850=0,0,(INDEX(AccountCodes[ACCOUNT NAME],MATCH(E2850,AccountCodes[NGAS CODE],0))))</f>
        <v>Other Bonuses and Allowances - Meal Allowance</v>
      </c>
      <c r="E2850" s="309" t="s">
        <v>6</v>
      </c>
      <c r="F2850" s="501">
        <v>330</v>
      </c>
    </row>
    <row r="2851" spans="1:6" x14ac:dyDescent="0.25">
      <c r="A2851" s="308">
        <v>43373</v>
      </c>
      <c r="B2851" s="309" t="s">
        <v>486</v>
      </c>
      <c r="C2851" s="309" t="s">
        <v>507</v>
      </c>
      <c r="D2851" s="136" t="str">
        <f t="array" ref="D2851">IF(E2851=0,0,(INDEX(AccountCodes[ACCOUNT NAME],MATCH(E2851,AccountCodes[NGAS CODE],0))))</f>
        <v>Other Bonuses and Allowances - Meal Allowance</v>
      </c>
      <c r="E2851" s="309" t="s">
        <v>6</v>
      </c>
      <c r="F2851" s="501">
        <v>330</v>
      </c>
    </row>
    <row r="2852" spans="1:6" x14ac:dyDescent="0.25">
      <c r="A2852" s="308">
        <v>43404</v>
      </c>
      <c r="B2852" s="309" t="s">
        <v>486</v>
      </c>
      <c r="C2852" s="309" t="s">
        <v>507</v>
      </c>
      <c r="D2852" s="136" t="str">
        <f t="array" ref="D2852">IF(E2852=0,0,(INDEX(AccountCodes[ACCOUNT NAME],MATCH(E2852,AccountCodes[NGAS CODE],0))))</f>
        <v>Other Bonuses and Allowances - Meal Allowance</v>
      </c>
      <c r="E2852" s="309" t="s">
        <v>6</v>
      </c>
      <c r="F2852" s="501">
        <v>330</v>
      </c>
    </row>
    <row r="2853" spans="1:6" x14ac:dyDescent="0.25">
      <c r="A2853" s="308">
        <v>43434</v>
      </c>
      <c r="B2853" s="309" t="s">
        <v>486</v>
      </c>
      <c r="C2853" s="309" t="s">
        <v>507</v>
      </c>
      <c r="D2853" s="136" t="str">
        <f t="array" ref="D2853">IF(E2853=0,0,(INDEX(AccountCodes[ACCOUNT NAME],MATCH(E2853,AccountCodes[NGAS CODE],0))))</f>
        <v>Other Bonuses and Allowances - Meal Allowance</v>
      </c>
      <c r="E2853" s="309" t="s">
        <v>6</v>
      </c>
      <c r="F2853" s="501">
        <v>330</v>
      </c>
    </row>
    <row r="2854" spans="1:6" x14ac:dyDescent="0.25">
      <c r="A2854" s="308">
        <v>43465</v>
      </c>
      <c r="B2854" s="309" t="s">
        <v>486</v>
      </c>
      <c r="C2854" s="309" t="s">
        <v>507</v>
      </c>
      <c r="D2854" s="136" t="str">
        <f t="array" ref="D2854">IF(E2854=0,0,(INDEX(AccountCodes[ACCOUNT NAME],MATCH(E2854,AccountCodes[NGAS CODE],0))))</f>
        <v>Other Bonuses and Allowances - Meal Allowance</v>
      </c>
      <c r="E2854" s="309" t="s">
        <v>6</v>
      </c>
      <c r="F2854" s="501">
        <v>330</v>
      </c>
    </row>
    <row r="2855" spans="1:6" x14ac:dyDescent="0.25">
      <c r="A2855" s="308">
        <v>43434</v>
      </c>
      <c r="B2855" s="309" t="s">
        <v>486</v>
      </c>
      <c r="C2855" s="309" t="s">
        <v>507</v>
      </c>
      <c r="D2855" s="136" t="str">
        <f t="array" ref="D2855">IF(E2855=0,0,(INDEX(AccountCodes[ACCOUNT NAME],MATCH(E2855,AccountCodes[NGAS CODE],0))))</f>
        <v>Cash Gift</v>
      </c>
      <c r="E2855" s="309" t="s">
        <v>172</v>
      </c>
      <c r="F2855" s="501">
        <v>90000</v>
      </c>
    </row>
    <row r="2856" spans="1:6" x14ac:dyDescent="0.25">
      <c r="A2856" s="308">
        <v>43251</v>
      </c>
      <c r="B2856" s="309" t="s">
        <v>486</v>
      </c>
      <c r="C2856" s="309" t="s">
        <v>507</v>
      </c>
      <c r="D2856" s="136" t="str">
        <f t="array" ref="D2856">IF(E2856=0,0,(INDEX(AccountCodes[ACCOUNT NAME],MATCH(E2856,AccountCodes[NGAS CODE],0))))</f>
        <v>Mid-Year/Year End Bonus</v>
      </c>
      <c r="E2856" s="309" t="s">
        <v>174</v>
      </c>
      <c r="F2856" s="501">
        <v>387277</v>
      </c>
    </row>
    <row r="2857" spans="1:6" x14ac:dyDescent="0.25">
      <c r="A2857" s="308">
        <v>43434</v>
      </c>
      <c r="B2857" s="309" t="s">
        <v>486</v>
      </c>
      <c r="C2857" s="309" t="s">
        <v>507</v>
      </c>
      <c r="D2857" s="136" t="str">
        <f t="array" ref="D2857">IF(E2857=0,0,(INDEX(AccountCodes[ACCOUNT NAME],MATCH(E2857,AccountCodes[NGAS CODE],0))))</f>
        <v>Mid-Year/Year End Bonus</v>
      </c>
      <c r="E2857" s="309" t="s">
        <v>174</v>
      </c>
      <c r="F2857" s="501">
        <v>387277</v>
      </c>
    </row>
    <row r="2858" spans="1:6" x14ac:dyDescent="0.25">
      <c r="A2858" s="308">
        <v>43131</v>
      </c>
      <c r="B2858" s="309" t="s">
        <v>486</v>
      </c>
      <c r="C2858" s="309" t="s">
        <v>507</v>
      </c>
      <c r="D2858" s="136" t="str">
        <f t="array" ref="D2858">IF(E2858=0,0,(INDEX(AccountCodes[ACCOUNT NAME],MATCH(E2858,AccountCodes[NGAS CODE],0))))</f>
        <v>Retirement and Life Insurance Premiums</v>
      </c>
      <c r="E2858" s="309" t="s">
        <v>175</v>
      </c>
      <c r="F2858" s="501">
        <v>46473.24</v>
      </c>
    </row>
    <row r="2859" spans="1:6" x14ac:dyDescent="0.25">
      <c r="A2859" s="308">
        <v>43159</v>
      </c>
      <c r="B2859" s="309" t="s">
        <v>486</v>
      </c>
      <c r="C2859" s="309" t="s">
        <v>507</v>
      </c>
      <c r="D2859" s="136" t="str">
        <f t="array" ref="D2859">IF(E2859=0,0,(INDEX(AccountCodes[ACCOUNT NAME],MATCH(E2859,AccountCodes[NGAS CODE],0))))</f>
        <v>Retirement and Life Insurance Premiums</v>
      </c>
      <c r="E2859" s="309" t="s">
        <v>175</v>
      </c>
      <c r="F2859" s="501">
        <v>46473.24</v>
      </c>
    </row>
    <row r="2860" spans="1:6" x14ac:dyDescent="0.25">
      <c r="A2860" s="308">
        <v>43190</v>
      </c>
      <c r="B2860" s="309" t="s">
        <v>486</v>
      </c>
      <c r="C2860" s="309" t="s">
        <v>507</v>
      </c>
      <c r="D2860" s="136" t="str">
        <f t="array" ref="D2860">IF(E2860=0,0,(INDEX(AccountCodes[ACCOUNT NAME],MATCH(E2860,AccountCodes[NGAS CODE],0))))</f>
        <v>Retirement and Life Insurance Premiums</v>
      </c>
      <c r="E2860" s="309" t="s">
        <v>175</v>
      </c>
      <c r="F2860" s="501">
        <v>46473.24</v>
      </c>
    </row>
    <row r="2861" spans="1:6" x14ac:dyDescent="0.25">
      <c r="A2861" s="308">
        <v>43220</v>
      </c>
      <c r="B2861" s="309" t="s">
        <v>486</v>
      </c>
      <c r="C2861" s="309" t="s">
        <v>507</v>
      </c>
      <c r="D2861" s="136" t="str">
        <f t="array" ref="D2861">IF(E2861=0,0,(INDEX(AccountCodes[ACCOUNT NAME],MATCH(E2861,AccountCodes[NGAS CODE],0))))</f>
        <v>Retirement and Life Insurance Premiums</v>
      </c>
      <c r="E2861" s="309" t="s">
        <v>175</v>
      </c>
      <c r="F2861" s="501">
        <v>46473.24</v>
      </c>
    </row>
    <row r="2862" spans="1:6" x14ac:dyDescent="0.25">
      <c r="A2862" s="308">
        <v>43251</v>
      </c>
      <c r="B2862" s="309" t="s">
        <v>486</v>
      </c>
      <c r="C2862" s="309" t="s">
        <v>507</v>
      </c>
      <c r="D2862" s="136" t="str">
        <f t="array" ref="D2862">IF(E2862=0,0,(INDEX(AccountCodes[ACCOUNT NAME],MATCH(E2862,AccountCodes[NGAS CODE],0))))</f>
        <v>Retirement and Life Insurance Premiums</v>
      </c>
      <c r="E2862" s="309" t="s">
        <v>175</v>
      </c>
      <c r="F2862" s="501">
        <v>46473.24</v>
      </c>
    </row>
    <row r="2863" spans="1:6" x14ac:dyDescent="0.25">
      <c r="A2863" s="308">
        <v>43281</v>
      </c>
      <c r="B2863" s="309" t="s">
        <v>486</v>
      </c>
      <c r="C2863" s="309" t="s">
        <v>507</v>
      </c>
      <c r="D2863" s="136" t="str">
        <f t="array" ref="D2863">IF(E2863=0,0,(INDEX(AccountCodes[ACCOUNT NAME],MATCH(E2863,AccountCodes[NGAS CODE],0))))</f>
        <v>Retirement and Life Insurance Premiums</v>
      </c>
      <c r="E2863" s="309" t="s">
        <v>175</v>
      </c>
      <c r="F2863" s="501">
        <v>46473.24</v>
      </c>
    </row>
    <row r="2864" spans="1:6" x14ac:dyDescent="0.25">
      <c r="A2864" s="308">
        <v>43312</v>
      </c>
      <c r="B2864" s="309" t="s">
        <v>486</v>
      </c>
      <c r="C2864" s="309" t="s">
        <v>507</v>
      </c>
      <c r="D2864" s="136" t="str">
        <f t="array" ref="D2864">IF(E2864=0,0,(INDEX(AccountCodes[ACCOUNT NAME],MATCH(E2864,AccountCodes[NGAS CODE],0))))</f>
        <v>Retirement and Life Insurance Premiums</v>
      </c>
      <c r="E2864" s="309" t="s">
        <v>175</v>
      </c>
      <c r="F2864" s="501">
        <v>46473.24</v>
      </c>
    </row>
    <row r="2865" spans="1:6" x14ac:dyDescent="0.25">
      <c r="A2865" s="308">
        <v>43343</v>
      </c>
      <c r="B2865" s="309" t="s">
        <v>486</v>
      </c>
      <c r="C2865" s="309" t="s">
        <v>507</v>
      </c>
      <c r="D2865" s="136" t="str">
        <f t="array" ref="D2865">IF(E2865=0,0,(INDEX(AccountCodes[ACCOUNT NAME],MATCH(E2865,AccountCodes[NGAS CODE],0))))</f>
        <v>Retirement and Life Insurance Premiums</v>
      </c>
      <c r="E2865" s="309" t="s">
        <v>175</v>
      </c>
      <c r="F2865" s="501">
        <v>46473.24</v>
      </c>
    </row>
    <row r="2866" spans="1:6" x14ac:dyDescent="0.25">
      <c r="A2866" s="308">
        <v>43373</v>
      </c>
      <c r="B2866" s="309" t="s">
        <v>486</v>
      </c>
      <c r="C2866" s="309" t="s">
        <v>507</v>
      </c>
      <c r="D2866" s="136" t="str">
        <f t="array" ref="D2866">IF(E2866=0,0,(INDEX(AccountCodes[ACCOUNT NAME],MATCH(E2866,AccountCodes[NGAS CODE],0))))</f>
        <v>Retirement and Life Insurance Premiums</v>
      </c>
      <c r="E2866" s="309" t="s">
        <v>175</v>
      </c>
      <c r="F2866" s="501">
        <v>46473.24</v>
      </c>
    </row>
    <row r="2867" spans="1:6" x14ac:dyDescent="0.25">
      <c r="A2867" s="308">
        <v>43404</v>
      </c>
      <c r="B2867" s="309" t="s">
        <v>486</v>
      </c>
      <c r="C2867" s="309" t="s">
        <v>507</v>
      </c>
      <c r="D2867" s="136" t="str">
        <f t="array" ref="D2867">IF(E2867=0,0,(INDEX(AccountCodes[ACCOUNT NAME],MATCH(E2867,AccountCodes[NGAS CODE],0))))</f>
        <v>Retirement and Life Insurance Premiums</v>
      </c>
      <c r="E2867" s="309" t="s">
        <v>175</v>
      </c>
      <c r="F2867" s="501">
        <v>46473.24</v>
      </c>
    </row>
    <row r="2868" spans="1:6" x14ac:dyDescent="0.25">
      <c r="A2868" s="308">
        <v>43434</v>
      </c>
      <c r="B2868" s="309" t="s">
        <v>486</v>
      </c>
      <c r="C2868" s="309" t="s">
        <v>507</v>
      </c>
      <c r="D2868" s="136" t="str">
        <f t="array" ref="D2868">IF(E2868=0,0,(INDEX(AccountCodes[ACCOUNT NAME],MATCH(E2868,AccountCodes[NGAS CODE],0))))</f>
        <v>Retirement and Life Insurance Premiums</v>
      </c>
      <c r="E2868" s="309" t="s">
        <v>175</v>
      </c>
      <c r="F2868" s="501">
        <v>46473.24</v>
      </c>
    </row>
    <row r="2869" spans="1:6" x14ac:dyDescent="0.25">
      <c r="A2869" s="308">
        <v>43465</v>
      </c>
      <c r="B2869" s="309" t="s">
        <v>486</v>
      </c>
      <c r="C2869" s="309" t="s">
        <v>507</v>
      </c>
      <c r="D2869" s="136" t="str">
        <f t="array" ref="D2869">IF(E2869=0,0,(INDEX(AccountCodes[ACCOUNT NAME],MATCH(E2869,AccountCodes[NGAS CODE],0))))</f>
        <v>Retirement and Life Insurance Premiums</v>
      </c>
      <c r="E2869" s="309" t="s">
        <v>175</v>
      </c>
      <c r="F2869" s="501">
        <v>46473.24</v>
      </c>
    </row>
    <row r="2870" spans="1:6" x14ac:dyDescent="0.25">
      <c r="A2870" s="308">
        <v>43131</v>
      </c>
      <c r="B2870" s="309" t="s">
        <v>486</v>
      </c>
      <c r="C2870" s="309" t="s">
        <v>507</v>
      </c>
      <c r="D2870" s="136" t="str">
        <f t="array" ref="D2870">IF(E2870=0,0,(INDEX(AccountCodes[ACCOUNT NAME],MATCH(E2870,AccountCodes[NGAS CODE],0))))</f>
        <v>Pag-IBIG Contributions</v>
      </c>
      <c r="E2870" s="309" t="s">
        <v>176</v>
      </c>
      <c r="F2870" s="501">
        <v>1800</v>
      </c>
    </row>
    <row r="2871" spans="1:6" x14ac:dyDescent="0.25">
      <c r="A2871" s="308">
        <v>43159</v>
      </c>
      <c r="B2871" s="309" t="s">
        <v>486</v>
      </c>
      <c r="C2871" s="309" t="s">
        <v>507</v>
      </c>
      <c r="D2871" s="136" t="str">
        <f t="array" ref="D2871">IF(E2871=0,0,(INDEX(AccountCodes[ACCOUNT NAME],MATCH(E2871,AccountCodes[NGAS CODE],0))))</f>
        <v>Pag-IBIG Contributions</v>
      </c>
      <c r="E2871" s="309" t="s">
        <v>176</v>
      </c>
      <c r="F2871" s="501">
        <v>1800</v>
      </c>
    </row>
    <row r="2872" spans="1:6" x14ac:dyDescent="0.25">
      <c r="A2872" s="308">
        <v>43190</v>
      </c>
      <c r="B2872" s="309" t="s">
        <v>486</v>
      </c>
      <c r="C2872" s="309" t="s">
        <v>507</v>
      </c>
      <c r="D2872" s="136" t="str">
        <f t="array" ref="D2872">IF(E2872=0,0,(INDEX(AccountCodes[ACCOUNT NAME],MATCH(E2872,AccountCodes[NGAS CODE],0))))</f>
        <v>Pag-IBIG Contributions</v>
      </c>
      <c r="E2872" s="309" t="s">
        <v>176</v>
      </c>
      <c r="F2872" s="501">
        <v>1800</v>
      </c>
    </row>
    <row r="2873" spans="1:6" x14ac:dyDescent="0.25">
      <c r="A2873" s="308">
        <v>43220</v>
      </c>
      <c r="B2873" s="309" t="s">
        <v>486</v>
      </c>
      <c r="C2873" s="309" t="s">
        <v>507</v>
      </c>
      <c r="D2873" s="136" t="str">
        <f t="array" ref="D2873">IF(E2873=0,0,(INDEX(AccountCodes[ACCOUNT NAME],MATCH(E2873,AccountCodes[NGAS CODE],0))))</f>
        <v>Pag-IBIG Contributions</v>
      </c>
      <c r="E2873" s="309" t="s">
        <v>176</v>
      </c>
      <c r="F2873" s="501">
        <v>1800</v>
      </c>
    </row>
    <row r="2874" spans="1:6" x14ac:dyDescent="0.25">
      <c r="A2874" s="308">
        <v>43251</v>
      </c>
      <c r="B2874" s="309" t="s">
        <v>486</v>
      </c>
      <c r="C2874" s="309" t="s">
        <v>507</v>
      </c>
      <c r="D2874" s="136" t="str">
        <f t="array" ref="D2874">IF(E2874=0,0,(INDEX(AccountCodes[ACCOUNT NAME],MATCH(E2874,AccountCodes[NGAS CODE],0))))</f>
        <v>Pag-IBIG Contributions</v>
      </c>
      <c r="E2874" s="309" t="s">
        <v>176</v>
      </c>
      <c r="F2874" s="501">
        <v>1800</v>
      </c>
    </row>
    <row r="2875" spans="1:6" x14ac:dyDescent="0.25">
      <c r="A2875" s="308">
        <v>43281</v>
      </c>
      <c r="B2875" s="309" t="s">
        <v>486</v>
      </c>
      <c r="C2875" s="309" t="s">
        <v>507</v>
      </c>
      <c r="D2875" s="136" t="str">
        <f t="array" ref="D2875">IF(E2875=0,0,(INDEX(AccountCodes[ACCOUNT NAME],MATCH(E2875,AccountCodes[NGAS CODE],0))))</f>
        <v>Pag-IBIG Contributions</v>
      </c>
      <c r="E2875" s="309" t="s">
        <v>176</v>
      </c>
      <c r="F2875" s="501">
        <v>1800</v>
      </c>
    </row>
    <row r="2876" spans="1:6" x14ac:dyDescent="0.25">
      <c r="A2876" s="308">
        <v>43312</v>
      </c>
      <c r="B2876" s="309" t="s">
        <v>486</v>
      </c>
      <c r="C2876" s="309" t="s">
        <v>507</v>
      </c>
      <c r="D2876" s="136" t="str">
        <f t="array" ref="D2876">IF(E2876=0,0,(INDEX(AccountCodes[ACCOUNT NAME],MATCH(E2876,AccountCodes[NGAS CODE],0))))</f>
        <v>Pag-IBIG Contributions</v>
      </c>
      <c r="E2876" s="309" t="s">
        <v>176</v>
      </c>
      <c r="F2876" s="501">
        <v>1800</v>
      </c>
    </row>
    <row r="2877" spans="1:6" x14ac:dyDescent="0.25">
      <c r="A2877" s="308">
        <v>43343</v>
      </c>
      <c r="B2877" s="309" t="s">
        <v>486</v>
      </c>
      <c r="C2877" s="309" t="s">
        <v>507</v>
      </c>
      <c r="D2877" s="136" t="str">
        <f t="array" ref="D2877">IF(E2877=0,0,(INDEX(AccountCodes[ACCOUNT NAME],MATCH(E2877,AccountCodes[NGAS CODE],0))))</f>
        <v>Pag-IBIG Contributions</v>
      </c>
      <c r="E2877" s="309" t="s">
        <v>176</v>
      </c>
      <c r="F2877" s="501">
        <v>1800</v>
      </c>
    </row>
    <row r="2878" spans="1:6" x14ac:dyDescent="0.25">
      <c r="A2878" s="308">
        <v>43373</v>
      </c>
      <c r="B2878" s="309" t="s">
        <v>486</v>
      </c>
      <c r="C2878" s="309" t="s">
        <v>507</v>
      </c>
      <c r="D2878" s="136" t="str">
        <f t="array" ref="D2878">IF(E2878=0,0,(INDEX(AccountCodes[ACCOUNT NAME],MATCH(E2878,AccountCodes[NGAS CODE],0))))</f>
        <v>Pag-IBIG Contributions</v>
      </c>
      <c r="E2878" s="309" t="s">
        <v>176</v>
      </c>
      <c r="F2878" s="501">
        <v>1800</v>
      </c>
    </row>
    <row r="2879" spans="1:6" x14ac:dyDescent="0.25">
      <c r="A2879" s="308">
        <v>43404</v>
      </c>
      <c r="B2879" s="309" t="s">
        <v>486</v>
      </c>
      <c r="C2879" s="309" t="s">
        <v>507</v>
      </c>
      <c r="D2879" s="136" t="str">
        <f t="array" ref="D2879">IF(E2879=0,0,(INDEX(AccountCodes[ACCOUNT NAME],MATCH(E2879,AccountCodes[NGAS CODE],0))))</f>
        <v>Pag-IBIG Contributions</v>
      </c>
      <c r="E2879" s="309" t="s">
        <v>176</v>
      </c>
      <c r="F2879" s="501">
        <v>1800</v>
      </c>
    </row>
    <row r="2880" spans="1:6" x14ac:dyDescent="0.25">
      <c r="A2880" s="308">
        <v>43434</v>
      </c>
      <c r="B2880" s="309" t="s">
        <v>486</v>
      </c>
      <c r="C2880" s="309" t="s">
        <v>507</v>
      </c>
      <c r="D2880" s="136" t="str">
        <f t="array" ref="D2880">IF(E2880=0,0,(INDEX(AccountCodes[ACCOUNT NAME],MATCH(E2880,AccountCodes[NGAS CODE],0))))</f>
        <v>Pag-IBIG Contributions</v>
      </c>
      <c r="E2880" s="309" t="s">
        <v>176</v>
      </c>
      <c r="F2880" s="501">
        <v>1800</v>
      </c>
    </row>
    <row r="2881" spans="1:6" x14ac:dyDescent="0.25">
      <c r="A2881" s="308">
        <v>43465</v>
      </c>
      <c r="B2881" s="309" t="s">
        <v>486</v>
      </c>
      <c r="C2881" s="309" t="s">
        <v>507</v>
      </c>
      <c r="D2881" s="136" t="str">
        <f t="array" ref="D2881">IF(E2881=0,0,(INDEX(AccountCodes[ACCOUNT NAME],MATCH(E2881,AccountCodes[NGAS CODE],0))))</f>
        <v>Pag-IBIG Contributions</v>
      </c>
      <c r="E2881" s="309" t="s">
        <v>176</v>
      </c>
      <c r="F2881" s="501">
        <v>1800</v>
      </c>
    </row>
    <row r="2882" spans="1:6" x14ac:dyDescent="0.25">
      <c r="A2882" s="308">
        <v>43131</v>
      </c>
      <c r="B2882" s="309" t="s">
        <v>486</v>
      </c>
      <c r="C2882" s="309" t="s">
        <v>507</v>
      </c>
      <c r="D2882" s="136" t="str">
        <f t="array" ref="D2882">IF(E2882=0,0,(INDEX(AccountCodes[ACCOUNT NAME],MATCH(E2882,AccountCodes[NGAS CODE],0))))</f>
        <v>PhilHealth Contributions</v>
      </c>
      <c r="E2882" s="309" t="s">
        <v>177</v>
      </c>
      <c r="F2882" s="501">
        <v>4537.5</v>
      </c>
    </row>
    <row r="2883" spans="1:6" x14ac:dyDescent="0.25">
      <c r="A2883" s="308">
        <v>43159</v>
      </c>
      <c r="B2883" s="309" t="s">
        <v>486</v>
      </c>
      <c r="C2883" s="309" t="s">
        <v>507</v>
      </c>
      <c r="D2883" s="136" t="str">
        <f t="array" ref="D2883">IF(E2883=0,0,(INDEX(AccountCodes[ACCOUNT NAME],MATCH(E2883,AccountCodes[NGAS CODE],0))))</f>
        <v>PhilHealth Contributions</v>
      </c>
      <c r="E2883" s="309" t="s">
        <v>177</v>
      </c>
      <c r="F2883" s="501">
        <v>4537.5</v>
      </c>
    </row>
    <row r="2884" spans="1:6" x14ac:dyDescent="0.25">
      <c r="A2884" s="308">
        <v>43190</v>
      </c>
      <c r="B2884" s="309" t="s">
        <v>486</v>
      </c>
      <c r="C2884" s="309" t="s">
        <v>507</v>
      </c>
      <c r="D2884" s="136" t="str">
        <f t="array" ref="D2884">IF(E2884=0,0,(INDEX(AccountCodes[ACCOUNT NAME],MATCH(E2884,AccountCodes[NGAS CODE],0))))</f>
        <v>PhilHealth Contributions</v>
      </c>
      <c r="E2884" s="309" t="s">
        <v>177</v>
      </c>
      <c r="F2884" s="501">
        <v>4537.5</v>
      </c>
    </row>
    <row r="2885" spans="1:6" x14ac:dyDescent="0.25">
      <c r="A2885" s="308">
        <v>43220</v>
      </c>
      <c r="B2885" s="309" t="s">
        <v>486</v>
      </c>
      <c r="C2885" s="309" t="s">
        <v>507</v>
      </c>
      <c r="D2885" s="136" t="str">
        <f t="array" ref="D2885">IF(E2885=0,0,(INDEX(AccountCodes[ACCOUNT NAME],MATCH(E2885,AccountCodes[NGAS CODE],0))))</f>
        <v>PhilHealth Contributions</v>
      </c>
      <c r="E2885" s="309" t="s">
        <v>177</v>
      </c>
      <c r="F2885" s="501">
        <v>4537.5</v>
      </c>
    </row>
    <row r="2886" spans="1:6" x14ac:dyDescent="0.25">
      <c r="A2886" s="308">
        <v>43251</v>
      </c>
      <c r="B2886" s="309" t="s">
        <v>486</v>
      </c>
      <c r="C2886" s="309" t="s">
        <v>507</v>
      </c>
      <c r="D2886" s="136" t="str">
        <f t="array" ref="D2886">IF(E2886=0,0,(INDEX(AccountCodes[ACCOUNT NAME],MATCH(E2886,AccountCodes[NGAS CODE],0))))</f>
        <v>PhilHealth Contributions</v>
      </c>
      <c r="E2886" s="309" t="s">
        <v>177</v>
      </c>
      <c r="F2886" s="501">
        <v>4537.5</v>
      </c>
    </row>
    <row r="2887" spans="1:6" x14ac:dyDescent="0.25">
      <c r="A2887" s="308">
        <v>43281</v>
      </c>
      <c r="B2887" s="309" t="s">
        <v>486</v>
      </c>
      <c r="C2887" s="309" t="s">
        <v>507</v>
      </c>
      <c r="D2887" s="136" t="str">
        <f t="array" ref="D2887">IF(E2887=0,0,(INDEX(AccountCodes[ACCOUNT NAME],MATCH(E2887,AccountCodes[NGAS CODE],0))))</f>
        <v>PhilHealth Contributions</v>
      </c>
      <c r="E2887" s="309" t="s">
        <v>177</v>
      </c>
      <c r="F2887" s="501">
        <v>4537.5</v>
      </c>
    </row>
    <row r="2888" spans="1:6" x14ac:dyDescent="0.25">
      <c r="A2888" s="308">
        <v>43312</v>
      </c>
      <c r="B2888" s="309" t="s">
        <v>486</v>
      </c>
      <c r="C2888" s="309" t="s">
        <v>507</v>
      </c>
      <c r="D2888" s="136" t="str">
        <f t="array" ref="D2888">IF(E2888=0,0,(INDEX(AccountCodes[ACCOUNT NAME],MATCH(E2888,AccountCodes[NGAS CODE],0))))</f>
        <v>PhilHealth Contributions</v>
      </c>
      <c r="E2888" s="309" t="s">
        <v>177</v>
      </c>
      <c r="F2888" s="501">
        <v>4537.5</v>
      </c>
    </row>
    <row r="2889" spans="1:6" x14ac:dyDescent="0.25">
      <c r="A2889" s="308">
        <v>43343</v>
      </c>
      <c r="B2889" s="309" t="s">
        <v>486</v>
      </c>
      <c r="C2889" s="309" t="s">
        <v>507</v>
      </c>
      <c r="D2889" s="136" t="str">
        <f t="array" ref="D2889">IF(E2889=0,0,(INDEX(AccountCodes[ACCOUNT NAME],MATCH(E2889,AccountCodes[NGAS CODE],0))))</f>
        <v>PhilHealth Contributions</v>
      </c>
      <c r="E2889" s="309" t="s">
        <v>177</v>
      </c>
      <c r="F2889" s="501">
        <v>4537.5</v>
      </c>
    </row>
    <row r="2890" spans="1:6" x14ac:dyDescent="0.25">
      <c r="A2890" s="308">
        <v>43373</v>
      </c>
      <c r="B2890" s="309" t="s">
        <v>486</v>
      </c>
      <c r="C2890" s="309" t="s">
        <v>507</v>
      </c>
      <c r="D2890" s="136" t="str">
        <f t="array" ref="D2890">IF(E2890=0,0,(INDEX(AccountCodes[ACCOUNT NAME],MATCH(E2890,AccountCodes[NGAS CODE],0))))</f>
        <v>PhilHealth Contributions</v>
      </c>
      <c r="E2890" s="309" t="s">
        <v>177</v>
      </c>
      <c r="F2890" s="501">
        <v>4537.5</v>
      </c>
    </row>
    <row r="2891" spans="1:6" x14ac:dyDescent="0.25">
      <c r="A2891" s="308">
        <v>43404</v>
      </c>
      <c r="B2891" s="309" t="s">
        <v>486</v>
      </c>
      <c r="C2891" s="309" t="s">
        <v>507</v>
      </c>
      <c r="D2891" s="136" t="str">
        <f t="array" ref="D2891">IF(E2891=0,0,(INDEX(AccountCodes[ACCOUNT NAME],MATCH(E2891,AccountCodes[NGAS CODE],0))))</f>
        <v>PhilHealth Contributions</v>
      </c>
      <c r="E2891" s="309" t="s">
        <v>177</v>
      </c>
      <c r="F2891" s="501">
        <v>4537.5</v>
      </c>
    </row>
    <row r="2892" spans="1:6" x14ac:dyDescent="0.25">
      <c r="A2892" s="308">
        <v>43434</v>
      </c>
      <c r="B2892" s="309" t="s">
        <v>486</v>
      </c>
      <c r="C2892" s="309" t="s">
        <v>507</v>
      </c>
      <c r="D2892" s="136" t="str">
        <f t="array" ref="D2892">IF(E2892=0,0,(INDEX(AccountCodes[ACCOUNT NAME],MATCH(E2892,AccountCodes[NGAS CODE],0))))</f>
        <v>PhilHealth Contributions</v>
      </c>
      <c r="E2892" s="309" t="s">
        <v>177</v>
      </c>
      <c r="F2892" s="501">
        <v>4537.5</v>
      </c>
    </row>
    <row r="2893" spans="1:6" x14ac:dyDescent="0.25">
      <c r="A2893" s="308">
        <v>43465</v>
      </c>
      <c r="B2893" s="309" t="s">
        <v>486</v>
      </c>
      <c r="C2893" s="309" t="s">
        <v>507</v>
      </c>
      <c r="D2893" s="136" t="str">
        <f t="array" ref="D2893">IF(E2893=0,0,(INDEX(AccountCodes[ACCOUNT NAME],MATCH(E2893,AccountCodes[NGAS CODE],0))))</f>
        <v>PhilHealth Contributions</v>
      </c>
      <c r="E2893" s="309" t="s">
        <v>177</v>
      </c>
      <c r="F2893" s="501">
        <v>4537.5</v>
      </c>
    </row>
    <row r="2894" spans="1:6" x14ac:dyDescent="0.25">
      <c r="A2894" s="308">
        <v>43131</v>
      </c>
      <c r="B2894" s="309" t="s">
        <v>486</v>
      </c>
      <c r="C2894" s="309" t="s">
        <v>507</v>
      </c>
      <c r="D2894" s="136" t="str">
        <f t="array" ref="D2894">IF(E2894=0,0,(INDEX(AccountCodes[ACCOUNT NAME],MATCH(E2894,AccountCodes[NGAS CODE],0))))</f>
        <v>Employees Compensation Insurance Premiums</v>
      </c>
      <c r="E2894" s="309" t="s">
        <v>178</v>
      </c>
      <c r="F2894" s="501">
        <v>1800</v>
      </c>
    </row>
    <row r="2895" spans="1:6" x14ac:dyDescent="0.25">
      <c r="A2895" s="308">
        <v>43159</v>
      </c>
      <c r="B2895" s="309" t="s">
        <v>486</v>
      </c>
      <c r="C2895" s="309" t="s">
        <v>507</v>
      </c>
      <c r="D2895" s="136" t="str">
        <f t="array" ref="D2895">IF(E2895=0,0,(INDEX(AccountCodes[ACCOUNT NAME],MATCH(E2895,AccountCodes[NGAS CODE],0))))</f>
        <v>Employees Compensation Insurance Premiums</v>
      </c>
      <c r="E2895" s="309" t="s">
        <v>178</v>
      </c>
      <c r="F2895" s="501">
        <v>1800</v>
      </c>
    </row>
    <row r="2896" spans="1:6" x14ac:dyDescent="0.25">
      <c r="A2896" s="308">
        <v>43190</v>
      </c>
      <c r="B2896" s="309" t="s">
        <v>486</v>
      </c>
      <c r="C2896" s="309" t="s">
        <v>507</v>
      </c>
      <c r="D2896" s="136" t="str">
        <f t="array" ref="D2896">IF(E2896=0,0,(INDEX(AccountCodes[ACCOUNT NAME],MATCH(E2896,AccountCodes[NGAS CODE],0))))</f>
        <v>Employees Compensation Insurance Premiums</v>
      </c>
      <c r="E2896" s="309" t="s">
        <v>178</v>
      </c>
      <c r="F2896" s="501">
        <v>1800</v>
      </c>
    </row>
    <row r="2897" spans="1:6" x14ac:dyDescent="0.25">
      <c r="A2897" s="308">
        <v>43220</v>
      </c>
      <c r="B2897" s="309" t="s">
        <v>486</v>
      </c>
      <c r="C2897" s="309" t="s">
        <v>507</v>
      </c>
      <c r="D2897" s="136" t="str">
        <f t="array" ref="D2897">IF(E2897=0,0,(INDEX(AccountCodes[ACCOUNT NAME],MATCH(E2897,AccountCodes[NGAS CODE],0))))</f>
        <v>Employees Compensation Insurance Premiums</v>
      </c>
      <c r="E2897" s="309" t="s">
        <v>178</v>
      </c>
      <c r="F2897" s="501">
        <v>1800</v>
      </c>
    </row>
    <row r="2898" spans="1:6" x14ac:dyDescent="0.25">
      <c r="A2898" s="308">
        <v>43251</v>
      </c>
      <c r="B2898" s="309" t="s">
        <v>486</v>
      </c>
      <c r="C2898" s="309" t="s">
        <v>507</v>
      </c>
      <c r="D2898" s="136" t="str">
        <f t="array" ref="D2898">IF(E2898=0,0,(INDEX(AccountCodes[ACCOUNT NAME],MATCH(E2898,AccountCodes[NGAS CODE],0))))</f>
        <v>Employees Compensation Insurance Premiums</v>
      </c>
      <c r="E2898" s="309" t="s">
        <v>178</v>
      </c>
      <c r="F2898" s="501">
        <v>1800</v>
      </c>
    </row>
    <row r="2899" spans="1:6" x14ac:dyDescent="0.25">
      <c r="A2899" s="308">
        <v>43281</v>
      </c>
      <c r="B2899" s="309" t="s">
        <v>486</v>
      </c>
      <c r="C2899" s="309" t="s">
        <v>507</v>
      </c>
      <c r="D2899" s="136" t="str">
        <f t="array" ref="D2899">IF(E2899=0,0,(INDEX(AccountCodes[ACCOUNT NAME],MATCH(E2899,AccountCodes[NGAS CODE],0))))</f>
        <v>Employees Compensation Insurance Premiums</v>
      </c>
      <c r="E2899" s="309" t="s">
        <v>178</v>
      </c>
      <c r="F2899" s="501">
        <v>1800</v>
      </c>
    </row>
    <row r="2900" spans="1:6" x14ac:dyDescent="0.25">
      <c r="A2900" s="308">
        <v>43312</v>
      </c>
      <c r="B2900" s="309" t="s">
        <v>486</v>
      </c>
      <c r="C2900" s="309" t="s">
        <v>507</v>
      </c>
      <c r="D2900" s="136" t="str">
        <f t="array" ref="D2900">IF(E2900=0,0,(INDEX(AccountCodes[ACCOUNT NAME],MATCH(E2900,AccountCodes[NGAS CODE],0))))</f>
        <v>Employees Compensation Insurance Premiums</v>
      </c>
      <c r="E2900" s="309" t="s">
        <v>178</v>
      </c>
      <c r="F2900" s="501">
        <v>1800</v>
      </c>
    </row>
    <row r="2901" spans="1:6" x14ac:dyDescent="0.25">
      <c r="A2901" s="308">
        <v>43343</v>
      </c>
      <c r="B2901" s="309" t="s">
        <v>486</v>
      </c>
      <c r="C2901" s="309" t="s">
        <v>507</v>
      </c>
      <c r="D2901" s="136" t="str">
        <f t="array" ref="D2901">IF(E2901=0,0,(INDEX(AccountCodes[ACCOUNT NAME],MATCH(E2901,AccountCodes[NGAS CODE],0))))</f>
        <v>Employees Compensation Insurance Premiums</v>
      </c>
      <c r="E2901" s="309" t="s">
        <v>178</v>
      </c>
      <c r="F2901" s="501">
        <v>1800</v>
      </c>
    </row>
    <row r="2902" spans="1:6" x14ac:dyDescent="0.25">
      <c r="A2902" s="308">
        <v>43373</v>
      </c>
      <c r="B2902" s="309" t="s">
        <v>486</v>
      </c>
      <c r="C2902" s="309" t="s">
        <v>507</v>
      </c>
      <c r="D2902" s="136" t="str">
        <f t="array" ref="D2902">IF(E2902=0,0,(INDEX(AccountCodes[ACCOUNT NAME],MATCH(E2902,AccountCodes[NGAS CODE],0))))</f>
        <v>Employees Compensation Insurance Premiums</v>
      </c>
      <c r="E2902" s="309" t="s">
        <v>178</v>
      </c>
      <c r="F2902" s="501">
        <v>1800</v>
      </c>
    </row>
    <row r="2903" spans="1:6" x14ac:dyDescent="0.25">
      <c r="A2903" s="308">
        <v>43404</v>
      </c>
      <c r="B2903" s="309" t="s">
        <v>486</v>
      </c>
      <c r="C2903" s="309" t="s">
        <v>507</v>
      </c>
      <c r="D2903" s="136" t="str">
        <f t="array" ref="D2903">IF(E2903=0,0,(INDEX(AccountCodes[ACCOUNT NAME],MATCH(E2903,AccountCodes[NGAS CODE],0))))</f>
        <v>Employees Compensation Insurance Premiums</v>
      </c>
      <c r="E2903" s="309" t="s">
        <v>178</v>
      </c>
      <c r="F2903" s="501">
        <v>1800</v>
      </c>
    </row>
    <row r="2904" spans="1:6" x14ac:dyDescent="0.25">
      <c r="A2904" s="308">
        <v>43434</v>
      </c>
      <c r="B2904" s="309" t="s">
        <v>486</v>
      </c>
      <c r="C2904" s="309" t="s">
        <v>507</v>
      </c>
      <c r="D2904" s="136" t="str">
        <f t="array" ref="D2904">IF(E2904=0,0,(INDEX(AccountCodes[ACCOUNT NAME],MATCH(E2904,AccountCodes[NGAS CODE],0))))</f>
        <v>Employees Compensation Insurance Premiums</v>
      </c>
      <c r="E2904" s="309" t="s">
        <v>178</v>
      </c>
      <c r="F2904" s="501">
        <v>1800</v>
      </c>
    </row>
    <row r="2905" spans="1:6" x14ac:dyDescent="0.25">
      <c r="A2905" s="308">
        <v>43465</v>
      </c>
      <c r="B2905" s="309" t="s">
        <v>486</v>
      </c>
      <c r="C2905" s="309" t="s">
        <v>507</v>
      </c>
      <c r="D2905" s="136" t="str">
        <f t="array" ref="D2905">IF(E2905=0,0,(INDEX(AccountCodes[ACCOUNT NAME],MATCH(E2905,AccountCodes[NGAS CODE],0))))</f>
        <v>Employees Compensation Insurance Premiums</v>
      </c>
      <c r="E2905" s="309" t="s">
        <v>178</v>
      </c>
      <c r="F2905" s="501">
        <v>1800</v>
      </c>
    </row>
    <row r="2906" spans="1:6" x14ac:dyDescent="0.25">
      <c r="A2906" s="308">
        <v>43131</v>
      </c>
      <c r="B2906" s="309" t="s">
        <v>486</v>
      </c>
      <c r="C2906" s="309" t="s">
        <v>507</v>
      </c>
      <c r="D2906" s="136" t="str">
        <f t="array" ref="D2906">IF(E2906=0,0,(INDEX(AccountCodes[ACCOUNT NAME],MATCH(E2906,AccountCodes[NGAS CODE],0))))</f>
        <v>Taxes, Duties and Licenses</v>
      </c>
      <c r="E2906" s="309" t="s">
        <v>272</v>
      </c>
      <c r="F2906" s="501">
        <v>14038.02</v>
      </c>
    </row>
    <row r="2907" spans="1:6" x14ac:dyDescent="0.25">
      <c r="A2907" s="308">
        <v>43159</v>
      </c>
      <c r="B2907" s="309" t="s">
        <v>486</v>
      </c>
      <c r="C2907" s="309" t="s">
        <v>507</v>
      </c>
      <c r="D2907" s="136" t="str">
        <f t="array" ref="D2907">IF(E2907=0,0,(INDEX(AccountCodes[ACCOUNT NAME],MATCH(E2907,AccountCodes[NGAS CODE],0))))</f>
        <v>Taxes, Duties and Licenses</v>
      </c>
      <c r="E2907" s="309" t="s">
        <v>272</v>
      </c>
      <c r="F2907" s="501">
        <v>14038.02</v>
      </c>
    </row>
    <row r="2908" spans="1:6" x14ac:dyDescent="0.25">
      <c r="A2908" s="308">
        <v>43190</v>
      </c>
      <c r="B2908" s="309" t="s">
        <v>486</v>
      </c>
      <c r="C2908" s="309" t="s">
        <v>507</v>
      </c>
      <c r="D2908" s="136" t="str">
        <f t="array" ref="D2908">IF(E2908=0,0,(INDEX(AccountCodes[ACCOUNT NAME],MATCH(E2908,AccountCodes[NGAS CODE],0))))</f>
        <v>Taxes, Duties and Licenses</v>
      </c>
      <c r="E2908" s="309" t="s">
        <v>272</v>
      </c>
      <c r="F2908" s="501">
        <v>14038.02</v>
      </c>
    </row>
    <row r="2909" spans="1:6" x14ac:dyDescent="0.25">
      <c r="A2909" s="308">
        <v>43220</v>
      </c>
      <c r="B2909" s="309" t="s">
        <v>486</v>
      </c>
      <c r="C2909" s="309" t="s">
        <v>507</v>
      </c>
      <c r="D2909" s="136" t="str">
        <f t="array" ref="D2909">IF(E2909=0,0,(INDEX(AccountCodes[ACCOUNT NAME],MATCH(E2909,AccountCodes[NGAS CODE],0))))</f>
        <v>Taxes, Duties and Licenses</v>
      </c>
      <c r="E2909" s="309" t="s">
        <v>272</v>
      </c>
      <c r="F2909" s="501">
        <v>14038.02</v>
      </c>
    </row>
    <row r="2910" spans="1:6" x14ac:dyDescent="0.25">
      <c r="A2910" s="308">
        <v>43251</v>
      </c>
      <c r="B2910" s="309" t="s">
        <v>486</v>
      </c>
      <c r="C2910" s="309" t="s">
        <v>507</v>
      </c>
      <c r="D2910" s="136" t="str">
        <f t="array" ref="D2910">IF(E2910=0,0,(INDEX(AccountCodes[ACCOUNT NAME],MATCH(E2910,AccountCodes[NGAS CODE],0))))</f>
        <v>Taxes, Duties and Licenses</v>
      </c>
      <c r="E2910" s="309" t="s">
        <v>272</v>
      </c>
      <c r="F2910" s="501">
        <v>14038.02</v>
      </c>
    </row>
    <row r="2911" spans="1:6" x14ac:dyDescent="0.25">
      <c r="A2911" s="308">
        <v>43281</v>
      </c>
      <c r="B2911" s="309" t="s">
        <v>486</v>
      </c>
      <c r="C2911" s="309" t="s">
        <v>507</v>
      </c>
      <c r="D2911" s="136" t="str">
        <f t="array" ref="D2911">IF(E2911=0,0,(INDEX(AccountCodes[ACCOUNT NAME],MATCH(E2911,AccountCodes[NGAS CODE],0))))</f>
        <v>Taxes, Duties and Licenses</v>
      </c>
      <c r="E2911" s="309" t="s">
        <v>272</v>
      </c>
      <c r="F2911" s="501">
        <v>14038.02</v>
      </c>
    </row>
    <row r="2912" spans="1:6" x14ac:dyDescent="0.25">
      <c r="A2912" s="308">
        <v>43312</v>
      </c>
      <c r="B2912" s="309" t="s">
        <v>486</v>
      </c>
      <c r="C2912" s="309" t="s">
        <v>507</v>
      </c>
      <c r="D2912" s="136" t="str">
        <f t="array" ref="D2912">IF(E2912=0,0,(INDEX(AccountCodes[ACCOUNT NAME],MATCH(E2912,AccountCodes[NGAS CODE],0))))</f>
        <v>Taxes, Duties and Licenses</v>
      </c>
      <c r="E2912" s="309" t="s">
        <v>272</v>
      </c>
      <c r="F2912" s="501">
        <v>14038.02</v>
      </c>
    </row>
    <row r="2913" spans="1:6" x14ac:dyDescent="0.25">
      <c r="A2913" s="308">
        <v>43343</v>
      </c>
      <c r="B2913" s="309" t="s">
        <v>486</v>
      </c>
      <c r="C2913" s="309" t="s">
        <v>507</v>
      </c>
      <c r="D2913" s="136" t="str">
        <f t="array" ref="D2913">IF(E2913=0,0,(INDEX(AccountCodes[ACCOUNT NAME],MATCH(E2913,AccountCodes[NGAS CODE],0))))</f>
        <v>Taxes, Duties and Licenses</v>
      </c>
      <c r="E2913" s="309" t="s">
        <v>272</v>
      </c>
      <c r="F2913" s="501">
        <v>14038.02</v>
      </c>
    </row>
    <row r="2914" spans="1:6" x14ac:dyDescent="0.25">
      <c r="A2914" s="308">
        <v>43373</v>
      </c>
      <c r="B2914" s="309" t="s">
        <v>486</v>
      </c>
      <c r="C2914" s="309" t="s">
        <v>507</v>
      </c>
      <c r="D2914" s="136" t="str">
        <f t="array" ref="D2914">IF(E2914=0,0,(INDEX(AccountCodes[ACCOUNT NAME],MATCH(E2914,AccountCodes[NGAS CODE],0))))</f>
        <v>Taxes, Duties and Licenses</v>
      </c>
      <c r="E2914" s="309" t="s">
        <v>272</v>
      </c>
      <c r="F2914" s="501">
        <v>14038.02</v>
      </c>
    </row>
    <row r="2915" spans="1:6" x14ac:dyDescent="0.25">
      <c r="A2915" s="308">
        <v>43404</v>
      </c>
      <c r="B2915" s="309" t="s">
        <v>486</v>
      </c>
      <c r="C2915" s="309" t="s">
        <v>507</v>
      </c>
      <c r="D2915" s="136" t="str">
        <f t="array" ref="D2915">IF(E2915=0,0,(INDEX(AccountCodes[ACCOUNT NAME],MATCH(E2915,AccountCodes[NGAS CODE],0))))</f>
        <v>Taxes, Duties and Licenses</v>
      </c>
      <c r="E2915" s="309" t="s">
        <v>272</v>
      </c>
      <c r="F2915" s="501">
        <v>14038.02</v>
      </c>
    </row>
    <row r="2916" spans="1:6" x14ac:dyDescent="0.25">
      <c r="A2916" s="308">
        <v>43434</v>
      </c>
      <c r="B2916" s="309" t="s">
        <v>486</v>
      </c>
      <c r="C2916" s="309" t="s">
        <v>507</v>
      </c>
      <c r="D2916" s="136" t="str">
        <f t="array" ref="D2916">IF(E2916=0,0,(INDEX(AccountCodes[ACCOUNT NAME],MATCH(E2916,AccountCodes[NGAS CODE],0))))</f>
        <v>Taxes, Duties and Licenses</v>
      </c>
      <c r="E2916" s="309" t="s">
        <v>272</v>
      </c>
      <c r="F2916" s="501">
        <v>14038.02</v>
      </c>
    </row>
    <row r="2917" spans="1:6" x14ac:dyDescent="0.25">
      <c r="A2917" s="308">
        <v>43465</v>
      </c>
      <c r="B2917" s="309" t="s">
        <v>486</v>
      </c>
      <c r="C2917" s="309" t="s">
        <v>507</v>
      </c>
      <c r="D2917" s="136" t="str">
        <f t="array" ref="D2917">IF(E2917=0,0,(INDEX(AccountCodes[ACCOUNT NAME],MATCH(E2917,AccountCodes[NGAS CODE],0))))</f>
        <v>Taxes, Duties and Licenses</v>
      </c>
      <c r="E2917" s="309" t="s">
        <v>272</v>
      </c>
      <c r="F2917" s="501">
        <v>14038.02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63</vt:i4>
      </vt:variant>
      <vt:variant>
        <vt:lpstr>Named Ranges</vt:lpstr>
      </vt:variant>
      <vt:variant>
        <vt:i4>66</vt:i4>
      </vt:variant>
    </vt:vector>
  </HeadingPairs>
  <TitlesOfParts>
    <vt:vector size="129" baseType="lpstr">
      <vt:lpstr>TB</vt:lpstr>
      <vt:lpstr>TB (NEW)</vt:lpstr>
      <vt:lpstr>IES</vt:lpstr>
      <vt:lpstr>BS</vt:lpstr>
      <vt:lpstr>CF</vt:lpstr>
      <vt:lpstr>Account</vt:lpstr>
      <vt:lpstr>PostTB</vt:lpstr>
      <vt:lpstr>CRDJ</vt:lpstr>
      <vt:lpstr>CRDJ Pivot</vt:lpstr>
      <vt:lpstr>JEV CRD</vt:lpstr>
      <vt:lpstr>CRDJournal</vt:lpstr>
      <vt:lpstr>CkDJ</vt:lpstr>
      <vt:lpstr>CkDJ Pivot</vt:lpstr>
      <vt:lpstr>JEV Check</vt:lpstr>
      <vt:lpstr>CkDJournal</vt:lpstr>
      <vt:lpstr>CsDJ</vt:lpstr>
      <vt:lpstr>CsDJ Pivot</vt:lpstr>
      <vt:lpstr>CSDJournal</vt:lpstr>
      <vt:lpstr>JEV CsDJ</vt:lpstr>
      <vt:lpstr>GJ</vt:lpstr>
      <vt:lpstr>GJ Pivot</vt:lpstr>
      <vt:lpstr>JEV GJ</vt:lpstr>
      <vt:lpstr>General Ledger</vt:lpstr>
      <vt:lpstr>GL</vt:lpstr>
      <vt:lpstr>GLperSC1</vt:lpstr>
      <vt:lpstr>GLperSC2</vt:lpstr>
      <vt:lpstr>CF (2)</vt:lpstr>
      <vt:lpstr>SL Balances</vt:lpstr>
      <vt:lpstr>SLperSC1</vt:lpstr>
      <vt:lpstr>SLperSC2</vt:lpstr>
      <vt:lpstr>BUR</vt:lpstr>
      <vt:lpstr>BUR (2)</vt:lpstr>
      <vt:lpstr>BUR (VIG zero out)</vt:lpstr>
      <vt:lpstr>SOEI (as of)</vt:lpstr>
      <vt:lpstr>SOEI (for the)</vt:lpstr>
      <vt:lpstr>REVGEN (1)</vt:lpstr>
      <vt:lpstr>REVGEN (2)</vt:lpstr>
      <vt:lpstr>REVGEN (3)</vt:lpstr>
      <vt:lpstr>REVGEN (4)</vt:lpstr>
      <vt:lpstr>REVGEN (2)(1)</vt:lpstr>
      <vt:lpstr>REVGEN (2)(2)</vt:lpstr>
      <vt:lpstr>REVGEN (2)(3)</vt:lpstr>
      <vt:lpstr>REVGEN (2)(4)</vt:lpstr>
      <vt:lpstr>REVGEN (3)(1)</vt:lpstr>
      <vt:lpstr>REVGEN (3)(2)</vt:lpstr>
      <vt:lpstr>REVGEN (3)(3)</vt:lpstr>
      <vt:lpstr>REVGEN (3)(4)</vt:lpstr>
      <vt:lpstr>REVGEN (4)(1)</vt:lpstr>
      <vt:lpstr>REVGEN (4)(2)</vt:lpstr>
      <vt:lpstr>REVGEN (4)(3)</vt:lpstr>
      <vt:lpstr>REVGEN (4)(4)</vt:lpstr>
      <vt:lpstr>REVGEN (4)(5)</vt:lpstr>
      <vt:lpstr>REVGEN (Summary)</vt:lpstr>
      <vt:lpstr>REVGEN (Overall)</vt:lpstr>
      <vt:lpstr>Rev Exp (1)</vt:lpstr>
      <vt:lpstr>Rev Exp (2)</vt:lpstr>
      <vt:lpstr>Rev Exp (3)</vt:lpstr>
      <vt:lpstr>Rev Exp (4)</vt:lpstr>
      <vt:lpstr>RevExp RIO</vt:lpstr>
      <vt:lpstr>Monthly Cash Program Ofc</vt:lpstr>
      <vt:lpstr>Monthly Cash Program Sort</vt:lpstr>
      <vt:lpstr>Monthly Cash Program Summary</vt:lpstr>
      <vt:lpstr>Budget Data</vt:lpstr>
      <vt:lpstr>Accounts</vt:lpstr>
      <vt:lpstr>Cashier</vt:lpstr>
      <vt:lpstr>Category</vt:lpstr>
      <vt:lpstr>Code</vt:lpstr>
      <vt:lpstr>Office</vt:lpstr>
      <vt:lpstr>Account!Print_Area</vt:lpstr>
      <vt:lpstr>'CkDJ'!Print_Area</vt:lpstr>
      <vt:lpstr>'CRDJ'!Print_Area</vt:lpstr>
      <vt:lpstr>CRDJournal!Print_Area</vt:lpstr>
      <vt:lpstr>'CsDJ'!Print_Area</vt:lpstr>
      <vt:lpstr>CSDJournal!Print_Area</vt:lpstr>
      <vt:lpstr>'JEV Check'!Print_Area</vt:lpstr>
      <vt:lpstr>'JEV GJ'!Print_Area</vt:lpstr>
      <vt:lpstr>'REVGEN (Overall)'!Print_Area</vt:lpstr>
      <vt:lpstr>SLperSC1!Print_Area</vt:lpstr>
      <vt:lpstr>'TB (NEW)'!Print_Area</vt:lpstr>
      <vt:lpstr>Account!Print_Titles</vt:lpstr>
      <vt:lpstr>BS!Print_Titles</vt:lpstr>
      <vt:lpstr>BUR!Print_Titles</vt:lpstr>
      <vt:lpstr>'BUR (2)'!Print_Titles</vt:lpstr>
      <vt:lpstr>'BUR (VIG zero out)'!Print_Titles</vt:lpstr>
      <vt:lpstr>'CkDJ'!Print_Titles</vt:lpstr>
      <vt:lpstr>CkDJournal!Print_Titles</vt:lpstr>
      <vt:lpstr>'CRDJ'!Print_Titles</vt:lpstr>
      <vt:lpstr>CRDJournal!Print_Titles</vt:lpstr>
      <vt:lpstr>'CsDJ'!Print_Titles</vt:lpstr>
      <vt:lpstr>CSDJournal!Print_Titles</vt:lpstr>
      <vt:lpstr>'General Ledger'!Print_Titles</vt:lpstr>
      <vt:lpstr>GJ!Print_Titles</vt:lpstr>
      <vt:lpstr>GL!Print_Titles</vt:lpstr>
      <vt:lpstr>GLperSC1!Print_Titles</vt:lpstr>
      <vt:lpstr>GLperSC2!Print_Titles</vt:lpstr>
      <vt:lpstr>IES!Print_Titles</vt:lpstr>
      <vt:lpstr>'Monthly Cash Program Ofc'!Print_Titles</vt:lpstr>
      <vt:lpstr>'Monthly Cash Program Sort'!Print_Titles</vt:lpstr>
      <vt:lpstr>'Monthly Cash Program Summary'!Print_Titles</vt:lpstr>
      <vt:lpstr>'Rev Exp (1)'!Print_Titles</vt:lpstr>
      <vt:lpstr>'Rev Exp (2)'!Print_Titles</vt:lpstr>
      <vt:lpstr>'Rev Exp (3)'!Print_Titles</vt:lpstr>
      <vt:lpstr>'Rev Exp (4)'!Print_Titles</vt:lpstr>
      <vt:lpstr>'RevExp RIO'!Print_Titles</vt:lpstr>
      <vt:lpstr>'REVGEN (1)'!Print_Titles</vt:lpstr>
      <vt:lpstr>'REVGEN (2)'!Print_Titles</vt:lpstr>
      <vt:lpstr>'REVGEN (2)(1)'!Print_Titles</vt:lpstr>
      <vt:lpstr>'REVGEN (2)(2)'!Print_Titles</vt:lpstr>
      <vt:lpstr>'REVGEN (2)(3)'!Print_Titles</vt:lpstr>
      <vt:lpstr>'REVGEN (2)(4)'!Print_Titles</vt:lpstr>
      <vt:lpstr>'REVGEN (3)'!Print_Titles</vt:lpstr>
      <vt:lpstr>'REVGEN (3)(1)'!Print_Titles</vt:lpstr>
      <vt:lpstr>'REVGEN (3)(2)'!Print_Titles</vt:lpstr>
      <vt:lpstr>'REVGEN (3)(3)'!Print_Titles</vt:lpstr>
      <vt:lpstr>'REVGEN (3)(4)'!Print_Titles</vt:lpstr>
      <vt:lpstr>'REVGEN (4)'!Print_Titles</vt:lpstr>
      <vt:lpstr>'REVGEN (4)(1)'!Print_Titles</vt:lpstr>
      <vt:lpstr>'REVGEN (4)(2)'!Print_Titles</vt:lpstr>
      <vt:lpstr>'REVGEN (4)(3)'!Print_Titles</vt:lpstr>
      <vt:lpstr>'REVGEN (4)(4)'!Print_Titles</vt:lpstr>
      <vt:lpstr>'REVGEN (4)(5)'!Print_Titles</vt:lpstr>
      <vt:lpstr>'REVGEN (Summary)'!Print_Titles</vt:lpstr>
      <vt:lpstr>'SL Balances'!Print_Titles</vt:lpstr>
      <vt:lpstr>SLperSC1!Print_Titles</vt:lpstr>
      <vt:lpstr>SLperSC2!Print_Titles</vt:lpstr>
      <vt:lpstr>'SOEI (as of)'!Print_Titles</vt:lpstr>
      <vt:lpstr>TB!Print_Titles</vt:lpstr>
      <vt:lpstr>'TB (NEW)'!Print_Titles</vt:lpstr>
      <vt:lpstr>SortCode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uaser</dc:creator>
  <cp:lastModifiedBy>NIA PIMO</cp:lastModifiedBy>
  <cp:lastPrinted>2025-03-13T06:36:16Z</cp:lastPrinted>
  <dcterms:created xsi:type="dcterms:W3CDTF">2011-02-14T19:15:21Z</dcterms:created>
  <dcterms:modified xsi:type="dcterms:W3CDTF">2025-03-13T07:55:49Z</dcterms:modified>
</cp:coreProperties>
</file>